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avedrecs" sheetId="1" state="visible" r:id="rId3"/>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<sst xmlns="http://schemas.openxmlformats.org/spreadsheetml/2006/main" count="77594" uniqueCount="39765">
  <si>
    <t xml:space="preserve">Publication Type</t>
  </si>
  <si>
    <t xml:space="preserve">Authors</t>
  </si>
  <si>
    <t xml:space="preserve">Book Authors</t>
  </si>
  <si>
    <t xml:space="preserve">Book Editors</t>
  </si>
  <si>
    <t xml:space="preserve">Book Group Authors</t>
  </si>
  <si>
    <t xml:space="preserve">Author Full Names</t>
  </si>
  <si>
    <t xml:space="preserve">Book Author Full Names</t>
  </si>
  <si>
    <t xml:space="preserve">Group Authors</t>
  </si>
  <si>
    <t xml:space="preserve">Article Title</t>
  </si>
  <si>
    <t xml:space="preserve">Source Title</t>
  </si>
  <si>
    <t xml:space="preserve">Book Series Title</t>
  </si>
  <si>
    <t xml:space="preserve">Book Series Subtitle</t>
  </si>
  <si>
    <t xml:space="preserve">Language</t>
  </si>
  <si>
    <t xml:space="preserve">Document Type</t>
  </si>
  <si>
    <t xml:space="preserve">Conference Title</t>
  </si>
  <si>
    <t xml:space="preserve">Conference Date</t>
  </si>
  <si>
    <t xml:space="preserve">Conference Location</t>
  </si>
  <si>
    <t xml:space="preserve">Conference Sponsor</t>
  </si>
  <si>
    <t xml:space="preserve">Conference Host</t>
  </si>
  <si>
    <t xml:space="preserve">DE</t>
  </si>
  <si>
    <t xml:space="preserve">Keywords Plus</t>
  </si>
  <si>
    <t xml:space="preserve">Abstract</t>
  </si>
  <si>
    <t xml:space="preserve">Addresses</t>
  </si>
  <si>
    <t xml:space="preserve">Affiliations</t>
  </si>
  <si>
    <t xml:space="preserve">Reprint Addresses</t>
  </si>
  <si>
    <t xml:space="preserve">Email Addresses</t>
  </si>
  <si>
    <t xml:space="preserve">Researcher Ids</t>
  </si>
  <si>
    <t xml:space="preserve">ORCIDs</t>
  </si>
  <si>
    <t xml:space="preserve">Funding Orgs</t>
  </si>
  <si>
    <t xml:space="preserve">Funding Name Preferred</t>
  </si>
  <si>
    <t xml:space="preserve">Funding Text</t>
  </si>
  <si>
    <t xml:space="preserve">Cited References</t>
  </si>
  <si>
    <t xml:space="preserve">Cited Reference Count</t>
  </si>
  <si>
    <t xml:space="preserve">Times Cited, WoS Core</t>
  </si>
  <si>
    <t xml:space="preserve">Times Cited, All Databases</t>
  </si>
  <si>
    <t xml:space="preserve">180 Day Usage Count</t>
  </si>
  <si>
    <t xml:space="preserve">Since 2013 Usage Count</t>
  </si>
  <si>
    <t xml:space="preserve">Publisher</t>
  </si>
  <si>
    <t xml:space="preserve">Publisher City</t>
  </si>
  <si>
    <t xml:space="preserve">Publisher Address</t>
  </si>
  <si>
    <t xml:space="preserve">ISSN</t>
  </si>
  <si>
    <t xml:space="preserve">eISSN</t>
  </si>
  <si>
    <t xml:space="preserve">ISBN</t>
  </si>
  <si>
    <t xml:space="preserve">Journal Abbreviation</t>
  </si>
  <si>
    <t xml:space="preserve">Journal ISO Abbreviation</t>
  </si>
  <si>
    <t xml:space="preserve">Publication Date</t>
  </si>
  <si>
    <t xml:space="preserve">Publication Year</t>
  </si>
  <si>
    <t xml:space="preserve">Volume</t>
  </si>
  <si>
    <t xml:space="preserve">Issue</t>
  </si>
  <si>
    <t xml:space="preserve">Part Number</t>
  </si>
  <si>
    <t xml:space="preserve">Supplement</t>
  </si>
  <si>
    <t xml:space="preserve">Special Issue</t>
  </si>
  <si>
    <t xml:space="preserve">Meeting Abstract</t>
  </si>
  <si>
    <t xml:space="preserve">Start Page</t>
  </si>
  <si>
    <t xml:space="preserve">End Page</t>
  </si>
  <si>
    <t xml:space="preserve">Article Number</t>
  </si>
  <si>
    <t xml:space="preserve">DI</t>
  </si>
  <si>
    <t xml:space="preserve">DOI Link</t>
  </si>
  <si>
    <t xml:space="preserve">Book DOI</t>
  </si>
  <si>
    <t xml:space="preserve">Early Access Date</t>
  </si>
  <si>
    <t xml:space="preserve">Number of Pages</t>
  </si>
  <si>
    <t xml:space="preserve">WoS Categories</t>
  </si>
  <si>
    <t xml:space="preserve">Web of Science Index</t>
  </si>
  <si>
    <t xml:space="preserve">Research Areas</t>
  </si>
  <si>
    <t xml:space="preserve">IDS Number</t>
  </si>
  <si>
    <t xml:space="preserve">Pubmed Id</t>
  </si>
  <si>
    <t xml:space="preserve">Open Access Designations</t>
  </si>
  <si>
    <t xml:space="preserve">Highly Cited Status</t>
  </si>
  <si>
    <t xml:space="preserve">Hot Paper Status</t>
  </si>
  <si>
    <t xml:space="preserve">Date of Export</t>
  </si>
  <si>
    <t xml:space="preserve">UT (Unique WOS ID)</t>
  </si>
  <si>
    <t xml:space="preserve">Web of Science Record</t>
  </si>
  <si>
    <t xml:space="preserve">J</t>
  </si>
  <si>
    <t xml:space="preserve">Kreiser, T; Zaguri, D; Sachdeva, S; Zamostiano, R; Mograbi, J; Segal, D; Bacharach, E; Gazit, E</t>
  </si>
  <si>
    <t xml:space="preserve">Kreiser, Topaz; Zaguri, Dor; Sachdeva, Shreya; Zamostiano, Rachel; Mograbi, Josef; Segal, Daniel; Bacharach, Eran; Gazit, Ehud</t>
  </si>
  <si>
    <t xml:space="preserve">Inhibition of Respiratory RNA Viruses by a Composition of Ionophoric Polyphenols with Metal Ions</t>
  </si>
  <si>
    <t xml:space="preserve">PHARMACEUTICALS</t>
  </si>
  <si>
    <t xml:space="preserve">English</t>
  </si>
  <si>
    <t xml:space="preserve">Article</t>
  </si>
  <si>
    <t xml:space="preserve">zinc; polyphenols; flavonoids; antiviral; respiratory RNA viruses; replication inhibition</t>
  </si>
  <si>
    <t xml:space="preserve">ZINC; INFLUENZA; SARS-COV-2</t>
  </si>
  <si>
    <t xml:space="preserve">Controlling the infectivity of respiratory RNA viruses is critical, especially during the current SARS-CoV-2 pandemic. There is an unmet need for therapeutic agents that can reduce viral replication, preferably independent of the accumulation of viral mutations. Zinc ions have an apparent activity as modulators of intracellular viral RNA replication and thus, appear attractive in reducing viral RNA load and infectivity. However, the intracellular concentration of zinc is usually too low for achieving an optimal inhibitory effect. Various herbal polyphenols serve as excellent zinc ionophores with known antiviral properties. Here, we combined zinc picolinate with a collection of flavonoids, representing commonly used polyphenols. Copper was added to avoid ionic imbalance during treatment and to improve efficacy. Each component separately, as well as their combinations, did not interfere with the viability of cultured A549, H1299, or Vero cells in vitro as determined by MTT assay. The safe combinations were further evaluated to determine antiviral activity. Fluorescence-activated cell sorting and quantitative polymerase chain reaction were used to evaluate antiviral activity of the combinations. They revealed a remarkable (50-95%) decrease, in genome replication levels of a diverse group of respiratory RNA viruses, including the human coronavirus OC43 (HCoV-OC43; a betacoronavirus that causes the common cold), influenza A virus (IAV, strain A/Puerto Rico/8/34 H1N1), and human metapneumovirus (hMPV). Collectively, our results offer an orally bioavailable therapeutic approach that is non-toxic, naturally sourced, applicable to numerous RNA viruses, and potentially insensitive to new mutations and variants.</t>
  </si>
  <si>
    <t xml:space="preserve">[Kreiser, Topaz; Zaguri, Dor; Sachdeva, Shreya; Zamostiano, Rachel; Segal, Daniel; Bacharach, Eran; Gazit, Ehud] Tel Aviv Univ, Shmunis Sch Biomed &amp; Canc Res, IL-6997801 Tel Aviv, Israel; [Segal, Daniel] Tel Aviv Univ, Sagol Interdisciplinary Sch Neurosci, IL-6997801 Tel Aviv, Israel; [Gazit, Ehud] Tel Aviv Univ, BLAVATNIK CTR Drug Discovery, IL-6997801 Tel Aviv, Israel</t>
  </si>
  <si>
    <t xml:space="preserve">Tel Aviv University; Tel Aviv University; Tel Aviv University</t>
  </si>
  <si>
    <t xml:space="preserve">Bacharach, E; Gazit, E (corresponding author), Tel Aviv Univ, Shmunis Sch Biomed &amp; Canc Res, IL-6997801 Tel Aviv, Israel.;Gazit, E (corresponding author), Tel Aviv Univ, BLAVATNIK CTR Drug Discovery, IL-6997801 Tel Aviv, Israel.</t>
  </si>
  <si>
    <t xml:space="preserve">topazkreiser@mail.tau.ac.il; dorzaguri@mail.tau.ac.il; shreya@mail.tau.ac.il; r.zamostiano@gmail.com; yossi@vit4pro.com; dsegal@tauex.tau.ac.il; eranba@tauex.tau.ac.il; ehudga@tauex.tau.ac.il</t>
  </si>
  <si>
    <t xml:space="preserve">Gazit, Ehud/M-8026-2019; Bacharach, Eran/JPL-0522-2023</t>
  </si>
  <si>
    <t xml:space="preserve">Zaguri, Dor/0000-0002-9147-1427; Bacharach, Eran/0000-0001-8341-2833</t>
  </si>
  <si>
    <t xml:space="preserve">Israel Science Foundation (ISF) [1558/19]</t>
  </si>
  <si>
    <t xml:space="preserve">Israel Science Foundation (ISF)(Israel Science Foundation)</t>
  </si>
  <si>
    <t xml:space="preserve">We would like to thank O. Sagi-Assif for the fluorescence-activated cell sorting analysis, J. R. Hamilton for constructing and generously providing us with the labeled IAV strain, O. Kobiler for kindly providing us with the HCoV-OC43 strain, and members of the Gazit laboratory for their helpful discussions. This research was funded by the Israel Science Foundation (ISF) Grant Application no. 1558/19.</t>
  </si>
  <si>
    <t xml:space="preserve">MDPI</t>
  </si>
  <si>
    <t xml:space="preserve">BASEL</t>
  </si>
  <si>
    <t xml:space="preserve">ST ALBAN-ANLAGE 66, CH-4052 BASEL, SWITZERLAND</t>
  </si>
  <si>
    <t xml:space="preserve">1424-8247</t>
  </si>
  <si>
    <t xml:space="preserve">PHARMACEUTICALS-BASE</t>
  </si>
  <si>
    <t xml:space="preserve">Pharmaceuticals</t>
  </si>
  <si>
    <t xml:space="preserve">MAR</t>
  </si>
  <si>
    <t xml:space="preserve">10.3390/ph15030377</t>
  </si>
  <si>
    <t xml:space="preserve">Chemistry, Medicinal; Pharmacology &amp; Pharmacy</t>
  </si>
  <si>
    <t xml:space="preserve">Science Citation Index Expanded (SCI-EXPANDED)</t>
  </si>
  <si>
    <t xml:space="preserve">Pharmacology &amp; Pharmacy</t>
  </si>
  <si>
    <t xml:space="preserve">0A8XB</t>
  </si>
  <si>
    <t xml:space="preserve">Green Published, gold</t>
  </si>
  <si>
    <t xml:space="preserve">2024-12-28</t>
  </si>
  <si>
    <t xml:space="preserve">WOS:000774229900001</t>
  </si>
  <si>
    <t xml:space="preserve">Mwananyanda, L; Thea, DM; Chipeta, J; Kwenda, G; Mulindwa, JM; Mwenechanya, M; Prosperi, C; Higdon, MM; Haddix, M; Hammitt, LL; Feikin, DR; Murdoch, DR; O'Brien, KL; Knoll, MD; Mwansa, J; Somwe, SW; Seidenberg, P</t>
  </si>
  <si>
    <t xml:space="preserve">Mwananyanda, Lawrence; Thea, Donald M.; Chipeta, James; Kwenda, Geoffrey; Mulindwa, Justin M.; Mwenechanya, Musaku; Prosperi, Christine; Higdon, Melissa M.; Haddix, Meredith; Hammitt, Laura L.; Feikin, Daniel R.; Murdoch, David R.; O'Brien, Katherine L.; Knoll, Maria Deloria; Mwansa, James; Somwe, Somwe Wa; Seidenberg, Phil</t>
  </si>
  <si>
    <t xml:space="preserve">The Etiology of Pneumonia in Zambian Children Findings From the Pneumonia Etiology Research for Child Health (PERCH) Study</t>
  </si>
  <si>
    <t xml:space="preserve">PEDIATRIC INFECTIOUS DISEASE JOURNAL</t>
  </si>
  <si>
    <t xml:space="preserve">Zambia; pneumonia; etiology; child; Pneumonia Etiology Research for Child Health</t>
  </si>
  <si>
    <t xml:space="preserve">UPPER RESPIRATORY-TRACT; PNEUMOCOCCAL PNEUMONIA; SYSTEMATIC ANALYSIS; UNDER-5 MORTALITY; YOUNG-CHILDREN; DIAGNOSIS; BURDEN; COLONIZATION; INFECTIONS; COLLECTION</t>
  </si>
  <si>
    <t xml:space="preserve">Background: Childhood pneumonia in developing countries is the foremost cause of morbidity and death. Fresh information on etiology is needed, considering the changing epidemiology of pneumonia in the setting of greater availability of effective vaccines, changing antibiotic use and improved access to care. We report here the Zambia site results of the Pneumonia Etiology Research for Child Health study on the etiology of pneumonia among HIV-uninfected children in Lusaka, Zambia. Methods: We conducted a case-control study of HIV-uninfected children age 1-59 months admitted with World Health Organization-defined severe or very severe pneumonia to a large tertiary care hospital in Lusaka. History, physical examination, chest radiographs (CXRs), blood cultures and nasopharyngeal/oropharyngeal swabs were obtained and tested by polymerase chain reaction and routine microbiology for the presence of 30 bacteria and viruses. From age and seasonally matched controls, we tested blood and nasopharyngeal/oropharyngeal samples. We used the Pneumonia Etiology Research for Child Health integrated analysis to determine the individual and population etiologic fraction for individual pathogens as the cause of pneumonia. Results: Among the 514 HIV-uninfected case children, 208 (40.5%) had abnormal CXRs (61 of 514 children were missing CXR), 8 (3.8%) of which had positive blood cultures. The overall mortality was 16.0% (82 deaths). The etiologic fraction was highest for respiratory syncytial virus [26.1%, 95% credible interval (CrI): 17.0-37.7], Mycobacterium tuberculosis (12.8%, 95% CrI: 4.3-25.3) and human metapneumovirus (12.8%, CrI: 6.1-21.8). Conclusions: Childhood pneumonia in Zambia among HIV-uninfected children is most frequently caused by respiratory syncytial virus, M. tuberculosis and human metapneumovirus, and the mortality remains high.</t>
  </si>
  <si>
    <t xml:space="preserve">[Mwananyanda, Lawrence; Thea, Donald M.; Seidenberg, Phil] Boston Univ, Sch Publ Hlth, Dept Global Hlth, Boston, MA USA; [Mwananyanda, Lawrence] Right Care Zambia, Lusaka, Zambia; [Chipeta, James; Mulindwa, Justin M.; Mwenechanya, Musaku; Somwe, Somwe Wa] Univ Zambia, Sch Med, Dept Paediat &amp; Child Hlth, Lusaka, Zambia; [Chipeta, James] Univ Teaching Hosp, Dept Paediat, Lusaka, Zambia; [Kwenda, Geoffrey] Univ Zambia, Dept Biomed Sci, Sch Hlth Sci, Lusaka, Zambia; [Prosperi, Christine; Higdon, Melissa M.; Haddix, Meredith; Hammitt, Laura L.; Feikin, Daniel R.; O'Brien, Katherine L.; Knoll, Maria Deloria] Johns Hopkins Bloomberg Sch Publ Hlth, Dept Int Hlth, Int Vaccine Access Ctr, Baltimore, MD USA; [Murdoch, David R.] Univ Otago, Dept Pathol &amp; Biomed Sci, Christchurch, New Zealand; [Murdoch, David R.] Canterbury Hlth Labs, Microbiol Unit, Christchurch, New Zealand; [Mwansa, James] Univ Teaching Hosp, Dept Pathol &amp; Microbiol, Lusaka, Zambia; [Mwansa, James] Lusaka Apex Med Univ, Dept Microbiol, Lusaka, Zambia; [Seidenberg, Phil] Univ New Mexico, Dept Emergency Med, MSC11 6025, Albuquerque, NM 87131 USA</t>
  </si>
  <si>
    <t xml:space="preserve">Boston University; University of Zambia; University of Zambia; University of Zambia; Johns Hopkins University; Johns Hopkins Bloomberg School of Public Health; University of Otago; Canterbury Health Laboratories; University of Zambia; University of New Mexico</t>
  </si>
  <si>
    <t xml:space="preserve">Seidenberg, P (corresponding author), Univ New Mexico, Dept Emergency Med, MSC11 6025, Albuquerque, NM 87131 USA.</t>
  </si>
  <si>
    <t xml:space="preserve">pseidenberg@salud.unm.edu</t>
  </si>
  <si>
    <t xml:space="preserve">Murdoch, David/A-2012-2009</t>
  </si>
  <si>
    <t xml:space="preserve">Higdon, Melissa/0000-0002-1932-9442</t>
  </si>
  <si>
    <t xml:space="preserve">Bill &amp; Melinda Gates Foundation [48968]; Merck; Pfizer; Novartis; GlaxoSmithKline</t>
  </si>
  <si>
    <t xml:space="preserve">Bill &amp; Melinda Gates Foundation(Bill &amp; Melinda Gates FoundationBill &amp; Melinda Gates Foundation Grand Challenges Explorations InitiativeCGIAR); Merck(Merck &amp; Company); Pfizer(Pfizer); Novartis(Novartis); GlaxoSmithKline(GlaxoSmithKline)</t>
  </si>
  <si>
    <t xml:space="preserve">Pneumonia Etiology Research for Child Health was supported by grant 48968 from The Bill &amp; Melinda Gates Foundation to the International Vaccine Access Center, Department of International Health, Johns Hopkins Bloomberg School of Public Health. M.D.K. has received funding for consultancies from Merck, Pfizer, Novartis, and grant funding from Merck and Pfizer. M.M.H. has received grant funding from Pfizer. L.L.H. has received grant funding from GlaxoSmithKline, Pfizer, and Merck. K.L.O. has received grant funding from GlaxoSmithKline and Pfizer and participates on technical advisory boards for Merck, Sanofi-Pasteur, PATH, Affinivax, and ClearPath. C.P. has received grant funding from Merck. The funding mentioned here for these authors was unrelated to this study. The other authors have no conflicts of interest to disclose.</t>
  </si>
  <si>
    <t xml:space="preserve">LIPPINCOTT WILLIAMS &amp; WILKINS</t>
  </si>
  <si>
    <t xml:space="preserve">PHILADELPHIA</t>
  </si>
  <si>
    <t xml:space="preserve">TWO COMMERCE SQ, 2001 MARKET ST, PHILADELPHIA, PA 19103 USA</t>
  </si>
  <si>
    <t xml:space="preserve">0891-3668</t>
  </si>
  <si>
    <t xml:space="preserve">1532-0987</t>
  </si>
  <si>
    <t xml:space="preserve">PEDIATR INFECT DIS J</t>
  </si>
  <si>
    <t xml:space="preserve">Pediatr. Infect. Dis. J.</t>
  </si>
  <si>
    <t xml:space="preserve">SEP</t>
  </si>
  <si>
    <t xml:space="preserve">S</t>
  </si>
  <si>
    <t xml:space="preserve">S40</t>
  </si>
  <si>
    <t xml:space="preserve">S49</t>
  </si>
  <si>
    <t xml:space="preserve">10.1097/INF.0000000000002652</t>
  </si>
  <si>
    <t xml:space="preserve">Immunology; Infectious Diseases; Pediatrics</t>
  </si>
  <si>
    <t xml:space="preserve">ZB0AH</t>
  </si>
  <si>
    <t xml:space="preserve">Green Published, hybrid</t>
  </si>
  <si>
    <t xml:space="preserve">WOS:000756515300005</t>
  </si>
  <si>
    <t xml:space="preserve">Debiaggi, M; Canducci, F; Brerra, R; Sampaolo, M; Marinozzi, MC; Parea, M; Arghittu, M; Alessandrino, EP; Nava, S; Nucleo, E; Romero, E; Clementi, M</t>
  </si>
  <si>
    <t xml:space="preserve">Debiaggi, Maurizia; Canducci, Filippo; Brerra, Roberto; Sampaolo, Michela; Marinozzi, Maria Chiara; Parea, Maurizio; Arghittu, Milena; Alessandrino, Emilio Paolo; Nava, Stefano; Nucleo, Elisabetta; Romero, Egidio; Clementi, Massimo</t>
  </si>
  <si>
    <t xml:space="preserve">Molecular Epidemiology of KI and WU Polyomaviruses in Infants With Acute Respiratory Disease and in Adult Hematopoietic Stem Cell Transplant Recipients</t>
  </si>
  <si>
    <t xml:space="preserve">JOURNAL OF MEDICAL VIROLOGY</t>
  </si>
  <si>
    <t xml:space="preserve">WU polyomavirus; KI polyomavirus; respiratory viruses; immunocompromised patients; acute respiratory disease</t>
  </si>
  <si>
    <t xml:space="preserve">HUMAN METAPNEUMOVIRUS INFECTION; CHILDREN</t>
  </si>
  <si>
    <t xml:space="preserve">Polyomaviruses KI (KIPyV) and WU (WUPyV) were described recently in children with acute respiratory disease. The pathogenic potential of these human viruses has not been determined completely, but a correlation between immunosuppression and virus reactivation has been suggested. In the present study, the association between KI/WUPyV infection and immunosuppression was investigated using sequential nasopharyngeal aspirates from asymptomatic adult hematopoietic stem cell transplant recipients. In parallel, an investigation on the WU/KIPyV prevalence in children with acute respiratory disease was also carried out. Two of the 126 samples obtained from the 31 hematopoietic transplant recipients were positive for KIPyV (1 sample, 0.79%) and WUPyV (1 sample, 0.79%). Both samples were obtained 15 days after allogeneic transplantation and virus persistence was not observed in subsequent samples. In symptomatic children, 7 of the 486 nasopharyngeal aspirates were positive for WUPyV (1.4%) and 1 for KIPyV (0.2%). Single polyomavirus infection was detected in four patients, whereas the remaining patients were co-infected with respiratory syncityal virus (three patients) or adenovirus (one patient). The results suggest that WU/KIPyVs have a limited circulation in Italy and a low pathogenic potential in young children. Brief and asymptomatic infection can occur in hematopoietic transplant recipients. J. Med. Virol. 82:153-156, 2010. (C) 2009 Wiley-Liss, Inc.</t>
  </si>
  <si>
    <t xml:space="preserve">[Debiaggi, Maurizia; Brerra, Roberto; Nucleo, Elisabetta; Romero, Egidio] Univ Pavia, Dept Morphol &amp; Clin Sci, Microbiol Sect, I-27100 Pavia, Italy; [Canducci, Filippo; Sampaolo, Michela; Marinozzi, Maria Chiara; Clementi, Massimo] Ist Sci San Raffaele, Lab Microbiol &amp; Virol, I-20132 Milan, Italy; [Canducci, Filippo; Sampaolo, Michela; Marinozzi, Maria Chiara; Clementi, Massimo] San Raffaele Univ, Milan, Italy; [Parea, Maurizio; Romero, Egidio] Policlin San Matteo, Microbiol Lab, I-27100 Pavia, Italy; [Arghittu, Milena] Melegnano Hosp, Lab Clin Biochem &amp; Microbiol, Vizzolo Predabissi, Melegnano, Italy; [Alessandrino, Emilio Paolo] Policlin San Matteo, Fdn Ist Ricovero &amp; Cura Carattere Sci, Div Hematol, I-27100 Pavia, Italy; [Nava, Stefano] Sci Inst Pavia, IRCCS, Fdn S Maugeri, Resp Care Unit, Pavia, Italy</t>
  </si>
  <si>
    <t xml:space="preserve">University of Pavia; Vita-Salute San Raffaele University; IRCCS Ospedale San Raffaele; Vita-Salute San Raffaele University; IRCCS Fondazione San Matteo; IRCCS Fondazione San Matteo; Istituti Clinici Scientifici Maugeri IRCCS; University of Pavia</t>
  </si>
  <si>
    <t xml:space="preserve">Debiaggi, M (corresponding author), Univ Pavia, Dipartimento Sci Morfol Eidol &amp; Clin, Sez Microbiol, Via Palestro 3, I-27100 Pavia, Italy.</t>
  </si>
  <si>
    <t xml:space="preserve">maurizia.debiaggi@unipv.it</t>
  </si>
  <si>
    <t xml:space="preserve">Clementi, Massimo/F-6646-2013; NUCLEO, ELISABETTA/N-2573-2015</t>
  </si>
  <si>
    <t xml:space="preserve">Canducci, Filippo/0000-0002-5637-6205; NUCLEO, ELISABETTA/0000-0003-1605-7557; Clementi, Massimo/0000-0002-7461-5898</t>
  </si>
  <si>
    <t xml:space="preserve">Fondazione Istituto di Ricovero e Cura a Carattere Scientifico, Policlinico San Matteo [08058605]; Universita di Pavia, fondo Ateneo di Ricerca 2007; Ministero della Salute</t>
  </si>
  <si>
    <t xml:space="preserve">Fondazione Istituto di Ricovero e Cura a Carattere Scientifico, Policlinico San Matteo; Universita di Pavia, fondo Ateneo di Ricerca 2007; Ministero della Salute(Ministry of Health, Italy)</t>
  </si>
  <si>
    <t xml:space="preserve">Grant sponsor: Fondazione Istituto di Ricovero e Cura a Carattere Scientifico, Policlinico San Matteo; Grant number: 08058605; Grant sponsor: Universita di Pavia, fondo Ateneo di Ricerca 2007 (to M.D.); Grant sponsor: Ministero della Salute, Progetto Italia-USA per lo studio delle infezioni dell'ospite immunocompromesso 2007-2009 (to M.C.).</t>
  </si>
  <si>
    <t xml:space="preserve">WILEY</t>
  </si>
  <si>
    <t xml:space="preserve">HOBOKEN</t>
  </si>
  <si>
    <t xml:space="preserve">111 RIVER ST, HOBOKEN 07030-5774, NJ USA</t>
  </si>
  <si>
    <t xml:space="preserve">0146-6615</t>
  </si>
  <si>
    <t xml:space="preserve">1096-9071</t>
  </si>
  <si>
    <t xml:space="preserve">J MED VIROL</t>
  </si>
  <si>
    <t xml:space="preserve">J. Med. Virol.</t>
  </si>
  <si>
    <t xml:space="preserve">JAN</t>
  </si>
  <si>
    <t xml:space="preserve">10.1002/jmv.21659</t>
  </si>
  <si>
    <t xml:space="preserve">Virology</t>
  </si>
  <si>
    <t xml:space="preserve">533GZ</t>
  </si>
  <si>
    <t xml:space="preserve">Green Published</t>
  </si>
  <si>
    <t xml:space="preserve">WOS:000272813000019</t>
  </si>
  <si>
    <t xml:space="preserve">Viswanathan, R; Bafna, S; Choudhary, ML; Reddy, M; Katendra, S; Maheshwari, S; Jadhav, S</t>
  </si>
  <si>
    <t xml:space="preserve">Viswanathan, Rajlakshmi; Bafna, Sanjay; Choudhary, Manohar Lal; Reddy, Monika; Katendra, Savita; Maheshwari, Shradha; Jadhav, Sheetal</t>
  </si>
  <si>
    <t xml:space="preserve">Looking beyond Pertussis in Prolonged Cough Illness of Young Children</t>
  </si>
  <si>
    <t xml:space="preserve">VACCINES</t>
  </si>
  <si>
    <t xml:space="preserve">whooping cough; Bordetella pertussis; Bordetella holmesii; respiratory syncytial virus; infant; cough illness</t>
  </si>
  <si>
    <t xml:space="preserve">PCR</t>
  </si>
  <si>
    <t xml:space="preserve">Pertussis, commonly known as whooping cough, is one of the most poorly controlled vaccine-preventable diseases in the world. South-East Asia is estimated to contribute the most to childhood disease burden while this remains largely unexplored in India. The clinical diagnosis of pertussis in young children is a challenge as the classical four-stage presentation with paroxysmal cough or whoop may be absent. It is also difficult to differentiate from other respiratory infections which can cause pertussis-like illness. Children below two years with prolonged cough illness attending an urban pediatric center in western India, were evaluated for pertussis and viral infections by molecular methods. Bordetella pertussis and B. holmesii were confirmed in three each of 45 suspected cases, and RSV-A and hMPV were the most common viruses that were detected. These organisms can mimic mild cases of pertussis and need to be considered in differential diagnosis of prolonged cough illness in young children. The accurate etiology of prolonged cough illness needs to be detected and documented to ensure appropriate management and accurate estimates of disease burden.</t>
  </si>
  <si>
    <t xml:space="preserve">[Viswanathan, Rajlakshmi; Katendra, Savita; Maheshwari, Shradha] ICMR Natl Inst Virol, Bacteriol Grp, 130-1,Sus Rd, Pune 411021, India; [Bafna, Sanjay; Reddy, Monika] Jehangir Hosp, Dept Pediat Med, 32 Sassoon Rd, Pune 411001, India; [Choudhary, Manohar Lal; Jadhav, Sheetal] ICMR Natl Inst Virol, Influenza Grp, 20-A Ambedkar Rd, Pune 411001, India</t>
  </si>
  <si>
    <t xml:space="preserve">Indian Council of Medical Research (ICMR); ICMR - National Institute of Virology (NIV); Indian Council of Medical Research (ICMR); ICMR - National Institute of Virology (NIV)</t>
  </si>
  <si>
    <t xml:space="preserve">Viswanathan, R (corresponding author), ICMR Natl Inst Virol, Bacteriol Grp, 130-1,Sus Rd, Pune 411021, India.</t>
  </si>
  <si>
    <t xml:space="preserve">rupamicro11@gmail.com; sanjaybafna16@gmail.com; mlchoudhary@gmail.com; monika.reddy39@gmail.com; sairajsavita@gmail.com; shradhamaheshwari1992@gmail.com; sheetalk86@gmail.com</t>
  </si>
  <si>
    <t xml:space="preserve">Choudhary, Manohar Lal/0000-0001-9968-8957; Viswanathan, Rajlakshmi/0000-0002-1517-0454</t>
  </si>
  <si>
    <t xml:space="preserve">Department of BioTechnology (DBT) Wellcome India Alliance Intermediate Career Fellowship in Clinical and Public Health [IA/CPHI/18/1/503936]</t>
  </si>
  <si>
    <t xml:space="preserve">Department of BioTechnology (DBT) Wellcome India Alliance Intermediate Career Fellowship in Clinical and Public Health</t>
  </si>
  <si>
    <t xml:space="preserve">This research was funded by The Department of BioTechnology (DBT) Wellcome India Alliance Intermediate Career Fellowship in Clinical and Public Health (Grant number: IA/CPHI/18/1/503936) to R.V.</t>
  </si>
  <si>
    <t xml:space="preserve">2076-393X</t>
  </si>
  <si>
    <t xml:space="preserve">VACCINES-BASEL</t>
  </si>
  <si>
    <t xml:space="preserve">Vaccines</t>
  </si>
  <si>
    <t xml:space="preserve">AUG</t>
  </si>
  <si>
    <t xml:space="preserve">10.3390/vaccines10081191</t>
  </si>
  <si>
    <t xml:space="preserve">Immunology; Medicine, Research &amp; Experimental</t>
  </si>
  <si>
    <t xml:space="preserve">Immunology; Research &amp; Experimental Medicine</t>
  </si>
  <si>
    <t xml:space="preserve">4A5EE</t>
  </si>
  <si>
    <t xml:space="preserve">gold, Green Published</t>
  </si>
  <si>
    <t xml:space="preserve">WOS:000845123700001</t>
  </si>
  <si>
    <t xml:space="preserve">Sezer, GM; Ünsür, EK; Kayaoglu, S; Akçay, F</t>
  </si>
  <si>
    <t xml:space="preserve">Sezer, Gulsen Meral; Unsur, Emel Kabakoglu; Kayaoglu, Semra; Akcay, Faruk</t>
  </si>
  <si>
    <t xml:space="preserve">The respiratory syncytial virus may not always be responsible for Bronchiolitis in children</t>
  </si>
  <si>
    <t xml:space="preserve">AFRICAN JOURNAL OF MICROBIOLOGY RESEARCH</t>
  </si>
  <si>
    <t xml:space="preserve">Wheezing; lower tract respiratory illness; respiratory syncytial virus; adenovirus; rhinovirus</t>
  </si>
  <si>
    <t xml:space="preserve">HUMAN METAPNEUMOVIRUS; TRACT INFECTIONS; RHINOVIRUS</t>
  </si>
  <si>
    <t xml:space="preserve">The aim of this study is to investigate the viral agents and the viral profile in children under 5 years of age who are referred to our hospital due to acute wheezing. The nasal smears of 55 children who were referred to Kagithane State Hospital from now on (KSH) with acute wheezing between November 2009 and March 2010 were analyzed with multiplex PCR and the distribution of respiratory virus detected in these smears was evaluated retrospectively. Out of fifty five children whose nasal smear results were evaluated, 22 (40%) were male and 33 (60%) were female. The age range was 3 months to 5 years. The nasal smears revealed that one patient (2%) had adenovirus, 11 patients (20%) had Rhinovirus A-B, one patient (2%) had Rhinovirus C which is not previously encountered in our country, 5 patients (9%) had RSV-A, 16 patients (29%) had RSV-B and one patient was diagnosed with co-infection of RSV-A and Rhinovirus A-B. This retrospective study is conducted to find out the epidemiologic strategy of viral agents in acute lower respiratory illnesses to modify the treatment protocols and to reduce the mortality which we hope will contribute to the literature.</t>
  </si>
  <si>
    <t xml:space="preserve">[Sezer, Gulsen Meral; Unsur, Emel Kabakoglu; Akcay, Faruk] Kagithane State Hosp, TR-34415 Istanbul, Turkey; [Kayaoglu, Semra] Nisantasi Family Hlth Ctr, TR-34365 Istanbul, Turkey</t>
  </si>
  <si>
    <t xml:space="preserve">Kagithane State Hospital</t>
  </si>
  <si>
    <t xml:space="preserve">Sezer, GM (corresponding author), Kagithane State Hosp, TR-34415 Istanbul, Turkey.</t>
  </si>
  <si>
    <t xml:space="preserve">gulsenmeral@drgulsenmeral.com</t>
  </si>
  <si>
    <t xml:space="preserve">ünsür, emel/AAF-8881-2021; meral, gulsen/I-2649-2018</t>
  </si>
  <si>
    <t xml:space="preserve">ACADEMIC JOURNALS</t>
  </si>
  <si>
    <t xml:space="preserve">VICTORIA ISLAND</t>
  </si>
  <si>
    <t xml:space="preserve">P O BOX 5170-00200 NAIROBI, VICTORIA ISLAND, LAGOS 73023, NIGERIA</t>
  </si>
  <si>
    <t xml:space="preserve">1996-0808</t>
  </si>
  <si>
    <t xml:space="preserve">AFR J MICROBIOL RES</t>
  </si>
  <si>
    <t xml:space="preserve">Afr. J. Microbiol. Res.</t>
  </si>
  <si>
    <t xml:space="preserve">JUL 18</t>
  </si>
  <si>
    <t xml:space="preserve">Microbiology</t>
  </si>
  <si>
    <t xml:space="preserve">856VI</t>
  </si>
  <si>
    <t xml:space="preserve">WOS:000297671800015</t>
  </si>
  <si>
    <t xml:space="preserve">Chung, JY; Han, TH; Kim, SW; Kim, CK; Hwang, ES</t>
  </si>
  <si>
    <t xml:space="preserve">Chung, Ju-Young; Han, Tae Hee; Kim, Sang Woo; Kim, Chang Keun; Hwang, Eung-Soo</t>
  </si>
  <si>
    <t xml:space="preserve">Detection of viruses identified recently in children with acute wheezing</t>
  </si>
  <si>
    <t xml:space="preserve">wheezing; human bocavirus; rhinovirus; RT-PCR</t>
  </si>
  <si>
    <t xml:space="preserve">RESPIRATORY-TRACT INFECTIONS; HUMAN METAPNEUMOVIRUS INFECTION; POLYMERASE CHAIN-REACTION; HUMAN CORONAVIRUS HKU1; SYNCYTIAL VIRUS; HUMAN BOCAVIRUS; ASTHMA EXACERBATIONS; ACUTE BRONCHIOLITIS; HOSPITALIZED CHILDREN; CHLAMYDIA-PNEUMONIAE</t>
  </si>
  <si>
    <t xml:space="preserve">The etiologic role of recently identified respiratory viruses for acute wheezing in children is not yet clear. The purpose of this study was to investigate the prevalence of recently identified viruses, including human metapneumovirus (hMPV), human bocavirus (hBoV), human coronavirus NL63 (hCoV-NL63), and human coronavirus HKU1 (hCoV-HKU1) in children with acute wheezing. Viral etiology was identified in 231 children hospitalized with acute wheezing, aged from 1 month to 5 years. Viral antigens for common respiratory viruses were detected by IFA or multiplex PCR. RT-PCR was used to detect respiratory rhinoviruses, hCoV-NL63, hCoV-HKU1, and hMPV. PCR assays for hBoV DNA were performed using the primer sets for noncapsid protein (NP1) and nonstructural protein (NS1) genes. Viruses were found in 61.5% (142/231) of the study population and a single virus was detected in 45.5% (105/231) of the study population. Rhinovirus (33.3%), human respiratory syncytial virus (hRSV; 13.8%), and hBoV (13.8%) were the most frequently detected viruses. hMPV and hCoV-NL63 were detected in 7.8% and 1.3% of wheezing children, respectively. HCoV-HKU1 was not detected. In 16.0% of the study population, more than one virus was detected. In children with acute wheezing, rhinovirus, hRSV, and hBoV were most frequently detected. Further studies including healthy control subjects are needed to define the clinical significance of hBoV in acute wheezing.</t>
  </si>
  <si>
    <t xml:space="preserve">Inje Univ, Dept Pediat, Sanggyepaik Hosp, Coll Med, Seoul, South Korea; Seoul Natl Univ, Coll Med, Dept Microbiol &amp; Immunol, Seoul, South Korea</t>
  </si>
  <si>
    <t xml:space="preserve">Inje University; Seoul National University (SNU)</t>
  </si>
  <si>
    <t xml:space="preserve">Chung, JY (corresponding author), Inje Univ, Dept Pediat, Sanggyepaik Hosp, Coll Med, Seoul, South Korea.</t>
  </si>
  <si>
    <t xml:space="preserve">pedchung@sanggyepaik.ac.kr</t>
  </si>
  <si>
    <t xml:space="preserve">Hwang, Eung-Soo/J-5731-2012</t>
  </si>
  <si>
    <t xml:space="preserve">HAN, TAE HEE/0000-0002-9063-4052; Hwang, Eung Soo/0000-0001-9562-4577</t>
  </si>
  <si>
    <t xml:space="preserve">10.1002/jmv.20926</t>
  </si>
  <si>
    <t xml:space="preserve">184LF</t>
  </si>
  <si>
    <t xml:space="preserve">WOS:000247642200027</t>
  </si>
  <si>
    <t xml:space="preserve">Pellegrini-Belinchón, J; Lorente-Toledano, F; Galindo-Villardón, P; González-Carvajal, I; Martín-Martín, J; Mallol, J; García-Marcos, L</t>
  </si>
  <si>
    <t xml:space="preserve">Pellegrini-Belinchon, J.; Lorente-Toledano, F.; Galindo-Villardon, P.; Gonzalez-Carvajal, I.; Martin-Martin, J.; Mallol, J.; Garcia-Marcos, L.</t>
  </si>
  <si>
    <t xml:space="preserve">Factors associated to recurrent wheezing in infants under one year of age in the province of Salamanca, Spain: Is intervention possible? A predictive model</t>
  </si>
  <si>
    <t xml:space="preserve">ALLERGOLOGIA ET IMMUNOPATHOLOGIA</t>
  </si>
  <si>
    <t xml:space="preserve">Wheezing; Asthma; Wheezing in infants; Recurrent wheezing; Mediterranean diet; EISL study</t>
  </si>
  <si>
    <t xml:space="preserve">1ST YEAR; RISK-FACTORS; HUMAN METAPNEUMOVIRUS; PRESCHOOL-CHILDREN; MEDITERRANEAN DIET; PRENATAL EXPOSURE; BIRTH COHORT; LIFE; ASTHMA; INFECTIONS</t>
  </si>
  <si>
    <t xml:space="preserve">Objectives: Wheezing is a very common problem in infants in the first months of life. The objective of this study is to identify risk factors that may be acted upon in order to modify the evolution of recurrent wheezing in the first months of life, and to develop a model based on certain factors associated to recurrent wheezing in nursing infants capable of predicting the probability of developing recurrent wheezing in the first year of life. Methods: The sample was drawn from a cross-sectional, multicentre, descriptive epidemiological study based on the general population. A total of 1164 children were studied, corresponding to a questionnaire response rate of 71%. The questionnaire of the Estudio Internacional de Sibilancias en Lactantes (EISL) was used. Multiple logistic regression analysis was used to estimate the probability of developing recurrent wheezing and to quantify the contribution of each individual variable in the presence of the rest. Results: Infants presenting eczema and attending nursery school, with a mother who has asthma, smoked during the third trimester of pregnancy, and did not consume a Mediterranean diet during pregnancy were found to have a probability of 79.7% of developing recurrent wheezing in the first year of life. In contrast, infants with none of these factors were seen to have a probability of only 4.1% of developing recurrent wheezing in the first year of life. These results in turn varied according to modifications in the risk or protective factors. Conclusions: The mathematical model estimated the probability of developing recurrent wheezing in infants under one year of age in the province of Salamanca (Spain), according to the risk or protective factors associated to recurrent wheezing to which the infants are or have been exposed. (C) 2015 SEICAP. Published by Elsevier Espana, S.L.U. All rights reserved.</t>
  </si>
  <si>
    <t xml:space="preserve">[Pellegrini-Belinchon, J.; Lorente-Toledano, F.] Univ Salamanca, Dept Biomed &amp; Diagnost Sci, E-37008 Salamanca, Spain; [Galindo-Villardon, P.] Univ Salamanca, Dept Stat, E-37008 Salamanca, Spain; [Mallol, J.] Univ Santiago Chile USACH, El Pino Hosp, Dept Pediat Resp Med, Santiago, Chile; [Garcia-Marcos, L.] Univ Murcia, Dept Pediat, E-30001 Murcia, Spain</t>
  </si>
  <si>
    <t xml:space="preserve">University of Salamanca; University of Salamanca; Universidad de Santiago de Chile; University of Murcia</t>
  </si>
  <si>
    <t xml:space="preserve">García-Marcos, L (corresponding author), Univ Murcia, Dept Pediat, E-30001 Murcia, Spain.</t>
  </si>
  <si>
    <t xml:space="preserve">lgmarcos@um.es</t>
  </si>
  <si>
    <t xml:space="preserve">; Galindo-Villardon, Purificacion/E-3594-2013</t>
  </si>
  <si>
    <t xml:space="preserve">Garcia-Marcos, Luis/0000-0002-0925-3851; Mallol, Javier/0000-0003-2528-8672; Galindo-Villardon, Purificacion/0000-0001-6977-7545</t>
  </si>
  <si>
    <t xml:space="preserve">Gerencia Regional de Salud de Castilla y Leon, Spain [GRS 287BA/08]; Fundacion Ernesto Sanchez-Villares of the Sociedad de Pediatria de Asturias, Cantabria, Castilla y Leon</t>
  </si>
  <si>
    <t xml:space="preserve">Gerencia Regional de Salud de Castilla y Leon, Spain; Fundacion Ernesto Sanchez-Villares of the Sociedad de Pediatria de Asturias, Cantabria, Castilla y Leon</t>
  </si>
  <si>
    <t xml:space="preserve">This project has received financial support from the Gerencia Regional de Salud de Castilla y Leon, Spain. GRS 287BA/08. A grant was received from the Fundacion Ernesto Sanchez-Villares of the Sociedad de Pediatria de Asturias, Cantabria, Castilla y Leon.</t>
  </si>
  <si>
    <t xml:space="preserve">ELSEVIER DOYMA SL</t>
  </si>
  <si>
    <t xml:space="preserve">BARCELONA</t>
  </si>
  <si>
    <t xml:space="preserve">TRAVESERA DE GARCIA, 17-21, BARCELONA, 08021, SPAIN</t>
  </si>
  <si>
    <t xml:space="preserve">0301-0546</t>
  </si>
  <si>
    <t xml:space="preserve">1578-1267</t>
  </si>
  <si>
    <t xml:space="preserve">ALLERGOL IMMUNOPATH</t>
  </si>
  <si>
    <t xml:space="preserve">Allergol. Immunopath.</t>
  </si>
  <si>
    <t xml:space="preserve">SEP-OCT</t>
  </si>
  <si>
    <t xml:space="preserve">10.1016/j.aller.2015.09.001</t>
  </si>
  <si>
    <t xml:space="preserve">Allergy; Immunology</t>
  </si>
  <si>
    <t xml:space="preserve">DW8VJ</t>
  </si>
  <si>
    <t xml:space="preserve">WOS:000383933300002</t>
  </si>
  <si>
    <t xml:space="preserve">Boehm, AB; Wolfe, MK; White, BL; Hughes, B; Duong, D; Bidwell, A</t>
  </si>
  <si>
    <t xml:space="preserve">Boehm, Alexandria. B. B.; Wolfe, Marlene. K. K.; White, Bradley. L. L.; Hughes, Bridgette; Duong, Dorothea; Bidwell, Amanda</t>
  </si>
  <si>
    <t xml:space="preserve">More than a Tripledemic: Influenza A Virus, Respiratory Syncytial Virus, SARS-CoV-2, and Human Metapneumovirus in Wastewater during Winter 2022-2023</t>
  </si>
  <si>
    <t xml:space="preserve">ENVIRONMENTAL SCIENCE &amp; TECHNOLOGY LETTERS</t>
  </si>
  <si>
    <t xml:space="preserve">wastewater solids; respiratory viruses; tripledemic; wastewater-based epidemiology; influenza A; RSV; metapneumovirus; SARS-CoV-2</t>
  </si>
  <si>
    <t xml:space="preserve">NUCLEIC-ACIDS; UNITED-STATES; PARAINFLUENZA; DISEASE; BURDEN</t>
  </si>
  <si>
    <t xml:space="preserve">Wastewater monitoring can provide insights into respiratorydiseaseoccurrence in communities that contribute to the wastewater system.Using daily measurements of RNA of influenza A (IAV), respiratorysyncytial virus (RSV), and human metapneumovirus (HMPV), as well asSARS-CoV-2 in wastewater solids from eight publicly owned treatmentworks in the Greater San Francisco Bay Area of California betweenJuly 2022 and early July 2023, we identify a tripledemicwhen concentrations of IAV, RSV, and SARS-CoV-2 peaked at approximatelythe same time. HMPV was also widely circulating. We designed novelhydrolysis probe RT-PCR assays for different IAV subtype markers todiscern that the dominant circulating IAV subtype was H3N2. We showthat wastewater data can be used to identify the onset and offsetof wastewater disease occurrence events. This information can provideinsight into disease epidemiology and timely, localized informationto inform hospital staffing and clinical decision making to respondto circulating viruses. Whereas RSV and IAV wastewater events weremostly regionally coherent, HMPV events displayed localized occurrencepatterns.</t>
  </si>
  <si>
    <t xml:space="preserve">[Boehm, Alexandria. B. B.; Bidwell, Amanda] Stanford Univ, Sch Engn, Dept Civil &amp; Environm Engn, Stanford, CA 94305 USA; [Boehm, Alexandria. B. B.; Wolfe, Marlene. K. K.] Stanford Univ, Doerr Sch Sustainabil, Stanford, CA 94305 USA; [Wolfe, Marlene. K. K.] Emory Univ, Rollins Sch Publ Hlth, Gangarosa Dept Environm Hlth, Atlanta, GA 30322 USA; [White, Bradley. L. L.; Hughes, Bridgette; Duong, Dorothea] Verily Life Sci, South San Francisco, CA 94080 USA</t>
  </si>
  <si>
    <t xml:space="preserve">Stanford University; Stanford University; Emory University; Rollins School Public Health</t>
  </si>
  <si>
    <t xml:space="preserve">Boehm, AB (corresponding author), Stanford Univ, Sch Engn, Dept Civil &amp; Environm Engn, Stanford, CA 94305 USA.;Boehm, AB (corresponding author), Stanford Univ, Doerr Sch Sustainabil, Stanford, CA 94305 USA.</t>
  </si>
  <si>
    <t xml:space="preserve">aboehm@stanford.edu</t>
  </si>
  <si>
    <t xml:space="preserve">Boehm, Alexandria/0000-0002-8162-5090; Bidwell, Amanda/0000-0002-3655-4019</t>
  </si>
  <si>
    <t xml:space="preserve">CDC Foundation; Sergey Brin Family Foundation</t>
  </si>
  <si>
    <t xml:space="preserve">CDC Foundation(United States Department of Health &amp; Human ServicesCenters for Disease Control &amp; Prevention - USA); Sergey Brin Family Foundation</t>
  </si>
  <si>
    <t xml:space="preserve">We acknowledge the numerous people who contributed to wastewater sample collection, Allegra Koch for support with the literature review, and Alexander Yu for suggestions on the draft manuscript. TOC art was created with BioRender.com. This research was performed on the ancestral and unceded lands of the Muwekma Ohlone people. We pay our respects to them and their Elders, past and present, and are grateful for the opportunity to live and work here. This work is supported by gifts from the CDC Foundation and the Sergey Brin Family Foundation.</t>
  </si>
  <si>
    <t xml:space="preserve">AMER CHEMICAL SOC</t>
  </si>
  <si>
    <t xml:space="preserve">WASHINGTON</t>
  </si>
  <si>
    <t xml:space="preserve">1155 16TH ST, NW, WASHINGTON, DC 20036 USA</t>
  </si>
  <si>
    <t xml:space="preserve">2328-8930</t>
  </si>
  <si>
    <t xml:space="preserve">ENVIRON SCI TECH LET</t>
  </si>
  <si>
    <t xml:space="preserve">Environ. Sci. Technol. Lett.</t>
  </si>
  <si>
    <t xml:space="preserve">JUL 20</t>
  </si>
  <si>
    <t xml:space="preserve">10.1021/acs.estlett.3c00385</t>
  </si>
  <si>
    <t xml:space="preserve">JUL 2023</t>
  </si>
  <si>
    <t xml:space="preserve">Engineering, Environmental; Environmental Sciences</t>
  </si>
  <si>
    <t xml:space="preserve">Engineering; Environmental Sciences &amp; Ecology</t>
  </si>
  <si>
    <t xml:space="preserve">O2PZ6</t>
  </si>
  <si>
    <t xml:space="preserve">hybrid, Green Published</t>
  </si>
  <si>
    <t xml:space="preserve">WOS:001033081300001</t>
  </si>
  <si>
    <t xml:space="preserve">Morris, SK; Pell, LG; Rahman, MZ; Dimitris, MC; Mahmud, A; Islam, MM; Ahmed, T; Pullenayegum, E; Kashem, T; Shanta, SS; Gubbay, J; Papp, E; Science, M; Zlotkin, S; Roth, DE</t>
  </si>
  <si>
    <t xml:space="preserve">Morris, Shaun K.; Pell, Lisa G.; Rahman, Mohammed Ziaur; Dimitris, Michelle C.; Mahmud, Abdullah; Islam, M. Munirul; Ahmed, Tahmeed; Pullenayegum, Eleanor; Kashem, Tahmid; Shanta, Shaila S.; Gubbay, Jonathan; Papp, Eszter; Science, Michelle; Zlotkin, Stanley; Roth, Daniel E.</t>
  </si>
  <si>
    <t xml:space="preserve">Maternal vitamin D supplementation during pregnancy and lactation to prevent acute respiratory infections in infancy in Dhaka, Bangladesh (MDARI trial): protocol for a prospective cohort study nested within a randomized controlled trial</t>
  </si>
  <si>
    <t xml:space="preserve">BMC PREGNANCY AND CHILDBIRTH</t>
  </si>
  <si>
    <t xml:space="preserve">Vitamin D; Pregnancy; Infant; Acute respiratory infection; Pneumonia; Influenza; Respiratory syncytial virus; Streptococcus pneumoniae; Bangladesh</t>
  </si>
  <si>
    <t xml:space="preserve">25-HYDROXYVITAMIN D LEVEL; TRACT INFECTION; NUTRITIONAL RICKETS; VIRUS; RISK; ASSOCIATION; INFLUENZA; CHILDREN; BURDEN; LL-37</t>
  </si>
  <si>
    <t xml:space="preserve">Background: Early infancy is a high-risk period for severe acute respiratory infection (ARI), particularly in low-income countries with resource-limited health systems. Lower respiratory tract infection (LRTI) is commonly preceded by upper respiratory infection (URTI), and often caused by respiratory syncytial virus (RSV), influenza and other common community-acquired viral pathogens. Vitamin D status is a candidate modifiable early-life determinant of the host antiviral immune response and thus may influence the risk of ARI-associated morbidity in high-risk populations. Methods/Design: In the Maternal Vitamin D for Infant Growth (MDIG) study in Dhaka, Bangladesh (NCT01924013), 1300 pregnant women are randomized to one of five groups: placebo, 4200 IU/week, 16,800 IU/week, or 28,000 IU/week from 2nd trimester to delivery plus placebo from 0-6 months postpartum; or, 28,000 IU/week prenatal and until 6-months postpartum. In the Maternal Vitamin D for ARI in Infancy (MDARI) sub-study nested within the MDIG trial, trained personnel conduct weekly postnatal home visits to inquire about ARI symptoms and conduct a standardized clinical assessment. Supplementary home visits between surveillance visits are conducted when caregivers make phone notifications of new infant symptoms. Mid-turbinate nasal swab samples are obtained from infants who meet standardized clinical ARI criteria. Specimens are tested by polymerase chain reaction (PCR) for 8 viruses (influenza A/B, parainfluenza 1/2/3, RSV, adenovirus, and human metapneumovirus), and nasal carriage density of Streptococcus pneumoniae. The primary outcome is the incidence rate of microbiologically-positive viral ARI, using incidence rate ratios to estimate between-group differences. We hypothesize that among infants 0-6 months of age, the incidence of microbiologically-confirmed viral ARI will be significantly lower in infants whose mothers received high-dose prenatal/postpartum vitamin D supplements versus placebo. Secondary outcomes include incidence of ARI associated with specific pathogens (influenza A or B, RSV), clinical ARI, and density of pneumococcal carriage. Discussion: If shown to reduce the risk of viral ARI in infancy, integration of maternal prenatal/postpartum vitamin D supplementation into antenatal care programs in South Asia may be a feasible primary preventive strategy to reduce the burden of ARI-associated morbidity and mortality in young infants.</t>
  </si>
  <si>
    <t xml:space="preserve">[Morris, Shaun K.; Gubbay, Jonathan; Science, Michelle; Zlotkin, Stanley; Roth, Daniel E.] Univ Toronto, Dept Paediat, 555 Univ Ave, Toronto, ON, Canada; [Morris, Shaun K.; Gubbay, Jonathan; Science, Michelle; Zlotkin, Stanley; Roth, Daniel E.] Hosp Sick Children, 555 Univ Ave, Toronto, ON, Canada; [Morris, Shaun K.; Pell, Lisa G.; Dimitris, Michelle C.; Papp, Eszter; Zlotkin, Stanley; Roth, Daniel E.] Hosp Sick Children, SickKids Res Inst, Ctr Global Child Hlth, 686 Bay St, Toronto, ON, Canada; [Morris, Shaun K.; Pullenayegum, Eleanor; Zlotkin, Stanley; Roth, Daniel E.] Hosp Sick Children, SickKids Res Inst, Child Hlth Evaluat Sci, 686 Bay St, Toronto, ON, Canada; [Rahman, Mohammed Ziaur] Icddr B, Ctr Communicable Dis, Zoonot Dis Res Grp, 68 Shaheed Tajuddin Ahmed Sarani, Dhaka 1212, Bangladesh; [Mahmud, Abdullah] Icddr B, Ctr Child &amp; Adolescent Hlth, 68 Shaheed Tajuddin Ahmed Sarani, Dhaka 1212, Bangladesh; [Islam, M. Munirul; Ahmed, Tahmeed; Kashem, Tahmid; Shanta, Shaila S.] Icddr B, Ctr Nutr &amp; Food Secur, 68 Shaheed Tajuddin Ahmed Sarani, Dhaka 1212, Bangladesh; [Gubbay, Jonathan] Publ Hlth Ontario, 661 Univ Ave, Toronto, ON, Canada; [Morris, Shaun K.; Science, Michelle] Hosp Sick Children, Div Infect Dis, 555 Univ Ave, Toronto, ON M5G 1X8, Canada</t>
  </si>
  <si>
    <t xml:space="preserve">University of Toronto; University of Toronto; Hospital for Sick Children (SickKids); University of Toronto; Hospital for Sick Children (SickKids); University of Toronto; Hospital for Sick Children (SickKids); International Centre for Diarrhoeal Disease Research (ICDDR); International Centre for Diarrhoeal Disease Research (ICDDR); International Centre for Diarrhoeal Disease Research (ICDDR); University of Toronto; Hospital for Sick Children (SickKids)</t>
  </si>
  <si>
    <t xml:space="preserve">Morris, SK (corresponding author), Univ Toronto, Dept Paediat, 555 Univ Ave, Toronto, ON, Canada.;Morris, SK (corresponding author), Hosp Sick Children, 555 Univ Ave, Toronto, ON, Canada.;Morris, SK (corresponding author), Hosp Sick Children, SickKids Res Inst, Ctr Global Child Hlth, 686 Bay St, Toronto, ON, Canada.;Morris, SK (corresponding author), Hosp Sick Children, SickKids Res Inst, Child Hlth Evaluat Sci, 686 Bay St, Toronto, ON, Canada.;Morris, SK (corresponding author), Hosp Sick Children, Div Infect Dis, 555 Univ Ave, Toronto, ON M5G 1X8, Canada.</t>
  </si>
  <si>
    <t xml:space="preserve">shaun.morris@sickkids.ca</t>
  </si>
  <si>
    <t xml:space="preserve">Zlotkin, Stanley/JDW-3899-2023; Pell, Lisa/KFQ-1978-2024; Papp, Eszter/AAC-6528-2021; Pullenayegum, Eleanor/AAT-1712-2020; Gubbay, Jonathan/Q-8580-2019; Roth, Daniel/KFR-3099-2024; Morris, Shaun/KGL-8778-2024</t>
  </si>
  <si>
    <t xml:space="preserve">Gubbay, Jonathan/0000-0003-0026-3786</t>
  </si>
  <si>
    <t xml:space="preserve">Bill and Melinda Gates Foundation (BMGF) [OPP1066764]</t>
  </si>
  <si>
    <t xml:space="preserve">Bill and Melinda Gates Foundation (BMGF)(Bill &amp; Melinda Gates Foundation)</t>
  </si>
  <si>
    <t xml:space="preserve">The trial is funded by the Bill and Melinda Gates Foundation (BMGF, OPP1066764). The funder was not involved in the design of the study, collection, analysis and interpretation of data, writing of the manuscript, or the decision to submit the manuscript for publication.</t>
  </si>
  <si>
    <t xml:space="preserve">BMC</t>
  </si>
  <si>
    <t xml:space="preserve">LONDON</t>
  </si>
  <si>
    <t xml:space="preserve">CAMPUS, 4 CRINAN ST, LONDON N1 9XW, ENGLAND</t>
  </si>
  <si>
    <t xml:space="preserve">1471-2393</t>
  </si>
  <si>
    <t xml:space="preserve">BMC PREGNANCY CHILDB</t>
  </si>
  <si>
    <t xml:space="preserve">BMC Pregnancy Childbirth</t>
  </si>
  <si>
    <t xml:space="preserve">OCT 13</t>
  </si>
  <si>
    <t xml:space="preserve">10.1186/s12884-016-1103-9</t>
  </si>
  <si>
    <t xml:space="preserve">Obstetrics &amp; Gynecology</t>
  </si>
  <si>
    <t xml:space="preserve">DZ5CD</t>
  </si>
  <si>
    <t xml:space="preserve">WOS:000385878600001</t>
  </si>
  <si>
    <t xml:space="preserve">Jung, HS; Kang, BJ; Ra, SW; Seo, KW; Jegal, Y; Jun, JB; Jung, J; Jeong, J; Jeon, HJ; Ahn, JS; Lee, T; Ahn, JJ</t>
  </si>
  <si>
    <t xml:space="preserve">Jung, Hwa Sik; Kang, Byung Ju; Ra, Seung Won; Seo, Kwang Won; Jegal, Yangjin; Jun, Jae-Bum; Jung, Jiwon; Jeong, Joseph; Jeon, Hee-Jeong; Ahn, Jae-Sung; Lee, Taehoon; Ahn, Jong Joon</t>
  </si>
  <si>
    <t xml:space="preserve">Elucidation of Bacterial Pneumonia-Causing Pathogens in Patients with Respiratory Viral Infection</t>
  </si>
  <si>
    <t xml:space="preserve">TUBERCULOSIS AND RESPIRATORY DISEASES</t>
  </si>
  <si>
    <t xml:space="preserve">Viruses; Influenza; Pneumonia</t>
  </si>
  <si>
    <t xml:space="preserve">COMMUNITY-ACQUIRED PNEUMONIA; REQUIRING HOSPITALIZATION; COINFECTION; INFLUENZA; CHILDREN; VIRUS</t>
  </si>
  <si>
    <t xml:space="preserve">Background: Bacterial pneumonia occurring after respiratory viral infection is common. However, the predominant bacterial species causing pneumonia secondary to respiratory viral infections other than influenza remain unknown. The purpose of this study was to know whether the pathogens causing post-viral bacterial pneumonia vary according to the type of respiratory virus. Methods: Study subjects were 5,298 patients, who underwent multiplex real-time polymerase chain reaction for simultaneous detection of respiratory viruses, among who visited the emergency department or outpatient clinic with respiratory symptoms at Ulsan University Hospital between April 2013 and March 2016. The patients' medical records were retrospectively reviewed. Results: A total of 251 clinically significant bacteria were identified in 233 patients with post-viral bacterial pneumonia. Mycoplasma pneumoniae was the most frequent bacterium in patients aged &lt;16 years, regardless of the preceding virus type (p=0.630). In patients aged &gt;= 16 years, the isolated bacteria varied according to the preceding virus type. The major results were as follows (p&lt;0.001): pneumonia in patients with influenza virus (type A/B), rhinovirus, and human metapneumovirus infections was caused by similar bacteria, and the findings indicated that Staphylococcus aureus pneumonia was very common in these patients. In contrast, coronavirus, parainfluenza virus, and respiratory syncytial virus infections were associated with pneumonia caused by gram-negative bacteria. Conclusion: The pathogens causing post-viral bacterial pneumonia vary according to the type of preceding respiratory virus. This information could help in selecting empirical antibiotics in patients with post-viral pneumonia.</t>
  </si>
  <si>
    <t xml:space="preserve">[Jung, Hwa Sik; Kang, Byung Ju; Ra, Seung Won; Seo, Kwang Won; Jegal, Yangjin; Jun, Jae-Bum; Jung, Jiwon; Jeon, Hee-Jeong; Ahn, Jae-Sung; Lee, Taehoon; Ahn, Jong Joon] Univ Ulsan, Coll Med, Ulsan Univ Hosp, Dept Internal Med, Ulsan, South Korea; [Jeong, Joseph] Univ Ulsan, Coll Med, Ulsan Univ Hosp, Dept Lab Med, Ulsan, South Korea</t>
  </si>
  <si>
    <t xml:space="preserve">University of Ulsan; Ulsan University Hospital; University of Ulsan; Ulsan University Hospital</t>
  </si>
  <si>
    <t xml:space="preserve">Lee, T; Ahn, JJ (corresponding author), Univ Ulsan, Coll Med, Ulsan Univ Hosp, Dept Internal Med,Div Resp &amp; Crit Care Med, 877 Bangeojinsunhwan Doro, Ulsan 44033, South Korea.</t>
  </si>
  <si>
    <t xml:space="preserve">ddol1996@hanmail.net; drahnjj@gmail.com</t>
  </si>
  <si>
    <t xml:space="preserve">Jegal, Yangjin/ABA-5908-2020; Lee, Taehoon/AHA-1437-2022; Ra, Seung Won/KYI-0974-2024</t>
  </si>
  <si>
    <t xml:space="preserve">Ra, Seung Won/0000-0002-2458-8414; Lee, Taehoon/0000-0002-9224-0866</t>
  </si>
  <si>
    <t xml:space="preserve">Ulsan University Hospital (Biomedical Research Center Promotion Fund) [UUH-06-15]</t>
  </si>
  <si>
    <t xml:space="preserve">Ulsan University Hospital (Biomedical Research Center Promotion Fund)</t>
  </si>
  <si>
    <t xml:space="preserve">This work was funded by Ulsan University Hospital (Biomedical Research Center Promotion Fund, UUH-06-15).</t>
  </si>
  <si>
    <t xml:space="preserve">THE KOREAN ACAD TUBERCULOSIS &amp; RESPIRATORY DISEASES</t>
  </si>
  <si>
    <t xml:space="preserve">SEOUL</t>
  </si>
  <si>
    <t xml:space="preserve">101-605, 58, Banpo-daero, Seocho-gu, SEOUL, SOUTH KOREA</t>
  </si>
  <si>
    <t xml:space="preserve">1738-3536</t>
  </si>
  <si>
    <t xml:space="preserve">2005-6184</t>
  </si>
  <si>
    <t xml:space="preserve">TUBERC RESP DIS</t>
  </si>
  <si>
    <t xml:space="preserve">TUBERC. RESP. DIS.</t>
  </si>
  <si>
    <t xml:space="preserve">OCT</t>
  </si>
  <si>
    <t xml:space="preserve">10.4046/trd.2017.0044</t>
  </si>
  <si>
    <t xml:space="preserve">Respiratory System</t>
  </si>
  <si>
    <t xml:space="preserve">Emerging Sources Citation Index (ESCI)</t>
  </si>
  <si>
    <t xml:space="preserve">FV1AJ</t>
  </si>
  <si>
    <t xml:space="preserve">Green Published, gold, Green Submitted</t>
  </si>
  <si>
    <t xml:space="preserve">WOS:000424293100006</t>
  </si>
  <si>
    <t xml:space="preserve">Bedolla-Barajas, M; Montero, H; Morales-Romero, J; Landa-Cardeña, A; Díaz, J; Delgado-Figueroa, N; Orozco-Alatorre, LG</t>
  </si>
  <si>
    <t xml:space="preserve">Bedolla-Barajas, Martin; Montero, Hilda; Morales-Romero, Jaime; Landa-Cardena, Adriana; Diaz, Jahaziel; Delgado-Figueroa, Netzahualpilli; Gustavo Orozco-Alatorre, Luis</t>
  </si>
  <si>
    <t xml:space="preserve">Prevalence of respiratory viruses in wheezing children not older than 24 months of age</t>
  </si>
  <si>
    <t xml:space="preserve">GACETA MEDICA DE MEXICO</t>
  </si>
  <si>
    <t xml:space="preserve">Virus; Wheezing; Children; Respiratory; Virus; Asthma</t>
  </si>
  <si>
    <t xml:space="preserve">HUMAN METAPNEUMOVIRUS; CLINICAL CHARACTERISTICS; INFECTION; INFANTS; ILLNESS; SEVERITY; ETIOLOGY; EPISODE; MEXICO; ASTHMA</t>
  </si>
  <si>
    <t xml:space="preserve">Introduction: Wheezing in children not older than 24 months of age is a frequent event, and viruses are usually the causative agents. The aim of the study was to estimate the prevalence of respiratory viruses in wheezing children who were not older than 24 months of age and who had no history of asthma. Methods: Fifty-five Mexican children were included in an analytical cross-sectional study. Nasal secretions were obtained by using sterile rayon-tipped applicators to identify the virus by polymerase chain reaction or reverse transcription-polymerase chain reaction: adenovirus, bocavirus, human rhinovirus, influenza virus type A, human metapneumovirus, parainfluenza, rhinovirus, and respiratory syncytial virus. The prevalence of viral etiology was estimated by dividing the frequency of the identified virus by the number of participants. Ninety-five percent confidence intervals for proportions were calculated. Results: Most of the patients were male (35/55, 63.6%). The average time of evolution of wheezing episode was 3 days. The third part of enrolled population were receiving antibiotics. Respiratory viruses were detected in 33 (60%; 95% CI: 46.8-71.9%) out of 55 cases, and viral coinfection was detected in five cases (9.1%; 95% CI: 3.5-19.9%). Human metapneumovirus was the most frequently identified virus (23.6%), followed by bocavirus (14.5%), respiratory syncytial virus and rhinovirus (12.7% each), and to a lesser extent influenza virus type A and parainfluenza. Rhinovirus was the predominant virus in outpatient children (28.6%). In the inpatient emergency room and inhalotherapy room, human metapneumovirus predominated (41.2 and 16.1%, respectively). Conclusion: bocavirus and human metapneumovirus were the most frequently identified viruses in Mexican children who were &lt; 2 years of age, suffered from wheezing, and had no history of asthma.</t>
  </si>
  <si>
    <t xml:space="preserve">[Bedolla-Barajas, Martin; Delgado-Figueroa, Netzahualpilli; Gustavo Orozco-Alatorre, Luis] Nuevo Hosp Civil Guadalajara Dr Juan I Menchaca, Guadalajara, Jalisco, Mexico; [Montero, Hilda; Morales-Romero, Jaime; Landa-Cardena, Adriana; Diaz, Jahaziel] Univ Veracruzana, Inst Salud Publ, Xalapa, Veracruz, Mexico</t>
  </si>
  <si>
    <t xml:space="preserve">Universidad Veracruzana</t>
  </si>
  <si>
    <t xml:space="preserve">Bedolla-Barajas, M (corresponding author), Salvador Quevedo &amp; Zubieta,750 Col Perla, Guadalajara, Jal, Mexico.</t>
  </si>
  <si>
    <t xml:space="preserve">drmbedbar@gmail.com</t>
  </si>
  <si>
    <t xml:space="preserve">Diaz Vallejo, Joel/KEJ-1550-2024; Montero, Hilda/IUQ-8136-2023; Morales-Romero, Jaime/A-1442-2012; Delgado Figueroa, Netzahualpilli/D-3632-2014; Bedolla-Barajas, Martin/AFQ-5082-2022</t>
  </si>
  <si>
    <t xml:space="preserve">Diaz Vallejo, Joel Jahaziel/0000-0003-4927-7214; Delgado Figueroa, Netzahualpilli/0000-0001-7759-6170; Morales-Romero, Jaime/0000-0002-1492-1797; Bedolla-Barajas, Martin/0000-0003-4915-1582; Montero, Hilda/0000-0001-8090-4103</t>
  </si>
  <si>
    <t xml:space="preserve">ACAD NACIONAL MEDICINA MEXICO</t>
  </si>
  <si>
    <t xml:space="preserve">MEXICO</t>
  </si>
  <si>
    <t xml:space="preserve">CENTRO MEDICO NACIONAL SIGLO XXI, UNIDAD CONGRESOS, GLOQUE B, PROMER PISO, MEXICO, DF 06725, MEXICO</t>
  </si>
  <si>
    <t xml:space="preserve">0016-3813</t>
  </si>
  <si>
    <t xml:space="preserve">GAC MED MEX</t>
  </si>
  <si>
    <t xml:space="preserve">Gac. Med. Mex.</t>
  </si>
  <si>
    <t xml:space="preserve">MAY-JUN</t>
  </si>
  <si>
    <t xml:space="preserve">Medicine, General &amp; Internal</t>
  </si>
  <si>
    <t xml:space="preserve">General &amp; Internal Medicine</t>
  </si>
  <si>
    <t xml:space="preserve">FE7PN</t>
  </si>
  <si>
    <t xml:space="preserve">WOS:000408399500006</t>
  </si>
  <si>
    <t xml:space="preserve">Zoll, J; Rahamat-Langendoen, J; Ahout, I; de Jonge, MI; Jans, J; Huijnen, MA; Ferwerda, G; Warris, A; Melchers, WJG</t>
  </si>
  <si>
    <t xml:space="preserve">Zoll, Jan; Rahamat-Langendoen, Janette; Ahout, Inge; de Jonge, Marien I.; Jans, Jop; Huijnen, Martijn A.; Ferwerda, Gerben; Warris, Adilia; Melchers, Willem J. G.</t>
  </si>
  <si>
    <t xml:space="preserve">Direct multiplexed whole genome sequencing of respiratory tract samples reveals full viral genomic information</t>
  </si>
  <si>
    <t xml:space="preserve">JOURNAL OF CLINICAL VIROLOGY</t>
  </si>
  <si>
    <t xml:space="preserve">Virus; Respiratory tract; Infection; Whole genome sequencing</t>
  </si>
  <si>
    <t xml:space="preserve">VIRUS; INFECTIONS; CHILDREN</t>
  </si>
  <si>
    <t xml:space="preserve">Background: Acute respiratory tract infections (RTI) cause substantial morbidity during childhood, and are responsible for the majority of pediatric infectious diseases. Although most acute RTI are thought to be of viral origin, viral etiology is still unknown in a significant number of cases. Objectives: Multiplexed whole genome sequencing (WGS) was used for virome determination directly on clinical samples as proof of principle for the use of deep sequencing techniques in clinical diagnosis of viral infections. Study design: WGS was performed with nucleic acids from sputum and nasopharyngeal aspirates from four pediatric patients with known respiratory tract infections (two patients with human rhinovirus, one patient with human metapneumovirus and one patient with respiratory syncytial virus), and from four pediatric patients with PCR-negative RTI, and two control samples. Results: Viral infections detected by routine molecular diagnostic methods were confirmed by WGS; in addition, typing information of the different viruses was generated. In three out of four samples from pediatric patients with PCR-negative respiratory tract infections and the two control samples, no causative viral pathogens could be detected. In one sample from a patient with PCR-negative RTI, rhinovirus type-C was detected. Almost complete viral genomes could be assembled and in all cases virus species could be determined. Conclusions: Our study shows that, in a single run, viral pathogens can be detected and characterized, providing information for clinical assessment and epidemiological studies. We conclude that WGS is a powerful tool in clinical virology that delivers comprehensive information on the viral content of clinical samples. (C) 2015 Elsevier B.V. All rights reserved.</t>
  </si>
  <si>
    <t xml:space="preserve">[Zoll, Jan; Rahamat-Langendoen, Janette; Melchers, Willem J. G.] Radboudumc, Dept Med Microbiol, Nijmegen, Netherlands; [Ahout, Inge; de Jonge, Marien I.; Jans, Jop; Ferwerda, Gerben; Warris, Adilia] Radboudumc, Dept Pediat, Lab Pediat Infect Dis, Nijmegen, Netherlands; [Huijnen, Martijn A.] Radboudumc, Ctr Mol &amp; Biomol Informat, Nijmegen, Netherlands</t>
  </si>
  <si>
    <t xml:space="preserve">Radboud University Nijmegen; Radboud University Nijmegen; Radboud University Nijmegen</t>
  </si>
  <si>
    <t xml:space="preserve">Zoll, J (corresponding author), Radboudumc, Dept Med Microbiol, Nijmegen, Netherlands.</t>
  </si>
  <si>
    <t xml:space="preserve">jan.zoll@radboudumc.nl</t>
  </si>
  <si>
    <t xml:space="preserve">Rahamat-Langendoen, J.C./L-4589-2015; Warris, A./L-4745-2015; de Jonge, Marien/P-5869-2015; Ahout, Inge/P-8666-2015; Zoll, Jan/HJB-1123-2022; Jans, Jop/G-5066-2016; Huijnen, M.A./H-8051-2014; Melchers, Willem/C-8819-2015</t>
  </si>
  <si>
    <t xml:space="preserve">Ahout, Inge/0009-0006-4035-0840; Melchers, Willem/0000-0002-5446-2230; Warris, Adilia/0000-0001-6586-3358</t>
  </si>
  <si>
    <t xml:space="preserve">Agentschap NL, LSH (VIRGO project) [FES0908]; Technology Foundation STW [FES0901, FES HTSM]; Netherlands Genomics Initiative Project [050-060-452]; EU (FP7)</t>
  </si>
  <si>
    <t xml:space="preserve">Agentschap NL, LSH (VIRGO project); Technology Foundation STW(Technologiestichting STW); Netherlands Genomics Initiative Project; EU (FP7)(European Union (EU))</t>
  </si>
  <si>
    <t xml:space="preserve">This research was funded by Agentschap NL, LSH, grant FES0908 (VIRGO project), Technology Foundation STW (FES0901 and FES HTSM), Netherlands Genomics Initiative Project No. 050-060-452, and EU (FP7).</t>
  </si>
  <si>
    <t xml:space="preserve">ELSEVIER</t>
  </si>
  <si>
    <t xml:space="preserve">AMSTERDAM</t>
  </si>
  <si>
    <t xml:space="preserve">RADARWEG 29, 1043 NX AMSTERDAM, NETHERLANDS</t>
  </si>
  <si>
    <t xml:space="preserve">1386-6532</t>
  </si>
  <si>
    <t xml:space="preserve">1873-5967</t>
  </si>
  <si>
    <t xml:space="preserve">J CLIN VIROL</t>
  </si>
  <si>
    <t xml:space="preserve">J. Clin. Virol.</t>
  </si>
  <si>
    <t xml:space="preserve">MAY</t>
  </si>
  <si>
    <t xml:space="preserve">10.1016/j.jcv.2015.02.010</t>
  </si>
  <si>
    <t xml:space="preserve">CF6YE</t>
  </si>
  <si>
    <t xml:space="preserve">Green Published, Bronze, Green Accepted</t>
  </si>
  <si>
    <t xml:space="preserve">WOS:000352702000002</t>
  </si>
  <si>
    <t xml:space="preserve">Evren, G; Besci, T; Appak, O; Sayiner, AA; Arslan, G; Duman, M</t>
  </si>
  <si>
    <t xml:space="preserve">Evren, Gueltac; Besci, Tolga; Appak, Oezguer; Sayiner, Ayca Arzu; Arslan, Gazi; Duman, Murat</t>
  </si>
  <si>
    <t xml:space="preserve">Epidemiology and Acute Respiratory Distress Syndrome Propensity of Viral Respiratory Infections in Pediatric Intensive Care Units Prior to the Coronavirus Disease 2019 Pandemic</t>
  </si>
  <si>
    <t xml:space="preserve">JOURNAL OF PEDIATRIC INFECTIOUS DISEASES</t>
  </si>
  <si>
    <t xml:space="preserve">virus; respiratory infection; pediatric intensive care; epidemiology; ARDS</t>
  </si>
  <si>
    <t xml:space="preserve">ACUTE LUNG INJURY; SYNCYTIAL VIRUS; CHILDREN; MULTICENTER; COINFECTION; PREVALENCE; OUTCOMES; BURDEN</t>
  </si>
  <si>
    <t xml:space="preserve">This study aimed to determine the epidemiology and acute respiratory distress syndrome (ARDS) propensity of common respiratory viruses in a tertiary pediatric intensive care unit (PICU) among hospitalized children who were tested for respiratory viruses by polymerase chain reaction (PCR) prior to the coronavirus disease 2019 (COVID-19) pandemic. Respiratory tract samples were collected from patients who were followed up in the Dokuz Eylul University Hospital pediatric intensive care unit between March 2015 and March 2020 and tested for viral pathogens. The results of 269 patients between 1 month and 18 years of age were evaluated retrospectively. In the 5 years preceding the COVID-19 pandemic, 269 patients with a lower respiratory infection were admitted to the PICU. A positive viral PCR result was detected in 160 patients (59.5%). Human rhinovirus was the most common virus (40%), followed by respiratory syncytial virus (26.3%), human bocavirus (10%), and seasonal coronaviruses (10%). Five (33.3%) of the fifteen children who developed ARDS were infected with influenza A/B, while four (26.7%) were infected with human metapneumovirus (hMPV). Although rhinovirus was the most common viral agent in critically ill children, the incidence of ARDS was higher in children aged over 1 year who had influenza or hMPV infection.</t>
  </si>
  <si>
    <t xml:space="preserve">[Evren, Gueltac] Manisa City Hosp, Pediat Intens Care Unit, Manisa, Turkiye; [Besci, Tolga] Izmir Buca Seyfi Demirsoy Training &amp; Res Hosp, Pediat Intens Care Unit, Izmir, Turkiye; [Appak, Oezguer; Sayiner, Ayca Arzu] Dokuz Eylul Univ, Fac Med Med Microbiol, Izmir, Turkiye; [Arslan, Gazi] Dokuz Eylul Univ, Pediat Intens Care Unit, Fac Med, Izmir, Turkiye; [Duman, Murat] Dokuz Eylul Univ, Pediat Emergency Care, Fac Med, Izmir, Turkiye</t>
  </si>
  <si>
    <t xml:space="preserve">Dokuz Eylul University; Dokuz Eylul University; Dokuz Eylul University</t>
  </si>
  <si>
    <t xml:space="preserve">Evren, G (corresponding author), Manisa City Hosp, Pediat Intens Care Unit, Manisa, Turkiye.</t>
  </si>
  <si>
    <t xml:space="preserve">gultacevren@gmail.com</t>
  </si>
  <si>
    <t xml:space="preserve">Sayıner, Ayca/P-2220-2019; besci, tolga/GPF-5875-2022; evren, gultac/JBJ-2875-2023; arslan, gazi/AAM-5214-2021</t>
  </si>
  <si>
    <t xml:space="preserve">evren, gultac/0000-0002-0614-0894; arslan, gazi/0000-0002-8616-3761</t>
  </si>
  <si>
    <t xml:space="preserve">GEORG THIEME VERLAG KG</t>
  </si>
  <si>
    <t xml:space="preserve">STUTTGART</t>
  </si>
  <si>
    <t xml:space="preserve">RUDIGERSTR 14, D-70469 STUTTGART, GERMANY</t>
  </si>
  <si>
    <t xml:space="preserve">1305-7707</t>
  </si>
  <si>
    <t xml:space="preserve">1305-7693</t>
  </si>
  <si>
    <t xml:space="preserve">J PEDIAT INF DIS-GER</t>
  </si>
  <si>
    <t xml:space="preserve">J. Pediatr. Infect. Dis.</t>
  </si>
  <si>
    <t xml:space="preserve">10.1055/s-0042-1760410</t>
  </si>
  <si>
    <t xml:space="preserve">JAN 2023</t>
  </si>
  <si>
    <t xml:space="preserve">Infectious Diseases; Pediatrics</t>
  </si>
  <si>
    <t xml:space="preserve">9D3VU</t>
  </si>
  <si>
    <t xml:space="preserve">WOS:000908398400001</t>
  </si>
  <si>
    <t xml:space="preserve">Arden, KE; McErlean, P; Nissen, MD; Sloots, TP; Mackay, IM</t>
  </si>
  <si>
    <t xml:space="preserve">Arden, Katherine E.; McErlean, Peter; Nissen, Michael D.; Sloots, Theo P.; Mackay, Ian M.</t>
  </si>
  <si>
    <t xml:space="preserve">Frequent detection of human rhinoviruses, paramyxoviruses, coronaviruses, and bocavirus during acute respiratory tract infections</t>
  </si>
  <si>
    <t xml:space="preserve">virus; respiratory infection; epidemiology; RT-PCR; diagnostics</t>
  </si>
  <si>
    <t xml:space="preserve">POLYMERASE CHAIN-REACTION; TRANSCRIPTASE-PCR ASSAY; CLINICAL SPECIMENS; SYNCYTIAL-VIRUS; DIAGNOSIS; DISCRIMINATION; RNA; DNA</t>
  </si>
  <si>
    <t xml:space="preserve">Viruses are the major cause of pediatric acute respiratory tract infection (ARTI) and yet many suspected cases of infection remain uncharacterized. We employed 17 PCR assays and retrospectively screened 315 specimens selected by season from a predominantly pediatric hospital-based population. Before the Brisbane respiratory virus research study commenced, one or more predominantly viral pathogens had been detected in 15.2% (n = 48) of all specimens. The Brisbane study made an additional 206 viral detections, resulting in the identification of a microbe in 67.0% of specimens. After our study, the majority of microbes detected were RNA viruses (89.9%). Overall, human rhinoviruses (HRVs) were the most frequently identified target (n=140) followed by human adenoviruses (HAdVs; n = 25), human metapneumovirus (HMPV; n=18), human bocavirus (HBoV; n = 15), human respiratory syncytial virus (HRSV; n = 12), human coronaviruses (HCoVs; n = 11), and human herpesvirus-6 (n = 11). HRVs were the sole microbe detected in 37.8% (n = 31) of patients with suspected lower respiratory tract infection (LRTI). Genotyping of the HRV VP4/VP2 region resulted in a proposed subdivision of HRV type A into sublineages A1 and A2. Most of the genotyped HAdV strains were found to be type C. This study describes the high microbial burden imposed by HRVs, HMPV, HRSV, HCoVs, and the newly identified virus, HBoV on a predominantly paediatric hospital population with suspected acute respiratory tract infections and proposes a new formulation of viral targets for future diagnostic research studies.</t>
  </si>
  <si>
    <t xml:space="preserve">Univ Queensland, Clin &amp; Med Virol Ctr, St Lucia, Qld 4067, Australia; Queensland Hlth Pathol Serv, Div Microbiol, Brisbane, Qld, Australia</t>
  </si>
  <si>
    <t xml:space="preserve">University of Queensland; Queensland Health</t>
  </si>
  <si>
    <t xml:space="preserve">ian.mackay@uq.edu.au</t>
  </si>
  <si>
    <t xml:space="preserve">Sloots, Theo/E-6118-2011; McErlean, Peter/O-5187-2016; Mackay, Ian M./B-2537-2010; Arden, Katherine/D-7970-2017; Nissen, Michael/M-6823-2013</t>
  </si>
  <si>
    <t xml:space="preserve">Mackay, Ian M./0000-0003-3598-2350; Arden, Katherine/0000-0003-3195-124X; Nissen, Michael/0000-0003-1686-3313</t>
  </si>
  <si>
    <t xml:space="preserve">10.1002/jmv.20689</t>
  </si>
  <si>
    <t xml:space="preserve">068WE</t>
  </si>
  <si>
    <t xml:space="preserve">WOS:000239404400013</t>
  </si>
  <si>
    <t xml:space="preserve">Gralton, J; Tovey, ER; McLaws, ML; Rawlinson, WD</t>
  </si>
  <si>
    <t xml:space="preserve">Gralton, Jan; Tovey, Euan R.; McLaws, Mary-Louise; Rawlinson, William D.</t>
  </si>
  <si>
    <t xml:space="preserve">Respiratory Virus RNA Is Detectable in Airborne and Droplet Particles</t>
  </si>
  <si>
    <t xml:space="preserve">virus; particle; size; transmission; airborne</t>
  </si>
  <si>
    <t xml:space="preserve">HUMAN EXHALED BREATH; INFLUENZA-VIRUS; INFECTION; AEROSOLS; SIZE; TRANSMISSION; RHINOVIRUS; EXPOSURE; CULTURE; HEALTH</t>
  </si>
  <si>
    <t xml:space="preserve">Aerosol transmission routes of respiratory viruses have been classified by the WHO on the basis of equilibrium particle size. Droplet transmission is associated with particles sized &gt;5 mu m in diameter and airborne transmission is associated with particles sized 5 mu m in diameter. Current infection control measures for respiratory viruses are directed at preventing droplet transmission, although epidemiological evidence suggests concurrent airborne transmission also occurs. Understanding the size of particles carrying viruses can be used to inform infection control procedures and therefore reduce virus transmission. This study determined the size of particles carrying respiratory viral RNA produced on coughing and breathing by 12 adults and 41 children with symptomatic respiratory infections. A modified six-stage Andersen Sampler collected expelled particles. Each stage was washed to recover samples for viral RNA extraction. Influenza A and B, parainfluenza 1, 2 and 3, respiratory syncytial virus (RSV), human metapneumovirus and human rhinoviruses (hRV) were detected using RT-PCR. On breathing, 58% of participants produced large particles (&gt;5 mu m) containing viral RNA and 80% produced small particles (5 mu m) carrying viral RNA. On coughing, 57% of participants produced large particles containing viral RNA and 82% produced small particles containing viral RNA. Forty five percent of participants produced samples positive for hRV viral RNA and 26% of participants produced samples positive for viral RNA from parainfluenza viruses. This study demonstrates that individuals with symptomatic respiratory viral infections produce both large and small particles carrying viral RNA on coughing and breathing. J. Med. Virol. 85:2151-2159, 2013. (c) 2013 Wiley Periodicals, Inc.</t>
  </si>
  <si>
    <t xml:space="preserve">[Gralton, Jan; McLaws, Mary-Louise] Univ New S Wales, Sch Publ Hlth &amp; Community Med, Sydney, NSW, Australia; [Gralton, Jan; Rawlinson, William D.] Prince Wales Hosp, Div Virol, Sydney, NSW, Australia; [Tovey, Euan R.] Univ Sydney, Woolcock Inst Med Res, Sydney, NSW 2006, Australia; [Rawlinson, William D.] Univ New S Wales, Sch Med Sci, Sydney, NSW, Australia; [Rawlinson, William D.] Univ New S Wales, Sch Biotechnol &amp; Biol Sci, Sydney, NSW, Australia</t>
  </si>
  <si>
    <t xml:space="preserve">University of New South Wales Sydney; University of New South Wales Sydney; Prince of Wales Hospital (POWH); University of Sydney; Woolcock Institute of Medical Research; University of New South Wales Sydney; University of New South Wales Sydney</t>
  </si>
  <si>
    <t xml:space="preserve">Rawlinson, WD (corresponding author), Prince Wales Hosp Randwick, SEALS Microbiol, Div Virol, Sydney, NSW 2031, Australia.</t>
  </si>
  <si>
    <t xml:space="preserve">w.rawlinson@unsw.edu.au</t>
  </si>
  <si>
    <t xml:space="preserve">Tovey, Euan/G-8604-2017</t>
  </si>
  <si>
    <t xml:space="preserve">Rawlinson, William/0000-0003-0988-7827; McLaws, Mary-Louise/0000-0003-0453-8425</t>
  </si>
  <si>
    <t xml:space="preserve">DEC</t>
  </si>
  <si>
    <t xml:space="preserve">10.1002/jmv.23698</t>
  </si>
  <si>
    <t xml:space="preserve">227ZE</t>
  </si>
  <si>
    <t xml:space="preserve">WOS:000325153400014</t>
  </si>
  <si>
    <t xml:space="preserve">Mitchell, AB; Tang, B; Shojaei, M; Barnes, LS; Nalos, M; Oliver, BG; McLean, AS</t>
  </si>
  <si>
    <t xml:space="preserve">Mitchell, Alicia B.; Tang, Benjamin; Shojaei, Maryam; Barnes, Lachlan S.; Nalos, Marek; Oliver, Brian G.; McLean, Anthony S.</t>
  </si>
  <si>
    <t xml:space="preserve">A novel sampling method to detect airborne influenza and other respiratory viruses in mechanically ventilated patients: a feasibility study</t>
  </si>
  <si>
    <t xml:space="preserve">ANNALS OF INTENSIVE CARE</t>
  </si>
  <si>
    <t xml:space="preserve">Virus; Intensive care unit; Airborne; Influenza; Ventilator</t>
  </si>
  <si>
    <t xml:space="preserve">A VIRUSES; SPREAD</t>
  </si>
  <si>
    <t xml:space="preserve">Background: Respiratory viruses circulate constantly in the ambient air. The risk of opportunistic infection from these viruses can be increased in mechanically ventilated patients. The present study evaluates the feasibility of detecting airborne respiratory viruses in mechanically ventilated patients using a novel sample collection method involving ventilator filters. Methods: We collected inspiratory and expiratory filters from the ventilator circuits of mechanically ventilated patients in an intensive care unit over a 14-month period. To evaluate whether we could detect respiratory viruses collected in these filters, we performed a reverse transcription polymerase chain reaction on the extracted filter membrane with primers specific for rhinovirus, respiratory syncytial virus, influenza virus A and B, parainfluenza virus (type 1, 2 and 3) and human metapneumovirus. For each patient, we also performed a full virology screen (virus particles, antibody titres and virus-induced biomarkers) on respiratory samples (nasopharyngeal swab, tracheal aspirate or bronchoalveolar fluid) and blood samples. Results: Respiratory viruses were detected in the ventilator filters of nearly half the patients in the study cohort (n = 33/70). The most common virus detected was influenza A virus (n = 29). There were more viruses detected in the inspiratory filters (n = 18) than in the expiratory filters (n = 15). A third of the patients with a positive virus detection in the ventilator filters had a hospital laboratory confirmed viral infection. In the remaining cases, the detected viruses were different from viruses already identified in the same patient, suggesting that these additional viruses come from the ambient air or from cross-contamination (staff or visitors). In patients in whom new viruses were detected in the ventilator filters, there was no evidence of clinical signs of an active viral infection. Additionally, the levels of virus-induced biomarker in these patients were not statistically different from those of non-infected patients (p = 0.33). Conclusions: Respiratory viruses were present within the ventilator circuits of patients receiving mechanical ventilation. Although no adverse clinical effect was evident in these patients, further studies are warranted, given the small sample size of the study and the recognition that ventilated patients are potentially susceptible to opportunistic infection from airborne respiratory viruses.</t>
  </si>
  <si>
    <t xml:space="preserve">[Mitchell, Alicia B.; Oliver, Brian G.] Univ Technol Sydney, Sch Life Sci, Sydney, NSW 2007, Australia; [Tang, Benjamin; Shojaei, Maryam; Nalos, Marek; McLean, Anthony S.] Nepean Hosp, Dept Intens Care Med, Sydney, NSW, Australia; [Tang, Benjamin; Shojaei, Maryam] Westmead Inst Med Res, Ctr Immunol &amp; Allergy Res, Sydney, NSW, Australia; [Tang, Benjamin] Marie Bashir Inst Infect Dis &amp; Biosecur, Resp Virus Infect Res, Sydney, NSW, Australia; [Barnes, Lachlan S.] Univ Sydney, Fac Med, Nepean Clin Sch, Sydney, NSW, Australia</t>
  </si>
  <si>
    <t xml:space="preserve">University of Technology Sydney; Nepean Hospital; University of Sydney; Westmead Institute for Medical Research; University of Sydney</t>
  </si>
  <si>
    <t xml:space="preserve">Mitchell, AB (corresponding author), Univ Technol Sydney, Sch Life Sci, Sydney, NSW 2007, Australia.</t>
  </si>
  <si>
    <t xml:space="preserve">amit9422@uni.sydney.edu.au</t>
  </si>
  <si>
    <t xml:space="preserve">Mitchell, Alicia/R-6479-2019; Oliver, Brian/E-7939-2010</t>
  </si>
  <si>
    <t xml:space="preserve">Oliver, Brian/0000-0002-7122-9262; shojaei, maryam/0000-0002-5400-4029; Mitchell, Alicia/0000-0002-9086-1589; Nalos, Marek/0000-0002-7977-9410</t>
  </si>
  <si>
    <t xml:space="preserve">Australian Government Research Training Program Scholarship; Sydney Medical School Foundation</t>
  </si>
  <si>
    <t xml:space="preserve">Australian Government Research Training Program Scholarship(Australian GovernmentDepartment of Industry, Innovation and Science); Sydney Medical School Foundation</t>
  </si>
  <si>
    <t xml:space="preserve">This research is supported by an Australian Government Research Training Program Scholarship and the Sydney Medical School Foundation.</t>
  </si>
  <si>
    <t xml:space="preserve">SPRINGEROPEN</t>
  </si>
  <si>
    <t xml:space="preserve">CAMPUS, 4 CRINAN ST, LONDON, N1 9XW, ENGLAND</t>
  </si>
  <si>
    <t xml:space="preserve">2110-5820</t>
  </si>
  <si>
    <t xml:space="preserve">ANN INTENSIVE CARE</t>
  </si>
  <si>
    <t xml:space="preserve">Ann. Intensive Care</t>
  </si>
  <si>
    <t xml:space="preserve">APR 17</t>
  </si>
  <si>
    <t xml:space="preserve">10.1186/s13613-018-0396-4</t>
  </si>
  <si>
    <t xml:space="preserve">Critical Care Medicine</t>
  </si>
  <si>
    <t xml:space="preserve">GD2XR</t>
  </si>
  <si>
    <t xml:space="preserve">WOS:000430367600001</t>
  </si>
  <si>
    <t xml:space="preserve">Gralton, J; McLaws, ML; Rawlinson, WD</t>
  </si>
  <si>
    <t xml:space="preserve">Gralton, Jan; McLaws, Mary-Louise; Rawlinson, William D.</t>
  </si>
  <si>
    <t xml:space="preserve">Personal Clothing as a Potential Vector of Respiratory Virus Transmission in Childcare Settings</t>
  </si>
  <si>
    <t xml:space="preserve">virus; clothing; contact transmission; children</t>
  </si>
  <si>
    <t xml:space="preserve">NEW-YORK FAMILIES; HUMAN METAPNEUMOVIRUS; SYNCYTIAL VIRUS; CONTINUING SURVEILLANCE; STAPHYLOCOCCUS-AUREUS; RELATIVE-HUMIDITY; MOUTHING BEHAVIOR; WATCH PROGRAM; INFECTIONS; RHINOVIRUS</t>
  </si>
  <si>
    <t xml:space="preserve">Previous investigations of fomite transmission have focused on the presence of pathogens on inanimate objects in clinical settings. There has been limited investigation of fomite transmission in non-clinical pediatric settings where there is a high prevalence of respiratory virus infections. Over a 5 week period, this study investigated whether the personal clothing of teachers working in childcare centers was contaminated with viral RNA, and potentially could mediate virus transmission. Matched morning and evening clothing and nasal samples were collected for 313 teacher work days (TWDs). Human rhinoviruses (hRV) RNA were detected from samples using real-time PCR. Human rhinovirus RNA was detected in clothing samples on 16 TWDs and in nasal samples on 32 TWDs. There were no TWDs when teachers provided both positive nasal and clothing samples and only three TWDs when hRV persisted on clothing for the entire day. The detection of hRV RNA was significantly predicted by self-recognition of symptomatic illness by the teacher 2 days prior to detection. These findings suggest that teachers' personal clothing in childcare settings is unlikely to facilitate the transmission of hRV. J. Med. Virol. 87:925-930, 2015. (c) 2015 Wiley Periodicals, Inc.</t>
  </si>
  <si>
    <t xml:space="preserve">[Gralton, Jan; McLaws, Mary-Louise] UNSW Australia, UNSW Med, Sydney, NSW, Australia; [Gralton, Jan; Rawlinson, William D.] Prince Wales Hosp, Div Virol, Randwick, NSW 2031, Australia; [Rawlinson, William D.] UNSW Australia, Sch Med Sci, Sydney, NSW, Australia; [Rawlinson, William D.] UNSW Australia, Sch Biotechnol &amp; Biomol Sci, Sydney, NSW, Australia</t>
  </si>
  <si>
    <t xml:space="preserve">University of New South Wales Sydney; University of New South Wales Sydney; Prince of Wales Hospital (POWH); University of New South Wales Sydney; University of New South Wales Sydney</t>
  </si>
  <si>
    <t xml:space="preserve">Rawlinson, WD (corresponding author), Prince Wales Hosp, Div Virol, SEALS Microbiol, Randwick, NSW 2031, Australia.</t>
  </si>
  <si>
    <t xml:space="preserve">McLaws, Mary-Louise/0000-0003-0453-8425; Rawlinson, William/0000-0003-0988-7827</t>
  </si>
  <si>
    <t xml:space="preserve">JUN</t>
  </si>
  <si>
    <t xml:space="preserve">10.1002/jmv.24102</t>
  </si>
  <si>
    <t xml:space="preserve">CF8ER</t>
  </si>
  <si>
    <t xml:space="preserve">WOS:000352789200006</t>
  </si>
  <si>
    <t xml:space="preserve">Andersen, PI; Krpina, K; Ianevski, A; Shtaida, N; Jo, E; Yang, J; Koit, S; Tenson, T; Hukkanen, V; Anthonsen, MW; Bjoras, M; Evander, M; Windisch, MP; Zusinaite, E; Kainov, DE</t>
  </si>
  <si>
    <t xml:space="preserve">Andersen, Petter, I; Krpina, Klara; Ianevski, Aleksandr; Shtaida, Nastassia; Jo, Eunji; Yang, Jaewon; Koit, Sandra; Tenson, Tanel; Hukkanen, Veijo; Anthonsen, Marit W.; Bjoras, Magnar; Evander, Magnus; Windisch, Marc P.; Zusinaite, Eva; Kainov, Denis E.</t>
  </si>
  <si>
    <t xml:space="preserve">Novel Antiviral Activities of Obatoclax, Emetine, Niclosamide, Brequinar, and Homoharringtonine</t>
  </si>
  <si>
    <t xml:space="preserve">VIRUSES-BASEL</t>
  </si>
  <si>
    <t xml:space="preserve">virus; broad-spectrum antiviral; antiviral agent; drug target; systems biology</t>
  </si>
  <si>
    <t xml:space="preserve">IN-VITRO; VIRUS; REPLICATION; INHIBITION; SALIPHENYLHALAMIDE; RESCUE; FUTURE; ENTRY; RNA</t>
  </si>
  <si>
    <t xml:space="preserve">Viruses are the major causes of acute and chronic infectious diseases in the world. According to the World Health Organization, there is an urgent need for better control of viral diseases. Repurposing existing antiviral agents from one viral disease to another could play a pivotal role in this process. Here, we identified novel activities of obatoclax and emetine against herpes simplex virus type 2 (HSV-2), echovirus 1 (EV1), human metapneumovirus (HMPV) and Rift Valley fever virus (RVFV) in cell cultures. Moreover, we demonstrated novel activities of emetine against influenza A virus (FLUAV), niclosamide against HSV-2, brequinar against human immunodeficiency virus 1 (HIV-1), and homoharringtonine against EV1. Our findings may expand the spectrum of indications of these safe-in-man agents and reinforce the arsenal of available antiviral therapeutics pending the results of further in vitro and in vivo tests.</t>
  </si>
  <si>
    <t xml:space="preserve">[Andersen, Petter, I; Krpina, Klara; Ianevski, Aleksandr; Anthonsen, Marit W.; Bjoras, Magnar; Kainov, Denis E.] Norwegian Univ Sci &amp; Technol, Dept Clin &amp; Mol Med, N-7028 Trondheim, Norway; [Shtaida, Nastassia; Koit, Sandra; Tenson, Tanel; Zusinaite, Eva; Kainov, Denis E.] Univ Tartu, Inst Technol, EE-50090 Tartu, Estonia; [Jo, Eunji; Yang, Jaewon; Windisch, Marc P.] Inst Pasteur Korea, Appl Mol Virol Lab, 696 Sampyung Dong, Seongnam Si 13488, Gyeonggi Do, South Korea; [Hukkanen, Veijo] Univ Turku, Inst Biomed, FIN-20520 Turku, Finland; [Evander, Magnus] Umea Univ, Dept Clin Microbiol Virol, S-90185 Umea, Sweden</t>
  </si>
  <si>
    <t xml:space="preserve">Norwegian University of Science &amp; Technology (NTNU); University of Tartu; Institut Pasteur Korea; University of Turku; Umea University</t>
  </si>
  <si>
    <t xml:space="preserve">Kainov, DE (corresponding author), Norwegian Univ Sci &amp; Technol, Dept Clin &amp; Mol Med, N-7028 Trondheim, Norway.;Kainov, DE (corresponding author), Univ Tartu, Inst Technol, EE-50090 Tartu, Estonia.</t>
  </si>
  <si>
    <t xml:space="preserve">petteria@stud.ntnu.no; klarak@stud.ntnu.no; aleksandr.ianevski@ntnu.no; nastassia.shtaida@ut.ee; eunji.jo@ip-korea.org; jaewon.yang@ip-korea.org; sandra.koit@ut.ee; tanel.tenson@ut.ee; veijo.hukkanen@utu.fi; marit.w.anthonsen@ntnu.no; magnar.bjoras@ntnu.no; magnus.evander@umu.se; marc.windisch@ip-korea.org; eva.zusinaite@ut.ee; denis.kainov@ntnu.no</t>
  </si>
  <si>
    <t xml:space="preserve">Ianevski, Aleksandr/JZC-8977-2024; Evander, Magnus/AAF-5665-2019; Bjørås, Magnar/N-9286-2017; Tenson, Tanel/I-6431-2015; Kaynov, Denis/I-5526-2019</t>
  </si>
  <si>
    <t xml:space="preserve">Kaynov, Denis/0000-0001-7716-6955; Hukkanen, Veijo/0000-0002-2867-7844</t>
  </si>
  <si>
    <t xml:space="preserve">European Regional Development Fund, the Mobilitas Pluss Project [MOBTT39]; National Research Foundation of Korea - Korea government (MSIP), Gyeonggi-do [NRF-2014K1A4A7A01074644]; Jane and Aatos Erkko Foundation [170046]; KISTI</t>
  </si>
  <si>
    <t xml:space="preserve">European Regional Development Fund, the Mobilitas Pluss Project(European Union (EU)); National Research Foundation of Korea - Korea government (MSIP), Gyeonggi-do(National Research Foundation of Korea); Jane and Aatos Erkko Foundation; KISTI(Korea Institute of Science &amp; Technology Information (KISTI))</t>
  </si>
  <si>
    <t xml:space="preserve">This study was supported by the European Regional Development Fund, the Mobilitas Pluss Project MOBTT39 (to D.K.), a National Research Foundation of Korea (NRF-2014K1A4A7A01074644) grant funded by the Korea government (MSIP), Gyeonggi-do and KISTI (to M.P.W.), and by a grant from Jane and Aatos Erkko Foundation (#170046 to V.H.).</t>
  </si>
  <si>
    <t xml:space="preserve">1999-4915</t>
  </si>
  <si>
    <t xml:space="preserve">Viruses-Basel</t>
  </si>
  <si>
    <t xml:space="preserve">10.3390/v11100964</t>
  </si>
  <si>
    <t xml:space="preserve">JP6VH</t>
  </si>
  <si>
    <t xml:space="preserve">WOS:000498400400085</t>
  </si>
  <si>
    <t xml:space="preserve">Falsey, AR; Becker, KL; Swinburne, AJ; Nylen, ES; Formica, MA; Hennessey, PA; Criddle, MM; Peterson, DR; Baran, A; Walsh, EE</t>
  </si>
  <si>
    <t xml:space="preserve">Falsey, Ann R.; Becker, Kenneth L.; Swinburne, Andrew J.; Nylen, Eric S.; Formica, Maria A.; Hennessey, Patricia A.; Criddle, Mary M.; Peterson, Derick R.; Baran, Andrea; Walsh, Edward E.</t>
  </si>
  <si>
    <t xml:space="preserve">Bacterial Complications of Respiratory Tract Viral Illness: A Comprehensive Evaluation</t>
  </si>
  <si>
    <t xml:space="preserve">JOURNAL OF INFECTIOUS DISEASES</t>
  </si>
  <si>
    <t xml:space="preserve">virus; bacterial infection; procalcitonin; pneumonia</t>
  </si>
  <si>
    <t xml:space="preserve">COMMUNITY-ACQUIRED PNEUMONIA; REVERSE TRANSCRIPTION-PCR; SYNCYTIAL VIRUS; SYSTEMIC INFLAMMATION; HUMAN METAPNEUMOVIRUS; HOSPITALIZED-PATIENTS; INFLUENZA; INFECTIONS; PROCALCITONIN; DISEASE</t>
  </si>
  <si>
    <t xml:space="preserve">Background. Respiratory tract infection is one of the most common reasons for hospitalization among adults, and recent evidence suggests that many of these illnesses are associated with viruses. Although bacterial infection is known to complicate viral infections, the frequency and impact of mixed viral-bacterial infections has not been well studied. Methods. Adults hospitalized with respiratory illness during 3 winters underwent comprehensive viral and bacterial testing. This assessment was augmented by measuring the serum level of procalcitonin (PCT) as a marker of bacterial infection. Mixed viral-bacterial infection was defined as a positive viral test result plus a positive bacterial assay result or a serum PCT level of &gt;= 0.25 ng/mL on admission or day 2 of hospitalization. Results. Of 842 hospitalizations (771 patients) evaluated, 348 (41%) had evidence of viral infection. A total of 212 hospitalizations (61%) involved patients with viral infection alone. Of the remaining 136 hospitalizations (39%) involving viral infection, results of bacterial tests were positive in 64 (18%), and PCT analysis identified bacterial infection in an additional 72 (21%). Subjects hospitalized with mixed viral-bacterial infections were older and more commonly received a diagnosis of pneumonia. Over 90% of hospitalizations in both groups involved subjects who received antibiotics. Notably, 4 of 10 deaths among subjects hospitalized with viral infection alone were secondary to complications of Clostridium difficile colitis. Conclusions. Bacterial coinfection is associated with approximately 40% of viral respiratory tract infections requiring hospitalization. Patients with positive results of viral tests should be carefully evaluated for concomitant bacterial infection. Early empirical antibiotic therapy for patients with an unstable condition is appropriate but is not without risk.</t>
  </si>
  <si>
    <t xml:space="preserve">[Falsey, Ann R.; Walsh, Edward E.] Univ Rochester, Dept Med, New York, NY USA; [Peterson, Derick R.; Baran, Andrea] Univ Rochester, New York, NY USA; [Falsey, Ann R.; Swinburne, Andrew J.; Formica, Maria A.; Hennessey, Patricia A.; Criddle, Mary M.; Walsh, Edward E.] Rochester Gen Hosp, New York, NY USA; [Becker, Kenneth L.; Nylen, Eric S.] Vet Affairs Med Ctr, Washington, DC 20422 USA; [Becker, Kenneth L.; Nylen, Eric S.] George Washington Univ, Washington, DC USA</t>
  </si>
  <si>
    <t xml:space="preserve">University of Rochester; University of Rochester; Rochester General Hospital; US Department of Veterans Affairs; Veterans Health Administration (VHA); George Washington University</t>
  </si>
  <si>
    <t xml:space="preserve">Falsey, AR (corresponding author), Rochester Gen Hosp, Infect Dis Unit, 1425 Portland Ave, Rochester, NY 14621 USA.</t>
  </si>
  <si>
    <t xml:space="preserve">ann.falsey@rochestergeneral.org</t>
  </si>
  <si>
    <t xml:space="preserve">Peterson, Derick/W-5240-2019</t>
  </si>
  <si>
    <t xml:space="preserve">Baran, Andrea/0000-0002-7975-8919</t>
  </si>
  <si>
    <t xml:space="preserve">National Institute of Allergy and Infectious Diseases [1R01AI079446-01]</t>
  </si>
  <si>
    <t xml:space="preserve">National Institute of Allergy and Infectious Diseases(United States Department of Health &amp; Human ServicesNational Institutes of Health (NIH) - USANIH National Institute of Allergy &amp; Infectious Diseases (NIAID))</t>
  </si>
  <si>
    <t xml:space="preserve">This work was supported by the National Institute of Allergy and Infectious Diseases (1R01AI079446-01).</t>
  </si>
  <si>
    <t xml:space="preserve">OXFORD UNIV PRESS INC</t>
  </si>
  <si>
    <t xml:space="preserve">CARY</t>
  </si>
  <si>
    <t xml:space="preserve">JOURNALS DEPT, 2001 EVANS RD, CARY, NC 27513 USA</t>
  </si>
  <si>
    <t xml:space="preserve">0022-1899</t>
  </si>
  <si>
    <t xml:space="preserve">1537-6613</t>
  </si>
  <si>
    <t xml:space="preserve">J INFECT DIS</t>
  </si>
  <si>
    <t xml:space="preserve">J. Infect. Dis.</t>
  </si>
  <si>
    <t xml:space="preserve">AUG 1</t>
  </si>
  <si>
    <t xml:space="preserve">10.1093/infdis/jit190</t>
  </si>
  <si>
    <t xml:space="preserve">Immunology; Infectious Diseases; Microbiology</t>
  </si>
  <si>
    <t xml:space="preserve">178PB</t>
  </si>
  <si>
    <t xml:space="preserve">Green Published, Bronze</t>
  </si>
  <si>
    <t xml:space="preserve">WOS:000321458800010</t>
  </si>
  <si>
    <t xml:space="preserve">Falsey, AR; Criddle, MC; Walsh, EE</t>
  </si>
  <si>
    <t xml:space="preserve">Detection of respiratory syncytial virus and human metapneumovirus by reverse transcription polymerase chain reaction in adults with and without respiratory illness</t>
  </si>
  <si>
    <t xml:space="preserve">virus; adult; respiratory illness</t>
  </si>
  <si>
    <t xml:space="preserve">TRACT INFECTIONS; VIRAL CULTURE; CHILDREN; COMMUNITY; DIAGNOSIS; DISEASE; PCR; INFANTS; IMPACT; YOUNG</t>
  </si>
  <si>
    <t xml:space="preserve">Background: Reverse transcription polymerase chain reaction (RT-PCR) is a powerful tool that allows the detection of minute quantities of viral RNA. Because of the sensitivity of these assays it is possible that the finding of viral RNA indicates not only active infection but also transient colonization or residual nucleic acid from a distant infection. Respiratory syncytial virus (RSV) and human metapneumovirus (hMPV) are two viruses for which RT-PCR is now frequently used for diagnosis in adult disease. Objective: We evaluated nasal secretions from adults with and without respiratory illnesses by nested, one-tube RT-PCR for RSV and hMPV to determine if rates of detectable RNA were significantly higher among ill subjects compared to controls suggesting a causal relationship with respiratory illness. Methods: Adults presenting to a healthcare provider with complaints of respiratory illness were recruited as cases and those visiting for non-respiratory complaints were recruited as controls. Subjects were enrolled during a 3-month period (January to April) when both viruses were expected to be prevalent in the community. Nasal swab samples were obtained and subjected to one-tube nested RT-PCR for RSV and hMPV. Results: Of 146 ill subjects, 17 (11.6%) tested positive for RSV and 5 (3.4%) were positive for hMPV. Of the 158 control subjects, one was RT-PCR positive for RSV and none tested positive for hMPV. The rates of RT-PCR positive cases compared to controls were significantly different for RSV (p &lt; .0001) and hMPV (p &lt; .02). Subjects remained RSV RT-PCR positive on average until day 7.1 +/- 2.8 of symptoms with a range of 3-10 days. No subject had a positive swab on days 14, 21 or 28. Conclusion: Asymptomatic carriage of RSV or hMPV is uncommon. RT-PCR should be a useful method for the diagnosis of these viral illnesses in adults. (C) 2005 Elsevier B.V. All rights reserved.</t>
  </si>
  <si>
    <t xml:space="preserve">Rochester Gen Hosp, Dept Med, Infect Dis Unit, Rochester, NY 14621 USA; Univ Rochester, Sch Med &amp; Dent, Rochester, NY USA</t>
  </si>
  <si>
    <t xml:space="preserve">Rochester General Hospital; University of Rochester</t>
  </si>
  <si>
    <t xml:space="preserve">Falsey, AR (corresponding author), Rochester Gen Hosp, Dept Med, Infect Dis Unit, 1425 Portland Ave, Rochester, NY 14621 USA.</t>
  </si>
  <si>
    <t xml:space="preserve">ann.falsey@viahealth.org</t>
  </si>
  <si>
    <t xml:space="preserve">ELSEVIER SCIENCE BV</t>
  </si>
  <si>
    <t xml:space="preserve">PO BOX 211, 1000 AE AMSTERDAM, NETHERLANDS</t>
  </si>
  <si>
    <t xml:space="preserve">10.1016/j.jcv.2005.04.004</t>
  </si>
  <si>
    <t xml:space="preserve">010IY</t>
  </si>
  <si>
    <t xml:space="preserve">WOS:000235182800007</t>
  </si>
  <si>
    <t xml:space="preserve">Cui, BL; Zhang, DG; Pan, H; Zhang, F; Farrar, J; Law, F; van Doom, HR; Wu, BY; Ba-Thein, W</t>
  </si>
  <si>
    <t xml:space="preserve">Cui, Binglin; Zhang, Dangui; Pan, Hui; Zhang, Fan; Jeremy Farrar; Law, Frieda; Rogier van Doom, H.; Wu, Beiyan; Ba-Thein, William</t>
  </si>
  <si>
    <t xml:space="preserve">Viral aetiology of acute respiratory infections among children and associated meteorological factors in southern China</t>
  </si>
  <si>
    <t xml:space="preserve">BMC INFECTIOUS DISEASES</t>
  </si>
  <si>
    <t xml:space="preserve">Virus; Acute respiratory infection; Meteorological factor; Children; China</t>
  </si>
  <si>
    <t xml:space="preserve">COMMUNITY-ACQUIRED PNEUMONIA; INFLUENZA-LIKE ILLNESS; HOSPITALIZED CHILDREN; TRACT INFECTIONS; SEASONAL INFLUENZA; VIRUS DETECTION; CLIMATE FACTORS; PCR ASSAY; HONG-KONG; DISEASE</t>
  </si>
  <si>
    <t xml:space="preserve">Background: Acute respiratory infections (ARIs) are common in children and mostly caused by viruses, but the significance of the detection of multiple viruses in ARIs is unclear. This study investigated 14 respiratory viruses in ARIs among children and associated meteorological factors in Shantou, southern China. Methods: Paired nasal/throat-flocked swabs collected from 1,074 children with ARIs, who visited outpatient walk-in clinics in a tertiary hospital between December 2010 and November 2011, were examined for fourteen respiratory viruses - influenza viruses (FluA, FluB), respiratory syncytial viruses (RSV A and B), human coronaviruses (hCoV: 229E, OC43, HKU1, NL63), human metapneumoviruses (hMPV A and B), parainfluenza viruses (PIV1-4), human rhinoviruses (HRV A, B, C), enteroviruses (EV), adenoviruses (ADV), human bocavirus (hBoV), and human parechoviruses (hPeV) - by multiplex real-time PCR. Results: We identified at least one virus in 82.3% (884/1,074) and multiple viruses in 38.6% (415/1,074) of patients. EV and HRV were the most frequently detected single viruses (42.3%, 374/884 and 39.9%, 353/884 respectively) and co-detected pair (23.1%, 96/415). Overlapping seasonal trends of viruses were recorded over the year, with dual peaks for EV and single peaks for the others. By logistic regression analysis, EV was positively associated with the average temperature and humidity, hCoV, and PIV4, but negatively with HRV, PIV3, and hBoV. HRV was inversely associated with EV and PIV3. Conclusions: This study reports high viral detection and co-detection rates in pediatric ARI cases mainly due to EV and HRV. Many viruses circulated throughout the year with similar seasonal trends in association with temperature, humidity, and wind velocity. Statistically significant associations were present among the viruses. Understanding the polyviral etiology and viral interactions in the cases with multiple viruses warrants further studies.</t>
  </si>
  <si>
    <t xml:space="preserve">[Cui, Binglin; Wu, Beiyan] Shantou Univ, Affiliated Hosp 1, Dept Pediat, Shantou, Guangdong, Peoples R China; [Zhang, Dangui] Shantou Univ, Affiliated Hosp 2, Coll Med, Res Ctr Translat Med, Shantou, Guangdong, Peoples R China; [Pan, Hui; Ba-Thein, William] Shantou Univ, Coll Med, Shantou Oxford Clin Res Unit, Shantou, Guangdong, Peoples R China; [Zhang, Fan] Shantou Univ, Canc Hosp, Coll Med, Oncol Res Lab, Shantou, Guangdong, Peoples R China; [Jeremy Farrar; Rogier van Doom, H.] Univ Oxford, Hosp Trop Dis, Wellcome Trust Major Overseas Programme, Clin Res Unit, Ho Chi Minh City, Vietnam; [Law, Frieda] Shantou Univ, Coll Med, Consultant Off, Shantou, Guangdong, Peoples R China; [Ba-Thein, William] Shantou Univ, Coll Med, Dept Microbiol &amp; Immunol, Shantou, Guangdong, Peoples R China</t>
  </si>
  <si>
    <t xml:space="preserve">Shantou University; Shantou University; Shantou University; Shantou University; University of Oxford; Shantou University; Shantou University</t>
  </si>
  <si>
    <t xml:space="preserve">Ba-Thein, W (corresponding author), Shantou Univ, Coll Med, Shantou Oxford Clin Res Unit, Shantou, Guangdong, Peoples R China.</t>
  </si>
  <si>
    <t xml:space="preserve">wbathein@stu.edu.cn</t>
  </si>
  <si>
    <t xml:space="preserve">Farrar, Jeremy J./HGA-7610-2022; van Doorn, H. Rogier/H-3080-2019; Zhang, Dangui/CAE-9930-2022; Pan, Hui/HNC-0933-2023</t>
  </si>
  <si>
    <t xml:space="preserve">van Doorn, H Rogier/0000-0002-9807-1821; Farrar, Jeremy/0000-0002-2700-623X; Pan, Hui/0000-0001-6873-5749</t>
  </si>
  <si>
    <t xml:space="preserve">Li Ka Shing Foundation; Shantou University Medical College; University of Oxford [B9RSRT0-14]</t>
  </si>
  <si>
    <t xml:space="preserve">Li Ka Shing Foundation; Shantou University Medical College; University of Oxford</t>
  </si>
  <si>
    <t xml:space="preserve">This study was supported by the Li Ka Shing Foundation, Shantou University Medical College, and the University of Oxford (grant No. B9RSRT0-14). The funders had no role in study design, data collection and analysis, decision to publish, or preparation of the manuscript.</t>
  </si>
  <si>
    <t xml:space="preserve">1471-2334</t>
  </si>
  <si>
    <t xml:space="preserve">BMC INFECT DIS</t>
  </si>
  <si>
    <t xml:space="preserve">BMC Infect. Dis.</t>
  </si>
  <si>
    <t xml:space="preserve">MAR 13</t>
  </si>
  <si>
    <t xml:space="preserve">10.1186/s12879-015-0863-6</t>
  </si>
  <si>
    <t xml:space="preserve">Infectious Diseases</t>
  </si>
  <si>
    <t xml:space="preserve">CD7IJ</t>
  </si>
  <si>
    <t xml:space="preserve">WOS:000351263700001</t>
  </si>
  <si>
    <t xml:space="preserve">Takeyama, A; Hashimoto, K; Sato, M; Sato, T; Tomita, Y; Maeda, R; Ito, M; Katayose, M; Kawasaki, Y; Hosoya, M</t>
  </si>
  <si>
    <t xml:space="preserve">Takeyama, Aya; Hashimoto, Koichi; Sato, Masatoki; Sato, Toshiko; Tomita, Yoichi; Maeda, Ryo; Ito, Masaki; Katayose, Masahiko; Kawasaki, Yukihiko; Hosoya, Mitsuaki</t>
  </si>
  <si>
    <t xml:space="preserve">Clinical and epidemiologic factors related to subsequent wheezing after virus-induced lower respiratory tract infections in hospitalized pediatric patients younger than 3 years</t>
  </si>
  <si>
    <t xml:space="preserve">EUROPEAN JOURNAL OF PEDIATRICS</t>
  </si>
  <si>
    <t xml:space="preserve">Virus-induced wheezing; Subsequent wheezing; 3-year follow-up; Lower respiratory tract infection</t>
  </si>
  <si>
    <t xml:space="preserve">SYNCYTIAL VIRUS; HUMAN METAPNEUMOVIRUS; FOLLOW-UP; RHINOVIRUS ILLNESSES; JAPANESE CHILDREN; DISEASE SEVERITY; IL-10 PRODUCTION; BRONCHIOLITIS; ASTHMA; INFANCY</t>
  </si>
  <si>
    <t xml:space="preserve">Most wheezing episodes in infants are caused and exacerbated by virus-induced lower respiratory tract infections. However, there are few reports of epidemiologic and clinical virus-specific research with a focus on virus-induced wheezing. The purpose of the current study was to characterize the clinical presentation of virus-induced wheezing in pediatric patients &lt; 3 years of age who were hospitalized with lower respiratory tract infections. Of the 412 patients in the study, 216 were followed for 3 years. Nasopharyngeal aspirates collected from the patients at the time of admission were examined for the presence of respiratory syncytial virus (RSV), rhinovirus (RV), parainfluenza-3 virus (PIV-3), human metapneumovirus (hMPV), and influenza virus (Flu) using reverse-transcription polymerase chain reaction and rapid diagnostic tests. Clinical signs were assessed using a severity scoring system. In patients with wheezing at the time of admission, RSV, RV, RSV+RV, Flu, PIV-3, and hMPV were detected in 33, 14, 8, 8, 5, and 3 % of samples, respectively. There were no differences in age and severity scores between patients harboring more prevalent viruses (RSV and RV) and those with less common infections. Patients with wheezing and RV-positive aspirates at the time of admission were more likely to develop subsequent wheezing during the following 3 years. Conclusion: RSV and RV infections are factors in the development and exacerbation of wheezing after virus-induced lower respiratory tract infections. Moreover, RV-induced wheezing may be associated with subsequent recurrent wheezing and the development of asthma.</t>
  </si>
  <si>
    <t xml:space="preserve">[Takeyama, Aya; Tomita, Yoichi; Maeda, Ryo; Ito, Masaki; Katayose, Masahiko] Soma Gen Hosp, Dept Pediat, Soma City, Fukushima 9760011, Japan; [Takeyama, Aya; Hashimoto, Koichi; Sato, Masatoki; Sato, Toshiko; Kawasaki, Yukihiko; Hosoya, Mitsuaki] Fukushima Med Univ, Dept Pediat, Sch Med, Fukushima, Japan</t>
  </si>
  <si>
    <t xml:space="preserve">Fukushima Medical University</t>
  </si>
  <si>
    <t xml:space="preserve">Takeyama, A (corresponding author), Soma Gen Hosp, Dept Pediat, 142 Tubogasaku Niinuma, Soma City, Fukushima 9760011, Japan.</t>
  </si>
  <si>
    <t xml:space="preserve">ayatake@rondo.ocn.ne.jp</t>
  </si>
  <si>
    <t xml:space="preserve">Japan Society for the Promotion of Science</t>
  </si>
  <si>
    <t xml:space="preserve">Japan Society for the Promotion of Science(Ministry of Education, Culture, Sports, Science and Technology, Japan (MEXT)Japan Society for the Promotion of Science)</t>
  </si>
  <si>
    <t xml:space="preserve">This work was supported in part by the Japan Society for the Promotion of Science.</t>
  </si>
  <si>
    <t xml:space="preserve">SPRINGER</t>
  </si>
  <si>
    <t xml:space="preserve">NEW YORK</t>
  </si>
  <si>
    <t xml:space="preserve">233 SPRING ST, NEW YORK, NY 10013 USA</t>
  </si>
  <si>
    <t xml:space="preserve">0340-6199</t>
  </si>
  <si>
    <t xml:space="preserve">1432-1076</t>
  </si>
  <si>
    <t xml:space="preserve">EUR J PEDIATR</t>
  </si>
  <si>
    <t xml:space="preserve">Eur. J. Pediatr.</t>
  </si>
  <si>
    <t xml:space="preserve">JUL</t>
  </si>
  <si>
    <t xml:space="preserve">10.1007/s00431-014-2277-7</t>
  </si>
  <si>
    <t xml:space="preserve">Pediatrics</t>
  </si>
  <si>
    <t xml:space="preserve">AK1ZZ</t>
  </si>
  <si>
    <t xml:space="preserve">WOS:000338219600015</t>
  </si>
  <si>
    <t xml:space="preserve">Bosl, K; Ianevski, A; Than, TT; Andersen, PI; Kuivanen, S; Teppor, M; Zusinaite, E; Dumpis, U; Vitkauskiene, A; Cox, RJ; Kallio-Kokko, H; Bergqvist, A; Tenson, T; Merits, A; Oksenych, V; Bjorås, M; Anthonsen, MW; Shum, D; Kaarbo, M; Vapalahti, O; Windisch, MP; Superti-Furga, G; Snijder, B; Kainov, D; Kandasamy, RK</t>
  </si>
  <si>
    <t xml:space="preserve">Bosl, Korbinian; Ianevski, Aleksandr; Than, Thoa T.; Andersen, Petter I.; Kuivanen, Suvi; Teppor, Mona; Zusinaite, Eva; Dumpis, Uga; Vitkauskiene, Astra; Cox, Rebecca J.; Kallio-Kokko, Hannimari; Bergqvist, Anders; Tenson, Tanel; Merits, Andres; Oksenych, Valentyn; Bjoras, Magnar; Anthonsen, Marit W.; Shum, David; Kaarbo, Mari; Vapalahti, Olli; Windisch, Marc P.; Superti-Furga, Giulio; Snijder, Berend; Kainov, Denis; Kandasamy, Richard K.</t>
  </si>
  <si>
    <t xml:space="preserve">Common Nodes of Virus-Host Interaction Revealed Through an Integrated Network Analysis</t>
  </si>
  <si>
    <t xml:space="preserve">FRONTIERS IN IMMUNOLOGY</t>
  </si>
  <si>
    <t xml:space="preserve">virus-host interaction; protein-protein interaction; gene-drug interaction; innate immunity; viral evasion; network analysis; molecular innate immunity</t>
  </si>
  <si>
    <t xml:space="preserve">DIRECTED THERAPIES; NEGATIVE REGULATOR; PROTEIN; MECHANISMS; GENOME; SALIPHENYLHALAMIDE; COMPLEXES; INFECTION; OBATOCLAX; EVASION</t>
  </si>
  <si>
    <t xml:space="preserve">Viruses are one of the major causes of acute and chronic infectious diseases and thus a major contributor to the global burden of disease. Several studies have shown how viruses have evolved to hijack basic cellular pathways and evade innate immune response by modulating key host factors and signaling pathways. A collective view of these multiple studies could advance our understanding of virus-host interactions and provide new therapeutic perspectives for the treatment of viral diseases. Here, we performed an integrative meta-analysis to elucidate the 17 different host-virus interactomes. Network and bioinformatics analyses showed how viruses with small genomes efficiently achieve the maximal effect by targeting multifunctional and highly connected host proteins with a high occurrence of disordered regions. We also identified the core cellular process subnetworks that are targeted by all the viruses. Integration with functional RNA interference (RNAi) datasets showed that a large proportion of the targets are required for viral replication. Furthermore, we performed an interactome-informed drug re-purposing screen and identified novel activities for broad-spectrum antiviral agents against hepatitis C virus and human metapneumovirus. Altogether, these orthogonal datasets could serve as a platform for hypothesis generation and follow-up studies to broaden our understanding of the viral evasion landscape.</t>
  </si>
  <si>
    <t xml:space="preserve">[Bosl, Korbinian; Kandasamy, Richard K.] Norwegian Univ Sci &amp; Technol, Ctr Mol Inflammat Res, Trondheim, Norway; [Bosl, Korbinian; Ianevski, Aleksandr; Andersen, Petter I.; Oksenych, Valentyn; Bjoras, Magnar; Anthonsen, Marit W.; Kainov, Denis; Kandasamy, Richard K.] Norwegian Univ Sci &amp; Technol, Dept Clin &amp; Mol Med, Trondheim, Norway; [Than, Thoa T.; Shum, David; Windisch, Marc P.] Inst Pasteur Korea, Seongnam, South Korea; [Kuivanen, Suvi] Univ Helsinki, Dept Virol, Helsinki, Finland; [Teppor, Mona; Zusinaite, Eva; Tenson, Tanel; Merits, Andres] Univ Tartu, Inst Technol, Tartu, Estonia; [Dumpis, Uga] Pauls Stradins Clin Univ Hosp, Riga, Latvia; [Vitkauskiene, Astra] Lithuanian Univ Hlth Sci, Dept Lab Med, Kaunas, Lithuania; [Cox, Rebecca J.] Univ Bergen, Dept Clin Sci, Influenza Ctr, Bergen, Norway; [Kallio-Kokko, Hannimari] Univ Helsinki, Dept Virol &amp; Immunol, Helsinki Univ Hosp, Helsinki, Finland; [Bergqvist, Anders] Uppsala Univ, Dept Med Sci, Uppsala, Sweden; [Kaarbo, Mari] Oslo Univ Hosp, Dept Microbiol, Oslo, Norway; [Vapalahti, Olli] Univ Helsinki, Dept Vet Biosci, Helsinki, Finland; [Superti-Furga, Giulio] Austrian Acad Sci, CeMM Res Ctr Mol Med, Vienna, Austria; [Superti-Furga, Giulio] Med Univ Vienna, Ctr Physiol &amp; Pharmacol, Vienna, Austria; [Snijder, Berend; Kainov, Denis] Swiss Fed Inst Technol, Inst Mol Syst Biol, Dept Biol, Zurich, Switzerland; [Kandasamy, Richard K.] Univ Oslo, Nord EMBL Partnership, Ctr Mol Med Norway NCMM, Oslo, Norway; [Kandasamy, Richard K.] Univ Massachusetts, Sch Med, Dept Med, Program Innate Immun,Div Infect Dis &amp; Immunol, Worcester, MA 01655 USA</t>
  </si>
  <si>
    <t xml:space="preserve">Norwegian University of Science &amp; Technology (NTNU); Norwegian University of Science &amp; Technology (NTNU); Institut Pasteur Korea; University of Helsinki; University of Tartu; Pauls Stradins Clinical University Hospital; Lithuanian University of Health Sciences; University of Bergen; University of Helsinki; Helsinki University Central Hospital; Uppsala University; University of Oslo; University of Helsinki; Austrian Academy of Sciences; CeMM Research Center for Molecular Medicine of the Austrian Academy of Sciences; Medical University of Vienna; Swiss Federal Institutes of Technology Domain; ETH Zurich; University of Oslo; University of Massachusetts System; University of Massachusetts Worcester</t>
  </si>
  <si>
    <t xml:space="preserve">Kandasamy, RK (corresponding author), Norwegian Univ Sci &amp; Technol, Ctr Mol Inflammat Res, Trondheim, Norway.;Kandasamy, RK (corresponding author), Norwegian Univ Sci &amp; Technol, Dept Clin &amp; Mol Med, Trondheim, Norway.;Kandasamy, RK (corresponding author), Univ Oslo, Nord EMBL Partnership, Ctr Mol Med Norway NCMM, Oslo, Norway.;Kandasamy, RK (corresponding author), Univ Massachusetts, Sch Med, Dept Med, Program Innate Immun,Div Infect Dis &amp; Immunol, Worcester, MA 01655 USA.</t>
  </si>
  <si>
    <t xml:space="preserve">richard.k.kandasamy@ntnu.no</t>
  </si>
  <si>
    <t xml:space="preserve">Bjørås, Magnar/N-9286-2017; Tenson, Tanel/I-6431-2015; Bergqvist, Anders/ABA-5530-2021; Snijder, Berend/O-9206-2019; Kandasamy, Richard/C-8981-2009; Merits, Andres/H-3125-2015; Ianevski, Aleksandr/JZC-8977-2024; Teppor, Mona/G-5445-2019; Superti-Furga, Giulio/AAE-5681-2019; Kaynov, Denis/I-5526-2019; Oksenych, Valentyn/J-6216-2019</t>
  </si>
  <si>
    <t xml:space="preserve">Vapalahti, Olli/0000-0003-2270-6824; Kaynov, Denis/0000-0001-7716-6955; Kaarbo, Mari/0000-0003-3983-6545; Kuivanen, Suvi/0000-0002-2347-5397; Kandasamy, Richard Kumaran/0000-0002-0894-1222; Bergqvist, Anders/0000-0002-5789-8777; Oksenych, Valentyn/0000-0002-5088-3791</t>
  </si>
  <si>
    <t xml:space="preserve">Research Council of Norway (FRIMEDBIO Young Research Talent Grant) [263168]; Research Council of Norway (Centres of Excellence Funding Scheme Project) [223255/F50]; Onsager fellowship from NTNU; European Regional Development Fund; Mobilitas Pluss Project [MOBTT39]; National Research Foundation of Korea (NRF) - Korea government (MSIT) [NRF-2017M3A9G6068246]</t>
  </si>
  <si>
    <t xml:space="preserve">Research Council of Norway (FRIMEDBIO Young Research Talent Grant)(Research Council of Norway); Research Council of Norway (Centres of Excellence Funding Scheme Project)(Research Council of Norway); Onsager fellowship from NTNU; European Regional Development Fund(European Union (EU)); Mobilitas Pluss Project; National Research Foundation of Korea (NRF) - Korea government (MSIT)(National Research Foundation of KoreaMinistry of Science, ICT &amp; Future Planning, Republic of KoreaMinistry of Science &amp; ICT (MSIT), Republic of Korea)</t>
  </si>
  <si>
    <t xml:space="preserve">This work was funded by the Research Council of Norway (FRIMEDBIO Young Research Talent Grant 263168 to RK; and Centres of Excellence Funding Scheme Project 223255/F50 to CEMIR), Onsager fellowship from NTNU (to RK). European Regional Development Fund, the Mobilitas Pluss Project MOBTT39 (to DK) and by the National Research Foundation of Korea (NRF) grant funded by the Korea government (MSIT, NRF-2017M3A9G6068246, Gyeonggi-do to MW).</t>
  </si>
  <si>
    <t xml:space="preserve">FRONTIERS MEDIA SA</t>
  </si>
  <si>
    <t xml:space="preserve">LAUSANNE</t>
  </si>
  <si>
    <t xml:space="preserve">AVENUE DU TRIBUNAL FEDERAL 34, LAUSANNE, CH-1015, SWITZERLAND</t>
  </si>
  <si>
    <t xml:space="preserve">1664-3224</t>
  </si>
  <si>
    <t xml:space="preserve">FRONT IMMUNOL</t>
  </si>
  <si>
    <t xml:space="preserve">Front. Immunol.</t>
  </si>
  <si>
    <t xml:space="preserve">OCT 4</t>
  </si>
  <si>
    <t xml:space="preserve">10.3389/fimmu.2019.02186</t>
  </si>
  <si>
    <t xml:space="preserve">Immunology</t>
  </si>
  <si>
    <t xml:space="preserve">JN5ZH</t>
  </si>
  <si>
    <t xml:space="preserve">WOS:000496975700001</t>
  </si>
  <si>
    <t xml:space="preserve">Lee, H; Woo, HM; Kim, K; Park, S; Park, MS; Kim, SS; Kim, YJ</t>
  </si>
  <si>
    <t xml:space="preserve">Lee, Hansaem; Woo, Hye-Min; Kim, Kisoon; Park, Sehee; Park, Man-Seong; Kim, Sung Soon; Kim, You-Jin</t>
  </si>
  <si>
    <t xml:space="preserve">Improving Pneumovirus Isolation Using a Centrifugation and AZD1480 Combined Method</t>
  </si>
  <si>
    <t xml:space="preserve">JOURNAL OF MICROBIOLOGY AND BIOTECHNOLOGY</t>
  </si>
  <si>
    <t xml:space="preserve">Virus isolation; centrifugation; AZD1480; human respiratory syncytial virus; human metapneumovirus</t>
  </si>
  <si>
    <t xml:space="preserve">HUMAN METAPNEUMOVIRUS; JAK2 INHIBITOR; CELL-CULTURE; VIRUS; LINE; INFECTIVITY</t>
  </si>
  <si>
    <t xml:space="preserve">The isolation of respiratory viruses, especially from clinical specimens, often shows poor efficiency with classical cell culture methods. The lack of suitable methods to generate virus particles inhibits the development of diagnostic assays, treatments, and vaccines. We compared three inoculation methods, classical cell culture, the addition of a JAK2 inhibitor AZD1480, and centrifugation-enhanced inoculation (CEI), to replicate human respiratory syncytial virus (HRSV) and human metapneumovirus (HMPV). In addition, a combined method using AZD1480 treatment and CEI was used on throat swabs to verify that this method could increase virus isolation efficiency from human clinical specimens. Both CEI and AZD1480 treatment increased HRSV and HMPV genome replication. Also, the combined method using CEI and AZD1480 treatment enhanced virus proliferation synergistically. The combined method is particularly suited for the isolation of interferon-sensitive or slowly growing viruses from human clinical specimens.</t>
  </si>
  <si>
    <t xml:space="preserve">[Lee, Hansaem; Woo, Hye-Min; Kim, Kisoon; Kim, Sung Soon; Kim, You-Jin] Korea Ctr Dis Control &amp; Prevent, Natl Inst Hlth, Ctr Infect Dis Res, Cheongju 28159, South Korea; [Park, Sehee; Park, Man-Seong] Korea Univ, Coll Med, Dept Microbiol, Seoul 02841, South Korea</t>
  </si>
  <si>
    <t xml:space="preserve">Korea Disease Control &amp; Prevention Agency (KDCA); Korea CDC Center for Disease Prevention; Korea National Institute of Health (KNIH); Korea CDC Center for Infectious Disease; Korea University; Korea University Medicine (KU Medicine)</t>
  </si>
  <si>
    <t xml:space="preserve">Kim, YJ (corresponding author), Korea Ctr Dis Control &amp; Prevent, Natl Inst Hlth, Ctr Infect Dis Res, Cheongju 28159, South Korea.</t>
  </si>
  <si>
    <t xml:space="preserve">youjin3693@gmail.com</t>
  </si>
  <si>
    <t xml:space="preserve">KIM, EUNJUNG/KFC-0377-2024; KIM, JUSANG/AAB-3748-2019; Park, Man-Seong/AAF-1207-2020</t>
  </si>
  <si>
    <t xml:space="preserve">Lee, Hansaem/0000-0002-9430-8123</t>
  </si>
  <si>
    <t xml:space="preserve">National Institute of Health, Korea Centers for Diseases Control and Prevention [2015-NG47003-00]</t>
  </si>
  <si>
    <t xml:space="preserve">National Institute of Health, Korea Centers for Diseases Control and Prevention</t>
  </si>
  <si>
    <t xml:space="preserve">This project was funded from the intramural research project no. 2015-NG47003-00, supported by the National Institute of Health, Korea Centers for Diseases Control and Prevention.</t>
  </si>
  <si>
    <t xml:space="preserve">KOREAN SOC MICROBIOLOGY &amp; BIOTECHNOLOGY</t>
  </si>
  <si>
    <t xml:space="preserve">KOREA SCI TECHNOL CENTER #507, 635-4 YEOGSAM-DONG, KANGNAM-GU, SEOUL 135-703, SOUTH KOREA</t>
  </si>
  <si>
    <t xml:space="preserve">1017-7825</t>
  </si>
  <si>
    <t xml:space="preserve">1738-8872</t>
  </si>
  <si>
    <t xml:space="preserve">J MICROBIOL BIOTECHN</t>
  </si>
  <si>
    <t xml:space="preserve">J. Microbiol. Biotechnol.</t>
  </si>
  <si>
    <t xml:space="preserve">10.4014/jmb.1906.06050</t>
  </si>
  <si>
    <t xml:space="preserve">Biotechnology &amp; Applied Microbiology; Microbiology</t>
  </si>
  <si>
    <t xml:space="preserve">JY9VV</t>
  </si>
  <si>
    <t xml:space="preserve">Bronze</t>
  </si>
  <si>
    <t xml:space="preserve">WOS:000504754500016</t>
  </si>
  <si>
    <t xml:space="preserve">Kiyuka, PK; Agoti, CN; Munywoki, PK; Njeru, R; Bett, A; Otieno, JR; Otieno, GP; Kamau, E; Clark, TG; van der Hoek, L; Kellam, P; Nokes, DJ; Cotten, M</t>
  </si>
  <si>
    <t xml:space="preserve">Kiyuka, Patience K.; Agoti, Charles N.; Munywoki, Patrick K.; Njeru, Regina; Bett, Anne; Otieno, James R.; Otieno, Grieven P.; Kamau, Everlyn; Clark, Taane G.; van der Hoek, Lia; Kellam, Paul; Nokes, D. James; Cotten, Matthew</t>
  </si>
  <si>
    <t xml:space="preserve">Human Coronavirus NL63 Molecular Epidemiology and Evolutionary Patterns in Rural Coastal Kenya</t>
  </si>
  <si>
    <t xml:space="preserve">virus evolution; coronavirus; repeat infection</t>
  </si>
  <si>
    <t xml:space="preserve">RESPIRATORY SYNCYTIAL VIRUS; ANTIBODY-MEDIATED ENHANCEMENT; TRACT INFECTIONS; HUMAN METAPNEUMOVIRUS; VIRAL-INFECTIONS; RECEPTOR-BINDING; KILIFI DISTRICT; YOUNG-CHILDREN; BIRTH COHORT; INFANTS</t>
  </si>
  <si>
    <t xml:space="preserve">Background. Human coronavirus NL63 (HCoV-NL63) is a globally endemic pathogen causing mild and severe respiratory tract infections with reinfections occurring repeatedly throughout a lifetime. Methods. Nasal samples were collected in coastal Kenya through community-based and hospital-based surveillance. HCoV-NL63 was detected with multiplex real-time reverse transcription PCR, and positive samples were targeted for nucleotide sequencing of the spike (S) protein. Additionally, paired samples from 25 individuals with evidence of repeat HCoV-NL63 infection were selected for whole-genome virus sequencing. Results. HCoV-NL63 was detected in 1.3% (75/5573) of child pneumonia admissions. Two HCoV-NL63 genotypes circulated in Kilifi between 2008 and 2014. Full genome sequences formed a monophyletic clade closely related to contemporary HCoV-NL63 from other global locations. An unexpected pattern of repeat infections was observed with some individuals showing higher viral titers during their second infection. Similar patterns for 2 other endemic coronaviruses, HCoV-229E and HCoV-OC43, were observed. Repeat infections by HCoV-NL63 were not accompanied by detectable genotype switching. Conclusions. In this coastal Kenya setting, HCoV-NL63 exhibited low prevalence in hospital pediatric pneumonia admissions. Clade persistence with low genetic diversity suggest limited immune selection, and absence of detectable clade switching in reinfections indicates initial exposure was insufficient to elicit a protective immune response.</t>
  </si>
  <si>
    <t xml:space="preserve">[Kiyuka, Patience K.; Agoti, Charles N.; Munywoki, Patrick K.; Njeru, Regina; Bett, Anne; Otieno, James R.; Otieno, Grieven P.; Kamau, Everlyn; Nokes, D. James] Pwani Univ, Kenya Med Res Inst, Epidemiol &amp; Demog Dept, Wellcome Trust Res Programme, Kilifi, Kenya; [Agoti, Charles N.] Pwani Univ, Sch Hlth &amp; Human Sci, Kilifi, Kenya; [Clark, Taane G.] London Sch Hyg &amp; Trop Med, Fac Epidemiol &amp; Populat Hlth, Fac Infect &amp; Trop Dis, London, England; [van der Hoek, Lia] Univ Amsterdam, Acad Med Ctr, Lab Expt Virol, Amsterdam, Netherlands; [Kellam, Paul] Imperial Coll London, Div Infect Dis, Dept Med, London, England; [Kellam, Paul] Kymab Ltd, Babraham Res Campus, Cambridge, England; [Nokes, D. James] Univ Warwick, Sch Life Sci, Coventry, W Midlands, England; [Nokes, D. James] Univ Warwick, Zeeman Inst, Coventry, W Midlands, England; [Cotten, Matthew] Wellcome Trust Sanger Inst, Hinxton, England; [Cotten, Matthew] Erasmus MC, Dept Virosci, Rotterdam, Netherlands</t>
  </si>
  <si>
    <t xml:space="preserve">Pwani University; Kenya Medical Research Institute; Pwani University; University of London; London School of Hygiene &amp; Tropical Medicine; University of Amsterdam; Academic Medical Center Amsterdam; Imperial College London; UK Research &amp; Innovation (UKRI); Biotechnology and Biological Sciences Research Council (BBSRC); Babraham Institute; University of Warwick; University of Warwick; Wellcome Trust Sanger Institute; Erasmus University Rotterdam; Erasmus MC</t>
  </si>
  <si>
    <t xml:space="preserve">Cotten, M (corresponding author), Erasmus MC, Wytemaweg 80, NL-3015 CN Rotterdam, Netherlands.</t>
  </si>
  <si>
    <t xml:space="preserve">m.cotten@erasmusmc.nl</t>
  </si>
  <si>
    <t xml:space="preserve">Kellam, Paul/JQW-4134-2023; van der Hoek, Lia/Y-6412-2019; Clark, Taane/AAM-2570-2020; Munywoki, Patrick/GQP-4775-2022; Agoti, Charles Nyaigoti/KQL-9653-2024</t>
  </si>
  <si>
    <t xml:space="preserve">Clark, Taane/0000-0001-8985-9265; Agoti, Charles Nyaigoti/0000-0002-2160-567X; Nokes, James/0000-0001-5426-1984; van der Hoek, Lia/0000-0003-2803-642X; Otieno, Grieven/0000-0002-3053-1369; Cotten, Matthew/0000-0002-3361-3351; Kiyuka, Patience/0000-0002-3257-5920; Otieno, James/0000-0001-9790-2307; Kellam, Paul/0000-0003-3166-4734</t>
  </si>
  <si>
    <t xml:space="preserve">Wellcome Trust, UK [102975]; Commonwealth Distance Learning Scholarship Scheme [KECD-2013-54]; Medical Research Council, UK [MR/K000551/1, MR/M01360X/1, MR/N010469/1, MC_PC_15103]; Wellcome Trust; MRC [MC_UU_12014/12, MR/N010469/1, MR/K000551/1, MC_PC_15103, MR/M01360X/1] Funding Source: UKRI</t>
  </si>
  <si>
    <t xml:space="preserve">Wellcome Trust, UK(Wellcome Trust); Commonwealth Distance Learning Scholarship Scheme; Medical Research Council, UK(UK Research &amp; Innovation (UKRI)Medical Research Council UK (MRC)); Wellcome Trust(Wellcome Trust); MRC(UK Research &amp; Innovation (UKRI)Medical Research Council UK (MRC))</t>
  </si>
  <si>
    <t xml:space="preserve">This work was supported by the Wellcome Trust, UK (grant number 102975) and the Commonwealth Distance Learning Scholarship Scheme to P. K. K. (grant number KECD-2013-54). T. G. C. is funded by the Medical Research Council, UK (grant numbers MR/K000551/1 and MR/M01360X/1, MR/N010469/1, MC_PC_15103). P. K. and M. C. were supported by Wellcome Trust core grant funding to P. K.</t>
  </si>
  <si>
    <t xml:space="preserve">JUN 1</t>
  </si>
  <si>
    <t xml:space="preserve">10.1093/infdis/jiy098</t>
  </si>
  <si>
    <t xml:space="preserve">GI0TA</t>
  </si>
  <si>
    <t xml:space="preserve">Green Published, Green Accepted, hybrid</t>
  </si>
  <si>
    <t xml:space="preserve">WOS:000434081100007</t>
  </si>
  <si>
    <t xml:space="preserve">Uhlenhaut, C; Cohen, JI; Fedorko, D; Nanda, S; Krause, PR</t>
  </si>
  <si>
    <t xml:space="preserve">Uhlenhaut, Christine; Cohen, Jeffrey I.; Fedorko, Daniel; Nanda, Santosh; Krause, Philip R.</t>
  </si>
  <si>
    <t xml:space="preserve">Use of a universal virus detection assay to identify human metapneumovirus in a hematopoietic stem cell transplant recipient with pneumonia of unknown origin</t>
  </si>
  <si>
    <t xml:space="preserve">Virus discovery; Virus detection; Immunocompromised host; Virus disease diagnosis; Virus disease etiology</t>
  </si>
  <si>
    <t xml:space="preserve">IDENTIFICATION; CORONAVIRUS; MICROARRAY; PATHOGENS; PCR</t>
  </si>
  <si>
    <t xml:space="preserve">Background: Development of uncommon vital infections in immunocompromised transplant recipients can pose major diagnostic challenges. We present a case report of an immunocompromised patient Suffering from pneumonia, for which the causative agent was not identified by routine methods. Objectives: To identify the potential cause of the pneumonia using a degenerate oligonucleotide primer (DOP)-PCR assay that is designed to detect all viruses. Study design: DOP-PCR was applied to bronchoalveolar lavage fluid from this patient. Generic PCR products were cloned and sequenced. Results: The novel universal virus assay detected human metapneumovirus in the clinical sample. The finding was confirmed by two independent metapneumovirus specific PCRs targeting different regions of the vital genome. Conclusions: The DOP-PCR Was used to detect and identify the sequence of an unidentified virus. This Study provides proof of concept for the use of clinically relevant specimens in this unbiased universal assay, which requires no previous viral sequence information. Published by Elsevier B.V.</t>
  </si>
  <si>
    <t xml:space="preserve">[Uhlenhaut, Christine; Nanda, Santosh; Krause, Philip R.] US FDA, Ctr Biol Evaluat &amp; Res, Div Viral Prod, Bethesda, MD 20892 USA; [Cohen, Jeffrey I.] NIAID, Med Virol Sect, Clin Invest Lab, NIH, Bethesda, MD 20892 USA; [Fedorko, Daniel] NIH, Microbiol Lab, Ctr Clin, Bethesda, MD 20892 USA</t>
  </si>
  <si>
    <t xml:space="preserve">US Food &amp; Drug Administration (FDA); National Institutes of Health (NIH) - USA; NIH National Institute of Allergy &amp; Infectious Diseases (NIAID); National Institutes of Health (NIH) - USA; NIH Clinical Center (CC)</t>
  </si>
  <si>
    <t xml:space="preserve">Krause, PR (corresponding author), US FDA, Ctr Biol Evaluat &amp; Res, Div Viral Prod, Bldg 29A,Room 1C16,HFM 457,29 Lincoln Dr, Bethesda, MD 20892 USA.</t>
  </si>
  <si>
    <t xml:space="preserve">philip.krause@fda.hhs.gov</t>
  </si>
  <si>
    <t xml:space="preserve">Krause, Philip/0000-0002-1045-7536</t>
  </si>
  <si>
    <t xml:space="preserve">National Institute of Allergy and Infectious Diseases; National Institutes of Health Clinical Center</t>
  </si>
  <si>
    <t xml:space="preserve">National Institute of Allergy and Infectious Diseases(United States Department of Health &amp; Human ServicesNational Institutes of Health (NIH) - USANIH National Institute of Allergy &amp; Infectious Diseases (NIAID)); National Institutes of Health Clinical Center(United States Department of Health &amp; Human ServicesNational Institutes of Health (NIH) - USA)</t>
  </si>
  <si>
    <t xml:space="preserve">This study was supported by the intramural research programs of the National Institute of Allergy and Infectious Diseases and the National Institutes of Health Clinical Center. We gratefully acknowledge the FDA/CBER core facility for sequencing. We also thank Dr. Shuang Tang, Dr. Shasta McClenahan and Amita Patel for helpful comments.</t>
  </si>
  <si>
    <t xml:space="preserve">APR</t>
  </si>
  <si>
    <t xml:space="preserve">10.1016/j.jcv.2009.01.011</t>
  </si>
  <si>
    <t xml:space="preserve">436WL</t>
  </si>
  <si>
    <t xml:space="preserve">Green Accepted</t>
  </si>
  <si>
    <t xml:space="preserve">WOS:000265446700018</t>
  </si>
  <si>
    <t xml:space="preserve">Ivaska, L; Niemelä, J; Heikkinen, T; Vuorinen, T; Peltola, V</t>
  </si>
  <si>
    <t xml:space="preserve">Ivaska, Lauri; Niemela, Jussi; Heikkinen, Terho; Vuorinen, Tytti; Peltola, Ville</t>
  </si>
  <si>
    <t xml:space="preserve">Identification of respiratory viruses with a novel point-of-care multianalyte antigen detection test in children with acute respiratory tract infection</t>
  </si>
  <si>
    <t xml:space="preserve">Virus diagnostics; Point-of-care testing; Rapid antigen detection; Influenza; Respiratory syncytial virus</t>
  </si>
  <si>
    <t xml:space="preserve">INFLUENZA-A H1N1; PERFORMANCE; DIAGNOSIS; ASSAYS; COMMUNITY; ACCURACY; PCR; AGE</t>
  </si>
  <si>
    <t xml:space="preserve">Background: Rapid etiological diagnosis of a respiratory virus infection may have impact on antiviral and antibiotic therapy, patient cohorting, and prediction of the clinical course. Most point-of-care tests for detection of respiratory viruses have limitations in diagnostic performance and clinical usability. A novel, multianalyte point-of-care antigen detection test system (mariPOC (R); ArcDia International Oy Ltd., Turku, Finland) detects eight respiratory viruses (influenza A and B viruses, respiratory syncytial virus (RSV), adenovirus, human metapneumovirus, and parainfluenza type 1, 2, and 3 viruses) from a single nasopharyngeal swab specimen by a fully automated, random-access immunoassay method. Objectives: To evaluate mariPOC (R) point-of-care test system in comparison with reverse transcription polymerase chain reaction (RT-PCR) in a pediatric emergency department setting. Study design: Prospectively collected samples from 158 children (mean age, 1.8 years) with respiratory symptoms and/or fever were analyzed both by mariPOC (R) and by multiplex RT-PCR. Results: The sensitivities and specificities (95% confidence intervals) of the mariPOC (R) test were for influenza A (n = 7), 71% (38-100) and 100%; influenza B (n = 22), 86% (72-100) and 98% (95-100); RSV (n = 35), 89% (78-99) and 100%; adenovirus (n = 12), 25% (1-50) and 97% (95-99); and for human metapneumovirus (n = 8), 50% (15-85) and 100%, respectively. Parainfluenzaviruses were detected only in five patients. Conclusions: This novel point-of-care test system is a rapid, practical, and specific method for simultaneous detection of eight respiratory viruses. Compared with RT-PCR, its sensitivity is moderately high for detection of RSV and influenza viruses, and low for adenovirus. (c) 2013 Elsevier B.V. All rights reserved.</t>
  </si>
  <si>
    <t xml:space="preserve">[Ivaska, Lauri; Niemela, Jussi; Heikkinen, Terho; Peltola, Ville] Turku Univ Hosp, Dept Pediat, Turku 20521, Finland; [Ivaska, Lauri] Cent Finland Cent Hosp, Dept Pediat, Jyvaskyla 40620, Finland; [Niemela, Jussi] Turku Univ Hosp, Emergency Med Serv, Turku 20521, Finland; [Vuorinen, Tytti] Univ Turku, Dept Virol, Turku 20014, Finland</t>
  </si>
  <si>
    <t xml:space="preserve">University of Turku; Central Finland Central Hospital; University of Turku; University of Turku</t>
  </si>
  <si>
    <t xml:space="preserve">Peltola, V (corresponding author), Turku Univ Hosp, Dept Pediat, Turku 20521, Finland.</t>
  </si>
  <si>
    <t xml:space="preserve">ville.peltola@utu.fi</t>
  </si>
  <si>
    <t xml:space="preserve">Heikkinen, Terho/0000-0001-6504-0116; Ivaska, Lauri/0000-0001-8935-5032</t>
  </si>
  <si>
    <t xml:space="preserve">Academy of Finland [140251]; Central Finland Central Hospital Found [B0838]</t>
  </si>
  <si>
    <t xml:space="preserve">Academy of Finland(Research Council of Finland); Central Finland Central Hospital Found</t>
  </si>
  <si>
    <t xml:space="preserve">This study was financially supported by the Academy of Finland (grant no. 140251) and Central Finland Central Hospital Found (grant no. B0838). ArcDia International Oy Ltd. provided the mariPOC (R) test system and partially the reference tests.</t>
  </si>
  <si>
    <t xml:space="preserve">10.1016/j.jcv.2013.02.011</t>
  </si>
  <si>
    <t xml:space="preserve">139EH</t>
  </si>
  <si>
    <t xml:space="preserve">WOS:000318563900009</t>
  </si>
  <si>
    <t xml:space="preserve">Chang, YF; Tsao, KC; Liu, YC; Chen, YC; Yu, PC; Huang, YC; Chou, C</t>
  </si>
  <si>
    <t xml:space="preserve">Chang, Ying-Feng; Tsao, Kuo-Chien; Liu, Yi-Chun; Chen, Yu-Chi; Yu, Pei-Chun; Huang, Yhu-Chering; Chou, Chien</t>
  </si>
  <si>
    <t xml:space="preserve">Diagnosis of human metapneumovirus in patients hospitalized with acute lower respiratory tract infection using a metal-enhanced fluorescence technique</t>
  </si>
  <si>
    <t xml:space="preserve">JOURNAL OF VIROLOGICAL METHODS</t>
  </si>
  <si>
    <t xml:space="preserve">Virus detection; Gold nanoparticles; High-throughput biosensor; Localized surface plasmon resonance; Metal-enhanced fluorescence</t>
  </si>
  <si>
    <t xml:space="preserve">FIBEROPTIC BIOSENSOR; CLINICAL-SAMPLES; ASSAY; ANTIBODIES; PCR; IMMUNOCHROMATOGRAPHY; SECRETIONS; ANTIGENS; CANCER</t>
  </si>
  <si>
    <t xml:space="preserve">Human metapneumovirus (hMPV) is a common respiratory tract infection in children. However, conventional immunofluorescence assays (IFAs) for detecting hMPV in respiratory samples have limited reliability with a sensitivity and false-negative predictive value of 58.1% and approximately 17.8%, respectively. In this study, hMPV was measured in 91 clinical respiratory samples (55 sputum and 36 nasopharyngeal aspirate samples), which were obtained from children under three years of age, utilizing our previously developed high-throughput metal-enhanced fluorescence (MEF)-based biosensor (HT-MEFB). The sensitivity of HT-MEFB for hMPV detection in the 91 samples was improved by up to 77.4% compared with that obtained with IFAs, and the specificity of HT-MEFB for hMPV detection was 91.7%. In addition, the specificity and accuracy obtained after the selection of 55 sputum samples as the analyzed specimen reached 92.3% and 90.9%, respectively. Thus, in terms of accuracy, high throughput, and sensitivity, HT-MEFB exhibits considerable potential for hMPV detection in clinical settings. (C) 2014 Elsevier B.V. All rights reserved.</t>
  </si>
  <si>
    <t xml:space="preserve">[Chang, Ying-Feng; Chen, Yu-Chi; Yu, Pei-Chun; Chou, Chien] Chang Gung Univ, Grad Inst Electroopt Engn, Taoyuan 33371, Taiwan; [Chang, Ying-Feng] Natl Taiwan Univ, Dept Biochem Sci &amp; Technol, Taipei 10617, Taiwan; [Tsao, Kuo-Chien; Liu, Yi-Chun] Linkou Chang Gong Mem Hosp, Dept Lab Med, Taoyuan 33305, Taiwan; [Huang, Yhu-Chering] Linkou Chang Gong Mem Hosp, Div Pediat Infect Dis, Taoyuan 33305, Taiwan; [Huang, Yhu-Chering] Chang Gung Univ, Coll Med, Dept Med, Taoyuan 33371, Taiwan; [Tsao, Kuo-Chien] Chang Gung Univ, Coll Med, Dept Med Biotechnol &amp; Lab Sci, Taoyuan 33371, Taiwan; [Chou, Chien] Chang Gung Univ, Hlth Aging Res Ctr, Taoyuan 33302, Taiwan</t>
  </si>
  <si>
    <t xml:space="preserve">Chang Gung University; National Taiwan University; Chang Gung University; Chang Gung University; Chang Gung University</t>
  </si>
  <si>
    <t xml:space="preserve">Chou, C (corresponding author), Chang Gung Univ, Grad Inst Electroopt Engn, Taoyuan 33371, Taiwan.</t>
  </si>
  <si>
    <t xml:space="preserve">cchou01@gamil.com</t>
  </si>
  <si>
    <t xml:space="preserve">CHANG, YING-FENG/JDC-8461-2023</t>
  </si>
  <si>
    <t xml:space="preserve">Linkou Chang Gung Memorial Hospital [CMRPD290091, CMRPD290092]; National Science Council, Taiwan [NMRPG376301]; Ministry of Education, Taiwan through the Aiming for the Top University Plan [EMRPD1B0251, EMRPD1B0301]</t>
  </si>
  <si>
    <t xml:space="preserve">Linkou Chang Gung Memorial Hospital; National Science Council, Taiwan(Ministry of Science and Technology, Taiwan); Ministry of Education, Taiwan through the Aiming for the Top University Plan</t>
  </si>
  <si>
    <t xml:space="preserve">This research was supported by the Linkou Chang Gung Memorial Hospital through the research grants CMRPD290091 and CMRPD290092 and by the National Science Council, Taiwan (NMRPG376301). Support from The Ministry of Education, Taiwan through the Aiming for the Top University Plan (EMRPD1B0251 and EMRPD1B0301) is also appreciated.</t>
  </si>
  <si>
    <t xml:space="preserve">0166-0934</t>
  </si>
  <si>
    <t xml:space="preserve">1879-0984</t>
  </si>
  <si>
    <t xml:space="preserve">J VIROL METHODS</t>
  </si>
  <si>
    <t xml:space="preserve">J. Virol. Methods</t>
  </si>
  <si>
    <t xml:space="preserve">MAR 1</t>
  </si>
  <si>
    <t xml:space="preserve">10.1016/j.jviromet.2014.12.005</t>
  </si>
  <si>
    <t xml:space="preserve">Biochemical Research Methods; Biotechnology &amp; Applied Microbiology; Virology</t>
  </si>
  <si>
    <t xml:space="preserve">Biochemistry &amp; Molecular Biology; Biotechnology &amp; Applied Microbiology; Virology</t>
  </si>
  <si>
    <t xml:space="preserve">CF9YF</t>
  </si>
  <si>
    <t xml:space="preserve">WOS:000352923100024</t>
  </si>
  <si>
    <t xml:space="preserve">Brynes, A; Zhang, Y; Williams, JV</t>
  </si>
  <si>
    <t xml:space="preserve">Brynes, Adam; Zhang, Yu; Williams, John V.</t>
  </si>
  <si>
    <t xml:space="preserve">Human metapneumovirus SH protein promotes JAK1 degradation to impair host IL-6 signaling</t>
  </si>
  <si>
    <t xml:space="preserve">JOURNAL OF VIROLOGY</t>
  </si>
  <si>
    <t xml:space="preserve">virology; interferons; innate immunity; proteasome; HMPV; human metapneumovirus; Pneumoviridae</t>
  </si>
  <si>
    <t xml:space="preserve">RESPIRATORY SYNCYTIAL VIRUS; INCLUSION-BODIES; V PROTEIN; IN-VITRO; YOUNG; STAT1; NUCLEOPROTEIN; CYTOKINE; PATHWAY; ALPHA</t>
  </si>
  <si>
    <t xml:space="preserve">Human metapneumovirus (HMPV) is a leading cause of respiratory infections in children, older adults, and those with underlying conditions (K. M. Edwards et al., N Engl J Med 368:633-643, 2013, https://doi.org/10.1056/NEJMoa1204630; A. R. Falsey et al., J Infect Dis 187:785-790, 2003, https://doi.org/10.1086/367901; J. S. Kahn, Clin Microbiol Rev 19:546-557, 2006, https://doi.org/10.1128/CMR.00014-06; N. Shafagati and J. Williams, F1000Res 7:135, 2018, https://doi.org/10.12688/f1000research.12625.1). HMPV must evade immune defenses to replicate successfully; however, the viral proteins used to accomplish this are poorly characterized. The HMPV small hydrophobic (SH) protein has been reported to inhibit signaling through type I and type II interferon (IFN) receptors in vitro in part by preventing STAT1 phosphorylation (A. K. Hastings et al., Virology (Auckl) 494:248-256, 2016, https://doi.org/10.1016/j.virol.2016.04.022). HMPV infection also inhibits IL-6 signaling. However, the mechanisms by which SH inhibits signaling and its involvement in IL-6 signaling inhibition are unknown. Here, we used transfection of SH expression plasmids and SH-deleted virus (Delta SH) to show that SH is the viral factor responsible for the inhibition of IL-6 signaling during HMPV infection. Transfection of SH-expression vectors or infection with wild-type, but not Delta SH virus, blocked IL-6-mediated STAT3 activation. Furthermore, JAK1 protein (but not RNA) was significantly reduced in cells infected with wild-type, but not Delta SH virus. The SH-mediated reduction of JAK1 was partially restored by the addition of proteasome inhibitors, suggesting proteasomal degradation of JAK1. Confocal microscopy indicated that infection relocalized JAK1 to viral replication factories. Co-immunoprecipitation showed that SH interacts with JAK1 and ubiquitin, further linking SH to proteasomal degradation machinery. These data indicate that SH inhibits IL-6 and IFN signaling in infected cells in part by promoting proteasomal degradation of JAK1 and that SH is necessary for IL-6 and IFN signaling inhibition in infection. These findings enhance our understanding of the immune evasion mechanisms of an important respiratory pathogen. IMPORTANCE Human metapneumovirus (HMPV) is a common cause of severe respiratory illness, especially in children and older adults, in whom it is a leading cause of hospitalization. Prior research suggests that severe HMPV infection is driven by a strong immune response to the virus, especially by inflammatory immune signals like interferons (IFN). HMPV produces a small hydrophobic (SH) protein that is known to block IFN signaling, but the mechanism by which it functions and its ability to inhibit other important immune signals remains unexplored. This paper demonstrates that SH can inhibit another related immune signal, IL-6, and that SH depletes JAKs, which are critical proteins involved in both IL-6 and IFN signaling. A robust understanding of how HMPV and related viruses interfere with immune signals important for disease could pave the way for future treatments aimed at mitigating severe infections.</t>
  </si>
  <si>
    <t xml:space="preserve">[Brynes, Adam] Univ Pittsburgh, Sch Med, Program Microbiol &amp; Immunol, Pittsburgh, PA USA; [Brynes, Adam; Zhang, Yu; Williams, John V.] Univ Pittsburgh, Sch Med, Dept Pediat, UPMC Childrens Hosp Pittsburgh, Pittsburgh, PA 15224 USA</t>
  </si>
  <si>
    <t xml:space="preserve">Pennsylvania Commonwealth System of Higher Education (PCSHE); University of Pittsburgh; Pennsylvania Commonwealth System of Higher Education (PCSHE); University of Pittsburgh</t>
  </si>
  <si>
    <t xml:space="preserve">Williams, JV (corresponding author), Univ Pittsburgh, Sch Med, Dept Pediat, UPMC Childrens Hosp Pittsburgh, Pittsburgh, PA 15224 USA.</t>
  </si>
  <si>
    <t xml:space="preserve">jvw@chp.edu</t>
  </si>
  <si>
    <t xml:space="preserve">Williams, John/ABE-3227-2020; Williams, John/F-6962-2010</t>
  </si>
  <si>
    <t xml:space="preserve">Williams, John/0000-0001-8377-5175; Brynes, Adam/0000-0002-2367-8848</t>
  </si>
  <si>
    <t xml:space="preserve">HHS | National Institutes of Health (NIH)</t>
  </si>
  <si>
    <t xml:space="preserve">HHS | National Institutes of Health (NIH)(United States Department of Health &amp; Human ServicesNational Institutes of Health (NIH) - USAOffice of the Administrator (NIH))</t>
  </si>
  <si>
    <t xml:space="preserve">We would like to thank Drs. Neal Deluca, Rachel Gottschalk, Amy Hartman, Fred Homa, Larry Kane, and Saumen Sarkar for their advice and Dr. Jorna Sojati for protocols.</t>
  </si>
  <si>
    <t xml:space="preserve">AMER SOC MICROBIOLOGY</t>
  </si>
  <si>
    <t xml:space="preserve">1752 N ST NW, WASHINGTON, DC 20036-2904 USA</t>
  </si>
  <si>
    <t xml:space="preserve">0022-538X</t>
  </si>
  <si>
    <t xml:space="preserve">1098-5514</t>
  </si>
  <si>
    <t xml:space="preserve">J VIROL</t>
  </si>
  <si>
    <t xml:space="preserve">J. Virol.</t>
  </si>
  <si>
    <t xml:space="preserve">NOV 19</t>
  </si>
  <si>
    <t xml:space="preserve">10.1128/jvi.01104-24</t>
  </si>
  <si>
    <t xml:space="preserve">OCT 2024</t>
  </si>
  <si>
    <t xml:space="preserve">M7S1P</t>
  </si>
  <si>
    <t xml:space="preserve">Green Submitted</t>
  </si>
  <si>
    <t xml:space="preserve">WOS:001334166600003</t>
  </si>
  <si>
    <t xml:space="preserve">Setianingsih, TY; Wiyatno, A; Hartono, TS; Hindawati, E; Rosamarlina; Dewantari, AK; Myint, KS; Lisdawati, V; Safari, D</t>
  </si>
  <si>
    <t xml:space="preserve">Setianingsih, Tri Yuli; Wiyatno, Ageng; Hartono, Teguh Sarry; Hindawati, Evi; Rosamarlina; Dewantari, Aghnianditya Kresno; Myint, Khin Saw; Lisdawati, Vivi; Safari, Dodi</t>
  </si>
  <si>
    <t xml:space="preserve">Detection of multiple viral sequences in the respiratory tract samples of suspected Middle East respiratory syndrome coronavirus patients in Jakarta, Indonesia 2015-2016</t>
  </si>
  <si>
    <t xml:space="preserve">INTERNATIONAL JOURNAL OF INFECTIOUS DISEASES</t>
  </si>
  <si>
    <t xml:space="preserve">Viral; Pneumonia; PCR; MERS-CoV; Indonesia</t>
  </si>
  <si>
    <t xml:space="preserve">Objectives: The identification and analysis of viral etiological agents from suspected Middle East respiratory syndrome coronavirus (MERS-CoV) cases admitted to Prof. Dr. Sulianti Saroso Infectious Disease Hospital (IDH) using molecular assays. Methods: Biological samples were collected from 13 hospitalized patients suspected of MERS-CoV infection in Prof. Dr. Sulianti Saroso IDH from July 2015 to December 2016. The majority of patients presented with pneumonia, with symptoms including fever (&gt;= 37.5 degrees C), labored breathing, and cough, and with a history of travel to the Middle East. Viral RNA was isolated and converted to cDNA, which was used as a template for the detection of 12 viral panels using conventional PCR and sequencing. Results: Viral etiological agents detected in the patients were enterovirus D68, dengue virus type 3, rhinovirus C, human coronavirus 229E, herpes simplex virus type 1, influenza virus H1N1, influenza virus H3N2, human metapneumovirus, and rhinovirus A60. Conclusions: The sequences of nine viral agents under different taxa were detected in suspected MERS-CoV patients, including influenza virus, paramyxovirus, coronavirus, enterovirus, human metapneumovirus, and herpesvirus. (C) 2019 The Author(s). Published by Elsevier Ltd on behalf of International Society for Infectious Diseases.</t>
  </si>
  <si>
    <t xml:space="preserve">[Setianingsih, Tri Yuli; Hartono, Teguh Sarry; Hindawati, Evi; Rosamarlina; Lisdawati, Vivi] Prof Dr Sulianti Saroso Infect Dis Hosp, Jakarta, Indonesia; [Wiyatno, Ageng; Dewantari, Aghnianditya Kresno; Myint, Khin Saw; Safari, Dodi] Eijkman Inst Mol Biol, Jakarta, Indonesia</t>
  </si>
  <si>
    <t xml:space="preserve">Eijkman Institute</t>
  </si>
  <si>
    <t xml:space="preserve">Safari, D (corresponding author), Eijkman Inst Mol Biol, Jakarta, Indonesia.</t>
  </si>
  <si>
    <t xml:space="preserve">safari@eijkman.go.id</t>
  </si>
  <si>
    <t xml:space="preserve">Myint, Khin/HHS-2027-2022</t>
  </si>
  <si>
    <t xml:space="preserve">Myint, Khin/0000-0002-2087-7331</t>
  </si>
  <si>
    <t xml:space="preserve">Eijkman Institute of Molecular Biology; United States Agency for International Development (USAID) Emerging Pandemic Threats Program; Prof. Dr. Sulianti Saroso IDH, Indonesia</t>
  </si>
  <si>
    <t xml:space="preserve">Eijkman Institute of Molecular Biology; United States Agency for International Development (USAID) Emerging Pandemic Threats Program(United States Agency for International Development (USAID)); Prof. Dr. Sulianti Saroso IDH, Indonesia</t>
  </si>
  <si>
    <t xml:space="preserve">This study was supported by the Eijkman Institute of Molecular Biology and Prof. Dr. Sulianti Saroso IDH, Indonesia. We thank the United States Agency for International Development (USAID) Emerging Pandemic Threats Program for their support on the protocols used in the study.</t>
  </si>
  <si>
    <t xml:space="preserve">ELSEVIER SCI LTD</t>
  </si>
  <si>
    <t xml:space="preserve">OXFORD</t>
  </si>
  <si>
    <t xml:space="preserve">THE BOULEVARD, LANGFORD LANE, KIDLINGTON, OXFORD OX5 1GB, OXON, ENGLAND</t>
  </si>
  <si>
    <t xml:space="preserve">1201-9712</t>
  </si>
  <si>
    <t xml:space="preserve">1878-3511</t>
  </si>
  <si>
    <t xml:space="preserve">INT J INFECT DIS</t>
  </si>
  <si>
    <t xml:space="preserve">Int. J. Infect. Dis.</t>
  </si>
  <si>
    <t xml:space="preserve">10.1016/j.ijid.2019.06.022</t>
  </si>
  <si>
    <t xml:space="preserve">IW2AI</t>
  </si>
  <si>
    <t xml:space="preserve">WOS:000484773800017</t>
  </si>
  <si>
    <t xml:space="preserve">Semple, MG; Booth, JA; Ebrahimi, B</t>
  </si>
  <si>
    <t xml:space="preserve">Semple, M. G.; Booth, J. A.; Ebrahimi, B.</t>
  </si>
  <si>
    <t xml:space="preserve">Most human metapneumovirus and human respiratory syncytial virus in infant nasal secretions is cell free</t>
  </si>
  <si>
    <t xml:space="preserve">viral-load quantification; hRSV; hMPV; nasopharyngeal aspirate; human infants</t>
  </si>
  <si>
    <t xml:space="preserve">CHILDREN</t>
  </si>
  <si>
    <t xml:space="preserve">Background: Nasopharyngeal secretions aspirated from infants with bronchiolitis (NPA) are a valuable resource for the study of virus dynamics and local inflammatory responses, however samples are small and difficult to manipulate. Objectives: To improve yield of NPA from infants. To establish if removal of the cellular component of NPA affects quantification of human metapneumovirus (hMPV) or human respiratory syncytial virus (hRSV) genome. Study design: Weight of NPA collected into traps from 30 infants was compared with that collected in trap plus catheter and washed through with saline from another 30 infants. hMPV (n = 33) and hRSV (n = 30) genome was measured by reverse-transcribed real-time polymerase chain reaction (RT-RT-PCR) in paired whole and cell-free NPA collected by the improved method. Results: The improved method of NPA collection gave near two-fold greater weight (p =0.002) of NPA (mean =0.52 g (S.D. =0.30 g)) than the traditional method (0.32 g (S.D. 0.19)). There was strong agreement and no significant difference between viral load measured in whole -free fractions of NPA for both viruses (samples (it), correlation coefficient (cc) and significance (P)); hMPV (17 = 33, cc = 0.938, and cell p &lt; 0.001) and hRSV (it = 30, cc = 0.977 and p &lt; 0.001). Conclusions: The majority of hRSV and hMPV in nasal secretions is not associated with cells. Removal of the cellular component of NPA does not interfere with quantification of hRSV and hMPV. (C) 2007 Elsevier B.V. All rights reserved.</t>
  </si>
  <si>
    <t xml:space="preserve">Univ Liverpool, Sch Reprod &amp; Dev Med, Sch Infect &amp; Host Def, Div Child Hlth, Liverpool L69 3BX, Merseyside, England; Univ Liverpool, Sch Infect &amp; Host Def, Div Med Microbiol &amp; GenitoUrinary Med, Liverpool L69 3BX, Merseyside, England</t>
  </si>
  <si>
    <t xml:space="preserve">University of Liverpool; University of Liverpool</t>
  </si>
  <si>
    <t xml:space="preserve">Semple, MG (corresponding author), Alder Hey Childrens Hosp, Inst Child Hlth, Eaton Rd, Liverpool L12 2AP, Merseyside, England.</t>
  </si>
  <si>
    <t xml:space="preserve">m.g.semple@liv.ac.uk</t>
  </si>
  <si>
    <t xml:space="preserve">; Semple, Malcolm Gracie/A-8790-2008</t>
  </si>
  <si>
    <t xml:space="preserve">Ebrahimi, Bahram/0000-0002-8758-4592; Semple, Malcolm Gracie/0000-0001-9700-0418</t>
  </si>
  <si>
    <t xml:space="preserve">NOV</t>
  </si>
  <si>
    <t xml:space="preserve">10.1016/j.jcv.2007.08.019</t>
  </si>
  <si>
    <t xml:space="preserve">231GT</t>
  </si>
  <si>
    <t xml:space="preserve">WOS:000250935300013</t>
  </si>
  <si>
    <t xml:space="preserve">Dubert, M; Visseaux, B; Birgy, A; Mordant, P; Metivier, AC; Dauriat, G; Fidouh, N; Yazdanpanah, Y; Grall, N; Castier, Y; Mal, H; Thabut, G; Lescure, FX</t>
  </si>
  <si>
    <t xml:space="preserve">Dubert, Marie; Visseaux, Benoit; Birgy, Andre; Mordant, Pierre; Metivier, Anne-Cecile; Dauriat, Gaelle; Fidouh, Nadhira; Yazdanpanah, Yazdan; Grall, Nathalie; Castier, Yves; Mal, Herve; Thabut, Gabriel; Lescure, Francois-Xavier</t>
  </si>
  <si>
    <t xml:space="preserve">Late viral or bacterial respiratory infections in lung transplanted patients: impact on respiratory function</t>
  </si>
  <si>
    <t xml:space="preserve">Viral respiratory infections; Lung graft patients; Bacterial respiratory infection; Lung graft acute rejection; Chronic lung allograft dysfunction</t>
  </si>
  <si>
    <t xml:space="preserve">BRONCHIOLITIS OBLITERANS SYNDROME; INTERNATIONAL SOCIETY; HUMAN METAPNEUMOVIRUS; VIRUS-INFECTION; ADULT LUNG; ALLOGRAFT; RECIPIENTS; REJECTION; TRACT; EPIDEMIOLOGY</t>
  </si>
  <si>
    <t xml:space="preserve">BackgroundRespiratory infections are a major threat for lung recipients. We aimed to compare with a monocentric study the impact of late viral and bacterial respiratory infections on the graft function.MethodsPatients, who survived 6 months or more following lung transplantation that took place between 2009 and 2014, were classified into three groups: a viral infection group (VIG) (without any respiratory bacteria), a bacterial infection group (BIG) (with or without any respiratory viruses), and a control group (CG) (no documented infection). Chronic lung allograft dysfunction (CLAD) and acute rejection were analysed 6 months after the inclusion in the study.ResultsAmong 99 included lung recipients, 57 (58%) had at least one positive virological respiratory sample during the study period. Patients were classified as follows: 38 in the VIG, 25 in the BIG (among which 19 co-infections with a virus) and 36 in the CG. The BIG presented a higher initial deterioration in lung function (p=0.05) than the VIG. But 6 months after the infection, only the VIG presented a median decrease of forced expiratory volume in 1s; -35mL (IQR; -340; +80) in the VIG, +140mL (+60;+330) in the BIG and+10 (-84;+160) in the CG, p&lt;0.01. Acute rejection was more frequent in the VIG (n=12 (32%)), than the BIG (n=6 (24%)) and CG (n=3 (8%)), p&lt;0.05, despite presenting no more CLAD (p=0.21).ConclusionsDespite a less severe initial presentation, single viral respiratory infections seem to lead to a greater deterioration in lung function, and to more acute rejection, than bacterial infections.</t>
  </si>
  <si>
    <t xml:space="preserve">[Dubert, Marie; Yazdanpanah, Yazdan; Lescure, Francois-Xavier] Hop Bichat Claude Bernard, AP HP, Serv Malad Infect &amp; Trop, 46 Rue Henri Huchard, F-75018 Paris, France; [Visseaux, Benoit; Birgy, Andre; Yazdanpanah, Yazdan; Grall, Nathalie; Lescure, Francois-Xavier] INSERM, IAME, UMR 1137, F-75018 Paris, France; [Visseaux, Benoit; Birgy, Andre; Yazdanpanah, Yazdan; Grall, Nathalie; Lescure, Francois-Xavier] Univ Paris Diderot, IAME, UMR 1137, Sorbonne Paris Cite, F-75018 Paris, France; [Visseaux, Benoit; Fidouh, Nadhira] Hop Bichat Claude Bernard, AP HP, Lab Virol, F-75018 Paris, France; [Birgy, Andre] Hop Robert Debre, AP HP, Lab Microbiol, F-75019 Paris, France; [Mordant, Pierre; Castier, Yves] Hop Bichat Claude Bernard, AP HP, Serv Chirurg Thorac, F-75018 Paris, France; [Metivier, Anne-Cecile; Dauriat, Gaelle; Mal, Herve; Thabut, Gabriel] Hop Bichat Claude Bernard, AP HP, Serv Pneumol, F-75018 Paris, France; [Grall, Nathalie] Hop Bichat Claude Bernard, AP HP, Lab Microbiol, F-75018 Paris, France</t>
  </si>
  <si>
    <t xml:space="preserve">Assistance Publique Hopitaux Paris (APHP); Universite Paris Cite; Hopital Universitaire Bichat-Claude Bernard - APHP; Institut National de la Sante et de la Recherche Medicale (Inserm); Universite Paris Cite; Universite Paris Cite; Universite Paris Cite; Assistance Publique Hopitaux Paris (APHP); Hopital Universitaire Bichat-Claude Bernard - APHP; Universite Paris Cite; Assistance Publique Hopitaux Paris (APHP); Hopital Universitaire Robert-Debre - APHP; Universite Paris Cite; Assistance Publique Hopitaux Paris (APHP); Hopital Universitaire Bichat-Claude Bernard - APHP; Assistance Publique Hopitaux Paris (APHP); Universite Paris Cite; Hopital Universitaire Bichat-Claude Bernard - APHP; Assistance Publique Hopitaux Paris (APHP); Universite Paris Cite; Hopital Universitaire Bichat-Claude Bernard - APHP</t>
  </si>
  <si>
    <t xml:space="preserve">Dubert, M; Lescure, FX (corresponding author), Hop Bichat Claude Bernard, AP HP, Serv Malad Infect &amp; Trop, 46 Rue Henri Huchard, F-75018 Paris, France.;Lescure, FX (corresponding author), INSERM, IAME, UMR 1137, F-75018 Paris, France.;Lescure, FX (corresponding author), Univ Paris Diderot, IAME, UMR 1137, Sorbonne Paris Cite, F-75018 Paris, France.</t>
  </si>
  <si>
    <t xml:space="preserve">marie.dubert@aphp.fr; xavier.lescure@aphp.fr</t>
  </si>
  <si>
    <t xml:space="preserve">Lescure, Xavier/AAM-5261-2020; Grall, Nathalie/HDN-9600-2022</t>
  </si>
  <si>
    <t xml:space="preserve">Visseaux, Benoit/0000-0002-9279-5538</t>
  </si>
  <si>
    <t xml:space="preserve">FEB 24</t>
  </si>
  <si>
    <t xml:space="preserve">10.1186/s12879-020-4877-3</t>
  </si>
  <si>
    <t xml:space="preserve">KV5QP</t>
  </si>
  <si>
    <t xml:space="preserve">WOS:000520537800004</t>
  </si>
  <si>
    <t xml:space="preserve">Schlaudecker, EP; Heck, JP; MacIntyre, ET; Martinez, R; Dodd, CN; McNeal, MM; Staat, MA; Heck, JE; Steinhoff, MC</t>
  </si>
  <si>
    <t xml:space="preserve">Schlaudecker, Elizabeth P.; Heck, Joan P.; MacIntyre, Elizabeth T.; Martinez, Ruben; Dodd, Caitlin N.; McNeal, Monica M.; Staat, Mary A.; Heck, Jeffery E.; Steinhoff, Mark C.</t>
  </si>
  <si>
    <t xml:space="preserve">Etiology and Seasonality of Viral Respiratory Infections in Rural Honduran Children</t>
  </si>
  <si>
    <t xml:space="preserve">viral respiratory infections; influenza; seasonality; Honduras; child</t>
  </si>
  <si>
    <t xml:space="preserve">COMMUNITY-ACQUIRED PNEUMONIA; HOSPITALIZED CHILDREN; YOUNG-CHILDREN; VITAMIN-D; INFLUENZA; MORTALITY; VIRUSES; TROPICS; BURDEN; BRAZIL</t>
  </si>
  <si>
    <t xml:space="preserve">Background: Limited data are available in Honduras that describe the etiology and seasonality of respiratory infections, especially in rural outpatient settings. Better data may lead to improved therapeutic and preventive strategies. The goal of our study was to determine the viral etiology and seasonality of acute respiratory infections in a rural Honduran population of children. Methods: Prospective clinic surveillance was conducted to identify children &lt; 5 years of age presenting with respiratory symptoms of &lt; 5 days duration. We obtained data on age, sex, medical history, breastfeeding history, symptoms, risk factors, household setting, temperature, respiratory rate and chest examination findings. To assess the association between specific viruses and weather, regional meteorological data were collected. Nasopharyngeal samples were tested for 16 respiratory viruses using a multiplex polymerase chain reaction panel. Results: From February 2010 through June 2011, 345 children &lt; 5 years of age were enrolled; 17%, 23%, 30% and 31% were &lt;6, 6-11, 12-23 and 24-60 months old, respectively. Including all clinics in the region, 44.5% of patients &lt; 5 years of age with documented respiratory diagnoses were enrolled. At least 1 virus was identified in 75.4% children, of which 7.5% were coinfections; 13.3% were positive for parainfluenza, 11.9% for influenza, 8.1% for human metapneumovirus and 7.5% for respiratory syncytial virus. Rainfall correlated with parainfluenza (P &lt; 0.0001), influenza (P &lt; 0.0001), human metapneumovirus (P = 0.0182) and respiratory syncytial virus (P &lt; 0.0001). Conclusions: These results suggest that the spectrum of viruses in ill, rural, Honduran children is similar to that in North and Central America, although the seasonality is typical of some tropical regions.</t>
  </si>
  <si>
    <t xml:space="preserve">[Schlaudecker, Elizabeth P.; Dodd, Caitlin N.; McNeal, Monica M.; Staat, Mary A.; Steinhoff, Mark C.] Cincinnati Childrens Hosp &amp; Med Ctr, Global Hlth Ctr, Cincinnati, OH USA; [Heck, Joan P.] Harvard Univ, Cambridge, MA 02138 USA; [MacIntyre, Elizabeth T.] Cornell Univ, Weill Cornell Med Coll, New York, NY 10021 USA; [Martinez, Ruben] Shoulder Shoulder, Santa Lucia, Intibuca, Honduras; [Heck, Jeffery E.] Univ N Carolina, Dept Family Med, Asheville, NC 28804 USA</t>
  </si>
  <si>
    <t xml:space="preserve">Cincinnati Children's Hospital Medical Center; Harvard University; Cornell University; Weill Cornell Medicine; University of North Carolina; University of North Carolina - Asheville</t>
  </si>
  <si>
    <t xml:space="preserve">Schlaudecker, EP (corresponding author), Cincinnati Childrens Hosp Med Ctr, 3333 Burnet Ave,MLC 7017, Cincinnati, OH 45229 USA.</t>
  </si>
  <si>
    <t xml:space="preserve">elizabeth.schlaudecker@cchmc.org</t>
  </si>
  <si>
    <t xml:space="preserve">Martínez, Rubén/JJE-1024-2023</t>
  </si>
  <si>
    <t xml:space="preserve">Schlaudecker, Elizabeth/0000-0001-5280-4439; McNeal, Monica/0000-0002-3784-9062</t>
  </si>
  <si>
    <t xml:space="preserve">National Institutes of Health [5 R24 TW007988-03]; Division of Infectious Diseases at Cincinnati Children's Hospital Medical Center</t>
  </si>
  <si>
    <t xml:space="preserve">National Institutes of Health(United States Department of Health &amp; Human ServicesNational Institutes of Health (NIH) - USA); Division of Infectious Diseases at Cincinnati Children's Hospital Medical Center</t>
  </si>
  <si>
    <t xml:space="preserve">This work was supported by the Fogarty International Clinical Research Scholars and Fellows program (5 R24 TW007988-03), National Institutes of Health, and the Division of Infectious Diseases at Cincinnati Children's Hospital Medical Center. The authors have no other funding or conflicts of interest to disclose.</t>
  </si>
  <si>
    <t xml:space="preserve">530 WALNUT ST, PHILADELPHIA, PA 19106-3621 USA</t>
  </si>
  <si>
    <t xml:space="preserve">10.1097/INF.0b013e31826052eb</t>
  </si>
  <si>
    <t xml:space="preserve">029XW</t>
  </si>
  <si>
    <t xml:space="preserve">WOS:000310532000009</t>
  </si>
  <si>
    <t xml:space="preserve">Gardinassi, LG; Simas, PVM; Salomao, JB; Durigon, EL; Trevisan, DMZ; Cordeiro, JA; Lacerda, MN; Rahal, P; de Souza, FP</t>
  </si>
  <si>
    <t xml:space="preserve">Gardinassi, Luiz Gustavo; Marques Simas, Paulo Vitor; Salomao, Joao Batista; Durigon, Edison Luiz; Zanetta Trevisan, Dirce Maria; Cordeiro, Jose Antonio; Lacerda, Mauricio Nogueira; Rahal, Paula; de Souza, Fatima Pereira</t>
  </si>
  <si>
    <t xml:space="preserve">SEASONALITY OF VIRAL RESPIRATORY INFECTIONS IN SOUTHEAST OF BRAZIL: THE INFLUENCE OF TEMPERATURE AND AIR HUMIDITY</t>
  </si>
  <si>
    <t xml:space="preserve">BRAZILIAN JOURNAL OF MICROBIOLOGY</t>
  </si>
  <si>
    <t xml:space="preserve">Viral Respiratory Infections; HRSV; HRV; Temperature; Relative Air Humidity</t>
  </si>
  <si>
    <t xml:space="preserve">SYNCYTIAL VIRUS-INFECTION; HUMAN METAPNEUMOVIRUS; CLIMATE-CHANGE; TRACT INFECTIONS; CHILDREN; DISEASE; YOUNG; EPIDEMIOLOGY; TRANSMISSION; CARE</t>
  </si>
  <si>
    <t xml:space="preserve">Viruses are the major cause of lower respiratory tract infections in childhood and the main viruses involved are Human Respiratory Syncytial Virus (HRSV), Human Metapneumovirus (HMPV), Influenzavirus A and B (FLUA and FLUB), Human Parainfluenza Virus 1, 2 and 3 (HPIV1, 2 and 3) and Human Rhinovirus (HRV). The purposes of this study were to detect respiratory viruses in hospitalized children younger than six years and identify the influence of temperature and relative air humidity on the detected viruses. Samples of nasopharyngeal washes were collected from hospitalized children between May/2004 and September/2005. Methods of viral detection were RT-PCR, PCR and HRV amplicons were confirmed by hybridization. Results showed 54% (148/272) of viral positivity. HRSV was detected in 29% (79/272) of the samples; HRV in 23.1% (63/272); HPIV3 in 5.1% (14/272); HMPV in 3.3% (9/272); HPIV1 in 2.9% (8/272); FLUB in 1.4% (4/272), FLUA in 1.1% (3/272), and HPIV2 in 0.3% (1/272). The highest detection rates occurred mainly in the spring 2004 and in the autumn 2005. It was observed that viral respiratory infections tend to increase as the relative air humidity decreases, showing significant association with monthly averages of minimal temperature and minimal relative air humidity. In conclusion, viral respiratory infections vary according to temperature and relative air humidity and viral respiratory infections present major incidences it coldest and driest periods.</t>
  </si>
  <si>
    <t xml:space="preserve">[de Souza, Fatima Pereira] Univ Estadual Paulista, Inst Biociencias Letras &amp; Ciencias Exatas, Dept Fis, Sao Jose Do Rio Preto, SP, Brazil; [Gardinassi, Luiz Gustavo; Marques Simas, Paulo Vitor; Rahal, Paula] Univ Estadual Paulista, Inst Biociencias Letras &amp; Ciencias Exatas, Dept Biol, Ribeirao Preto, SP, Brazil; [Salomao, Joao Batista] Fac Med Sao Jose do Rio Preto, Dept Pediat &amp; Cirurgia Pediat Pediat &amp; Puericultu, Sao Jose Do Rio Preto, SP, Brazil; [Durigon, Edison Luiz] Univ Sao Paulo, Inst Ciencias Biomed, Dept Microbiol, Sao Paulo, Brazil; [Zanetta Trevisan, Dirce Maria] Univ Sao Paulo, Fac Saude Publ, Sao Paulo, Brazil; [Cordeiro, Jose Antonio] Fac Med Sao Jose do Rio Preto, Dept Epidemiol &amp; Saude Colet, Sao Jose Do Rio Preto, SP, Brazil; [Lacerda, Mauricio Nogueira] Fac Med Sao Jose do Rio Preto, Dept Doencas Infecciosas &amp; Parasitarias, Lab Pesquisas Virol, Sao Jose Do Rio Preto, SP, Brazil</t>
  </si>
  <si>
    <t xml:space="preserve">Universidade Estadual Paulista; Universidade Estadual Paulista; Universidade de Sao Paulo; Faculdade de Medicina de Sao Jose do Rio Preto (FAMERP); Universidade de Sao Paulo; Universidade de Sao Paulo; Universidade de Sao Paulo; Faculdade de Medicina de Sao Jose do Rio Preto (FAMERP); Universidade de Sao Paulo; Faculdade de Medicina de Sao Jose do Rio Preto (FAMERP)</t>
  </si>
  <si>
    <t xml:space="preserve">de Souza, FP (corresponding author), Univ Sao Paulo State, Inst Biociencias Letras &amp; Ciencias Exatas, Dept Phis, Cristovao Colombo St 2265, BR-15054000 Sao Jose Do Rio Preto, SP, Brazil.</t>
  </si>
  <si>
    <t xml:space="preserve">fatyssouza@yahoo.com.br</t>
  </si>
  <si>
    <t xml:space="preserve">Gardinassi, Luiz/V-2225-2019; Zanetta, Dirce/G-4950-2013; Gardinassi, Luiz Gustavo/K-6276-2012; Rahal, Paula/D-3871-2012</t>
  </si>
  <si>
    <t xml:space="preserve">Gardinassi, Luiz Gustavo/0000-0002-9027-2688; Durigon, Edison/0000-0003-4898-6553; Simas, Paulo Vitor Marques/0000-0003-2241-6915; Pereira de Souza, Fatima/0000-0002-4731-4977; Rahal, Paula/0000-0001-5693-6148</t>
  </si>
  <si>
    <t xml:space="preserve">Fundacao de Amparo a Pesquisa do Estado de Sao Paulo [02/08461-2, 04/06883-2]</t>
  </si>
  <si>
    <t xml:space="preserve">Fundacao de Amparo a Pesquisa do Estado de Sao Paulo(Fundacao de Amparo a Pesquisa do Estado de Sao Paulo (FAPESP))</t>
  </si>
  <si>
    <t xml:space="preserve">To Fundacao de Amparo a Pesquisa do Estado de Sao Paulo for the financial support (02/08461-2 and 04/06883-2 process) and Juliana Ribeiro for the samples collect.</t>
  </si>
  <si>
    <t xml:space="preserve">ONE NEW YORK PLAZA, SUITE 4600, NEW YORK, NY, UNITED STATES</t>
  </si>
  <si>
    <t xml:space="preserve">1517-8382</t>
  </si>
  <si>
    <t xml:space="preserve">1678-4405</t>
  </si>
  <si>
    <t xml:space="preserve">BRAZ J MICROBIOL</t>
  </si>
  <si>
    <t xml:space="preserve">Braz. J. Microbiol.</t>
  </si>
  <si>
    <t xml:space="preserve">JAN-MAR</t>
  </si>
  <si>
    <t xml:space="preserve">941CH</t>
  </si>
  <si>
    <t xml:space="preserve">WOS:000303939800011</t>
  </si>
  <si>
    <t xml:space="preserve">Tsalik, EL; Fiorino, C; Aqeel, A; Liu, YL; Henao, R; Ko, ER; Burke, TW; Reller, ME; Bodinayake, CK; Nagahawatte, A; Arachchi, WK; Devasiri, V; Kurukulasooriya, R; McClain, MT; Woods, CW; Ginsburg, GS; Tillekeratne, LG; Schughart, K</t>
  </si>
  <si>
    <t xml:space="preserve">Tsalik, Ephraim L.; Fiorino, Cassandra; Aqeel, Ammara; Liu, Yiling; Henao, Ricardo; Ko, Emily R.; Burke, Thomas W.; Reller, Megan E.; Bodinayake, Champica K.; Nagahawatte, Ajith; Arachchi, Wasantha K.; Devasiri, Vasantha; Kurukulasooriya, Ruvini; McClain, Micah T.; Woods, Christopher W.; Ginsburg, Geoffrey S.; Tillekeratne, L. Gayani; Schughart, Klaus</t>
  </si>
  <si>
    <t xml:space="preserve">The Host Response to Viral Infections Reveals Common and Virus-Specific Signatures in the Peripheral Blood</t>
  </si>
  <si>
    <t xml:space="preserve">viral respiratory infections; host response (HR); human patients; influenza; enterovirus; rhinovirus (RV); metapneumovirus; dengue virus (DEN)</t>
  </si>
  <si>
    <t xml:space="preserve">IMMUNE-RESPONSE; TRANSCRIPTIONAL SIGNATURES; EXPRESSION; BACTERIAL; PATTERNS</t>
  </si>
  <si>
    <t xml:space="preserve">Viruses cause a wide spectrum of clinical disease, the majority being acute respiratory infections (ARI). In most cases, ARI symptoms are similar for different viruses although severity can be variable. The objective of this study was to understand the shared and unique elements of the host transcriptional response to different viral pathogens. We identified 162 subjects in the US and Sri Lanka with infections due to influenza, enterovirus/rhinovirus, human metapneumovirus, dengue virus, cytomegalovirus, Epstein Barr Virus, or adenovirus. Our dataset allowed us to identify common pathways at the molecular level as well as virus-specific differences in the host immune response. Conserved elements of the host response to these viral infections highlighted the importance of interferon pathway activation. However, the magnitude of the responses varied between pathogens. We also identified virus-specific responses to influenza, enterovirus/rhinovirus, and dengue infections. Influenza-specific differentially expressed genes (DEG) revealed up-regulation of pathways related to viral defense and down-regulation of pathways related to T cell and neutrophil responses. Functional analysis of entero/rhinovirus-specific DEGs revealed up-regulation of pathways for neutrophil activation, negative regulation of immune response, and p38MAPK cascade and down-regulation of virus defenses and complement activation. Functional analysis of dengue-specific up-regulated DEGs showed enrichment of pathways for DNA replication and cell division whereas down-regulated DEGs were mainly associated with erythrocyte and myeloid cell homeostasis, reactive oxygen and peroxide metabolic processes. In conclusion, our study will contribute to a better understanding of molecular mechanisms to viral infections in humans and the identification of biomarkers to distinguish different types of viral infections.</t>
  </si>
  <si>
    <t xml:space="preserve">[Tsalik, Ephraim L.; Fiorino, Cassandra; Liu, Yiling; Henao, Ricardo; Ko, Emily R.; Burke, Thomas W.; McClain, Micah T.; Woods, Christopher W.; Ginsburg, Geoffrey S.; Tillekeratne, L. Gayani] Duke Univ, Sch Med, Duke Ctr Appl Genom &amp; Precis Med, Durham, NC USA; [Tsalik, Ephraim L.] Durham Vet Affairs Hlth Care Syst, Emergency Dept Serv, Durham, NC USA; [Tsalik, Ephraim L.; Reller, Megan E.; McClain, Micah T.; Woods, Christopher W.; Tillekeratne, L. Gayani] Duke Univ, Sch Med, Dept Med, Div Infect Dis, Durham, NC 27706 USA; [Aqeel, Ammara] Duke Univ, Sch Med, Duke Mol Genet &amp; Microbiol, Durham, NC USA; [Henao, Ricardo] Duke Univ, Dept Elect &amp; Comp Engn, Durham, NC USA; [Ko, Emily R.] Duke Reg Hosp, Dept Med, Durham, NC USA; [Bodinayake, Champica K.; Nagahawatte, Ajith; Devasiri, Vasantha; Kurukulasooriya, Ruvini] Univ Ruhuna, Fac Med, Galle, Sri Lanka; [Arachchi, Wasantha K.] Teaching Hosp Karapitiya, Galle, Sri Lanka; [McClain, Micah T.; Woods, Christopher W.; Tillekeratne, L. Gayani] Durham Vet Affairs Hlth Care Syst, Med Serv, Durham, NC USA; [Schughart, Klaus] Helmholtz Ctr Infect Res, Dept Infect Genet, Braunschweig, Germany; [Schughart, Klaus] Univ Vet Med Hannover, Hannover, Germany; [Schughart, Klaus] Univ Tennessee, Ctr Hlth Sci, Dept Microbiol Immunol &amp; Biochem, Memphis, TN 38163 USA</t>
  </si>
  <si>
    <t xml:space="preserve">Duke University; Duke University; Duke University; Duke University; University Ruhuna; Helmholtz Association; Helmholtz-Center for Infection Research; University of Veterinary Medicine Hannover; University of Tennessee System; University of Tennessee Health Science Center</t>
  </si>
  <si>
    <t xml:space="preserve">Schughart, K (corresponding author), Helmholtz Ctr Infect Res, Dept Infect Genet, Braunschweig, Germany.;Schughart, K (corresponding author), Univ Vet Med Hannover, Hannover, Germany.;Schughart, K (corresponding author), Univ Tennessee, Ctr Hlth Sci, Dept Microbiol Immunol &amp; Biochem, Memphis, TN 38163 USA.</t>
  </si>
  <si>
    <t xml:space="preserve">kls@helmholtz-hzi.de</t>
  </si>
  <si>
    <t xml:space="preserve">Henao, Ricardo/Q-1381-2016; liu, yiling/HNS-6339-2023; McClain, MIcah/LQJ-0085-2024</t>
  </si>
  <si>
    <t xml:space="preserve">Fiorino, Cassandra/0000-0003-2499-556X; Tsalik, Ephraim/0000-0002-6417-2042</t>
  </si>
  <si>
    <t xml:space="preserve">National Institute of Allergy and Infectious Diseases [U19AI100625] Funding Source: NIH RePORTER</t>
  </si>
  <si>
    <t xml:space="preserve">OCT 27</t>
  </si>
  <si>
    <t xml:space="preserve">10.3389/fimmu.2021.741837</t>
  </si>
  <si>
    <t xml:space="preserve">WW0PV</t>
  </si>
  <si>
    <t xml:space="preserve">WOS:000717630200001</t>
  </si>
  <si>
    <t xml:space="preserve">Jones, CG; Escarate, E; Clarke, E; Clark, P; Norton, S; Bag, S; Kok, J; Dwyer, D; Lindley, RI; Booy, R</t>
  </si>
  <si>
    <t xml:space="preserve">Jones, Christian G.; Escarate, Elizabeth; Clarke, Elizabeth; Clark, Penelope; Norton, Sophie; Bag, Shopna; Kok, Jen; Dwyer, Dominic; Lindley, Richard, I; Booy, Robert</t>
  </si>
  <si>
    <t xml:space="preserve">Outbreaks of Human Metapneumovirus in Western Sydney Aged-Care Facilities in 2018</t>
  </si>
  <si>
    <t xml:space="preserve">COMMUNICABLE DISEASES INTELLIGENCE</t>
  </si>
  <si>
    <t xml:space="preserve">Viral respiratory illness; aged care; human metapneumovirus</t>
  </si>
  <si>
    <t xml:space="preserve">INFECTION</t>
  </si>
  <si>
    <t xml:space="preserve">Background Human metapneumovirus (hMPV), first described in 2001, is a cause of acute respiratory tract infection in the elderly, with symptoms ranging from mild to severe, including pneumonia, but outbreaks are rarely described. Methods Between 1 July and 31 December 2018, there were three outbreaks of Influenza-like Illness (ILI) where hMPV was the primary pathogen observed, among 64 aged-care facilities (ACFs) in Western Sydney. These outbreaks were investigated by the Western Sydney Local Health District (WSLHD) Public Health Unit (PHU); multiplex polymerase chain reaction (PCR) testing was performed on nasopharyngeal swabs collected by the ACF. Results hMPV was the main causative pathogen in three outbreaks (27, 28, and 15 symptomatic cases, respectively) in late winter and early spring. Fifty-five residents and 15 staff cases (70 total cases) were identified; hMPV was detected in 12 of 63 specimens submitted. Of the cases in residents, eight were hospitalised (8/63; 15%), including five with confirmed hMPV and a further one epidemiologically linked to a positive case. Six residents died (6/63; 11%) during the hMPV outbreaks; four of these had laboratory-confirmed hMPV, with a further case epidemiologically linked to a hMPV case, with a primary diagnosis of pneumonia/viral pneumonia. The sixth death was not epidemiologically linked, nor did this case exhibit any respiratory symptoms during the outbreak; however, it was reported in line with public health guidelines. Conclusion A major challenge in 2018 was the incompleteness of testing for, and awareness of, hMPV as a viral cause of ILI by facilities, laboratories, and emergency departments, which generally opted for rapid testing for influenza and RSV only. There is no licensed vaccine or approved treatment for hMPV, so efficient infection control measures are most important.</t>
  </si>
  <si>
    <t xml:space="preserve">[Jones, Christian G.; Bag, Shopna; Lindley, Richard, I; Booy, Robert] Univ Sydney, Sydney Med Sch, Sydney, NSW, Australia; [Jones, Christian G.; Escarate, Elizabeth; Clarke, Elizabeth; Clark, Penelope; Norton, Sophie; Bag, Shopna] Ctr Populat Hlth, Western Sydney Publ Hlth Unit, North Parramatta, NSW, Australia; [Kok, Jen; Dwyer, Dominic; Booy, Robert] Univ Sydney, Sch Biol Sci, Marie Bashir Inst Infect Dis &amp; Biosecur, Sydney, NSW, Australia; [Kok, Jen; Dwyer, Dominic; Booy, Robert] Univ Sydney, Sch Biol Sci, Sydney Med Sch, Sydney, NSW, Australia; [Kok, Jen; Dwyer, Dominic] Westmead Hosp, Inst Clin Pathol &amp; Med Res, NSW Hlth Pathol, Ctr Infect Dis &amp; Microbiol Lab Serv, Westmead, NSW, Australia; [Lindley, Richard, I] George Inst Global Hlth, Sydney, NSW, Australia; [Booy, Robert] Childrens Hosp Westmead, Natl Ctr Immunisat Res &amp; Surveillance Vaccine Pre, Westmead, NSW, Australia</t>
  </si>
  <si>
    <t xml:space="preserve">University of Sydney; University of Sydney; University of Sydney; NSW Health; Westmead Hospital; University of Sydney; George Institute for Global Health; University of Sydney; NSW Health; The Children's Hospital at Westmead; Sydney Childrens Hospitals Network; University of Sydney</t>
  </si>
  <si>
    <t xml:space="preserve">Jones, CG (corresponding author), Cumberland Hosp, Ctr Populat Hlth, Bldg 68,5 Fleet St, North Parramatta, NSW, Australia.</t>
  </si>
  <si>
    <t xml:space="preserve">Christian.Jones@health.nsw.gov.au</t>
  </si>
  <si>
    <t xml:space="preserve">Lindley, Richard/B-8148-2013</t>
  </si>
  <si>
    <t xml:space="preserve">Kok, Jen/0000-0002-8796-283X</t>
  </si>
  <si>
    <t xml:space="preserve">AUSTRALIAN GOVERNMENT, DEPT HEALTH &amp; AGEING</t>
  </si>
  <si>
    <t xml:space="preserve">CANBERRA</t>
  </si>
  <si>
    <t xml:space="preserve">OFFICE HEALTH PROTECTION SURVEILLANCE BRANCH, GPO BOX 9848, CANBERRA, ACT 2601, AUSTRALIA</t>
  </si>
  <si>
    <t xml:space="preserve">0725-3141</t>
  </si>
  <si>
    <t xml:space="preserve">2209-6051</t>
  </si>
  <si>
    <t xml:space="preserve">COMMUN DIS INTELL</t>
  </si>
  <si>
    <t xml:space="preserve">Commun. Dis. Intell.</t>
  </si>
  <si>
    <t xml:space="preserve">AUG 18</t>
  </si>
  <si>
    <t xml:space="preserve">10.33321/cdi.2022.46.54</t>
  </si>
  <si>
    <t xml:space="preserve">4C9JA</t>
  </si>
  <si>
    <t xml:space="preserve">WOS:000846758700001</t>
  </si>
  <si>
    <t xml:space="preserve">Cunha, BA; Syed, U; Hage, JE</t>
  </si>
  <si>
    <t xml:space="preserve">Cunha, Burke A.; Syed, Uzma; Hage, Jean E.</t>
  </si>
  <si>
    <t xml:space="preserve">Respiratory syncytial virus (RSV) community-acquired pneumonia (CAP) in a hospitalized adult with human immunodeficiency virus (HIV) mimicking influenza A and Pneumocystis (carinii) jiroveci pneumonia (PCP)</t>
  </si>
  <si>
    <t xml:space="preserve">HEART &amp; LUNG</t>
  </si>
  <si>
    <t xml:space="preserve">Viral pneumonias; CAP in HIV; RSV pneumonia; PCP pneumonia; Mimics of influenza</t>
  </si>
  <si>
    <t xml:space="preserve">H1N1 PNEUMONIA; LEGIONNAIRES-DISEASE; HERALD WAVE; INFECTION; DIAGNOSIS</t>
  </si>
  <si>
    <t xml:space="preserve">BACKGROUND: Respiratory syncytial virus (RSV) is an important cause of lower respiratory tract infections in young children, the elderly, and immunocompromised hosts, but RSV is a rare cause of community-acquired pneumonia (CAP) in hospitalized adults with human immunodeficiency virus (HIV). In patients with HIV, CAP is most frequently attributable to the usual bacterial respiratory pathogens that cause CAP in immunocompetent hosts, eg, Streptococcus pneumoniae or Hemophilus influenzae. Adults with HIV are also predisposed to intracellular CAP pathogens, ie, Mycoplasma tuberculosis, Salmonella spp., Pneumocystis (carinii) jiroveci (PCP), cytomegalovirus, and Legionella spp. This year, co-circulating in the community during influenza season were strains of human seasonal influenza A (H3N2) and swine influenza A (H1N1). During the influenza season, in adults hospitalized with HIV, the diagnostic possibilities should include influenza-like illnesses, eg, human parainfluenza virus types 3 and 4, human metapneumovirus, and pertussis. CASE REPORT: We present an adult with HIV, hospitalized for an influenza-like illness during influenza season. The differential diagnosis of CAP in this patient included influenza A and PCP. CONCLUSION: We report on an adult patient with HIV with CAP that mimicked influenza and PCP, and was attributable to RSV. Cite this article: Cunha, B. A., Syed, U., &amp; Hage, J. E. (2012, JANUARY/FEBRUARY). Respiratory syncytial virus (RSV) community-acquired pneumonia (CAP) in a hospitalized adult with human immunodeficiency virus (HIV) mimicking influenza A and Pneumocystis (carinii) jiroveci pneumonia (PCP). Heart &amp; Lung, 41(1), 76-82. doi:10.1016/j.hrtlng.2011.05.004.</t>
  </si>
  <si>
    <t xml:space="preserve">[Cunha, Burke A.] Winthrop Univ Hosp, Div Infect Dis, Mineola, NY 11501 USA; SUNY Stony Brook, Sch Med, Stony Brook, NY 11794 USA</t>
  </si>
  <si>
    <t xml:space="preserve">Winthrop University Hospital; State University of New York (SUNY) System; Stony Brook University</t>
  </si>
  <si>
    <t xml:space="preserve">Cunha, BA (corresponding author), Winthrop Univ Hosp, Div Infect Dis, Mineola, NY 11501 USA.</t>
  </si>
  <si>
    <t xml:space="preserve">bacunha@Winthrop.org</t>
  </si>
  <si>
    <t xml:space="preserve">MOSBY-ELSEVIER</t>
  </si>
  <si>
    <t xml:space="preserve">360 PARK AVENUE SOUTH, NEW YORK, NY 10010-1710 USA</t>
  </si>
  <si>
    <t xml:space="preserve">0147-9563</t>
  </si>
  <si>
    <t xml:space="preserve">1527-3288</t>
  </si>
  <si>
    <t xml:space="preserve">HEART LUNG</t>
  </si>
  <si>
    <t xml:space="preserve">Heart Lung</t>
  </si>
  <si>
    <t xml:space="preserve">JAN-FEB</t>
  </si>
  <si>
    <t xml:space="preserve">10.1016/j.hrtlng.2011.05.004</t>
  </si>
  <si>
    <t xml:space="preserve">Cardiac &amp; Cardiovascular Systems; Nursing; Respiratory System</t>
  </si>
  <si>
    <t xml:space="preserve">Cardiovascular System &amp; Cardiology; Nursing; Respiratory System</t>
  </si>
  <si>
    <t xml:space="preserve">875KE</t>
  </si>
  <si>
    <t xml:space="preserve">WOS:000299028000012</t>
  </si>
  <si>
    <t xml:space="preserve">Fuller, JA; Njenga, MK; Bigogo, G; Aura, B; Ope, MO; Nderitu, L; Wakhule, L; Erdman, DD; Breiman, RF; Feikin, DR</t>
  </si>
  <si>
    <t xml:space="preserve">Fuller, James A.; Njenga, M. Kariuki; Bigogo, Godfrey; Aura, Barrack; Ope, Maurice O.; Nderitu, Leonard; Wakhule, Lilian; Erdman, Dean D.; Breiman, Robert F.; Feikin, Daniel R.</t>
  </si>
  <si>
    <t xml:space="preserve">Association of the CT values of real-time PCR of viral upper respiratory tract infection with clinical severity, Kenya</t>
  </si>
  <si>
    <t xml:space="preserve">viral pneumonial; PCRl; influenza; respiratory syncytial virus</t>
  </si>
  <si>
    <t xml:space="preserve">HUMAN METAPNEUMOVIRUS INFECTION; SYNCYTIAL VIRUS-INFECTION; PANDEMIC H1N1 2009; DISEASE SEVERITY; INFLUENZA-VIRUS; PNEUMOCOCCAL PNEUMONIA; HOSPITALIZED INFANTS; CHILDREN; LOAD; COMMUNITY</t>
  </si>
  <si>
    <t xml:space="preserve">Quantitative real-time polymerase chain reaction (qRT-PCR) assay of the upper respiratory tract is used increasingly to diagnose lower respiratory tract infections. The cycle threshold (CT) values of qRT-PCR are continuous, semi-quantitative measurements of viral load, although interpretation of diagnostic qRT-PCR results are often categorized as positive, indeterminate, or negative, obscuring potentially useful clinical interpretation of CT values. From 2008 to 2010, naso/oropharyngeal swabs were collected from outpatients with influenza-like illness, inpatients with severe respiratory illness, and asymptomatic controls in rural Kenya. CT values of positive specimens (i.e., CT values&lt;40.0) were compared by clinical severity category for five viruses using MannWhitney U-test and logistic regression. Among children &lt;5 years old we tested with respiratory syncytial virus (RSV), inpatients had lower median CT values (27.2) than controls (35.8, P=0.008) and outpatients (34.7, P&lt;0.001). Among children and older patients infected with influenza virus, outpatients had the lowest median CT values (29.8 and 24.1, respectively) compared with controls (P=0.193 for children, P&lt;0.001 for older participants) and inpatients (P=0.009 for children, P&lt;0.001 for older participants). All differences remained significant in logistic regression when controlling for age, days since onset, and coinfection. CT values were similar for adenovirus, human metapneumovirus, and parainfluenza virus in all severity groups. In conclusion, the CT values from the qRT-PCR of upper respiratory tract specimens were associated with clinical severity for some respiratory viruses. J. Med. Virol. 85:924932, 2013. (c) 2013 Wiley Periodicals, Inc.</t>
  </si>
  <si>
    <t xml:space="preserve">[Fuller, James A.; Feikin, Daniel R.] Johns Hopkins Bloomberg Sch Publ Hlth, Dept Int Hlth, Baltimore, MD USA; [Njenga, M. Kariuki; Bigogo, Godfrey; Aura, Barrack; Nderitu, Leonard; Wakhule, Lilian; Breiman, Robert F.; Feikin, Daniel R.] Ctr Dis Control &amp; Prevent Kenya, Global Dis Detect Div, Int Emerging Infect Program, Nairobi, Kenya; [Njenga, M. Kariuki; Bigogo, Godfrey; Aura, Barrack; Ope, Maurice O.; Nderitu, Leonard; Wakhule, Lilian; Breiman, Robert F.; Feikin, Daniel R.] Ctr Dis Control &amp; Prevent Publ Hlth &amp; Res Collabo, Kenya Med Res Inst, Kisumu, Kenya; [Ope, Maurice O.] Minist Publ Hlth &amp; Sanitat, Nairobi, Kenya; [Erdman, Dean D.] Ctr Dis Control &amp; Prevent, Natl Ctr Immunizat &amp; Resp Dis, Atlanta, GA USA</t>
  </si>
  <si>
    <t xml:space="preserve">Johns Hopkins University; Johns Hopkins Bloomberg School of Public Health; Kenya Medical Research Institute; Centers for Disease Control &amp; Prevention - USA</t>
  </si>
  <si>
    <t xml:space="preserve">Fuller, JA (corresponding author), 1415 Washington Hts, Ann Arbor, MI 48109 USA.</t>
  </si>
  <si>
    <t xml:space="preserve">jafuller@jhsph.edu</t>
  </si>
  <si>
    <t xml:space="preserve">Bigogo, Godfrey/W-3591-2019; Breiman, Robert/ISS-4450-2023</t>
  </si>
  <si>
    <t xml:space="preserve">Fuller, James/0000-0003-4020-3665; Breiman, Robert/0000-0002-7099-2936</t>
  </si>
  <si>
    <t xml:space="preserve">10.1002/jmv.23455</t>
  </si>
  <si>
    <t xml:space="preserve">117RT</t>
  </si>
  <si>
    <t xml:space="preserve">WOS:000316971500025</t>
  </si>
  <si>
    <t xml:space="preserve">Febbo, J; Revels, J; Ketai, L</t>
  </si>
  <si>
    <t xml:space="preserve">Febbo, Jennifer; Revels, Jonathan; Ketai, Loren</t>
  </si>
  <si>
    <t xml:space="preserve">Viral Pneumonias</t>
  </si>
  <si>
    <t xml:space="preserve">INFECTIOUS DISEASE CLINICS OF NORTH AMERICA</t>
  </si>
  <si>
    <t xml:space="preserve">Viral pneumonia; Tomography x-ray computed; Community -acquired infections; Immunocompromised hosts</t>
  </si>
  <si>
    <t xml:space="preserve">HANTAVIRUS-PULMONARY-SYNDROME; INFLUENZA-A H1N1; COMMUNITY-ACQUIRED PNEUMONIA; RESOLUTION CT FINDINGS; RADIOGRAPHIC FINDINGS; ADENOVIRUS PNEUMONIA; VIRUS PNEUMONIA; UNITED-STATES; INFECTION; CYTOMEGALOVIRUS</t>
  </si>
  <si>
    <t xml:space="preserve">Viral pneumonia is prevalent among both immunocompetent and immunocompromised hosts, typically causing more severe disease in the latter. Several viral pneumonias, such as influenza, HMPV, RSV, and parainfluenza demonstrate similar airway-centric distribution, the likelihood of a specific organism often dependent on seasonal epidemics. Other viral pneumonias, such as adenovirus, frequently cause pneumonias with imaging findings indistinguishable from community-acquired bacterial pneumonias. For a few organisms, additional factors are central to the likelihood of infection, for example, environmental exposure for Hantaviruses and vaccination status for Varicella. In organisms that typically cause chronic infections in humans, such as HSV and CMV, the relationship between infection and clinical pneumonia is complex and incompletely understood.</t>
  </si>
  <si>
    <t xml:space="preserve">[Febbo, Jennifer; Revels, Jonathan] Univ New Mexico, 2211 Lomas Blvd NE, Albuquerque, NM 87106 USA; [Ketai, Loren] Dept Radiol, MSC 10 5530,1 Univ New Mexico, Albuquerque, NM 87131 USA</t>
  </si>
  <si>
    <t xml:space="preserve">University of New Mexico; University of New Mexico</t>
  </si>
  <si>
    <t xml:space="preserve">Febbo, J (corresponding author), Univ New Mexico, 2211 Lomas Blvd NE, Albuquerque, NM 87106 USA.</t>
  </si>
  <si>
    <t xml:space="preserve">jfebbo@salud.unm.edu</t>
  </si>
  <si>
    <t xml:space="preserve">W B SAUNDERS CO-ELSEVIER INC</t>
  </si>
  <si>
    <t xml:space="preserve">1600 JOHN F KENNEDY BOULEVARD, STE 1800, PHILADELPHIA, PA 19103-2899 USA</t>
  </si>
  <si>
    <t xml:space="preserve">0891-5520</t>
  </si>
  <si>
    <t xml:space="preserve">1557-9824</t>
  </si>
  <si>
    <t xml:space="preserve">INFECT DIS CLIN N AM</t>
  </si>
  <si>
    <t xml:space="preserve">Infect. Dis. Clin. North Am.</t>
  </si>
  <si>
    <t xml:space="preserve">10.1016/j.idc.2023.12.009</t>
  </si>
  <si>
    <t xml:space="preserve">JAN 2024</t>
  </si>
  <si>
    <t xml:space="preserve">Immunology; Infectious Diseases</t>
  </si>
  <si>
    <t xml:space="preserve">JT8D2</t>
  </si>
  <si>
    <t xml:space="preserve">WOS:001175496600001</t>
  </si>
  <si>
    <t xml:space="preserve">Vakil, E; Evans, SE</t>
  </si>
  <si>
    <t xml:space="preserve">Vakil, Erik; Evans, Scott E.</t>
  </si>
  <si>
    <t xml:space="preserve">Viral Pneumonia in Patients with H ematologic Malignancy or H ematopoietic Stem Cell Transplantation</t>
  </si>
  <si>
    <t xml:space="preserve">CLINICS IN CHEST MEDICINE</t>
  </si>
  <si>
    <t xml:space="preserve">Viral pneumonia; Hematologic malignancy; Stem cell transplant; Immunocompromised host pneumonia</t>
  </si>
  <si>
    <t xml:space="preserve">RESPIRATORY SYNCYTIAL VIRUS; HUMAN METAPNEUMOVIRUS INFECTION; POLYMERASE-CHAIN-REACTION; BONE-MARROW-TRANSPLANTATION; RESOLUTION CT FINDINGS; VERSUS-HOST-DISEASE; PARAINFLUENZA VIRUS; CYTOMEGALOVIRUS-INFECTION; RISK-FACTORS; BRONCHOALVEOLAR LAVAGE</t>
  </si>
  <si>
    <t xml:space="preserve">Viral pneumonias in patients with hematologic malignancies and recipients of hematopoietic stem cell transplantation cause significant morbidity and mortality. Advances in diagnostic techniques have enabled rapid identification of respiratory viral pathogens from upper and lower respiratory tract samples. Lymphopenia, myeloablative and T -cell depleting chemotherapy, graft-versus-host disease, and other factors increase the risk of developing life-threatening viral pneumonia. Chest imaging is often nonspecific but may aid in diagnoses. Bronchoscopy with bronchoalveolar lavage is recommended in those at high risk for viral pneumonia who have new infiltrates on chest imaging.</t>
  </si>
  <si>
    <t xml:space="preserve">[Vakil, Erik] Univ Texas Hlth Sci Ctr, Dept Pulm Crit Care &amp; Sleep Med, Div Internal Med, 6431 Fannin St,MSB 1-434, Houston, TX 77030 USA; [Evans, Scott E.] Univ Texas MD Anderson Canc Ctr, Dept Pulm Med, Div Internal Med, 1515 Holcombe Blvd,Unit 1100, Houston, TX 77030 USA</t>
  </si>
  <si>
    <t xml:space="preserve">Baylor College of Medicine; Baylor College Medical Hospital; University of Texas System; University of Texas Health Science Center Houston; University of Texas System; UTMD Anderson Cancer Center</t>
  </si>
  <si>
    <t xml:space="preserve">Vakil, E (corresponding author), Univ Texas Hlth Sci Ctr, Dept Pulm Crit Care &amp; Sleep Med, Div Internal Med, 6431 Fannin St,MSB 1-434, Houston, TX 77030 USA.;Evans, SE (corresponding author), Univ Texas MD Anderson Canc Ctr, Dept Pulm Med, Div Internal Med, 1515 Holcombe Blvd,Unit 1100, Houston, TX 77030 USA.</t>
  </si>
  <si>
    <t xml:space="preserve">erik.vakil@uth.tmc.edu; seevans@mdanderson.org</t>
  </si>
  <si>
    <t xml:space="preserve">Evans, Scott/0000-0003-4503-0644; Vakil, Erik/0000-0002-2590-882X</t>
  </si>
  <si>
    <t xml:space="preserve">NHLBI NIH HHS [R01 HL117976, DP2 HL123229] Funding Source: Medline</t>
  </si>
  <si>
    <t xml:space="preserve">NHLBI NIH HHS(United States Department of Health &amp; Human ServicesNational Institutes of Health (NIH) - USANIH National Heart Lung &amp; Blood Institute (NHLBI))</t>
  </si>
  <si>
    <t xml:space="preserve">0272-5231</t>
  </si>
  <si>
    <t xml:space="preserve">1557-8216</t>
  </si>
  <si>
    <t xml:space="preserve">CLIN CHEST MED</t>
  </si>
  <si>
    <t xml:space="preserve">Clin. Chest Med.</t>
  </si>
  <si>
    <t xml:space="preserve">+</t>
  </si>
  <si>
    <t xml:space="preserve">10.1016/j.ccm.2016.11.002</t>
  </si>
  <si>
    <t xml:space="preserve">EO0KQ</t>
  </si>
  <si>
    <t xml:space="preserve">WOS:000396387100011</t>
  </si>
  <si>
    <t xml:space="preserve">Lin, SC; Wang, HC; Lin, WC; Kuo, YT; Hsu, YH; Tsai, YT; Lu, SC; Wang, YH; Chen, SY</t>
  </si>
  <si>
    <t xml:space="preserve">Lin, Sheng-Chieh; Wang, Hsiao-Chin; Lin, Wen-Chuan; Kuo, Yung-Ting; Hsu, Yi-Hsiang; Tsai, Yin-Tai; Lu, Shou-Cheng; Wang, Yuan-Hung; Chen, Shih-Yen</t>
  </si>
  <si>
    <t xml:space="preserve">Viral Pneumonia during the COVID-19 Pandemic, 2019-2021 Evoking Needs for SARS-CoV-2 and Additional Vaccinations</t>
  </si>
  <si>
    <t xml:space="preserve">viral pneumonia; COVID-19; SARS-CoV-2; vaccination</t>
  </si>
  <si>
    <t xml:space="preserve">CORONAVIRUS INFECTION; HUMAN METAPNEUMOVIRUS; INFLUENZA; CHILDREN; VIRUS; EPIDEMIOLOGY</t>
  </si>
  <si>
    <t xml:space="preserve">Coronaviruses can cause pneumonia, with clinical symptoms that may be similar to the symptoms of other viral pneumonias. To our knowledge, there have been no reports regarding cases of pneumonia caused by coronaviruses and other viruses among hospitalized patients in the past 3 years before and during coronavirus disease 2019 (COVID-19). Here, we analysed the causes of viral pneumonia among hospitalized patients during the coronavirus disease 2019 (COVID-19) pandemic (2019-2021). Between September 2019 and April 2021, patients hospitalized at Shuang Ho Hospital in north Taiwan with a diagnosis of pneumonia were enrolled in this study. Age, sex, onset date, and season of occurrence were recorded. Respiratory tract pathogens were identified with molecular detection using the FilmArray (R) platform from nasopharyngeal swabs. In total, 1147 patients (128 patients aged &lt; 18 years and 1019 patients aged &gt;= 18 years) with pneumonia and identified respiratory tract pathogens were assessed. Among the 128 children with pneumonia, the dominant viral respiratory pathogen was rhinovirus (24.2%), followed by respiratory syncytial virus (RSV; 22.7%), parainfluenza virus (1 + 2 + 3 + 4) (17.2%), adenovirus (12.5%), metapneumovirus (9.4%), coronavirus (1.6%), and influenza virus (A + B) (1.6%). Among the 1019 adults with pneumonia, the dominant viral respiratory pathogen was rhinovirus (5.0%), followed by RSV (2.0%), coronavirus (2.0%), metapneumovirus (1.5%), parainfluenza virus (1 + 2 + 3 + 4) (1.1%), adenovirus (0.7%), and influenza virus (A + B) (0%). From 2019-2021, older patients (aged &gt; 65 years) with pneumonia tested positive for coronavirus most commonly in autumn. Coronavirus was not detected during summer in children or adults. Among children aged 0-6 years, RSV was the most common viral pathogen, and RSV infection occurred most often in autumn. Metapneumovirus infection occurred most often in spring in both children and adults. In contrast, influenza virus was not detected in patients with pneumonia in any season among children or adults from January 2020 to April 2021. Among all patients with pneumonia, the most common viral pathogens were rhinovirus in spring, adenovirus and rhinovirus in summer, RSV and rhinovirus in autumn, and parainfluenza virus in winter. Among</t>
  </si>
  <si>
    <t xml:space="preserve">[Lin, Sheng-Chieh] Taipei Med Univ, Shuang Ho Hosp, Dept Pediat, Div Allergy Asthma &amp; Immunol, Taipei 23561, Taiwan; [Lin, Sheng-Chieh; Kuo, Yung-Ting; Chen, Shih-Yen] Taipei Med Univ, Coll Med, Sch Med, Dept Pediat, Taipei 11031, Taiwan; [Wang, Hsiao-Chin] Taipei Med Univ, Shuang Ho Hosp, Dept Pediat, Div Neonatol, Taipei 23561, Taiwan; [Lin, Wen-Chuan] Taipei Med Univ, Shuang Ho Hosp, Dept Pediat, Div Pediat Infect Dis, Taipei 23561, Taiwan; [Kuo, Yung-Ting] Taipei Med Univ, Shuang Ho Hosp, Dept Pediat, Div Pediat Neurol, Taipei 23561, Taiwan; [Hsu, Yi-Hsiang] Harvard Med Sch, Beth Israel Deaconess Med Ctr, Boston, MA 02215 USA; [Hsu, Yi-Hsiang] Broad Inst &amp; Harvard, Cambridge, MA 02142 USA; [Tsai, Yin-Tai; Lu, Shou-Cheng] Taipei Med Univ, Shuang Ho Hosp, Dept Med Lab, New Taipei City 23561, Taiwan; [Wang, Yuan-Hung] Taipei Med Univ, Grad Inst Clin Med, Coll Med, Taipei 11031, Taiwan; [Wang, Yuan-Hung] Taipei Med Univ, Shuang Ho Hosp, Dept Med Res, New Taipei City 23561, Taiwan; [Chen, Shih-Yen] Taipei Med Univ, Shuang Ho Hosp, Dept Pediat, Div Pediat Gastroenterol, Taipei 23561, Taiwan; [Chen, Shih-Yen] Taipei Med Univ, TMU Res Ctr Digest Med, Taipei 11031, Taiwan</t>
  </si>
  <si>
    <t xml:space="preserve">Taipei Medical University; Shuang Ho Hospital; Taipei Medical University; Taipei Medical University; Shuang Ho Hospital; Taipei Medical University; Shuang Ho Hospital; Taipei Medical University; Shuang Ho Hospital; Harvard University; Harvard Medical School; Beth Israel Deaconess Medical Center; Harvard University; Massachusetts Institute of Technology (MIT); Broad Institute; Taipei Medical University; Taipei Medical University; Taipei Medical University; Taipei Medical University; Shuang Ho Hospital; Taipei Medical University</t>
  </si>
  <si>
    <t xml:space="preserve">Chen, SY (corresponding author), Taipei Med Univ, Coll Med, Sch Med, Dept Pediat, Taipei 11031, Taiwan.;Chen, SY (corresponding author), Taipei Med Univ, Shuang Ho Hosp, Dept Pediat, Div Pediat Gastroenterol, Taipei 23561, Taiwan.;Chen, SY (corresponding author), Taipei Med Univ, TMU Res Ctr Digest Med, Taipei 11031, Taiwan.</t>
  </si>
  <si>
    <t xml:space="preserve">18159@s.tmu.edu.tw</t>
  </si>
  <si>
    <t xml:space="preserve">wang, yichun/IXW-7812-2023; Chen, Hao/JHT-2948-2023; wang, haochen/KIK-2593-2024</t>
  </si>
  <si>
    <t xml:space="preserve">Chen, Shih-Yen/0000-0002-8483-4664</t>
  </si>
  <si>
    <t xml:space="preserve">National Taiwan University of Science and Technology [MOST 111-2622-E-038-001, MOST 108-2314-B-038-097]</t>
  </si>
  <si>
    <t xml:space="preserve">National Taiwan University of Science and Technology</t>
  </si>
  <si>
    <t xml:space="preserve">This research was funded by National Taiwan University of Science and Technology, grant number MOST 111-2622-E-038-001; MOST 108-2314-B-038-097.</t>
  </si>
  <si>
    <t xml:space="preserve">APR 27</t>
  </si>
  <si>
    <t xml:space="preserve">10.3390/vaccines11050905</t>
  </si>
  <si>
    <t xml:space="preserve">H6XA7</t>
  </si>
  <si>
    <t xml:space="preserve">WOS:000997356400001</t>
  </si>
  <si>
    <t xml:space="preserve">Walter, JM; Wunderink, RG</t>
  </si>
  <si>
    <t xml:space="preserve">Walter, James M.; Wunderink, Richard G.</t>
  </si>
  <si>
    <t xml:space="preserve">Severe Respiratory Viral Infections New Evidence and Changing Paradigms</t>
  </si>
  <si>
    <t xml:space="preserve">Viral pneumonia; Community-acquired pneumonia; Rhinovirus; Human adenovirus; Respiratory syncytial virus; Human metapneumovirus</t>
  </si>
  <si>
    <t xml:space="preserve">SYNCYTIAL VIRUS-INFECTION; HUMAN METAPNEUMOVIRUS INFECTION; COMMUNITY-ACQUIRED PNEUMONIA; HUMAN RHINOVIRUS INFECTIONS; LUNG-TRANSPLANT RECIPIENTS; ADENOVIRUS SEROTYPE 14; TRACT INFECTIONS; AEROSOLIZED RIBAVIRIN; REQUIRING HOSPITALIZATION; BRONCHOALVEOLAR LAVAGE</t>
  </si>
  <si>
    <t xml:space="preserve">Lower respiratory tract infection is a leading cause of death in the United States. Advances in diagnostic testing have improved our ability to detect pathogens. Viral pathogens are important causal pathogens in immunocompetent patients. As the number of elderly adults and those with chronic medical conditions increases, the burden of viral respiratory infections will increase. Clinicians must be familiar with the characteristics of rhinovirus, human adenoviruses, respiratory syncytial virus, and human metapneumovirus. Major challenges include distinguishing true infection from asymptomatic carriage and characterizing patients admitted with severe lower respiratory tract infection who do not have a causative pathogen identified.</t>
  </si>
  <si>
    <t xml:space="preserve">[Walter, James M.; Wunderink, Richard G.] Northwestern Univ, Dept Med, Div Pulm &amp; Crit Care, Feinberg Sch Med, 676 North St Clair St,Arkes 14-000, Chicago, IL 60611 USA; [Walter, James M.] 240 E Huron,McGaw M-300, Chicago, IL 60611 USA</t>
  </si>
  <si>
    <t xml:space="preserve">Northwestern University; Feinberg School of Medicine</t>
  </si>
  <si>
    <t xml:space="preserve">Wunderink, RG (corresponding author), 676 North St Clair St,Arkes Pavilion 14-015, Chicago, IL 60611 USA.</t>
  </si>
  <si>
    <t xml:space="preserve">r-wunderink@northwestern.edu</t>
  </si>
  <si>
    <t xml:space="preserve">NHLBI NIH HHS [T32 HL076139] Funding Source: Medline</t>
  </si>
  <si>
    <t xml:space="preserve">10.1016/j.idc.2017.05.004</t>
  </si>
  <si>
    <t xml:space="preserve">FF3HI</t>
  </si>
  <si>
    <t xml:space="preserve">WOS:000408785700005</t>
  </si>
  <si>
    <t xml:space="preserve">Hasvold, J; Sjoding, M; Pohl, K; Cooke, C; Hyzy, RC</t>
  </si>
  <si>
    <t xml:space="preserve">Hasvold, Jennifer; Sjoding, Michael; Pohl, Kyle; Cooke, Colin; Hyzy, Robert C.</t>
  </si>
  <si>
    <t xml:space="preserve">The role of human metapneumovirus in the critically ill adult patient</t>
  </si>
  <si>
    <t xml:space="preserve">JOURNAL OF CRITICAL CARE</t>
  </si>
  <si>
    <t xml:space="preserve">Viral pneumonia; ARDS</t>
  </si>
  <si>
    <t xml:space="preserve">INFECTIONS; EXACERBATIONS; PNEUMONIA</t>
  </si>
  <si>
    <t xml:space="preserve">Purpose: The purpose of the study is to describe the role of human metapneumovirus (hMPV) infection in critical illness and acute respiratory distress syndrome (ARDS). Materials and methods: We collected clinical and demographic information from a retrospective chart review, comparing patients with and without an intensive care unit (ICU) admission. Among patients admitted to the ICU, we assessed whether hMPV was unlikely, possibly, or likely the reason for ICU admission, based on a prespecified definition, and whether the patient met criteria for ARDS. Results: We identified 128 hospitalized adults with hMPV infection. Forty hospitalized patients (31%) with hMPV infection required admission to the ICU. Among patients cared for in the ICU, hMPV was  possibly the reason for ICU admission in 55% of patients and likely the reason in 38%. Forty-eight percent of ICU patients met criteria for ARDS. Although most patients admitted to the ICU had significant comorbidities or were immunosuppressed, 6 patients requiring ICU admission had more minor comorbidities and no underlying immunosuppression. Conclusions: Although most patients hospitalized with hMPV had chronic cardiac or pulmonary disease, hMPV can also be associated serious respiratory illness and ARDS in adult patients without significant comorbidities or immunosuppression. (C) 2015 Elsevier Inc. All rights reserved.</t>
  </si>
  <si>
    <t xml:space="preserve">[Hasvold, Jennifer; Pohl, Kyle] Univ Michigan, Dept Internal Med, Ann Arbor, MI 48105 USA; [Sjoding, Michael; Cooke, Colin; Hyzy, Robert C.] Univ Michigan, Dept Internal Med, Div Pulm &amp; Crit Care Med, Ann Arbor, MI 48105 USA; [Cooke, Colin] Univ Michigan, Inst Healthcare Innovat &amp; Policy, Ctr Healthcare Outcomes &amp; Policy, Ann Arbor, MI 48105 USA</t>
  </si>
  <si>
    <t xml:space="preserve">University of Michigan System; University of Michigan; University of Michigan System; University of Michigan; University of Michigan System; University of Michigan</t>
  </si>
  <si>
    <t xml:space="preserve">Hasvold, J (corresponding author), Univ Michigan, Dept Internal Med, 1400 E Med Ctr Dr, Ann Arbor, MI 48105 USA.</t>
  </si>
  <si>
    <t xml:space="preserve">hasvold@gmail.com</t>
  </si>
  <si>
    <t xml:space="preserve">Agency for Healthcare Research and Quality [K08HS020672]; National Heart Lung and Blood Institute [T32HL007749] Funding Source: NIH RePORTER</t>
  </si>
  <si>
    <t xml:space="preserve">Agency for Healthcare Research and Quality(United States Department of Health &amp; Human ServicesAgency for Healthcare Research &amp; Quality); National Heart Lung and Blood Institute(United States Department of Health &amp; Human ServicesNational Institutes of Health (NIH) - USANIH National Heart Lung &amp; Blood Institute (NHLBI))</t>
  </si>
  <si>
    <t xml:space="preserve">Dr Cooke is supported by a grant from the Agency for Healthcare Research and Quality (K08HS020672).</t>
  </si>
  <si>
    <t xml:space="preserve">0883-9441</t>
  </si>
  <si>
    <t xml:space="preserve">1557-8615</t>
  </si>
  <si>
    <t xml:space="preserve">J CRIT CARE</t>
  </si>
  <si>
    <t xml:space="preserve">J. Crit. Care</t>
  </si>
  <si>
    <t xml:space="preserve">FEB</t>
  </si>
  <si>
    <t xml:space="preserve">10.1016/j.jcrc.2015.09.035</t>
  </si>
  <si>
    <t xml:space="preserve">CY8HX</t>
  </si>
  <si>
    <t xml:space="preserve">WOS:000366650500040</t>
  </si>
  <si>
    <t xml:space="preserve">de Campos, GM; de La-Roque, DGL; Lima, ARJ; Zucherato, VS; de Carvalho, E; de Lima, LPO; Neto, PD; dos Santos, MM; Ciccozzi, M; Giovanetti, M; Haddad, R; Alcantara, LC Jr; Elias, MC; Sampaio, SC; Covas, DT; Kashima, S; Slavov, SN</t>
  </si>
  <si>
    <t xml:space="preserve">de Campos, Gabriel Montenegro; Lima de La-Roque, Debora Glenda; Jeronimo Lima, Alex Ranieri; Zucherato, Victoria Simionatto; de Carvalho, Eneas; Oliveira de Lima, Loyze Paola; Cattony Neto, Pedro de Queiroz; dos Santos, Murilo Marconi; Ciccozzi, Massimo; Giovanetti, Marta; Haddad, Rodrigo; Junior Alcantara, Luiz Carlos; Elias, Maria Carolina; Sampaio, Sandra Coccuzzo; Covas, Dimas Tadeu; Kashima, Simone; Slavov, Svetoslav Nanev</t>
  </si>
  <si>
    <t xml:space="preserve">Exploring Viral Metagenomics in Pediatric Patients with Acute Respiratory Infections: Unveiling Pathogens beyond SARS-CoV-2</t>
  </si>
  <si>
    <t xml:space="preserve">MICROORGANISMS</t>
  </si>
  <si>
    <t xml:space="preserve">viral metagenomics; acute infection; respiratory viruses; enteroviruses; respiratory syncytial virus; next-generation sequencing</t>
  </si>
  <si>
    <t xml:space="preserve">VIRUS-INFECTION; ENTEROVIRUS D68; CHILDREN; PREVALENCE</t>
  </si>
  <si>
    <t xml:space="preserve">The emergence of SARS-CoV-2 and the subsequent pandemic have prompted extensive diagnostic and clinical efforts to mitigate viral spread. However, these strategies have largely overlooked the presence of other respiratory viruses. Acute respiratory diseases in pediatric patients can be caused by a diverse range of viral agents, and metagenomics represents a powerful tool for their characterization. This study aimed to investigate the viral abundance in pediatric patients with acute respiratory symptoms who tested negative for SARS-CoV-2 during the Omicron pandemic wave. To achieve this, viral metagenomics and next-generation sequencing were employed on 96 nasopharyngeal swab samples, which were organized into 12 pools, with each pool consisting of eight individual samples. Metagenomic analysis revealed that the most prevalent viruses associated with acute disease in pediatric patients were respiratory syncytial virus (detected in all pools) and enteroviruses, which are known to cause significant morbidity and mortality in children. Additionally, clinically significant viruses such as mumps orthorubulavirus, human metapneumovirus, influenza A, and a wide array of human herpesviruses (1, 3-7) were identified. These findings highlight the extensive potential of viral metagenomics in identifying viruses other than SARS-CoV-2 that contribute to acute infections in children. Consequently, this methodology should garner clinical attention in terms of differential diagnosis and the development of public policies to address such conditions in the global pediatric population.</t>
  </si>
  <si>
    <t xml:space="preserve">[de Campos, Gabriel Montenegro; Lima de La-Roque, Debora Glenda; Zucherato, Victoria Simionatto; Kashima, Simone; Slavov, Svetoslav Nanev] Univ Sao Paulo, Fac Med Ribeirao Preto, Blood Ctr Ribeirao Preto, BR-14050190 Ribeirao Preto, Brazil; [Jeronimo Lima, Alex Ranieri; de Carvalho, Eneas; Oliveira de Lima, Loyze Paola; Cattony Neto, Pedro de Queiroz; dos Santos, Murilo Marconi; Elias, Maria Carolina; Sampaio, Sandra Coccuzzo; Covas, Dimas Tadeu; Slavov, Svetoslav Nanev] Butantan Inst, Ctr Sci Dev CDC, BR-05503900 Sao Paulo, Brazil; [Ciccozzi, Massimo] Univ Campus Biomed Rome, Unit Med Stat &amp; Mol Epidemiol, I-00128 Rome, Italy; [Giovanetti, Marta; Junior Alcantara, Luiz Carlos] Fundacao Oswaldo Cruz, Inst Rene Rachou, BR-30190002 Belo Horizonte, MG, Brazil; [Giovanetti, Marta] Univ Campus Biomed Roma, Sci &amp; Technol Sustainable Dev &amp; One Hlth, I-00128 Rome, Italy; [Haddad, Rodrigo] Univ Brasilia, Campus Ceilandia, BR-70910900 Brasilia, DF, Brazil</t>
  </si>
  <si>
    <t xml:space="preserve">Universidade de Sao Paulo; Instituto Butantan; University Campus Bio-Medico - Rome Italy; Fundacao Oswaldo Cruz; University Campus Bio-Medico - Rome Italy; Universidade de Brasilia</t>
  </si>
  <si>
    <t xml:space="preserve">Slavov, SN (corresponding author), Univ Sao Paulo, Fac Med Ribeirao Preto, Blood Ctr Ribeirao Preto, BR-14050190 Ribeirao Preto, Brazil.;Slavov, SN (corresponding author), Butantan Inst, Ctr Sci Dev CDC, BR-05503900 Sao Paulo, Brazil.</t>
  </si>
  <si>
    <t xml:space="preserve">gabrielmdecampos@usp.br; debora.laroque@usp.br; alex.lima@butantan.gov.br; vizucherato@gmail.com; eneas.carvalho@butantan.gov.br; loyze.lima@butantan.gov.br; pedro.cattony@butantan.gov.br; murilo.santos@butantan.gov.br; m.ciccozzi@unicampus.it; giovanetti.marta@gmail.com; haddad@unb.br; alcantaraluiz42@gmail.com; carolina.eliassabbaga@butantan.gov.br; sandracoccuzzo@butantan.gov.br; dimas@fmrp.usp.br; skashima@hemocentro.fmrp.usp.br; svetoslav.slavov@butantan.gov.br</t>
  </si>
  <si>
    <t xml:space="preserve">Giovanetti, Marta/AAK-7408-2020; Elias, Maria/AAW-9284-2021; Simionatto Zucherato, Victoria/LEM-7031-2024; Haddad, Rodrigo/A-3460-2013; Sampaio, Sandra/AAA-5380-2021; Covas, Dimas/AAL-8499-2021; N, Svetoslav/M-5416-2017; Alcantara, Luiz/AAK-9468-2021; ciccozzi, massimo/C-6484-2016; Elias, M Carolina/E-9197-2015</t>
  </si>
  <si>
    <t xml:space="preserve">ciccozzi, massimo/0000-0003-3866-9239; Nanev Slavov, Svetoslav/0000-0003-0805-6140; Montenegro de Campos, Gabriel/0000-0001-5181-415X; Elias, M Carolina/0000-0002-0501-8280; Alcantara, Luiz/0000-0002-6769-9931; Haddad, Rodrigo/0000-0003-4699-164X; La-Roque, Debora/0000-0001-9032-7485; Simionatto Zucherato, Victoria/0000-0002-5943-9355; Giovanetti, Marta/0000-0002-5849-7326</t>
  </si>
  <si>
    <t xml:space="preserve">Sao Paulo Research Foundation (FAPESP) [2022/00910-6, 2021/09446-8, 2021/11944-6, 2018/15826-5, 2017/23205-8]; CNPq [305111/2022-1]; Master Degree Program in Clinical Oncology, Stem-Cells and Cell Therapy at the Faculty of Medicine in Ribeirao Preto, University of Sao Paulo; PON Ricerca e Innovazione</t>
  </si>
  <si>
    <t xml:space="preserve">Sao Paulo Research Foundation (FAPESP)(Fundacao de Amparo a Pesquisa do Estado de Sao Paulo (FAPESP)); CNPq(Conselho Nacional de Desenvolvimento Cientifico e Tecnologico (CNPQ)); Master Degree Program in Clinical Oncology, Stem-Cells and Cell Therapy at the Faculty of Medicine in Ribeirao Preto, University of Sao Paulo; PON Ricerca e Innovazione</t>
  </si>
  <si>
    <t xml:space="preserve">This study was supported financially by the Sao Paulo Research Foundation (FAPESP), Grant numbers 2022/00910-6; 2021/09446-8; 2021/11944-6 (Centro para Vigilancia Viral e Avaliacao Sorologica, CeVIVAS); 2018/15826-5; 2017/23205-8, CNPq (process number 305111/2022-1). GMC receives CAPES master's degree scholarship from the Master Degree Program in Clinical Oncology, Stem-Cells and Cell Therapy at the Faculty of Medicine in Ribeirao Preto, University of Sao Paulo. MG is funded by PON Ricerca e Innovazione.</t>
  </si>
  <si>
    <t xml:space="preserve">2076-2607</t>
  </si>
  <si>
    <t xml:space="preserve">Microorganisms</t>
  </si>
  <si>
    <t xml:space="preserve">10.3390/microorganisms11112744</t>
  </si>
  <si>
    <t xml:space="preserve">HJ2H8</t>
  </si>
  <si>
    <t xml:space="preserve">WOS:001159062400001</t>
  </si>
  <si>
    <t xml:space="preserve">Falsey, AR; Dallal, GE; Formica, MA; Andolina, GG; Hamer, DH; Leka, LL; Meydani, SN</t>
  </si>
  <si>
    <t xml:space="preserve">Falsey, Ann R.; Dallal, Gerard E.; Formica, Maria A.; Andolina, Gloria G.; Hamer, Davidson H.; Leka, Lynette L.; Meydani, Simin Nikbin</t>
  </si>
  <si>
    <t xml:space="preserve">Long-term care facilities: A cornucopia of viral pathogens</t>
  </si>
  <si>
    <t xml:space="preserve">JOURNAL OF THE AMERICAN GERIATRICS SOCIETY</t>
  </si>
  <si>
    <t xml:space="preserve">viral infections; long-term care; human metapneumovirus</t>
  </si>
  <si>
    <t xml:space="preserve">RESPIRATORY-TRACT INFECTION; NURSING-HOME; HUMAN METAPNEUMOVIRUS; INFLUENZA-A; OUTBREAK; CORONAVIRUS; RESIDENTS; EPIDEMIOLOGY; RHINOVIRUS; PNEUMONIA</t>
  </si>
  <si>
    <t xml:space="preserve">OBJECTIVES: To determine the frequency and types of respiratory viruses circulating in Boston long-term care facilities (LTCFs) during a 3-year period. DESIGN: Observational. SETTING: Thirty-three Boston-area LTCFs over a 3-year period. PARTICIPANTS: Residents of long-term care who had previously participated in a trial of vitamin E supplementation and had paired serum samples available for viral analysis. MEASUREMENTS: Viral antibody titers to eight respiratory viruses (influenza A and B, respiratory syncytial virus (RSV), parainfluenza virus serotype three (PIV-3), PIV-2, human metapneumovirus (hMPV), and coronaviruses 229E and OC43) were measured using enzyme immunoassay at baseline and 53 weeks. Infection was defined as a more than quadrupling of viral titers. Clinical data on respiratory illnesses were collected throughout the study period. RESULTS: A total of 617 persons were enrolled in the trial. Of these, 382 (62%) had sera available for viral analysis. A total of 204 viral infections were documented in 157 subjects. Serological responses to all eight viruses were documented, with hMPV (12.8%) and coronavirus 229E (10.5%) being the most common and PIV-2 (2.4%) the least common. The occurrence of bronchitis (P=.007), pneumonia (P=.02), and any lower respiratory tract infection (P=.002) was significantly associated with having a viral diagnosis. CONCLUSION: A wide range of respiratory viruses cocirculates in LTCFs and contributes to respiratory illness morbidity in these populations.</t>
  </si>
  <si>
    <t xml:space="preserve">[Falsey, Ann R.; Formica, Maria A.; Andolina, Gloria G.] Rochester Gen Hosp, Infect Dis Unit, Dept Med, Rochester, NY 14621 USA; [Falsey, Ann R.] Univ Rochester, Sch Med &amp; Dent, Rochester, NY USA; [Hamer, Davidson H.; Leka, Lynette L.; Meydani, Simin Nikbin] Jean Mayer USDA Human Nutr Res Ctr Aging, Nutr Immunol Lab, Boston, MA 02111 USA; [Dallal, Gerard E.] Jean Mayer USDA Human Nutr Res Ctr Aging, Biostat Unit, Boston, MA 02111 USA; [Meydani, Simin Nikbin] Tufts Univ, Sackler Sch Grad Biomed Sci, Dept Pathol, Boston, MA 02111 USA; [Hamer, Davidson H.] Boston Univ, Sch Med, Dept Med, Infect Dis Sect, Boston, MA 02118 USA; [Hamer, Davidson H.] Boston Univ, Sch Publ Hlth, Ctr Int Hlth &amp; Dev, Boston, MA USA</t>
  </si>
  <si>
    <t xml:space="preserve">Rochester General Hospital; University of Rochester; United States Department of Agriculture (USDA); United States Department of Agriculture (USDA); Tufts University; Boston University; Boston University</t>
  </si>
  <si>
    <t xml:space="preserve">Falsey, AR (corresponding author), Rochester Gen Hosp, Infect Dis Unit, Dept Med, 1425 Portland Ave, Rochester, NY 14621 USA.</t>
  </si>
  <si>
    <t xml:space="preserve">Hamer, Davidson/J-2020-2019</t>
  </si>
  <si>
    <t xml:space="preserve">Hamer, Davidson/0000-0002-4700-1495</t>
  </si>
  <si>
    <t xml:space="preserve">NIAID NIH HHS [R01 AI055861, R01 AI055861-03] Funding Source: Medline; NIA NIH HHS [P01 AG004390, 1R01-AG13975] Funding Source: Medline</t>
  </si>
  <si>
    <t xml:space="preserve">NIAID NIH HHS(United States Department of Health &amp; Human ServicesNational Institutes of Health (NIH) - USANIH National Institute of Allergy &amp; Infectious Diseases (NIAID)); NIA NIH HHS(United States Department of Health &amp; Human ServicesNational Institutes of Health (NIH) - USANIH National Institute on Aging (NIA))</t>
  </si>
  <si>
    <t xml:space="preserve">0002-8614</t>
  </si>
  <si>
    <t xml:space="preserve">1532-5415</t>
  </si>
  <si>
    <t xml:space="preserve">J AM GERIATR SOC</t>
  </si>
  <si>
    <t xml:space="preserve">J. Am. Geriatr. Soc.</t>
  </si>
  <si>
    <t xml:space="preserve">10.1111/j.1532-5415.2008.01775.x</t>
  </si>
  <si>
    <t xml:space="preserve">Geriatrics &amp; Gerontology; Gerontology</t>
  </si>
  <si>
    <t xml:space="preserve">Science Citation Index Expanded (SCI-EXPANDED); Social Science Citation Index (SSCI)</t>
  </si>
  <si>
    <t xml:space="preserve">Geriatrics &amp; Gerontology</t>
  </si>
  <si>
    <t xml:space="preserve">332HJ</t>
  </si>
  <si>
    <t xml:space="preserve">Green Accepted, Green Published</t>
  </si>
  <si>
    <t xml:space="preserve">WOS:000258073800017</t>
  </si>
  <si>
    <t xml:space="preserve">Busca, A; Marchesi, F; Cattaneo, C; Trecarichi, EM; Delia, M; Del Principe, MI; Candoni, A; Pagano, L</t>
  </si>
  <si>
    <t xml:space="preserve">Busca, Alessandro; Marchesi, Francesco; Cattaneo, Chiara; Trecarichi, Enrico Maria; Delia, Mario; Del Principe, Maria Ilaria; Candoni, Anna; Pagano, Livio</t>
  </si>
  <si>
    <t xml:space="preserve">When Viruses Meet Fungi: Tackling the Enemies in Hematology</t>
  </si>
  <si>
    <t xml:space="preserve">JOURNAL OF FUNGI</t>
  </si>
  <si>
    <t xml:space="preserve">viral infections; invasive fungal infections; immunocompromised host; stem cell transplantation</t>
  </si>
  <si>
    <t xml:space="preserve">STEM-CELL TRANSPLANTATION; RESPIRATORY-TRACT INFECTIONS; INVASIVE MOLD INFECTIONS; DISEASES WORKING PARTY; RISK-FACTORS; CYTOMEGALOVIRUS REACTIVATION; VIRAL-INFECTIONS; CLINICAL CHARACTERISTICS; HUMAN METAPNEUMOVIRUS; INFLUENZA INFECTION</t>
  </si>
  <si>
    <t xml:space="preserve">The association of invasive fungal infections (IFI) and viral infections has been described in patients with hematologic malignancies (HM), in particular in hematopoietic stem cell transplant recipients. Regrettably, the diagnosis is often challenging, making the treatment inappropriate in some circumstances. The present review takes into consideration the viral infections commonly associated with IFI. Clinical presentation of IFI and viral infections, risk factors, and impact on the outcome of HM patients are discussed throughout the paper.</t>
  </si>
  <si>
    <t xml:space="preserve">[Busca, Alessandro] AOU Citta Salute &amp; Sci, Stem Cell Transplant Unit, I-10126 Turin, Italy; [Marchesi, Francesco] IRCCS Regina Elena Natl Canc Inst, Hematol &amp; Stem Cell Transplant Unit, I-00144 Rome, Italy; [Cattaneo, Chiara] ASST Spedali Civili, Hematol, I-25123 Brescia, Italy; [Trecarichi, Enrico Maria] Magna Graecia Univ Catanzaro, Mater Domini Teaching Hosp, Dept Med &amp; Surg Sci, Infect &amp; Trop Dis Unit, I-88100 Catanzaro, Italy; [Delia, Mario] AOUC Policlin, Hematol &amp; Stem Cell Transplantat Unit, I-70124 Bari, Italy; [Del Principe, Maria Ilaria] Univ Roma Tor Vergata, Dept Biomed &amp; Prevent, I-00133 Rome, Italy; [Candoni, Anna] Univ Udine ASUFC, Div Hematol &amp; Stem Cell Transplantat, I-33100 Udine, Italy; [Pagano, Livio] Univ Cattolica Sacro Cuore, Fdn Policlin Univ Gemelli IRCCS, Unita Ematol Geriatr &amp; Emopatie Rare, I-00168 Rome, Italy</t>
  </si>
  <si>
    <t xml:space="preserve">A.O.U. Citta della Salute e della Scienza di Torino; Hospital Spedali Civili Brescia; Magna Graecia University of Catanzaro; University of Rome Tor Vergata; Catholic University of the Sacred Heart; IRCCS Policlinico Gemelli</t>
  </si>
  <si>
    <t xml:space="preserve">Busca, A (corresponding author), AOU Citta Salute &amp; Sci, Stem Cell Transplant Unit, I-10126 Turin, Italy.</t>
  </si>
  <si>
    <t xml:space="preserve">abusca@cittadellasalute.to.it; francesco.marchesi@ifo.gov.it; chiara.cattaneo@asst-spedalicivili.it; em.trecarichi@unicz.it; mario.delia74@gmail.com; del.principe@med.uniroma2.it; anna.candoni@aoud.sanita.fvg.it; livio.pagano@unicatt.it</t>
  </si>
  <si>
    <t xml:space="preserve">Marchesi, Francesco/ABH-8310-2020; Trecarichi, Enrico/AAQ-5600-2020; Cattaneo, Chiara/AAB-9276-2019; PAGANO, Livio/J-3020-2018; del principe, maria ilaria/K-7348-2018; Busca, Alessandro/J-5305-2018; Marchesi, Francesco/K-7486-2016; candoni, anna/ABE-1708-2021</t>
  </si>
  <si>
    <t xml:space="preserve">PAGANO, Livio/0000-0001-8287-928X; del principe, maria ilaria/0000-0002-3958-0669; Cattaneo, Chiara/0000-0003-0031-3237; TRECARICHI, ENRICO/0000-0001-9064-7745; Busca, Alessandro/0000-0001-5361-5613; Delia, Mario/0000-0002-6486-8912; Marchesi, Francesco/0000-0001-6353-2272; candoni, anna/0000-0003-4436-1310</t>
  </si>
  <si>
    <t xml:space="preserve">2309-608X</t>
  </si>
  <si>
    <t xml:space="preserve">J FUNGI</t>
  </si>
  <si>
    <t xml:space="preserve">J. Fungi</t>
  </si>
  <si>
    <t xml:space="preserve">10.3390/jof8020184</t>
  </si>
  <si>
    <t xml:space="preserve">Microbiology; Mycology</t>
  </si>
  <si>
    <t xml:space="preserve">ZQ6LK</t>
  </si>
  <si>
    <t xml:space="preserve">WOS:000767214000001</t>
  </si>
  <si>
    <t xml:space="preserve">Fazekas, T; Eickhoff, P; Rauch, M; Verdianz, M; Attarbaschi, A; Dworzak, M; Peters, C; Hammer, K; Vecsei, A; Pötschger, U; Lion, T</t>
  </si>
  <si>
    <t xml:space="preserve">Fazekas, Tamas; Eickhoff, Philipp; Rauch, Margit; Verdianz, Maria; Attarbaschi, Andishe; Dworzak, Michael; Peters, Christina; Hammer, Karin; Vecsei, Andreas; Poetschger, Ulrike; Lion, Thomas</t>
  </si>
  <si>
    <t xml:space="preserve">Prevalence and Clinical Course of Viral Upper Respiratory Tract Infections in Immunocompromised Pediatric Patients With Malignancies or After Hematopoietic Stem Cell Transplantation</t>
  </si>
  <si>
    <t xml:space="preserve">JOURNAL OF PEDIATRIC HEMATOLOGY ONCOLOGY</t>
  </si>
  <si>
    <t xml:space="preserve">viral infection; respiratory fluid; immunosuppression</t>
  </si>
  <si>
    <t xml:space="preserve">SYNCYTIAL VIRUS-INFECTION; HUMAN METAPNEUMOVIRUS; HEMATOLOGIC MALIGNANCIES; MOLECULAR-DETECTION; RISK-FACTORS; RECIPIENTS; CHILDREN; CANCER; PCR; PALIVIZUMAB</t>
  </si>
  <si>
    <t xml:space="preserve">Background: Respiratory tract infections (RTI) in immunosuppressed pediatric patients with malignancies or after hematopoietic stem cell transplantation (HSCT) are associated with significant morbidity and mortality. Prospective data on the incidence and clinical role of infections by respiratory viruses in this population have been lacking. Methods: In this prospective study, 191 children between 0 and 18 years of age were investigated by real-time polymerase chain reaction for the presence of 8 common respiratory virus types in transnasal aspirations. The study included 110 children with leukemia, lymphoma, or solid tumors (subgroup 1); 31 children after HSCT (subgroup 2); and 50 immunocompetent control patients. Results: In comparison with the control group, immunocompromised children showed a significantly higher incidence of positive virus tests (subgroup 1: 53%; subgroup 2: 81%; controls: 24%; P &lt; 0.0001), and more frequently experienced ensuing viral infections in the lower respiratory tract (subgroup 1: 74%; subgroup 2: 88%; controls: 25%; P &lt; 0.0001). Sixteen percent of these children had coinfections by 2 or more viruses and revealed more severe respiratory illness. Conclusions: The present epidemiologic study on viral upper RTI in immunocompromised children revealed a high virus-associated morbidity which was particularly prominent in HSCT recipients. In these children, detection of viral coinfections was identified as a risk factor for a severe course of lower RTI.</t>
  </si>
  <si>
    <t xml:space="preserve">[Rauch, Margit; Verdianz, Maria; Poetschger, Ulrike; Lion, Thomas] St Anna Childrens Hosp, Childrens Canc Res Inst, A-1090 Vienna, Austria; [Fazekas, Tamas; Eickhoff, Philipp; Attarbaschi, Andishe; Dworzak, Michael; Peters, Christina; Hammer, Karin; Vecsei, Andreas] Med Univ Vienna, St Anna Childrens Hosp, Dept Pediat, Vienna, Austria</t>
  </si>
  <si>
    <t xml:space="preserve">Saint Anna Children's Hospital; St. Anna Children's Cancer Research Institute (CCRI); Saint Anna Children's Hospital; Medical University of Vienna</t>
  </si>
  <si>
    <t xml:space="preserve">Lion, T (corresponding author), St Anna Childrens Hosp, Childrens Canc Res Inst, Zimmermannpl 10, A-1090 Vienna, Austria.</t>
  </si>
  <si>
    <t xml:space="preserve">thomas.lion@ccri.at</t>
  </si>
  <si>
    <t xml:space="preserve">Dworzak, Michael/HJA-8259-2022; peters, christina/AFS-0683-2022; Lion, MD, PhD, Professor, Thomas/C-3241-2016</t>
  </si>
  <si>
    <t xml:space="preserve">Peters, Christina/0000-0003-0369-8515; Vecsei, Andreas/0000-0001-6017-4625; Potschger, Ulrike/0000-0001-7024-7082; Lion, MD, PhD, Professor, Thomas/0000-0001-9346-0994; Attarbaschi, Andishe/0000-0002-9285-6898</t>
  </si>
  <si>
    <t xml:space="preserve">1077-4114</t>
  </si>
  <si>
    <t xml:space="preserve">J PEDIAT HEMATOL ONC</t>
  </si>
  <si>
    <t xml:space="preserve">J. Pediatr. Hematol. Oncol.</t>
  </si>
  <si>
    <t xml:space="preserve">10.1097/MPH.0b013e3182580bc8</t>
  </si>
  <si>
    <t xml:space="preserve">Oncology; Hematology; Pediatrics</t>
  </si>
  <si>
    <t xml:space="preserve">999YW</t>
  </si>
  <si>
    <t xml:space="preserve">WOS:000308353000019</t>
  </si>
  <si>
    <t xml:space="preserve">Evelyn, O; Jaime, FS; David, M; Lorena, A; Jenifer, A; Oscar, G</t>
  </si>
  <si>
    <t xml:space="preserve">Evelyn, Obando; Jaime, Fernandez-Sarmiento; David, Montoya; Lorena, Acevedo; Jenifer, Arroyave; Oscar, Gamboa</t>
  </si>
  <si>
    <t xml:space="preserve">Prevalence, clinical outcomes and rainfall association of acute respiratory infection by human metapneumovirus in children in Bogota, Colombia</t>
  </si>
  <si>
    <t xml:space="preserve">BMC PEDIATRICS</t>
  </si>
  <si>
    <t xml:space="preserve">Viral infection; Children; Respiratory syncytial virus; Pneumonia</t>
  </si>
  <si>
    <t xml:space="preserve">MORBIDITY</t>
  </si>
  <si>
    <t xml:space="preserve">Background Acute respiratory infections (ARIs) are one of the main causes of morbidity and mortality in children. Viruses are the main etiological agents, and their behavior tends to be seasonal and vary by geographical location. Human metapneumovirus (HMPV) has recently been described as a cause of severe acute respiratory infection and its prevalence and clinical behavior in children at moderate altitudes is unknown. Methods A cross-sectional study was carried out on patients seen at a university hospital in Bogota, Colombia between October 2015 and December 2017 in a city at a moderate altitude above sea level. Children with acute respiratory infections who had had a multiplex RT-PCR assay were selected. The prevalence of HMPV infection, its clinical outcomes and its relationship to rainfall were evaluated. Results Out of a total of 14,760 discharged patients, multiplex RT-PCR was performed on 502 and a virus was detected in 420 children with acute respiratory infection (ARI). The study group had a median age of 21 months (IQR 7-60), with similar proportion of males and females (56.4 and 43.6% respectively) and 5.2% (CI 95 3.3-7.8%) prevalence of HMPV infection. The group with HMPV infection showed a greater frequency of viral coinfection (22.7% vs 14% P = 0.03) compared with ARI caused by other viruses. The rate of bacterial coinfection (P = 0.31), presence of comorbidities (p = 0.75), length of hospital stay (P = 0.42), need for mechanical ventilation (P = 0.75) and mortality (P = 0.22) were similar for HMPV and other viral infections. A moderate correlation was established between HMPV infection and rainfall peaks (Spearman's Rho 0.44 p = 0.02). Conclusions Human metapneumovirus was the fifth most frequently isolated virus in children with ARI, had similar clinical behavior and severity to other viruses but a higher rate of viral coinfection. Its peaks seem to correlate to rainy seasons.</t>
  </si>
  <si>
    <t xml:space="preserve">[Evelyn, Obando; David, Montoya; Lorena, Acevedo] Univ La Sabana, Fdn Cardioinfantil, Dept Pediat &amp; Intens Care, Inst Cardiol, Bogota, Colombia; [Jaime, Fernandez-Sarmiento] Univ La Sabana, Dept Pediat &amp; Intens Care, Inst Cardiol, Grad Sch,Univ CES,Fdn Cardioinfantil, Campus Univ Puente del Comun,Km 7 Autopista Norte, Bogota, Colombia; [Jenifer, Arroyave] Univ Rosario, Fdn Cardioinfantil, Dept Pediat &amp; Intens Care, Inst Cardiol, Bogota, Colombia; [Oscar, Gamboa] Univ La Sabana, Med Sch Res Dept, Bogota, Colombia</t>
  </si>
  <si>
    <t xml:space="preserve">Universidad de La Sabana; Fundacion Cardioinfantil - Instituto de Cardiologia; Universidad de La Sabana; Fundacion Cardioinfantil - Instituto de Cardiologia; Universidad del Rosario; Fundacion Cardioinfantil - Instituto de Cardiologia; Universidad de La Sabana</t>
  </si>
  <si>
    <t xml:space="preserve">Jaime, FS (corresponding author), Univ La Sabana, Dept Pediat &amp; Intens Care, Inst Cardiol, Grad Sch,Univ CES,Fdn Cardioinfantil, Campus Univ Puente del Comun,Km 7 Autopista Norte, Bogota, Colombia.</t>
  </si>
  <si>
    <t xml:space="preserve">JaimeFe@unisabana.edu.co</t>
  </si>
  <si>
    <t xml:space="preserve">Acevedo, Lorena/ISS-4637-2023; Fernandez, Jaime/HLX-6643-2023</t>
  </si>
  <si>
    <t xml:space="preserve">Fernandez-Sarmiento, Jaime/0000-0003-2874-2949; Acevedo, Lorena/0000-0003-1562-6535</t>
  </si>
  <si>
    <t xml:space="preserve">1471-2431</t>
  </si>
  <si>
    <t xml:space="preserve">BMC PEDIATR</t>
  </si>
  <si>
    <t xml:space="preserve">BMC Pediatr.</t>
  </si>
  <si>
    <t xml:space="preserve">OCT 10</t>
  </si>
  <si>
    <t xml:space="preserve">10.1186/s12887-019-1734-x</t>
  </si>
  <si>
    <t xml:space="preserve">JD2YR</t>
  </si>
  <si>
    <t xml:space="preserve">WOS:000489841600001</t>
  </si>
  <si>
    <t xml:space="preserve">Dosanjh, A</t>
  </si>
  <si>
    <t xml:space="preserve">Dosanjh, Amrita</t>
  </si>
  <si>
    <t xml:space="preserve">Respiratory metapneumoviral infection without co-infection in association with acute and chronic lung allograft dysfunction</t>
  </si>
  <si>
    <t xml:space="preserve">JOURNAL OF INFLAMMATION RESEARCH</t>
  </si>
  <si>
    <t xml:space="preserve">viral infection; bronchiolitis obliterans; acute cellular rejection; allograft; lung; metapneumovirus</t>
  </si>
  <si>
    <t xml:space="preserve">Background: Metapneumoviral respiratory infection is a community-acquired respiratory viral (CARV) infection. Lung transplantation recipients exposed to CARV are at risk for development of allograft rejection. The cellular and molecular pathways initiated by viral infection leading to allograft dysfunction are not completely understood. The aim of this study was to identify human metapneumoviral (hMPV) cases in association with allograft rejection. Methods: A literature search was conducted to identify cases of both hMPV and allograft rejection within 6 months of the initial infection. This resulted in 1,007 lung transplantation recipients, with a total of 2,883 samples identified. Of these, 57 demonstrated isolated hMPV without co-infection with other agents. Results: The results of the study indicate that 35% of acute hMPV infections without co-infection, at the time of detection by molecular diagnostic platforms, were associated with acute cellular rejection within 3 months. There were 9.4% of the cases subsequently associated with chronic allograft dysfunction/bronchiolitis obliterans syndrome, which was collectively termed chronic rejection for purposes of analysis. In conclusion, the prompt identification of isolated hMPV from lung transplantation patients is an important treatable risk factor for subsequent allograft dysfunction. The cellular and molecular pathogenesis of viral-induced allograft rejection remains a topic of future study.</t>
  </si>
  <si>
    <t xml:space="preserve">[Dosanjh, Amrita] Rady Childrens Hosp, Dept Pediat, 300 Childrens Way, San Diego, CA 92123 USA</t>
  </si>
  <si>
    <t xml:space="preserve">Rady Childrens Hospital San Diego</t>
  </si>
  <si>
    <t xml:space="preserve">Dosanjh, A (corresponding author), Rady Childrens Hosp, Dept Pediat, 300 Childrens Way, San Diego, CA 92123 USA.</t>
  </si>
  <si>
    <t xml:space="preserve">pulmd@aol.com</t>
  </si>
  <si>
    <t xml:space="preserve">Dosanjh M.D., A/0000-0001-9671-9930</t>
  </si>
  <si>
    <t xml:space="preserve">DOVE MEDICAL PRESS LTD</t>
  </si>
  <si>
    <t xml:space="preserve">ALBANY</t>
  </si>
  <si>
    <t xml:space="preserve">PO BOX 300-008, ALBANY, AUCKLAND 0752, NEW ZEALAND</t>
  </si>
  <si>
    <t xml:space="preserve">1178-7031</t>
  </si>
  <si>
    <t xml:space="preserve">J INFLAMM RES</t>
  </si>
  <si>
    <t xml:space="preserve">J. Inflamm. Res.</t>
  </si>
  <si>
    <t xml:space="preserve">10.2147/JIR.S78259</t>
  </si>
  <si>
    <t xml:space="preserve">V31FP</t>
  </si>
  <si>
    <t xml:space="preserve">WOS:000215616400008</t>
  </si>
  <si>
    <t xml:space="preserve">Luchsinger, V; Ruiz, M; Zunino, E; Martínez, MA; Machado, C; Piedra, PA; Fasce, R; Ulloa, MT; Fink, MC; Lara, P; Gebauer, M; Chávez, F; Avendaño, LF</t>
  </si>
  <si>
    <t xml:space="preserve">Luchsinger, Vivian; Ruiz, Mauricio; Zunino, Enna; Angelica Martinez, Maria; Machado, Clarisse; Piedra, Pedro A.; Fasce, Rodrigo; Teresa Ulloa, Maria; Cristina Fink, Maria; Lara, Pamela; Gebauer, Monica; Chavez, Fernando; Avendano, Luis F.</t>
  </si>
  <si>
    <t xml:space="preserve">Community-acquired pneumonia in Chile: the clinical relevance in the detection of viruses and atypical bacteria</t>
  </si>
  <si>
    <t xml:space="preserve">THORAX</t>
  </si>
  <si>
    <t xml:space="preserve">Viral infection; Bacterial Infection; Pneumonia; Respiratory Infection</t>
  </si>
  <si>
    <t xml:space="preserve">RESPIRATORY SYNCYTIAL VIRUS; MYCOPLASMA-PNEUMONIAE; HUMAN METAPNEUMOVIRUS; ADULTS; CHILDREN; PCR; INFECTIONS; GUIDELINES; IDENTIFICATION; SURVEILLANCE</t>
  </si>
  <si>
    <t xml:space="preserve">Background Adult community-acquired pneumonia (CAP) is a relevant worldwide cause of morbidity and mortality, however the aetiology often remains uncertain and the therapy is empirical. We applied conventional and molecular diagnostics to identify viruses and atypical bacteria associated with CAP in Chile. Methods We used sputum and blood cultures, IgG/IgM serology and molecular diagnostic techniques (PCR, reverse transcriptase PCR) for detection of classical and atypical bacteria (Mycoplasma pneumoniae, Chlamydia pneumoniae, Legionella pneumoniae) and respiratory viruses (adenovirus, respiratory syncytial virus (RSV), human metapneumovirus, influenza virus, parainfluenzavirus, rhinovirus, coronavirus) in adults &gt;18years old presenting with CAP in Santiago from February 2005 to September 2007. Severity was qualified at admission by Fine's pneumonia severity index. Results Overall detection in 356 enrolled adults were 92 (26%) cases of a single bacterial pathogen, 80 (22%) cases of a single viral pathogen, 60 (17%) cases with mixed bacterial and viral infection and 124 (35%) cases with no identified pathogen. Streptococcus pneumoniae and RSV were the most common bacterial and viral pathogens identified. Infectious agent detection by PCR provided greater sensitivity than conventional techniques. To our surprise, no relationship was observed between clinical severity and sole or coinfections. Conclusions The use of molecular diagnostics expanded the detection of viruses and atypical bacteria in adults with CAP, as unique or coinfections. Clinical severity and outcome were independent of the aetiological agents detected.</t>
  </si>
  <si>
    <t xml:space="preserve">[Luchsinger, Vivian; Lara, Pamela; Avendano, Luis F.] Univ Chile, Programa Virol, Fac Med, Santiago 8380453, Chile; [Ruiz, Mauricio] Univ Chile, Hosp Clin, Fac Med, Santiago 8380453, Chile; [Zunino, Enna; Gebauer, Monica; Chavez, Fernando] Hosp Infecciosos Dr Lucio Cordova, Fac Med, Santiago, Chile; [Angelica Martinez, Maria; Teresa Ulloa, Maria] Univ Chile, Programa Microbiol, Fac Med, Santiago 8380453, Chile; [Machado, Clarisse; Cristina Fink, Maria] Univ Sao Paulo, Lab Virol, Inst Med Trop Sao Paulo, Sao Paulo, Brazil; [Piedra, Pedro A.] Baylor Coll Med, Dept Mol Virol &amp; Microbiol &amp; Pediat, Houston, TX 77030 USA; [Fasce, Rodrigo] Inst Salud Publ Chile, Secc Virus Resp &amp; Exantemat, Subdept Enfermedades Virales, Santiago, Chile</t>
  </si>
  <si>
    <t xml:space="preserve">Universidad de Chile; Universidad de Chile; Universidad de Chile; Universidade de Sao Paulo; Baylor College of Medicine</t>
  </si>
  <si>
    <t xml:space="preserve">Avendaño, LF (corresponding author), Univ Chile, Programa Virol, Fac Med, Av Independencia 1027, Santiago 8380453, Chile.</t>
  </si>
  <si>
    <t xml:space="preserve">lavendan@med.uchile.cl</t>
  </si>
  <si>
    <t xml:space="preserve">CHAVEZ, Fernando/R-8422-2019; Fink, Maria/M-8718-2015</t>
  </si>
  <si>
    <t xml:space="preserve">Fondo Nacional de Ciencia y Tecnologia (FONDECYT) [1050734]; Fondo Nacional de Investigacion en Salud (FONIS) [SA04 I 2084]</t>
  </si>
  <si>
    <t xml:space="preserve">Fondo Nacional de Ciencia y Tecnologia (FONDECYT)(Comision Nacional de Investigacion Cientifica y Tecnologica (CONICYT)CONICYT FONDECYT); Fondo Nacional de Investigacion en Salud (FONIS)</t>
  </si>
  <si>
    <t xml:space="preserve">This work was supported by the Fondo Nacional de Ciencia y Tecnologia (FONDECYT) (grant number 1050734); and the Fondo Nacional de Investigacion en Salud (FONIS) (grant number SA04 I 2084).</t>
  </si>
  <si>
    <t xml:space="preserve">BMJ PUBLISHING GROUP</t>
  </si>
  <si>
    <t xml:space="preserve">BRITISH MED ASSOC HOUSE, TAVISTOCK SQUARE, LONDON WC1H 9JR, ENGLAND</t>
  </si>
  <si>
    <t xml:space="preserve">0040-6376</t>
  </si>
  <si>
    <t xml:space="preserve">1468-3296</t>
  </si>
  <si>
    <t xml:space="preserve">Thorax</t>
  </si>
  <si>
    <t xml:space="preserve">10.1136/thoraxjnl-2013-203551</t>
  </si>
  <si>
    <t xml:space="preserve">239TQ</t>
  </si>
  <si>
    <t xml:space="preserve">WOS:000326048900007</t>
  </si>
  <si>
    <t xml:space="preserve">Lei, C; Yang, LS; Lou, CT; Yang, F; SiTou, KI; Hu, H; Io, K; Cheok, KT; Pan, BQ; Ung, COL</t>
  </si>
  <si>
    <t xml:space="preserve">Lei, Cheng; Yang, Lisong; Lou, Cheong Tat; Yang, Fan; SiTou, Kin Ian; Hu, Hao; Io, King; Cheok, Kun Tat; Pan, Baoquan; Ung, Carolina Oi Lam</t>
  </si>
  <si>
    <t xml:space="preserve">Viral etiology and epidemiology of pediatric patients hospitalized for acute respiratory tract infections in Macao: a retrospective study from 2014 to 2017</t>
  </si>
  <si>
    <t xml:space="preserve">Viral etiology; Epidemiology; Respiratory viruses; Acute respiratory infections; Children; Macao</t>
  </si>
  <si>
    <t xml:space="preserve">MULTICENTER OUTCOMES ANALYSIS; GLOBAL BURDEN; CLINICAL CHARACTERISTICS; YOUNG-CHILDREN; INFLUENZA; DISEASE; VIRUSES; VACCINATION; PREVALENCE; STRATEGIES</t>
  </si>
  <si>
    <t xml:space="preserve">Background Acute respiratory infections (ARIs) are among the leading causes of hospitalization in children. Understanding the local dominant viral etiologies is important to inform infection control practices and clinical management. This study aimed to investigate the viral etiology and epidemiology of respiratory infections among pediatric inpatients in Macao. Methods A retrospective study using electronic health records between 2014 and 2017 at Kiang Wu Hospital was performed. Nasopharyngeal swab specimens were obtained from hospitalized children aged 13 years or younger with respiratory tract diseases. xMAP multiplex assays were employed to detect respiratory agents including 10 respiratory viruses. Data were analyzed to describe the frequency and seasonality. Results Of the 4880 children enrolled in the study, 3767 (77.1%) were positive for at least one of the 13 viral pathogens tested, of which 2707 (55.5%) being male and 2635 (70.0%) under 2 years old. Among the positive results, there were 3091 (82.0%) single infections and 676 (18.0%) multiple infections. The predominant viruses included human rhinovirus/enterovirus (HRV/EV 27.4%), adenovirus (ADV, 15.8%), respiratory syncytial virus B (RSVB, 7.8%) and respiratory syncytial virus A (RSVA, 7.8%). The detection of viral infection was the most prevalent in autumn (960/1176, 81.6%), followed by spring (1095/1406, 77.9%), winter (768/992, 77.4%), and summer (944/1306, 72.3%), with HRV/EV and ADV being most commonly detected throughout the 4 years of study period. The detection rate of viral infection was highest among ARI patients presented with croup (123/141, 87.2%), followed by lower respiratory tract infection (1924/2356, 81.7%) and upper respiratory tract infection (1720/2383, 72.2%). FluA, FluB and ADV were positive factors for upper respiratory tract infections. On the other hand, infection with RSVA, RSVB, PIV3, PIV4, HMPV, and EV/RHV were positively associated with lower respiratory tract infections; and PIV1, PIV2, and PIV3 were positively associated with croup. Conclusions This is the first study in Macao to determine the viral etiology and epidemiology of pediatric patients hospitalized for ARIs. The study findings can contribute to the awareness of pathogen, appropriate preventative measure, accurate diagnosis, and proper clinical management of respiratory viral infections among children in Macao.</t>
  </si>
  <si>
    <t xml:space="preserve">[Lei, Cheng; Lou, Cheong Tat; SiTou, Kin Ian; Io, King; Cheok, Kun Tat; Pan, Baoquan] Kiang Wu Hosp, Dept Pediat, Macao Sar, Peoples R China; [Yang, Lisong; Yang, Fan; Hu, Hao; Ung, Carolina Oi Lam] Univ Macau, Inst Chinese Med Sci, State Key Lab Qual Res Chinese Med, Macao Sar, Peoples R China</t>
  </si>
  <si>
    <t xml:space="preserve">University of Macau</t>
  </si>
  <si>
    <t xml:space="preserve">Ung, COL (corresponding author), Univ Macau, Inst Chinese Med Sci, State Key Lab Qual Res Chinese Med, Macao Sar, Peoples R China.</t>
  </si>
  <si>
    <t xml:space="preserve">carolinaung@um.edu.mo</t>
  </si>
  <si>
    <t xml:space="preserve">Ung, Carolina/AAR-2672-2020; Yang, Ling/F-5472-2012; HU, Hao/H-7813-2018</t>
  </si>
  <si>
    <t xml:space="preserve">li, jing/0000-0003-1922-3637; Ung, Carolina Oi Lam/0000-0003-1915-5099</t>
  </si>
  <si>
    <t xml:space="preserve">MAR 26</t>
  </si>
  <si>
    <t xml:space="preserve">10.1186/s12879-021-05996-x</t>
  </si>
  <si>
    <t xml:space="preserve">RG0OZ</t>
  </si>
  <si>
    <t xml:space="preserve">WOS:000635237100001</t>
  </si>
  <si>
    <t xml:space="preserve">Weinberg, GA; Schnabel, KC; Erdman, DD; Prill, MM; Iwane, MK; Shelley, LM; Whitaker, BL; Szilagyi, PG; Hall, CB</t>
  </si>
  <si>
    <t xml:space="preserve">Weinberg, Geoffrey A.; Schnabel, Kenneth C.; Erdman, Dean D.; Prill, Mila M.; Iwane, Marika K.; Shelley, Lynne M.; Whitaker, Brett L.; Szilagyi, Peter G.; Hall, Caroline B.</t>
  </si>
  <si>
    <t xml:space="preserve">Field evaluation of TaqMan Array Card (TAC) for the simultaneous detection of multiple respiratory viruses in children with acute respiratory infection</t>
  </si>
  <si>
    <t xml:space="preserve">Viral diagnostics; Respiratory viruses; Acute respiratory infection</t>
  </si>
  <si>
    <t xml:space="preserve">CONFIDENCE-INTERVALS; YOUNG-CHILDREN; SYNCYTIAL VIRUS; INFLUENZA-VIRUS; PCR ASSAY; PATHOGENS; PANEL; DIAGNOSIS; OUTBREAK; CAPTURE</t>
  </si>
  <si>
    <t xml:space="preserve">Background: Multipathogen reverse transcription real-time PCR (RT-qPCR) platforms have proven useful in surveillance for acute respiratory illness (ARI) and study of respiratory outbreaks of unknown etiology. The TaqMan (R) Array Card (TAC, Life Technologies (TM)), can simultaneously test 7 clinical specimens for up to 21 individual pathogens (depending on arrangement of controls and use of duplicate wells) by arrayed singleplex RT-qPCR on a single assay card, using minimal amounts of clinical specimens. A previous study described the development of TAC for the detection of respiratory viral and bacterial pathogens; the assay was evaluated against well-characterized analytical materials and a limited collection of human clinical specimens. Objectives: We wished to compare TAC assay performance against standard individual RT-qPCR assays for respiratory viral detection, focusing on 10 viruses (adenovirus, human metapneumovirus, human parainfluenza viruses 1-4, influenza viruses A and B, respiratory syncytial virus, and rhinovirus) from a larger collection of human specimens. Study design: We used specimens from 942 children with ARI enrolled systematically in a population-based, ARI surveillance study (New Vaccine Surveillance Network, NVSN). Results: Compared with standard individual RT-qPCR assays, the sensitivity of TAC for the targeted viruses ranged from 54% to 95% (54%, 56%, and 75% for adenovirus, human parainfluenza viruses-1 and -2, respectively, and 82%-95% for the other viruses). Assay specificity was 99%, and coefficients of variation for virus controls ranged from 1.5% to 4.5%. Conclusion: The TAC assay should prove useful for multipathogen studies and rapid outbreak response. (C) 2013 Elsevier B. V. All rights reserved.</t>
  </si>
  <si>
    <t xml:space="preserve">[Weinberg, Geoffrey A.; Schnabel, Kenneth C.; Shelley, Lynne M.; Szilagyi, Peter G.; Hall, Caroline B.] Univ Rochester, Sch Med &amp; Dent, Dept Pediat, Rochester, NY 14642 USA; [Erdman, Dean D.; Prill, Mila M.; Iwane, Marika K.; Whitaker, Brett L.] Natl Ctr Immunizat &amp; Resp Dis, Ctr Dis Control &amp; Prevent, Div Viral Dis, Atlanta, GA USA; [Hall, Caroline B.] Univ Rochester, Sch Med &amp; Dent, Dept Med, Rochester, NY 14642 USA</t>
  </si>
  <si>
    <t xml:space="preserve">University of Rochester; Centers for Disease Control &amp; Prevention - USA; University of Rochester</t>
  </si>
  <si>
    <t xml:space="preserve">Weinberg, GA (corresponding author), Univ Rochester, Sch Med &amp; Dent, Dept Pediat, 601 Elmwood Ave Box 690, Rochester, NY 14642 USA.</t>
  </si>
  <si>
    <t xml:space="preserve">geoff_weinberg@urmc.rochester.edu</t>
  </si>
  <si>
    <t xml:space="preserve">; Weinberg, Geoffrey/W-7510-2019</t>
  </si>
  <si>
    <t xml:space="preserve">Shelley, Lynne/0000-0002-5500-1751; Weinberg, Geoffrey/0000-0002-3900-379X</t>
  </si>
  <si>
    <t xml:space="preserve">Centers for Disease Control and Prevention (CDC) [U01-IP-000017]; U.S. Department of Health and Human Services (DHHS); Office of the Assistant Secretary for Preparedness and Response; Biomedical Advanced Research and Development Authority (BARDA)</t>
  </si>
  <si>
    <t xml:space="preserve">Centers for Disease Control and Prevention (CDC)(United States Department of Health &amp; Human ServicesCenters for Disease Control &amp; Prevention - USA); U.S. Department of Health and Human Services (DHHS); Office of the Assistant Secretary for Preparedness and Response; Biomedical Advanced Research and Development Authority (BARDA)</t>
  </si>
  <si>
    <t xml:space="preserve">Supported in part through cooperative agreement U01-IP-000017 from the Centers for Disease Control and Prevention (CDC); and by the U.S. Department of Health and Human Services (DHHS), Office of the Assistant Secretary for Preparedness and Response, Biomedical Advanced Research and Development Authority (BARDA) for advanced product development through Pandemic Influenza Diagnostic funding.</t>
  </si>
  <si>
    <t xml:space="preserve">10.1016/j.jcv.2013.03.016</t>
  </si>
  <si>
    <t xml:space="preserve">166XL</t>
  </si>
  <si>
    <t xml:space="preserve">Green Published, Green Accepted</t>
  </si>
  <si>
    <t xml:space="preserve">WOS:000320593300013</t>
  </si>
  <si>
    <t xml:space="preserve">Cardenas, J; Pringle, C; Filipp, SL; Gurka, MJ; Ryan, KA; Avery, KL</t>
  </si>
  <si>
    <t xml:space="preserve">Cardenas, Jose; Pringle, Charlene; Filipp, Stephanie L.; Gurka, Matthew J.; Ryan, Kathleen A.; Avery, K. Leslie</t>
  </si>
  <si>
    <t xml:space="preserve">Changes in Critical Bronchiolitis After COVID-19 Lockdown</t>
  </si>
  <si>
    <t xml:space="preserve">CUREUS JOURNAL OF MEDICAL SCIENCE</t>
  </si>
  <si>
    <t xml:space="preserve">viral coinfections; trend; severity of disease; respiratory syncytial virus (rsv); pediatric critical care; bronchiolitis; covid-19</t>
  </si>
  <si>
    <t xml:space="preserve">ORGAN DYSFUNCTION; VALIDATION; SEVERITY; SCALE</t>
  </si>
  <si>
    <t xml:space="preserve">Introduction In response to the coronavirus disease 2019 (COVID-19) pandemic, state and local governments implemented mitigation strategies, including lockdowns, thereby averting the typical fall/winter 2020 bronchiolitis season and reducing the incidence of respiratory viruses, such as respiratory syncytial virus (RSV). Florida implemented a strict lockdown from April 1, 2020, to April 30, 2020. The removal of lockdown precautions on September 25, 2020, was followed by an atypical out-of-season surge of bronchiolitis in April 2021. Anecdotally, this surge appeared to be associated with both increased poly-viral coinfections and disease severity. Objective To determine if the bronchiolitis out-of-season surge differed from historical seasonal case patterns. Methods A single-center retrospective cohort study of admissions to the pediatric intensive care unit (PICU) with International Classification of Diseases, Tenth Revision (K:D-10) codes of bronchiolitis, from December 9, 2019, to February 29, 2020 (12 weeks, pre-lockdown group or PreLD), was compared to March 29, 2021, to June 19, 2021 (12 weeks, post-lockdown group or PostLD). Variables used for comparison were gender, ethnicity, age, viral coinfections, viruses detected, PICU length of stay, hospital length of stay, mortality, maximum respiratory support needed, mechanical ventilation days, extracorporeal life support (ECLS) days, and severity of disease measured by Pediatric Logistic Organ Dysfunction-2 (PELOD-2) and Pediatric Sequential Organ Failure Assessment (pSOFA). Categorical data were analyzed using Fisher's exact test, and a t-test was used for continuous variables. A two-sided p &lt; 0.05 was considered significant. Results A total of 135 subjects were analyzed from the two cohorts. More patients were admitted during the PostLD phase (87 vs. 48). The PostLD group had a higher age at admission (11.2 +/- 12.3 vs. 6.6 +/- 7.5, p = 0.0075), but there were no differences in gender or race/ethnicity. The PostLD group also exhibited a higher proportion of RSV infections (73 vs. 16, p &lt; 0.0001) and poly-viral infections (p &lt; 0.0001). Higher coronavirus 0C43 (9 vs. 0, p = 0.0263) and parainfluenza types 1-4 (human parainfluenza virus (HPIV)) (19 vs. 1, p = 0.0017) detections, yet fewer human metapneumovirus (HMPV) detections (0 vs. 4, p= 0.0147), were observed PostLD. No differences were found in hospital length of stay, PICU length of stay, mortality, mechanical ventilation days, ECLS days, or severity of illness scores based on PELOD-2 or pSOFA scores. Conclusion In the bronchiolitis out-of-season surge, there were an increased number of admissions to the PICU. Those patients were older, and more likely to have RSV, as well as a coinfection with coronavirus 0C43 or HPIV, yet less likely to have HMPV. No difference in length of stay or disease severity was demonstrated.</t>
  </si>
  <si>
    <t xml:space="preserve">[Cardenas, Jose; Pringle, Charlene; Avery, K. Leslie] Univ Florida, Dept Pediat, Div Crit Care Med, Gainesville, FL 32611 USA; [Filipp, Stephanie L.; Gurka, Matthew J.] Univ Florida, Dept Hlth Outcomes &amp; Biomed Informat, Gainesville, FL USA; [Ryan, Kathleen A.] Univ Florida, Dept Pediat, Div Infect Dis, Gainesville, FL USA</t>
  </si>
  <si>
    <t xml:space="preserve">State University System of Florida; University of Florida; State University System of Florida; University of Florida; State University System of Florida; University of Florida</t>
  </si>
  <si>
    <t xml:space="preserve">Cardenas, J (corresponding author), Univ Florida, Dept Pediat, Div Crit Care Med, Gainesville, FL 32611 USA.</t>
  </si>
  <si>
    <t xml:space="preserve">josecardenas@ufl.edu</t>
  </si>
  <si>
    <t xml:space="preserve">Pringle, Charlene/AAW-4861-2020</t>
  </si>
  <si>
    <t xml:space="preserve">Pringle, Charlene/0000-0003-3345-7827</t>
  </si>
  <si>
    <t xml:space="preserve">SPRINGERNATURE</t>
  </si>
  <si>
    <t xml:space="preserve">2168-8184</t>
  </si>
  <si>
    <t xml:space="preserve">CUREUS J MED SCIENCE</t>
  </si>
  <si>
    <t xml:space="preserve">Cureus J Med Sci</t>
  </si>
  <si>
    <t xml:space="preserve">MAY 17</t>
  </si>
  <si>
    <t xml:space="preserve">e25064</t>
  </si>
  <si>
    <t xml:space="preserve">10.7759/cureus.25064</t>
  </si>
  <si>
    <t xml:space="preserve">1N2TK</t>
  </si>
  <si>
    <t xml:space="preserve">WOS:000800513300024</t>
  </si>
  <si>
    <t xml:space="preserve">Cilla, G; Onate, E; Perez-Yarza, EG; Montes, M; Vicente, D; Perez-Trallero, E</t>
  </si>
  <si>
    <t xml:space="preserve">Cilla, Gustavo; Onate, Eider; Perez-Yarza, Eduardo G.; Montes, Milagrosa; Vicente, Diego; Perez-Trallero, Emilio</t>
  </si>
  <si>
    <t xml:space="preserve">Viruses in community-acquired pneumonia in children aged less than 3 years old: High rate of viral coinfection</t>
  </si>
  <si>
    <t xml:space="preserve">viral coinfections; human bocavirus; human metapneumovirus; parainfluenza virus type 4</t>
  </si>
  <si>
    <t xml:space="preserve">RESPIRATORY-TRACT INFECTIONS; POLYMERASE-CHAIN-REACTION; HUMAN METAPNEUMOVIRUS; HUMAN BOCAVIRUS; YOUNG-CHILDREN; HUMAN CORONAVIRUS; SYNCYTIAL VIRUS; MULTIPLEX PCR; DISEASE; IDENTIFICATION</t>
  </si>
  <si>
    <t xml:space="preserve">The occurrence of viral coinfections in childhood pneumonia has received little attention, probably because suitable detection methods have been lacking. Between November 2004 and October 2006, the presence of 14 respiratory viruses in children aged less than 3 years old with community-acquired pneumonia were investigated using molecular or immunochromatographic techniques and/or viral culture. A total of 315 children (338 episodes) were included, and hospitalization was required in 178 episodes. At least one virus was detected in 66.9% of the episodes and Simultaneous detection of two or more viruses was frequent (27% of the episodes with viral detection). The most frequently detected virus was respiratory syncytial virus (n = 67: 33 subgroup A, 33 subgroup B, I not typed), followed by human bocavirus (n = 48), rhinovirus (n = 46), human metapneumovirus (n = 39: 13 genotype A2, 8 B1, 5 B2, 1 A1, 12 not genotyped) and parainfluenza viruses (n = 38: 1 type 1, 3 type 2, 22 type 3, 11 type 4 and 1 not typed). The 14 viruses investigated were found in viral coinfections, which were more frequent in children aged less than 12 months. Except for adenovirus, the incidence of which was low, the percentage of viral coinfection range between 28.2% and 68.8%. Children with viral coinfection more frequently required hospital admission than those with single viral infection. It is concluded that viral coinfections are frequent in children aged less than 3 years old with community-acquired pneumonia and can be a poor prognostic factor.</t>
  </si>
  <si>
    <t xml:space="preserve">[Perez-Trallero, Emilio] Hosp Donostia, Microbiol Serv, Dept Microbiol, San Sebastian 20014, Spain; [Onate, Eider; Perez-Yarza, Eduardo G.] Hosp Donostia, Dept Pediat, San Sebastian 20014, Spain; [Montes, Milagrosa; Vicente, Diego; Perez-Trallero, Emilio] CIBERes 26, San Sebastian, Spain; [Perez-Trallero, Emilio] Univ Basque Country, San Sebastian, Spain</t>
  </si>
  <si>
    <t xml:space="preserve">University Hospital Donostia; University Hospital Donostia; University of Basque Country</t>
  </si>
  <si>
    <t xml:space="preserve">Perez-Trallero, E (corresponding author), Hosp Donostia, Microbiol Serv, Dept Microbiol, Paseo Dr Beguiristain S-N, San Sebastian 20014, Spain.</t>
  </si>
  <si>
    <t xml:space="preserve">mikrobiol@terra.es</t>
  </si>
  <si>
    <t xml:space="preserve">Perez-Yarza, Eduardo G./0000-0002-8004-7110</t>
  </si>
  <si>
    <t xml:space="preserve">Department of Health of the Basque Government [200411079]</t>
  </si>
  <si>
    <t xml:space="preserve">Department of Health of the Basque Government</t>
  </si>
  <si>
    <t xml:space="preserve">Grant sponsor: Department of Health of the Basque Government (partial support); Grant number: 200411079</t>
  </si>
  <si>
    <t xml:space="preserve">10.1002/jmv.21271</t>
  </si>
  <si>
    <t xml:space="preserve">341SE</t>
  </si>
  <si>
    <t xml:space="preserve">Bronze, Green Published</t>
  </si>
  <si>
    <t xml:space="preserve">WOS:000258734400024</t>
  </si>
  <si>
    <t xml:space="preserve">Ricart, S; Garcia-Garcia, JJ; Anton, A; Pumarola, T; Pons, M; Muñoz-Almagro, C; Marcos, MA</t>
  </si>
  <si>
    <t xml:space="preserve">Ricart, Silvia; Jose Garcia-Garcia, Juan; Anton, Andres; Pumarola, Tomas; Pons, Marti; Munoz-Almagro, Carmen; Angeles Marcos, Maria</t>
  </si>
  <si>
    <t xml:space="preserve">ANALYSIS OF HUMAN METAPNEUMOVIRUS AND HUMAN BOCAVIRUS VIRAL LOAD</t>
  </si>
  <si>
    <t xml:space="preserve">viral bronchiolitis; viral load; human metapneumovirus; human bocavirus</t>
  </si>
  <si>
    <t xml:space="preserve">RESPIRATORY VIRUSES; CHILDREN; INFECTION; SEROEPIDEMIOLOGY; SEVERITY; DISEASE</t>
  </si>
  <si>
    <t xml:space="preserve">Viral load (VL) of human metapneumovirus and human bocavirus in infants &lt;12 months admitted for bronchiolitis was analyzed. VL correlated with length of hospital stay in both viruses, human metapneumovirus VL with the duration oxygen therapy and human bocavirus VL inversely with days of respiratory effort before admission. Infants coinfected by other viruses were younger, but no differences were seen regarding VL.</t>
  </si>
  <si>
    <t xml:space="preserve">[Ricart, Silvia; Jose Garcia-Garcia, Juan] Univ Barcelona, Hosp Univ St Joan de Deu, Dept Pediat, Barcelona 08950, Spain; [Anton, Andres; Pumarola, Tomas; Angeles Marcos, Maria] Univ Barcelona, Hosp Clin, Barcelona Ctr Int Hlth Res CRESIB, Dept Microbiol, Barcelona 08950, Spain; [Pons, Marti] Univ Barcelona, Hosp Univ St Joan de Deu, Pediat Intens Care Unit, Barcelona 08950, Spain; [Munoz-Almagro, Carmen] Univ Barcelona, Hosp Univ St Joan de Deu, Dept Microbiol, Barcelona 08950, Spain</t>
  </si>
  <si>
    <t xml:space="preserve">University of Barcelona; ISGlobal; CRESIB; University of Barcelona; Hospital Clinic de Barcelona; University of Barcelona; University of Barcelona</t>
  </si>
  <si>
    <t xml:space="preserve">Ricart, S (corresponding author), Univ Barcelona, Hosp St Joan de Deu, Dept Pediat, Pg St Joan de Deu 2, Barcelona 08950, Spain.</t>
  </si>
  <si>
    <t xml:space="preserve">sricart@hsjdbcn.org</t>
  </si>
  <si>
    <t xml:space="preserve">Odena, Martí/K-3054-2019; Ricart, Silvia/LKL-1517-2024; Pumarola, Tomàs/AAB-5532-2019; Anton Pagarolas, Andres/B-3308-2011; PONS-ODENA, MARTI/G-3982-2015; Garcia-Garcia, Juan Jose/J-5295-2014; Pumarola Sune, Tomas/F-7583-2017; Munoz-Almagro, Carmen/N-7248-2015</t>
  </si>
  <si>
    <t xml:space="preserve">Anton Pagarolas, Andres/0000-0002-1476-0815; PONS-ODENA, MARTI/0000-0002-1181-3547; Garcia-Garcia, Juan Jose/0000-0002-3483-528X; Pumarola Sune, Tomas/0000-0002-5171-7461; Ricart, Silvia/0000-0002-0651-8180; Munoz-Almagro, Carmen/0000-0001-5586-404X</t>
  </si>
  <si>
    <t xml:space="preserve">Ministerio de Sanidad y Consumo, Instituto de Salud Carlos II [FIS 05/0063]; Fundacio Sant Joan de Deu [AFR 2007/02]; Sociedad Espanola de Neumologia y Cirugia Toracica [SEPAR 2010/985]</t>
  </si>
  <si>
    <t xml:space="preserve">Ministerio de Sanidad y Consumo, Instituto de Salud Carlos II; Fundacio Sant Joan de Deu; Sociedad Espanola de Neumologia y Cirugia Toracica</t>
  </si>
  <si>
    <t xml:space="preserve">This work was supported by a grant from the Ministerio de Sanidad y Consumo, Instituto de Salud Carlos II (grant number FIS 05/0063), the Fundacio Sant Joan de Deu (AFR 2007/02) and the Sociedad Espanola de Neumologia y Cirugia Toracica (SEPAR 2010/985). The funders had no role in study design, data collection and analysis, decision to publish or preparation of the article. The authors have no other funding or conflicts of interest to disclose.</t>
  </si>
  <si>
    <t xml:space="preserve">10.1097/INF.0b013e3182932f4f</t>
  </si>
  <si>
    <t xml:space="preserve">301IH</t>
  </si>
  <si>
    <t xml:space="preserve">WOS:000330525500033</t>
  </si>
  <si>
    <t xml:space="preserve">Ricart, S; Marcos, MA; Sarda, M; Anton, A; Muñoz-Almagro, C; Pumarola, T; Pons, M; Garcia-Garcia, JJ</t>
  </si>
  <si>
    <t xml:space="preserve">Ricart, Silvia; Angeles Marcos, Maria; Sarda, Marta; Anton, Andres; Munoz-Almagro, Carmen; Pumarola, Tomas; Pons, Marti; Jose Garcia-Garcia, Juan</t>
  </si>
  <si>
    <t xml:space="preserve">Clinical risk factors are more relevant than respiratory viruses in predicting bronchiolitis severity</t>
  </si>
  <si>
    <t xml:space="preserve">PEDIATRIC PULMONOLOGY</t>
  </si>
  <si>
    <t xml:space="preserve">viral bronchiolitis; risk factors; disease severity; multivariate predictors</t>
  </si>
  <si>
    <t xml:space="preserve">HUMAN METAPNEUMOVIRUS INFECTIONS; SYNCYTIAL-VIRUS; HOSPITALIZED INFANTS; YOUNG-CHILDREN; RHINOVIRUS INFECTION; COINFECTION; SPECIMENS; BURDEN; IMPACT</t>
  </si>
  <si>
    <t xml:space="preserve">Background The role of respiratory viruses in the pathogenesis of bronchiolitis was re-evaluated with the use of molecular methods such as PCR for virus detection. Whether specific viruses or the classical clinical risk factors are more important in determining severe bronchiolitis is not well established. Aim To analyze the specific viruses and clinical variables that can predict severe bronchiolitis at admission. Methods Nasopharyngeal aspirates were prospectively collected from 484 children &lt;12 months admitted to the pediatrics ward or PICU at Universitary Hospital Sant Joan de Deu (Barcelona, Spain) for bronchiolitis from October 2007 to October 2008. Clinical and demographic data were collected. Sixteen respiratory viruses were studied using PCR. Severity was assessed with a bronchiolitis clinical score (BCS). Results Four hundred ten infants that tested positive for respiratory viruses were analyzed. Mixed viral infections did not increase the severity of the disease. Rhinovirus was associated with severe BCS in univariate analysis (P=0.041), but in the multivariate logistic regression including viruses and clinical data only bronchopulmonary dysplasia (OR 7.2; 95% CI 1.243.3), congenital heart disease (OR 4.7; 95% CI 1.119.9), prematurity (OR 2.6; 95% CI 1.35.1), and fever (OR 1.8, 95% CI 1.13.1) showed statistical significance for predicting severe BCS. Conclusions Classical clinical risk factors have more weight in predicting a severe BCS in infants with acute bronchiolitis than the involved viruses. Pediatr Pulmonol. 2013; 48:456463. (c) 2012 Wiley Periodicals, Inc.</t>
  </si>
  <si>
    <t xml:space="preserve">[Ricart, Silvia; Sarda, Marta; Jose Garcia-Garcia, Juan] Hosp Univ St Joan de Deu, Dept Pediat, Barcelona, Spain; [Angeles Marcos, Maria; Anton, Andres; Pumarola, Tomas] Hosp Clin Univ Barcelona, Dept Microbiol, Barcelona Ctr Int Hlth Res CRESIB, Barcelona, Spain; [Munoz-Almagro, Carmen] Hosp Univ St Joan de Deu, Dept Microbiol, Barcelona, Spain; [Pons, Marti] Hosp Univ St Joan de Deu, Pediat Intens Care Unit, Barcelona, Spain</t>
  </si>
  <si>
    <t xml:space="preserve">ISGlobal; CRESIB; University of Barcelona; Hospital Clinic de Barcelona</t>
  </si>
  <si>
    <t xml:space="preserve">Ricart, S (corresponding author), 2 Esplugues Llobregat, Barcelona 08950, Spain.</t>
  </si>
  <si>
    <t xml:space="preserve">Odena, Martí/K-3054-2019; Ricart, Silvia/LKL-1517-2024; Pumarola, Tomàs/AAB-5532-2019; Anton Pagarolas, Andres/B-3308-2011; Munoz-Almagro, Carmen/N-7248-2015; Garcia-Garcia, Juan Jose/J-5295-2014; Pumarola Sune, Tomas/F-7583-2017; PONS-ODENA, MARTI/G-3982-2015</t>
  </si>
  <si>
    <t xml:space="preserve">Anton Pagarolas, Andres/0000-0002-1476-0815; Munoz-Almagro, Carmen/0000-0001-5586-404X; Ricart, Silvia/0000-0002-0651-8180; Garcia-Garcia, Juan Jose/0000-0002-3483-528X; Pumarola Sune, Tomas/0000-0002-5171-7461; PONS-ODENA, MARTI/0000-0002-1181-3547</t>
  </si>
  <si>
    <t xml:space="preserve">Ministerio de Sanidad y Consumo, Instituto de Salud Carlos III (ISCIII) [FIS 05/0063]; Fundacio Sant Joan de Deu [AFR 2007/02]; Agencia de Gestio d'Ajuts Universitaris i de Recerca (AGAUR) [2009/SGR00136]</t>
  </si>
  <si>
    <t xml:space="preserve">Ministerio de Sanidad y Consumo, Instituto de Salud Carlos III (ISCIII); Fundacio Sant Joan de Deu; Agencia de Gestio d'Ajuts Universitaris i de Recerca (AGAUR)(Agencia de Gestio D'Ajuts Universitaris de Recerca Agaur (AGAUR))</t>
  </si>
  <si>
    <t xml:space="preserve">Ministerio de Sanidad y Consumo, Instituto de Salud Carlos III (ISCIII, FIS 05/0063); Fundacio Sant Joan de Deu (AFR 2007/02); and Agencia de Gestio d'Ajuts Universitaris i de Recerca (AGAUR, 2009/SGR00136).</t>
  </si>
  <si>
    <t xml:space="preserve">8755-6863</t>
  </si>
  <si>
    <t xml:space="preserve">1099-0496</t>
  </si>
  <si>
    <t xml:space="preserve">PEDIATR PULM</t>
  </si>
  <si>
    <t xml:space="preserve">Pediatr. Pulmonol.</t>
  </si>
  <si>
    <t xml:space="preserve">10.1002/ppul.22633</t>
  </si>
  <si>
    <t xml:space="preserve">Pediatrics; Respiratory System</t>
  </si>
  <si>
    <t xml:space="preserve">130PN</t>
  </si>
  <si>
    <t xml:space="preserve">WOS:000317930800004</t>
  </si>
  <si>
    <t xml:space="preserve">Shean, RC; Makhsous, N; Stoddard, GD; Lin, MJ; Greninger, AL</t>
  </si>
  <si>
    <t xml:space="preserve">Shean, Ryan C.; Makhsous, Negar; Stoddard, Graham D.; Lin, Michelle J.; Greninger, Alexander L.</t>
  </si>
  <si>
    <t xml:space="preserve">VAPiD: a lightweight cross-platform viral annotation pipeline and identification tool to facilitate virus genome submissions to NCBI GenBank</t>
  </si>
  <si>
    <t xml:space="preserve">BMC BIOINFORMATICS</t>
  </si>
  <si>
    <t xml:space="preserve">Viral annotation; Viral genomics; Virus sequence; Data submission; NCBI; GenBank; VAPiD</t>
  </si>
  <si>
    <t xml:space="preserve">MESSENGER-RNA; REAL-TIME</t>
  </si>
  <si>
    <t xml:space="preserve">BackgroundWith sequencing technologies becoming cheaper and easier to use, more groups are able to obtain whole genome sequences of viruses of public health and scientific importance. Submission of genomic data to NCBI GenBank is a requirement prior to publication and plays a critical role in making scientific data publicly available. GenBank currently has automatic prokaryotic and eukaryotic genome annotation pipelines but has no viral annotation pipeline beyond influenza virus. Annotation and submission of viral genome sequence is a non-trivial task, especially for groups that do not routinely interact with GenBank for data submissions.ResultsWe present Viral Annotation Pipeline and iDentification (VAPiD), a portable and lightweight command-line tool for annotation and GenBank deposition of viral genomes. VAPiD supports annotation of nearly all unsegmented viral genomes. The pipeline has been validated on human immunodeficiency virus, human parainfluenza virus 1-4, human metapneumovirus, human coronaviruses (229E/OC43/NL63/HKU1/SARS/MERS), human enteroviruses/rhinoviruses, measles virus, mumps virus, Hepatitis A-E Virus, Chikungunya virus, dengue virus, and West Nile virus, as well the human polyomaviruses BK/JC/MCV, human adenoviruses, and human papillomaviruses. The program can handle individual or batch submissions of different viruses to GenBank and correctly annotates multiple viruses, including those that contain ribosomal slippage or RNA editing without prior knowledge of the virus to be annotated. VAPiD is programmed in Python and is compatible with Windows, Linux, and Mac OS systems.ConclusionsWe have created a portable, lightweight, user-friendly, internet-enabled, open-source, command-line genome annotation and submission package to facilitate virus genome submissions to NCBI GenBank. Instructions for downloading and installing VAPiD can be found at https://github.com/rcs333/VAPiD.</t>
  </si>
  <si>
    <t xml:space="preserve">[Shean, Ryan C.; Makhsous, Negar; Lin, Michelle J.; Greninger, Alexander L.] Univ Washington, Dept Lab Med, Seattle, WA 98195 USA; [Shean, Ryan C.; Makhsous, Negar; Lin, Michelle J.; Greninger, Alexander L.] Fred Hutchinson Canc Res Ctr, Vaccine &amp; Infect Dis Div, 1124 Columbia St, Seattle, WA 98104 USA; [Stoddard, Graham D.] Univ Washington, Dept Neurobiol, Seattle, WA 98195 USA</t>
  </si>
  <si>
    <t xml:space="preserve">University of Washington; University of Washington Seattle; Fred Hutchinson Cancer Center; University of Washington; University of Washington Seattle</t>
  </si>
  <si>
    <t xml:space="preserve">Greninger, AL (corresponding author), Univ Washington, Dept Lab Med, Seattle, WA 98195 USA.;Greninger, AL (corresponding author), Fred Hutchinson Canc Res Ctr, Vaccine &amp; Infect Dis Div, 1124 Columbia St, Seattle, WA 98104 USA.</t>
  </si>
  <si>
    <t xml:space="preserve">rcs333@uw.edu; agrening@uw.edu</t>
  </si>
  <si>
    <t xml:space="preserve">Lin, Michelle/KFB-7964-2024; Greninger, Alex/LOR-8084-2024</t>
  </si>
  <si>
    <t xml:space="preserve">Lin, Michelle Jade/0000-0002-6925-9948; Greninger, Alexander/0000-0002-7443-0527</t>
  </si>
  <si>
    <t xml:space="preserve">University of Washington Department of Laboratory Medicine and Virology Division - Mary Gates Research Scholarship at the University of Washington</t>
  </si>
  <si>
    <t xml:space="preserve">This project was supported by the University of Washington Department of Laboratory Medicine and Virology Division. Ryan Shean was funded by the Mary Gates Research Scholarship at the University of Washington.</t>
  </si>
  <si>
    <t xml:space="preserve">1471-2105</t>
  </si>
  <si>
    <t xml:space="preserve">BMC Bioinformatics</t>
  </si>
  <si>
    <t xml:space="preserve">JAN 23</t>
  </si>
  <si>
    <t xml:space="preserve">10.1186/s12859-019-2606-y</t>
  </si>
  <si>
    <t xml:space="preserve">Biochemical Research Methods; Biotechnology &amp; Applied Microbiology; Mathematical &amp; Computational Biology</t>
  </si>
  <si>
    <t xml:space="preserve">Biochemistry &amp; Molecular Biology; Biotechnology &amp; Applied Microbiology; Mathematical &amp; Computational Biology</t>
  </si>
  <si>
    <t xml:space="preserve">HI5VR</t>
  </si>
  <si>
    <t xml:space="preserve">WOS:000456522700002</t>
  </si>
  <si>
    <t xml:space="preserve">Chandy, S; Manoharan, A; Hameed, A; Jones, LK; Nachiyar, GS; Ramya, MS; Sudhakar, A; Sumanth, A; Balasubramanian, S</t>
  </si>
  <si>
    <t xml:space="preserve">Chandy, Sara; Manoharan, Anand; Hameed, Abdul; Jones, Lionel Kumar; Nachiyar, Gothai S.; Ramya, M. S.; Sudhakar, Amullya; Sumanth, A.; Balasubramanian, S.</t>
  </si>
  <si>
    <t xml:space="preserve">A study on pediatric respiratory tract infections in hospitalised children from Chennai</t>
  </si>
  <si>
    <t xml:space="preserve">CLINICAL EPIDEMIOLOGY AND GLOBAL HEALTH</t>
  </si>
  <si>
    <t xml:space="preserve">Viral agents; Pediatric ARTI; Multiplexed real time RT-PCR</t>
  </si>
  <si>
    <t xml:space="preserve">BURDEN; IMPACT</t>
  </si>
  <si>
    <t xml:space="preserve">Globally, acute respiratory tract infections (ARTIs) are the leading cause of childhood morbidity and mortality. However, these infections remain poorly understood due to absence of affordable and effective diagnostic tools. In this study, viral acute respiratory tract infections were studied in hospitalised children up to 5 years of age (n = 256) using a commercial multiplex real time PCR. RSV (45.69%%), RV (17.88%), HBoV (7.95%), Influ B (7.28%), HMPV (6.6%), HPIV3 (5.96%) and Influ A virus (3.97%) were the common etiological agents detected. There was no significant correlation between the clinical signs and symptoms in patients with and without a viral aetiology. Multiplexed real time PCR is an important tool for early detection of viral agents of paediatric ARTI.</t>
  </si>
  <si>
    <t xml:space="preserve">[Chandy, Sara; Manoharan, Anand; Hameed, Abdul; Nachiyar, Gothai S.; Ramya, M. S.; Sudhakar, Amullya; Sumanth, A.; Balasubramanian, S.] CHILDS Trust Med Res Fdn CTMRF, 12-A Nageswara Rd,Nungambakkam, Chennai 600034, Tamil Nadu, India; [Jones, Lionel Kumar] Dept Clin Microbiol, Vellore 632004, India</t>
  </si>
  <si>
    <t xml:space="preserve">Manoharan, A (corresponding author), CHILDS Trust Med Res Fdn CTMRF, 12-A Nageswara Rd,Nungambakkam, Chennai 600034, Tamil Nadu, India.</t>
  </si>
  <si>
    <t xml:space="preserve">anandmanoharan@ctmrf.org</t>
  </si>
  <si>
    <t xml:space="preserve">M S, Ramya/0000-0001-9772-6681</t>
  </si>
  <si>
    <t xml:space="preserve">ELSEVIER - DIVISION REED ELSEVIER INDIA PVT LTD</t>
  </si>
  <si>
    <t xml:space="preserve">NEW DELHI</t>
  </si>
  <si>
    <t xml:space="preserve">17-A/1 MAIN RING ROAD, LAJPAT NAGAR IV, NEW DELHI, 110024, INDIA</t>
  </si>
  <si>
    <t xml:space="preserve">2452-0918</t>
  </si>
  <si>
    <t xml:space="preserve">2213-3984</t>
  </si>
  <si>
    <t xml:space="preserve">CLIN EPIDEMIOL GLOB</t>
  </si>
  <si>
    <t xml:space="preserve">Clin. Epidemiol. Glob. Health</t>
  </si>
  <si>
    <t xml:space="preserve">10.1016/j.cegh.2022.101067</t>
  </si>
  <si>
    <t xml:space="preserve">MAY 2022</t>
  </si>
  <si>
    <t xml:space="preserve">Public, Environmental &amp; Occupational Health</t>
  </si>
  <si>
    <t xml:space="preserve">1T8NM</t>
  </si>
  <si>
    <t xml:space="preserve">gold</t>
  </si>
  <si>
    <t xml:space="preserve">WOS:000804982600003</t>
  </si>
  <si>
    <t xml:space="preserve">Xue, MG; Wang, RZ; Harder, O; Chen, P; Lu, MJ; Cai, H; Li, AZ; Liang, XY; Jennings, R; La Perle, K; Niewiesk, S; Peeples, ME; Li, JR</t>
  </si>
  <si>
    <t xml:space="preserve">Xue, Miaoge; Wang, Rongzhang; Harder, Olivia; Chen, Phylip; Lu, Mijia; Cai, Hui; Li, Anzhong; Liang, Xueya; Jennings, Ryan; La Perle, Krista; Niewiesk, Stefan; Peeples, Mark E.; Li, Jianrong</t>
  </si>
  <si>
    <t xml:space="preserve">Stable Attenuation of Human Respiratory Syncytial Virus for Live Vaccines by Deletion and Insertion of Amino Acids in the Hinge Region between the mRNA Capping and Methyltransferase Domains of the Large Polymerase Protein</t>
  </si>
  <si>
    <t xml:space="preserve">vaccine; polymerases; respiratory syncytial virus</t>
  </si>
  <si>
    <t xml:space="preserve">VESICULAR STOMATITIS-VIRUS; HUMAN METAPNEUMOVIRUS; GENE; CHILDREN; MUTANTS; INFANTS; NS2; IDENTIFICATION; TRANSCRIPTION; CHIMPANZEES</t>
  </si>
  <si>
    <t xml:space="preserve">Human respiratory syncytial virus (RSV) is the leading viral cause of lower respiratory tract disease in infants and children worldwide. Currently, there are no FDA-approved vaccines to combat this virus. The large (L) polymerase protein of RSV replicates the viral genome and transcribes viral mRNAs. The L protein is organized as a core ring-like domain containing the RNA-dependent RNA polymerase and an appendage of globular domains containing an mRNA capping region and a cap methyltransferase region, which are linked by a flexible hinge region. Here, we found that the flexible hinge region of RSV L protein is tolerant to amino acid deletion or insertion. Recombinant RSVs carrying a single or double deletion or a single alanine insertion were genetically stable, highly attenuated in immortalized cells, had defects in replication and spread, and had a delay in innate immune cytokine responses in primary, well-differentiated, human bronchial epithelial (HBE) cultures. The replication of these recombinant viruses was highly attenuated in the upper and lower respiratory tracts of cotton rats. Importantly, these recombinant viruses elicited high levels of neutralizing antibody and provided complete protection against RSV replication. Taken together, amino acid deletions or insertions in the hinge region of the L protein can serve as a novel approach to rationally design genetically stable, highly attenuated, and immunogenic live virus vaccine candidates for RSV. IMPORTANCE Despite tremendous efforts, there are no FDA-approved vaccines for human respiratory syncytial virus (RSV). A live attenuated RSV vaccine is one of the most promising vaccine strategies for RSV. However, it has been a challenge to identify an RSV vaccine strain that has an optimal balance between attenuation and immunogenicity. In this study, we generated a panel of recombinant RSVs carrying a single and double deletion or a single alanine insertion in the large (L) polymerase protein that are genetically stable, sufficiently attenuated, and grow to high titer in cultured cells, while retaining high immunogenicity. Thus, these recombinant viruses may be promising vaccine candidates for RSV.</t>
  </si>
  <si>
    <t xml:space="preserve">[Xue, Miaoge; Wang, Rongzhang; Harder, Olivia; Lu, Mijia; Cai, Hui; Li, Anzhong; Liang, Xueya; Jennings, Ryan; La Perle, Krista; Niewiesk, Stefan; Li, Jianrong] Ohio State Univ, Coll Vet Med, Dept Vet Biosci, Columbus, OH 43210 USA; [Chen, Phylip; Peeples, Mark E.] Nationwide Childrens Hosp, Ctr Vaccines &amp; Immun, Res Inst, Columbus, OH USA; [Peeples, Mark E.] Ohio State Univ, Dept Pediat, Coll Med, Columbus, OH 43210 USA; [Cai, Hui] Pfizer Inc, Pearl River, NY USA</t>
  </si>
  <si>
    <t xml:space="preserve">University System of Ohio; Ohio State University; University System of Ohio; Ohio State University; Nationwide Childrens Hospital; Research Institute at Nationwide Children's Hospital; University System of Ohio; Ohio State University; Pfizer</t>
  </si>
  <si>
    <t xml:space="preserve">Li, JR (corresponding author), Ohio State Univ, Coll Vet Med, Dept Vet Biosci, Columbus, OH 43210 USA.</t>
  </si>
  <si>
    <t xml:space="preserve">li.926@osu.edu</t>
  </si>
  <si>
    <t xml:space="preserve">Li, Jianrong/E-3510-2011; Peeples, Mark/HJB-3610-2022</t>
  </si>
  <si>
    <t xml:space="preserve">Peeples, Mark/0000-0002-4582-317X</t>
  </si>
  <si>
    <t xml:space="preserve">NIH/NIAID [P01AI112524]</t>
  </si>
  <si>
    <t xml:space="preserve">NIH/NIAID(United States Department of Health &amp; Human ServicesNational Institutes of Health (NIH) - USANIH National Institute of Allergy &amp; Infectious Diseases (NIAID))</t>
  </si>
  <si>
    <t xml:space="preserve">This work was supported by a grant from the NIH/NIAID (P01AI112524).</t>
  </si>
  <si>
    <t xml:space="preserve">e01831-20</t>
  </si>
  <si>
    <t xml:space="preserve">10.1128/JVI.01831-20</t>
  </si>
  <si>
    <t xml:space="preserve">OZ9ZV</t>
  </si>
  <si>
    <t xml:space="preserve">WOS:000595277800001</t>
  </si>
  <si>
    <t xml:space="preserve">Markovich, MP; Glatman-Freedman, A; Bromberg, M; Augarten, A; Sefty, H; Kaufman, Z; Sherbany, H; Regev, L; Chodick, G; Mendelson, E; Shohat, T; Mandelboim, M</t>
  </si>
  <si>
    <t xml:space="preserve">Markovich, Michal Perry; Glatman-Freedman, Aharona; Bromberg, Michal; Augarten, Arie; Sefty, Hanna; Kaufman, Zalman; Sherbany, Hilda; Regev, Liora; Chodick, Gabriel; Mendelson, Ella; Shohat, Tamy; Mandelboim, Michal</t>
  </si>
  <si>
    <t xml:space="preserve">Israel Pediat Upper Resp Infection</t>
  </si>
  <si>
    <t xml:space="preserve">Back-to-School Upper Respiratory Infection in Preschool and Primary School-Age Children in Israel</t>
  </si>
  <si>
    <t xml:space="preserve">upper respiratory infection; school; surveillance</t>
  </si>
  <si>
    <t xml:space="preserve">SEPTEMBER EPIDEMIC; SYNCYTIAL VIRUS; HUMAN METAPNEUMOVIRUS; RAPID DETECTION; INFLUENZA-A; PCR ASSAY; ASTHMA; QUANTITATION</t>
  </si>
  <si>
    <t xml:space="preserve">Background: Increased upper respiratory infection (URI) among children at the beginning of school year is well known to parents and pediatricians. However, this phenomenon is not well documented or characterized. Methods: Computerized datasets from a large health maintenance organization in Israel were used to calculate the weekly rates of URI among children 3-14 years old for the years 2007-2012. In addition, nasopharyngeal swabs were collected in 2010-2012 from children with URI symptoms and controls during school opening time. Swabs were tested by real-time polymerase chain reaction for the presence of respiratory viruses. Results: Time-series analysis demonstrated a peak of URI in September each year. The peaks reached their height 2 weeks after school opening and returned to baseline within 4-7 weeks. The main 3 viruses detected both in URI patients and in healthy controls during the first weeks of school opening were rhinovirus, adenovirus and enterovirus. The detection rate of any respiratory virus, and of rhinovirus in particular, was significantly higher among cases than among controls (54% vs. 16%, P &lt; 0.001 for any virus, and 35% vs. 6.0%, P &lt; 0.01 for rhinovirus). When adjusting for age and sex cases had 5.8 times more viral detection when compared with controls. Upper respiratory symptoms were significantly more prevalent among the virus-positive cases when compared with negative ones. Conclusions: Back-to-school illness consisting of URI has a distinct epidemiological pattern demonstrating a rapid rise peaking within 2 weeks of school opening and is associated predominantly with rhinovirus.</t>
  </si>
  <si>
    <t xml:space="preserve">[Markovich, Michal Perry; Glatman-Freedman, Aharona; Bromberg, Michal; Sefty, Hanna; Kaufman, Zalman; Shohat, Tamy] Israel Minist Hlth, Israel Ctr Dis Control, Tel Hashomer, Israel; [Glatman-Freedman, Aharona] New York Med Coll, Dept Pediat, Valhalla, NY 10595 USA; [Glatman-Freedman, Aharona] New York Med Coll, Dept Family &amp; Community Med, Valhalla, NY 10595 USA; [Augarten, Arie] Chaim Sheba Med Ctr, Safra Childrens Hosp, Dept Pediat Emergency Med, IL-52621 Tel Hashomer, Israel; [Augarten, Arie] Tel Aviv Univ, Sackler Fac Med, Dept Pediat, IL-69978 Tel Aviv, Israel; [Sherbany, Hilda; Regev, Liora; Mendelson, Ella; Mandelboim, Michal] Israel Minist Hlth, Chaim Sheba Med Ctr, Cent Virol Lab, Tel Hashomer, Israel; [Chodick, Gabriel] Maccabi Healthcare Serv, Tel Aviv, Israel; [Chodick, Gabriel; Mendelson, Ella; Shohat, Tamy] Tel Aviv Univ, Sackler Fac Med, Sch Publ Hlth, Dept Epidemiol &amp; Prevent Med, IL-69978 Tel Aviv, Israel</t>
  </si>
  <si>
    <t xml:space="preserve">New York Medical College; New York Medical College; Chaim Sheba Medical Center; Tel Aviv University; Chaim Sheba Medical Center; Tel Aviv University</t>
  </si>
  <si>
    <t xml:space="preserve">Markovich, MP (corresponding author), Israel Ctr Dis Control, IL-5265601 Tel Hashomer, Israel.</t>
  </si>
  <si>
    <t xml:space="preserve">michalp@moag.gov.il</t>
  </si>
  <si>
    <t xml:space="preserve">chodick, gabby/AFP-0827-2022</t>
  </si>
  <si>
    <t xml:space="preserve">Alkan Helman, Yoav/0000-0002-4413-062X; /0000-0002-5189-8995; Peri Markovich, Michal/0000-0002-2061-5155</t>
  </si>
  <si>
    <t xml:space="preserve">10.1097/INF.0000000000000627</t>
  </si>
  <si>
    <t xml:space="preserve">CG5PH</t>
  </si>
  <si>
    <t xml:space="preserve">WOS:000353344500010</t>
  </si>
  <si>
    <t xml:space="preserve">Spyridaki, IS; Christodoulou, I; de Beer, L; Hovland, V; Kurowski, M; Olszewska-Ziaber, A; Carlsen, KH; Lodrup-Carlsen, K; van Drunen, CM; Kowalski, ML; Molenkamp, R; Papadopoulos, NG</t>
  </si>
  <si>
    <t xml:space="preserve">Spyridaki, Irini S.; Christodoulou, Ioannis; de Beer, Lieke; Hovland, Vegard; Kurowski, Marcin; Olszewska-Ziaber, Agnieszka; Carlsen, Kai-Hakon; Lodrup-Carlsen, Karin; van Drunen, Cornelis M.; Kowalski, Marek L.; Molenkamp, Richard; Papadopoulos, Nikolaos G.</t>
  </si>
  <si>
    <t xml:space="preserve">Comparison of four nasal sampling methods for the detection of viral pathogens by RT-PCR-A GA2LEN project</t>
  </si>
  <si>
    <t xml:space="preserve">Upper respiratory infection; Nasal aspirate; Nasal brush; Nasal swab; Nasal wash; RT-PCR</t>
  </si>
  <si>
    <t xml:space="preserve">RESPIRATORY SYNCYTIAL VIRUS; NASOPHARYNGEAL ASPIRATE; HUMAN METAPNEUMOVIRUS; HOSPITALIZED CHILDREN; ACUTE BRONCHIOLITIS; CLINICAL SYMPTOMS; SWAB SPECIMENS; MULTIPLEX PCR; OTITIS-MEDIA; CELL-CULTURE</t>
  </si>
  <si>
    <t xml:space="preserve">The aim of this study was to compare the efficacy and patient discomfort between four techniques for obtaining nasal secretions. Nasal secretions from 58 patients with symptoms of a common cold, from three clinical centers (Amsterdam, Lodz. Oslo), were obtained by four different methods: swab, aspirate, brush. and wash. In each patient all four sampling procedures were per-formed and patient discomfort was evaluated by a visual discomfort scale (scale 1-5) after each procedure. Single pathogen RT-PCRs for Rhinovirus (RV), Influenza virus and Adenovirus, and multiplex real-time PCR for RV, Enterovirus, Influenza virus, Adenovirus, Respiratory Syncytial Virus (RSV), Parainfluenza virus, Coronavirus, Metapneumovirus, Bocavirus and Parechovirus were performed in all samples. A specific viral cause of respiratory tract infection was determined in 48 patients (83%). In these, the detection rate for any virus was 88% (wash), 79% (aspirate), 77% (swab) and 74% (brush). The degree of discomfort reported was 2.54 for swabs, 2.63 for washes, 2.68 for aspirates and 3.61 for brushings. Nasal washes yielded the highest rate of viral detection without excessive patient discomfort. In contrast, nasal brushes produced the lowest detection rates and demonstrated the highest level of discomfort. (c) 2008 Elsevier B.V. All rights reserved.</t>
  </si>
  <si>
    <t xml:space="preserve">[Spyridaki, Irini S.; Christodoulou, Ioannis; Papadopoulos, Nikolaos G.] Univ Athens, Pediat Clin 2, Allergy Res Ctr, Athens 11527, Greece; [de Beer, Lieke; van Drunen, Cornelis M.] Univ Amsterdam, Acad Med Ctr, ENT Dept, NL-1105 AZ Amsterdam, Netherlands; [Hovland, Vegard] Ullevaal Univ Hosp, Dept Paediat, Oslo, Norway; [Kurowski, Marcin; Olszewska-Ziaber, Agnieszka; Kowalski, Marek L.] Med Univ Lodz, Dept Immunol Rheumatol &amp; Allergy, Lodz, Poland; [Carlsen, Kai-Hakon; Lodrup-Carlsen, Karin] Natl Hosp HF, Voksentoppen BKL, Oslo, Norway; [Molenkamp, Richard] Univ Amsterdam, Acad Med Ctr, Dept Med Microbiol, NL-1105 AZ Amsterdam, Netherlands</t>
  </si>
  <si>
    <t xml:space="preserve">National &amp; Kapodistrian University of Athens; University of Amsterdam; Academic Medical Center Amsterdam; University of Oslo; Medical University Lodz; University of Oslo; National Hospital Norway; University of Amsterdam; Academic Medical Center Amsterdam</t>
  </si>
  <si>
    <t xml:space="preserve">Christodoulou, I (corresponding author), Univ Athens, Pediat Clin 2, Allergy Res Ctr, 41 Fidippidou Str, Athens 11527, Greece.</t>
  </si>
  <si>
    <t xml:space="preserve">christodoulou.ioannis@gmail.com</t>
  </si>
  <si>
    <t xml:space="preserve">; Papadopoulos, Nikolaos/L-8670-2013</t>
  </si>
  <si>
    <t xml:space="preserve">van Drunen, Cornelis M/0000-0001-5503-066X; Kurowski, Marcin/0000-0002-0653-7533; Molenkamp, Richard/0000-0002-9004-3850; Papadopoulos, Nikolaos/0000-0002-4448-3468; Papadopoulos, Nikolaos/0000-0002-2508-3872</t>
  </si>
  <si>
    <t xml:space="preserve">GA2LEN (Global Allergy and Asthma European Network); EU Framework programme for research [FOOD-CF-2004-506378]</t>
  </si>
  <si>
    <t xml:space="preserve">GA2LEN (Global Allergy and Asthma European Network); EU Framework programme for research</t>
  </si>
  <si>
    <t xml:space="preserve">This work was funded by GA2LEN (Global Allergy and Asthma European Network), which is supported by EU Framework programme for research, contract no. FOOD-CF-2004-506378.</t>
  </si>
  <si>
    <t xml:space="preserve">1-2</t>
  </si>
  <si>
    <t xml:space="preserve">10.1016/j.jviromet.2008.10.027</t>
  </si>
  <si>
    <t xml:space="preserve">420ZX</t>
  </si>
  <si>
    <t xml:space="preserve">WOS:000264328800016</t>
  </si>
  <si>
    <t xml:space="preserve">Jacobs, JA; Njenga, MK; Alvarez, R; Mawditt, K; Britton, P; Cavanagh, D; Seal, BS</t>
  </si>
  <si>
    <t xml:space="preserve">Subtype B avian metapneumovirus resembles subtype A more closely than subtype C or human metapneumovirus with respect to the phosphoprotein, and second matrix and small hydrophobic proteins</t>
  </si>
  <si>
    <t xml:space="preserve">VIRUS RESEARCH</t>
  </si>
  <si>
    <t xml:space="preserve">turkey rhinotracheitis virus; paramyxovirus; emerging diseases; veterinary virology</t>
  </si>
  <si>
    <t xml:space="preserve">TURKEY RHINOTRACHEITIS VIRUS; RESPIRATORY SYNCYTIAL VIRUS; AMINO-ACID-SEQUENCE; INFECTIOUS-BRONCHITIS VIRUS; GENE ORDER DIFFERENT; NUCLEOTIDE-SEQUENCE; ANTIGENIC DIFFERENTIATION; PNEUMOVIRUS ISOLATE; RIBONUCLEIC-ACID; SUBGROUP-A</t>
  </si>
  <si>
    <t xml:space="preserve">Avian metapneumovirus (aMPV) subtype B (aMPV/B) nucleotide sequences were obtained for the phosphoprotein (P), second matrix protein (M2), and small hydrophobic protein (SH) genes. By comparison with sequences from other metapneumoviruses, aMPV/B was most similar to subtype A aMPV (aMPV/A) relative to the US subtype C isolates (aMPV/C) and human metapneumovirus (hMPV). Strictly conserved residues common to all members of the Pneumovirinae were identified in the predicted amino acid sequences of the P and M2 protein-predicted amino acid sequences. The Cys(3)-His(1) motif, thought to be important for binding zinc, was also present in the aMPV M2 predicted protein sequences. For both the P and M2-1 protein-predicted amino acid sequences, aMPV/B was most similar to aMPV/A (72 and 89% identity, respectively), having only approximately 52 and 70% identity, respectively, relative to aMPV/C and hMPV. Differences were more marked in the M2-2 proteins, subtype B having 64% identity with subtype A but less than or equal to 25% identity with subtype C and hMPV. The A and B subtypes of aMPV had predicted amino acid sequence identities for the SH protein of 47%, and less than 20% with that of hMPV. An SH gene was not detected in the aMPV/C. Phylogenetically, aMPV/B clustered with aMPV/A, while aMPV/C grouped with hMPV. (C) 2003 Elsevier Science B.V. All rights reserved.</t>
  </si>
  <si>
    <t xml:space="preserve">Inst Anim Hlth, Compton Lab, Newbury RG20 7NN, Berks, England; ARS, SE Poultry Res Lab, USDA, Athens, GA 30605 USA; Univ Minnesota, Coll Vet Med, Dept Vet Pathobiol, St Paul, MN 55108 USA</t>
  </si>
  <si>
    <t xml:space="preserve">UK Research &amp; Innovation (UKRI); Biotechnology and Biological Sciences Research Council (BBSRC); Pirbright Institute; United States Department of Agriculture (USDA); University of Minnesota System; University of Minnesota Twin Cities</t>
  </si>
  <si>
    <t xml:space="preserve">Inst Anim Hlth, Compton Lab, Newbury RG20 7NN, Berks, England.</t>
  </si>
  <si>
    <t xml:space="preserve">dave.cavanagh@bbsrc.ac.uk</t>
  </si>
  <si>
    <t xml:space="preserve">0168-1702</t>
  </si>
  <si>
    <t xml:space="preserve">1872-7492</t>
  </si>
  <si>
    <t xml:space="preserve">VIRUS RES</t>
  </si>
  <si>
    <t xml:space="preserve">Virus Res.</t>
  </si>
  <si>
    <t xml:space="preserve">PII S0168-1702(03)00041-8</t>
  </si>
  <si>
    <t xml:space="preserve">10.1016/S0168-1702(03)00041-8</t>
  </si>
  <si>
    <t xml:space="preserve">669EX</t>
  </si>
  <si>
    <t xml:space="preserve">WOS:000182339900006</t>
  </si>
  <si>
    <t xml:space="preserve">Liu, F; Yang, XY; He, ZH; Ouyang, CH; Yang, XG; Yang, CL</t>
  </si>
  <si>
    <t xml:space="preserve">Liu, Fang; Yang, XuYong; He, Zhaohui; Ouyang, Chenghong; Yang, Xiaogang; Yang, Chunli</t>
  </si>
  <si>
    <t xml:space="preserve">Using Targeted Next-Generation Sequencing to Diagnose Severe Pneumonia Due to Tropheryma Whipplei and Human Metapneumovirus: A Case Report and Literature Review</t>
  </si>
  <si>
    <t xml:space="preserve">INFECTION AND DRUG RESISTANCE</t>
  </si>
  <si>
    <t xml:space="preserve">Tropheryma Whipplei; bronchoalveolar lavage fluid; targeted next -generation sequencing; human metapneumovirus</t>
  </si>
  <si>
    <t xml:space="preserve">DISEASE; TRIMETHOPRIM; FLUID</t>
  </si>
  <si>
    <t xml:space="preserve">Background: In addition to the well-known Whipple's disease (WD), Tropheryma Whipplei (TW) can also lead to acute pneumonia. There is no unified consensus on the susceptible population, pathogenesis, clinical manifestations, diagnostic criteria, and treatment options for TW pneumonia. Clinical Presentation and Intervention: This is an elderly patient with multiple injuries caused by falling from a building, and was transferred to intensive care unit (ICU) for mechanical ventilation and empirical anti-infection treatment due to severe pneumonia, and then the results of targeted next-generation sequencing (tNGS) in patient's bronchoalveolar lavage fluid (BALF) suggested TW and human metapneumovirus (HMPV) infection, and after switching to anti-infective therapy for TW, the patient was successfully extubated and transferred out of the ICU. Conclusion: This is the first case of using tNGS to diagnose severe pneumonia caused by TW and HMPV. We hope that our study can serve as a reference for the diagnosis and treatment of related cases in the future.</t>
  </si>
  <si>
    <t xml:space="preserve">[Liu, Fang; He, Zhaohui; Ouyang, Chenghong; Yang, Xiaogang; Yang, Chunli] Nanchang Med Coll, Jiangxi Prov Peoples Hosp, Affiliated Hosp 1, Dept Intens Care Unit, Nanchang, Peoples R China; [Yang, XuYong] Nanchang Univ, Gaoxin Hosp, Affiliated Hosp 1, Dept Pediat, Nanchang, Peoples R China</t>
  </si>
  <si>
    <t xml:space="preserve">Nanchang University</t>
  </si>
  <si>
    <t xml:space="preserve">Yang, XG (corresponding author), Nanchang Med Coll, Jiangxi Prov Peoples Hosp, Affiliated Hosp 1, Dept Intens Care Unit, Nanchang, Peoples R China.</t>
  </si>
  <si>
    <t xml:space="preserve">JXSRMICU@163.com</t>
  </si>
  <si>
    <t xml:space="preserve">1178-6973</t>
  </si>
  <si>
    <t xml:space="preserve">INFECT DRUG RESIST</t>
  </si>
  <si>
    <t xml:space="preserve">Infect. Drug Resistance</t>
  </si>
  <si>
    <t xml:space="preserve">10.2147/IDR.S451477</t>
  </si>
  <si>
    <t xml:space="preserve">Infectious Diseases; Pharmacology &amp; Pharmacy</t>
  </si>
  <si>
    <t xml:space="preserve">RI9D7</t>
  </si>
  <si>
    <t xml:space="preserve">WOS:001227143200001</t>
  </si>
  <si>
    <t xml:space="preserve">Comparison of a new transport medium with universal transport medium at a tropical field site</t>
  </si>
  <si>
    <t xml:space="preserve">DIAGNOSTIC MICROBIOLOGY AND INFECTIOUS DISEASE</t>
  </si>
  <si>
    <t xml:space="preserve">Transport medium; Influenza</t>
  </si>
  <si>
    <t xml:space="preserve">COMMUNITY-ACQUIRED PNEUMONIA; RESPIRATORY-INFECTIONS; HOSPITALIZED CHILDREN; VIRAL-INFECTIONS; INFLUENZA; ETIOLOGY; VIRUSES; PCR</t>
  </si>
  <si>
    <t xml:space="preserve">Limited data are available in rural Honduran settings describing the etiology of respiratory infections, partially due to limited specimen transport. A new molecular transport media (MTM) preserves released nucleic acid at ambient temperature for later detection. Prospective surveillance was conducted in a Honduran clinic to identify 233 children less than 5 years of age presenting with respiratory symptoms. We obtained 2 nasopharyngeal samples and stored 1 in PrimeStore (R) MTM at room temperature and 1 in universal transport media (UTM) at -80 degrees C. The specimens were then transported to Cincinnati Children's Hospital and tested for 16 respiratory viruses using a multiplex PCR panel. The 2 specimen collection systems were similar for detecting the 4 most common viruses: influenza (Kappa = 0.7676, P &lt; 0.0001), human metapneumovirus (Kappa = 0.8770, P &lt; 0.0001), respiratory syncytial virus (Kappa = 0.6849, P &lt; 0.0001), and parainfluenza (Kappa = 0.8796, P &lt; 0.0001). These results suggest that clinical specimens transported via PrimeStore (R) MTM and UTM yield similar viral multiplex PCR results. (C) 2014 Elsevier Inc. All rights reserved.</t>
  </si>
  <si>
    <t xml:space="preserve">[Schlaudecker, Elizabeth P.; Steinhoff, Mark C.] Cincinnati Childrens Hosp, Global Hlth Ctr, Div Infect Dis, Cincinnati, OH 45229 USA; [Schlaudecker, Elizabeth P.; Dodd, Caitlin N.; McNeal, Monica M.; Staat, Mary A.; Steinhoff, Mark C.] Med Ctr, Cincinnati, OH USA; [Heck, Joan P.; MacIntyre, Elizabeth T.; Martinez, Ruben] Shoulder to Shoulder, Intibuca, Honduras; [Dodd, Caitlin N.] Cincinnati Childrens Hosp, Global Hlth Ctr, Cincinnati, OH USA; [McNeal, Monica M.; Staat, Mary A.] Cincinnati Childrens Hosp, Div Infect Dis, Cincinnati, OH USA; [Heck, Jeffery E.] Univ N Carolina, Dept Family Med, Asheville, NC 28804 USA</t>
  </si>
  <si>
    <t xml:space="preserve">University System of Ohio; University of Cincinnati; Cincinnati Children's Hospital Medical Center; Cincinnati Children's Hospital Medical Center; Cincinnati Children's Hospital Medical Center; University System of Ohio; University of Cincinnati; University of North Carolina; University of North Carolina - Asheville</t>
  </si>
  <si>
    <t xml:space="preserve">Schlaudecker, EP (corresponding author), Cincinnati Childrens Hosp, Global Hlth Ctr, Div Infect Dis, Cincinnati, OH 45229 USA.</t>
  </si>
  <si>
    <t xml:space="preserve">Elizabeth.Schlaudecker@cchmc.org</t>
  </si>
  <si>
    <t xml:space="preserve">McNeal, Monica/0000-0002-3784-9062</t>
  </si>
  <si>
    <t xml:space="preserve">Fogarty International Clinical Research Fellowship, National Institutes of Health [5 R24 TW007988-03]; NIH/NCRR Clinical and Translational Science Award [5UL1RR026314-3]</t>
  </si>
  <si>
    <t xml:space="preserve">Fogarty International Clinical Research Fellowship, National Institutes of Health; NIH/NCRR Clinical and Translational Science Award</t>
  </si>
  <si>
    <t xml:space="preserve">This work was supported by a Fogarty International Clinical Research Fellowship, National Institutes of Health grant 5 R24 TW007988-03, awarded to EPS. Study data were collected and managed using REDCap (Research Electronic Data Capture) tools at Cincinnati Children's Research Foundation (NIH/NCRR Clinical and Translational Science Award, 5UL1RR026314-3).</t>
  </si>
  <si>
    <t xml:space="preserve">ELSEVIER SCIENCE INC</t>
  </si>
  <si>
    <t xml:space="preserve">360 PARK AVE SOUTH, NEW YORK, NY 10010-1710 USA</t>
  </si>
  <si>
    <t xml:space="preserve">0732-8893</t>
  </si>
  <si>
    <t xml:space="preserve">1879-0070</t>
  </si>
  <si>
    <t xml:space="preserve">DIAGN MICR INFEC DIS</t>
  </si>
  <si>
    <t xml:space="preserve">Diagn. Microbiol. Infect. Dis.</t>
  </si>
  <si>
    <t xml:space="preserve">10.1016/j.diagmicrobio.2014.05.018</t>
  </si>
  <si>
    <t xml:space="preserve">Infectious Diseases; Microbiology</t>
  </si>
  <si>
    <t xml:space="preserve">AP8KZ</t>
  </si>
  <si>
    <t xml:space="preserve">WOS:000342329200004</t>
  </si>
  <si>
    <t xml:space="preserve">Kuypers, J; Campbell, AP; Cent, A; Corey, L; Boeckh, M</t>
  </si>
  <si>
    <t xml:space="preserve">Kuypers, J.; Campbell, A. P.; Cent, A.; Corey, L.; Boeckh, M.</t>
  </si>
  <si>
    <t xml:space="preserve">Comparison of conventional and molecular detection of respiratory viruses in hematopoietic cell transplant recipients</t>
  </si>
  <si>
    <t xml:space="preserve">TRANSPLANT INFECTIOUS DISEASE</t>
  </si>
  <si>
    <t xml:space="preserve">transplantation; respiratory viruses; polymerase chain reaction; molecular detection; hematopoietic stem cell transplant</t>
  </si>
  <si>
    <t xml:space="preserve">REAL-TIME PCR; POLYMERASE-CHAIN-REACTION; SYNCYTIAL-VIRUS; BONE-MARROW; INFECTIONS; DIAGNOSIS; MULTIPLEX; ASSAYS</t>
  </si>
  <si>
    <t xml:space="preserve">Background Sensitive detection of respiratory viruses is important for early diagnosis of infection in patients following hematopoietic cell transplantation (HCT). To evaluate the relative sensitivity of respiratory virus detection in specimens from HCT recipients, we compared the results of conventional and quantitative molecular methods. Methods We tested 688 nasal wash samples collected prospectively from 131 patients during the first 100 days after HCT by viral culture, fluorescent antibody staining (FA), and real-time quantitative reverse transcription-polymerase chain reaction (PCR) assay for detection of respiratory syncytial virus (RSV), influenza virus types A (FluA) and B (FluB), and parainfluenza virus types 1 (PIV1) and 3 (PIV3). Testing for human metapneumovirus (MPV) was performed only by PCR. Data regarding 10 respiratory symptoms were collected with each sample. Results By any method 37 specimens were positive for a respiratory virus; 34 were positive by PCR, 15 by culture, and 6 by FA. Four specimens were positive by all 3 methods (3 RSV, 1 FluA). One specimen was positive for PIV1, and 2 were positive for rhinovirus by culture alone. Specimens positive by PCR alone included 2 RSV, 2 PIV1, 8 PIV3, and 8 MPV. In 10 specimens positive for RSV, PIV, or influenza virus collected from patients reporting no respiratory symptoms, 9, 4, and 1 specimen were positive by PCR, culture, and FA, respectively. Overall, specimens positive only by PCR had significantly fewer viral copies/mL (mean log(10)=4.32) than specimens positive by both PCR and culture (mean log(10)=5.75; P=0.002) or PCR and FA (mean log(10)=6.83; P &lt; 0.001). Conclusions FA testing alone did not detect a significant proportion of respiratory virus-positive samples in HCT recipients, especially in patients with no respiratory symptoms and patients with PIV detection. PCR increased the yield of positive specimens 2 times relative to culture and more than 4 times relative to FA. Detection of respiratory viruses by PCR alone was associated with lower virus quantities and with fewer reported respiratory symptoms compared with concomitant detection by both PCR and conventional methods, indicating that PCR may be important to detect asymptomatic or mildly symptomatic stages of respiratory viral infections.</t>
  </si>
  <si>
    <t xml:space="preserve">[Kuypers, J.; Campbell, A. P.; Cent, A.; Corey, L.; Boeckh, M.] Univ Washington, Seattle, WA 98195 USA; [Kuypers, J.; Campbell, A. P.; Corey, L.; Boeckh, M.] Fred Hutchinson Canc Res Ctr, Seattle, WA 98104 USA; [Campbell, A. P.] Seattle Childrens Hosp, Seattle, WA USA</t>
  </si>
  <si>
    <t xml:space="preserve">University of Washington; University of Washington Seattle; Fred Hutchinson Cancer Center; Seattle Children's Hospital</t>
  </si>
  <si>
    <t xml:space="preserve">Kuypers, J (corresponding author), 1616 Eastlake Ave E,Suite 320, Seattle, WA 98102 USA.</t>
  </si>
  <si>
    <t xml:space="preserve">kuypers@u.washington.edu</t>
  </si>
  <si>
    <t xml:space="preserve">Corey, Lawrence/AAE-1796-2020; Boeckh, Michael/AAA-1607-2022</t>
  </si>
  <si>
    <t xml:space="preserve">National Institutes of Health [CA 18029, CA 15704, HL081595]; Joel M. Meyers Endowment Fund; MedImmune</t>
  </si>
  <si>
    <t xml:space="preserve">National Institutes of Health(United States Department of Health &amp; Human ServicesNational Institutes of Health (NIH) - USA); Joel M. Meyers Endowment Fund; MedImmune(AstraZenecaMedimmune)</t>
  </si>
  <si>
    <t xml:space="preserve">This work was supported by National Institutes of Health grants CA 18029, CA 15704, and HL081595. A.P.C. received support from the Joel M. Meyers Endowment Fund, MedImmune Pediatric Fellowship Grant Award, and Pediatric Infectious Diseases Society Fellowship Award funded by MedImmune.</t>
  </si>
  <si>
    <t xml:space="preserve">1398-2273</t>
  </si>
  <si>
    <t xml:space="preserve">1399-3062</t>
  </si>
  <si>
    <t xml:space="preserve">TRANSPL INFECT DIS</t>
  </si>
  <si>
    <t xml:space="preserve">Transpl. Infect. Dis.</t>
  </si>
  <si>
    <t xml:space="preserve">10.1111/j.1399-3062.2009.00400.x</t>
  </si>
  <si>
    <t xml:space="preserve">Immunology; Infectious Diseases; Transplantation</t>
  </si>
  <si>
    <t xml:space="preserve">480EI</t>
  </si>
  <si>
    <t xml:space="preserve">WOS:000268714600003</t>
  </si>
  <si>
    <t xml:space="preserve">O'Shea, DT; Humar, A</t>
  </si>
  <si>
    <t xml:space="preserve">O'Shea, Daire T.; Humar, Atul</t>
  </si>
  <si>
    <t xml:space="preserve">Life-Threatening Infection in Transplant Recipients</t>
  </si>
  <si>
    <t xml:space="preserve">CRITICAL CARE CLINICS</t>
  </si>
  <si>
    <t xml:space="preserve">Transplant infection; Critical care; Immunosuppression; Opportunistic infection; Microbiological diagnosis</t>
  </si>
  <si>
    <t xml:space="preserve">STEM-CELL TRANSPLANT; POSTTRANSPLANT LYMPHOPROLIFERATIVE DISORDER; STRONGYLOIDES HYPERINFECTION SYNDROME; VANCOMYCIN-RESISTANT ENTEROCOCCUS; HUMAN METAPNEUMOVIRUS INFECTION; RESPIRATORY VIRAL-INFECTIONS; BONE-MARROW; LUNG TRANSPLANTATION; CYTOMEGALOVIRUS DISEASE; INVASIVE ASPERGILLOSIS</t>
  </si>
  <si>
    <t xml:space="preserve">Modern post-transplant care pathways commonly encompass periods of critical care support. Infectious events account for many of these interactions making critical care physicians integral members of multidisciplinary transplant teams. Despite continuing advances in clinical care and infection prophylaxis, the morbidity and mortality attributable to infection post-transplant remains considerable. Emerging entities constantly add to the breadth of potential opportunistic pathogens. Individualized risk assessments, rapid and thorough diagnostic evaluation, and prompt initiation of appropriate antimicrobial therapies are essential. The approach to managing transplant recipients with infection in critical care is discussed and common and emerging opportunistic pathogens are reviewed.</t>
  </si>
  <si>
    <t xml:space="preserve">[O'Shea, Daire T.; Humar, Atul] Univ Alberta, Alberta Transplant Inst, Katz Ctr Hlth Res 6 030, Edmonton, AB T6G 2E1, Canada</t>
  </si>
  <si>
    <t xml:space="preserve">University of Alberta</t>
  </si>
  <si>
    <t xml:space="preserve">Humar, A (corresponding author), Univ Alberta, Alberta Transplant Inst, Katz Ctr Hlth Res 6 030, 11361-87 Ave, Edmonton, AB T6G 2E1, Canada.</t>
  </si>
  <si>
    <t xml:space="preserve">ahumar@ualberta.ca</t>
  </si>
  <si>
    <t xml:space="preserve">Roche; Astellas</t>
  </si>
  <si>
    <t xml:space="preserve">Roche(Roche Holding); Astellas(Astellas Pharmaceuticals)</t>
  </si>
  <si>
    <t xml:space="preserve">A. Humar has received grant support from Roche and consulting fees from Astellas.</t>
  </si>
  <si>
    <t xml:space="preserve">0749-0704</t>
  </si>
  <si>
    <t xml:space="preserve">1557-8232</t>
  </si>
  <si>
    <t xml:space="preserve">CRIT CARE CLIN</t>
  </si>
  <si>
    <t xml:space="preserve">Crit. Care Clin.</t>
  </si>
  <si>
    <t xml:space="preserve">10.1016/j.ccc.2013.06.012</t>
  </si>
  <si>
    <t xml:space="preserve">244CJ</t>
  </si>
  <si>
    <t xml:space="preserve">WOS:000326364400011</t>
  </si>
  <si>
    <t xml:space="preserve">Márquez-Escobar, VA; Tirado-Mendoza, R; Noyola, DE; Gutiérrez-Ortega, A; Alpuche-Solís, AG</t>
  </si>
  <si>
    <t xml:space="preserve">Marquez-Escobar, Veronica A.; Tirado-Mendoza, Rocio; Noyola, Daniel E.; Gutierrez-Ortega, Abel; Alpuche-Solis, ANgel G.</t>
  </si>
  <si>
    <t xml:space="preserve">HRA2pl peptide: a fusion inhibitor for human metapneumovirus produced in tobacco plants by transient transformation</t>
  </si>
  <si>
    <t xml:space="preserve">PLANTA</t>
  </si>
  <si>
    <t xml:space="preserve">Transient transformation; Antiviral peptide; hMPV; HRA domain</t>
  </si>
  <si>
    <t xml:space="preserve">RESPIRATORY SYNCYTIAL VIRUS; POTENT INHIBITORS; MEMBRANE-FUSION; PARAMYXOVIRUS FUSION; TRACT INFECTIONS; HIV-1 ENTRY; PROTEIN; IDENTIFICATION; AGROBACTERIUM; EXPRESSION</t>
  </si>
  <si>
    <t xml:space="preserve">The HRA2pl peptide expressed by transient transformation in N. tabacum plants is capable of inhibiting the binding of the human metapneumovirus to HEp-2 cells at the fusion stage. Human metapneumovirus (hMPV) is an agent responsible for acute respiratory infections that mainly affects children under 3 years, the elderly and immunocompromised patients. In children younger than 5 years, respiratory tract infections account for 20 % of deaths worldwide. However, there is currently no treatment or vaccine available against hMPV. The production of a safe, efficient and low cost treatment against this virus is a current challenge. Plants provide a system for recombinant protein production that is cost effective and is easier to scale up to an industrial level than other platforms; in addition, the plant tissue may be used as raw food, dried or, alternatively, proteins may be partially or fully purified and administered in aerosol or capsules as dry powder. In this study, we designed a gene expressing an antiviral peptide against hMPV based on the heptad repeat A domain of the F protein of the virus. We produced the recombinant peptide by a viral transient expression system (Magnifection(A (R))) in Nicotiana tabacum plants. The efficacy of this antiviral peptide was confirmed by in vitro assays in HEp-2 cell line. This is a promising result that can offer a prophylactic approach against hMPV.</t>
  </si>
  <si>
    <t xml:space="preserve">[Marquez-Escobar, Veronica A.; Alpuche-Solis, ANgel G.] IPICYT AC, Div Mol Biol, San Luis Potosi 78216, San Luis Potosi, Mexico; [Tirado-Mendoza, Rocio] Univ Nacl Autonoma Mexico, Col Univ Nacl Autonoma Mexico, Fac Med, Dept Microbiol &amp; Parasitol, Delegacion Coyoacan 04510, DF, Mexico; [Noyola, Daniel E.] Univ Autonoma San Luis Potosi, Fac Med, Dept Microbiol, San Luis Potosi 78210, San Luis Potosi, Mexico; [Gutierrez-Ortega, Abel] Ctr Invest &amp; Asistencia Tecnol &amp; Diseno Estado Ja, Unidad Biotecnol Med &amp; Farmaceut, Guadalajara 44270, Jalisco, Mexico</t>
  </si>
  <si>
    <t xml:space="preserve">Instituto Potosino Investigacion Cientifica y Tecnologica; Universidad Nacional Autonoma de Mexico; Universidad Autonoma de San Luis Potosi</t>
  </si>
  <si>
    <t xml:space="preserve">Alpuche-Solís, AG (corresponding author), IPICYT AC, Div Mol Biol, Camino la Presa San Jose 2055, San Luis Potosi 78216, San Luis Potosi, Mexico.</t>
  </si>
  <si>
    <t xml:space="preserve">alpuche@ipicyt.edu.mx</t>
  </si>
  <si>
    <t xml:space="preserve">Marquez, Veronica/KEI-6459-2024; Noyola, Daniel/AAL-9773-2020</t>
  </si>
  <si>
    <t xml:space="preserve">Noyola, Daniel/0000-0002-4840-6742; Marquez Escobar, Veronica Araceli/0009-0000-6970-6130; Gutierrez-Ortega, Abel/0000-0002-5772-3950; Alpuche-Solis, Angel/0000-0002-3342-0365</t>
  </si>
  <si>
    <t xml:space="preserve">CONACyT Mexico [154790, 332439]</t>
  </si>
  <si>
    <t xml:space="preserve">CONACyT Mexico(Consejo Nacional de Ciencia y Tecnologia (CONACyT))</t>
  </si>
  <si>
    <t xml:space="preserve">We would like to acknowledge Dr. Lara-Gonzalez for his technical assistance. We also thank CONACyT Mexico for the Grant 154790 and Scholarship 332439, granted to Marquez-Escobar for her Ph.D. studies.</t>
  </si>
  <si>
    <t xml:space="preserve">0032-0935</t>
  </si>
  <si>
    <t xml:space="preserve">1432-2048</t>
  </si>
  <si>
    <t xml:space="preserve">Planta</t>
  </si>
  <si>
    <t xml:space="preserve">10.1007/s00425-015-2277-5</t>
  </si>
  <si>
    <t xml:space="preserve">Plant Sciences</t>
  </si>
  <si>
    <t xml:space="preserve">CK8VG</t>
  </si>
  <si>
    <t xml:space="preserve">WOS:000356516800005</t>
  </si>
  <si>
    <t xml:space="preserve">Funes, SC; Ríos, M; Fernández-Fierro, A; Rivera-Pérez, D; Soto, JA; Valbuena, JR; Altamirano-Lagos, MJ; Gómez-Santander, F; Jara, EL; Zoroquiain, P; Roa, JC; Kalergis, AM; Riedel, CA</t>
  </si>
  <si>
    <t xml:space="preserve">Funes, Samanta C.; Rios, Mariana; Fernandez-Fierro, Ayleen; Rivera-Perez, Daniela; Soto, Jorge A.; Valbuena, Jose R.; Altamirano-Lagos, Maria J.; Gomez-Santander, Felipe; Jara, Evelyn L.; Zoroquiain, Pablo; Roa, Juan C.; Kalergis, Alexis M.; Riedel, Claudia A.</t>
  </si>
  <si>
    <t xml:space="preserve">Female offspring gestated in hypothyroxinemia and infected with human Metapneumovirus (hMPV) suffer a more severe infection and have a higher number of activated CD8+ T lymphocytes</t>
  </si>
  <si>
    <t xml:space="preserve">thyroid hormones; gestational hypothyroxinemia; human metapneumovirus (hMPV); viral infection; metapneumo virus</t>
  </si>
  <si>
    <t xml:space="preserve">RESPIRATORY SYNCYTIAL VIRUS; THYROID-HORMONE; IMMUNE-RESPONSE; MOLECULAR-BASIS; HYPOTHYROIDISM; PHYSIOLOGY; CLEARANCE; INCREASES; PREGNANCY; PROTECTS</t>
  </si>
  <si>
    <t xml:space="preserve">Maternal thyroid hormones (THs) are essential for the appropriate development of the fetus and especially for the brain. Recently, some studies have shown that THs deficiency can also alter the immune system development of the progeny and their ability to mount an appropriate response against infectious agents. In this study, we evaluated whether adult mice gestated under hypothyroxinemia (Hpx) showed an altered immune response against infection with human metapneumovirus (hMPV). We observed that female mice gestated under Hpx showed higher clinical scores after seven days of hMPV infection. Besides, males gestated under Hpx have higher lung viral loads at day seven post-infection. Furthermore, the female offspring gestated in Hpx have already reduced the viral load at day seven and accordingly showed an increased proportion of activated (CD71(+) and FasL(+)) CD8(+) T cells in the lungs, which correlated with a trend for a higher histopathological clinical score. These results support that T-4 deficiency during gestation might condition the offspring differently in males and females, enhancing their ability to respond to hMPV.</t>
  </si>
  <si>
    <t xml:space="preserve">[Funes, Samanta C.; Rios, Mariana; Fernandez-Fierro, Ayleen; Rivera-Perez, Daniela; Soto, Jorge A.; Altamirano-Lagos, Maria J.; Gomez-Santander, Felipe; Jara, Evelyn L.; Kalergis, Alexis M.] Chile, Pontificia Univ Cato, Millennium Inst Immunol &amp; Immunotherapy, Facultad Ciencias Biolog, Santiago, Chile; [Funes, Samanta C.] Univ Nacl San Luis UNSL, Inst Multidisciplinario Investigaciones Biolog Sa, Consejo Nacl Investigaciones Cient Tecn CONICET, San Luis, Argentina; [Soto, Jorge A.; Riedel, Claudia A.] Univ Andres Bello, Millennium Inst Immunol &amp; Immunotherapy, Facultad Ciencias Vida, Dept Ciencias Biolog, Santiago, Chile; [Valbuena, Jose R.; Zoroquiain, Pablo; Roa, Juan C.] Pontificia Univ Catolica Chile, Facultad Medicina, Dept Anat Patolog, Santiago, Chile; [Jara, Evelyn L.] Univ Concepcion, Millennium Inst Immunol &amp; Immunotherapy, Facultad Ciencias Biolog, Dept Farmacologia, Concepcion, Chile; [Kalergis, Alexis M.] Pontificia Univ Catolica Chile, Facultad Medicina, Dept Endocrinologia, Escuela Medicina, Santiago, Chile</t>
  </si>
  <si>
    <t xml:space="preserve">Universidad Nacional de San Luis; Universidad Andres Bello; Pontificia Universidad Catolica de Chile; Universidad de Concepcion; Pontificia Universidad Catolica de Chile</t>
  </si>
  <si>
    <t xml:space="preserve">Riedel, CA (corresponding author), Univ Andres Bello, Millennium Inst Immunol &amp; Immunotherapy, Facultad Ciencias Vida, Dept Ciencias Biolog, Santiago, Chile.</t>
  </si>
  <si>
    <t xml:space="preserve">Zoroquiain, Pablo/IQW-5566-2023; Soto, Jorge/JXW-5802-2024</t>
  </si>
  <si>
    <t xml:space="preserve">Riedel, Claudia/0000-0001-6168-8601; Rivera Perez, Daniela/0000-0002-3317-5080; Zoroquiain, Pablo/0000-0002-3164-1842; Soto, Jorge/0000-0003-0335-9759</t>
  </si>
  <si>
    <t xml:space="preserve">SEP 8</t>
  </si>
  <si>
    <t xml:space="preserve">10.3389/fimmu.2022.966917</t>
  </si>
  <si>
    <t xml:space="preserve">4V9YT</t>
  </si>
  <si>
    <t xml:space="preserve">WOS:000859825900001</t>
  </si>
  <si>
    <t xml:space="preserve">Hayek, AJ; White, HD; Ghamande, S; Spradley, C; Arroliga, AC</t>
  </si>
  <si>
    <t xml:space="preserve">Hayek, Adam J.; White, Heath D.; Ghamande, Shekhar; Spradley, Christopher; Arroliga, Alejandro C.</t>
  </si>
  <si>
    <t xml:space="preserve">Is Therapeutic Hypothermia for Acute Respiratory Distress Syndrome the Future?</t>
  </si>
  <si>
    <t xml:space="preserve">JOURNAL OF INTENSIVE CARE MEDICINE</t>
  </si>
  <si>
    <t xml:space="preserve">therapeutic hypothermia; refractory hypoxemia; acute respiratory distress syndrome; extracorporeal membrane oxygenation</t>
  </si>
  <si>
    <t xml:space="preserve">VENTILATION; OXYGENATION; MORTALITY; CARE</t>
  </si>
  <si>
    <t xml:space="preserve">Introduction: Severe acute respiratory distress syndrome (ARDS) has a high mortality, and there is limited knowledge about management of severe ARDS refractory to standard therapy. Early evidence suggests that therapeutic hypothermia (TH) could be a viable treatment for acute respiratory failure. We present 2 cases where TH was successfully used to manage refractory ARDS on extracorporeal membrane oxygenation (ECMO) and a review of the literature around TH and acute respiratory failure. Results: We present 2 cases of ARDS secondary to H1N1 influenza and human metapneumovirus. Both patients were treated with the current evidence-based therapy for ARDS. Venovenous ECMO was used in both patients for refractory hypoxemia. Therapeutic hypothermia was applied for 24 hours with improved oxygenation. We did a review of the literature summarizing 38 patients in 10 publications where TH was successfully utilized in the treatment of acute respiratory failure. Conclusion: Therapeutic hypothermia may be a viable salvage therapy for ARDS refractory to the current evidence-based therapy but needs further evaluation.</t>
  </si>
  <si>
    <t xml:space="preserve">[Hayek, Adam J.; White, Heath D.; Ghamande, Shekhar; Spradley, Christopher; Arroliga, Alejandro C.] Baylor Scott &amp; White Hlth, Dept Internal Med, Div Pulm Crit Care &amp; Sleep Med, 2401S,31st St, Temple, TX 76508 USA</t>
  </si>
  <si>
    <t xml:space="preserve">Baylor Health Care System</t>
  </si>
  <si>
    <t xml:space="preserve">White, HD (corresponding author), Baylor Scott &amp; White Hlth, Dept Internal Med, Div Pulm Crit Care &amp; Sleep Med, 2401S,31st St, Temple, TX 76508 USA.</t>
  </si>
  <si>
    <t xml:space="preserve">heath.white@bswhealth.org</t>
  </si>
  <si>
    <t xml:space="preserve">Ghamande, Shekhar/M-4489-2019; Arroliga, Alejandro/AAX-3933-2021</t>
  </si>
  <si>
    <t xml:space="preserve">White, Heath/0000-0003-1065-3681; Ghamande, Shekhar/0000-0001-6924-9494</t>
  </si>
  <si>
    <t xml:space="preserve">SAGE PUBLICATIONS INC</t>
  </si>
  <si>
    <t xml:space="preserve">THOUSAND OAKS</t>
  </si>
  <si>
    <t xml:space="preserve">2455 TELLER RD, THOUSAND OAKS, CA 91320 USA</t>
  </si>
  <si>
    <t xml:space="preserve">0885-0666</t>
  </si>
  <si>
    <t xml:space="preserve">1525-1489</t>
  </si>
  <si>
    <t xml:space="preserve">J INTENSIVE CARE MED</t>
  </si>
  <si>
    <t xml:space="preserve">J. Intensive Care Med.</t>
  </si>
  <si>
    <t xml:space="preserve">10.1177/0885066617701117</t>
  </si>
  <si>
    <t xml:space="preserve">EZ9FK</t>
  </si>
  <si>
    <t xml:space="preserve">WOS:000405034400007</t>
  </si>
  <si>
    <t xml:space="preserve">Moreno-Solís, G; Torres-Borrego, J; de la Torre-Aguilar, MJ; Fernandez-Gutiérrez, F; Llorente-Cantarero, FJ; Pérez-Navero, JL</t>
  </si>
  <si>
    <t xml:space="preserve">Moreno-Solis, G.; Torres-Borrego, J.; de la Torre-Aguilar, M. J.; Fernandez-Gutierrez, F.; Llorente-Cantarero, F. J.; Perez-Navero, J. L.</t>
  </si>
  <si>
    <t xml:space="preserve">Analysis of the local and systemic inflammatory response in hospitalized infants with respiratory syncitial virus bronchiolitis</t>
  </si>
  <si>
    <t xml:space="preserve">Th1; Th2; Cytokines; Chemokines; Interleukins; Macrophage inflammatory proteins 1-alpha and 1-beta RSV; Acute bronchiolitis; Infants; Nasopharyngeal secretions; Hospitalization; Severity; Oxygen therapy</t>
  </si>
  <si>
    <t xml:space="preserve">HELPER TYPE-2 CYTOKINES; SYNCYTIAL VIRUS; DISEASE SEVERITY; PERIPHERAL-BLOOD; HUMAN METAPNEUMOVIRUS; PRIMARY INFECTION; INTERFERON-GAMMA; RSV INFECTION; CHILDREN; CELLS</t>
  </si>
  <si>
    <t xml:space="preserve">Background: Respiratory syncytial virus acute bronchiolitis (RSV-AB) is a major cause of hospital admission among our infants. The immune and inflammatory mechanisms involved in the RSV-AB and factors influencing severity have not been clearly established, although an imbalanced Th1 and Th2 response seems to be crucial. Objectives: To assess the local and systemic inflammatory response in RSV-AB. To find a possible marker of clinical severity and/or oxygen requirements. Patients and methods: Levels of nine cytokines were measured in nasopharyngeal aspirate (NPA) and peripheral blood (PB) of 45 infants with RSV-AB and 27 peer controls, including IFN-gamma, TNF alpha, VEGF, interleukins 4, 6 and 10, and chemokines (IL-8 and macrophage inflammatory proteins 1-alpha and 1-beta). Results: The levels of the analyzed cytokines and chemokines were significantly higher in the NPA of RSV-AB group, with a decrease in IL-4/IFN-gamma ratio. IL-6 and MIP-1 beta levels in NPA were directly correlated to oxygen therapy. PB showed an increase in IL-8 and a decrease in MIP-1 alpha and MIP-1 beta in the RSV-AB group (only MIP-1 beta associated to the need for oxygen therapy). No correlation was found between cytokines and chemokines levels in NPA and PB. Conclusions: This study shows that RSV triggers an inflammatory response fundamentally at the respiratory level, with scant systemic repercussion. This local response is characterized by an increase in Th1 and Th2 cytokines, although with a relative predominance of Th1. The determination upon patient admission of IL-6 and MIP-1 beta levels in NPA, and of MIP-1 beta in PB could help predict severe forms and the need for oxygenotherapy. (C) 2013 SEICAP Published by Elsevier Espana, S.L.U. All rights reserved.</t>
  </si>
  <si>
    <t xml:space="preserve">[Moreno-Solis, G.; Torres-Borrego, J.; de la Torre-Aguilar, M. J.; Fernandez-Gutierrez, F.; Llorente-Cantarero, F. J.; Perez-Navero, J. L.] Reina Sofia Childrens Univ Hosp, Pediat Clin Management Unit, Pediat Pneumol &amp; Allergy Unit, Cordoba 14004, Spain; [Moreno-Solis, G.; Torres-Borrego, J.; de la Torre-Aguilar, M. J.; Fernandez-Gutierrez, F.; Llorente-Cantarero, F. J.; Perez-Navero, J. L.] Inst Maimonides Invest Biomed Cordoba IMIBIC, Cordoba, Spain</t>
  </si>
  <si>
    <t xml:space="preserve">Torres-Borrego, J (corresponding author), Reina Sofia Childrens Univ Hosp, Pediat Clin Management Unit, Pediat Pneumol &amp; Allergy Unit, Avda Menendez Pidal S-N, Cordoba 14004, Spain.</t>
  </si>
  <si>
    <t xml:space="preserve">jtorbo@yahoo.es</t>
  </si>
  <si>
    <t xml:space="preserve">Torres-Borrego, Javier/0000-0003-2393-081X; Llorente-Cantarero, Francisco Jesus/0000-0003-0018-2011</t>
  </si>
  <si>
    <t xml:space="preserve">Spanish Society of Pediatric Pulmonology (SENP)</t>
  </si>
  <si>
    <t xml:space="preserve">This study was supported in part by a grant from the Spanish Society of Pediatric Pulmonology (SENP) in 2009. This work was awarded with the prize to the best oral communication at the XXXVIII annual congress of the Spanish Society of Pediatric Allergology, Asthma and Clinical Immunology (SEICAP).</t>
  </si>
  <si>
    <t xml:space="preserve">10.1016/j.aller.2014.02.002</t>
  </si>
  <si>
    <t xml:space="preserve">CI8ZH</t>
  </si>
  <si>
    <t xml:space="preserve">WOS:000355059700006</t>
  </si>
  <si>
    <t xml:space="preserve">Anderson, EJ; Carosone-Link, P; Yogev, R; Yi, J; Simoes, EAF</t>
  </si>
  <si>
    <t xml:space="preserve">Anderson, Evan J.; Carosone-Link, Phyllis; Yogev, Ram; Yi, Jumi; Simoes, Eric A. F.</t>
  </si>
  <si>
    <t xml:space="preserve">Effectiveness of Palivizumab in High-risk Infants and Children A Propensity Score Weighted Regression Analysis</t>
  </si>
  <si>
    <t xml:space="preserve">test negative design; respiratory syncytial virus (RSV); chronic lung disease of prematurity; prematurity; case-control study</t>
  </si>
  <si>
    <t xml:space="preserve">RESPIRATORY SYNCYTIAL VIRUS; TEST-NEGATIVE DESIGN; INFECTION; HOSPITALIZATION; BORN; PROPHYLAXIS</t>
  </si>
  <si>
    <t xml:space="preserve">Background: Infants with premature birth &lt;= 35 weeks gestational age, chronic lung disease of prematurity and congenital heart disease are at an increased risk for lower respiratory tract infections and hospitalization from respiratory syncytial virus (RSV), which has been shown in randomized trials to be prevented by palivizumab. However, palivizumab effectiveness (PE) has not been studied in a large clinical setting. Methods: A multicenter study among high-risk US and Canadian children younger than 24 months hospitalized with lower respiratory tract infection and whose nasopharyngeal aspirates were tested for human metapneumovirus (HMPV) and RSV were the subjects of the trial. We conducted a test-negative case-control study in these subjects to determine PE. We used an inverse propensity score weighted (IPSW) multiple logistic regression model to adjust PE. Results: Palivizumab was used in 434 (51%) of 849 eligible children. RSV was identified in 403 (47%) children. The unadjusted PE was 43% [ 95% confidence interval (CI), 34%-51%)]. After IPSW adjustment, the adjusted PE was 58% (95% CI, 43%-69%). Palivizumab prevented intensive care unit admissions (PE, 62%; 95% CI, 35%-78%). PE for 29-35 weeks gestational age and &lt;= 6 months of chronologic age without chronic lung disease of prematurity or congenital heart disease was 74% (95% CI, 56%-85%). Conclusions: Using a test-negative case-control design with RSV molecular detection, palivizumab is shown to prevent RSV hospitalizations and intensive care unit admissions in high-risk infants.</t>
  </si>
  <si>
    <t xml:space="preserve">[Anderson, Evan J.; Yi, Jumi] Emory Univ, Sch Med, Dept Pediat, Atlanta, GA 30322 USA; [Anderson, Evan J.] Emory Univ, Sch Med, Dept Med, Atlanta, GA 30322 USA; [Carosone-Link, Phyllis; Simoes, Eric A. F.] Childrens Hosp Colorado, Dept Pediat, Aurora, CO USA; [Yogev, Ram] Northwestern Univ Feinberg, Dept Pediat, Ann &amp; Robert H Lurie Childrens Hosp Chicago, Sch Med, Chicago, IL USA; [Simoes, Eric A. F.] Univ Colorado, Dept Pediat, Sch Med, Aurora, CO USA; [Simoes, Eric A. F.] Colorado Sch Publ Hlth, Dept Epidemiol, Ctr Global Hlth, Aurora, CO USA</t>
  </si>
  <si>
    <t xml:space="preserve">Emory University; Emory University; Children's Hospital Colorado; Northwestern University; Feinberg School of Medicine; Ann &amp; Robert H. Lurie Children's Hospital of Chicago; University of Colorado System; University of Colorado Anschutz Medical Campus; Colorado School of Public Health</t>
  </si>
  <si>
    <t xml:space="preserve">Anderson, EJ (corresponding author), Emory Univ, Sch Med, 2015 Uppergate Dr, Atlanta, GA 30322 USA.</t>
  </si>
  <si>
    <t xml:space="preserve">evanderson@emory.edu</t>
  </si>
  <si>
    <t xml:space="preserve">Atwell, Jessica/IVV-7755-2023</t>
  </si>
  <si>
    <t xml:space="preserve">MedImmune</t>
  </si>
  <si>
    <t xml:space="preserve">MedImmune(AstraZenecaMedimmune)</t>
  </si>
  <si>
    <t xml:space="preserve">The original HMPV study was conducted between December 2002 and June 2006 and sponsored by MedImmune. As investigators in the HMPV study, the authors received access to the original study data. The study was designed and data were analyzed and interpreted by the authors. The protocol, analysis, results, and conclusions presented here are solely those of the named authors. No assistance was provided by MedImmune.</t>
  </si>
  <si>
    <t xml:space="preserve">10.1097/INF.0000000000001533</t>
  </si>
  <si>
    <t xml:space="preserve">FA8NX</t>
  </si>
  <si>
    <t xml:space="preserve">WOS:000405703800002</t>
  </si>
  <si>
    <t xml:space="preserve">Rock, MT; McKinney, BA; Yoder, SM; Prudom, CE; Wright, DW; Crowe, JE</t>
  </si>
  <si>
    <t xml:space="preserve">Rock, Michael T.; McKinney, Brett A.; Yoder, Sandra M.; Prudom, Catherine E.; Wright, David W.; Crowe, James E., Jr.</t>
  </si>
  <si>
    <t xml:space="preserve">Identification of potential human respiratory syncytial virus and metapneumovirus T cell epitopes using computational prediction and MHC binding assays</t>
  </si>
  <si>
    <t xml:space="preserve">JOURNAL OF IMMUNOLOGICAL METHODS</t>
  </si>
  <si>
    <t xml:space="preserve">T-Lymphocytes; Immunologic techniques; Epitopes; T-Lymphocyte; Computational biology; MHC binding peptide</t>
  </si>
  <si>
    <t xml:space="preserve">CLASS-I BINDING; LYMPHOCYTE EPITOPE; PROTEIN</t>
  </si>
  <si>
    <t xml:space="preserve">Human respiratory syncytial virus (RSV) and human metapneumovirus (MPV) are two of the most common causes of serious viral lower respiratory tract illness in humans. CD8+ T cells have been shown to be important in animal models and human clinical studies for the clearance of viral infection, and they may contribute in part to protection against severe disease during reinfections. Precise enumeration and accurate phenotyping of RSV- or MPV-specific CD8+ T cells in humans is currently limited by the relatively small number of T cell epitopes that have been mapped with accompanying identification of MHC restriction patterns. We sought to expand the number of potential RSV and MPV epitopes for use in clinical and translational studies by identifying an expanded set of MHC-binding peptides based on RSV and MPV wild-type virus strain protein sequences. We interrogated the full protein sequences of all 9 or 11 proteins of MPV or RSV respectively using four established epitope prediction algorithms for human HLA A*0101. A*0201, or B*0702 binding and attempted to synthesize the top-scoring 150-152 peptides for each of the two viruses. Synthesis resulted in 442 synthesized and soluble peptides of the 452 predicted epitopes for MPV or RSV. We then determined the binding of the synthetic peptides to recombinant human HLA A*0101, A*0201 or B*0702 molecules with the predicted restriction using a commercially available plate-based assay, iTopia. A total of 230 of the 442 peptides tested exhibited binding to the appropriate MHC molecule. The binding results suggested that existing algorithms for prediction of MHC A*0201 binding are particularly robust. The binding results also provided a large benchmarking data collection for comparison of new prediction algorithms. (C) 2011 Elsevier B.V. All rights reserved.</t>
  </si>
  <si>
    <t xml:space="preserve">[Crowe, James E., Jr.] Vanderbilt Univ, Med Ctr, Vanderbilt Vaccine Ctr, Med Ctr N T2220, Nashville, TN 37232 USA; [Rock, Michael T.; Prudom, Catherine E.; Crowe, James E., Jr.] Vanderbilt Univ, Med Ctr, Dept Pediat, Nashville, TN 37232 USA; [Prudom, Catherine E.; Wright, David W.] Vanderbilt Univ, Med Ctr, Dept Chem, Nashville, TN 37232 USA; [Crowe, James E., Jr.] Vanderbilt Univ, Med Ctr, Dept Pathol Microbiol &amp; Immunol, Nashville, TN 37232 USA; [McKinney, Brett A.] Univ Tulsa, Dept Math &amp; Comp Sci, Tulsa, OK 74104 USA; [McKinney, Brett A.] Laureate Inst Brain Res, Tulsa, OK USA</t>
  </si>
  <si>
    <t xml:space="preserve">Vanderbilt University; Vanderbilt University; Vanderbilt University; Vanderbilt University; University of Tulsa; Laureate Institute for Brain Research, Inc.</t>
  </si>
  <si>
    <t xml:space="preserve">Crowe, JE (corresponding author), Vanderbilt Univ, Med Ctr, Vanderbilt Vaccine Ctr, Med Ctr N T2220, 1161 21st Ave S, Nashville, TN 37232 USA.</t>
  </si>
  <si>
    <t xml:space="preserve">james.crowe@vanderbilt.edu</t>
  </si>
  <si>
    <t xml:space="preserve">Rock, Michael/O-7993-2018; Crowe, James/B-5549-2009</t>
  </si>
  <si>
    <t xml:space="preserve">Crowe, James/0000-0002-0049-1079; McKinney, Brett/0000-0002-9494-8833</t>
  </si>
  <si>
    <t xml:space="preserve">NIAID, NIH [R01 AI-53222]</t>
  </si>
  <si>
    <t xml:space="preserve">NIAID, NIH(United States Department of Health &amp; Human ServicesNational Institutes of Health (NIH) - USANIH National Institute of Allergy &amp; Infectious Diseases (NIAID))</t>
  </si>
  <si>
    <t xml:space="preserve">This research was supported by R01 AI-53222, NIAID, NIH. We thank Joshua D. Swartz and Ryan D. Rutledge for excellent techincal support. JEC is a Burroughs Wellcome Fund Clinical Scientist in Translational Research.</t>
  </si>
  <si>
    <t xml:space="preserve">0022-1759</t>
  </si>
  <si>
    <t xml:space="preserve">J IMMUNOL METHODS</t>
  </si>
  <si>
    <t xml:space="preserve">J. Immunol. Methods</t>
  </si>
  <si>
    <t xml:space="preserve">NOV 30</t>
  </si>
  <si>
    <t xml:space="preserve">SI</t>
  </si>
  <si>
    <t xml:space="preserve">10.1016/j.jim.2011.08.004</t>
  </si>
  <si>
    <t xml:space="preserve">Biochemical Research Methods; Immunology</t>
  </si>
  <si>
    <t xml:space="preserve">Biochemistry &amp; Molecular Biology; Immunology</t>
  </si>
  <si>
    <t xml:space="preserve">864DP</t>
  </si>
  <si>
    <t xml:space="preserve">WOS:000298217500003</t>
  </si>
  <si>
    <t xml:space="preserve">Céspedes, PF; Bueno, SM; Ramíreza, BA; Gomez, RS; Riquelme, SA; Palavecino, CE; Mackern-Oberti, JP; Mora, JE; Depoil, D; Sacristán, C; Cammer, M; Creneguy, A; Nguyen, TH; Riedel, CA; Dustin, ML; Kalergis, AM</t>
  </si>
  <si>
    <t xml:space="preserve">Cespedes, Pablo F.; Bueno, Susan M.; Ramireza, Bruno A.; Gomez, Roberto S.; Riquelme, Sebastian A.; Palavecino, Christian E.; Mackern-Oberti, Juan Pablo; Mora, Jorge E.; Depoil, David; Sacristan, Catarina; Cammer, Michael; Creneguy, Alison; Nguyen, Tuan H.; Riedel, Claudia A.; Dustin, Michael L.; Kalergis, Alexis M.</t>
  </si>
  <si>
    <t xml:space="preserve">Surface expression of the hRSV nucleoprotein impairs immunological synapse formation with T cells</t>
  </si>
  <si>
    <t xml:space="preserve">PROCEEDINGS OF THE NATIONAL ACADEMY OF SCIENCES OF THE UNITED STATES OF AMERICA</t>
  </si>
  <si>
    <t xml:space="preserve">T lymphocyte priming; nucleocapsid protein; cSMAC; pSMAC</t>
  </si>
  <si>
    <t xml:space="preserve">RESPIRATORY-SYNCYTIAL-VIRUS; RAPID EFFECTOR FUNCTION; DENDRITIC CELLS; DIFFERENTIAL RESPONSE; HUMAN METAPNEUMOVIRUS; GLYCOPROTEIN-G; N PROTEIN; MEMORY; INFECTION; ACTIVATION</t>
  </si>
  <si>
    <t xml:space="preserve">Human respiratory syncytial virus (hRSV) is the leading cause of bronchiolitis and pneumonia in young children worldwide. The recurrent hRSV outbreaks and reinfections are the cause of a significant public health burden and associate with an inefficient antiviral immunity, even after disease resolution. Although several mouse-and human cell-based studies have shown that hRSV infection prevents naive T-cell activation by antigen-presenting cells, the mechanism underlying such inhibition remains unknown. Here, we show that the hRSV nucleoprotein (N) could be at least partially responsible for inhibiting T-cell activation during infection by this virus. Early after infection, the N protein was expressed on the surface of epithelial and dendritic cells, after interacting with trans-Golgi and lysosomal compartments. Further, experiments on supported lipid bilayers loaded with peptide-MHC (pMHC) complexes showed that surface-anchored N protein prevented immunological synapse assembly by naive CD4(+) T cells and, to a lesser extent, by antigen-experienced T-cell blasts. Synapse assembly inhibition was in part due to reduced T-cell receptor (TCR) signaling and pMHC clustering at the T-cell-bilayer interface, suggesting that N protein interferes with pMHC-TCR interactions. Moreover, N protein colocalized with the TCR independently of pMHC, consistent with a possible interaction with TCR complex components. Based on these data, we conclude that hRSV N protein expression at the surface of infected cells inhibits T-cell activation. Our study defines this protein as a major virulence factor that contributes to impairing acquired immunity and enhances susceptibility to reinfection by hRSV.</t>
  </si>
  <si>
    <t xml:space="preserve">[Cespedes, Pablo F.; Bueno, Susan M.; Ramireza, Bruno A.; Gomez, Roberto S.; Riquelme, Sebastian A.; Palavecino, Christian E.; Mackern-Oberti, Juan Pablo; Mora, Jorge E.; Kalergis, Alexis M.] Pontificia Univ Catolica Chile, Fac Ciencias Biol, Millennium Inst Immunol &amp; Immunotherapy, Dept Genet Mol &amp; Microbiol, Santiago 8331010, Chile; [Kalergis, Alexis M.] Pontificia Univ Catolica Chile, Fac Med, Dept Reumatol, Santiago 8331010, Chile; [Gomez, Roberto S.; Riquelme, Sebastian A.; Creneguy, Alison; Nguyen, Tuan H.; Kalergis, Alexis M.] INSERM, Unite Mixte Rech 1064, F-44093 Nantes, France; [Depoil, David; Sacristan, Catarina; Cammer, Michael; Dustin, Michael L.] NYU, Sch Med, Helen &amp; Martin Kimmel Ctr Biol &amp; Med, Skirball Inst Biomol Med, New York, NY 10016 USA; [Depoil, David; Dustin, Michael L.] Univ Oxford, Kennedy Inst Rheumatol, Headington OX3 7FY, Oxon, England; [Riedel, Claudia A.] Univ Andres Bello, Fac Ciencias Biol, Millennium Inst Immunol &amp; Immunotherapy, Dept Ciencias Biol, Santiago 8370146, Chile; [Riedel, Claudia A.] Univ Andres Bello, Fac Med, Santiago 8370146, Chile</t>
  </si>
  <si>
    <t xml:space="preserve">Pontificia Universidad Catolica de Chile; Pontificia Universidad Catolica de Chile; Institut National de la Sante et de la Recherche Medicale (Inserm); New York University; University of Oxford; Universidad Andres Bello; Universidad Andres Bello</t>
  </si>
  <si>
    <t xml:space="preserve">Kalergis, AM (corresponding author), Pontificia Univ Catolica Chile, Fac Ciencias Biol, Millennium Inst Immunol &amp; Immunotherapy, Dept Genet Mol &amp; Microbiol, Santiago 8331010, Chile.</t>
  </si>
  <si>
    <t xml:space="preserve">akalergis@bio.puc.cl</t>
  </si>
  <si>
    <t xml:space="preserve">Palavecino, Christian/AAT-7437-2020; Bueno, Susan/KSL-5357-2024; Dustin, Michael/AAM-4611-2020</t>
  </si>
  <si>
    <t xml:space="preserve">Kalergis, Alexis/0000-0001-7622-5263; Riedel, Claudia/0000-0001-6168-8601; Cammer, Michael/0000-0003-4930-1739; Dustin, Michael/0000-0003-4983-6389; Cespedes Donoso, Pablo Francisco/0000-0002-1641-4107; Bueno, Susan M./0000-0002-7551-8088; Sacristan, Catarina/0000-0001-9643-7650; Mackern-Oberti, Juan Pablo/0000-0001-9437-0579; Palavecino, Christian/0000-0002-4581-7327; Cespedes, Pablo/0000-0002-4112-4531</t>
  </si>
  <si>
    <t xml:space="preserve">Fondo Nacional de Desarrollo Cientifico y Tecnologico [3100090, 1070352, 3140455]; Fondo de Fomento al Desarrollo Cientifico y Tecnologico [D061008]; Millennium Institute on Immunology and Immunotherapy [P07/088-F]; Grant Nouvelles Equipes-nouvelles thematiques from the La Region Pays De La Loire; Evaluation-Orientation of Scientific Cooperation France-Chile Grant; Comision Nacional de Investigacion Cientifica y Tecnologica (CONICYT); Becas Chile scholarship; Proyecto de Insercion de Capital Humano en la Academia from CONICYT [79100015]; National Institutes of Health [AI043542, AI080192]; Wellcome Trust; Kennedy Trust</t>
  </si>
  <si>
    <t xml:space="preserve">Fondo Nacional de Desarrollo Cientifico y Tecnologico(Comision Nacional de Investigacion Cientifica y Tecnologica (CONICYT)CONICYT FONDECYT); Fondo de Fomento al Desarrollo Cientifico y Tecnologico; Millennium Institute on Immunology and Immunotherapy; Grant Nouvelles Equipes-nouvelles thematiques from the La Region Pays De La Loire(Region Pays de la Loire); Evaluation-Orientation of Scientific Cooperation France-Chile Grant; Comision Nacional de Investigacion Cientifica y Tecnologica (CONICYT)(Comision Nacional de Investigacion Cientifica y Tecnologica (CONICYT)); Becas Chile scholarship; Proyecto de Insercion de Capital Humano en la Academia from CONICYT; National Institutes of Health(United States Department of Health &amp; Human ServicesNational Institutes of Health (NIH) - USA); Wellcome Trust(Wellcome Trust); Kennedy Trust</t>
  </si>
  <si>
    <t xml:space="preserve">We thank Dr. Mark E. Peeples at The Research Institute at Nationwide Children's Hospital for kindly providing the hRSVGFP. We also thank Dr. Pierre Pothier at the University of Dijon for kindly providing us the anti-F-hRSV (clone RS-348) monoclonal antibody. This work was supported by Fondo Nacional de Desarrollo Cientifico y Tecnologico Grants 3100090, 1070352, and 3140455; Fondo de Fomento al Desarrollo Cientifico y Tecnologico D061008; and the Millennium Institute on Immunology and Immunotherapy (P07/088-F) and Grant Nouvelles Equipes-nouvelles thematiques from the La Region Pays De La Loire and the Evaluation-Orientation of Scientific Cooperation France-Chile Grant. P.F.C., B.A.R., R.S.G., and S.A.R. are supported by the Comision Nacional de Investigacion Cientifica y Tecnologica (CONICYT). P.F.C. was supported by a Becas Chile scholarship. J.P.M.-O. is supported by Proyecto de Insercion de Capital Humano en la Academia no. 79100015 from CONICYT. A.M.K. is a Chaire De La Region Pays De La Loire, Chercheur Etranger D'excellence, France. D.D. and C.S. are supported by National Institutes of Health Grants AI043542 and AI080192. M.L.D. is supported by the Wellcome Trust and Kennedy Trust.</t>
  </si>
  <si>
    <t xml:space="preserve">NATL ACAD SCIENCES</t>
  </si>
  <si>
    <t xml:space="preserve">2101 CONSTITUTION AVE NW, WASHINGTON, DC 20418 USA</t>
  </si>
  <si>
    <t xml:space="preserve">0027-8424</t>
  </si>
  <si>
    <t xml:space="preserve">P NATL ACAD SCI USA</t>
  </si>
  <si>
    <t xml:space="preserve">Proc. Natl. Acad. Sci. U. S. A.</t>
  </si>
  <si>
    <t xml:space="preserve">AUG 5</t>
  </si>
  <si>
    <t xml:space="preserve">E3214</t>
  </si>
  <si>
    <t xml:space="preserve">E3223</t>
  </si>
  <si>
    <t xml:space="preserve">10.1073/pnas.1400760111</t>
  </si>
  <si>
    <t xml:space="preserve">Multidisciplinary Sciences</t>
  </si>
  <si>
    <t xml:space="preserve">Science &amp; Technology - Other Topics</t>
  </si>
  <si>
    <t xml:space="preserve">AM4EZ</t>
  </si>
  <si>
    <t xml:space="preserve">WOS:000339807200006</t>
  </si>
  <si>
    <t xml:space="preserve">Sultani, M; Azad, TM; Eshragian, M; Shadab, A; Naseri, M; Eilami, O; Yavarian, J</t>
  </si>
  <si>
    <t xml:space="preserve">Sultani, Mozhdeh; Azad, Talat Mokhtari; Eshragian, Mohammadreza; Shadab, Azadeh; Naseri, Maryam; Eilami, Owrang; Yavarian, Jila</t>
  </si>
  <si>
    <t xml:space="preserve">Multiplex SYBR Green Real-Time PCR Assay for Detection of Respiratory Viruses</t>
  </si>
  <si>
    <t xml:space="preserve">JUNDISHAPUR JOURNAL OF MICROBIOLOGY</t>
  </si>
  <si>
    <t xml:space="preserve">SYBR Green; Real-Time PCR; Respiratory Syncytial Viruses</t>
  </si>
  <si>
    <t xml:space="preserve">POLYMERASE CHAIN-REACTION; RT-PCR; HUMAN METAPNEUMOVIRUS; CLINICAL SPECIMENS; HUMAN CORONAVIRUS; TRACT INFECTIONS; RNA VIRUSES; CHILDREN; PATHOGEN; 229E</t>
  </si>
  <si>
    <t xml:space="preserve">Background: It is often difficult for a physician to distinguish between viral and bacterial causes of respiratory infections and this may result in overuse of antibiotics. In many cases of community-acquired respiratory infections, clinicians treat patients empirically. The development of molecular methods for direct detection of viruses has been progressed recently. Objectives:The objective of this study was recognizing the panel of respiratory RNA viruses by multiplex SYBR Green real-time polymerase chain reaction (PCR). Materials and Methods: Randomized 172 influenza-negative respiratory specimens of all age groups of hospitalized patients were collected. After RNA extraction, cDNA was synthesized. Three SYBRGreen multiplex real-time PCRassays were developed for simultaneous detection of 12 respiratory RNA viruses. Each set of multiplex methods detected four viruses, the first set: respiratory syncytial virus, human metapneumovirus, rhinovirus, enterovirus; the second set: parainfluenza viruses 1 - 4 (PIV1-4); the third set: coronaviruses NL63, 229E, severe acute respiratory syndrome (SARS), and OC43. Results: Application of the multiplex SYBR Green real-time PCR in clinical samples from 172 patients in a one-year study resulted in detection of 19 (11.04%) PIV3, 9 (5.23%) PIV4, and 1(0.58%) coronavirus NL63. All the positive samples were detected during December to March (2011-2012). Conclusions: Multiplex SYBR Green real-time PCR is a rapid and relatively inexpensive method for detection of respiratory viruses.</t>
  </si>
  <si>
    <t xml:space="preserve">[Sultani, Mozhdeh; Azad, Talat Mokhtari; Eshragian, Mohammadreza; Shadab, Azadeh; Naseri, Maryam; Yavarian, Jila] Univ Tehran Med Sci, Dept Virol, Sch Publ Hlth, Tehran, Iran; [Eilami, Owrang] Yasuj Univ Med Sci, Dept Infect Dis, Yasuj, Iran</t>
  </si>
  <si>
    <t xml:space="preserve">Tehran University of Medical Sciences; Yasouj University</t>
  </si>
  <si>
    <t xml:space="preserve">Yavarian, J (corresponding author), Univ Tehran Med Sci, Dept Virol, Tehran, Iran.</t>
  </si>
  <si>
    <t xml:space="preserve">yavarian@tums.ac.ir</t>
  </si>
  <si>
    <t xml:space="preserve">Eilami, Owrang/GMW-8818-2022; Yavarian, Jila/A-3212-2019</t>
  </si>
  <si>
    <t xml:space="preserve">Yavarian, Jila/0000-0003-3239-9397</t>
  </si>
  <si>
    <t xml:space="preserve">Tehran University of Medical Sciences [91-02-27-17902]</t>
  </si>
  <si>
    <t xml:space="preserve">Tehran University of Medical Sciences(Tehran University of Medical SciencesGolestan University of Medical Sciences)</t>
  </si>
  <si>
    <t xml:space="preserve">All the phases of this study were supported by Tehran University of Medical Sciences, grant No. 91-02-27-17902.</t>
  </si>
  <si>
    <t xml:space="preserve">AHVAZ JUNDISHAPUR UNIV MED SCI</t>
  </si>
  <si>
    <t xml:space="preserve">AHVAZ</t>
  </si>
  <si>
    <t xml:space="preserve">PO BOX 6357-33118, AHVAZ, 00000, IRAN</t>
  </si>
  <si>
    <t xml:space="preserve">2008-3645</t>
  </si>
  <si>
    <t xml:space="preserve">2008-4161</t>
  </si>
  <si>
    <t xml:space="preserve">JUNDISHAPUR J MICROB</t>
  </si>
  <si>
    <t xml:space="preserve">Jundishapur J. Microbiol.</t>
  </si>
  <si>
    <t xml:space="preserve">10.5812/jjm.19041v2</t>
  </si>
  <si>
    <t xml:space="preserve">CU3EQ</t>
  </si>
  <si>
    <t xml:space="preserve">Green Published, Green Submitted, hybrid</t>
  </si>
  <si>
    <t xml:space="preserve">WOS:000363407300004</t>
  </si>
  <si>
    <t xml:space="preserve">Altawalah, H; Alfouzan, W; Al-Fadalah, T; Zalzala, MA; Ezzikouri, S</t>
  </si>
  <si>
    <t xml:space="preserve">Altawalah, Haya; Alfouzan, Wadha; Al-Fadalah, Talal; Zalzala, Mariam Ali; Ezzikouri, Sayeh</t>
  </si>
  <si>
    <t xml:space="preserve">Viral etiology of severe lower respiratory tract infections in SARS-CoV-2 negative hospitalized patients during the COVID-19 pandemic in Kuwait</t>
  </si>
  <si>
    <t xml:space="preserve">HELIYON</t>
  </si>
  <si>
    <t xml:space="preserve">Surveillance; Multiplex PCR; Severe lower respiratory tract infections; Laboratory diagnosis</t>
  </si>
  <si>
    <t xml:space="preserve">INFLUENZA-LIKE ILLNESSES; SYNCYTIAL VIRUS; YOUNG-CHILDREN; SURVEILLANCE; RHINOVIRUSES; DIAGNOSIS; CAMEROON; INFANTS; STATES; PCR</t>
  </si>
  <si>
    <t xml:space="preserve">Background: The prevalence of respiratory infections is largely underexplored in Kuwait. The aim of our study is to determine the etiology of infections from patients who are SARS-CoV-2 negative hospitalized with severe lower respiratory tract infections (LRTIs) in Kuwait during the coronavirus disease 2019 (COVID-19) pandemic. Methods: We conducted an observational cross-sectional study among severe LRTI patients between September 2021 and March 2022. Respiratory samples from 545 non-COVID-19 severe LRTIs patients were prospectively evaluated with FTD Respiratory 21 Plus (R) real-time PCR, targeting 20 different viruses and 1 atypical bacterial pathogen. Results: Among all 545 hospitalized cases, 411 (75.4 %) tested positive for at least one respiratory pathogen. The most common were rhinovirus (HRV) (32.7 %), respiratory syncytial virus (RSV) (20.9 %), metapneumovirus (HMPV) (14.1 %), bocavirus (13.2 %), and influenza A (12.7 %). The proportion of pathogens detected was highest in the under -5 age group, while HKU1 (44.4 %) predominated in the elderly ( &gt;50 years). Conclusion: Our study reveals a high prevalence of respiratory viruses in severe acute lower respiratory tract infections among non-COVID-19 hospitalized patients in Kuwait. HRV remains the main etiology affecting the country, particularly in infants. These results underscore the necessity of employing multiplex PCR for accurate diagnosis and describing the epidemiology of infections among severe lower respiratory tract infections. This will facilitate the use of specific antiviral therapy and help avoid excessive or inappropriate antibiotic therapy.</t>
  </si>
  <si>
    <t xml:space="preserve">[Altawalah, Haya; Alfouzan, Wadha; Zalzala, Mariam Ali] Kuwait Univ, Fac Med, Dept Microbiol, Safat 24923, Kuwait; [Altawalah, Haya] Sabah Hosp, Minist Hlth, Yacoub Behbehani Ctr, Virol Unit, Kuwait, Kuwait; [Alfouzan, Wadha] Farwania Hosp, Minist Hlth, Lab Med, Farwania, Kuwait; [Al-Fadalah, Talal] Minist Hlth, Qual &amp; Accreditat Directorate, Kuwait, Kuwait; [Ezzikouri, Sayeh] Inst Pasteur Maroc, Virol Unit, Viral Hepatitis Lab, Casablanca, Morocco</t>
  </si>
  <si>
    <t xml:space="preserve">Kuwait University</t>
  </si>
  <si>
    <t xml:space="preserve">Altawalah, H (corresponding author), Kuwait Univ, Fac Med, Dept Microbiol, Safat 24923, Kuwait.;Ezzikouri, S (corresponding author), Inst Pasteur Maroc, Virol Unit, Viral Hepatitis Lab, Casablanca, Morocco.</t>
  </si>
  <si>
    <t xml:space="preserve">haya.altawalah@ku.edu.kw; talfadalah@moh.gov.kw; mariam.zalzala@hotmail.com; sayeh.ezzikouri@pasteur.ma</t>
  </si>
  <si>
    <t xml:space="preserve">Ezzikouri, Sayeh/Q-8116-2019; Alfouzan, Wadha A/AAR-8290-2021</t>
  </si>
  <si>
    <t xml:space="preserve">Alfouzan, Wadha/0000-0002-4501-5316</t>
  </si>
  <si>
    <t xml:space="preserve">Ministry of Health, Kuwait</t>
  </si>
  <si>
    <t xml:space="preserve">This research was supported by the Ministry of Health, Kuwait. The funder has no role in study design, data collection and analysis, decision to publish, or preparation of the manuscript.</t>
  </si>
  <si>
    <t xml:space="preserve">CELL PRESS</t>
  </si>
  <si>
    <t xml:space="preserve">CAMBRIDGE</t>
  </si>
  <si>
    <t xml:space="preserve">50 HAMPSHIRE ST, FLOOR 5, CAMBRIDGE, MA 02139 USA</t>
  </si>
  <si>
    <t xml:space="preserve">2405-8440</t>
  </si>
  <si>
    <t xml:space="preserve">Heliyon</t>
  </si>
  <si>
    <t xml:space="preserve">APR 30</t>
  </si>
  <si>
    <t xml:space="preserve">e29855</t>
  </si>
  <si>
    <t xml:space="preserve">10.1016/j.heliyon.2024.e29855</t>
  </si>
  <si>
    <t xml:space="preserve">SH1Q6</t>
  </si>
  <si>
    <t xml:space="preserve">WOS:001233477100001</t>
  </si>
  <si>
    <t xml:space="preserve">Sutcliffe, CG; Hamahuwa, M; Miller, E; Sinywimaanzi, P; Hardick, J; Morales, J; Munachoonga, P; Monze, M; Manabe, YC; Fenstermacher, KZJ; Rothman, RE; Pekosz, A; Thuma, PE; Simulundu, E</t>
  </si>
  <si>
    <t xml:space="preserve">Sutcliffe, Catherine G.; Hamahuwa, Mutinta; Miller, Evan; Sinywimaanzi, Pamela; Hardick, Justin; Morales, Juliet; Munachoonga, Passwell; Monze, Mwaka; Manabe, Yukari C.; Fenstermacher, Katherine Z. J.; Rothman, Richard E.; Pekosz, Andrew; Thuma, Philip E.; Simulundu, Edgar</t>
  </si>
  <si>
    <t xml:space="preserve">Respiratory viruses in rural Zambia during the second year of the COVID-19 pandemic</t>
  </si>
  <si>
    <t xml:space="preserve">IJID REGIONS</t>
  </si>
  <si>
    <t xml:space="preserve">Surveillance; Africa; Respiratory infections; SARS-CoV-2; Influenza; Respiratory syncytial virus</t>
  </si>
  <si>
    <t xml:space="preserve">UNITED-STATES; SURVEILLANCE</t>
  </si>
  <si>
    <t xml:space="preserve">Objectives: Limited data on respiratory infections are available from sub-Saharan Africa during the COVID-19 pandemic. The objective of this study was to evaluate the burden of respiratory viruses in rural Zambia from 2019-2021.Methods: Surveillance was initiated at Macha Hospital in Zambia in December 2018. Each week, patients with respiratory symptoms were enrolled from the outpatient clinic. Nasopharyngeal samples were collected and tested for respiratory pathogens. The prevalence of respiratory symptoms and viruses in 2021 was compared to results from 2019 and 2020.Results: After seeing few cases of influenza virus and respiratory syncytial virus in 2020, a return to prepandemic levels was observed in 2021. Rhinovirus/enterovirus, parainfluenza virus 1-4, and adenovirus circulated from 2019 to 2021, while human metapneumovirus and human coronaviruses (HKU1, 229E, OC43, and NL63 subtypes) were observed sporadically. SARS-CoV-2 was observed consistently in 2021 after being first identified in December 2020. The proportion of participants with co-infections in 2021 (11.6%) was significantly higher than in 2019 (6.9%) or 2020 (7.7%). Conclusion: Declines in influenza virus and respiratory syncytial virus were reversed once public health measures were lifted. Respiratory viruses contributed to a significant burden of respiratory infections in 2021. This study provides important information about respiratory viruses in this changing context and underrepresented region.</t>
  </si>
  <si>
    <t xml:space="preserve">[Sutcliffe, Catherine G.] Johns Hopkins Univ, Bloomberg Sch Publ Hlth, Dept Epidemiol, Baltimore 21205, MD USA; [Sutcliffe, Catherine G.; Morales, Juliet] Johns Hopkins Univ, Bloomberg Sch Publ Hlth, Dept Int Hlth, Baltimore 21205, MD USA; [Hamahuwa, Mutinta; Sinywimaanzi, Pamela; Munachoonga, Passwell; Thuma, Philip E.; Simulundu, Edgar] Macha Res Trust, Choma, Zambia; [Miller, Evan; Hardick, Justin; Manabe, Yukari C.; Pekosz, Andrew] Johns Hopkins Univ, Sch Med, Div Infect Dis, Baltimore, MD USA; [Monze, Mwaka] Univ Teaching Hosp, Virol Lab, Lusaka, Zambia; [Manabe, Yukari C.; Pekosz, Andrew; Thuma, Philip E.] Johns Hopkins Univ, Bloomberg Sch Publ Hlth, Dept Microbiol &amp; Immunol, Baltimore, MD USA; [Fenstermacher, Katherine Z. J.; Rothman, Richard E.; Pekosz, Andrew] Johns Hopkins Univ, Sch Med, Dept Emergency Med, Baltimore, MD USA; [Morales, Juliet] CDCP, HIV Surveillance Branch, Atlanta, GA USA</t>
  </si>
  <si>
    <t xml:space="preserve">Johns Hopkins University; Johns Hopkins Bloomberg School of Public Health; Johns Hopkins University; Johns Hopkins Bloomberg School of Public Health; Johns Hopkins University; University of Zambia; Johns Hopkins University; Johns Hopkins Bloomberg School of Public Health; Johns Hopkins University; Centers for Disease Control &amp; Prevention - USA</t>
  </si>
  <si>
    <t xml:space="preserve">Sutcliffe, CG (corresponding author), Johns Hopkins Univ, Bloomberg Sch Publ Hlth, Dept Epidemiol, Baltimore 21205, MD USA.;Sutcliffe, CG (corresponding author), Johns Hopkins Univ, Bloomberg Sch Publ Hlth, Dept Int Hlth, Baltimore 21205, MD USA.</t>
  </si>
  <si>
    <t xml:space="preserve">csutcli1@jhu.edu</t>
  </si>
  <si>
    <t xml:space="preserve">Morales, Juliet/LPP-8712-2024; Simulundu, Edgar/IVV-0540-2023</t>
  </si>
  <si>
    <t xml:space="preserve">Morales, Juliet/0000-0001-7231-0188; Fenstermacher, Katherine/0000-0003-1139-3711; Manabe, Yukari/0000-0001-8619-5598; Monze, Mwaka/0000-0001-9178-0409</t>
  </si>
  <si>
    <t xml:space="preserve">National Institute of Allergy and Infectious Diseases [HHSN272201400007C, HHSN7593021C00045]; Richard Eliasberg Family Foundation</t>
  </si>
  <si>
    <t xml:space="preserve">National Institute of Allergy and Infectious Diseases(United States Department of Health &amp; Human ServicesNational Institutes of Health (NIH) - USANIH National Institute of Allergy &amp; Infectious Diseases (NIAID)); Richard Eliasberg Family Foundation</t>
  </si>
  <si>
    <t xml:space="preserve">This work was supported by the National Institute of Allergy and Infectious Diseases (contract HHSN272201400007C) awarded to the Johns Hopkins Center of Excellence in Influenza Research and Surveil-lance (JHCEIRS) , (contract HHSN7593021C00045) awarded to the Johns Hopkins Center of Excellence in Influenza Research and Response (JHCEIRR) , and the Richard Eliasberg Family Foundation. Any opinions, findings, conclusions, or recommendations expressed are those of the authors and do not represent the policy or position of National Institute of Allergy and Infectious Diseases or National Institutes of Health. The funding agency had no role in the analysis and interpretation of the data, the writing of the manuscript, or the decision to submit the manuscript for publication.</t>
  </si>
  <si>
    <t xml:space="preserve">2772-7076</t>
  </si>
  <si>
    <t xml:space="preserve">IJID REG</t>
  </si>
  <si>
    <t xml:space="preserve">IJID Reg.</t>
  </si>
  <si>
    <t xml:space="preserve">10.1016/j.ijregi.2023.07.003</t>
  </si>
  <si>
    <t xml:space="preserve">DQ2P4</t>
  </si>
  <si>
    <t xml:space="preserve">WOS:001133460900001</t>
  </si>
  <si>
    <t xml:space="preserve">Fernández-Rodríguez, A; Ballesteros, S; de Ory, F; Echevarría, JE; Alvarez-Lafuente, R; Vallejo, G; Gómez, J</t>
  </si>
  <si>
    <t xml:space="preserve">Fernandez-Rodriguez, A.; Ballesteros, S.; de Ory, F.; Echevarria, J. E.; Alvarez-Lafuente, R.; Vallejo, G.; Gomez, J.</t>
  </si>
  <si>
    <t xml:space="preserve">Virological analysis in the diagnosis of sudden children death:: A medico-legal approach</t>
  </si>
  <si>
    <t xml:space="preserve">FORENSIC SCIENCE INTERNATIONAL</t>
  </si>
  <si>
    <t xml:space="preserve">sudden children death; sudden infant death; viruses</t>
  </si>
  <si>
    <t xml:space="preserve">RESPIRATORY SYNCYTIAL VIRUS; INFANT-DEATH; SYNDROME SIDS; HUMAN HERPESVIRUS-6; INFLAMMATORY RESPONSES; HUMAN METAPNEUMOVIRUS; UNEXPECTED DEATHS; INFECTION; CHILDHOOD; DISEASE</t>
  </si>
  <si>
    <t xml:space="preserve">Infections are considered to be an important cause of unexpected death in children. It has also been assumed that respiratory viruses are involved in the genesis of sudden infant death syndrome (SIDS). The Spanish National Institute of Toxicology and Forensic Sciences act as the forensic reference centre for Spain. We analyse the experience of this centre in the virological study of 64 cases of sudden children death where viral serology, virological cultures, herpesviruses polymerase chain reaction (PCR) and electron microscopy were performed. According to pathological findings, death could only be attributed to an adenovirus infection in one amygdalitis with upper airways stenosis and asphyxia. Human herpes virus 6 (HHV 6) was detected by PCR in one case with pathological findings characteristic of SIDS. Recent infection by respiratory syncytial virus (RSV), Epstein-Barr virus (EBV) and cytomegalovirus (CMV) were also detected. Meanwhile, 85.9% of the cases yielded negative viral results. Twenty-eight infants were finally categorised as SIDS. Pathological findings of infection were detected in 12 patients despite the negativity of viral analyses. Although viral infection is an uncommon cause of sudden children death, a complete microbiological investigation will help to solve the puzzle of SIDS. Definitive guidelines for microbiological analyses need to be updated whilst new pathogens are discovered or new techniques are implemented in order to clarify unsolved cases. (c) 2005 Elsevier Ireland Ltd. All rights reserved.</t>
  </si>
  <si>
    <t xml:space="preserve">Inst Nacl Toxicol &amp; Ciencias Forenses, Madrid, Spain; Inst Salud Carlos III, Ctr Nacl Microbiol, Madrid, Spain; Hosp Clin San Carlos, Madrid, Spain</t>
  </si>
  <si>
    <t xml:space="preserve">Instituto de Salud Carlos III; Centro Nacional de Microbiologia (CNM); Hospital Clinico San Carlos</t>
  </si>
  <si>
    <t xml:space="preserve">Fernández-Rodríguez, A (corresponding author), Inst Nacl Toxicol &amp; Ciencias Forenses, Madrid, Spain.</t>
  </si>
  <si>
    <t xml:space="preserve">a.fernandez@mju.es</t>
  </si>
  <si>
    <t xml:space="preserve">Alvarez-Lafuente, Roberto/AAJ-9980-2020; Echevarria, Juan E./F-7913-2016</t>
  </si>
  <si>
    <t xml:space="preserve">Echevarria, Juan E./0000-0001-7522-850X; Alvarez-Lafuente, Roberto/0000-0002-3132-1486</t>
  </si>
  <si>
    <t xml:space="preserve">ELSEVIER IRELAND LTD</t>
  </si>
  <si>
    <t xml:space="preserve">CLARE</t>
  </si>
  <si>
    <t xml:space="preserve">ELSEVIER HOUSE, BROOKVALE PLAZA, EAST PARK SHANNON, CO, CLARE, 00000, IRELAND</t>
  </si>
  <si>
    <t xml:space="preserve">0379-0738</t>
  </si>
  <si>
    <t xml:space="preserve">1872-6283</t>
  </si>
  <si>
    <t xml:space="preserve">FORENSIC SCI INT</t>
  </si>
  <si>
    <t xml:space="preserve">Forensic Sci.Int.</t>
  </si>
  <si>
    <t xml:space="preserve">AUG 10</t>
  </si>
  <si>
    <t xml:space="preserve">10.1016/j.forsciint.2005.10.012</t>
  </si>
  <si>
    <t xml:space="preserve">Medicine, Legal</t>
  </si>
  <si>
    <t xml:space="preserve">Legal Medicine</t>
  </si>
  <si>
    <t xml:space="preserve">077YV</t>
  </si>
  <si>
    <t xml:space="preserve">WOS:000240068600002</t>
  </si>
  <si>
    <t xml:space="preserve">Bennett, JC; Emanuels, A; Heimonen, J; O'Hanlon, J; Hughes, JP; Han, PD; Chow, EJ; Ogokeh, CE; Rolfes, MA; Lockwood, CM; Pfau, B; Uyeki, TM; Shendure, J; Hoag, S; Fay, K; Lee, J; Sibley, TR; Rogers, JH; Starita, LM; Englund, JA; Chu, HY</t>
  </si>
  <si>
    <t xml:space="preserve">Bennett, Julia C.; Emanuels, Anne; Heimonen, Jessica; O'Hanlon, Jessica; Hughes, James P.; Han, Peter D.; Chow, Eric J.; Ogokeh, Constance E.; Rolfes, Melissa A.; Lockwood, Christine M.; Pfau, Brian; Uyeki, Timothy M.; Shendure, Jay; Hoag, Samara; Fay, Kairsten; Lee, Jover; Sibley, Thomas R.; Rogers, Julia H.; Starita, Lea M.; Englund, Janet A.; Chu, Helen Y.</t>
  </si>
  <si>
    <t xml:space="preserve">Streptococcus pneumoniae nasal carriage patterns with and without common respiratory virus detections in households in Seattle, WA, USA before and during the COVID-19 pandemic</t>
  </si>
  <si>
    <t xml:space="preserve">FRONTIERS IN PEDIATRICS</t>
  </si>
  <si>
    <t xml:space="preserve">streptococcus pneumoniae; pneumococcal; nasal carriage; respiratory; viruses; COVID-19 pandemic</t>
  </si>
  <si>
    <t xml:space="preserve">INVASIVE-PNEUMOCOCCAL-DISEASE; VIRAL COINFECTION; CONJUGATE VACCINE; INFLUENZA-VIRUS; CHILDREN; DENSITY; SEROTYPES; ASSOCIATION; TRANSMISSION; INFECTION</t>
  </si>
  <si>
    <t xml:space="preserve">BackgroundRespiratory viruses might influence Streptococcus pneumoniae nasal carriage and subsequent disease risk. We estimated the association between common respiratory viruses and semiquantitative S. pneumoniae nasal carriage density in a household setting before and during the COVID-19 pandemic.MethodsFrom November 2019-June 2021, we enrolled participants in a remote household surveillance study of respiratory pathogens. Participants submitted weekly reports of acute respiratory illness (ARI) symptoms. Mid-turbinate or anterior nasal swabs were self-collected at enrollment, when ARI occurred, and, in the second year of the study only, from household contacts after SARS-CoV-2 was detected in a household member. Specimens were tested using multiplex reverse-transcription PCR for respiratory pathogens, including S. pneumoniae, rhinovirus, adenovirus, common human coronavirus, influenza A/B virus, respiratory syncytial virus (RSV) A/B, human metapneumovirus, enterovirus, and human parainfluenza virus. We estimated differences in semiquantitative S. pneumoniae nasal carriage density, estimated by the inverse of S. pneumoniae relative cycle threshold (Crt) values, with and without viral detection for any virus and for specific respiratory viruses using linear generalized estimating equations of S. pneumoniae Crt values on virus detection adjusted for age and swab type and accounting for clustering of swabs within households.ResultsWe collected 346 swabs from 239 individuals in 151 households that tested positive for S. pneumoniae (n = 157 with and 189 without &amp; GE;1 viruses co-detected). Difficulty breathing, cough, and runny nose were more commonly reported among individuals with specimens with viral co-detection compared to without (15%, 80% and 93% vs. 8%, 57%, and 51%, respectively) and ear pain and headache were less commonly reported (3% and 26% vs. 16% and 41%, respectively). For specific viruses among all ages, semiquantitative S. pneumoniae nasal carriage density was greater with viral co-detection for enterovirus, RSV A/B, adenovirus, rhinovirus, and common human coronavirus (P &lt; 0.01 for each). When stratified by age, semiquantitative S. pneumoniae nasal carriage density was significantly greater with viral co-detection among children aged &lt;5 (P = 0.002) and 5-17 years (P = 0.005), but not among adults aged 18-64 years (P = 0.29).ConclusionDetection of common respiratory viruses was associated with greater concurrent S. pneumoniae semiquantitative nasal carriage density in a household setting among children, but not adults.</t>
  </si>
  <si>
    <t xml:space="preserve">[Bennett, Julia C.; Emanuels, Anne; Heimonen, Jessica; O'Hanlon, Jessica; Chow, Eric J.; Rogers, Julia H.; Chu, Helen Y.] Univ Washington, Dept Med, Seattle, WA 98195 USA; [Bennett, Julia C.; Chow, Eric J.; Rogers, Julia H.] Univ Washington, Dept Epidemiol, Seattle, WA 98195 USA; [Hughes, James P.] Univ Washington, Dept Biostat, Seattle, WA USA; [Han, Peter D.; Lockwood, Christine M.; Pfau, Brian; Shendure, Jay; Starita, Lea M.] Univ Washington, Brotman Baty Inst Precis Med, Seattle, WA USA; [Han, Peter D.; Ogokeh, Constance E.] Mil &amp; Hlth Res Fdn, Laurel, MD USA; [Chow, Eric J.] Publ Hlth Seattle &amp; King Cty, Prevent Div, Communicable Dis Epidemiol &amp; Immunizat Sect, Seattle, WA USA; [Ogokeh, Constance E.; Rolfes, Melissa A.; Uyeki, Timothy M.] CDCP, Atlanta, GA USA; [Lockwood, Christine M.] Univ Washington, Dept Lab Med &amp; Pathol, Seattle, WA USA; [Pfau, Brian; Shendure, Jay; Starita, Lea M.] Univ Washington, Dept Genome Sci, Seattle, WA USA; [Hoag, Samara] Seattle Publ Sch, Student Hlth Serv, Seattle, WA USA; [Fay, Kairsten; Lee, Jover; Sibley, Thomas R.] Fred Hutchinson Canc Ctr, Vaccine &amp; Infect Dis Div, Seattle, WA USA; [Englund, Janet A.] Univ Washington, Seattle Childrens Res Inst, Dept Pediat, Seattle, WA USA</t>
  </si>
  <si>
    <t xml:space="preserve">University of Washington; University of Washington Seattle; University of Washington; University of Washington Seattle; University of Washington; University of Washington Seattle; University of Washington; University of Washington Seattle; Centers for Disease Control &amp; Prevention - USA; University of Washington; University of Washington Seattle; University of Washington; University of Washington Seattle; Fred Hutchinson Cancer Center; Seattle Children's Hospital; University of Washington; University of Washington Seattle</t>
  </si>
  <si>
    <t xml:space="preserve">Bennett, JC (corresponding author), Univ Washington, Dept Med, Seattle, WA 98195 USA.;Bennett, JC (corresponding author), Univ Washington, Dept Epidemiol, Seattle, WA 98195 USA.</t>
  </si>
  <si>
    <t xml:space="preserve">jubenn94@uw.edu</t>
  </si>
  <si>
    <t xml:space="preserve">Shendure, Jay/AAU-3684-2021; Englund, Janet/ABV-6379-2022; Chow, Eric/T-6061-2019</t>
  </si>
  <si>
    <t xml:space="preserve">Chu, Helen/0000-0001-8502-9600; Chow, Eric/0000-0003-3349-9330; Bennett, Julia Catherine/0000-0003-2559-2922</t>
  </si>
  <si>
    <t xml:space="preserve">Gates Ventures; Centers for Disease Control and Prevention</t>
  </si>
  <si>
    <t xml:space="preserve">Gates Ventures; Centers for Disease Control and Prevention(United States Department of Health &amp; Human ServicesCenters for Disease Control &amp; Prevention - USA)</t>
  </si>
  <si>
    <t xml:space="preserve">This work was funded by Gates Ventures and the Centers for Disease Control and Prevention.</t>
  </si>
  <si>
    <t xml:space="preserve">2296-2360</t>
  </si>
  <si>
    <t xml:space="preserve">FRONT PEDIATR</t>
  </si>
  <si>
    <t xml:space="preserve">Front. Pediatr.</t>
  </si>
  <si>
    <t xml:space="preserve">JUL 7</t>
  </si>
  <si>
    <t xml:space="preserve">10.3389/fped.2023.1198278</t>
  </si>
  <si>
    <t xml:space="preserve">M9MF6</t>
  </si>
  <si>
    <t xml:space="preserve">WOS:001033374700001</t>
  </si>
  <si>
    <t xml:space="preserve">Gingerich, A; Mahoney, L; McCormick, AL; Miller, RJ; Mousa, J</t>
  </si>
  <si>
    <t xml:space="preserve">Gingerich, Aaron; Mahoney, Lauren; McCormick, Anna L.; Miller, Rose J.; Mousa, Jarrod</t>
  </si>
  <si>
    <t xml:space="preserve">Human monoclonal antibodies protect against viral-mediated pneumococcal superinfection</t>
  </si>
  <si>
    <t xml:space="preserve">Streptococcus pnemoniae; RSV (respiratory syncytial virus); hMPV; influenza; monoclonal antibody</t>
  </si>
  <si>
    <t xml:space="preserve">HUMAN EPITHELIAL-CELLS; STREPTOCOCCUS-PNEUMONIAE; BACTERIAL PNEUMONIA; INFLUENZA; SUSCEPTIBILITY; COINFECTION; INFECTION; DYSFUNCTION; ADHERENCE; VIRUS</t>
  </si>
  <si>
    <t xml:space="preserve">Introduction Community-acquired pneumonia (CAP) is a global health concern, with 25% of cases attributed to Streptococcus pneumoniae (Spn). Viral infections like influenza A virus (IAV), respiratory syncytial virus (RSV), and human metapneumovirus (hMPV) increase the risk of Spn, leading to severe complications due to compromised host immunity.Methods We evaluated the efficacy of an anti-PhtD monoclonal antibody (mAb) cocktail therapy (PhtD3 + 7) in improving survival rates in three viral/bacterial coinfection models: IAV/Spn, hMPV/Spn, and RSV/Spn.Results The PhtD3 + 7 mAb cocktail outperformed antiviral mAbs, resulting in prolonged survival. In the IAV/Spn model, it reduced bacterial titers in blood and lungs by 2-4 logs. In the hMPV/Spn model, PhtD3 + 7 provided greater protection than the hMPV-neutralizing mAb MPV467, significantly reducing bacterial titers. In the RSV/Spn model, PhtD3 + 7 offered slightly better protection than the antiviral mAb D25, uniquely decreasing bacterial titers in blood and lungs.Discussion Given the threat of antibiotic resistance, our findings highlight the potential of anti-PhtD mAb therapy as an effective option for treating viral and secondary pneumococcal coinfections.</t>
  </si>
  <si>
    <t xml:space="preserve">[Gingerich, Aaron; Mahoney, Lauren; McCormick, Anna L.; Miller, Rose J.; Mousa, Jarrod] Univ Georgia, Coll Vet Med, Ctr Vaccines &amp; Immunol, Athens, GA 30602 USA; [McCormick, Anna L.; Miller, Rose J.; Mousa, Jarrod] Univ Georgia, Coll Vet Med, Dept Infect Dis, Athens 30602, GA USA; [Mousa, Jarrod] Univ Georgia, Franklin Coll Arts &amp; Sci, Dept Biochem &amp; Mol Biol, Athens, GA 30602 USA; [Mousa, Jarrod] Florida State Univ, Dept Biomed Sci, Coll Med, Tallahassee, FL 32306 USA</t>
  </si>
  <si>
    <t xml:space="preserve">University System of Georgia; University of Georgia; University System of Georgia; University of Georgia; University System of Georgia; University of Georgia; State University System of Florida; Florida State University</t>
  </si>
  <si>
    <t xml:space="preserve">Mousa, J (corresponding author), Univ Georgia, Coll Vet Med, Ctr Vaccines &amp; Immunol, Athens, GA 30602 USA.;Mousa, J (corresponding author), Univ Georgia, Coll Vet Med, Dept Infect Dis, Athens 30602, GA USA.;Mousa, J (corresponding author), Univ Georgia, Franklin Coll Arts &amp; Sci, Dept Biochem &amp; Mol Biol, Athens, GA 30602 USA.;Mousa, J (corresponding author), Florida State Univ, Dept Biomed Sci, Coll Med, Tallahassee, FL 32306 USA.</t>
  </si>
  <si>
    <t xml:space="preserve">jarrod.mousa@med.fsu.edu</t>
  </si>
  <si>
    <t xml:space="preserve">, Lauren Mahoney/0009-0000-0605-2547</t>
  </si>
  <si>
    <t xml:space="preserve">NIH NIAID [R01AI143865, R01AI173084]; American Lung Association [IA-835950]</t>
  </si>
  <si>
    <t xml:space="preserve">NIH NIAID(United States Department of Health &amp; Human ServicesNational Institutes of Health (NIH) - USANIH National Institute of Allergy &amp; Infectious Diseases (NIAID)); American Lung Association</t>
  </si>
  <si>
    <t xml:space="preserve">The author(s) declare financial support was received for the research, authorship, and/or publication of this article. This work was supported by the following grants: NIH NIAID R01AI173084, NIH NIAID R01AI143865, and American Lung Association IA-835950.</t>
  </si>
  <si>
    <t xml:space="preserve">JUN 12</t>
  </si>
  <si>
    <t xml:space="preserve">10.3389/fimmu.2024.1364622</t>
  </si>
  <si>
    <t xml:space="preserve">WG0R9</t>
  </si>
  <si>
    <t xml:space="preserve">WOS:001253604200001</t>
  </si>
  <si>
    <t xml:space="preserve">Shemer-Avni, Y; Kundu, K; Shemesh, A; Brusilovsky, M; Yossef, R; Meshesha, M; Solomon-Alemayehu, S; Levin, S; Gershoni-Yahalom, O; Campbell, KS; Porgador, A</t>
  </si>
  <si>
    <t xml:space="preserve">Shemer-Avni, Yonat; Kundu, Kiran; Shemesh, Avishai; Brusilovsky, Michael; Yossef, Rami; Meshesha, Mesfin; Solomon-Alemayehu, Semaria; Levin, Shai; Gershoni-Yahalom, Orly; Campbell, Kerry S.; Porgador, Angel</t>
  </si>
  <si>
    <t xml:space="preserve">Expression of NKp46 Splice Variants in Nasal Lavage Following Respiratory Viral Infection: Domain 1-Negative Isoforms Predominate and Manifest Higher Activity</t>
  </si>
  <si>
    <t xml:space="preserve">splice variants; natural killer; NCR; NKp46; respiratory viral infection</t>
  </si>
  <si>
    <t xml:space="preserve">NATURAL CYTOTOXICITY RECEPTORS; INNATE LYMPHOID-CELLS; HEPARAN-SULFATE PROTEOGLYCANS; KILLER-CELLS; NKP30 ISOFORMS; RECOGNITION; HEMAGGLUTININS; INFLAMMATION; REVEALS; CANCER</t>
  </si>
  <si>
    <t xml:space="preserve">The natural killer (NK) cell activating receptor NKp46/NCR1 plays a critical role in elimination of virus-infected and tumor cells. The NCR1 gene can be transcribed into five different splice variants, but the functional importance and physiological distribution of NKp46 isoforms are not yet fully understood. Here, we shed light on differential expression of NKp46 splice variants in viral respiratory tract infections and their functional difference at the cellular level. NKp46 was the most predominantly expressed natural cytotoxicity receptor in the nasal lavage of patients infected with four respiratory viruses: respiratory syncytia virus, adenovirus, human metapneumovirus, or influenza A. Expression of NKp30 was far lower and NKp44 was absent in all patients. Domain 1-negative NKp46 splice variants (i.e., NKp46 isoform d) were the predominantly expressed isoform in nasal lavage following viral infections. Using our unique anti-NKp46 mAb, D2-9A5, which recognizes the D2 extracellular domain, and a commercial anti-NKp46 mAb, 9E2, which recognizes D1 domain, allowed us to identify a small subset of NKp46 D1-negative splice variant-expressing cells within cultured human primary NK cells. This NKp46 D1-negative subset also showed higher degranulation efficiency in term of CD107a surface expression. NK-92 cell lines expressing NKp46 D1-negative and NKp46 D1-positive splice variants also showed functional differences when interacting with targets. A NKp46 D1-negative isoform-expressing NK-92 cell line showed enhanced degranulation activity. To our knowledge, we provide the first evidence showing the physiological distribution and functional importance of human NKp46 splice variants under pathological conditions.</t>
  </si>
  <si>
    <t xml:space="preserve">[Shemer-Avni, Yonat; Kundu, Kiran; Shemesh, Avishai; Brusilovsky, Michael; Yossef, Rami; Meshesha, Mesfin; Solomon-Alemayehu, Semaria; Levin, Shai; Gershoni-Yahalom, Orly; Porgador, Angel] Ben Gurion Univ Negev, Fac Hlth Sci, Shraga Segal Dept Microbiol Immunol &amp; Genet, Beer Sheva, Israel; [Kundu, Kiran; Shemesh, Avishai; Porgador, Angel] Ben Gurion Univ Negev, Natl Inst Biotechnol Negev, Beer Sheva, Israel; [Campbell, Kerry S.] Fox Chase Canc Ctr, Inst Canc Res, Philadelphia, PA 19111 USA</t>
  </si>
  <si>
    <t xml:space="preserve">Ben Gurion University; Ben Gurion University; Fox Chase Cancer Center</t>
  </si>
  <si>
    <t xml:space="preserve">Porgador, A (corresponding author), Ben Gurion Univ Negev, Fac Hlth Sci, Shraga Segal Dept Microbiol Immunol &amp; Genet, Beer Sheva, Israel.;Porgador, A (corresponding author), Ben Gurion Univ Negev, Natl Inst Biotechnol Negev, Beer Sheva, Israel.</t>
  </si>
  <si>
    <t xml:space="preserve">angel@bgu.ac.il</t>
  </si>
  <si>
    <t xml:space="preserve">Campbell, Kerry/T-1381-2019; AVNI, YONAT/F-1772-2012; PORGADOR, ANGEL/HKF-6829-2023; Kundu, Kiran/R-4311-2017; Yossef, Rami/K-5740-2019</t>
  </si>
  <si>
    <t xml:space="preserve">Shemesh, Avishai/0000-0002-6934-7155; Porgador, Angel/0000-0003-1540-4449; Solomon Alemayehu, Semaria/0000-0002-7412-9400</t>
  </si>
  <si>
    <t xml:space="preserve">Israel Science Foundation [1188/16]; US/Israel Binational Science Foundation [2015344]; Israeli Ministry of Science and Technology/German Cancer Research Center [CA172]; Israeli Ministry of Science and Technology [54180]</t>
  </si>
  <si>
    <t xml:space="preserve">Israel Science Foundation(Israel Science Foundation); US/Israel Binational Science Foundation(US-Israel Binational Science Foundation); Israeli Ministry of Science and Technology/German Cancer Research Center; Israeli Ministry of Science and Technology(Ministry of Science, Technology and Space (MOST), Israel)</t>
  </si>
  <si>
    <t xml:space="preserve">This work was supported by the Israel Science Foundation grant 1188/16 (AP), the US/Israel Binational Science Foundation grant 2015344 (AP and KC), the Israeli Ministry of Science and Technology/German Cancer Research Center program Grant CA172 (AP), and the Israeli Ministry of Science and Technology grant 54180 (AP).</t>
  </si>
  <si>
    <t xml:space="preserve">FEB 15</t>
  </si>
  <si>
    <t xml:space="preserve">10.3389/fimmu.2017.00161</t>
  </si>
  <si>
    <t xml:space="preserve">EK7NP</t>
  </si>
  <si>
    <t xml:space="preserve">WOS:000394112800001</t>
  </si>
  <si>
    <t xml:space="preserve">Torfs, JRR; Eens, M; Lameris, DW; Staes, N</t>
  </si>
  <si>
    <t xml:space="preserve">Torfs, Jonas R. R.; Eens, Marcel; Lameris, Daan W.; Staes, Nicky</t>
  </si>
  <si>
    <t xml:space="preserve">Respiratory Disease Risk of Zoo-Housed Bonobos Is Associated with Sex and Betweenness Centrality in the Proximity Network</t>
  </si>
  <si>
    <t xml:space="preserve">ANIMALS</t>
  </si>
  <si>
    <t xml:space="preserve">social-network analysis; social position; disease; welfare; captivity</t>
  </si>
  <si>
    <t xml:space="preserve">HUMAN METAPNEUMOVIRUS INFECTION; CHIMPANZEE PAN-TROGLODYTES; GORILLA-BERINGEI-BERINGEI; SOCIAL NETWORKS; WILD CHIMPANZEES; SYNCYTIAL VIRUS; MOUNTAIN GORILLAS; NATIONAL-PARK; GREAT APES; STREPTOCOCCUS-PNEUMONIAE</t>
  </si>
  <si>
    <t xml:space="preserve">Simple Summary One of the basic conditions of animal welfare is good health. While social behaviors have many benefits for group-living animals, they also play a role in disease transmission. This is especially true in primate species, like bonobos, who have complex social dynamics, which can facilitate disease transmission. Bonobos are also more susceptible to human disease variants due to their close genetic relatedness and are therefore at higher risk of infection in captivity due to closer proximity to humans. Therefore, investigation whether an individual's characteristics, like sex, age, or social-network position increase disease risk provides information that can be used for future management decisions to improve general animal welfare. To do so, we monitored the occurrence of respiratory disease symptoms during one winter season in a relatively large group of 20 zoo-housed bonobos. We found that individuals that were more central in the social network had higher chances of contracting respiratory disease and that males were more likely to get infected than females. These results indicate that for bonobos, social behavior and sex influence the risk of contracting respiratory disease, two factors that can be taken into account when managing fission-fusion dynamics during disease outbreaks in this zoo-housed species. Infectious diseases can be considered a threat to animal welfare and are commonly spread through both direct and indirect social interactions with conspecifics. This is especially true for species with complex social lives, like primates. While several studies have investigated the impact of sociality on disease risk in primates, only a handful have focused on respiratory disease, despite it being a major cause of morbidity and mortality in both wild and captive populations and thus an important threat to primate welfare. Therefore, we examined the role of social-network position on the occurrence of respiratory disease symptoms during one winter season in a relatively large group of 20 zoo-housed bonobos with managed fission-fusion dynamics. We found that within the proximity network, symptoms were more likely to occur in individuals with higher betweenness centrality, which are individuals that form bridges between different parts of the network. Symptoms were also more likely to occur in males than in females, independent of their social-network position. Taken together, these results highlight a combined role of close proximity and sex in increased risk of attracting respiratory disease, two factors that can be taken into account for further welfare management of the species.</t>
  </si>
  <si>
    <t xml:space="preserve">[Torfs, Jonas R. R.; Eens, Marcel; Lameris, Daan W.; Staes, Nicky] Univ Antwerp, Behav Ecol &amp; Ecophysiol Grp, Dept Biol, Univ Pl 1, B-2610 Antwerp, Belgium; [Torfs, Jonas R. R.; Lameris, Daan W.; Staes, Nicky] Royal Zool Soc Antwerp, Ctr Res &amp; Conservat, Koningin Astridpl 26, B-2018 Antwerp, Belgium</t>
  </si>
  <si>
    <t xml:space="preserve">University of Antwerp</t>
  </si>
  <si>
    <t xml:space="preserve">Torfs, JRR (corresponding author), Univ Antwerp, Behav Ecol &amp; Ecophysiol Grp, Dept Biol, Univ Pl 1, B-2610 Antwerp, Belgium.;Torfs, JRR (corresponding author), Royal Zool Soc Antwerp, Ctr Res &amp; Conservat, Koningin Astridpl 26, B-2018 Antwerp, Belgium.</t>
  </si>
  <si>
    <t xml:space="preserve">jonas.torfs@uantwerpen.be; marcel.eens@uantwerpen.be; daan.lameris@uantwerpen.be; nicky.staes@uantwerpen.be</t>
  </si>
  <si>
    <t xml:space="preserve">Staes, Nicky/AAD-4317-2019; Torfs, Jonas/LFV-2420-2024; Laméris, Daan/ABE-6872-2020</t>
  </si>
  <si>
    <t xml:space="preserve">Torfs, Jonas/0000-0001-7102-6265; Lameris, Daan/0000-0002-3096-7920; Eens, Marcel/0000-0001-7538-3542</t>
  </si>
  <si>
    <t xml:space="preserve">2076-2615</t>
  </si>
  <si>
    <t xml:space="preserve">ANIMALS-BASEL</t>
  </si>
  <si>
    <t xml:space="preserve">Animals</t>
  </si>
  <si>
    <t xml:space="preserve">10.3390/ani11123597</t>
  </si>
  <si>
    <t xml:space="preserve">Agriculture, Dairy &amp; Animal Science; Veterinary Sciences; Zoology</t>
  </si>
  <si>
    <t xml:space="preserve">Agriculture; Veterinary Sciences; Zoology</t>
  </si>
  <si>
    <t xml:space="preserve">XW0YF</t>
  </si>
  <si>
    <t xml:space="preserve">WOS:000735354900001</t>
  </si>
  <si>
    <t xml:space="preserve">Park, S; Michelow, IC; Choe, YJ</t>
  </si>
  <si>
    <t xml:space="preserve">Park, Sangshin; Michelow, Ian C.; Choe, Young June</t>
  </si>
  <si>
    <t xml:space="preserve">Shifting Patterns of Respiratory Virus Activity Following Social Distancing Measures for Coronavirus Disease 2019 in South Korea</t>
  </si>
  <si>
    <t xml:space="preserve">social distancing; SARS-CoV-2; COVID-19; respiratory virus</t>
  </si>
  <si>
    <t xml:space="preserve">INFLUENZA; INFECTIONS; TRANSMISSION; SCHOOLS; IMPACT</t>
  </si>
  <si>
    <t xml:space="preserve">Background. We hypothesized that nationwide social distancing and other preventive measures for severe acute respiratory syndrome coronavirus 2 (SARS-CoV-2) were associated with reduced detection of other respiratory viruses in South Korea. Methods. We analyzed national surveillance data to compare incidence of respiratory viruses during 2016-2019 vs 2020. Results of multiplex reverse-transcription polymerase chain reaction assays for 8 respiratory viruses were included: adenovirus (ADV), parainfluenza virus (PIV), respiratory syncytial virus (RSV), influenza virus (IFV), human coronavirus (HCoV; non-SARS-CoV-2), human rhinovirus (HRV), human bocavirus (HBoV), and human metapneumovirus (HMPV). Results. During 2016-2019, rates of detection of respiratory viruses were relatively stable: ADV, 3.7%-9.2%; PIV, 1.4%-17.0%; RSV, 0.3%-15.3%; IFV, 0.4%-35.6%; HCoV, 1.5%-8.4%; HRV, 7.0%-25.1%; HBoV, 0.6%-6.3%; and HMPV, 0.7%-14.5%. Following implementation of social distancing in February 2020, rates of detection of enveloped viruses (HCoV, HMPV, IFV, PIV, and RSV) were significantly reduced by up to 100%. However, nonenveloped viruses (ADV, HRV, and HBoV) persisted throughout 2020, and HRV rates in hospitalized patients significantly increased. Conclusions. After implementation of social distancing for SARS-CoV-2 in South Korea, rates of detection of enveloped respiratory viruses decreased significantly, whereas nonenveloped viruses persisted, suggesting that enhanced infection prevention strategies are required to mitigate spread of these viruses.</t>
  </si>
  <si>
    <t xml:space="preserve">[Park, Sangshin] Univ Seoul, Grad Sch Urban Publ Hlth, Seoul, South Korea; [Michelow, Ian C.] Brown Univ, Warren Alpert Med Sch, Dept Pediat, Div Infect Dis, Providence, RI 02912 USA; [Michelow, Ian C.] Rhode Isl Hosp, Ctr Int Hlth Res, Providence, RI USA; [Choe, Young June] Korea Univ, Dept Pediat, Anam Hosp, 3 Goryeodae Ro, Seoul 02841, South Korea</t>
  </si>
  <si>
    <t xml:space="preserve">University of Seoul; Brown University; Lifespan Health Rhode Island; Rhode Island Hospital; Korea University; Korea University Medicine (KU Medicine)</t>
  </si>
  <si>
    <t xml:space="preserve">Choe, YJ (corresponding author), Korea Univ, Dept Pediat, Anam Hosp, 3 Goryeodae Ro, Seoul 02841, South Korea.</t>
  </si>
  <si>
    <t xml:space="preserve">ychoey@korea.ac.kr</t>
  </si>
  <si>
    <t xml:space="preserve">Michelow, Ian/AAH-2373-2020; Choe, Young/AAG-6632-2021; Park, Sangshin/K-6889-2014</t>
  </si>
  <si>
    <t xml:space="preserve">Park, Sangshin/0000-0003-2407-0962; Choe, Young June/0000-0003-2733-0715</t>
  </si>
  <si>
    <t xml:space="preserve">DEC 1</t>
  </si>
  <si>
    <t xml:space="preserve">10.1093/infdis/jiab231</t>
  </si>
  <si>
    <t xml:space="preserve">JUL 2021</t>
  </si>
  <si>
    <t xml:space="preserve">XO6BF</t>
  </si>
  <si>
    <t xml:space="preserve">WOS:000730267700010</t>
  </si>
  <si>
    <t xml:space="preserve">Preston, FM; Straub, CP; Ramirez, R; Mahalingam, S; Spann, KM</t>
  </si>
  <si>
    <t xml:space="preserve">Preston, Faith Maxine; Straub, Claire P.; Ramirez, Ruben; Mahalingam, Suresh; Spann, Kirsten M.</t>
  </si>
  <si>
    <t xml:space="preserve">siRNA against the G gene of human metapneumovirus</t>
  </si>
  <si>
    <t xml:space="preserve">VIROLOGY JOURNAL</t>
  </si>
  <si>
    <t xml:space="preserve">siRNA; hMPV; Type I interferon</t>
  </si>
  <si>
    <t xml:space="preserve">RESPIRATORY SYNCYTIAL VIRUS; INHIBITION; REPLICATION; PROTEINS; NS1</t>
  </si>
  <si>
    <t xml:space="preserve">Background: Human metapneumovirus (hMPV) is a significant viral respiratory pathogen of infants and children, the elderly and immunocompromised individuals. Disease associated with hMPV infection resembles that of human respiratory syncytial virus (RSV) and includes bronchiolitis and pneumonia. The glycosylated G attachment protein of hMPV is required for viral entry in vivo and has also been identified as an inhibitor of innate immune responses. Findings: We designed and validated two siRNA molecules against the G gene using A549 cells and demonstrated consistent 88-92% knock-down for one siRNA molecule, which was used in subsequent experiments. Significant reduction of G mRNA in A549 cells infected with hMPV did not result in a reduction in viral growth, nor did it significantly increase the production of type I interferon (alpha/beta) in response to infection. However, there was a moderate increase in IFN-alpha mRNA expression in response to infection in siG-transfected cells compared to untransfected and si-mismatch-transfected cells. Expression of G by recombinant adenovirus did not affect type I IFN expression. Conclusion: G has been previously described as a type I interferon antagonist, although our findings suggest it may not be a significant antagonist.</t>
  </si>
  <si>
    <t xml:space="preserve">[Preston, Faith Maxine; Straub, Claire P.; Spann, Kirsten M.] Univ Queensland, Clin Med Virol Ctr, Brisbane, Qld 4072, Australia; [Preston, Faith Maxine; Straub, Claire P.; Spann, Kirsten M.] Sir Albert Sakzewski Virus Res Ctr, Childrens Hlth Serv, Brisbane, Qld 4029, Australia; [Ramirez, Ruben] Univ Canberra, Fac Sci Appl, Canberra, ACT 0200, Australia; [Mahalingam, Suresh] Griffith Univ, Inst Glyc, Gold Coast, Qld 4222, Australia</t>
  </si>
  <si>
    <t xml:space="preserve">University of Queensland; University of Canberra; Griffith University; Griffith University - Gold Coast Campus</t>
  </si>
  <si>
    <t xml:space="preserve">Spann, KM (corresponding author), Univ Queensland, Clin Med Virol Ctr, Brisbane, Qld 4072, Australia.</t>
  </si>
  <si>
    <t xml:space="preserve">K.Spann@uq.edu.au</t>
  </si>
  <si>
    <t xml:space="preserve">; Spann, Kirsten/B-4524-2013</t>
  </si>
  <si>
    <t xml:space="preserve">Mahalingam, Suresh/0000-0003-3141-8410; Spann, Kirsten/0000-0003-0567-8382</t>
  </si>
  <si>
    <t xml:space="preserve">Australian National Health and Medical Research Council [508601]</t>
  </si>
  <si>
    <t xml:space="preserve">Australian National Health and Medical Research Council(National Health &amp; Medical Research Council (NHMRC) of Australia)</t>
  </si>
  <si>
    <t xml:space="preserve">This work was funded by the Australian National Health and Medical Research Council, grant number 508601.</t>
  </si>
  <si>
    <t xml:space="preserve">1743-422X</t>
  </si>
  <si>
    <t xml:space="preserve">VIROL J</t>
  </si>
  <si>
    <t xml:space="preserve">Virol. J.</t>
  </si>
  <si>
    <t xml:space="preserve">JUN 7</t>
  </si>
  <si>
    <t xml:space="preserve">10.1186/1743-422X-9-105</t>
  </si>
  <si>
    <t xml:space="preserve">974AE</t>
  </si>
  <si>
    <t xml:space="preserve">WOS:000306401200001</t>
  </si>
  <si>
    <t xml:space="preserve">Nitschinsk, KM; Clarke, DT; Idris, A; McMillan, NA</t>
  </si>
  <si>
    <t xml:space="preserve">Nitschinsk, Kathleen M.; Clarke, Daniel T.; Idris, Adi; McMillan, Nigel A.</t>
  </si>
  <si>
    <t xml:space="preserve">RNAi Targeting of Human Metapneumovirus P and N Genes Inhibits Viral Growth</t>
  </si>
  <si>
    <t xml:space="preserve">INTERVIROLOGY</t>
  </si>
  <si>
    <t xml:space="preserve">siRNA; hMPV; Nucleoprotein; Phosphoprotein</t>
  </si>
  <si>
    <t xml:space="preserve">IMMUNE-RESPONSE; INTERFERENCE; REPLICATION; INFECTION; CHILDREN; ETIOLOGY</t>
  </si>
  <si>
    <t xml:space="preserve">Background/Aims: Human metapneumovirus (hMPV) is an important human respiratory pathogen and is implicated in an array of respiratory illnesses, ranging from asymptomatic infection to severe bronchiolitis. Currently, there is no reliable vaccine or specific antiviral therapy for hMPV infection and treatment is supportive. The use of ribonucleic acid interference has the potential to change that with the targeting of essential viral genes via small interfering RNAs (siRNAs) offering the ability to directly and rapidly treat viral infections. Method: The human lung carcinoma epithelial cell line, A549, was transfected with siRNAs targeting the N and P genes before infecting with hMPV A2 CAN97-83. Viral growth inhibition was then measured by the viral plaque assay and nucleoprotein (N) and phosphoprotein (P) gene knockdown was determined by real-time PCR. Results: In vitro prophylactic use of siRNAs targeting the 3'-abundantly expressed N and P genes of hMPV resulted in potent, sequence-specific viral inhibition. The viral inhibition was specific and not mediated by an anti-viral interferon- response or cell death. Conclusion: The findings presented here confirmed the highly potent, sequence-specific antiviral effect of siRNAs targeting the N and P gene of hMPV. These results may facilitate the development of a novel therapeutic agent for hMPV control. (C) 2018 S. Karger AG, Basel</t>
  </si>
  <si>
    <t xml:space="preserve">[Nitschinsk, Kathleen M.; Clarke, Daniel T.; Idris, Adi; McMillan, Nigel A.] Griffith Univ, Sch Med Sci, Gold Coast, Qld, Australia</t>
  </si>
  <si>
    <t xml:space="preserve">Griffith University; Griffith University - Gold Coast Campus</t>
  </si>
  <si>
    <t xml:space="preserve">Idris, A (corresponding author), Griffith Univ, Sch Med Sci, Menzies Hlth Inst Queensland, Gold Coast, Qld 4222, Australia.</t>
  </si>
  <si>
    <t xml:space="preserve">a.idris@griffith.edu.au</t>
  </si>
  <si>
    <t xml:space="preserve">McMillan, Nigel/AAQ-5416-2021; Idris, Adi/N-3500-2016</t>
  </si>
  <si>
    <t xml:space="preserve">McMillan, Nigel/0000-0002-9471-1406; Idris, Adi/0000-0002-0562-1549</t>
  </si>
  <si>
    <t xml:space="preserve">KARGER</t>
  </si>
  <si>
    <t xml:space="preserve">ALLSCHWILERSTRASSE 10, CH-4009 BASEL, SWITZERLAND</t>
  </si>
  <si>
    <t xml:space="preserve">0300-5526</t>
  </si>
  <si>
    <t xml:space="preserve">1423-0100</t>
  </si>
  <si>
    <t xml:space="preserve">Intervirology</t>
  </si>
  <si>
    <t xml:space="preserve">10.1159/000491927</t>
  </si>
  <si>
    <t xml:space="preserve">HB4XC</t>
  </si>
  <si>
    <t xml:space="preserve">Bronze, Green Submitted</t>
  </si>
  <si>
    <t xml:space="preserve">WOS:000451060000006</t>
  </si>
  <si>
    <t xml:space="preserve">Andreas, A; Doris, L; Frank, K; Michael, K</t>
  </si>
  <si>
    <t xml:space="preserve">Andreas, Ambrosch; Doris, Luber; Frank, Klawonn; Michael, Kabesch</t>
  </si>
  <si>
    <t xml:space="preserve">Focusing on severe infections with the respiratory syncytial virus (RSV) in adults: Risk factors, symptomatology and clinical course compared to influenza A/B and the original SARS-CoV-2 strain</t>
  </si>
  <si>
    <t xml:space="preserve">Severe respiratory infections; RSV; Influenza A; B; SARS-CoCV-2; Elderly</t>
  </si>
  <si>
    <t xml:space="preserve">HUMAN METAPNEUMOVIRUS; PREVENTION; MORTALITY; ILLNESS; BURDEN</t>
  </si>
  <si>
    <t xml:space="preserve">Background: The role and impact of RSV in the adult population is not well understood and comparative data of RSV infection, influenza A/B and SARS-CoV-2 in the elderly hospitalized for respiratory infections is limited. Methods: In a retrospective, monocentric study we analyzed data of adult patients with respiratory infections tested positive by PCR for RSV, Influenza A/B and SARS-CoV-2 over a four-year period from 2017 to 2020. Symptoms on admission, laboratory results, and risk factors were assessed, and the clinical course and outcomes were studied. Results: A total of 1541 patients hospitalized with respiratory disease and PCR positive for one of the 4 viruses were enrolled in the study. RSV was the second most prevalent virus before the COVID-19 pandemic and RSV patients represent the oldest group in this study with an average age of 75 years. Neither clinical nor laboratory characteristics differ clearly between RSV, Influenza A / B and SARS-CoV-2 infections. Up to 85% of patients had risk factors, with COPD and kidney disease found particularly frequently in RSV infections. Hospital stay was 12.66 days for RSV patients and thus significantly longer than for influenza A / B (10.88 and 8.86, respectively, p &lt; 0.001), but shorter than for SARS-CoV-2 (17.87 days, p &lt; 0.001). The risk for ICU admission and the rate of mechanical ventilation were also higher for RSV than for influenza A (OR 1.69 (p = 0.020) and 1.59 (p = 0.050)) and influenza B: (1.98 (p = 0.018) and 2.33 (p &lt; 0.001)), but lower than for SARS-CoV-2 (0.65 (p &lt; 0.001) and 0.59 (p = 0.035)). The risk of hospital mortality for RSV was increased compared with influenza A (1.55 (p = 0.050)) and influenza B (1.42 (p = 0.262)), but lower compared to SARs-CoV-2 (0.37 (p &lt; 0.001). Conclusion: RSV infections in elderly are frequent and more severe than those with influenza A/B. While the impact of SARS-CoV-2 most likely decreased in the elderly population due to vaccination, RSV can be expected to continue to be problematic for elderly patients, especially those with comorbidities and thus, more awareness on the disastrous impact of RSV in this age group is urgently needed.</t>
  </si>
  <si>
    <t xml:space="preserve">[Andreas, Ambrosch; Doris, Luber] Hosp Merciful Bros, Inst Lab Med Microbiol &amp; Infect Prevent, Regensburg, Germany; [Frank, Klawonn] Helmholtz Ctr Infect Res, Biostat Res Grp, Braunschweig, Germany; [Frank, Klawonn] Ostfalia Univ, Inst Informat Engn, Wolfenbuttel, Germany; [Michael, Kabesch] Univ Regensburg KUNO, Clin St Hedwig, Clin &amp; Policlin Children Youth Med, Regensburg, Germany; [Michael, Kabesch] Clin St Hedwig, Sci Dev Campus Regensburg WECARE, Regensburg, Germany; [Andreas, Ambrosch] Hosp Merciful Bros, Inst Lab Med Microbiol &amp; Infect Prevent, Prufeningerstr 86, D-93049 Regensburg, Germany</t>
  </si>
  <si>
    <t xml:space="preserve">Helmholtz Association; Helmholtz-Center for Infection Research</t>
  </si>
  <si>
    <t xml:space="preserve">Andreas, A (corresponding author), Hosp Merciful Bros, Inst Lab Med Microbiol &amp; Infect Prevent, Prufeningerstr 86, D-93049 Regensburg, Germany.</t>
  </si>
  <si>
    <t xml:space="preserve">andreas.ambrosch@barmherzige-regensburg.de</t>
  </si>
  <si>
    <t xml:space="preserve">Janssen Cilag, Germany</t>
  </si>
  <si>
    <t xml:space="preserve">Janssen Cilag, Germany(Johnson &amp; JohnsonJohnson &amp; Johnson USAJanssen Biotech Inc)</t>
  </si>
  <si>
    <t xml:space="preserve">Funding was received by a grant from Janssen Cilag, Germany.</t>
  </si>
  <si>
    <t xml:space="preserve">10.1016/j.jcv.2023.105399</t>
  </si>
  <si>
    <t xml:space="preserve">FEB 2023</t>
  </si>
  <si>
    <t xml:space="preserve">9W2ST</t>
  </si>
  <si>
    <t xml:space="preserve">Y</t>
  </si>
  <si>
    <t xml:space="preserve">N</t>
  </si>
  <si>
    <t xml:space="preserve">WOS:000948930200001</t>
  </si>
  <si>
    <t xml:space="preserve">Vidaur, L; Totorika, I; Montes, M; Vicente, D; Rello, J; Cilla, G</t>
  </si>
  <si>
    <t xml:space="preserve">Vidaur, Loreto; Totorika, Izarne; Montes, Milagrosa; Vicente, Diego; Rello, Jordi; Cilla, Gustavo</t>
  </si>
  <si>
    <t xml:space="preserve">Human metapneumovirus as cause of severe community-acquired pneumonia in adults: insights from a ten-year molecular and epidemiological analysis</t>
  </si>
  <si>
    <t xml:space="preserve">Severe community-acquired pneumonia; Human metapneumovirus; Acute respiratory distress syndrome; Biomarkers</t>
  </si>
  <si>
    <t xml:space="preserve">REQUIRING HOSPITALIZATION; ANTIBIOTIC USE; INFECTION; CHILDREN</t>
  </si>
  <si>
    <t xml:space="preserve">BackgroundInformation on the clinical, epidemiological and molecular characterization of human metapneumovirus in critically ill adult patients with severe community-acquired pneumonia (CAP) and the role of biomarkers identifying bacterial coinfection is scarce.MethodsThis is a retrospective epidemiological study of adult patients with hMPV severe CAP admitted to ICU during a ten-year period with admission PSI score &gt;= 3.ResultsThe 92.8% of the 28 patients with severe CAP due to human metapneumovirus were detected during the first half of the year. Median age was 62years and 60.7% were male. The genotyping of isolated human metapneumovirus showed group B predominance (60.7%). All patients had acute respiratory failure. Median APACHE II and SOFA score were 13 and 6.55, respectively. The 25% were coinfected with Streptococcus pneumoniae. 60.7% of the patients had shock at admission and 50% underwent mechanical ventilation. Seven patients developed ARDS, three of them younger than 60years and without comorbidities. Mortality in ICU was 14.3%. Among survivors, ICU and hospital stay were 6.5 and 14days, respectively. Plasma levels of procalcitonin were higher in patients with bacterial coinfection (18.2 vs 0.54; p&lt;0.05). The levels of C-reactive protein, however, were similar.ConclusionHuman metapneumovirus was associated with severe CAP requiring ICU admission among elderly patients or patients with comorbidities, but also in healthy young subjects. These patients often underwent mechanical ventilation with elevated health resource consumption. While one out of four patients showed pneumococcal coinfection, plasma procalcitonin helped to implement antimicrobial stewardship.</t>
  </si>
  <si>
    <t xml:space="preserve">[Vidaur, Loreto; Totorika, Izarne] Donostia Univ Hosp, Crit Care Dept, Biodonostia Hlth Res Inst, San Sebastian, Guipuzcoa, Spain; [Montes, Milagrosa; Vicente, Diego; Cilla, Gustavo] Donostia Univ Hosp, Biodonostia Hlth Res Inst, Microbiol Dept, San Sebastian, Guipuzcoa, Spain; [Vidaur, Loreto; Rello, Jordi] Inst Hlth Carlos III, CIBERES, Madrid, Spain; [Vicente, Diego] Univ Basque Country, Fac Med, UPV EHU, San Sebastian, Guipuzcoa, Spain; [Rello, Jordi] Vall dHebron Univ Hosp VHIR, Res Inst, Barcelona, Spain</t>
  </si>
  <si>
    <t xml:space="preserve">University Hospital Donostia; Instituto de Investigacion Sanitaria Biogipuzkoa; Instituto de Investigacion Sanitaria Biogipuzkoa; University Hospital Donostia; CIBER - Centro de Investigacion Biomedica en Red; CIBERES; University of Basque Country; Autonomous University of Barcelona; Hospital Universitari Vall d'Hebron; Vall d'Hebron Institut de Recerca (VHIR)</t>
  </si>
  <si>
    <t xml:space="preserve">Vidaur, L (corresponding author), Donostia Univ Hosp, Crit Care Dept, Biodonostia Hlth Res Inst, San Sebastian, Guipuzcoa, Spain.;Vidaur, L (corresponding author), Inst Hlth Carlos III, CIBERES, Madrid, Spain.</t>
  </si>
  <si>
    <t xml:space="preserve">loretovidaurtello@gmail.com</t>
  </si>
  <si>
    <t xml:space="preserve">Rello, Jordi/P-2402-2019</t>
  </si>
  <si>
    <t xml:space="preserve">Totorika Txurruka, Izarne/0009-0007-8189-311X</t>
  </si>
  <si>
    <t xml:space="preserve">JUL 24</t>
  </si>
  <si>
    <t xml:space="preserve">10.1186/s13613-019-0559-y</t>
  </si>
  <si>
    <t xml:space="preserve">IL0TL</t>
  </si>
  <si>
    <t xml:space="preserve">WOS:000477012700002</t>
  </si>
  <si>
    <t xml:space="preserve">Richard, N; Komurian-Pradel, F; Javouhey, E; Perret, M; Rajoharison, A; Bagnaud, A; Billaud, G; Vernet, G; Lina, B; Floret, D; Paranhos-Baccalá, G</t>
  </si>
  <si>
    <t xml:space="preserve">Richard, Nathalie; Komurian-Pradel, Florence; Javouhey, Etienne; Perret, Magali; Rajoharison, Alain; Bagnaud, Audrey; Billaud, Genevieve; Vernet, Guy; Lina, Bruno; Floret, Daniel; Paranhos-Baccala, Glaucia</t>
  </si>
  <si>
    <t xml:space="preserve">The impact of dual viral infection in infants admitted to a pediatric intensive care unit associated with severe bronchiolitis</t>
  </si>
  <si>
    <t xml:space="preserve">severe bronchiolitis; dual infection; risk factors; diagnosis; pediatric intensive care</t>
  </si>
  <si>
    <t xml:space="preserve">RESPIRATORY SYNCYTIAL VIRUS; HUMAN METAPNEUMOVIRUS INFECTIONS; POLYMERASE-CHAIN-REACTION; YOUNG-CHILDREN; HOSPITALIZED INFANTS; CLINICAL CHARACTERISTICS; RHINOVIRUS INFECTION; PREVALENCE; DISEASE; ILLNESS</t>
  </si>
  <si>
    <t xml:space="preserve">Introduction: Bronchiolitis is a major cause of morbidity and mortality in early childhood worldwide. The presence of more than one pathogen may influence the natural history of acute bronchiolitis in infants. Objective: To investigate the relevance of dual viral infection in infants with severe bronchiolitis hospitalized in a short-term unit compared with those in a pediatric intensive care unit (PICU). Study Design: One hundred eighty infants &lt; 1 year old hospitalized with bronchiolitis in a short-term unit (n = 92) or admitted to the PICU (n = 88) during 2 consecutive winter seasons 2003/2004 and 2004/2005 were evaluated. Molecular biology and standard methods were used to diagnose human respiratory viruses in nasal/throat swabs and nasal aspirates. Clinical data related to host factors and viral prevalence were compared among infants requiring or not PICU support. Results: A viral agent was identified in 96.1% of infants with bronchiolitis. Respiratory syncytial virus (70.6% and 73.6%, respectively in the short-term unit and PICU) and rhinovirus (18.5% and 25.3%, respectively in the short-term unit and PICU) were the main detected respiratory viruses in infants hospitalized in both units. No significant difference in viral prevalence was observed between the populations studied. From multivariate analysis, infants with coinfections were 2.7 times (95% CI: 1.2-6.2) more at risk for PICU admission than those with a single infection. Respiratory syncytial virus and rhinovirus were the viruses most frequently identified in mixed infections in infants hospitalized with bronchiolitis. Conclusions: Dual viral infection is a relevant risk factor for the admission of infants with severe bronchiolitis to the PICU.</t>
  </si>
  <si>
    <t xml:space="preserve">[Richard, Nathalie; Javouhey, Etienne; Floret, Daniel] Hop Edouard Herriot, Serv Urgence &amp; reanimat Pediat, Lyon, France; [Komurian-Pradel, Florence; Perret, Magali; Rajoharison, Alain; Bagnaud, Audrey; Vernet, Guy; Paranhos-Baccala, Glaucia] bioMerieux Emerging Pathogens Dept, F-69365 Lyon, France; [Billaud, Genevieve] Hosp Civils Lyon, Labs Virol, Lyon, France</t>
  </si>
  <si>
    <t xml:space="preserve">CHU Lyon; bioMerieux; CHU Lyon</t>
  </si>
  <si>
    <t xml:space="preserve">Paranhos-Baccalá, G (corresponding author), bioMerieux Emerging Pathogens Dept, IFR 128 BioSci Lyon Gerland,Tour CERVI,21 Ave, F-69365 Lyon, France.</t>
  </si>
  <si>
    <t xml:space="preserve">glaucia.baccala@eu.biomerieux.com</t>
  </si>
  <si>
    <t xml:space="preserve">Javouhey, Etienne/G-3651-2013; lina, bruno/N-3663-2019</t>
  </si>
  <si>
    <t xml:space="preserve">Pradel, Florence/0000-0002-1023-0796; lina, bruno/0000-0002-8959-2123; vernet, guy/0000-0002-5120-1297</t>
  </si>
  <si>
    <t xml:space="preserve">10.1097/INF.0b013e31815b4935</t>
  </si>
  <si>
    <t xml:space="preserve">269PN</t>
  </si>
  <si>
    <t xml:space="preserve">WOS:000253661500004</t>
  </si>
  <si>
    <t xml:space="preserve">Al Amad, MA; Al Mahaqri, AA; Al Serouri, AA; Khader, YS</t>
  </si>
  <si>
    <t xml:space="preserve">Al Amad, Mohammad Abdullah; Al Mahaqri, Ali Ali; Al Serouri, Abdulwahed Abdulgabar; Khader, Yousef S.</t>
  </si>
  <si>
    <t xml:space="preserve">Severe Acute Respiratory Infections With Influenza and Noninfluenza Respiratory Viruses: Yemen, 2011-2016</t>
  </si>
  <si>
    <t xml:space="preserve">INQUIRY-THE JOURNAL OF HEALTH CARE ORGANIZATION PROVISION AND FINANCING</t>
  </si>
  <si>
    <t xml:space="preserve">severe acute respiratory infection; severe outcome; influenza; noninfluenza; Yemen; Field Epidemiology Training Program</t>
  </si>
  <si>
    <t xml:space="preserve">HOSPITALIZED CHILDREN; YOUNG-CHILDREN; BURDEN</t>
  </si>
  <si>
    <t xml:space="preserve">In 2010, Yemen started the surveillance for severe acute respiratory infections (SARIs) by establishing 2 sentinel sites in Sana'a and Aden city. This study aims to determine the proportions of influenza and noninfluenza viruses among SARI patients and to determine the severity of SARI and its associated factors. The data of SARI patients who were admitted to SARI surveillance sites at Al Johory hospital in Sana'a and Al Wahdah hospital in Aden city during the period 2011-2016 were analyzed. The proportions of positive influenza viruses (type A, B) and noninfluenza viruses (respiratory syncytial, adenovirus, human parainfluenza, and human metapneumovirus), intensive care unit (ICU) admission rate, and fatality rate among SARI patients were calculated. A total of 1811 of SARI patients were admitted during 2011-2016. Of those, 78% were &lt;15 years old. A total of 89 (5%) patients had influenza viruses and 655 (36%) had noninfluenza viruses. The overall ICU admission rate was 40% and the case-fatality rate was 8%. Infection by influenza type (A, B) and mixed (adenovirus, human parainfluenza) was significantly associated with lower ICU admission. Age &lt;15 years old, infection with influenza B, pre-existence of chronic diseases, and admission to Aden site were significantly associated with higher fatality rate among patients. In conclusion; SARI patients in Yemen had a high ICU admission and case-fatality rates. Influenza type B, chronic diseases, and admission to Aden site are associated with higher fatality rate. Expanding surveillance sites and panel of laboratory tests to involve other pathogens will help to provide accurate diagnosis for SARI etiology and give more comprehensive picture. Training staff for SARI case management will help to reduce severe outcomes.</t>
  </si>
  <si>
    <t xml:space="preserve">[Al Amad, Mohammad Abdullah; Al Serouri, Abdulwahed Abdulgabar] Yemen Field Epidemiol Training Program, Sanaa, Yemen; [Al Mahaqri, Ali Ali] SARI Surveillance Program, Sanaa, Yemen; [Khader, Yousef S.] Jordan Univ Sci &amp; Technol, Irbid, Jordan</t>
  </si>
  <si>
    <t xml:space="preserve">Jordan University of Science &amp; Technology</t>
  </si>
  <si>
    <t xml:space="preserve">Al Amad, MA (corresponding author), Minist Hlth, Yemen Field Epidemiol Training Program, Surveillance Bldg,Mazda St, Sanaa 967, Yemen.</t>
  </si>
  <si>
    <t xml:space="preserve">mohdalemad@yahoo.com</t>
  </si>
  <si>
    <t xml:space="preserve">Emad, Mohammad/M-5477-2017; khader, yousef/AAE-9620-2019; Al Amad, Mohammed/KFS-7887-2024</t>
  </si>
  <si>
    <t xml:space="preserve">khader, yousef/0000-0002-7830-6857; Al Amad, Mohammed/0000-0002-1566-4964</t>
  </si>
  <si>
    <t xml:space="preserve">Centers for Disease Control and Prevention (CDC); World Health Organization (WHO); Training Programs in Epidemiology and Public Health Interventions Network (TEPHINET)</t>
  </si>
  <si>
    <t xml:space="preserve">Centers for Disease Control and Prevention (CDC)(United States Department of Health &amp; Human ServicesCenters for Disease Control &amp; Prevention - USA); World Health Organization (WHO)(World Health Organization); Training Programs in Epidemiology and Public Health Interventions Network (TEPHINET)</t>
  </si>
  <si>
    <t xml:space="preserve">Authors would like to acknowledge the Eastern Mediterranean Public Health Network (EMPHNET) for their technical support. The support of Centers for Disease Control and Prevention (CDC), World Health Organization (WHO), and Training Programs in Epidemiology and Public Health Interventions Network (TEPHINET) is highly appreciated.</t>
  </si>
  <si>
    <t xml:space="preserve">0046-9580</t>
  </si>
  <si>
    <t xml:space="preserve">1945-7243</t>
  </si>
  <si>
    <t xml:space="preserve">INQUIRY-J HEALTH CAR</t>
  </si>
  <si>
    <t xml:space="preserve">Inquiry-J. Health Care Organ. Provis. Financ.</t>
  </si>
  <si>
    <t xml:space="preserve">10.1177/0046958019850731</t>
  </si>
  <si>
    <t xml:space="preserve">Health Care Sciences &amp; Services; Health Policy &amp; Services</t>
  </si>
  <si>
    <t xml:space="preserve">Health Care Sciences &amp; Services</t>
  </si>
  <si>
    <t xml:space="preserve">IA4AO</t>
  </si>
  <si>
    <t xml:space="preserve">WOS:000469505100001</t>
  </si>
  <si>
    <t xml:space="preserve">Caldeira, DB; Luna, LKD; Watanabe, A; Perosa, AH; Granato, C; Bellei, N</t>
  </si>
  <si>
    <t xml:space="preserve">Caldeira, Debora Bellini; de Souza Luna, Luciano Kleber; Watanabe, Aripuana; Perosa, Ana Helena; Granato, Celso; Bellei, Nancy</t>
  </si>
  <si>
    <t xml:space="preserve">The occurrence of polyomaviruses WUPyV and KIPyV among patients with severe respiratory infections</t>
  </si>
  <si>
    <t xml:space="preserve">Severe acute respiratory infection; Polyomaviruses; WUPyV; KIPyV; Real-time PCR</t>
  </si>
  <si>
    <t xml:space="preserve">POLYMERASE-CHAIN-REACTION; REAL-TIME PCR; WU POLYOMAVIRUS; KI POLYOMAVIRUS; HUMAN METAPNEUMOVIRUS; TRACT; IDENTIFICATION; PREVALENCE; VIRUS; CHILDREN</t>
  </si>
  <si>
    <t xml:space="preserve">In 2007, the new polyomaviruses WUPyV and KIPyV were identified in patients with acute respiratory infections. The aim of this study was to investigate these viruses in hospitalized patients with severe acute respiratory infection (SARI). A retrospective study was conducted with 251 patients, from April 2009 to November 2010, using nasopharyngeal aspirates, naso- and oropharyngeal swab samples from hospitalized patients (children &lt;12years and adults) who had SARI within 7days of the onset of symptoms, including fever (&gt;38.8 degrees C), dyspnea, and cough. Clinical and epidemiological information was obtained through standardized questionnaire. Enrolled patients were initially suspected to have influenza A(H1N1)pdm09 infections. WUPyV and KIPyV were detected by real-time PCR. Samples were also tested for influenza A and B viruses, human respiratory syncytial virus, rhinovirus, metapneumovirus, coronavirus, adenovirus, and parainfluenza viruses. WUPyV and KIPyV were detected in 6.77% (4.78% and 1.99%, respectively) of hospitalized patients with SARI. All samples from children showed coinfections (rhinovirus was the most commonly detected). Six adults had polyomavirus infection and four (1.6%) had monoinfection. Of them, 3 reported comorbidities including immunosuppression and 1 patient had worse outcome, requiring ICU admission. These preliminary data may suggest a possible role of polyomaviruses in SARI among immunocompromised adult patients.</t>
  </si>
  <si>
    <t xml:space="preserve">[Caldeira, Debora Bellini; de Souza Luna, Luciano Kleber; Perosa, Ana Helena; Granato, Celso; Bellei, Nancy] Sao Paulo Fed Univ, Infect Dis Unit, Med Dept, Clin Virol Lab, Rua Pedro De Toledo 781,15 Andar, Sao Paulo, Brazil; [Watanabe, Aripuana] Univ Fed Juiz de Fora, Biol Sci Inst, Dept Parasitol Microbiol &amp; Immunol, Juiz De Fora, MG, Brazil</t>
  </si>
  <si>
    <t xml:space="preserve">Universidade Federal de Sao Paulo (UNIFESP); Universidade Federal de Juiz de Fora</t>
  </si>
  <si>
    <t xml:space="preserve">Caldeira, DB (corresponding author), Sao Paulo Fed Univ, Infect Dis Unit, Med Dept, Clin Virol Lab, Rua Pedro De Toledo 781,15 Andar, Sao Paulo, Brazil.</t>
  </si>
  <si>
    <t xml:space="preserve">debora.dellini@globo.com</t>
  </si>
  <si>
    <t xml:space="preserve">de Souza Luna, Luciano Kleber/L-1213-2013; Bellei, Nancy/D-8641-2016</t>
  </si>
  <si>
    <t xml:space="preserve">Caldeira, Debora/0000-0001-9257-0374; Bellei, Nancy/0000-0001-6080-5693; de Souza Luna, Luciano Kleber/0000-0002-3552-5507</t>
  </si>
  <si>
    <t xml:space="preserve">Fundacao de Amparo a Pesquisa do Estado de Sao Paulo - FAPESP [2016/09279-6]; DBC e LKSL sao bolsistas da Coordenacao de Aperfeicoamento de Pessoal de Nivel Superior (CAPES), Brasil; Fundacao de Amparo a Pesquisa do Estado de Sao Paulo (FAPESP) [16/09279-6] Funding Source: FAPESP</t>
  </si>
  <si>
    <t xml:space="preserve">Fundacao de Amparo a Pesquisa do Estado de Sao Paulo - FAPESP(Fundacao de Amparo a Pesquisa do Estado de Sao Paulo (FAPESP)Fundacao de Amparo a Pesquisa e Inovacao do Estado de Santa Catarina (FAPESC)); DBC e LKSL sao bolsistas da Coordenacao de Aperfeicoamento de Pessoal de Nivel Superior (CAPES), Brasil; Fundacao de Amparo a Pesquisa do Estado de Sao Paulo (FAPESP)(Fundacao de Amparo a Pesquisa do Estado de Sao Paulo (FAPESP))</t>
  </si>
  <si>
    <t xml:space="preserve">This work was supported by the Fundacao de Amparo a Pesquisa do Estado de Sao Paulo - FAPESP [grant number 2016/09279-6.]. DBC e LKSL sao bolsistas da Coordenacao de Aperfeicoamento de Pessoal de Nivel Superior (CAPES), Brasil.</t>
  </si>
  <si>
    <t xml:space="preserve">10.1007/s42770-018-0038-x</t>
  </si>
  <si>
    <t xml:space="preserve">HW6DJ</t>
  </si>
  <si>
    <t xml:space="preserve">WOS:000466778000014</t>
  </si>
  <si>
    <t xml:space="preserve">Theodoropoulos, F; Hüsing, A; Dittmer, U; Jöckel, KH; Taube, C; Anastasiou, OE</t>
  </si>
  <si>
    <t xml:space="preserve">Theodoropoulos, Fotis; Huesing, Anika; Dittmer, Ulf; Joeckel, Karl-Heinz; Taube, Christian; Anastasiou, Olympia E.</t>
  </si>
  <si>
    <t xml:space="preserve">Seasonal Patterns of Common Respiratory Viral Infections in Immunocompetent and Immunosuppressed Patients</t>
  </si>
  <si>
    <t xml:space="preserve">PATHOGENS</t>
  </si>
  <si>
    <t xml:space="preserve">seasonality; RSV; PIV; influenza; HMPV; immunocompromised</t>
  </si>
  <si>
    <t xml:space="preserve">INFLUENZA</t>
  </si>
  <si>
    <t xml:space="preserve">Introduction: Several respiratory viruses have been shown to have seasonal patterns. The aim of our study was to evaluate and compare these patterns in immunocompetent and immunosuppressed patients for five different respiratory viruses. Methods: We performed a retrospective analysis of results for 13,591 respiratory tract samples for human metapneumovirus (HMPV), influenza virus, parainfluenza virus (PIV) and respiratory syncytial virus (RSV) in immunocompetent and immunosuppressed patients. A seasonal pattern was aligned to the data of immunocompetent patients through a logistic regression model of positive and negative test results. Results: A narrow seasonal pattern (January to March) was documented for HMPV. Most RSV infections were detected in the winter and early spring months, from December to March, but occasional cases of RSV could be found throughout the year. The peak season for PIV-3 was during the summer months, and that for PIV-4 was mostly in autumn. A narrow seasonal pattern emerged for influenza virus as most infections were detected in the winter, in January and February. The seasonal patterns of HMPV, RSV, PIV, and influenza virus were similar for both immunocompetent and immunocompromised patients. Conclusions: We found no difference in the seasonality of HMPV, RSV, PIV, and influenza virus infections between immunosuppressed and immunocompetent hosts.</t>
  </si>
  <si>
    <t xml:space="preserve">[Theodoropoulos, Fotis; Taube, Christian] Univ Hosp Essen Ruhrlandklin, Dept Pulm Med, D-45239 Essen, Germany; [Huesing, Anika; Joeckel, Karl-Heinz] Univ Duisburg Essen, Univ Hosp Essen, Inst Med Informat Biometry &amp; Epidemiol, D-45122 Essen, Germany; [Dittmer, Ulf; Anastasiou, Olympia E.] Univ Duisburg Essen, Univ Hosp Essen, Inst Virol, D-45147 Essen, Germany; [Joeckel, Karl-Heinz] Univ Duisburg Essen, Med Fac, Ctr Clin Studies ZKSE, Inst Med Informat Biometry &amp; Epidemiol, D-45122 Essen, Germany</t>
  </si>
  <si>
    <t xml:space="preserve">University of Duisburg Essen; University of Duisburg Essen; University of Duisburg Essen</t>
  </si>
  <si>
    <t xml:space="preserve">Anastasiou, OE (corresponding author), Univ Duisburg Essen, Univ Hosp Essen, Inst Virol, D-45147 Essen, Germany.</t>
  </si>
  <si>
    <t xml:space="preserve">fotis.theodoropoulos@rlk.uk-essen.de; anika.huesing@uk-essen.de; ulf.dittmer@uk-essen.de; k-h.joeckel@uk-essen.de; christian.taube@rlk.uk-essen.de; olympia.anastasiou@uni-due.de</t>
  </si>
  <si>
    <t xml:space="preserve">Anastasiou, Olympia/AAV-6338-2020</t>
  </si>
  <si>
    <t xml:space="preserve">Anastasiou, Olympia/0000-0003-2178-3182</t>
  </si>
  <si>
    <t xml:space="preserve">Open Access Publication Fund of the University of Duisburg-Essen</t>
  </si>
  <si>
    <t xml:space="preserve">We acknowledge support from the Open Access Publication Fund of the University of Duisburg-Essen.</t>
  </si>
  <si>
    <t xml:space="preserve">2076-0817</t>
  </si>
  <si>
    <t xml:space="preserve">Pathogens</t>
  </si>
  <si>
    <t xml:space="preserve">10.3390/pathogens13080704</t>
  </si>
  <si>
    <t xml:space="preserve">E7L0M</t>
  </si>
  <si>
    <t xml:space="preserve">WOS:001304771400001</t>
  </si>
  <si>
    <t xml:space="preserve">Fitzpatrick, T; Malcolm, W; McMenamin, J; Reynolds, A; Guttmann, A; Hardelid, P</t>
  </si>
  <si>
    <t xml:space="preserve">Fitzpatrick, Tiffany; Malcolm, William; McMenamin, Jim; Reynolds, Arlene; Guttmann, Astrid; Hardelid, Pia</t>
  </si>
  <si>
    <t xml:space="preserve">Community-Based Antibiotic Prescribing Attributable to Respiratory Syncytial Virus and Other Common Respiratory Viruses in Young Children: A Population-Based Time-series Study of Scottish Children</t>
  </si>
  <si>
    <t xml:space="preserve">CLINICAL INFECTIOUS DISEASES</t>
  </si>
  <si>
    <t xml:space="preserve">Scotland; antibiotics; respiratory infections; child health</t>
  </si>
  <si>
    <t xml:space="preserve">GENERAL-PRACTICE; PRIMARY-CARE; INFLUENZA; RSV; AGE; BRONCHIOLITIS; INFECTIONS; PREDICTORS; SYMPTOMS; ENGLAND</t>
  </si>
  <si>
    <t xml:space="preserve">Background. Inappropriate antibiotic prescribing, such as for viral illness, remains common in primary care. The objective of this study was to estimate the proportion of community-prescribed antibiotics to children aged less than 5 years attributable to common respiratory viruses. Methods. We fitted time-series negative binomial models to predict weekly antibiotic prescribing rates from positive viral pathogen tests for the period 1 April 2009 through 27 December 2017 using comprehensive, population-based administrative data for all children (&lt;5 years) living in Scotland. Multiple respiratory viral pathogens were considered, including respiratory syncytial virus (RSV), influenza, human metapneumovirus (HMPV), rhinovirus, and human parainfluenza (HPIV) types 1-4. We estimated the proportion of antibiotic prescriptions explained by virus circulation according to type of virus, by age group, presence of high-risk chronic conditions, and antibiotic class. Results. We included data on 6 066 492 antibiotic prescriptions among 452 877 children. The antibiotic-prescribing rate among all Scottish children (&lt;5 years) was 609.7 per 1000 child-years. Our final model included RSV, influenza, HMPV, HPIV-1, and HPIV-3. An estimated 6.9% (95% confidence interval, 5.6-8.3%), 2.4% (1.7-3.1%), and 2.3% (.8-3.9%) of antibiotics were attributable to RSV, influenza, and HMPV, respectively. RSV was consistently associated with the highest proportion of prescribed antibiotics, particularly among children without chronic conditions and for amoxicillin and macrolide prescriptions. Conclusions. Nearly 14% of antibiotics prescribed to children in this study were estimated to be attributable to common viruses for which antibiotics are not recommended. A future RSV vaccine could substantially reduce unnecessary antibiotic prescribing among children.</t>
  </si>
  <si>
    <t xml:space="preserve">[Fitzpatrick, Tiffany; Hardelid, Pia] UCL, UCL Great Ormond St Inst Child Hlth, London, England; [Fitzpatrick, Tiffany; Guttmann, Astrid] Hosp Sick Children, SickKids Res Inst, Toronto, ON, Canada; [Fitzpatrick, Tiffany; Guttmann, Astrid] Univ Toronto, Dalla Lana Sch Publ Hlth, Toronto, ON, Canada; [Malcolm, William; McMenamin, Jim; Reynolds, Arlene] NHS Natl Serv Scotland Meridian Court, Hlth Protect Scotland, Glasgow, Lanark, Scotland; [Guttmann, Astrid] ICES, Toronto, ON, Canada</t>
  </si>
  <si>
    <t xml:space="preserve">University of London; University College London; University of Toronto; Hospital for Sick Children (SickKids); University of Toronto; University of Toronto</t>
  </si>
  <si>
    <t xml:space="preserve">Hardelid, P (corresponding author), 30 Guilford St, London WC1N 1EH, England.</t>
  </si>
  <si>
    <t xml:space="preserve">p.hardelid@ucl.ac.uk</t>
  </si>
  <si>
    <t xml:space="preserve">Hardelid, Pia/K-3353-2013</t>
  </si>
  <si>
    <t xml:space="preserve">Hardelid, Pia/0000-0002-0154-1306; Fitzpatrick, Tiffany/0000-0003-2767-6476</t>
  </si>
  <si>
    <t xml:space="preserve">Mitacs (Mitacs Globalink Research Award); SickKids Research Institute; UCL's Global Engagement Fund; NIHR Biomedical Research Centre at Great Ormond Street Hospital for Children NHS Foundation Trust</t>
  </si>
  <si>
    <t xml:space="preserve">This work was supported by a competitive training award from Mitacs (Mitacs Globalink Research Award). Additional financial support was provided by the SickKids Research Institute and UCL's Global Engagement Fund. We also acknowledge support from the NIHR Biomedical Research Centre at Great Ormond Street Hospital for Children NHS Foundation Trust.</t>
  </si>
  <si>
    <t xml:space="preserve">1058-4838</t>
  </si>
  <si>
    <t xml:space="preserve">1537-6591</t>
  </si>
  <si>
    <t xml:space="preserve">CLIN INFECT DIS</t>
  </si>
  <si>
    <t xml:space="preserve">Clin. Infect. Dis.</t>
  </si>
  <si>
    <t xml:space="preserve">JUN 15</t>
  </si>
  <si>
    <t xml:space="preserve">10.1093/cid/ciaa403</t>
  </si>
  <si>
    <t xml:space="preserve">TF6HF</t>
  </si>
  <si>
    <t xml:space="preserve">WOS:000670819400059</t>
  </si>
  <si>
    <t xml:space="preserve">Bell, C; Goss, M; Norton, D; Barlow, S; Temte, E; He, CCL; Hamer, C; Walters, S; Sabry, A; Johnson, K; Chen, GH; Uzicanin, A; Temte, J</t>
  </si>
  <si>
    <t xml:space="preserve">Bell, Cristalyne; Goss, Maureen; Norton, Derek; Barlow, Shari; Temte, Emily; He, Cecilia; Hamer, Caroline; Walters, Sarah; Sabry, Alea; Johnson, Kelly; Chen, Guanhua; Uzicanin, Amra; Temte, Jonathan</t>
  </si>
  <si>
    <t xml:space="preserve">Descriptive Epidemiology of Pathogens Associated with Acute Respiratory Infection in a Community-Based Study of K-12 School Children (2015-2023)</t>
  </si>
  <si>
    <t xml:space="preserve">school-based surveillance; respiratory illness; respiratory viruses; acute respiratory infection; surveillance; public health</t>
  </si>
  <si>
    <t xml:space="preserve">ILLNESS</t>
  </si>
  <si>
    <t xml:space="preserve">School-based outbreaks often precede increased incidence of acute respiratory infections in the greater community. We conducted acute respiratory infection surveillance among children to elucidate commonly detected pathogens in school settings and their unique characteristics and epidemiological patterns. The ORegon CHild Absenteeism due to Respiratory Disease Study (ORCHARDS) is a longitudinal, laboratory-supported, school-based, acute respiratory illness (ARI) surveillance study designed to evaluate the utility of cause-specific student absenteeism monitoring for early detection of increased activity of influenza and other respiratory viruses in schools from kindergarten through 12th grade. Eligible participants with ARIs provided demographic, epidemiologic, and symptom data, along with a nasal swab or oropharyngeal specimen. Multipathogen testing using reverse-transcription polymerase chain reaction (RT-PCR) was performed on all specimens for 18 respiratory viruses and 2 atypical bacterial pathogens (Chlamydia pneumoniae and Mycoplasma pneumoniae). Between 5 January 2015 and 9 June 2023, 3498 children participated. Pathogens were detected in 2455 of 3498 (70%) specimens. Rhinovirus/enteroviruses (36%) and influenza viruses A/B (35%) were most commonly identified in positive specimens. Rhinovirus/enteroviruses and parainfluenza viruses occurred early in the academic year, followed by seasonal coronaviruses, RSV, influenza viruses A/B, and human metapneumovirus. Since its emergence in 2020, SARS-CoV-2 was detected year-round and had a higher median age than the other pathogens. A better understanding of the etiologies, presentations, and patterns of pediatric acute respiratory infections can help inform medical and public health system responses.</t>
  </si>
  <si>
    <t xml:space="preserve">[Bell, Cristalyne; Goss, Maureen; Barlow, Shari; Temte, Emily; He, Cecilia; Hamer, Caroline; Walters, Sarah; Sabry, Alea; Johnson, Kelly; Temte, Jonathan] Univ Wisconsin, Sch Med &amp; Publ Hlth, Dept Family Med &amp; Community Hlth, Madison, WI 53706 USA; [Norton, Derek; Chen, Guanhua] Univ Wisconsin, Sch Med &amp; Publ Hlth, Dept Biostat &amp; Med Informat, Madison, WI 53706 USA; [Uzicanin, Amra] Ctr Dis Control &amp; Prevent, Atlanta, GA 30329 USA</t>
  </si>
  <si>
    <t xml:space="preserve">University of Wisconsin System; University of Wisconsin Madison; University of Wisconsin System; University of Wisconsin Madison; Centers for Disease Control &amp; Prevention - USA</t>
  </si>
  <si>
    <t xml:space="preserve">Goss, M (corresponding author), Univ Wisconsin, Sch Med &amp; Publ Hlth, Dept Family Med &amp; Community Hlth, Madison, WI 53706 USA.</t>
  </si>
  <si>
    <t xml:space="preserve">cristalyne.bell@fammed.wisc.edu; maureen.landsverk@fammed.wisc.edu; dlnorton2@wisc.edu; shari.barlow@fammed.wisc.edu; emily.temte@fammed.wisc.edu; cecilia.he@fammed.wisc.edu; caroline.hamer@fammed.wisc.edu; sarah.walters@fammed.wisc.edu; alea.sabry@fammed.wisc.edu; kelly.johnson@fammed.wisc.edu; gchen25@wisc.edu; aau5@cdc.gov; jon.temte@fammed.wisc.edu</t>
  </si>
  <si>
    <t xml:space="preserve">Temte, Jonathan/0000-0001-7097-583X; Goss, Maureen/0000-0002-7062-1916</t>
  </si>
  <si>
    <t xml:space="preserve">Centers for Disease Control and Prevention</t>
  </si>
  <si>
    <t xml:space="preserve">Centers for Disease Control and Prevention(United States Department of Health &amp; Human ServicesCenters for Disease Control &amp; Prevention - USA)</t>
  </si>
  <si>
    <t xml:space="preserve">We would like to acknowledge the Wisconsin State Laboratory of Hygiene for their assistance with the RT-PCR testing of the ORCHARDS specimens.</t>
  </si>
  <si>
    <t xml:space="preserve">10.3390/pathogens13040340</t>
  </si>
  <si>
    <t xml:space="preserve">OW9B5</t>
  </si>
  <si>
    <t xml:space="preserve">WOS:001210421900001</t>
  </si>
  <si>
    <t xml:space="preserve">Kang, M; Sarkar, S; Angurana, SK; Singh, P; Rana, M; Bora, I; Chetanya, R; Singh, B; Muralidharan, J; Ratho, RK</t>
  </si>
  <si>
    <t xml:space="preserve">Kang, Mannat; Sarkar, Subhabrata; Angurana, Suresh Kumar; Singh, Pankaj; Rana, Meenakshi; Bora, Ishani; Chetanya, Rishi; Singh, Bharatendu; Muralidharan, Jayashree; Ratho, Radha Kanta</t>
  </si>
  <si>
    <t xml:space="preserve">Paradigm shift of respiratory viruses causing lower respiratory tract infection in children during COVID-19 pandemic in India</t>
  </si>
  <si>
    <t xml:space="preserve">JOURNAL OF INFECTION IN DEVELOPING COUNTRIES</t>
  </si>
  <si>
    <t xml:space="preserve">SARS-CoV2; pneumonia; RSV; hMPV; hBOV</t>
  </si>
  <si>
    <t xml:space="preserve">HUMAN BOCAVIRUS INFECTION; HUMAN METAPNEUMOVIRUS; SYNCYTIAL VIRUS; YOUNG-CHILDREN; UNITED-STATES; COMMUNITY; INFLUENZA; BURDEN; TRENDS</t>
  </si>
  <si>
    <t xml:space="preserve">Introduction: Acute lower respiratory tract infections (ALRTIs) are the commonest cause of mortality in children mostly attributed to respiratory viruses. During the coronavirus disease 2019 (COVID-19) pandemic, the dynamics and transmission of infections changed worldwide due to widespread public health measures. This study aimed to understand the pattern of respiratory viruses associated with ALRTIs in children pre and during COVID-19 pandemic in India. Methodology: Respiratory samples were collected from ALRTI patients during pre-pandemic period (October 2019 to February 2020; n = 166), Delta (July 2021 to December 2021; n = 78) and Omicron wave (January 2022 to July 2022; n = 111). Samples were screened for Influenza (Inf) A pdmH1N1, InfA H3N2, InfB, respiratory syncytial virus (RSV), human metapneumovirus (hMPV), human bocavirus (hBoV), human rhinovirus (hRV), and parainfluenza virus (PIV-2 and PIV-3) by nucleic acid amplification techniques (NAATs). Results: Significantly higher proportion of children with ALRTIs had virus/es isolated during pre-pandemic period than during mid-pandemic period [78.9% (131/166) vs. 52.9% (100/189); p &lt; 0.001). RSV positivity was significantly higher (51.2%) in pre-pandemic period than 10.3% and 0.9% during the Delta and Omicron waves respectively. No significant difference in positivity rate of Inf A pdmH1N1, Inf A H3N2 and Inf B was seen. The increase in positivity of hRV (39.2% vs 42.3% vs 56.8%) and hBOV (1.2% vs 5.1% vs 9%) was documented in pre -pandemic, delta wave and omicron wave respectively.Conclusions: The COVID-19 pandemic significantly impacted the frequency and pattern of respiratory viruses among hospitalized children with ALRTIs in India.</t>
  </si>
  <si>
    <t xml:space="preserve">[Kang, Mannat; Sarkar, Subhabrata; Rana, Meenakshi; Bora, Ishani; Chetanya, Rishi; Singh, Bharatendu; Ratho, Radha Kanta] Post Grad Inst Med Educ &amp; Res PGIMER, Dept Virol, Chandigarh, India; [Angurana, Suresh Kumar; Muralidharan, Jayashree] Post Grad Inst Med Educ &amp; Res PGIMER, Adv Pediat Ctr, Chandigarh, India; [Singh, Pankaj] Natl Inst Virol NIV, Pune, India; [Ratho, Radha Kanta] Post Grad Inst Med Educ &amp; Res, Dept Virol, Res Block A,Sect 12, Chandigarh 160012, India</t>
  </si>
  <si>
    <t xml:space="preserve">Post Graduate Institute of Medical Education &amp; Research (PGIMER), Chandigarh; Post Graduate Institute of Medical Education &amp; Research (PGIMER), Chandigarh; Indian Council of Medical Research (ICMR); ICMR - National Institute of Virology (NIV); Post Graduate Institute of Medical Education &amp; Research (PGIMER), Chandigarh</t>
  </si>
  <si>
    <t xml:space="preserve">Ratho, RK (corresponding author), Post Grad Inst Med Educ &amp; Res, Dept Virol, Res Block A,Sect 12, Chandigarh 160012, India.</t>
  </si>
  <si>
    <t xml:space="preserve">rathopgi@yahoo.com</t>
  </si>
  <si>
    <t xml:space="preserve">Angurana, Suresh/0000-0001-6370-8258; SARKAR, SUBHABRATA/0000-0001-8880-8458; Rana, Meenakshi/0009-0002-4858-460X; Kang, Mannat/0000-0001-8621-8200</t>
  </si>
  <si>
    <t xml:space="preserve">J INFECTION DEVELOPING COUNTRIES</t>
  </si>
  <si>
    <t xml:space="preserve">TRAMANIGLIO</t>
  </si>
  <si>
    <t xml:space="preserve">JIDC CENT OFF PORTO CONTE RICERCHE RES CTR, S P 55, PORTO CONTE CAPO CACCIA KM 8.400 LOC, TRAMANIGLIO, 07041, ITALY</t>
  </si>
  <si>
    <t xml:space="preserve">1972-2680</t>
  </si>
  <si>
    <t xml:space="preserve">J INFECT DEV COUNTR</t>
  </si>
  <si>
    <t xml:space="preserve">J. Infect. Dev. Ctries.</t>
  </si>
  <si>
    <t xml:space="preserve">10.3855/jidc.17727</t>
  </si>
  <si>
    <t xml:space="preserve">O4BS0</t>
  </si>
  <si>
    <t xml:space="preserve">WOS:001043290300009</t>
  </si>
  <si>
    <t xml:space="preserve">Chui, L; Drebot, M; Andonov, A; Petrich, A; Glushek, M; Mahony, J</t>
  </si>
  <si>
    <t xml:space="preserve">Comparison of 9 different PCR primers for the rapid detection of severe acute respiratory syndrome coronavirus using 2 RNA extraction methods</t>
  </si>
  <si>
    <t xml:space="preserve">SARS-CoV; real-time and conventional RT-PCR; sensitivity and specificity</t>
  </si>
  <si>
    <t xml:space="preserve">POLYMERASE-CHAIN-REACTION; SARS CORONAVIRUS; DIAGNOSIS; ASSAYS; IDENTIFICATION</t>
  </si>
  <si>
    <t xml:space="preserve">The sensitivity and specificity of various severe acute respiratory syndrome coronavirus (SARS-CoV) PCR primer and probe sets were evaluated through the use of commercial kits and in-house amplification formats. Conventional and real-time PCR assays were performed using a heat-block thermocycler ABI 9600, the Roche LightCycler (TM) version 1.2, or the ABI 7000 Sequence Detection System. The sensitivity of all primers was between 0.0004 and 0.04 PFU with viral cell lysate and between 0.004 and 0.4 PFU in spiked stool specimen per PCR assay. The primer sets for real-time PCR assays were at one least 1 log more sensitive than the primer sets used in the conventional PCR. A panel of viruses including swine gastroenteritis virus, bovine coronavirus, avian bronchitis virus (Connecticut strain), avian bronchitis virus (Massachusetts strain), human coronaviruses 229E and OC43, parainfluenza virus (type III), human metapneumovirus, adenovirus, respiratory syncytial virus, and influenza A were tested by all assays. All real-time PCR assays used probe-based detection, and no cross-reactivity was observed. With conventional PCR, analysis was performed using agarose gel electrophoresis and multiple nonspecific bands were observed. Two commercial extraction methods, magnetic particle capture and silica-based procedure were evaluated and the results were comparable. The former was less laborious with shorter time for completion and can easily be adapted to an automated system such as the MagNa Pure-I-C, which can extract nucleic acid from clinical samples and load it into the sample capillaries of the LightCycler (TM). As exemplified by this study, the continued refinement and evaluation of PCR procedures will greatly benefit the diagnostic laboratory during an outbreak of SARS. (c) 2005 Elsevier Inc. All rights reserved.</t>
  </si>
  <si>
    <t xml:space="preserve">Univ Alberta Hosp, Provincial Lab Publ Hlth, Edmonton, AB T6G 2J2, Canada; Natl Microbiol Lab, Winnipeg, MB R3E 3R2, Canada; McMaster Univ, St Josephs Healthcare, Hamilton, ON L8N 4A6, Canada</t>
  </si>
  <si>
    <t xml:space="preserve">University of Alberta; McMaster University</t>
  </si>
  <si>
    <t xml:space="preserve">Univ Alberta Hosp, Provincial Lab Publ Hlth, Edmonton, AB T6G 2J2, Canada.</t>
  </si>
  <si>
    <t xml:space="preserve">l.chui@provlab.ab.ca</t>
  </si>
  <si>
    <t xml:space="preserve">STE 800, 230 PARK AVE, NEW YORK, NY 10169 USA</t>
  </si>
  <si>
    <t xml:space="preserve">10.1016/j.diagmicrobio.2005.03.007</t>
  </si>
  <si>
    <t xml:space="preserve">975SY</t>
  </si>
  <si>
    <t xml:space="preserve">WOS:000232683400008</t>
  </si>
  <si>
    <t xml:space="preserve">Agca, H; Akalin, H; Saglik, I; Hacimustafaoglu, M; Celebi, S; Ener, B</t>
  </si>
  <si>
    <t xml:space="preserve">Agca, Harun; Akalin, Halis; Saglik, Imran; Hacimustafaoglu, Mustafa; Celebi, Solmaz; Ener, Beyza</t>
  </si>
  <si>
    <t xml:space="preserve">Changing epidemiology of influenza and other respiratory viruses in the first year of COVID-19 pandemic</t>
  </si>
  <si>
    <t xml:space="preserve">JOURNAL OF INFECTION AND PUBLIC HEALTH</t>
  </si>
  <si>
    <t xml:space="preserve">SARS-CoV; Influenza; Pandemic; Rhinovirus</t>
  </si>
  <si>
    <t xml:space="preserve">CORONAVIRUSES; INFECTIONS; FAILURE</t>
  </si>
  <si>
    <t xml:space="preserve">Introduction: We aimed to determine the epidemiological change in influenza and other respiratory tract viruses isolated from patients with nasopharyngeal swab samples in our hospital during the COVID-19 period. Methods: We investigated nasopharyngeal swabs for respiratory viruses between March 2020 and February 2021 during the first year of pandemic in Turkey. We used QIAStat Dx Respiratory panel (Qiagen, Germany) in QIAStat Dx (Qiagen, Germany) for detection of respiratory viruses between March 2020 and February 2021. Respiratory panel kit included influenza A, B, influenza A H1N1, rhinovirus/enterovirus, parainfluenza (PIV) 1,2,3,4, coronaviruses (CoVs) NL 63, 229E, OC43 and HKU1, human metapneumovirus (MPV) A/B, bocavirus, respiratory syncytial virus (RSV) A/B and adenovirus. Results: We retrospectively analyzed the results of 319 nasopharyngeal swab samples. The average age of 199 (62.4%) male and 120 (37.6%) female patients between the ages of 0-92 was 16 years. We found that 101 (31.7%) samples were positive for viruses. Rhino/enteroviruses were the most common viruses in all age groups. Influenza positivity rate during the first year of pandemic declined to 2.3% from 17.3% among the previous year. MPV infection activity did not change during the pandemic. Discussion: According to our findings we argue that epidemiology of respiratory viruses has changed during the pandemic period. Despite the current clinical focus on the COVID-19 pandemic, clinicians should keep in mind that rhino/enterovirus and MPV infections may mimic COVID-19 and respiratory infections should be differentially diagnosed with rapid multiplex kits containing SARS-CoV-2, rhino/enterovirus and MPV. (c) 2021 The Authors. Published by Elsevier Ltd on behalf of King Saud Bin Abdulaziz University for Health Sciences. This is an open access article under the CC BY license (http://creativecommons.org/ licenses/by/4.0/).</t>
  </si>
  <si>
    <t xml:space="preserve">[Agca, Harun; Saglik, Imran; Ener, Beyza] Bursa Uludag Univ, Dept Med Microbiol, Fac Med, TR-16059 Bursa, Turkey; [Akalin, Halis] Bursa Uludag Univ, Dept Infect Dis &amp; Clin Microbiol, Fac Med, Bursa, Turkey; [Hacimustafaoglu, Mustafa; Celebi, Solmaz] Bursa Uludag Univ, Fac Med, Dept Pediat Infect Dis Subunit, Bursa, Turkey</t>
  </si>
  <si>
    <t xml:space="preserve">Uludag University; Uludag University; Uludag University</t>
  </si>
  <si>
    <t xml:space="preserve">Agca, H (corresponding author), Bursa Uludag Univ, Dept Med Microbiol, Fac Med, TR-16059 Bursa, Turkey.</t>
  </si>
  <si>
    <t xml:space="preserve">harunagca@uludag.edu.tr</t>
  </si>
  <si>
    <t xml:space="preserve">AGCA, HARUN/ISU-9626-2023; Akalin, Halis/AAU-8952-2020; Ener, Beyza/AAG-8523-2021</t>
  </si>
  <si>
    <t xml:space="preserve">AGCA, HARUN/0000-0002-2651-2034</t>
  </si>
  <si>
    <t xml:space="preserve">ELSEVIER SCIENCE LONDON</t>
  </si>
  <si>
    <t xml:space="preserve">84 THEOBALDS RD, LONDON WC1X 8RR, ENGLAND</t>
  </si>
  <si>
    <t xml:space="preserve">1876-0341</t>
  </si>
  <si>
    <t xml:space="preserve">1876-035X</t>
  </si>
  <si>
    <t xml:space="preserve">J INFECT PUBLIC HEAL</t>
  </si>
  <si>
    <t xml:space="preserve">J. Infect. Public Health</t>
  </si>
  <si>
    <t xml:space="preserve">10.1016/j.jiph.2021.08.004</t>
  </si>
  <si>
    <t xml:space="preserve">AUG 2021</t>
  </si>
  <si>
    <t xml:space="preserve">Public, Environmental &amp; Occupational Health; Infectious Diseases</t>
  </si>
  <si>
    <t xml:space="preserve">UX1GP</t>
  </si>
  <si>
    <t xml:space="preserve">WOS:000700595800012</t>
  </si>
  <si>
    <t xml:space="preserve">Oster, Y; Abu Ahmad, W; Michael-Gayego, A; Rivkin, M; Levinzon, L; Wolf, D; Nir-Paz, R; Elinav, H</t>
  </si>
  <si>
    <t xml:space="preserve">Oster, Yonatan; Abu Ahmad, Wiessam; Michael-Gayego, Ayelet; Rivkin, Mila; Levinzon, Leonid; Wolf, Dana; Nir-Paz, Ran; Elinav, Hila</t>
  </si>
  <si>
    <t xml:space="preserve">Viral and Bacterial Respiratory Pathogens during the COVID-19 Pandemic in Israel</t>
  </si>
  <si>
    <t xml:space="preserve">SARS-CoV-2; respiratory pathogens; viral; bacterial</t>
  </si>
  <si>
    <t xml:space="preserve">Background: previous worldwide reports indicated a substantial short-term reduction in various respiratory infections during the early phase of the SARS-CoV-2 pandemic. Aims: exploring the long-term impact of the COVID-19 pandemic on respiratory pathogens. Methods: retrospective analysis of bacterial and viral positivity rate in respiratory samples, between 1 January 2017-30 June 2022 in a tertiary hospital in Jerusalem, Israel. Results: A decline in overall respiratory tests and positivity rate was observed in the first months of the pandemic. Respiratory isolations of Hemophilus influenza and Streptococcus pneumoniae were insignificantly affected and returned to their monthly average by November 2020, despite a parallel surge in COVID-19 activity, while Mycoplasma pneumoniae was almost eliminated from the respiratory pathogens scene. Each viral pathogen acted differently, with adenovirus affected only for few months. Human-metapneumovirus and respiratory-syncytial-virus had reduced activity for approximately a year, and influenza A virus resurged in November 2021 with the elimination of Influenza-B. Conclusions: After an immediate decline in non-SARS-CoV-2 respiratory infections, each pathogen has a different pattern during a 2-year follow-up. These patterns might be influenced by intrinsic factors of each pathogen and different risk reduction behaviors of the population. Since some of these measures will remain in the following years, we cannot predict the timing of return to pre-COVID-19 normalcy.</t>
  </si>
  <si>
    <t xml:space="preserve">[Oster, Yonatan; Michael-Gayego, Ayelet; Rivkin, Mila; Levinzon, Leonid; Wolf, Dana; Nir-Paz, Ran; Elinav, Hila] Hadassah Hebrew Univ, Dept Clin Microbiol &amp; Infect Dis, Med Ctr, IL-9112001 Jerusalem, Israel; [Oster, Yonatan; Wolf, Dana; Nir-Paz, Ran; Elinav, Hila] Hebrew Univ Jerusalem, Fac Med, IL-9190401 Jerusalem, Israel; [Abu Ahmad, Wiessam] Hebrew Univ Jerusalem, Braun Sch Publ Hlth &amp; Community Med, IL-9190401 Jerusalem, Israel; [Rivkin, Mila; Levinzon, Leonid; Wolf, Dana] Hadassah Hebrew Univ, Clin Virol Unit, Med Ctr, IL-91120 Jerusalem, Israel</t>
  </si>
  <si>
    <t xml:space="preserve">Hebrew University of Jerusalem; Hebrew University of Jerusalem; Hebrew University of Jerusalem; Hadassah University Medical Center</t>
  </si>
  <si>
    <t xml:space="preserve">Elinav, H (corresponding author), Hadassah Hebrew Univ, Dept Clin Microbiol &amp; Infect Dis, Med Ctr, IL-9112001 Jerusalem, Israel.;Elinav, H (corresponding author), Hebrew Univ Jerusalem, Fac Med, IL-9190401 Jerusalem, Israel.</t>
  </si>
  <si>
    <t xml:space="preserve">rhilae@hadassah.org.il</t>
  </si>
  <si>
    <t xml:space="preserve">Nir-Paz, Ran/I-5003-2012; Elinav, Hila/ITT-2178-2023; Oster, Yonatan/HKW-0805-2023</t>
  </si>
  <si>
    <t xml:space="preserve">Oster, Yonatan/0000-0002-1050-1648</t>
  </si>
  <si>
    <t xml:space="preserve">10.3390/microorganisms11010166</t>
  </si>
  <si>
    <t xml:space="preserve">7Z5SI</t>
  </si>
  <si>
    <t xml:space="preserve">WOS:000915618500001</t>
  </si>
  <si>
    <t xml:space="preserve">Li, L; Wang, HP; Liu, AL; Wang, RJ; Zhi, TT; Zheng, YJ; Bao, YM; Chen, YS; Wang, WJ</t>
  </si>
  <si>
    <t xml:space="preserve">Li, Li; Wang, Heping; Liu, Ailiang; Wang, Rongjun; Zhi, Tingting; Zheng, Yuejie; Bao, Yanming; Chen, Yunsheng; Wang, Wenjian</t>
  </si>
  <si>
    <t xml:space="preserve">Comparison of 11 respiratory pathogens among hospitalized children before and during the COVID-19 epidemic in Shenzhen, China</t>
  </si>
  <si>
    <t xml:space="preserve">SARS-CoV-2; Respiratory pathogens; Prevalence; Children</t>
  </si>
  <si>
    <t xml:space="preserve">CLINICAL-FEATURES; INFLUENZA; IMPACT</t>
  </si>
  <si>
    <t xml:space="preserve">Background The effect of SARS-CoV-2 on existing respiratory pathogens in circulation remains uncertain. This study aimed to assess the impact of SARS-CoV-2 on the prevalence of respiratory pathogens among hospitalized children. Methods This study enrolled hospitalized children with acute respiratory infections in Shenzhen Children's Hospital from September to December 2019 (before the COVID-19 epidemic) and those from September to December 2020 (during the COVID-19 epidemic). Nasopharyngeal swabs were collected, and respiratory pathogens were detected using multiplex PCR. The absolute case number and detection rates of 11 pathogens were collected and analyzed. Results A total of 5696 children with respiratory tract infection received multiplex PCR examination for respiratory pathogens: 2298 from September to December 2019 and 3398 from September to December 2020. At least one pathogen was detected in 1850 (80.5%) patients in 2019, and in 2380 (70.0%) patients in 2020; the detection rate in 2020 was significantly lower than that in 2019.The Influenza A (InfA) detection rate was 5.6% in 2019, but 0% in 2020. The detection rates of Mycoplasma pneumoniae, Human adenovirus, and Human rhinovirus also decreased from 20% (460), 8.9% (206), and 41.8% (961) in 2019 to 1.0% (37), 2.1% (77), and 25.6% (873) in 2020, respectively. In contrast, the detection rates of Human respiratory syncytial virus, Human parainfluenza virus, and Human metapneumovirus increased from 6.6% (153), 9.9% (229), and 0.5% (12) in 2019 to 25.6% (873), 15.5% (530), and 7.2% (247) in 2020, respectively (p &lt; 0.0001). Conclusions Successful containment of seasonal influenza as a result of COVID-19 control measures will ensure we are better equipped to deal with future outbreaks of both influenza and COVID-19.Caused by virus competition, the detection rates of Human respiratory syncytial virus, Human parainfluenza virus, and Human metapneumovirus increased in Shenzhen,that reminds us we need to take further monitoring and preventive measures in the next epidemic season.</t>
  </si>
  <si>
    <t xml:space="preserve">[Li, Li; Wang, Heping; Liu, Ailiang; Wang, Rongjun; Zheng, Yuejie; Bao, Yanming; Chen, Yunsheng; Wang, Wenjian] Shenzhen Childrens Hosp, Dept Resp Dis, 7019 Yitian Rd, Shenzhen 518038, Guangdong, Peoples R China; [Zhi, Tingting] Guangdong Med Univ, Coll Basic Med, Dept Microbiol &amp; Immunol, Dongguan 523808, Peoples R China</t>
  </si>
  <si>
    <t xml:space="preserve">Shenzhen Children's Hospital; Guangdong Medical University</t>
  </si>
  <si>
    <t xml:space="preserve">Chen, YS; Wang, WJ (corresponding author), Shenzhen Childrens Hosp, Dept Resp Dis, 7019 Yitian Rd, Shenzhen 518038, Guangdong, Peoples R China.</t>
  </si>
  <si>
    <t xml:space="preserve">chenyunsheng66@163.com; wwjxx@126.com</t>
  </si>
  <si>
    <t xml:space="preserve">wang, wenjian/GSI-8628-2022</t>
  </si>
  <si>
    <t xml:space="preserve">Shenzhen Fund for Guangdong Provincial High-level Clinical Key Specialties [SZGSP012]; Shenzhen Key Medical Discipline Construction Fund [SZXK032]</t>
  </si>
  <si>
    <t xml:space="preserve">Shenzhen Fund for Guangdong Provincial High-level Clinical Key Specialties; Shenzhen Key Medical Discipline Construction Fund</t>
  </si>
  <si>
    <t xml:space="preserve">This work was supported by grants from the Shenzhen Fund for Guangdong Provincial High-level Clinical Key Specialties (SZGSP012) and Shenzhen Key Medical Discipline Construction Fund (SZXK032) to Wenjian Wang, which had a role in the data collection and analysis and the manuscript writing, reviewing, and editing.</t>
  </si>
  <si>
    <t xml:space="preserve">OCT 9</t>
  </si>
  <si>
    <t xml:space="preserve">10.1186/s12985-021-01669-y</t>
  </si>
  <si>
    <t xml:space="preserve">WD8YG</t>
  </si>
  <si>
    <t xml:space="preserve">WOS:000705219500003</t>
  </si>
  <si>
    <t xml:space="preserve">Redlberger-Fritz, M; Kundi, M; Aberle, SW; Puchhammer-Stöckl, E</t>
  </si>
  <si>
    <t xml:space="preserve">Redlberger-Fritz, Monika; Kundi, Michael; Aberle, Stephan W.; Puchhammer-Stoeckl, Elisabeth</t>
  </si>
  <si>
    <t xml:space="preserve">Significant impact of nationwide SARS-CoV-2 lockdown measures on the circulation of other respiratory virus infections in Austria</t>
  </si>
  <si>
    <t xml:space="preserve">SARS-CoV-2; Lockdown; Lockdown impact; Respiratory viruses; COVID19 lockdown</t>
  </si>
  <si>
    <t xml:space="preserve">Background: Since the worldwide spread of SARS-CoV-2, different European countries reacted with temporary national lockdowns with the aim to limit the virus transmission in the population. Also Austria started a lockdown of public life in March 2020. Objectives: In this study we investigated whether the circulation of different respiratory virus infections in Austria, as assessed by the established respiratory virus surveillance system, is affected by these measures as well and may reflect the success of the lockdown in limiting respiratory virus transmission. Study design: Sentinel data obtained for influenza virus, respiratory syncytial virus, human metapneumovirus and rhinovirus cases were analyzed and compared between the season 2019/2020 and the five previous seasons. Results: We observed a rapid and statistically significant reduction of cumulative cases for all these viruses within short time after the lockdown in March 2020, compared to previous seasons (each p &lt; 0.001). Also, sentinel screening for SARS-CoV-2 infections was performed and a decrease of SARS-CoV-2 was seen after the lockdown. While for the seasonally occurring viruses as influenza, respiratory syncytial virus or human metapneumovirus the lockdown led to the end of the annual epidemics, a re-increase of rhinovirus infections was observed after liberalization of numerous lockdown measures. Conclusions: Our data provide evidence that occurrence of different respiratory virus infections reflect not only the efficiency of lockdown measures taken against SARS-CoV-2 but it shows also the effects of lockdown releases on the transmission of respiratory viruses.</t>
  </si>
  <si>
    <t xml:space="preserve">[Redlberger-Fritz, Monika; Aberle, Stephan W.; Puchhammer-Stoeckl, Elisabeth] Med Univ Vienna, Ctr Virol, Kinderspitalgasse 15, A-1090 Vienna, Austria; [Kundi, Michael] Med Univ Vienna, Dept Environm Hlth, Vienna, Austria</t>
  </si>
  <si>
    <t xml:space="preserve">Medical University of Vienna; Medical University of Vienna</t>
  </si>
  <si>
    <t xml:space="preserve">Redlberger-Fritz, M (corresponding author), Med Univ Vienna, Ctr Virol, Kinderspitalgasse 15, A-1090 Vienna, Austria.</t>
  </si>
  <si>
    <t xml:space="preserve">monika.redlberger@meduniwien.ac.at</t>
  </si>
  <si>
    <t xml:space="preserve">Redlberger-Fritz, Monika/0000-0001-6265-557X</t>
  </si>
  <si>
    <t xml:space="preserve">10.1016/j.jcv.2021.104795</t>
  </si>
  <si>
    <t xml:space="preserve">MAR 2021</t>
  </si>
  <si>
    <t xml:space="preserve">RH3JG</t>
  </si>
  <si>
    <t xml:space="preserve">WOS:000636118800009</t>
  </si>
  <si>
    <t xml:space="preserve">Hirotsu, Y; Maejima, M; Shibusawa, M; Amemiya, K; Nagakubo, Y; Hosaka, K; Sueki, H; Mochizuki, H; Tsutsui, T; Kakizaki, Y; Miyashita, Y; Omata, M</t>
  </si>
  <si>
    <t xml:space="preserve">Hirotsu, Yosuke; Maejima, Makoto; Shibusawa, Masahiro; Amemiya, Kenji; Nagakubo, Yuki; Hosaka, Kazuhiro; Sueki, Hitomi; Mochizuki, Hitoshi; Tsutsui, Toshiharu; Kakizaki, Yumiko; Miyashita, Yoshihiro; Omata, Masao</t>
  </si>
  <si>
    <t xml:space="preserve">Analysis of Covid-19 and non-Covid-19 viruses, including influenza viruses, to determine the influence of intensive preventive measures in Japan</t>
  </si>
  <si>
    <t xml:space="preserve">SARS-CoV-2; Influenza; Covid-19; PCR; Infection; FilmArray</t>
  </si>
  <si>
    <t xml:space="preserve">Background: Severe acute respiratory coronavirus 2 (SARS-CoV-2) has spread and caused death worldwide. Preventive measures and infection control are underway, and some areas show signs of convergence. Other viruses in addition to SARS-CoV-2 cause cold-like symptoms and spread in the winter. However, the extent to which SARS-CoV-2, influenza viruses and other causative viruses have prevailed since implementing preventive measures is unclear. Objectives: We aim to investigate the incidence of causative viruses and pathogens in patients. Study design: We collected 191 nasopharyngeal swabs from patients with cold-like symptoms in Japan. All samples were subjected to multiplex PCR with the FilmArray Respiratory Panel and reverse transcription PCR (RT-PCR) to detect SARS-CoV-2. Results: FilmArray Respiratory Panel analysis detected at least one virus in 32 of 191 patients with cold-like symptoms (21 %). Of these, we frequently identified human rhinoviruses/enteroviruses (5.8 %, n=11), human metapneumovirus (3.7 %, n=7), coronavirus 229E (2.1 %, n=4) and coronavirus OC43 (1.6 %, n=3); while no influenza viruses were detected. RT-PCR analysis detected SARS-CoV-2 (4.2 %, n=8) in patients who were not infected with the aforementioned respiratory viruses. Conclusions: Co-infection with SARS-CoV-2 and other viruses was not observed. Causative viruses remain pre-valent after implementing preventive measures. SARS-CoV-2 differs from influenza viruses in its infectivity.</t>
  </si>
  <si>
    <t xml:space="preserve">[Hirotsu, Yosuke; Mochizuki, Hitoshi] Genome Anal Ctr, Kofu, Yamanashi, Japan; [Maejima, Makoto; Shibusawa, Masahiro; Nagakubo, Yuki; Hosaka, Kazuhiro; Sueki, Hitomi] Div Microbiol Clin Lab, Tokyo, Japan; [Amemiya, Kenji; Nagakubo, Yuki] Div Genet &amp; Clin Lab, Tokyo, Japan; [Mochizuki, Hitoshi; Omata, Masao] Dept Gastroenterol, Tokyo, Japan; [Tsutsui, Toshiharu; Kakizaki, Yumiko; Miyashita, Yoshihiro] Yamanashi Cent Hosp, Lung Canc &amp; Resp Dis Ctr, 1-1-1 Fujimi, Kofu, Yamanashi, Japan; [Omata, Masao] Univ Tokyo, Bunkyo Ku, 7-3-1 Hongo, Tokyo, Japan</t>
  </si>
  <si>
    <t xml:space="preserve">University of Tokyo</t>
  </si>
  <si>
    <t xml:space="preserve">Hirotsu, Y (corresponding author), Yamanashi Cent Hosp, Genome Anal Ctr, Kofu, Yamanashi, Japan.</t>
  </si>
  <si>
    <t xml:space="preserve">hirotsu-bdyu@ych.pref.yamanashi.jp</t>
  </si>
  <si>
    <t xml:space="preserve">Yosuke, Hirotsu/IQR-4402-2023</t>
  </si>
  <si>
    <t xml:space="preserve">Hirotsu, Yosuke/0000-0002-8002-834X</t>
  </si>
  <si>
    <t xml:space="preserve">Yamanashi Prefecture; Japan Society for the Promotion of Science (JSPS) KAKENHI EarlyCareer Scientists [JP18K16292, 20H03668]; YASUDA Medical Foundation; Uehara Memorial Foundation; Medical Research Grants from the Takeda Science Foundation; Grants-in-Aid for Scientific Research [20H03668] Funding Source: KAKEN</t>
  </si>
  <si>
    <t xml:space="preserve">Yamanashi Prefecture; Japan Society for the Promotion of Science (JSPS) KAKENHI EarlyCareer Scientists; YASUDA Medical Foundation; Uehara Memorial Foundation(Uehara Memorial Foundation); Medical Research Grants from the Takeda Science Foundation; Grants-in-Aid for Scientific Research(Ministry of Education, Culture, Sports, Science and Technology, Japan (MEXT)Japan Society for the Promotion of ScienceGrants-in-Aid for Scientific Research (KAKENHI))</t>
  </si>
  <si>
    <t xml:space="preserve">This study was supported by a Grant-in-Aid for the Genome Research Project from Yamanashi Prefecture (to M.O. and Y.H.), the Japan Society for the Promotion of Science (JSPS) KAKENHI EarlyCareer Scientists JP18K16292 (to Y.H.), Grant-in-Aid for Scientific Research (B) 20H03668 (to Y.H.), a Research Grant for Young Scholars (to Y.H.), the YASUDA Medical Foundation (to Y.H.), the Uehara Memorial Foundation (to Y.H.), and Medical Research Grants from the Takeda Science Foundation (to Y.H.).</t>
  </si>
  <si>
    <t xml:space="preserve">10.1016/j.jcv.2020.104543</t>
  </si>
  <si>
    <t xml:space="preserve">MQ5ZV</t>
  </si>
  <si>
    <t xml:space="preserve">Green Submitted, Green Published</t>
  </si>
  <si>
    <t xml:space="preserve">WOS:000552973400022</t>
  </si>
  <si>
    <t xml:space="preserve">Ni, MJ; Xu, HY; Luo, J; Liu, W; Zhou, DG</t>
  </si>
  <si>
    <t xml:space="preserve">Ni, Minjun; Xu, Hengyi; Luo, Jie; Liu, Wei; Zhou, Donggen</t>
  </si>
  <si>
    <t xml:space="preserve">Simultaneous detection and differentiation of SARS-CoV-2, influenza A virus and influenza B virus by one-step quadruplex real-time RT-PCR in patients with clinical manifestations</t>
  </si>
  <si>
    <t xml:space="preserve">SARS-CoV-2; Influenza A virus; Influenza B virus; Differentiation; Quadruplex; Co-infection</t>
  </si>
  <si>
    <t xml:space="preserve">RESPIRATORY-SYNCYTIAL-VIRUS; HUMAN METAPNEUMOVIRUS</t>
  </si>
  <si>
    <t xml:space="preserve">Objective: To develop a novel quadruplex real-time reverse transcription polymerase chain reaction (rRTPCR) assay for the diagnosis of severe acute respiratory syndrome coronavirus-2 (SARS-CoV-2) infection, differential diagnosis and detection of co-infections. Methods: A one-step quadruplex rRT-PCR assay was developed for simultaneous detection and differentiation of SARS-CoV-2 ORF1ab and N genes, influenza A virus (hIAV) and influenza B virus (hIBV). Results: The quadruplex rRT-PCR assay had good sensitivity and specificity. Correlation coefficients and amplification efficiencies of all singleplex and quadruplex rRT-PCR reactions were within acceptable ranges. The 95% lower limits of detection for plasmid standards and positive nucleic acid extracts of the quadruplex rRT-PCR assay were 57.38-95.11 copies/mL and 114.65-154.25 copies/mL, respectively. Excellent results were attained for interand intra-assay reproducibility. Among these clinical samples, only four samples showed results inconsistent with the singleplex rRT-PCR assays. Conclusions: To the authors' knowledge, this is the first study to report a quadruplex rRT-PCR assay for the detection of two SARS-CoV-2 genes, hIAV and hIBV with perfect clinical performance. (C) 2020 The Author(s). Published by Elsevier Ltd on behalf of International Society for Infectious Diseases.</t>
  </si>
  <si>
    <t xml:space="preserve">[Ni, Minjun; Luo, Jie; Zhou, Donggen] Ningbo Int Travel Healthcare Ctr, Ningbo 315012, Peoples R China; [Xu, Hengyi] Nanchang Univ, State Key Lab Food Sci &amp; Technol, Nanchang, Jiangxi, Peoples R China; [Liu, Wei; Zhou, Donggen] Nanchang Int Travel Healthcare Ctr, Nanchang, Jiangxi, Peoples R China</t>
  </si>
  <si>
    <t xml:space="preserve">Zhou, DG (corresponding author), Ningbo Int Travel Healthcare Ctr, Ningbo 315012, Peoples R China.</t>
  </si>
  <si>
    <t xml:space="preserve">Dongdong1004@163.com</t>
  </si>
  <si>
    <t xml:space="preserve">zhou, donggen/JMR-4014-2023</t>
  </si>
  <si>
    <t xml:space="preserve">National Key RD Programme [2018ZX10101003-002-002]; Natural Science Foundation of Ningbo [2017C50034]</t>
  </si>
  <si>
    <t xml:space="preserve">National Key RD Programme; Natural Science Foundation of Ningbo</t>
  </si>
  <si>
    <t xml:space="preserve">This study was supported by the National Key R&amp;D Programme (2018ZX10101003-002-002) and the Natural Science Foundation of Ningbo (2017C50034).</t>
  </si>
  <si>
    <t xml:space="preserve">London</t>
  </si>
  <si>
    <t xml:space="preserve">125 London Wall, London, ENGLAND</t>
  </si>
  <si>
    <t xml:space="preserve">10.1016/j.ijid.2020.12.027</t>
  </si>
  <si>
    <t xml:space="preserve">JAN 2021</t>
  </si>
  <si>
    <t xml:space="preserve">QF1YT</t>
  </si>
  <si>
    <t xml:space="preserve">WOS:000616697100031</t>
  </si>
  <si>
    <t xml:space="preserve">Pizzorno, A; Padey, B; Dulière, V; Mouton, W; Oliva, J; Laurent, E; Milesi, C; Lina, B; Traversier, A; Julien, T; Trouillet-Assant, S; Rosa-Calatrava, M; Terrier, O</t>
  </si>
  <si>
    <t xml:space="preserve">Pizzorno, Andres; Padey, Blandine; Duliere, Victoria; Mouton, William; Oliva, Justine; Laurent, Emilie; Milesi, Cedrine; Lina, Bruno; Traversier, Aurelien; Julien, Thomas; Trouillet-Assant, Sophie; Rosa-Calatrava, Manuel; Terrier, Olivier</t>
  </si>
  <si>
    <t xml:space="preserve">Interactions Between Severe Acute Respiratory Syndrome Coronavirus 2 Replication and Major Respiratory Viruses in Human Nasal Epithelium</t>
  </si>
  <si>
    <t xml:space="preserve">SARS-CoV-2; human metapneumovirus; human rhinovirus; influenza virus; respiratory syncytial virus; virus-virus interactions</t>
  </si>
  <si>
    <t xml:space="preserve">INFLUENZA-A VIRUS; SYNCYTIAL VIRUS; RHINOVIRUS; QUANTIFICATION; COINFECTION; SARS-COV-2</t>
  </si>
  <si>
    <t xml:space="preserve">We show that the virus type and the sequence of infections are key parameters of virus-virus interactions, having the impact of primary infections on the regulation of the immune response a determinant role in the outcome of secondary infections. The emergence of severe acute respiratory syndrome coronavirus 2 (SARS-CoV-2), along with extensive nonpharmacological interventions, have profoundly altered the epidemiology of major respiratory viruses. Some studies have described virus-virus interactions, particularly manifested by viral interference mechanisms at different scales. However, our knowledge of the interactions between SARS-CoV-2 and other respiratory viruses remains incomplete. Here, we studied the interactions between SARS-CoV-2 and several respiratory viruses (influenza, respiratory syncytial virus, human metapneumovirus, and human rhinovirus) in a reconstituted human epithelial airway model, exploring different scenarios affecting the sequence and timing of coinfections. We show that the virus type and sequence of infections are key factors in virus-virus interactions, the primary infection having a determinant role in the immune response to the secondary infection.</t>
  </si>
  <si>
    <t xml:space="preserve">[Pizzorno, Andres; Padey, Blandine; Duliere, Victoria; Mouton, William; Oliva, Justine; Laurent, Emilie; Milesi, Cedrine; Lina, Bruno; Traversier, Aurelien; Julien, Thomas; Trouillet-Assant, Sophie; Rosa-Calatrava, Manuel; Terrier, Olivier] Univ Claude Bernard Lyon 1, Univ Lyon, CNRS,INSERM,Ctr Int Rech Infectiol, Ecole Normale Super Lyon,Team VirPath,UMR5308,U11, Lyon, France; [Padey, Blandine] Signia Therapeut SAS, Lyon, France; [Duliere, Victoria; Laurent, Emilie; Traversier, Aurelien; Julien, Thomas; Rosa-Calatrava, Manuel] Univ Claude Bernard Lyon 1, Univ Lyon, Fac Med RTH Laennec, VirNext, Lyon, France; [Mouton, William; Trouillet-Assant, Sophie] Hosp Civils Lyon, Ctr Hosp Lyon Sud, BioMerieux, Lab Commun Rech, Pierre Benite, France</t>
  </si>
  <si>
    <t xml:space="preserve">Institut National de la Sante et de la Recherche Medicale (Inserm); Centre National de la Recherche Scientifique (CNRS); CNRS - National Institute for Biology (INSB); Universite Claude Bernard Lyon 1; Ecole Normale Superieure de Lyon (ENS de LYON); Universite Claude Bernard Lyon 1; CHU Lyon; bioMerieux</t>
  </si>
  <si>
    <t xml:space="preserve">Terrier, O (corresponding author), Univ Claude Bernard Lyon 1, Univ Lyon, Ctr Int Rech Infectiol, CIRI,ENS Lyon,Team VirPath,U1111,UMR5308, F-69007 Lyon, France.</t>
  </si>
  <si>
    <t xml:space="preserve">olivier.terrier@univ-lyon1.fr</t>
  </si>
  <si>
    <t xml:space="preserve">lina, bruno/N-3663-2019; trouillet-assant, sophie/L-9400-2014; Rosa-calatrava, Manuel/M-7263-2014; Oliva, Justine/JKI-0760-2023; Pizzorno, Andrés/M-9633-2019; Terrier, Olivier/B-6301-2009</t>
  </si>
  <si>
    <t xml:space="preserve">Julien, Thomas/0000-0002-8607-2827; Terrier, Olivier/0000-0001-9393-7684</t>
  </si>
  <si>
    <t xml:space="preserve">Institut National de la Sante et de la Recherche Medicale (INSERM) REACTing (Research and Action Emerging Infectious Diseases); Centre National de la Recherche Scientifique (CNRS); Institut Merieux; CNRS [GDR2073]</t>
  </si>
  <si>
    <t xml:space="preserve">Institut National de la Sante et de la Recherche Medicale (INSERM) REACTing (Research and Action Emerging Infectious Diseases); Centre National de la Recherche Scientifique (CNRS)(Centre National de la Recherche Scientifique (CNRS)); Institut Merieux; CNRS(Centre National de la Recherche Scientifique (CNRS))</t>
  </si>
  <si>
    <t xml:space="preserve">This work was supported by Institut National de la Sante et de la Recherche Medicale (INSERM) REACTing (Research and Action Emerging Infectious Diseases); Centre National de la Recherche Scientifique (CNRS); and Institut Merieux. This work is in the scope of the French Research Network on Influenza Viruses (ResaFlu; grant number GDR2073) supported by CNRS.</t>
  </si>
  <si>
    <t xml:space="preserve">DEC 13</t>
  </si>
  <si>
    <t xml:space="preserve">10.1093/infdis/jiac357</t>
  </si>
  <si>
    <t xml:space="preserve">AUG 2022</t>
  </si>
  <si>
    <t xml:space="preserve">7K1XY</t>
  </si>
  <si>
    <t xml:space="preserve">WOS:000853179000001</t>
  </si>
  <si>
    <t xml:space="preserve">Babiker, A; Bradley, HL; Stittleburg, VD; Ingersoll, JM; Key, A; Kraft, CS; Waggoner, JJ; Piantadosi, A</t>
  </si>
  <si>
    <t xml:space="preserve">Babiker, Ahmed; Bradley, Heath L.; Stittleburg, Victoria D.; Ingersoll, Jessica M.; Key, Autum; Kraft, Colleen S.; Waggoner, Jesse J.; Piantadosi, Anne</t>
  </si>
  <si>
    <t xml:space="preserve">Metagenomic Sequencing To Detect Respiratory Viruses in Persons under Investigation for COVID-19</t>
  </si>
  <si>
    <t xml:space="preserve">JOURNAL OF CLINICAL MICROBIOLOGY</t>
  </si>
  <si>
    <t xml:space="preserve">SARS-CoV-2; COVID-19; metagenomic sequencing; diagnostics; respiratory viruses</t>
  </si>
  <si>
    <t xml:space="preserve">Broad testing for respiratory viruses among persons under investigation (PUIs) for SARS-CoV-2 has been performed inconsistently, limiting our understanding of alternative viral infections and coinfections in these patients. RNA metagenomic next-generation sequencing (mNGS) offers an agnostic tool for the detection of both SARS-CoV-2 and other RNA respiratory viruses in PUls. Here, we used RNA mNGS to assess the frequencies of alternative viral infections in SARS-CoV-2 RT-PCR-negative PUls (n = 30) and viral coinfections in SARS-CoV-2 RT-PCR-positive PUls (n = 45). mNGS identified all viruses detected by routine clinical testing (influenza A En = 3], human metapneumovirus [n = 2], and human coronavirus OC43 = 2], and human coronavirus HKU1 [n = 1]). mNGS also identified both coinfections (1, 2.2%) and alternative viral infections (4, 13.3%) that were not detected by routine clinical workup (respiratory syncytial virus [n = 3], human metapneumovirus [n = 1], and human coronavirus NL63 [n = 1]). Among SARS-CoV-2 RT-PCR-positive PUls, lower cycle threshold (C-T) values correlated with greater SARS-CoV-2 read recovery by mNGS (R-2, 0.65; P &lt; 0.001). Our results suggest that current broad-spectrum molecular testing algorithms identify most respiratory viral infections among SARS-CoV-2 PUIs, when available and implemented consistently.</t>
  </si>
  <si>
    <t xml:space="preserve">[Babiker, Ahmed; Stittleburg, Victoria D.; Kraft, Colleen S.; Waggoner, Jesse J.; Piantadosi, Anne] Emory Univ, Sch Med, Dept Med, Div Infect Dis, Atlanta, GA 30322 USA; [Babiker, Ahmed; Bradley, Heath L.; Ingersoll, Jessica M.; Key, Autum; Kraft, Colleen S.; Piantadosi, Anne] Emory Univ, Sch Med, Dept Pathol &amp; Lab Med, Atlanta, GA 30322 USA</t>
  </si>
  <si>
    <t xml:space="preserve">Emory University; Emory University</t>
  </si>
  <si>
    <t xml:space="preserve">Piantadosi, A (corresponding author), Emory Univ, Sch Med, Dept Med, Div Infect Dis, Atlanta, GA 30322 USA.;Piantadosi, A (corresponding author), Emory Univ, Sch Med, Dept Pathol &amp; Lab Med, Atlanta, GA 30322 USA.</t>
  </si>
  <si>
    <t xml:space="preserve">anne.piantadosi@emory.edu</t>
  </si>
  <si>
    <t xml:space="preserve">Babiker, Ahmed/I-7645-2019; Piantadosi, Anne/ABC-7451-2020; Kraft, Colleen/M-2347-2013</t>
  </si>
  <si>
    <t xml:space="preserve">Key, Autum/0000-0001-9722-3689; Kraft, Colleen/0000-0003-1757-8477; Piantadosi, Anne/0000-0002-5942-1534; Babiker, Ahmed/0000-0003-0578-4871; Bradley, Heath/0000-0001-5796-7595</t>
  </si>
  <si>
    <t xml:space="preserve">Pediatric Research Alliance Center for Childhood Infections and Vaccines; NIH [P51 OD011132, S10 OD026799, K08 AI13948]; Center for AIDS Research [P30 AI050409]; Children's Healthcare of Atlanta</t>
  </si>
  <si>
    <t xml:space="preserve">Pediatric Research Alliance Center for Childhood Infections and Vaccines; NIH(United States Department of Health &amp; Human ServicesNational Institutes of Health (NIH) - USA); Center for AIDS Research; Children's Healthcare of Atlanta</t>
  </si>
  <si>
    <t xml:space="preserve">This study was supported by the Pediatric Research Alliance Center for Childhood Infections and Vaccines and Children's Healthcare of Atlanta. The Yerkes NHP Genomics Core is supported in part by NIH P51 OD011132 and sequencing data were acquired on an Illumina NovaSeq6000 funded by NIH S10 OD026799. Salary support was provided by the Doris Duke Charitable Foundation, a Clinical Scientist Development Award 2019089 (J.J.W.) and NIH K08 AI13948 (A.P.). This study was supported in part by the Center for AIDS Research (P30 AI050409).</t>
  </si>
  <si>
    <t xml:space="preserve">0095-1137</t>
  </si>
  <si>
    <t xml:space="preserve">1098-660X</t>
  </si>
  <si>
    <t xml:space="preserve">J CLIN MICROBIOL</t>
  </si>
  <si>
    <t xml:space="preserve">J. Clin. Microbiol.</t>
  </si>
  <si>
    <t xml:space="preserve">e02142-20</t>
  </si>
  <si>
    <t xml:space="preserve">10.1128/JCM.02142-20</t>
  </si>
  <si>
    <t xml:space="preserve">PI1CZ</t>
  </si>
  <si>
    <t xml:space="preserve">WOS:000600837900025</t>
  </si>
  <si>
    <t xml:space="preserve">Piñana, JL; Tridello, G; Xhaard, A; Wendel, L; Montoro, J; Vazquez, L; Heras, I; Ljungman, P; Mikulska, M; Salmenniemi, U; Perez, A; Kröger, N; Cornelissen, J; Sala, E; Martino, R; Geurten, C; Byrne, J; Maertens, J; Kerre, T; Martin, M; Pascual, MJ; Yeshurun, M; Finke, J; Groll, AH; Shaw, PJ; Blijlevens, N; Arcese, W; Ganser, A; Suarez-Lledo, M; Alzahrani, M; Choi, G; Forcade, E; Paviglianiti, A; Solano, C; Wachowiak, J; Zuckerman, T; Bader, P; Clausen, J; Mayer, J; Schroyens, W; Metafuni, E; Knelange, N; Averbuch, D; de la Camara, R</t>
  </si>
  <si>
    <t xml:space="preserve">Luis Pinana, Jose; Tridello, Gloria; Xhaard, Alienor; Wendel, Lotus; Montoro, Juan; Vazquez, Lourdes; Heras, Inmaculada; Ljungman, Per; Mikulska, Malgorzata; Salmenniemi, Urpu; Perez, Ariadna; Kroeger, Nicolaus; Cornelissen, Jan; Sala, Elisa; Martino, Rodrigo; Geurten, Claire; Byrne, Jenny; Maertens, Johan; Kerre, Tessa; Martin, Murray; Jesus Pascual, Maria; Yeshurun, Moshe; Finke, Juergen; Groll, Andreas H.; Shaw, Peter J.; Blijlevens, Nicole; Arcese, William; Ganser, Arnold; Suarez-Lledo, Maria; Alzahrani, Mohsen; Choi, Goda; Forcade, Edouard; Paviglianiti, Annalisa; Solano, Carlos; Wachowiak, Jacek; Zuckerman, Tsila; Bader, Peter; Clausen, Johannes; Mayer, Jiri; Schroyens, Wilfried; Metafuni, Elisabetta; Knelange, Nina; Averbuch, Dina; de la Camara, Rafael</t>
  </si>
  <si>
    <t xml:space="preserve">Spanish Hematopoietic Stem Cell Transplantation Cell Therapy Grp GETH-TC</t>
  </si>
  <si>
    <t xml:space="preserve">Upper and/or Lower Respiratory Tract Infection Caused by Human Metapneumovirus After Allogeneic Hematopoietic Stem Cell Transplantation</t>
  </si>
  <si>
    <t xml:space="preserve">SARS-CoV-2; allogeneic hematopoietic stem cell transplantation; community-acquired respiratory virus; human coronavirus; human metapneumovirus; immunocompromised; immunodeficiency score index; multiplex PCR assay; paramyxovirus; upper and lower respiratory tract disease</t>
  </si>
  <si>
    <t xml:space="preserve">SYNCYTIAL VIRUS; PARAINFLUENZA VIRUS; VIRAL-INFECTIONS; HMPV INFECTIONS; ORAL RIBAVIRIN; RECIPIENTS; THERAPY; PNEUMONIA; DISEASE; EPIDEMIOLOGY</t>
  </si>
  <si>
    <t xml:space="preserve">Background. Human metapneumovirus (hMPV) epidemiology, clinical characteristics and risk factors for poor outcome after allogeneic stem cell transplantation (allo-HCT) remain a poorly investigated area. Methods. This retrospective multicenter cohort study examined the epidemiology, clinical characteristics, and risk factors for poor outcomes associated with human metapneumovirus (hMPV) infections in recipients of allo-HCT. Results. We included 428 allo-HCT recipients who developed 438 hMPV infection episodes between January 2012 and January 2019. Most recipients were adults (93%). hMPV infections were diagnosed at a median of 373 days after allo-HCT. The infections were categorized as upper respiratory tract disease (URTD) or lower respiratory tract disease (LRTD), with 60% and 40% of cases, respectively. Patients with hMPV LRTD experienced the infection earlier in the transplant course and had higher rates of lymphopenia, neutropenia, corticosteroid use, and ribavirin therapy. Multivariate analysis identified lymphopenia and corticosteroid use (&gt;30 mg/d) as independent risk factors for LRTD occurrence. The overall mortality at day 30 after hMPV detection was 2% for URTD, 12% for possible LRTD, and 21% for proven LRTD. Lymphopenia was the only independent risk factor associated with day 30 mortality in LRTD cases. Conclusions. These findings highlight the significance of lymphopenia and corticosteroid use in the development and severity of hMPV infections after allo-HCT, with lymphopenia being a predictor of higher mortality in LRTD cases.</t>
  </si>
  <si>
    <t xml:space="preserve">[Luis Pinana, Jose; Perez, Ariadna; Solano, Carlos] Hosp Clin Univ Valencia, Dept Hematol, Valencia, Spain; [Luis Pinana, Jose; Perez, Ariadna; Solano, Carlos] Univ Valencia, Hosp Clin, Inst Invest Sanitaria, Fdn INCLIVA, Valencia, Spain; [Tridello, Gloria] Univ Integrata Verona, Azienda Osped, Verona, Italy; [Xhaard, Alienor] Univ Paris Diderot, Hop St Louis, Serv Hematol Greffe, Paris, France; [Wendel, Lotus; Knelange, Nina] EBMT, Leiden Study Unit, Leiden, Netherlands; [Montoro, Juan] Hosp Univ &amp; Politecn La Fe, Hematol Div, Valencia, Spain; [Vazquez, Lourdes] Hosp Clin Univ Salamanca, Hematol Dept, Salamanca, Spain; [Heras, Inmaculada] Hosp Morales Meseguer, Hematol Dept, Murcia, Spain; [Ljungman, Per] Karolinska Univ Hosp Huddinge, Karolinska Comprehens Canc Ctr, Dept Cellular Therapy &amp; Allogene Stem Cell Transp, Stockholm, Sweden; [Ljungman, Per] Karolinska Inst, Dept Med Huddinge, Stockholm, Sweden; [Mikulska, Malgorzata] Univ Genoa, Dipartimento Sci Salute, Div Infect Dis, Genoa, Italy; [Mikulska, Malgorzata] IRCCS Osped Policlin San Martino, Genoa, Italy; [Salmenniemi, Urpu] Helsinki Univ Cent Hosp, Dept Hematol, Ctr Comprehens Canc, Helsinki, Finland; [Kroeger, Nicolaus] Univ Med Ctr Hamburg Eppendorf, Dept Stem Cell Transplantat, Hamburg, Germany; [Cornelissen, Jan] Erasmus Med Ctr Canc Inst, Dept Hematol, Rotterdam, Netherlands; [Sala, Elisa] Univ Hosp Ulm, Dept Internal Med 3, Ulm, Germany; [Martino, Rodrigo] Hosp Santa Creu &amp; Sant Pau, Dept Hematol, Barcelona, Spain; [Geurten, Claire] Birmingham Childrens Hosp, Dept Hematol, Birmingham, W Midlands, England; [Geurten, Claire] Ctr Hosp Univ Liege, Liege, Belgium; [Byrne, Jenny] Univ Nottingham, Dept Hematol, Nottingham, England; [Maertens, Johan] Univ Hosp Gasthuisberg, Dept Hematol, Leuven, Belgium; [Kerre, Tessa] Ghent Univ Hosp, Dept Hematol, Ghent, Belgium; [Martin, Murray] Leicester Royal Infirm, Dept Hematol, Leicester, Leics, England; [Jesus Pascual, Maria] Hosp Reg Malaga, Dept Hematol, Malaga, Spain; [Yeshurun, Moshe] Rabin Med Ctr, Inst Hematol, Petah Tiqwa, Israel; [Yeshurun, Moshe] Tel Aviv Univ, Sackler Sch Med, Tel Aviv, Israel; [Finke, Juergen] Univ Freiburg, Dept Hematol, Freiburg, Germany; [Groll, Andreas H.] Univ Childrens Hosp, Infect Dis Res Program, Dept Pediat Hemtol &amp; Oncol, Munster, Germany; [Groll, Andreas H.] Univ Childrens Hosp, Ctr Bone Marrow Transplantat, Munster, Germany; [Shaw, Peter J.] Childrens Hosp Westmead, Sydney, NSW, Australia; [Blijlevens, Nicole] Nijmegen Med Ctr, Nijmegen, Netherlands; [Arcese, William] Tor Vergata Univ Rome, Dept Hematol, Rome, Italy; [Ganser, Arnold] Hannover Med Sch, Hannover, Germany; [Suarez-Lledo, Maria] Hosp Clin Barcelona, Dept Hematol, Barcelona, Spain; [Alzahrani, Mohsen] Minist Natl Guard Hlth Affairs, King Abdulaziz Med City, Dept Oncol, Riyadh, Saudi Arabia; [Choi, Goda] Univ Groningen, Univ Med Ctr Groningen, Groningen, Netherlands; [Forcade, Edouard] Ctr Hosp Univ Bordeaux, Serv Hematol Clin &amp; Therapie Cellulaire, Bordeaux, France; [Paviglianiti, Annalisa] Hosp Duran &amp; Reynals, Inst Catala Oncol, Barcelona, Spain; [Solano, Carlos] Univ Valencia, Dept Med, Valencia, Spain; [Wachowiak, Jacek] Univ Med Sci, Dept Pediat Oncol Hematol &amp; Hematopoiet Cell Tran, Poznan, Poland; [Zuckerman, Tsila] Rambam Med Ctr, Haifa, Israel; [Bader, Peter] Goethe Univ, Univ Hosp, Dept Pediat &amp; Adolescent Med, Div Stem Cell Transplantat Immunol &amp; Intens Care, Frankfurt, Germany; [Clausen, Johannes] Johannes Kepler Univ Linz, Ordensklinikum Linz Elisabethinen, Dept Internal Med 1, Linz, Austria; [Mayer, Jiri] Masaryk Univ Hosp Brno, Brno, Czech Republic; [Schroyens, Wilfried] Antwerp Univ Hosp, Edegem, Belgium; [Metafuni, Elisabetta] Fdn Policlin Univ Agostino Gemelli Res Inst, Gemelli Res Inst, Dipartimento Diagnost Immagini Radioterapia Oncol, Rome, Italy; [Averbuch, Dina] Hebrew Univ Jerusalem, Hadassah Med Ctr, Fac Med, Jerusalem, Israel; [de la Camara, Rafael] Hosp Princesa, Dept Hematol, Madrid, Spain; [de la Camara, Rafael] Hosp Univ Sanitas Zarzuela, Dept Hematol, Madrid, Spain</t>
  </si>
  <si>
    <t xml:space="preserve">Hospital Clinic Universitari de Valencia; University of Valencia; University of Verona; Azienda Ospedaliera Universitaria Integrata Verona; Assistance Publique Hopitaux Paris (APHP); Universite Paris Cite; Hopital Universitaire Saint-Louis - APHP; Hospital Universitari i Politecnic La Fe; Karolinska Institutet; Karolinska University Hospital; Karolinska Institutet; University of Genoa; University of Helsinki; Helsinki University Central Hospital; University of Hamburg; University Medical Center Hamburg-Eppendorf; Erasmus University Rotterdam; Erasmus MC; Erasmus MC Cancer Institute; Ulm University; Hospital of Santa Creu i Sant Pau; University of Birmingham; University of Liege; University of Nottingham; KU Leuven; University Hospital Leuven; Ghent University; Ghent University Hospital; University of Leicester; Rabin Medical Center; Tel Aviv University; University of Freiburg; University of Munster; University of Munster; NSW Health; The Children's Hospital at Westmead; University of Sydney; University of Rome Tor Vergata; Hannover Medical School; University of Barcelona; Hospital Clinic de Barcelona; King Saud Bin Abdulaziz University for Health Sciences; King Abdulaziz Medical City - Riyadh; Ministry of National Guard - Health Affairs; University of Groningen; CHU Bordeaux; Universite de Bordeaux; Institut Catala d'Oncologia; Institut d'Investigacio Biomedica de Bellvitge (IDIBELL); Hospital Duran i Reynals; University of Valencia; Rambam Health Care Campus; Goethe University Frankfurt; Goethe University Frankfurt Hospital; Johannes Kepler University Linz; Ordensklinikum Linz Elisabethinen; University Hospital Brno; University of Antwerp; Hebrew University of Jerusalem; Hadassah University Medical Center; Hospital de La Princesa</t>
  </si>
  <si>
    <t xml:space="preserve">Piñana, JL (corresponding author), Hosp Clin Univ Valencia, Div Clin Hematol, Ave Blasco Ibanez 17, Valencia 46010, Spain.</t>
  </si>
  <si>
    <t xml:space="preserve">jlpinana@gmail.com</t>
  </si>
  <si>
    <t xml:space="preserve">Paviglianiti, Annalisa/AFN-0751-2022; Piñana, Jose-Luis/J-9996-2015; Metafuni, Elisabetta/AGG-8040-2022; de la Camara, Rafael/B-2106-2009; VAZQUEZ, LOURDES/A-2839-2019</t>
  </si>
  <si>
    <t xml:space="preserve">Pinana, Jose Luis/0000-0001-8533-2562; Paviglianiti, Annalisa/0000-0002-4243-9252; MARTINO, RODRIGO/0000-0001-5143-4042; de la Camara, Rafael/0000-0002-8189-5779; VAZQUEZ, LOURDES/0000-0001-8191-0046</t>
  </si>
  <si>
    <t xml:space="preserve">JAN 12</t>
  </si>
  <si>
    <t xml:space="preserve">10.1093/infdis/jiad268</t>
  </si>
  <si>
    <t xml:space="preserve">K4W1R</t>
  </si>
  <si>
    <t xml:space="preserve">WOS:001343885600005</t>
  </si>
  <si>
    <t xml:space="preserve">Arimura, K; Kikuchi, K; Sato, Y; Miura, H; Sato, A; Katsura, H; Kondo, M; Itabashi, M; Tagaya, E</t>
  </si>
  <si>
    <t xml:space="preserve">Arimura, Ken; Kikuchi, Ken; Sato, Yasuto; Miura, Hitomi; Sato, Asako; Katsura, Hideki; Kondo, Mitsuko; Itabashi, Michio; Tagaya, Etsuko</t>
  </si>
  <si>
    <t xml:space="preserve">SARS-CoV-2 co-detection with other respiratory pathogens-descriptive epidemiological study</t>
  </si>
  <si>
    <t xml:space="preserve">RESPIRATORY INVESTIGATION</t>
  </si>
  <si>
    <t xml:space="preserve">SARS-CoV-2 co-detection; FILMARRAY (R); Multiplex PCR testing; respiratory pathogens</t>
  </si>
  <si>
    <t xml:space="preserve">UNITED-STATES; INFLUENZA; RHINOVIRUS; INFECTION; VIRUS</t>
  </si>
  <si>
    <t xml:space="preserve">Background: Co-detection of respiratory pathogens with severe acute respiratory syndrome coronavirus 2 (SARSCoV-2) is poorly understood. This descriptive epidemiological study aimed to determine the effect of the interaction of different respiratory pathogens on clinical variables. Methods: We retrospectively reviewed the results of comprehensive multiplex polymerase chain reaction (PCR) testing from November 2020 to March 2023 to estimate respiratory pathogen co-detection rates in Shinjuku, Tokyo. We evaluated the interactions of respiratory pathogens, particularly SARS-CoV-2, between observed and expected co-detection. We estimated the trend of co-detection with SARS-CoV-2 in terms of age and sex and applied a multiple logistic regression model adjusted for age, testing period, and sex to identify influencing factors between co-detection and single detection for each pathogen. Results: Among 57,746 patients who underwent multiplex PCR testing, 10,516 (18.2%) had positive for at least one of the 22 pathogens. Additionally, 881 (1.5%) patients were confirmed to have a co-detection. SARS-CoV-2 exhibited negative interactions with adenovirus, coronavirus, human metapneumovirus, parainfluenza virus, respiratory syncytial virus, and rhino/enterovirus. SARS-CoV-2 co-detection with other pathogens occurred most frequently in patients of the youngest age group (0-4 years). A multiple logistic regression model indicated that younger age was the most influential factor for SARS-CoV-2 co-detection with other respiratory pathogens. Conclusion: The study highlights the prevalence of SARS-CoV-2 co-detection with other respiratory pathogens in younger age groups, necessitating further exploration of the clinical implications and severity of SARS-CoV-2 codetection.</t>
  </si>
  <si>
    <t xml:space="preserve">[Arimura, Ken; Katsura, Hideki; Kondo, Mitsuko; Tagaya, Etsuko] Tokyo Womens Med Univ, Dept Resp Med, 8-1 Kawadacho,Shinjuku, Tokyo 1628666, Japan; [Kikuchi, Ken] Tokyo Womens Med Univ, Dept Infect Dis, 8-1 Kawadacho,Shinjuku, Tokyo 1628666, Japan; [Sato, Yasuto] Shizuoka Grad Univ Publ Hlth, Grad Sch Publ Hlth, 4-27-2 Kita Ando, Shizuoka, Shizuoka 4200881, Japan; [Miura, Hitomi] Tokyo Womens Med Univ Hosp, Cent Clin Lab, 8-1 Kawadacho,Shinjuku, Tokyo 1628666, Japan; [Sato, Asako] Tokyo Womens Med Univ Hosp, Dept Clin Lab, 8-1 Kawadacho,Shinjuku, Tokyo 1628666, Japan; [Itabashi, Michio] Tokyo Womens Med Univ, Dept Surg, Div Inflammatory Bowel Dis Surg, 8-1 Kawadacho,Shinjuku, Tokyo 1628666, Japan</t>
  </si>
  <si>
    <t xml:space="preserve">Tokyo Women's Medical University; Tokyo Women's Medical University; Tokyo Women's Medical University</t>
  </si>
  <si>
    <t xml:space="preserve">Arimura, K (corresponding author), Tokyo Womens Med Univ, Dept Resp Med, 8-1 Kawadacho,Shinjuku, Tokyo 1628666, Japan.</t>
  </si>
  <si>
    <t xml:space="preserve">arimura.ken@twmu.ac.jp</t>
  </si>
  <si>
    <t xml:space="preserve">Funding KA received a Grant-in-Aid for Scientific Research [Grant No. 22K16203] ; however, this grant was not for this study.</t>
  </si>
  <si>
    <t xml:space="preserve">2212-5345</t>
  </si>
  <si>
    <t xml:space="preserve">2212-5353</t>
  </si>
  <si>
    <t xml:space="preserve">RESPIR INVESTIG</t>
  </si>
  <si>
    <t xml:space="preserve">Respir. Investig.</t>
  </si>
  <si>
    <t xml:space="preserve">10.1016/j.resinv.2024.07.016</t>
  </si>
  <si>
    <t xml:space="preserve">AUG 2024</t>
  </si>
  <si>
    <t xml:space="preserve">C3T2C</t>
  </si>
  <si>
    <t xml:space="preserve">hybrid</t>
  </si>
  <si>
    <t xml:space="preserve">WOS:001288606700001</t>
  </si>
  <si>
    <t xml:space="preserve">Mushunje, PK; Dube, FS; Olwagen, C; Madhi, S; Odland, JO; Ferrand, RA; Nicol, MP; Abotsi, RE</t>
  </si>
  <si>
    <t xml:space="preserve">Mushunje, Prince K.; Dube, Felix S.; Olwagen, Courtney; Madhi, Shabir; Odland, Jon o; Ferrand, Rashida A.; Nicol, Mark P.; Abotsi, Regina E.</t>
  </si>
  <si>
    <t xml:space="preserve">BREATHE study team</t>
  </si>
  <si>
    <t xml:space="preserve">Characterization of bacterial and viral pathogens in the respiratory tract of children with HIV-associated chronic lung disease: a case-control study</t>
  </si>
  <si>
    <t xml:space="preserve">S. pneumoniae; M. catarrhalis; H. influenzae; Pneumococcal serotypes; Human rhinovirus; Obliterative bronchiolitis; Africa</t>
  </si>
  <si>
    <t xml:space="preserve">PNEUMOCOCCAL CONJUGATE VACCINE; STREPTOCOCCUS-PNEUMONIAE; HAEMOPHILUS-INFLUENZAE; NASOPHARYNGEAL COLONIZATION; STAPHYLOCOCCUS-AUREUS; POSITIVE CHILDREN; INFECTED CHILDREN; RISK-FACTORS; CARRIAGE; ASTHMA</t>
  </si>
  <si>
    <t xml:space="preserve">Introduction Chronic lung disease is a major cause of morbidity in African children with HIV infection; however, the microbial determinants of HIV-associated chronic lung disease (HCLD) remain poorly understood. We conducted a case-control study to investigate the prevalence and densities of respiratory microbes among pneumococcal conjugate vaccine (PCV)-naive children with (HCLD +) and without HCLD (HCLD-) established on antiretroviral treatment (ART). Methods Nasopharyngeal swabs collected from HCLD + (defined as forced-expiratory-volume/second &lt; -1.0 without reversibility postbronchodilation) and age-, site-, and duration-of-ART-matched HCLD- participants aged between 6-19 years enrolled in Zimbabwe and Malawi (BREATHE trial-NCT02426112) were tested for 94 pneumococcal serotypes together with twelve bacteria, including Streptococcus pneumoniae (SP), Staphylococcus aureus (SA), Haemophilus influenzae (HI), Moraxella catarrhalis (MC), and eight viruses, including human rhinovirus (HRV), respiratory syncytial virus A or B, and human metapneumovirus, using nanofluidic qPCR (Standard BioTools formerly known as Fluidigm). Fisher's exact test and logistic regression analysis were used for between-group comparisons and risk factors associated with common respiratory microbes, respectively. Results A total of 345 participants (287 HCLD + , 58 HCLD-; median age, 15.5 years [IQR = 12.8-18], females, 52%) were included in the final analysis. The prevalence of SP (40%[116/287] vs. 21%[12/58], p = 0.005) and HRV (7%[21/287] vs. 0%[0/58], p = 0.032) were higher in HCLD + participants compared to HCLD- participants. Of the participants positive for SP (116 HCLD + &amp; 12 HCLD-), 66% [85/128] had non-PCV-13 serotypes detected. Overall, PCV-13 serotypes (4, 19A, 19F: 16% [7/43] each) and NVT 13 and 21 (9% [8/85] each) predominated. The densities of HI (2 x 104 genomic equivalents [GE/ml] vs. 3 x 102 GE/ml, p = 0.006) and MC (1 x 104 GE/ml vs. 1 x 103 GE/ml, p = 0.031) were higher in HCLD + compared to HCLD-. Bacterial codetection (&gt;= any 2 bacteria) was higher in the HCLD + group (36% [114/287] vs. (19% [11/58]), (p = 0.014), with SP and HI codetection (HCLD + : 30% [86/287] vs. HCLD-: 12% [7/58], p = 0.005) predominating. Viruses (predominantly HRV) were detected only in HCLD + participants. Lastly, participants with a history of previous tuberculosis treatment were more likely to carry SP (adjusted odds ratio (aOR): 1.9 [1.1 -3.2], p = 0.021) or HI (aOR: 2.0 [1.2 - 3.3], p = 0.011), while those who used ART for &gt;= 2 years were less likely to carry HI (aOR: 0.3 [0.1 - 0.8], p = 0.005) and MC (aOR: 0.4 [0.1 - 0.9], p = 0.039). Conclusion Children with HCLD + were more likely to be colonized by SP and HRV and had higher HI and MC bacterial loads in their nasopharynx. The role of SP, HI, and HRV in the pathogenesis of CLD, including how they influence the risk of acute exacerbations, should be studied further. Trial registrationThe BREATHE trial (ClinicalTrials.gov Identifier: NCT02426112, registered date: 24 April 2015).</t>
  </si>
  <si>
    <t xml:space="preserve">[Mushunje, Prince K.; Dube, Felix S.; Abotsi, Regina E.] Univ Cape Town, Inst Infect Dis &amp; Mol Med, Dept Mol &amp; Cell Biol, Cape Town, South Africa; [Dube, Felix S.] Univ Zambia, Sch Med, Lusaka, Zambia; [Olwagen, Courtney; Madhi, Shabir] Univ Witwatersrand, Fac Hlth Sci, South Africa Med Res Council, Vaccines &amp; Infect Dis Analyt Res Unit, Johannesburg, South Africa; [Madhi, Shabir] Univ Witwatersrand, Infect Dis &amp; Oncol Res Inst, Fac Hlth Sci, Johannesburg, South Africa; [Odland, Jon o] Nord Univ, Fac Biosci &amp; Aquaculture, Bodo, Norway; [Odland, Jon o] Natl Res Univ Higher Sch Econ, Int Res Lab Reprod Ecotoxicol IL RET, Moscow, Russia; [Odland, Jon o] Univ Pretoria, Fac Hlth Sci, Sch Hlth Syst &amp; Publ Hlth, Pretoria, South Africa; [Ferrand, Rashida A.] Biomed Res &amp; Training Inst, Harare, Zimbabwe; [Ferrand, Rashida A.] London Sch Hyg &amp; Trop Med, Clin Res Dept, London, England; [Nicol, Mark P.] Univ Western Australia, Marshall Ctr, Div Infect &amp; Immun, Sch Biomed Sci,Fac Hlth &amp; Med Sci, Perth, Australia; [Abotsi, Regina E.] Univ Hlth &amp; Allied Sci, Sch Pharm, Dept Pharmaceut Microbiol, Ho, Ghana</t>
  </si>
  <si>
    <t xml:space="preserve">University of Cape Town; University of Zambia; University of Witwatersrand; University of Witwatersrand; Nord University; HSE University (National Research University Higher School of Economics); University of Pretoria; Biomedical Research Training Institute; University of London; London School of Hygiene &amp; Tropical Medicine; University of Western Australia</t>
  </si>
  <si>
    <t xml:space="preserve">Mushunje, PK (corresponding author), Univ Cape Town, Inst Infect Dis &amp; Mol Med, Dept Mol &amp; Cell Biol, Cape Town, South Africa.</t>
  </si>
  <si>
    <t xml:space="preserve">mshpri014@myuct.ac.za</t>
  </si>
  <si>
    <t xml:space="preserve">Nicol, Mark/W-4149-2019; Olwagen, Courtney/AAF-2566-2019; Nicol, Mark/J-4987-2014; Dube, Felix Sizwe/HQZ-3697-2023</t>
  </si>
  <si>
    <t xml:space="preserve">Ngwira, Lucky Gift/0000-0002-2695-8917; Mushunje, Prince/0000-0003-2813-6068; Olwagen, Courtney/0009-0007-3674-8415; Madhi, Shabir/0000-0002-7629-0636; Nicol, Mark/0000-0002-1366-4805; Madanhire, Tafadzwa/0000-0003-2449-0027; Dube, Felix Sizwe/0000-0003-2775-7786</t>
  </si>
  <si>
    <t xml:space="preserve">Global Health and Vaccination Research (GLOBVAC) Programme of the Medical Research Council of Norway; Royal Society through the Future Leaders African Independent Research award; National Institute for Health Research (NIHR) Global Health Research Unit on Mucosal Pathogens using UK aid from the UK Government [16/136/46]; UCT; Molecular and Cell Biology_Equity Development Programme scholarship; Dube-lab scholarship; Swedish International Development Cooperation Agency (SIDA); Margaret McNamara Education Grants; L'Oreal UNESCO For Women in Science PhD Fellowship; Australian National Health and Medical Research Council [APP1174455]; National Research Foundation of South Africa [112160]; Future Leaders - African Independent Research (FLAIR) Fellowship; University of Cape Town; Allergy Society of South Africa (ALLSA); Wellcome Trust [206316_Z_17_Z]</t>
  </si>
  <si>
    <t xml:space="preserve">Global Health and Vaccination Research (GLOBVAC) Programme of the Medical Research Council of Norway(UK Research &amp; Innovation (UKRI)Medical Research Council UK (MRC)); Royal Society through the Future Leaders African Independent Research award; National Institute for Health Research (NIHR) Global Health Research Unit on Mucosal Pathogens using UK aid from the UK Government; UCT; Molecular and Cell Biology_Equity Development Programme scholarship; Dube-lab scholarship; Swedish International Development Cooperation Agency (SIDA)(Norwegian Agency for Development Cooperation - NORAD); Margaret McNamara Education Grants; L'Oreal UNESCO For Women in Science PhD Fellowship(L'Oreal Group); Australian National Health and Medical Research Council(National Health &amp; Medical Research Council (NHMRC) of Australia); National Research Foundation of South Africa(National Research Foundation - South Africa); Future Leaders - African Independent Research (FLAIR) Fellowship; University of Cape Town; Allergy Society of South Africa (ALLSA); Wellcome Trust(Wellcome Trust)</t>
  </si>
  <si>
    <t xml:space="preserve">This parent study was funded by the Global Health and Vaccination Research (GLOBVAC) Programme of the Medical Research Council of Norway. This substudy was funded by the Royal Society through the Future Leaders African Independent Research award and the National Institute for Health Research (NIHR) Global Health Research Unit on Mucosal Pathogens using UK aid from the UK Government (Project number 16/136/46). The views expressed are those of the authors and not necessarily those of the NIHR, the Department of Health and Social Care. PM received funding from the UCT Postgraduate Funding, UCT's Building Research Active Academic Staff (B.R.A.A.S.) award, the Molecular and Cell Biology_Equity Development Programme scholarship, and the Dube-lab scholarship. REA acknowledges the financial support of the Swedish International Development Cooperation Agency (SIDA) through the Organization of Women in Science for the Developing World (OWSD) PhD Fellowship, Margaret McNamara Education Grants and L'Oreal UNESCO For Women in Science PhD Fellowship. MN is supported by an Australian National Health and Medical Research Council Investigator Grant [APP1174455]. FSD is supported by the National Research Foundation of South Africa (112160), Future Leaders - African Independent Research (FLAIR) Fellowship, the National Institute for Health Research (NIHR) Global Health Research Unit on Mucosal Pathogens using UK aid from the UK Government, the University of Cape Town and the Allergy Society of South Africa (ALLSA). RAF is funded by the Wellcome Trust (206316_Z_17_Z). The funders had no role in the design of the study and collection, analysis, and interpretation of data and in writing the manuscript.</t>
  </si>
  <si>
    <t xml:space="preserve">JUN 26</t>
  </si>
  <si>
    <t xml:space="preserve">10.1186/s12879-024-09540-5</t>
  </si>
  <si>
    <t xml:space="preserve">WN4N6</t>
  </si>
  <si>
    <t xml:space="preserve">WOS:001255543000008</t>
  </si>
  <si>
    <t xml:space="preserve">Tang, HT; Nörz, D; Grunwald, M; Giersch, K; Pfefferle, S; Fischer, N; Aepfelbacher, M; Rohde, H; Lütgehetmann, M</t>
  </si>
  <si>
    <t xml:space="preserve">Tang, Hui Ting; Noerz, Dominik; Grunwald, Moritz; Giersch, Katja; Pfefferle, Susanne; Fischer, Nicole; Aepfelbacher, Martin; Rohde, Holger; Lutgehetmann, Marc</t>
  </si>
  <si>
    <t xml:space="preserve">Analytical and clinical validation of a novel, laboratory-developed, modular multiplex-PCR panel for fully automated high-throughput detection of 16 respiratory viruses</t>
  </si>
  <si>
    <t xml:space="preserve">RT-PCR; Respiratory viruses; Cobas x800</t>
  </si>
  <si>
    <t xml:space="preserve">COVID-19; IDENTIFICATION; INFLUENZA; SEVERITY; ASSAYS; LOAD; RNA</t>
  </si>
  <si>
    <t xml:space="preserve">Background: : Viral respiratory Infections pose a health risk, especially to vulnerable patient populations. Effective testing programs can detect and differentiate these infections at an early stage, which is particularly important for high-risk clinical departments. The objective of this study was to develop and validate a multiplex PCR-panel for 16 different respiratory viruses on a fully-automated high-throughput platform. Methods: Three multiplex-PCR assays were designed to run on the cobas5800/6800/8800 systems, consolidating 16 viral targets: RESP1: SARS-CoV-2, influenza-A/B, RSV; RESP2: hMPV, hBoV, hAdV, rhino-/ENV; RESP3: HPIV-1-4, hCoV-229E, hCoV-NL63, hCoV-OC43, hCoV-HKU1. Analytic performance was evaluated using digitalPCR based standards and international reference material. Clinical performance was determined by comparing results from clinical samples with reference assays. Results: Analytical sensitivity (i.e. lower limit of detection (LoD), 95 % probability of detection) was determined as follows: SARS-CoV-2: 29.3 IU/ml, influenza-A: 179.9 cp/ml, influenza-B: 333.9 cp/ml and RSV: 283.1 cp/ml. LoDs of other pathogens ranged between 9.4 cp/ml (hCoV-NL63) and 21,419 cp/ml (HPIV-2). Linearity was verified over 4-7 log-steps with pooled standard differentials (SD) ranging between 0.18-0.70ct. Inter-/intra-run variability (precision) was assessed for all targets over 3 days. SDs ranged between 0.13-0.74ct. Positive agreement in clinical samples was 99.4 % and 95 % for SARS-CoV-2 and influenza-A respectively. Other targets were in the 80-100 % range. Negative agreement varied between 96.3-100 %. Discussion: Lab-developed tests are a key factor for effective clinical diagnostics. The multiplex panel presented in this study demonstrated high performance and provides an easily scalable high-throughput solution for respiratory virus testing, e.g. for testing in high-risk patient populations.</t>
  </si>
  <si>
    <t xml:space="preserve">[Tang, Hui Ting; Noerz, Dominik; Grunwald, Moritz; Giersch, Katja; Pfefferle, Susanne; Fischer, Nicole; Aepfelbacher, Martin; Rohde, Holger; Lutgehetmann, Marc] Univ Med Ctr Hamburg Eppendorf, Inst Med Microbiol Virol &amp; Hyg, Martinistr 52, D-20246 Hamburg, Germany</t>
  </si>
  <si>
    <t xml:space="preserve">University of Hamburg; University Medical Center Hamburg-Eppendorf</t>
  </si>
  <si>
    <t xml:space="preserve">Lütgehetmann, M (corresponding author), Univ Med Ctr Hamburg Eppendorf, Inst Med Microbiol Virol &amp; Hyg, Martinistr 52, D-20246 Hamburg, Germany.</t>
  </si>
  <si>
    <t xml:space="preserve">10.1016/j.jcv.2024.105693</t>
  </si>
  <si>
    <t xml:space="preserve">MAY 2024</t>
  </si>
  <si>
    <t xml:space="preserve">UP6I3</t>
  </si>
  <si>
    <t xml:space="preserve">WOS:001249297000002</t>
  </si>
  <si>
    <t xml:space="preserve">López-Huertas, MR; Casas, I; Acosta-Herrera, B; García, ML; Coiras, MT; Pérez-Breña, P</t>
  </si>
  <si>
    <t xml:space="preserve">Two RT-PCR based assays to detect human metapneumovirus in nasopharyngeal aspirates</t>
  </si>
  <si>
    <t xml:space="preserve">RT-heminested-PCR; reverse line blotting hybridisation; human metapneumovirus; bronchiolitis; respiratory viruses</t>
  </si>
  <si>
    <t xml:space="preserve">RESPIRATORY-TRACT INFECTIONS; YOUNG-CHILDREN; SYNCYTIAL-VIRUS; IDENTIFICATION; CORONAVIRUS; PREVALENCE</t>
  </si>
  <si>
    <t xml:space="preserve">Two sensitive and specific RT-PCR assays were standardised for testing the presence of human metapneumovirus. A total of 300 nasopharyngeal aspirates collected from infants suffering from bronchiolitis since October 2000 to June 2003 and shown previously as negative to common respiratory viruses were examined. Matrix and polymerase viral genes, which show a low rate of variation, were chosen to design amplification assays to ensure that any genotype of the human metapneumovirus could be detected. A RT-PCR followed by a reverse line blotting hybridisation was developed for viral polymerase gene. For the matrix gene, after the RT-PCR assay, a subsequent nested PCR was carried out. Both assays had similar sensitivity, equivalent to 0. 1 TCID50 of human metapneurnovirus strain NL/1/99 which was used as the positive control. The human metapneumovirus was present in 16.6% of the specimens studied. The approaches described below are not only a robust method for rapid diagnosis of the human metapneumovirus, but also to establish an etiological surveillance tool for epidemiological studies. Based on the results obtained, human metapneurnovirus infections in Madrid followed a seasonal pattern, with most of the infections occurring between February and April. (c) 2005 Elsevier B.V. All rights reserved.</t>
  </si>
  <si>
    <t xml:space="preserve">Inst Salud Carlos III, Ctr Natl Microbiol, Serv Virol, Lab Gripe &amp; Virus Resp, Madrid 28220, Spain</t>
  </si>
  <si>
    <t xml:space="preserve">Instituto de Salud Carlos III</t>
  </si>
  <si>
    <t xml:space="preserve">Inst Salud Carlos III, Ctr Natl Microbiol, Serv Virol, Lab Gripe &amp; Virus Resp, Majadahonda Pozuelo,Km 2, Madrid 28220, Spain.</t>
  </si>
  <si>
    <t xml:space="preserve">pperez@isciii.es</t>
  </si>
  <si>
    <t xml:space="preserve">Coiras, Mayte/R-9530-2019; Casas, Inmaculada/H-9442-2015; Lopez Huertas, Maria Rosa/J-6282-2014</t>
  </si>
  <si>
    <t xml:space="preserve">Lopez Huertas, Maria Rosa/0000-0002-4183-2773; Casas, Inmaculada/0000-0003-1840-1198; Coiras, Mayte/0000-0001-6464-5770</t>
  </si>
  <si>
    <t xml:space="preserve">10.1016/j.jviromet.2005.05.004</t>
  </si>
  <si>
    <t xml:space="preserve">965FS</t>
  </si>
  <si>
    <t xml:space="preserve">WOS:000231936500001</t>
  </si>
  <si>
    <t xml:space="preserve">van Remmerden, Y; Xu, F; van Eldik, M; Heldens, JGM; Huisman, W; Widjojoatmodjo, MN</t>
  </si>
  <si>
    <t xml:space="preserve">van Remmerden, Yvonne; Xu, Fang; van Eldik, Mandy; Heldens, Jacco G. M.; Huisman, Willem; Widjojoatmodjo, Myra N.</t>
  </si>
  <si>
    <t xml:space="preserve">An improved respiratory syncytial virus neutralization assay based on the detection of green fluorescent protein expression and automated plaque counting</t>
  </si>
  <si>
    <t xml:space="preserve">RSV; Virus neutralization; EGFP</t>
  </si>
  <si>
    <t xml:space="preserve">MICRONEUTRALIZATION ASSAY; TRANSCRIPTION TERMINATION; HUMAN METAPNEUMOVIRUS; ANTIBODY; INFECTION</t>
  </si>
  <si>
    <t xml:space="preserve">Background: Virus neutralizing antibodies against respiratory syncytial virus (RSV) are considered important correlates of protection for vaccine evaluation. The established plaque reduction assay is time consuming, labor intensive and highly variable. Methods: Here, a neutralization assay based on a modified RSV strain expressing the green fluorescent protein in combination with automated detection and quantification of plaques is described. Results: The fluorescence plaque reduction assay in microplate format requires only two days to complete and is simple and reproducible. A good correlation between visual and automated counting methods to determine RSV neutralizing serum antibody titers was observed. Conclusions: The developed virus neutralization assay is suitable for high-throughput testing and can be used for both animal studies and (large scale) vaccine clinical trials.</t>
  </si>
  <si>
    <t xml:space="preserve">[van Remmerden, Yvonne; Xu, Fang; van Eldik, Mandy; Widjojoatmodjo, Myra N.] Natl Inst Publ Hlth &amp; Environm, Dept Vaccine Res, NL-3720 BA Bilthoven, Netherlands; [Heldens, Jacco G. M.; Huisman, Willem] Nobilon Int BV, Boxmeer, Netherlands</t>
  </si>
  <si>
    <t xml:space="preserve">Netherlands National Institute for Public Health &amp; the Environment</t>
  </si>
  <si>
    <t xml:space="preserve">Widjojoatmodjo, MN (corresponding author), Crucell, Leiden, Netherlands.</t>
  </si>
  <si>
    <t xml:space="preserve">mwidjojo@its.jnj.com</t>
  </si>
  <si>
    <t xml:space="preserve">BIOMED CENTRAL LTD</t>
  </si>
  <si>
    <t xml:space="preserve">236 GRAYS INN RD, FLOOR 6, LONDON WC1X 8HL, ENGLAND</t>
  </si>
  <si>
    <t xml:space="preserve">OCT 31</t>
  </si>
  <si>
    <t xml:space="preserve">10.1186/1743-422X-9-253</t>
  </si>
  <si>
    <t xml:space="preserve">049EB</t>
  </si>
  <si>
    <t xml:space="preserve">WOS:000311963800001</t>
  </si>
  <si>
    <t xml:space="preserve">Scagnolari, C; Midulla, F; Selvaggi, C; Monteleone, K; Bonci, E; Papoff, P; Cangiano, G; Di Marco, P; Moretti, C; Pierangeli, A; Antonelli, G</t>
  </si>
  <si>
    <t xml:space="preserve">Scagnolari, Carolina; Midulla, Fabio; Selvaggi, Carla; Monteleone, Katia; Bonci, Enea; Papoff, Paola; Cangiano, Giulia; Di Marco, Paola; Moretti, Corrado; Pierangeli, Alessandra; Antonelli, Guido</t>
  </si>
  <si>
    <t xml:space="preserve">Evaluation of viral load in infants hospitalized with bronchiolitis caused by respiratory syncytial virus</t>
  </si>
  <si>
    <t xml:space="preserve">MEDICAL MICROBIOLOGY AND IMMUNOLOGY</t>
  </si>
  <si>
    <t xml:space="preserve">RSV; Viral load; ISG56; Bronchiolitis</t>
  </si>
  <si>
    <t xml:space="preserve">DISEASE SEVERITY; HUMAN METAPNEUMOVIRUS; CHILDREN; INFECTION; PROTEINS; QUANTITATION; EXPRESSION; INDUCTION; BETA; NS1</t>
  </si>
  <si>
    <t xml:space="preserve">The relationship between viral load, disease severity and antiviral immune activation in infants suffering from respiratory syncytial virus (RSV)-associated bronchiolitis has not been well identified. The main objective of this study was to determine the existence of a correlation between RSV load and disease severity and also between different clinical markers and mRNA levels of the interferon stimulated gene (ISG)56 in infants hospitalized for bronchiolitis. We also evaluated whether viral load tended to be persistent over the course of the RSV infection. The levels of RSV-RNA were quantified in nasopharyngeal washings, collected from 132 infants infected with RSV as a single (90.15%) or as a dual infection with other respiratory viruses (9.85%). Results indicated that viral load was positively related to the clinical severity of bronchiolitis, the length of hospital stay, the levels of glycemia and the relative gene expression of ISG56, whereas an inverse correlation was observed with the levels of hemoglobin. We also found that the RSV load significantly decreased between the first and second nasopharingeal washings sample in most subjects. These results suggest that infants with high RSV load on hospital admission are more likely to have both more severe bronchiolitis and a higher airway activation of antiviral immune response.</t>
  </si>
  <si>
    <t xml:space="preserve">[Scagnolari, Carolina; Selvaggi, Carla; Monteleone, Katia; Di Marco, Paola; Pierangeli, Alessandra; Antonelli, Guido] Univ Roma La Sapienza, Dept Mol Med, Virol Lab, I-00185 Rome, Italy; [Midulla, Fabio; Bonci, Enea; Papoff, Paola; Cangiano, Giulia; Moretti, Corrado] Univ Roma La Sapienza, Dept Pediat, I-00185 Rome, Italy</t>
  </si>
  <si>
    <t xml:space="preserve">Sapienza University Rome; Sapienza University Rome</t>
  </si>
  <si>
    <t xml:space="preserve">Scagnolari, C (corresponding author), Univ Roma La Sapienza, Dept Mol Med, Virol Lab, Viale Porta Tiburtina 28, I-00185 Rome, Italy.</t>
  </si>
  <si>
    <t xml:space="preserve">carolina.scagnolari@uniroma1.it</t>
  </si>
  <si>
    <t xml:space="preserve">Pierangeli, Alessandra/A-6368-2008; Midulla, Fabio/AAL-4391-2020; Monteleone, Katia/AAA-7765-2020; Antonelli, Guido/K-7915-2016; SCAGNOLARI, CAROLINA/G-3837-2011</t>
  </si>
  <si>
    <t xml:space="preserve">Pierangeli, Alessandra/0000-0003-0633-360X; Bonci, Enea/0000-0003-3325-1124; Moretti, Corrado/0000-0003-2005-7437; Midulla, Fabio/0000-0001-7476-5266; ANTONELLI, Guido/0000-0002-2533-2939; SCAGNOLARI, CAROLINA/0000-0003-1044-1478</t>
  </si>
  <si>
    <t xml:space="preserve">Pasteur Institute (Cenci Bolognetti Foundation); Sapienza Universita di Roma (Fondi ricerche Universitarie); Italian Ministry of Health (Ricerca Finalizzata) [88]</t>
  </si>
  <si>
    <t xml:space="preserve">Pasteur Institute (Cenci Bolognetti Foundation)(Istituto Pasteur Italia Fondazione Cenci Bolognetti); Sapienza Universita di Roma (Fondi ricerche Universitarie); Italian Ministry of Health (Ricerca Finalizzata)(Ministry of Health, Italy)</t>
  </si>
  <si>
    <t xml:space="preserve">This work was supported by grants to G. A from Pasteur Institute (Cenci Bolognetti Foundation; title of the project: Molecular characterization of viruses causing bronchiolitis and study of viral and host factors affecting Type I IFN antiviral response induced by respiratory viruses), and to A. P. from Sapienza Universita di Roma (Fondi ricerche Universitarie) and Italian Ministry of Health (Ricerca Finalizzata Conv. No. 88).</t>
  </si>
  <si>
    <t xml:space="preserve">0300-8584</t>
  </si>
  <si>
    <t xml:space="preserve">1432-1831</t>
  </si>
  <si>
    <t xml:space="preserve">MED MICROBIOL IMMUN</t>
  </si>
  <si>
    <t xml:space="preserve">Med. Microbiol. Immunol.</t>
  </si>
  <si>
    <t xml:space="preserve">10.1007/s00430-012-0233-6</t>
  </si>
  <si>
    <t xml:space="preserve">Immunology; Microbiology</t>
  </si>
  <si>
    <t xml:space="preserve">974ML</t>
  </si>
  <si>
    <t xml:space="preserve">WOS:000306439500008</t>
  </si>
  <si>
    <t xml:space="preserve">Nolan, T; Borja-Tabora, C; Lopez, P; Weckx, L; Ulloa-Gutierrez, R; Lazcano-Ponce, E; Kerdpanich, A; Weber, MAR; de Los Santos, AM; Tinoco, JC; Safadi, MAP; Seng, LF; Hernandez-de Mezerville, M; Faingezicht, I; Cruz-Valdez, A; Feng, Y; Li, P; Durviaux, S; Haars, G; Roy-Ghanta, S; Vaughn, DW; Taylor, S</t>
  </si>
  <si>
    <t xml:space="preserve">Nolan, Terry; Borja-Tabora, Charissa; Lopez, Pio; Weckx, Lily; Ulloa-Gutierrez, Rolando; Lazcano-Ponce, Eduardo; Kerdpanich, Angkool; Rodriguez Weber, Miguel Angel; Mascarenas de Los Santos, Abiel; Tinoco, Juan-Carlos; Safadi, Marco Aurelio P.; Seng, Lim Fong; Hernandez-de Mezerville, Marcela; Faingezicht, Idis; Cruz-Valdez, Aurelio; Feng, Yang; Li, Ping; Durviaux, Serge; Haars, Gerco; Roy-Ghanta, Sumita; Vaughn, David W.; Taylor, Sylvia</t>
  </si>
  <si>
    <t xml:space="preserve">Prevalence and Incidence of Respiratory Syncytial Virus and Other Respiratory Viral Infections in Children Aged 6 Months to 10 Years With Influenza-like Illness Enrolled in a Randomized Trial</t>
  </si>
  <si>
    <t xml:space="preserve">RSV; ILI; children; prevalence; incidence</t>
  </si>
  <si>
    <t xml:space="preserve">HUMAN-METAPNEUMOVIRUS; TRACT INFECTIONS; YOUNG-CHILDREN; EPIDEMIOLOGY; CONFIDENCE; INDONESIA; INFANTS; COHORT</t>
  </si>
  <si>
    <t xml:space="preserve">Background. The high burden of respiratory syncytial virus (RSV)-associated morbidity and mortality makes vaccine development a priority. Methods. As part of an efficacy trial of pandemic influenza vaccines (NCT01051661), RSV epidemiology in healthy children aged 6 months to &lt;10 years at first vaccination with influenza-like illness (ILI) was evaluated in Australia, Brazil, Colombia, Costa Rica, Mexico, the Philippines, Singapore, and Thailand between February 2010 and August 2011. Active surveillance for ILI was conducted for approximately 1 year, with nasal and throat swabs analyzed by polymerase chain reaction. The prevalence and incidence of RSV among ILI episodes were calculated. Results. A total of 6266 children were included, of whom 2421 experienced 3717 ILI episodes with a respiratory sample available. RSV was detected for 359 ILI episodes, a prevalence of 9.7% (95% confidence interval: 8.7-10.7). The highest prevalence was in children aged 12-23 or 24-35 months in all countries except the Philippines, where it was in children aged 6-11 months. The incidence of RSV-associated ILI was 7.0 (6.3-7.7) per 100 person-years (PY). Eighty-eight ILI episodes resulted in hospitalization, of which 8 were associated with RSV (prevalence 9.1% [4.0-17.1]; incidence 0.2 [0.1-0.3] per 100 PY). The incidence of RSV-associated ILI resulting in medical attendance was 6.0 (5.4-6.7) per 100 PY. RSV B subtypes were observed more frequently than A subtypes. Conclusions. Active surveillance demonstrated the considerable burden of RSV-associated illness that would not be identified through hospital-based surveillance, with a substantial part of the burden occurring in older infants and children.</t>
  </si>
  <si>
    <t xml:space="preserve">[Nolan, Terry] Univ Melbourne, Murdoch Childrens Res Inst, Carlton, Vic 3010, Australia; [Nolan, Terry] Univ Melbourne, Melbourne Sch Populat &amp; Global Hlth, Carlton, Vic 3010, Australia; [Borja-Tabora, Charissa] Res Inst Trop Med, Dept Hlth, Muntinlupa, Philippines; [Lopez, Pio] Ctr Estudios Infectol Pediat, Cali, Colombia; [Weckx, Lily] Univ Fed Sao Paulo, Dept Pediat, Pediat Infect Dis, Sao Paulo, SP, Brazil; [Ulloa-Gutierrez, Rolando; Hernandez-de Mezerville, Marcela; Faingezicht, Idis] Inst Costarricense Invest Clin, San Jose, Costa Rica; [Lazcano-Ponce, Eduardo; Cruz-Valdez, Aurelio] Natl Inst Publ Hlth Mexico, Cuernavaca, Morelos, Mexico; [Kerdpanich, Angkool] Phramongkutklao Hosp, Dept Pediat, Infect Dis Unit, Bangkok, Thailand; [Rodriguez Weber, Miguel Angel] Inst Nacl Pediat Mexico, Mexico City, DF, Mexico; [Mascarenas de Los Santos, Abiel] Univ Autonoma Nuevo Leon, Serv Med, Nuevo Leon, Monterrey, Mexico; [Tinoco, Juan-Carlos] Hosp Gen Durango, Durango, Dgo, Mexico; [Safadi, Marco Aurelio P.] Fac Ciencias Med Santa Casa Sao Paulo, Dept Pediat, Sao Paulo, SP, Brazil; [Safadi, Marco Aurelio P.] Assoc Fundo Incent Pesquisa, Sao Paulo, SP, Brazil; [Seng, Lim Fong] Natl Healthcare Grp Polyclin, Singapore, Singapore; [Feng, Yang; Durviaux, Serge; Haars, Gerco; Taylor, Sylvia] GSK Vaccines, Wavre, Belgium; [Li, Ping; Roy-Ghanta, Sumita] GSK Vaccines, King Of Prussia, PA USA; [Vaughn, David W.] GSK Vaccines, Rixensart, Belgium</t>
  </si>
  <si>
    <t xml:space="preserve">University of Melbourne; Murdoch Children's Research Institute; University of Melbourne; Philippine Department Health; Research Institute for Tropical Medicine - Philippines; Universidade Federal de Sao Paulo (UNIFESP); Instituto Nacional de Salud Publica; Phramongkutklao Hospital; Universidad Autonoma de Nuevo Leon; Universidade Federal de Sao Paulo (UNIFESP); Faculdade de Ciencias Medicas Santa Casa de Sao Paulo; GlaxoSmithKline; GlaxoSmithKline; GlaxoSmithKline</t>
  </si>
  <si>
    <t xml:space="preserve">Nolan, T (corresponding author), Univ Melbourne, Murdoch Childrens Res Inst, Carlton, Vic 3010, Australia.</t>
  </si>
  <si>
    <t xml:space="preserve">t.nolan@unimelb.edu.au</t>
  </si>
  <si>
    <t xml:space="preserve">Feng, Yang/D-3329-2015; Weckx, Lily/IUP-6885-2023; Nolan, Terry/A-2236-2008; Ulloa-Gutierrez, Rolando/U-3513-2019; safadi, marco/B-7157-2015</t>
  </si>
  <si>
    <t xml:space="preserve">Ulloa-Gutierrez, Rolando/0000-0002-9157-9227; Cruz-Valdez, Aurelio/0000-0003-0656-7166; Rodriguez Weber, Miguel Angel/0000-0002-9778-5697; WECKX, LILY/0000-0003-4949-3582; RODRIGUEZ-WEBER, MIGUEL ANGEL/0000-0002-5415-3884; safadi, marco/0000-0002-4401-9446; MASCARENAS DE LOS SANTOS, ABIEL HOMERO/0000-0002-4057-9526</t>
  </si>
  <si>
    <t xml:space="preserve">GSK Biologicals S.A</t>
  </si>
  <si>
    <t xml:space="preserve">This work was supported by GSK Biologicals S.A., which was involved in all stages of study conduct, including analysis of the data, in addition to the costs related to development of this manuscript for publication.</t>
  </si>
  <si>
    <t xml:space="preserve">E80</t>
  </si>
  <si>
    <t xml:space="preserve">E89</t>
  </si>
  <si>
    <t xml:space="preserve">10.1093/cid/civ065</t>
  </si>
  <si>
    <t xml:space="preserve">CM9ZP</t>
  </si>
  <si>
    <t xml:space="preserve">WOS:000358070500005</t>
  </si>
  <si>
    <t xml:space="preserve">Feng, ZS; Zhao, L; Wang, J; Qiu, FZ; Zhao, MC; Wang, L; Duan, SX; Zhang, RQ; Chen, C; Qi, JJ; Fan, T; Li, GX; Ma, XJ</t>
  </si>
  <si>
    <t xml:space="preserve">Feng, Zhi-shan; Zhao, Li; Wang, Ji; Qiu, Fang-zhou; Zhao, Meng-chuan; Wang, Le; Duan, Su-xia; Zhang, Rui-qing; Chen, Chen; Qi, Ju-Ju; Fan, Tao; Li, Gui-xia; Ma, Xue-jun</t>
  </si>
  <si>
    <t xml:space="preserve">A multiplex one-tube nested real time RT-PCR assay for simultaneous detection of respiratory syncytial virus, human rhinovirus and human metapneumovirus</t>
  </si>
  <si>
    <t xml:space="preserve">RSV; HRV; HMPV; Detection; LNA; Multiplex one-tube nested real-time RT-PCR</t>
  </si>
  <si>
    <t xml:space="preserve">SINGLE CLOSED TUBE; CLINICAL-EVALUATION; INFECTION; CHILDREN; PROBES; ENTEROVIRUS; PRIMERS; LNA</t>
  </si>
  <si>
    <t xml:space="preserve">BackgroundRespiratory syncytial virus (RSV), human Rhinovirus (HRV) and human Metapneumo Virus (HMPV) are important viral pathogens causing acute respiratory tract infections in the hospitalized patients. Sensitive and accurate detection of RSV, HRV and HMPV is necessary for clinical diagnosis and treatment.ResultsA locked nucleic acid (LNA)-based multiplex closed one-tube nested real-time RT-PCR (mOTNRT-PCR) assay was developed for simultaneous detection of RSV, HRV and HMPV. The sensitivity, specificity, reproducibility and clinical performance of mOTNRT-PCR were evaluated and compared with individual real time PCR (RT-qPCR) assay using clinical samples. The analytical sensitivity of mOTNRT-PCR assay was 5 copies/reaction for RSV, HRV and HMPV, respectively, and no cross-reaction with other common respiratory viruses was observed. The coefficients of variation (CV) of intra-assay and inter-assay were between 0.51 to 3.67%. Of 398 nasopharyngeal aspirates samples tested, 109 (27.39%), 150 (37.69%) and 44 (11.06%) were positive for RSV, HRV and HMPV, respectively, whereas 95 (23.87%), 137 (34.42%) and 38 (9.55%) were positive for RSV, HRV and HMPV, respectively, by individual RT-qPCR assay. Thirty three samples that were positive by mOTNRT-PCR but negative by RT-qPCR were confirmed as true positives by sequencing using reported traditional two-step nested PCR assay.ConclusionmOTNRT-PCR assay reveals extremely higher sensitivity than that of RT-qPCR assay for detecting RSV, HRV and HMPV in clinical settings.</t>
  </si>
  <si>
    <t xml:space="preserve">[Feng, Zhi-shan; Zhao, Meng-chuan; Wang, Le; Duan, Su-xia; Li, Gui-xia] Childrens Hosp Hebei Prov, Shijiazhuang 050031, Hebei, Peoples R China; [Zhao, Li; Qiu, Fang-zhou; Zhang, Rui-qing; Qi, Ju-Ju; Fan, Tao] Hebei Med Univ, Shijiazhuang 050031, Hebei, Peoples R China; [Zhao, Li; Wang, Ji; Qiu, Fang-zhou; Zhang, Rui-qing; Chen, Chen; Qi, Ju-Ju; Fan, Tao; Ma, Xue-jun] Chinese Ctr Dis Control &amp; Prevent, Natl Inst Viral Dis Control &amp; Prevent, Key Lab Med Virol, Natl Hlth &amp; Family Planning Commiss, 155 Changbai St, Beijing 102206, Peoples R China</t>
  </si>
  <si>
    <t xml:space="preserve">Hebei Medical University; Chinese Center for Disease Control &amp; Prevention; National Institute for Viral Disease Control &amp; Prevention, Chinese Center for Disease Control &amp; Prevention</t>
  </si>
  <si>
    <t xml:space="preserve">Li, GX (corresponding author), Childrens Hosp Hebei Prov, Shijiazhuang 050031, Hebei, Peoples R China.;Ma, XJ (corresponding author), Chinese Ctr Dis Control &amp; Prevent, Natl Inst Viral Dis Control &amp; Prevent, Key Lab Med Virol, Natl Hlth &amp; Family Planning Commiss, 155 Changbai St, Beijing 102206, Peoples R China.</t>
  </si>
  <si>
    <t xml:space="preserve">15131129999@139.com; 13832179762@139.com; maxj@ivdc.chinacdc.cn</t>
  </si>
  <si>
    <t xml:space="preserve">Wang, Le/JEZ-8047-2023; qiu, fang/JEP-6709-2023; zhang, rui/HZI-0079-2023</t>
  </si>
  <si>
    <t xml:space="preserve">National key research and development plan of China [2016YFC1202700, 2016YFC1200903, 2017YFC1200503]; China Mega-Project for Infectious Disease [2017ZX10302301-004, 2017ZX10104001]; Hebei Key Project Plan for Medical Science Research [20180616]; Swedish Heart-Lung Foundation [20180616] Funding Source: Swedish Heart-Lung Foundation</t>
  </si>
  <si>
    <t xml:space="preserve">National key research and development plan of China(National Key Research &amp; Development Program of China); China Mega-Project for Infectious Disease; Hebei Key Project Plan for Medical Science Research; Swedish Heart-Lung Foundation(Swedish Heart-Lung Foundation)</t>
  </si>
  <si>
    <t xml:space="preserve">This work was supported by grants from the National key research and development plan of China (2016YFC1202700, 2016YFC1200903 and 2017YFC1200503); China Mega-Project for Infectious Disease (2017ZX10302301-004 and 2017ZX10104001); and Hebei Key Project Plan for Medical Science Research (20180616).</t>
  </si>
  <si>
    <t xml:space="preserve">OCT 30</t>
  </si>
  <si>
    <t xml:space="preserve">10.1186/s12985-018-1061-0</t>
  </si>
  <si>
    <t xml:space="preserve">GY9ZN</t>
  </si>
  <si>
    <t xml:space="preserve">WOS:000449013300001</t>
  </si>
  <si>
    <t xml:space="preserve">Wyde, PR; Chetty, SN; Jewell, AM; Boivin, G; Piedra, PA</t>
  </si>
  <si>
    <t xml:space="preserve">Comparison of the inhibition of human metapneumovirus and respiratory syncytial virus by ribavirin and immune serum globulin in vitro</t>
  </si>
  <si>
    <t xml:space="preserve">ANTIVIRAL RESEARCH</t>
  </si>
  <si>
    <t xml:space="preserve">RSV; hN4PV; human metapneumovirus; antiviral; respiratory syncytial virus; ribavirin; IVIG; JNJ2408068</t>
  </si>
  <si>
    <t xml:space="preserve">MARROW TRANSPLANT RECIPIENTS; PROTECTIVE ACTIVITY; ANTIVIRAL ACTIVITY; TRACT INFECTIONS; COTTON RATS; CHILDREN; THERAPY; DISEASE; 5-ETHYNYL-1-BETA-D-RIBOFURANOSYLIMIDAZOLE-4-CARBOXAMIDE; RECOMMENDATIONS</t>
  </si>
  <si>
    <t xml:space="preserve">Human metapneumovirus (hMPV) is a newly recognized pathogen that like its better-known relative, human respiratory syncytial virus (hRSV). appears to be ubiquitous and an important cause of respiratory disease in diverse subpopulations. No antivirals or vaccines are currently approved for the treatment or prevention of hMPV infections. However, ribavirin is licensed to treat serious hRSV-induced infections in children and immune globulin designed for intravenous administration (IVIG) and palivizumab (Synagis(TM)), a humanized monoclonal antibody preparation, have been utilized as alternatives to vaccines for preventing or reducing the severity of infections caused by this virus. Because both ribavirin and IVIG have broad viral specificities, studies were performed to compare the ability of these two agents to inhibit the replication of hRSV and hMPV in tissue culture-based assays. Two experimental chemotherapeutic agents (i.e. VP14637 and JNJ2408068) and different antibody preparations were included in this testing for comparison. Ribavirin and the IVIG utilized were found to have equivalent antiviral activity against hMPV and hRSV. In contrast, except for antisera specifically raised against hMPV. all of the other materials tested had marked activity only against hRSV. (C) 2003 Elsevier B.V. All rights reserved.</t>
  </si>
  <si>
    <t xml:space="preserve">Baylor Coll Med, Dept Mol Virol, Houston, TX 77030 USA; Baylor Coll Med, Dept Microbiol, Houston, TX 77030 USA; Univ Laval, Reg Virol Lab, Res Ctr Infect Dis, Quebec City, PQ, Canada; Baylor Coll Med, Dept Pediat, Houston, TX 77030 USA</t>
  </si>
  <si>
    <t xml:space="preserve">Baylor College of Medicine; Baylor College of Medicine; Laval University; Baylor College of Medicine</t>
  </si>
  <si>
    <t xml:space="preserve">Wyde, PR (corresponding author), Baylor Coll Med, Dept Mol Virol, 1 Baylor Plaza, Houston, TX 77030 USA.</t>
  </si>
  <si>
    <t xml:space="preserve">pwyde@bcm.tmc.edu</t>
  </si>
  <si>
    <t xml:space="preserve">Boivin, Guy/0000-0003-3027-4662</t>
  </si>
  <si>
    <t xml:space="preserve">NIAID NIH HHS [N01-AI-65292] Funding Source: Medline</t>
  </si>
  <si>
    <t xml:space="preserve">NIAID NIH HHS(United States Department of Health &amp; Human ServicesNational Institutes of Health (NIH) - USANIH National Institute of Allergy &amp; Infectious Diseases (NIAID))</t>
  </si>
  <si>
    <t xml:space="preserve">0166-3542</t>
  </si>
  <si>
    <t xml:space="preserve">ANTIVIR RES</t>
  </si>
  <si>
    <t xml:space="preserve">Antiviral Res.</t>
  </si>
  <si>
    <t xml:space="preserve">10.1016/S0166-3542(03)00153-0</t>
  </si>
  <si>
    <t xml:space="preserve">Pharmacology &amp; Pharmacy; Virology</t>
  </si>
  <si>
    <t xml:space="preserve">731WN</t>
  </si>
  <si>
    <t xml:space="preserve">WOS:000185909600006</t>
  </si>
  <si>
    <t xml:space="preserve">Malekshahi, SS; Azad, TM; Shahmahmoodi, S; Yavarian, J; Rezaei, F; Naseri, M</t>
  </si>
  <si>
    <t xml:space="preserve">Malekshahi, S. Shatizadeh; Azad, T. Mokhtari; Shahmahmoodi, Sh; Yavarian, J.; Rezaei, F.; Naseri, M.</t>
  </si>
  <si>
    <t xml:space="preserve">First Report of Respiratory Syncytial Virus and Human Metapneumovirus Co-Infection in a 2-Year-Old Kawasaki Patient in Iran</t>
  </si>
  <si>
    <t xml:space="preserve">IRANIAN JOURNAL OF PUBLIC HEALTH</t>
  </si>
  <si>
    <t xml:space="preserve">RSV; hMPV; Respiratory infection; Kawasaki disease; Iran</t>
  </si>
  <si>
    <t xml:space="preserve">TRACT INFECTIONS; CHILDREN; BRONCHIOLITIS; DISEASE</t>
  </si>
  <si>
    <t xml:space="preserve">Background: Respiratory virus infections in children are a leading cause of morbidity and mortality worldwide. Methods: A total of 897 clinical specimens were collected from February 2007 to January 2008 and transported to the National Influenza Center. Two hundred and two samples belonged to children under the age of six from 897 specimens, described above, were selected. Then they were tested for influenza virus types and subtypes by real time PCR assay subsequently, the specimens were tested for RSV and hMPV by hemi-nested multiplex PCR and parainfluenza viruses type 1-4 by hemi-nested multiplex PCR and adenovirus by hemi-nested PCR. Results: The throat swab was taken from the Kawasaki case with the history of chicken's contact. The specimen was tested for all influenza subtypes especially H5N1 and the results were negative. Meanwhile PCR was done for screening of other respiratory viruses that results came out positive for RSV and hMPV. Conclusion: In the present study, we demonstrated the possibility to detect dual infection caused by RSV and hMPV, but because of the extravagant pattern of this case, more investigation is suggested specially on Kawasaki patients.</t>
  </si>
  <si>
    <t xml:space="preserve">[Malekshahi, S. Shatizadeh; Azad, T. Mokhtari; Shahmahmoodi, Sh; Yavarian, J.; Rezaei, F.; Naseri, M.] Univ Tehran Med Sci, Sch Publ Hlth, Dept Pathobiol, Tehran, Iran</t>
  </si>
  <si>
    <t xml:space="preserve">Tehran University of Medical Sciences</t>
  </si>
  <si>
    <t xml:space="preserve">Azad, TM (corresponding author), Univ Tehran Med Sci, Sch Publ Hlth, Dept Pathobiol, Tehran, Iran.</t>
  </si>
  <si>
    <t xml:space="preserve">mokhtari@sina.tums.ac.ir</t>
  </si>
  <si>
    <t xml:space="preserve">malekshahi, Somayeh/N-1987-2019; Rezaei, Farhad/H-6264-2016; Yavarian, Jila/A-3212-2019; Shahmahmoodi, Shohreh/R-9102-2019</t>
  </si>
  <si>
    <t xml:space="preserve">Yavarian, Jila/0000-0003-3239-9397; shahmahmoodi, shohre/0000-0001-5362-2282</t>
  </si>
  <si>
    <t xml:space="preserve">IRANIAN SCIENTIFIC SOCIETY MEDICAL ENTOMOLOGY</t>
  </si>
  <si>
    <t xml:space="preserve">TEHRAN</t>
  </si>
  <si>
    <t xml:space="preserve">SCHOOL PUBLIC HEALTH &amp; INST HEALTH RESEARCH, TEHRAN UNIV MEDICAL SCIENCES, P O BOX 6446-14155, TEHRAN, 00000, IRAN</t>
  </si>
  <si>
    <t xml:space="preserve">2251-6085</t>
  </si>
  <si>
    <t xml:space="preserve">2251-6093</t>
  </si>
  <si>
    <t xml:space="preserve">IRAN J PUBLIC HEALTH</t>
  </si>
  <si>
    <t xml:space="preserve">Iran J. Public Health</t>
  </si>
  <si>
    <t xml:space="preserve">704BP</t>
  </si>
  <si>
    <t xml:space="preserve">WOS:000286026400016</t>
  </si>
  <si>
    <t xml:space="preserve">You, HL; Chang, SJ; Yu, HR; Li, CC; Chen, CH; Liao, WT</t>
  </si>
  <si>
    <t xml:space="preserve">You, Huey-Ling; Chang, Shun-Jen; Yu, Hong-Ren; Li, Chia-Chin; Chen, Chang-Han; Liao, Wei-Ting</t>
  </si>
  <si>
    <t xml:space="preserve">Simultaneous detection of respiratory syncytial virus and human metapneumovirus by one-step multiplex real-time RT-PCR in patients with respiratory symptoms</t>
  </si>
  <si>
    <t xml:space="preserve">RSV; hMPV; Real-time RT-PCR; Respiratory tract infection</t>
  </si>
  <si>
    <t xml:space="preserve">TRACT INFECTIONS; YOUNG-CHILDREN; FEATURES; INFANTS; ETIOLOGY; DISEASE; ASSAY</t>
  </si>
  <si>
    <t xml:space="preserve">Background: Both respiratory syncytial virus (RSV) and human metapneumovirus (hMPV) are important viral pathogens causing respiratory tract infection (RTI) in the pediatric population. However, the clinical manifestations of RSV and hMPV infections are similar. Therefore, a reliable and rapid diagnostic tool is needed for diagnostic performance. Methods: In order to optimize diagnosis efficiency of RTI, the aim of this study is to establish a rapid and advanced method for simultaneous detecting RSV and hMPV in nasopharyngeal aspirates specimens from patients. We designed a one-step triplex real-time RT-PCR (qRT-PCR) protocol using TaqMan probes for detecting RSV and hMPV. The plasmid clones containing RSV nucleoprotein gene and hMPV fusion gene were established as reference standards. We used virus culture supernatants from 86 known pediatric RTI patient to test the specificity and sensitivity of our assay. Then we used total 222 nasopharyngeal aspirates specimens from pediatric patients hospitalized with respiratory symptoms to evaluate our assay. Results: Our one-step triplex qRT-PCR assay showed 100% sensitivity and specificity in testing RSV and hMPV in 86 known virus culture supernatants, with excellent linearity (R-2 &gt; 0.99) and reliable reproducibility (CV lower than 1.04%). This assay has a wide dynamic range 102-109copies/reaction (limit of detection; LOD = 100 copies/reaction). A total of 222 patients hospitalized with respiratory symptoms were enrolled for clinical evaluation. In these samples, our qRT-PCR assay detected 68 RSV positive and 18 hMPV positive cases. However, standard virus culture only detected 8 RSV positive cases and 0 hMPV cases. Based on this improved triplex qRT-PCR assay, we found that RSV infection was associated with severe inflammation by chest X-ray and occurrence of pneumonia which were not observed previously. Conclusions: In summary, we have developed a highly specific and sensitive one-step triplex qRT-PCR assay to detect hMPV and RSV simultaneously. This assay offers a valuable tool for routine diagnosis.</t>
  </si>
  <si>
    <t xml:space="preserve">[You, Huey-Ling; Li, Chia-Chin] Kaohsiung Chang Gung Mem Hosp, Dept Lab Med, Kaohsiung, Taiwan; [You, Huey-Ling] Fooyin Univ, Dept Med Lab Sci &amp; Biotechnol, Kaohsiung, Taiwan; [Chang, Shun-Jen] Natl Univ Kaohsiung, Dept Kinesiol Hlth &amp; Leisure Studies, Kaohsiung, Taiwan; [Yu, Hong-Ren] Kaohsiung Chang Gung Mem Hosp, Dept Pediat, Kaohsiung, Taiwan; [Yu, Hong-Ren] Chang Gung Univ, Coll Med, Kaohsiung, Taiwan; [Chen, Chang-Han] Kaohsiung Chang Gung Mem Hosp, Inst Translat Res Biomed, Kaohsiung, Taiwan; [Chen, Chang-Han] Natl Chi Nan Univ, Dept Appl Chem, Nanto, Toyama, Taiwan; [Chen, Chang-Han] Natl Chi Nan Univ, Grad Inst Biomed &amp; Biomed Technol, Nanto, Toyama, Taiwan; [Liao, Wei-Ting] Kaohsiung Med Univ, Dept Biotechnol, Coll Life Sci, 100 Shih Chuan 1st Rd, Kaohsiung 807, Taiwan; [Liao, Wei-Ting] Natl Sun Yat Sen Univ, Dept Biol Sci, Kaohsiung, Taiwan</t>
  </si>
  <si>
    <t xml:space="preserve">Chang Gung Memorial Hospital; Fooyin University; National University Kaohsiung; Chang Gung Memorial Hospital; Chang Gung University; Chang Gung Memorial Hospital; National Chi Nan University; National Chi Nan University; Kaohsiung Medical University; National Sun Yat Sen University</t>
  </si>
  <si>
    <t xml:space="preserve">Liao, WT (corresponding author), Kaohsiung Med Univ, Dept Biotechnol, Coll Life Sci, 100 Shih Chuan 1st Rd, Kaohsiung 807, Taiwan.;Liao, WT (corresponding author), Natl Sun Yat Sen Univ, Dept Biol Sci, Kaohsiung, Taiwan.</t>
  </si>
  <si>
    <t xml:space="preserve">wtliao@kmu.edu.tw</t>
  </si>
  <si>
    <t xml:space="preserve">Chang, Shun-Jen/D-5501-2009; yu, hong-ren/KII-6665-2024; Chen, Changhan/JPK-2157-2023; Yu, Hong-Ren/AAW-6827-2021</t>
  </si>
  <si>
    <t xml:space="preserve">Yu, Hong-Ren/0000-0003-1242-8760; Liao, Wei-Ting/0000-0003-4281-1082</t>
  </si>
  <si>
    <t xml:space="preserve">Chang Gung Memorial Hospital, Taiwan [CMRPG891371]; Taiwan Ministry of Science and Technology grant [MOST 104-2320-B-182A-010, MOST 105-2320-B-182A-016]; Chang Gung Memorial Hospital [CMRPG8B1251-3, CMRPG8C0591-2, CMRPG8E1471-2]; Kaohsiung Medical University [KMU-TP104E23]</t>
  </si>
  <si>
    <t xml:space="preserve">Chang Gung Memorial Hospital, Taiwan(Chang Gung Memorial Hospital); Taiwan Ministry of Science and Technology grant; Chang Gung Memorial Hospital(Chang Gung Memorial Hospital); Kaohsiung Medical University</t>
  </si>
  <si>
    <t xml:space="preserve">This study was supported by funding from grants CMRPG891371 from Chang Gung Memorial Hospital, Taiwan. This work was supported in part by Taiwan Ministry of Science and Technology grants (MOST 104-2320-B-182A-010 and MOST 105-2320-B-182A-016), Chang Gung Memorial Hospital (CMRPG8B1251-3, CMRPG8C0591-2, and CMRPG8E1471-2), and Kaohsiung Medical University (Aim for the Top Universities Grant, grant No. KMU-TP104E23).</t>
  </si>
  <si>
    <t xml:space="preserve">MAR 27</t>
  </si>
  <si>
    <t xml:space="preserve">10.1186/s12887-017-0843-7</t>
  </si>
  <si>
    <t xml:space="preserve">EQ2HS</t>
  </si>
  <si>
    <t xml:space="preserve">WOS:000397890100003</t>
  </si>
  <si>
    <t xml:space="preserve">Kafintu-Kwashie, AA; Nii-Trebi, NI; Obodai, E; Neizer, M; Adiku, TK; Odoom, JK</t>
  </si>
  <si>
    <t xml:space="preserve">Kafintu-Kwashie, Anna Aba; Nii-Trebi, Nicholas Israel; Obodai, Evangeline; Neizer, Margaret; Adiku, Theophilus Korku; Odoom, John Kofi</t>
  </si>
  <si>
    <t xml:space="preserve">Molecular epidemiological surveillance of viral agents of acute lower respiratory tract infections in children in Accra, Ghana</t>
  </si>
  <si>
    <t xml:space="preserve">RSV; HMPV; ALRTI; Molecular epidemiology; Children; Ghana</t>
  </si>
  <si>
    <t xml:space="preserve">SYNCYTIAL-VIRUS; HUMAN-METAPNEUMOVIRUS; EVOLUTION; ETIOLOGY; SUBTYPE</t>
  </si>
  <si>
    <t xml:space="preserve">Background Acute lower respiratory tract infection (ALRTI) in children under 5 years is known to be predominantly caused by respiratory syncytial virus (RSV). In recent times, however, human metapneumovirus (HMPV) has also been implicated. This study sought to investigate and genotype respiratory syncytial virus and human metapneumovirus in children presenting with ALRTIs infection at the Princess Marie Louis Children's Hospital in Accra, Ghana. Methods Children below 5 years who were clinically diagnosed of ALRTI and on admission at the study site were recruited between September 2015 and November 2016 for this study. Demographic data information was obtained by means of a standardized questionnaire; and relevant clinical information was obtained from medical records. Nasopharyngeal swabs were collected from 176 children recruited for the study. Ribonucleic acid was extracted from swabs and cDNA syntheses were performed by RT-PCR. RSV-positive amplicons were sequenced and analyzed for genotype assignment. Results RSV and HMPV prevalence among the sampled subjects were 11.4 and 1.7% respectively. Of the RSV positives, 8/20 (40%) were RSV-A and 12/20 (60%) were RSV-B. The highest prevalence was observed in children less than 12 months old. Phylogenetic analysis of the second hypervariable region of the RSV G-gene revealed that all RSV group A viruses belonged to the novel ON1 genotype containing the 72-nucleotide duplication; and RSV group B viruses belong to the BA IX genotype. Conclusion RSV is frequently detected in children aged under 5 years admitted with ALRTI in Ghana. Continued surveillance of viral aetiological agents is warranted to elucidate the prevalence and transmission patterns of viral pathogens that cause respiratory tract infections among children. This will help inform appropriate intervention approaches.</t>
  </si>
  <si>
    <t xml:space="preserve">[Kafintu-Kwashie, Anna Aba] Univ Ghana, Dept Med Microbiol, Med Sch, Korle Bu, Accra, Ghana; [Nii-Trebi, Nicholas Israel] Univ Ghana, Sch Biomed &amp; Allied Hlth Sci, Dept Med Lab Sci, Accra, Ghana; [Obodai, Evangeline; Odoom, John Kofi] Univ Ghana, Noguchi Mem Inst Med Res, Dept Virol, Accra, Ghana; [Neizer, Margaret] Princess Marie Louis Childrens Hosp, Accra, Ghana; [Adiku, Theophilus Korku] Univ Hlth &amp; Allied Sci, Sch Basic &amp; Biomed Sci, Dept Biomed Sci, Ho, Ghana</t>
  </si>
  <si>
    <t xml:space="preserve">University of Ghana; University of Ghana; University of Ghana</t>
  </si>
  <si>
    <t xml:space="preserve">Odoom, JK (corresponding author), Univ Ghana, Noguchi Mem Inst Med Res, Dept Virol, Accra, Ghana.</t>
  </si>
  <si>
    <t xml:space="preserve">JOdoom@noguchi.ug.edu.gh</t>
  </si>
  <si>
    <t xml:space="preserve">Odoom, John Kofi/HPG-9845-2023; Nii-Trebi, Nicholas/HRB-5109-2023</t>
  </si>
  <si>
    <t xml:space="preserve">Odoom, John Kofi/0000-0003-0761-4614; Obodai, Evangeline/0000-0001-5358-5688</t>
  </si>
  <si>
    <t xml:space="preserve">JUN 24</t>
  </si>
  <si>
    <t xml:space="preserve">10.1186/s12887-022-03419-7</t>
  </si>
  <si>
    <t xml:space="preserve">2J2HX</t>
  </si>
  <si>
    <t xml:space="preserve">WOS:000815486000002</t>
  </si>
  <si>
    <t xml:space="preserve">Chuaychoo, B; Ngamwongwan, S; Kaewnaphan, B; Athipanyasilp, N; Horthongkham, N; Kantakamalakul, W; Muangman, N</t>
  </si>
  <si>
    <t xml:space="preserve">Chuaychoo, Benjamas; Ngamwongwan, Sopita; Kaewnaphan, Bualan; Athipanyasilp, Niracha; Horthongkham, Navin; Kantakamalakul, Wannee; Muangman, Nisa</t>
  </si>
  <si>
    <t xml:space="preserve">Clinical manifestations and outcomes of respiratory syncytial virus infection in adult hospitalized patients</t>
  </si>
  <si>
    <t xml:space="preserve">RSV; Adult; Hospitalization; Cardiovascular disease; Pneumonia; Respiratory failure</t>
  </si>
  <si>
    <t xml:space="preserve">HUMAN METAPNEUMOVIRUS; VIRAL-INFECTIONS; MORBIDITY; MORTALITY; DISEASE</t>
  </si>
  <si>
    <t xml:space="preserve">Background: Respiratory syncytial virus (RSV) is an important virus found in adult hospitalized patients. Objectives: To study the clinical outcomes of hospitalized patients aged &gt;= 15 years and diagnosed with RSV infection. Study design: Both retrospective and prospective cohort studies were conducted at a university hospital between May 2014 and December 2015. Results: RSV was detected in 86 of 1562(5.5%) adult hospitalized patients suspected of respiratory viral infection. Sixty-nine patients were included in the study. RSV was detected by RTPCR (82.6%), IFA (10.1%), and both RT-PCR and IFA (7.3%). Most patients (87.0%) were aged &gt;= 50 years. Cardiovascular diseases, pulmonary diseases, immunocompromised hosts, and diabetes were the major comorbidities. The common manifestations were cough (92.8%), dyspnea (91.3%), sputum production (87.0%), tachypnea (75.4%), wheezing (73.9%), and fever (71.0%). Fifty- five patients (79.7%) were diagnosed with pneumonia. Hypoxemia (SpO2 &lt;= 92%) was found in 53.6% patients. Twenty-five of 69(36.2%) patients developed respiratory failure and required ventilatory support. Cardiovascular complications were found in 24.6% of patients. Congestive heart failure, acute myocardial infarction (MI), new atrial fibrillation, and supraventricular tachycardia were found in 9(13.0%), 7(10.1%), 4(5.8%), and 3(4.3%) of 69 patients, respectively. Overall mortality was 15.9%. Pneumonia (81.8%) and acute MI (18.2%) were the major causes of death. Conclusions: Most adult hospitalized patients with RSV infection were of advanced age and had comorbidities. Cardiopulmonary complications were the major causes of death. Management and prevention of RSV infection in these vulnerable groups are necessary.</t>
  </si>
  <si>
    <t xml:space="preserve">[Chuaychoo, Benjamas; Ngamwongwan, Sopita] Mahidol Univ, Siriraj Hosp, Fac Med, Div Resp Dis &amp; TB,Dept Med, 2 Wanglang Rd, Bangkok 10700, Thailand; [Ngamwongwan, Sopita] Chonburi Hosp, Fac Med, Dept Med, Div Resp Dis, Chon Buri, Thailand; [Kaewnaphan, Bualan; Athipanyasilp, Niracha; Horthongkham, Navin; Kantakamalakul, Wannee] Mahidol Univ, Fac Med, Dept Microbiol, Siriraj Hosp, Bangkok, Thailand; [Muangman, Nisa] Mahidol Univ, Fac Med, Dept Radiol, Div Diagnost Radiol,Siriraj Hosp, Bangkok, Thailand</t>
  </si>
  <si>
    <t xml:space="preserve">Mahidol University; Mahidol University; Mahidol University</t>
  </si>
  <si>
    <t xml:space="preserve">Chuaychoo, B (corresponding author), Mahidol Univ, Siriraj Hosp, Fac Med, Div Resp Dis &amp; TB,Dept Med, 2 Wanglang Rd, Bangkok 10700, Thailand.</t>
  </si>
  <si>
    <t xml:space="preserve">benjamas.chu@mahidol.ac.th</t>
  </si>
  <si>
    <t xml:space="preserve">Horthongkham, Navin/AAZ-7963-2021</t>
  </si>
  <si>
    <t xml:space="preserve">10.1016/j.jcv.2019.07.001</t>
  </si>
  <si>
    <t xml:space="preserve">IJ4IJ</t>
  </si>
  <si>
    <t xml:space="preserve">WOS:000475867400019</t>
  </si>
  <si>
    <t xml:space="preserve">Tao, XW; Zeng, LK; Wang, HZ; Liu, HC</t>
  </si>
  <si>
    <t xml:space="preserve">Tao, Xu-Wei; Zeng, Ling-Kong; Wang, Hui-Zhen; Liu, Han-Chu</t>
  </si>
  <si>
    <t xml:space="preserve">LncRNA MEG3 ameliorates respiratory syncytial virus infection by suppressing TLR4 signaling</t>
  </si>
  <si>
    <t xml:space="preserve">MOLECULAR MEDICINE REPORTS</t>
  </si>
  <si>
    <t xml:space="preserve">RSV infection; lncRNA MEG3; TLR4; p38 MAPK; NF-kappa B</t>
  </si>
  <si>
    <t xml:space="preserve">TUMOR-SUPPRESSOR; INNATE IMMUNITY; KAPPA-B; HUMAN METAPNEUMOVIRUS; INVOLVEMENT; ACTIVATION; EXPRESSION; CHILDREN; PATHWAY; CELLS</t>
  </si>
  <si>
    <t xml:space="preserve">Maternally expressed gene 3 (MEG3), a long noncoding RNA (lncRNA) has been dysregulated in various tumors. However, the expression level and functional role of MEG3 in the progression of respiratory syncytial virus (RSV) infection remains to be elucidated. The present study quantified the expression level of MEG3 in the nasopharyngeal (NPA) samples of RSV-infected patients and in BEAS-2B cells infected with RSV. The findings of the present study demonstrated that the expression level of lncRNA MEG3 was reduced in the NPA samples of RSV-infected patients and in BEAS-2B cells infected with RSV. In vitro transfection revealed increased mRNA expression levels of toll-like receptor 4 (TLR4), tumor necrosis factor- (TNF) and interleukin (IL)-8 following RSV infection in BEAS-2B cells. Additionally, ectopic expression of MEG3 reduced the expression level of TLR4, subsequently suppressing the mRNA expression levels of TNF and IL-8, indicating the protective role of MEG3 in the process of RSV infection. It is of note, that RSV infection-induced p38 mitogen activated protein kinase (MAPK) and nuclear factor-B (NF-B) activation was partly abolished by overexpression of MEG3. In conclusion, to the best of our knowledge, the present study provided the first evidence that lncRNA MEG3 expression level was reduced in the NPA samples of patients with RSV infection and RSV-infected cells. Additionally, it was demonstrated that MEG3 protected human airway epithelial cells from RSV infection, primarily by suppressing TLR4-dependent p38 MAPK and NF-B signaling.</t>
  </si>
  <si>
    <t xml:space="preserve">[Tao, Xu-Wei; Zeng, Ling-Kong; Wang, Hui-Zhen; Liu, Han-Chu] Huazhong Univ Sci &amp; Technol, Tongji Med Coll, Wuhan Maternal &amp; Child Healthcare Hosp, Dept Neonatol, 100 Xianggang Rd, Wuhan 430000, Hubei, Peoples R China</t>
  </si>
  <si>
    <t xml:space="preserve">Huazhong University of Science &amp; Technology</t>
  </si>
  <si>
    <t xml:space="preserve">Liu, HC (corresponding author), Huazhong Univ Sci &amp; Technol, Tongji Med Coll, Wuhan Maternal &amp; Child Healthcare Hosp, Dept Neonatol, 100 Xianggang Rd, Wuhan 430000, Hubei, Peoples R China.</t>
  </si>
  <si>
    <t xml:space="preserve">lvlisci@126.com</t>
  </si>
  <si>
    <t xml:space="preserve">Tao, Xuwei/LCO-1865-2024</t>
  </si>
  <si>
    <t xml:space="preserve">SPANDIDOS PUBL LTD</t>
  </si>
  <si>
    <t xml:space="preserve">ATHENS</t>
  </si>
  <si>
    <t xml:space="preserve">POB 18179, ATHENS, 116 10, GREECE</t>
  </si>
  <si>
    <t xml:space="preserve">1791-2997</t>
  </si>
  <si>
    <t xml:space="preserve">1791-3004</t>
  </si>
  <si>
    <t xml:space="preserve">MOL MED REP</t>
  </si>
  <si>
    <t xml:space="preserve">Mol. Med. Rep.</t>
  </si>
  <si>
    <t xml:space="preserve">10.3892/mmr.2017.8303</t>
  </si>
  <si>
    <t xml:space="preserve">Oncology; Medicine, Research &amp; Experimental</t>
  </si>
  <si>
    <t xml:space="preserve">Oncology; Research &amp; Experimental Medicine</t>
  </si>
  <si>
    <t xml:space="preserve">FV2MB</t>
  </si>
  <si>
    <t xml:space="preserve">WOS:000424400000091</t>
  </si>
  <si>
    <t xml:space="preserve">Balasubramani, GK; Nowalk, MP; Eng, H; Zimmerman, RK</t>
  </si>
  <si>
    <t xml:space="preserve">Balasubramani, G. K.; Nowalk, Mary Patricia; Eng, Heather; Zimmerman, Richard K.</t>
  </si>
  <si>
    <t xml:space="preserve">Estimating the burden of adult hospitalized RSV infection using local and state data-methodology</t>
  </si>
  <si>
    <t xml:space="preserve">HUMAN VACCINES &amp; IMMUNOTHERAPEUTICS</t>
  </si>
  <si>
    <t xml:space="preserve">RSV burden; acute respiratory illness; statistical analysis plan; retrospective cohort study; adults</t>
  </si>
  <si>
    <t xml:space="preserve">RESPIRATORY SYNCYTIAL VIRUS; HUMAN METAPNEUMOVIRUS; INFLUENZA; MORTALITY</t>
  </si>
  <si>
    <t xml:space="preserve">Respiratory syncytial virus (RSV) is becoming increasingly recognized as a serious threat to vulnerable population subgroups. This study describes the statistical analysis plan for a retrospective cohort study of adults hospitalized for acute respiratory infection (ARI) to estimate the population burden of RSV especially for groups such as the elderly, pregnant women and solid organ transplant patients. Disease burden estimates are essential for setting vaccine policy, e.g., should RSV vaccine become available, burden estimates may inform recommendations to prioritize certain high-risk groups. The study population is residents of Allegheny County, Pennsylvania &gt;= 18 years of age who were hospitalized in Pennsylvania during the period September 1, 2015-August 31, 2018. Data sources will include U.S. Census, Pennsylvania Health Care Cost Containment Council (PHC4) and the electronic medical record for the health system to which the hospitals belong. The algorithm involves: 1) ARI-associated hospitalizations in PHC4 data; 2) adjustment for ARI hospitalizations among county residents but admitted to hospitals outside the county; and 3) RSV detections from respiratory viral panels. Key sensitivity analyses will adjust for undertesting for viruses in the fall and spring quarters. The results will be population-based estimates, stratified by age and risk groups. Adjusting hospitalization data using a multiplier method is a simple means to estimate the impact of RSV in a given area. This algorithm can be applied to other health systems and localities to estimate RSV and other respiratory pathogen burden in adults, to estimate burden following introduction of RSV vaccine and to make cost-effectiveness estimates.</t>
  </si>
  <si>
    <t xml:space="preserve">[Balasubramani, G. K.; Eng, Heather] Univ Pittsburgh, Grad Sch Publ Hlth, Dept Epidemiol, Pittsburgh, PA 15260 USA; [Nowalk, Mary Patricia; Zimmerman, Richard K.] Univ Pittsburgh, Sch Med, Dept Family Med, Pittsburgh, PA 15260 USA</t>
  </si>
  <si>
    <t xml:space="preserve">Nowalk, MP (corresponding author), Univ Pittsburgh, Sch Med, Dept Family Med, Pittsburgh, PA 15260 USA.</t>
  </si>
  <si>
    <t xml:space="preserve">tnowalk@pitt.edu</t>
  </si>
  <si>
    <t xml:space="preserve">Zimmerman, Richard/KOC-2300-2024; Goundappa, Balasubramani/HPD-3391-2023; Nowalk, Mary/ACU-4712-2022</t>
  </si>
  <si>
    <t xml:space="preserve">Merck Sharp Dohme Corp.</t>
  </si>
  <si>
    <t xml:space="preserve">Merck Sharp Dohme Corp.(Merck &amp; Company)</t>
  </si>
  <si>
    <t xml:space="preserve">This work was supported in part by a research grant from InvestigatorInitiated Studies Program of Merck Sharp &amp; Dohme Corp. The opinions expressed in this paper are those of the authors and do not necessarily represent those of Merck Sharp &amp; Dohme Corp.</t>
  </si>
  <si>
    <t xml:space="preserve">TAYLOR &amp; FRANCIS INC</t>
  </si>
  <si>
    <t xml:space="preserve">530 WALNUT STREET, STE 850, PHILADELPHIA, PA 19106 USA</t>
  </si>
  <si>
    <t xml:space="preserve">2164-5515</t>
  </si>
  <si>
    <t xml:space="preserve">2164-554X</t>
  </si>
  <si>
    <t xml:space="preserve">HUM VACC IMMUNOTHER</t>
  </si>
  <si>
    <t xml:space="preserve">Human Vaccines Immunother.</t>
  </si>
  <si>
    <t xml:space="preserve">DEC 31</t>
  </si>
  <si>
    <t xml:space="preserve">10.1080/21645515.2021.1958610</t>
  </si>
  <si>
    <t xml:space="preserve">Biotechnology &amp; Applied Microbiology; Immunology</t>
  </si>
  <si>
    <t xml:space="preserve">ZQ2BO</t>
  </si>
  <si>
    <t xml:space="preserve">WOS:000682376100001</t>
  </si>
  <si>
    <t xml:space="preserve">Nowalk, MP; D'Agostino, H; Dauer, K; Stiegler, M; Zimmerman, RK; Balasubramani, GK</t>
  </si>
  <si>
    <t xml:space="preserve">Nowalk, Mary Patricia; D'Agostino, Helen; Dauer, Klancie; Stiegler, Myla; Zimmerman, Richard K.; Balasubramani, G. K.</t>
  </si>
  <si>
    <t xml:space="preserve">Estimating the burden of adult hospitalized RSV infection including special populations</t>
  </si>
  <si>
    <t xml:space="preserve">VACCINE</t>
  </si>
  <si>
    <t xml:space="preserve">RSV burden; Acute respiratory illness; Retrospective cohort study; Adults</t>
  </si>
  <si>
    <t xml:space="preserve">RESPIRATORY SYNCYTIAL VIRUS; HUMAN METAPNEUMOVIRUS; INFLUENZA</t>
  </si>
  <si>
    <t xml:space="preserve">Background: Numerous studies in the U.S. have made estimates of the RSV burden among adults that vary widely due to differences in methodology, reliance on influenza surveillance, which does not adequately capture all RSV clinical symptoms, and lack of diagnostic methods to identify RSV when viral loads are low. Nevertheless, accurate burden estimates can inform healthcare planning, resource allocation and potentially, RSV vaccine policy. Methods: A simple method combined with statewide and local hospitalization, medical record and U.S. Census data were used to estimate population-based RSV hospitalization burden among adults ages 18-64 years, &gt;= 65 years, and including immunocompetent, immunocompromised and pregnant individuals during 2015-2018 for Allegheny County, Pennsylvania. Economic burden of hospitalization was estimated using state-provided average hospitalization charges for comparisons across patient groups. Results: The largest burden was borne by adults &gt;= 65 years of age whose rates per 100,000 population of that age group (939/100,000) were 7.0-9.0 times those of adults 18-64 years of age (118/100,000). Immunosuppressed patients bore the greatest relative burden of RSV hospitalizations (1,288-1,562/100,000 immunosuppressed individuals). RSV burden ranged from 0 to 808/100,000 pregnant women. Average total charges for RSV hospitalization in Allegheny County across all adults increased from $39 million in 2015-2016 to $57 million in 2016-2017 to $89 million in 2017-2018, due to both increased average charges for an acute respiratory hospitalization and increased numbers of RSV cases. Conclusions: These RSV burden estimates add to the body of knowledge to guide public health policy makers and offer a method for simply and easily producing population-based burden estimates. (C) 2022 Elsevier Ltd. All rights reserved.</t>
  </si>
  <si>
    <t xml:space="preserve">[Nowalk, Mary Patricia; Zimmerman, Richard K.] Univ Pittsburgh, Sch Med, Dept Family Med, Pittsburgh, PA USA; [D'Agostino, Helen; Dauer, Klancie; Stiegler, Myla; Balasubramani, G. K.] Univ Pittsburgh, Grad Sch Publ Hlth, Dept Epidemiol, Pittsburgh, PA 15260 USA</t>
  </si>
  <si>
    <t xml:space="preserve">Nowalk, MP (corresponding author), Suite 520 Schenley Pl,4420 Bayard St, Pittsburgh, PA 15260 USA.</t>
  </si>
  <si>
    <t xml:space="preserve">Nowalk, Mary/ACU-4712-2022; Goundappa, Balasubramani/HPD-3391-2023; Zimmerman, Richard/KOC-2300-2024</t>
  </si>
  <si>
    <t xml:space="preserve">Investigator Initiated Studies Program of Merck Sharp Dohme Corp.</t>
  </si>
  <si>
    <t xml:space="preserve">This work was supported by a research grant from Investigator Initiated Studies Program of Merck Sharp &amp; Dohme Corp. The opinions expressed in this paper are those of the authors and do not necessarily represent those of Merck Sharp &amp; Dohme Corp. Dr Zimmerman was supported by the University for this project.</t>
  </si>
  <si>
    <t xml:space="preserve">0264-410X</t>
  </si>
  <si>
    <t xml:space="preserve">1873-2518</t>
  </si>
  <si>
    <t xml:space="preserve">Vaccine</t>
  </si>
  <si>
    <t xml:space="preserve">JUL 29</t>
  </si>
  <si>
    <t xml:space="preserve">10.1016/j.vaccine.2022.05.077</t>
  </si>
  <si>
    <t xml:space="preserve">JUN 2022</t>
  </si>
  <si>
    <t xml:space="preserve">3I7SM</t>
  </si>
  <si>
    <t xml:space="preserve">WOS:000832911500007</t>
  </si>
  <si>
    <t xml:space="preserve">Huang, JC; Miller, RJJ; Mousa, JJJ</t>
  </si>
  <si>
    <t xml:space="preserve">Huang, Jiachen; Miller, Rose J. J.; Mousa, Jarrod J. J.</t>
  </si>
  <si>
    <t xml:space="preserve">A Pan-Pneumovirus vaccine based on immunodominant epitopes of the fusion protein</t>
  </si>
  <si>
    <t xml:space="preserve">RSV (respiratory syncytial virus); human metapneumovirus (hMPV); vaccine; structure-based vaccine design; neutralizing antibodies; fusion protein; epitope</t>
  </si>
  <si>
    <t xml:space="preserve">RESPIRATORY SYNCYTIAL VIRUS; NF-KAPPA-B; HUMAN METAPNEUMOVIRUS; YOUNG-CHILDREN; IN-VITRO; INFECTION; GLYCOPROTEIN; ANTIBODY; BURDEN; NS1</t>
  </si>
  <si>
    <t xml:space="preserve">Respiratory syncytial virus (RSV) and human metapneumovirus (hMPV) are two leading causes of severe respiratory infections in children, the elderly, and immunocompromised patients. The fusion (F) protein is the major target of neutralizing antibodies. Recent developments in stabilizing the pre-fusion conformation of the F proteins, and identifying immunodominant epitopes that elicit potent neutralizing antibodies have led to the testing of numerous pre-fusion RSV F-based vaccines in clinical trials. We designed and tested the immunogenicity and protective efficacy of a chimeric fusion protein that contains immunodominant epitopes of RSV F and hMPV F (RHMS-1). RHMS-1 has several advantages over vaccination with pre-fusion RSV F or hMPV F, including a focus on recalling B cells to the most important protective epitopes and the ability to induce protection against two viruses with a single antigen. RHMS-1 was generated as a trimeric recombinant protein, and analysis by negative-stain electron microscopy demonstrated the protein resembles the pre-fusion conformation. Probing of RHMS-1 antigenicity using a panel of RSV and hMPV F- specific monoclonal antibodies (mAbs) revealed the protein retains features of both viruses, including the pre-fusion site circle divide epitope of RSV F. Mice immunized with RHMS-1 generated neutralizing antibodies to both viruses and were completely protected from RSV or hMPV challenge. Overall, this study demonstrates protection against two viruses with a single antigen and supports testing of RHMS-1 in additional pre-clinical animal models.</t>
  </si>
  <si>
    <t xml:space="preserve">[Huang, Jiachen; Miller, Rose J. J.; Mousa, Jarrod J. J.] Univ Georgia, Coll Vet Med, Dept Infect Dis, Athens, GA 30602 USA; [Huang, Jiachen; Miller, Rose J. J.; Mousa, Jarrod J. J.] Univ Georgia, Coll Vet Med, Ctr Vaccines &amp; Immunol, Athens, GA 30602 USA; [Mousa, Jarrod J. J.] Univ Georgia, Franklin Coll Arts &amp; Sci, Dept Biochem &amp; Mol Biol, Athens, GA 30602 USA</t>
  </si>
  <si>
    <t xml:space="preserve">University System of Georgia; University of Georgia; University System of Georgia; University of Georgia; University System of Georgia; University of Georgia</t>
  </si>
  <si>
    <t xml:space="preserve">Mousa, JJJ (corresponding author), Univ Georgia, Coll Vet Med, Dept Infect Dis, Athens, GA 30602 USA.;Mousa, JJJ (corresponding author), Univ Georgia, Coll Vet Med, Ctr Vaccines &amp; Immunol, Athens, GA 30602 USA.;Mousa, JJJ (corresponding author), Univ Georgia, Franklin Coll Arts &amp; Sci, Dept Biochem &amp; Mol Biol, Athens, GA 30602 USA.</t>
  </si>
  <si>
    <t xml:space="preserve">jarrod.mousa@uga.edu</t>
  </si>
  <si>
    <t xml:space="preserve">Huang, Jiachen/GON-5679-2022</t>
  </si>
  <si>
    <t xml:space="preserve">Mousa, Jarrod/0000-0003-4709-2478; Miller, Rose/0009-0003-3233-9316</t>
  </si>
  <si>
    <t xml:space="preserve">National Institutes of Health [R01-GM129325, 1K01OD026569, 1R01AI143865]; Office of Cyber Infrastructure and Computational Biology, National Institute of Allergy and Infectious Diseases; National Institute of General Medical Sciences [R01GM129325] Funding Source: NIH RePORTER</t>
  </si>
  <si>
    <t xml:space="preserve">National Institutes of Health(United States Department of Health &amp; Human ServicesNational Institutes of Health (NIH) - USA); Office of Cyber Infrastructure and Computational Biology, National Institute of Allergy and Infectious Diseases; National Institute of General Medical Sciences(United States Department of Health &amp; Human ServicesNational Institutes of Health (NIH) - USANIH National Institute of General Medical Sciences (NIGMS))</t>
  </si>
  <si>
    <t xml:space="preserve">These studies were supported by National Institutes of Health grants 1R01AI143865 (JJM) and 1K01OD026569 (JJM). The funders had no role in study design, data collection and analysis, the decision to publish, or preparation of the manuscript. Molecular graphics and analyses performed with UCSF ChimeraX, developed by the Resource for Biocomputing, Visualization, and Informatics at the University of California, San Francisco, with support from National Institutes of Health R01-GM129325 and the Office of Cyber Infrastructure and Computational Biology, National Institute of Allergy and Infectious Diseases.</t>
  </si>
  <si>
    <t xml:space="preserve">AUG 8</t>
  </si>
  <si>
    <t xml:space="preserve">10.3389/fimmu.2022.941865</t>
  </si>
  <si>
    <t xml:space="preserve">3X8ZZ</t>
  </si>
  <si>
    <t xml:space="preserve">Green Submitted, Green Published, gold</t>
  </si>
  <si>
    <t xml:space="preserve">WOS:000843323900001</t>
  </si>
  <si>
    <t xml:space="preserve">Rezapour, M; Walker, SJ; Ornelles, DA; Niazi, MKK; Mcnutt, PM; Atala, A; Gurcan, MN</t>
  </si>
  <si>
    <t xml:space="preserve">Rezapour, Mostafa; Walker, Stephen J.; Ornelles, David A.; Niazi, Muhammad Khalid Khan; Mcnutt, Patrick M.; Atala, Anthony; Gurcan, Metin Nafi</t>
  </si>
  <si>
    <t xml:space="preserve">A comparative analysis of RNA-Seq and NanoString technologies in deciphering viral infection response in upper airway lung organoids</t>
  </si>
  <si>
    <t xml:space="preserve">FRONTIERS IN GENETICS</t>
  </si>
  <si>
    <t xml:space="preserve">RNA-Seq; NanoString technologies; infected lung organoids; gene expression analysis; concordance analysis</t>
  </si>
  <si>
    <t xml:space="preserve">In this study, we delved into the comparative analysis of gene expression data across RNA-Seq and NanoString platforms. While RNA-Seq covered 19,671 genes and NanoString targeted 773 genes associated with immune responses to viruses, our primary focus was on the 754 genes found in both platforms. Our experiment involved 16 different infection conditions, with samples derived from 3D airway organ-tissue equivalents subjected to three virus types, influenza A virus (IAV), human metapneumovirus (MPV), and parainfluenza virus 3 (PIV3). Post-infection measurements, after UV (inactive virus) and Non-UV (active virus) treatments, were recorded at 24-h and 72-h intervals. Including untreated and Mock-infected OTEs as control groups enabled differentiating changes induced by the virus from those arising due to procedural elements. Through a series of methodological approaches (including Spearman correlation, Distance correlation, Bland-Altman analysis, Generalized Linear Models Huber regression, the Magnitude-Altitude Score (MAS) algorithm and Gene Ontology analysis) the study meticulously contrasted RNA-Seq and NanoString datasets. The Magnitude-Altitude Score algorithm, which integrates both the amplitude of gene expression changes (magnitude) and their statistical relevance (altitude), offers a comprehensive tool for prioritizing genes based on their differential expression profiles in specific viral infection conditions. We observed a strong congruence between the platforms, especially in identifying key antiviral defense genes. Both platforms consistently highlighted genes including ISG15, MX1, RSAD2, and members of the OAS family (OAS1, OAS2, OAS3). The IFIT proteins (IFIT1, IFIT2, IFIT3) were emphasized for their crucial role in counteracting viral replication by both platforms. Additionally, CXCL10 and CXCL11 were pinpointed, shedding light on the organ tissue equivalent's innate immune response to viral infections. While both platforms provided invaluable insights into the genetic landscape of organoids under viral infection, the NanoString platform often presented a more detailed picture in situations where RNA-Seq signals were more subtle. The combined data from both platforms emphasize their joint value in advancing our understanding of viral impacts on lung organoids.</t>
  </si>
  <si>
    <t xml:space="preserve">[Rezapour, Mostafa; Niazi, Muhammad Khalid Khan; Gurcan, Metin Nafi] Wake Forest Univ, Sch Med, Ctr Artificial Intelligence Res, Winston Salem, NC 27109 USA; [Walker, Stephen J.; Mcnutt, Patrick M.; Atala, Anthony] Wake Forest Univ, Sch Med, Wake Forest Inst Regenerat Med, Winston Salem, NC USA; [Ornelles, David A.] Wake Forest Univ, Sch Med, Dept Microbiol &amp; Immunol, Winston Salem, NC USA</t>
  </si>
  <si>
    <t xml:space="preserve">Wake Forest University; Wake Forest University; Wake Forest University</t>
  </si>
  <si>
    <t xml:space="preserve">Rezapour, M (corresponding author), Wake Forest Univ, Sch Med, Ctr Artificial Intelligence Res, Winston Salem, NC 27109 USA.</t>
  </si>
  <si>
    <t xml:space="preserve">mrezapou@wakehealth.edu</t>
  </si>
  <si>
    <t xml:space="preserve">Gurcan, Metin/F-4536-2012; Atala, Anthony/J-3052-2013; McNutt, Patrick/AAS-8535-2020</t>
  </si>
  <si>
    <t xml:space="preserve">McNutt, Patrick/0000-0002-5703-4565; Rezapour, Mostafa/0000-0001-9569-118X</t>
  </si>
  <si>
    <t xml:space="preserve">U.S. Government under Other Transaction [W15QKN-16-9-1002]</t>
  </si>
  <si>
    <t xml:space="preserve">U.S. Government under Other Transaction</t>
  </si>
  <si>
    <t xml:space="preserve">The author(s) declare that financial support was received for the research, authorship, and/or publication of this article. Effort sponsored by the U.S. Government under Other Transaction number W15QKN-16-9-1002 between the MCDC, and the Government. The US Government is authorized to reproduce and distribute reprints for Governmental purposes, notwithstanding any copyright notation thereon.</t>
  </si>
  <si>
    <t xml:space="preserve">1664-8021</t>
  </si>
  <si>
    <t xml:space="preserve">FRONT GENET</t>
  </si>
  <si>
    <t xml:space="preserve">Front. Genet.</t>
  </si>
  <si>
    <t xml:space="preserve">JUN 18</t>
  </si>
  <si>
    <t xml:space="preserve">10.3389/fgene.2024.1327984</t>
  </si>
  <si>
    <t xml:space="preserve">Genetics &amp; Heredity</t>
  </si>
  <si>
    <t xml:space="preserve">XB0U3</t>
  </si>
  <si>
    <t xml:space="preserve">WOS:001259113700001</t>
  </si>
  <si>
    <t xml:space="preserve">Velayutham, TS; Ivanciuc, T; Garofalo, RP; Casola, A</t>
  </si>
  <si>
    <t xml:space="preserve">Velayutham, Thangam Sudha; Ivanciuc, Teodora; Garofalo, Roberto P.; Casola, Antonella</t>
  </si>
  <si>
    <t xml:space="preserve">Role of human metapneumovirus glycoprotein G in modulation of immune responses</t>
  </si>
  <si>
    <t xml:space="preserve">RNA virus; hMPV G protein; lung disease; immune response; mouse model</t>
  </si>
  <si>
    <t xml:space="preserve">RESPIRATORY SYNCYTIAL VIRUS; HUMAN DENDRITIC CELLS; REPLICATION IN-VITRO; AIRWAY HYPERRESPONSIVENESS; YOUNG-CHILDREN; INFECTION; SH; PROTEIN; DISEASE; PATHOGENESIS</t>
  </si>
  <si>
    <t xml:space="preserve">Human metapneumovirus (hMPV) is an important pathogen responsible for acute respiratory tract infections in children, the elderly, and immunocompromised patients, with no effective treatment or vaccine currently available. Knowledge of virus- and host-specific mechanisms contributing to the pathogenesis of hMPV infection is still limited. Studies have shown that hMPV surface glycoprotein G is an important virulence factor, by inhibiting innate immune signaling in airway epithelial cells and immune cells. In this study, we investigated the role of G protein in modulating innate and adaptive immune responses in mice infected with a recombinant virus with deletion of G protein (rhMPV-Delta G). Results show that rhMPV-Delta G was strongly attenuated, as it did not induce significant clinical disease, airway obstruction and airway hyperresponsiveness (AHR), compared to infection with a control strain (rhMPV-WT). By analysis of cells in bronchoalveolar fluid and lung tissue, as well as cytokine production, we found that G protein mediates aspects of both innate and adaptive immune responses, including neutrophils, dendritic cells, natural killer cells and B cells. Lung T cells recruited in response to rhMPV-Delta G had a significantly higher activated phenotype compared to those present after rhMPV-WT infection. Despite highly attenuation characterized by low levels of replication in the lung, rhMPV-Delta G was able to induce neutralizing antibodies and to protect mice from a secondary hMPV challenge. However, challenged mice that had received rhMPV-Delta G as primary infection showed some signs of lung disease at the earliest time points, which were less evident in mice that had received the rhMPV-WT strain as primary infection. These results demonstrate some of the mechanisms by which G protein could contribute to airway disease and modulate immune response to hMPV infection.</t>
  </si>
  <si>
    <t xml:space="preserve">[Velayutham, Thangam Sudha; Ivanciuc, Teodora; Garofalo, Roberto P.; Casola, Antonella] Univ Texas Med Branch, Dept Pediat, Galveston, TX 77555 USA; [Garofalo, Roberto P.; Casola, Antonella] Univ Texas Med Branch, Dept Microbiol &amp; Immunol, Galveston, TX 77555 USA; [Garofalo, Roberto P.; Casola, Antonella] Univ Texas Med Branch, Sealy Inst Vaccine Sci, Galveston, TX 77555 USA</t>
  </si>
  <si>
    <t xml:space="preserve">University of Texas System; University of Texas Medical Branch Galveston; University of Texas System; University of Texas Medical Branch Galveston; University of Texas System; University of Texas Medical Branch Galveston</t>
  </si>
  <si>
    <t xml:space="preserve">Garofalo, RP; Casola, A (corresponding author), Univ Texas Med Branch, Dept Pediat, Galveston, TX 77555 USA.;Garofalo, RP; Casola, A (corresponding author), Univ Texas Med Branch, Dept Microbiol &amp; Immunol, Galveston, TX 77555 USA.;Garofalo, RP; Casola, A (corresponding author), Univ Texas Med Branch, Sealy Inst Vaccine Sci, Galveston, TX 77555 USA.</t>
  </si>
  <si>
    <t xml:space="preserve">rpgarofa@utmb.edu; ancasola@utmb.edu</t>
  </si>
  <si>
    <t xml:space="preserve">Garofalo, Roberto/ABL-2322-2022</t>
  </si>
  <si>
    <t xml:space="preserve">NIH [AI079246]; James W. McLaughlin Fellowship Fund</t>
  </si>
  <si>
    <t xml:space="preserve">NIH(United States Department of Health &amp; Human ServicesNational Institutes of Health (NIH) - USA); James W. McLaughlin Fellowship Fund</t>
  </si>
  <si>
    <t xml:space="preserve">Funding This work was partially supported by NIH grant AI079246. TV was supported by the James W. McLaughlin Fellowship Fund.</t>
  </si>
  <si>
    <t xml:space="preserve">JUL 25</t>
  </si>
  <si>
    <t xml:space="preserve">10.3389/fimmu.2022.962925</t>
  </si>
  <si>
    <t xml:space="preserve">3Q2II</t>
  </si>
  <si>
    <t xml:space="preserve">WOS:000838056300001</t>
  </si>
  <si>
    <t xml:space="preserve">Schlaberg, R; Queen, K; Simmon, K; Tardif, K; Stockmann, C; Flygare, S; Kennedy, B; Voelkerding, K; Bramley, A; Zhang, J; Eilbeck, K; Yandell, M; Jain, S; Pavia, AT; Tong, SX; Ampofo, K</t>
  </si>
  <si>
    <t xml:space="preserve">Schlaberg, Robert; Queen, Krista; Simmon, Keith; Tardif, Keith; Stockmann, Chris; Flygare, Steven; Kennedy, Brett; Voelkerding, Karl; Bramley, Anna; Zhang, Jing; Eilbeck, Karen; Yandell, Mark; Jain, Seema; Pavia, Andrew T.; Tong, Suxiang; Ampofo, Krow</t>
  </si>
  <si>
    <t xml:space="preserve">Viral Pathogen Detection by Metagenomics and Pan-Viral Group Polymerase Chain Reaction in Children With Pneumonia Lacking Identifiable Etiology</t>
  </si>
  <si>
    <t xml:space="preserve">RNA sequencing (RNA-seq); metagenomics; pan-viral group polymerase chain reaction (PVG PCR); pneumonia</t>
  </si>
  <si>
    <t xml:space="preserve">COMMUNITY-ACQUIRED PNEUMONIA; RESPIRATORY SYNCYTIAL VIRUS; REQUIRING HOSPITALIZATION; CLINICAL CHARACTERISTICS; HUMAN METAPNEUMOVIRUS; DISEASE SEVERITY; LOAD; PCR; INFECTION; BATS</t>
  </si>
  <si>
    <t xml:space="preserve">Background. Community-acquired pneumonia (CAP) is a leading cause of pediatric hospitalization. Pathogen identification fails in approximately 20% of children but is critical for optimal treatment and prevention of hospital-acquired infections. We used two broad-spectrum detection strategies to identify pathogens in test-negative children with CAP and asymptomatic controls. Methods. Nasopharyngeal/oropharyngeal (NP/OP) swabs from 70 children &lt;5 years with CAP of unknown etiology and 90 asymptomatic controls were tested by next-generation sequencing (RNA-seq) and pan viral group (PVG) PCR for 19 viral families. Association of viruses with CAP was assessed by adjusted odds ratios (aOR) and 95% confidence intervals controlling for season and age group. Results. RNA-seq/PVG PCR detected previously missed, putative pathogens in 34% of patients. Putative viral pathogens included human parainfluenza virus 4 (aOR 9.3, P = .12), human bocavirus (aOR 9.1, P &lt; .01), Coxsackieviruses (aOR 5.1, P = .09), rhinovirus A (aOR 3.5, P = .34), and rhinovirus C (aOR 2.9, P = .57). RNA-seq was more sensitive for RNA viruses whereas PVG PCR detected more DNA viruses. Conclusions. RNA-seq and PVG PCR identified additional viruses, some known to be pathogenic, in NP/OP specimens from one-third of children hospitalized with CAP without a previously identified etiology. Both broad-range methods could be useful tools in future epidemiologic and diagnostic studies.</t>
  </si>
  <si>
    <t xml:space="preserve">[Schlaberg, Robert; Voelkerding, Karl] Univ Utah, Dept Pathol, Salt Lake City, UT USA; [Simmon, Keith; Eilbeck, Karen] Univ Utah, Dept Biomed Informat, Salt Lake City, UT USA; [Stockmann, Chris; Pavia, Andrew T.; Ampofo, Krow] Univ Utah, Dept Pediat, Salt Lake City, UT USA; [Flygare, Steven; Kennedy, Brett; Yandell, Mark] Univ Utah, Dept Human Genet, Salt Lake City, UT USA; [Schlaberg, Robert; Tardif, Keith; Voelkerding, Karl] ARUP Inst Clin &amp; Expt Pathol, Salt Lake City, UT USA; [Queen, Krista; Bramley, Anna; Zhang, Jing; Jain, Seema; Tong, Suxiang] Ctr Dis Control &amp; Prevent, Atlanta, GA USA</t>
  </si>
  <si>
    <t xml:space="preserve">Utah System of Higher Education; University of Utah; Utah System of Higher Education; University of Utah; Utah System of Higher Education; University of Utah; Utah System of Higher Education; University of Utah; Utah System of Higher Education; University of Utah; ARUP Laboratories; Centers for Disease Control &amp; Prevention - USA</t>
  </si>
  <si>
    <t xml:space="preserve">Schlaberg, R (corresponding author), 500 Chipeta Way, Salt Lake City, UT 84108 USA.</t>
  </si>
  <si>
    <t xml:space="preserve">robert.schlaberg@path.utah.edu</t>
  </si>
  <si>
    <t xml:space="preserve">Stockmann, Chris/P-1996-2014</t>
  </si>
  <si>
    <t xml:space="preserve">Kennedy, Brett/0000-0001-5018-5654; Eilbeck, Karen/0000-0002-0831-6427</t>
  </si>
  <si>
    <t xml:space="preserve">National Center for Advancing Translational Sciences of the National Institutes of Health [1KL2TR001065, UL1TR001067]; Primary Children's Hospital Foundation; ARUP Institute for Clinical and Experimental Pathology; Centers for Disease Control and Prevention [U181P00030]</t>
  </si>
  <si>
    <t xml:space="preserve">National Center for Advancing Translational Sciences of the National Institutes of Health(United States Department of Health &amp; Human ServicesNational Institutes of Health (NIH) - USANIH National Center for Advancing Translational Sciences (NCATS)); Primary Children's Hospital Foundation; ARUP Institute for Clinical and Experimental Pathology; Centers for Disease Control and Prevention(United States Department of Health &amp; Human ServicesCenters for Disease Control &amp; Prevention - USA)</t>
  </si>
  <si>
    <t xml:space="preserve">This work was supported by the National Center for Advancing Translational Sciences of the National Institutes of Health (award no. 1KL2TR001065 and UL1TR001067); the Primary Children's Hospital Foundation; the ARUP Institute for Clinical and Experimental Pathology; and the Centers for Disease Control and Prevention (award no. U181P00030).</t>
  </si>
  <si>
    <t xml:space="preserve">MAY 1</t>
  </si>
  <si>
    <t xml:space="preserve">10.1093/infdis/jix148</t>
  </si>
  <si>
    <t xml:space="preserve">EW6IW</t>
  </si>
  <si>
    <t xml:space="preserve">Green Accepted, Bronze, Green Published</t>
  </si>
  <si>
    <t xml:space="preserve">WOS:000402614600010</t>
  </si>
  <si>
    <t xml:space="preserve">Darniot, M; Schildgen, V; Schildgen, O; Sproat, B; Kleines, M; Ditt, V; Pitoiset, C; Pothier, P; Manoha, C</t>
  </si>
  <si>
    <t xml:space="preserve">Darniot, Magali; Schildgen, Verena; Schildgen, Oliver; Sproat, Brian; Kleines, Michael; Ditt, Vanessa; Pitoiset, Cecile; Pothier, Pierre; Manoha, Catherine</t>
  </si>
  <si>
    <t xml:space="preserve">RNA interference in vitro and in vivo using DsiRNA targeting the nucleocapsid N mRNA of human metapneumovirus</t>
  </si>
  <si>
    <t xml:space="preserve">RNA interference; Metapneumovirus; siRNA; RACE; Mice</t>
  </si>
  <si>
    <t xml:space="preserve">RESPIRATORY SYNCYTIAL VIRUS; CHEMICAL-MODIFICATIONS; INTRAVENOUS RIBAVIRIN; CLINICAL-DISEASE; IMMUNE-RESPONSE; YOUNG-CHILDREN; TRACT DISEASE; BALB/C MICE; AGE-GROUPS; SIRNA</t>
  </si>
  <si>
    <t xml:space="preserve">Human metapneumovirus causes respiratory diseases with outcomes that can be severe in children, the immunocompromised, and the elderly. Synthetic small interfering RNAs (siRNAs) that silence targeted genes can be used as therapeutic agents. Currently, there is no specific therapy for hMPV. In this study, we designed Dicer-substrate siRNAs (DsiRNAs) that target metapneumovirus sequences on the mRNAs of the N, P, and L genes. In vitro, six DsiRNAs were shown to inhibit virus replication using cell proliferation tests. Of those, the DsiRNA that targets the most conserved mRNA sequence was then resynthesized in Evader (TM) format with heavy 2'-O-methyl modification of the guide strand. In a murine model, the prophylactic administration of this Evader (TM) DsiRNA was effective at partially inhibiting viral replication of hMPV (13 x 10(3) vs. 29 x 10(3) PFU/g of lung; p &lt; 0.01), which was not the case for the control, a mismatched DsiRNA. Inhibition was achieved without inducing cytokines or off-target effects. Moreover, the specificity of the siRNA mechanism of action was demonstrated in vitro and in vivo using 5'-RACE methodology. This in vivo approach of using a DsiRNA against hMPV is an important step in the development of synthetic siRNA as a therapeutic agent for this virus. (C) 2012 Elsevier B.V. All rights reserved.</t>
  </si>
  <si>
    <t xml:space="preserve">[Darniot, Magali; Pitoiset, Cecile; Pothier, Pierre; Manoha, Catherine] CHU Dijon, Virol Lab, F-21070 Dijon, France; [Schildgen, Verena; Schildgen, Oliver; Ditt, Vanessa] Univ Bonn, Med Ctr, Inst Virol, D-53105 Bonn, Germany; [Sproat, Brian] BVBA, Integrated DNA Technol, B-3001 Louvain, Belgium; [Kleines, Michael] MUI Innsbruck, Div Virol, A-6020 Innsbruck, Austria</t>
  </si>
  <si>
    <t xml:space="preserve">CHU Dijon Bourgogne; University of Bonn</t>
  </si>
  <si>
    <t xml:space="preserve">Manoha, C (corresponding author), CHU Dijon, Virol Lab, 2 Rue Angel Ducoudray, F-21070 Dijon, France.</t>
  </si>
  <si>
    <t xml:space="preserve">schildgeno@kliniken-koeln.de; fa205401@skynet.be; michael.kleines@i-med.ac.at; catherine.manoha@chu-dijon.fr</t>
  </si>
  <si>
    <t xml:space="preserve">Kleines, Michael/C-8801-2009; Manoha, Catherine/AAP-4178-2021; Schildgen, Oliver/D-5327-2014</t>
  </si>
  <si>
    <t xml:space="preserve">Manoha, Catherine/0000-0003-3934-6132; Schildgen, Oliver/0000-0003-4297-9627</t>
  </si>
  <si>
    <t xml:space="preserve">European Union [LSHM-CT-2006-037276]; Else Kroner-Fresenius Stiftung, Germany; Centre Hospitalier Universitaire of Dijon</t>
  </si>
  <si>
    <t xml:space="preserve">European Union(European Union (EU)); Else Kroner-Fresenius Stiftung, Germany; Centre Hospitalier Universitaire of Dijon</t>
  </si>
  <si>
    <t xml:space="preserve">This work was supported by a Sixth Framework Grant LSHM-CT-2006-037276 from the European Union (BS, OS, CM, MK), the Else Kroner-Fresenius Stiftung, Germany (OS) and the Centre Hospitalier Universitaire of Dijon. We are indebted to Jean-Baptiste Bour, Laboratoire de Virologie, Dijon, France for helpful comments.</t>
  </si>
  <si>
    <t xml:space="preserve">10.1016/j.antiviral.2012.01.004</t>
  </si>
  <si>
    <t xml:space="preserve">920TH</t>
  </si>
  <si>
    <t xml:space="preserve">WOS:000302430100007</t>
  </si>
  <si>
    <t xml:space="preserve">do Prado, PR; Bettencourt, ARD; Lopes, JD</t>
  </si>
  <si>
    <t xml:space="preserve">do Prado, Patricia Rezende; de Cassia Bettencourt, Ana Rita; Lopes, Juliana de Lima</t>
  </si>
  <si>
    <t xml:space="preserve">Related factors of the nursing diagnosis ineffective breathing pattern in an intensive care unit</t>
  </si>
  <si>
    <t xml:space="preserve">REVISTA LATINO-AMERICANA DE ENFERMAGEM</t>
  </si>
  <si>
    <t xml:space="preserve">Risk Factors; Signs and Symptoms; Nursing Diagnosis; Respiratory System; Classification; Nursing</t>
  </si>
  <si>
    <t xml:space="preserve">HUMAN METAPNEUMOVIRUS; METHODOLOGY; VALIDATION; WEAKNESS; AGE</t>
  </si>
  <si>
    <t xml:space="preserve">Objective: to identify the predicting factors and sensitivity, specificity, positive and negative related value of nursing diagnosis Ineffective Breathing Pattern among patients of an intensive care unit. Method: cross-sectional study. A logistic regression was fitted to assess the simultaneous effects of related factors. Results: among the 120 patients, 67.5% presented Ineffective Breathing Pattern. In the univariate analysis, the related factors were: group of diseases, fatigue, obesity and presence of bronchial secretion, and the defining characteristics were: changes in respiratory depth, auscultation with adventitious sounds, dyspnea, reduced vesicular murmurs, tachypnea, cough and use of the accessory musculature to breathe. The mean age of patients with was higher than those without this diagnosis. The defining characteristics reduced murmurs had high sensitivity (92.6%), specificity (97.4%), negative related value (86.4%) and positive related value (98.7%). The related factors of Ineffective Breathing Pattern were the related factors fatigue, age and group of diseases. Conclusion: fatigue, age and patients with a group of diseases were related factors of Ineffective Breathing Pattern in this study. Reduced vesicular murmurs, auscultation with adventitious sounds and cough may be defining characteristics to be added in the international classification, as well as the related factors bronchial secretion and group of diseases.</t>
  </si>
  <si>
    <t xml:space="preserve">[do Prado, Patricia Rezende] Univ Fed Acre, Rio Branco, AC, Brazil; [do Prado, Patricia Rezende] Coordenacao Aperfeicoamento Pessoal Nivel Super C, Brasilia, DF, Brazil; [do Prado, Patricia Rezende] Fundacao Amparo Pesquisa Acre FAPAC, Rio Branco, Brazil; [de Cassia Bettencourt, Ana Rita; Lopes, Juliana de Lima] Univ Fed Sao Paulo, Escola Paulista Enfermagem, Sao Paulo, SP, Brazil</t>
  </si>
  <si>
    <t xml:space="preserve">Universidade Federal do Acre (UFAC); Coordenacao de Aperfeicoamento de Pessoal de Nivel Superior (CAPES); Universidade Federal de Sao Paulo (UNIFESP)</t>
  </si>
  <si>
    <t xml:space="preserve">do Prado, PR (corresponding author), Univ Fed Acre, Rio Branco, AC, Brazil.;do Prado, PR (corresponding author), Coordenacao Aperfeicoamento Pessoal Nivel Super C, Brasilia, DF, Brazil.;do Prado, PR (corresponding author), Fundacao Amparo Pesquisa Acre FAPAC, Rio Branco, Brazil.</t>
  </si>
  <si>
    <t xml:space="preserve">patyrezendeprado@gmail.com</t>
  </si>
  <si>
    <t xml:space="preserve">Prado, Patricia/F-2776-2015; Lopes, Juliana/AFN-9844-2022</t>
  </si>
  <si>
    <t xml:space="preserve">do Prado, Patricia Rezende/0000-0002-3563-6602</t>
  </si>
  <si>
    <t xml:space="preserve">UNIV SAO PAULO, ESCOLA DE ENFERMAGEM DE RIBEIRAO PRETO</t>
  </si>
  <si>
    <t xml:space="preserve">RIBEIRAO PRETO</t>
  </si>
  <si>
    <t xml:space="preserve">AV BANDEIRANTES, 3900, RIBEIRAO PRETO, SP 14040-902 A, BRAZIL</t>
  </si>
  <si>
    <t xml:space="preserve">1518-8345</t>
  </si>
  <si>
    <t xml:space="preserve">REV LAT-AM ENFERM</t>
  </si>
  <si>
    <t xml:space="preserve">Rev. Latino-Am. Enfermagem</t>
  </si>
  <si>
    <t xml:space="preserve">e3153</t>
  </si>
  <si>
    <t xml:space="preserve">10.1590/1518-8345.2902.3153</t>
  </si>
  <si>
    <t xml:space="preserve">Nursing</t>
  </si>
  <si>
    <t xml:space="preserve">JD9SD</t>
  </si>
  <si>
    <t xml:space="preserve">WOS:000490327600001</t>
  </si>
  <si>
    <t xml:space="preserve">Zhu, WJ; Liu, CH; Zhao, LQ; Zhao, M; Sha, L; Chang, L; Hao, CS; Qian, Y; Chen, YZ</t>
  </si>
  <si>
    <t xml:space="preserve">Zhu, Wen-Jing; Liu, Chuan-He; Zhao, Lin-Qing; Zhao, Min; Sha, Li; Chang, Li; Hao, Chun-Sheng; Qian, Yuan; Chen, Yu-Zhi</t>
  </si>
  <si>
    <t xml:space="preserve">The relationship between rhinovirus infection and acute wheezing in young children with recurrent wheezing</t>
  </si>
  <si>
    <t xml:space="preserve">EUROPEAN JOURNAL OF INFLAMMATION</t>
  </si>
  <si>
    <t xml:space="preserve">Rhinovirus; wheezing; young children</t>
  </si>
  <si>
    <t xml:space="preserve">RESPIRATORY SYNCYTIAL VIRUS; ASTHMA</t>
  </si>
  <si>
    <t xml:space="preserve">Asthma is a common chronic respiratory disease in childhood. The present study aims to assess the association between rhinovirus (RV) infection and acute wheezing in the occurrence of recurrent wheezing in 5-year old and younger children. A total of 109 children with recurrent wheezing and 70 children without wheezing (controls) were recruited from October 2013 to March 2015. Nasopharyngeal aspirate samples were obtained from all children. RV, human metapneumovirus (hMPV), and bocavirus (BoV) were tested by reverse transcription-polymerase chain reaction.Respiratory syncytial virus (RSV), parainfluenza virus (PIV), influenza virus (IV), and adenoviruses (ADV) were confirmed by detection of viral antigens via fluoroimmunoassay. Viral infection was more commonly detected in children with recurrent wheezing than in controls (odds ratio (OR): 6.10; 95% confidence interval (CI): 2.89-12.87). RV and RSV were found in both wheezing children and controls. However, RV was detected more in wheezing children than in controls (OR: 3.07; 95% CI: 1.37-6.90), followed by RSV (OR: 5.33; 95% CI: 1.53-18.62). Furthermore, RV more tended to infect wheezing children after infancy. Compared with children infected with other viruses, higher levels of eosinophil were found in wheezing children with RV infection (P &lt; 0.05). RV was the main pathogen that induced exacerbation in young children with recurrent wheezing. Furthermore, the rate of RV infection was higher in children above 1 year old. RV infection might be associated with high levels of eosinophil.</t>
  </si>
  <si>
    <t xml:space="preserve">[Zhu, Wen-Jing; Liu, Chuan-He; Sha, Li; Chen, Yu-Zhi] Capital Inst Pediat, Ctr Asthma Prevent &amp; Educ, 2 Yabao Rd, Beijing 100020, Peoples R China; [Zhao, Lin-Qing; Zhao, Min; Qian, Yuan] Capital Inst Pediat, Lab Virol, Beijing, Peoples R China; [Chang, Li] Capital Inst Pediat, Dept Resp Dis, Beijing, Peoples R China; [Hao, Chun-Sheng] Capital Inst Pediat, Dept Urol, Beijing, Peoples R China</t>
  </si>
  <si>
    <t xml:space="preserve">Capital Institute of Pediatrics (CIP); Capital Institute of Pediatrics (CIP); Capital Institute of Pediatrics (CIP); Capital Institute of Pediatrics (CIP)</t>
  </si>
  <si>
    <t xml:space="preserve">Liu, CH (corresponding author), Capital Inst Pediat, Ctr Asthma Prevent &amp; Educ, 2 Yabao Rd, Beijing 100020, Peoples R China.</t>
  </si>
  <si>
    <t xml:space="preserve">chuanheliu_dr@163.com</t>
  </si>
  <si>
    <t xml:space="preserve">Zhu, Wenjing/HDL-9239-2022</t>
  </si>
  <si>
    <t xml:space="preserve">National Health and Family Planning Commission of the People's Republic of China [201502025]; Yang Fan Plan of Beijing Medical Administration [ZYLX201829]</t>
  </si>
  <si>
    <t xml:space="preserve">National Health and Family Planning Commission of the People's Republic of China; Yang Fan Plan of Beijing Medical Administration</t>
  </si>
  <si>
    <t xml:space="preserve">The author(s) disclosed receipt of the following financial support for the research, authorship, and/or publication of this article: This study was supported by National Health and Family Planning Commission of the People's Republic of China (grant number 201502025) and Yang Fan Plan of Beijing Medical Administration(ZYLX201829).</t>
  </si>
  <si>
    <t xml:space="preserve">1721-727X</t>
  </si>
  <si>
    <t xml:space="preserve">2058-7392</t>
  </si>
  <si>
    <t xml:space="preserve">EUR J INFLAMM</t>
  </si>
  <si>
    <t xml:space="preserve">Eur. J. Inflamm.</t>
  </si>
  <si>
    <t xml:space="preserve">JAN 8</t>
  </si>
  <si>
    <t xml:space="preserve">10.1177/2058739218818677</t>
  </si>
  <si>
    <t xml:space="preserve">HQ5WK</t>
  </si>
  <si>
    <t xml:space="preserve">WOS:000462483100001</t>
  </si>
  <si>
    <t xml:space="preserve">Waghmare, A; Xie, H; Kuypers, J; Sorror, ML; Jerome, KR; Englund, JA; Boeckh, M; Leisenring, WM</t>
  </si>
  <si>
    <t xml:space="preserve">Waghmare, Alpana; Xie, Hu; Kuypers, Jane; Sorror, Mohamed L.; Jerome, Keith R.; Englund, Janet A.; Boeckh, Michael; Leisenring, Wendy M.</t>
  </si>
  <si>
    <t xml:space="preserve">Human Rhinovirus Infections in Hematopoietic Cell Transplant Recipients: Risk Score for Progression to Lower Respiratory Tract Infection</t>
  </si>
  <si>
    <t xml:space="preserve">BIOLOGY OF BLOOD AND MARROW TRANSPLANTATION</t>
  </si>
  <si>
    <t xml:space="preserve">Rhinovirus; Viral pneumonia; Hematopoietic cell transplantation; Respiratory virus</t>
  </si>
  <si>
    <t xml:space="preserve">SYNCYTIAL VIRUS; AEROSOLIZED RIBAVIRIN; HUMAN METAPNEUMOVIRUS; SEVERITY; DISEASE; LOAD; ASSOCIATION; MORTALITY; OUTCOMES; CXCL10</t>
  </si>
  <si>
    <t xml:space="preserve">Human rhinovirus lower respiratory tract infection (LRTI) is associated with mortality after hematopoietic cell transplantation (HCT); however, risk factors for LRTI are not well characterized. We sought to develop a risk score for progression to LRTI from upper respiratory tract infection (URTI) in HCT recipients. Risk factors for LRTI within 90 days were analyzed using Cox regression among HCT recipients with rhinovirus URTI between January 2009 and March 2016. The final multivariable model included factors with a meaningful effect on the bootstrapped optimism corrected concordance statistic. Weighted score contributions based on hazard ratios were determined. Cumulative incidence curves estimated the probability of LRTI at various score cut-offs. Of 588 rhinovirus URTI events, 100 (17%) progressed to LRTI. In a final multivariable model allogeneic grafts, prior rhinovirus URTI, low lymphocyte count, low albumin, positive cytomegalovirus serostatus, recipient statin use, and steroid use &gt;= 2 mg/kg/day were associated with progression to LRTI. A weighted risk score cut-off with the highest sensitivity and specificity was determined. Risk scores above this cut-off were associated with progression to LRTI (cumulative incidence 28% versus 11% below cut-off; P &lt; .001). The weighted risk score for progression to rhinovirus LRTI can help identify and stratify patients for clinical management and for future clinical trials of therapeutics in HCT recipients. (C) 2018 American Society for Blood and Marrow Transplantation.</t>
  </si>
  <si>
    <t xml:space="preserve">[Waghmare, Alpana; Jerome, Keith R.; Boeckh, Michael] Fred Hutchinson Canc Res Ctr, Vaccine &amp; Infect Dis Div, 1124 Columbia St, Seattle, WA 98104 USA; [Waghmare, Alpana; Englund, Janet A.] Univ Washington, Dept Pediat, Seattle, WA 98195 USA; [Waghmare, Alpana; Englund, Janet A.] Seattle Childrens Hosp, Dept Pediat, Seattle, WA USA; [Kuypers, Jane; Jerome, Keith R.] Univ Washington, Dept Lab Med, Seattle, WA 98195 USA; [Sorror, Mohamed L.; Boeckh, Michael] Univ Washington, Dept Med, Seattle, WA USA; [Xie, Hu; Sorror, Mohamed L.; Leisenring, Wendy M.] Fred Hutchinson Canc Res Ctr, Clin Res Div, 1124 Columbia St, Seattle, WA 98104 USA</t>
  </si>
  <si>
    <t xml:space="preserve">Fred Hutchinson Cancer Center; University of Washington; University of Washington Seattle; Seattle Children's Hospital; University of Washington; University of Washington Seattle; University of Washington; University of Washington Seattle; Fred Hutchinson Cancer Center</t>
  </si>
  <si>
    <t xml:space="preserve">Waghmare, A (corresponding author), Fred Hutchinson Canc Res Ctr, 1100 Fairview Ave North, Seattle, WA 98109 USA.</t>
  </si>
  <si>
    <t xml:space="preserve">alpana@uw.edu</t>
  </si>
  <si>
    <t xml:space="preserve">Englund, Janet/ABV-6379-2022; Boeckh, Michael/AAA-1607-2022</t>
  </si>
  <si>
    <t xml:space="preserve">Waghmare, Alpana/0000-0003-2268-9470; Sorror, Mohamed/0000-0001-5260-1981; Xie, Hu/0000-0003-0556-6591; Leisenring, Wendy/0000-0001-7405-0906</t>
  </si>
  <si>
    <t xml:space="preserve">National Institutes of Health (National Institute of Allergy and Infectious Diseases) [K23 AI114844]; National Institutes of Health (National Heart, Lung, and Blood Institute) [K24 HL093294]; National Institutes of Health (National Cancer Institute) [P30 CA15704]; Vaxart, Inc.</t>
  </si>
  <si>
    <t xml:space="preserve">National Institutes of Health (National Institute of Allergy and Infectious Diseases)(United States Department of Health &amp; Human ServicesNational Institutes of Health (NIH) - USANIH National Institute of Allergy &amp; Infectious Diseases (NIAID)); National Institutes of Health (National Heart, Lung, and Blood Institute)(United States Department of Health &amp; Human ServicesNational Institutes of Health (NIH) - USANIH National Heart Lung &amp; Blood Institute (NHLBI)); National Institutes of Health (National Cancer Institute)(United States Department of Health &amp; Human ServicesNational Institutes of Health (NIH) - USANIH National Cancer Institute (NCI)); Vaxart, Inc.</t>
  </si>
  <si>
    <t xml:space="preserve">Supported by grants from the National Institutes of Health (National Institute of Allergy and Infectious Diseases K23 AI114844 [to A.W.], National Heart, Lung, and Blood Institute K24 HL093294 [to M.B.], and National Cancer Institute P30 CA15704 [to W.L.]) and Vaxart, Inc. (to A.W. and M.B.). The study sponsors (National Institutes of Health and Vaxart, Inc.) did not contribute to the study design, data collection, analysis, interpretation of data, writing of the report, or to the decision to submit the paper for publication.</t>
  </si>
  <si>
    <t xml:space="preserve">1083-8791</t>
  </si>
  <si>
    <t xml:space="preserve">1523-6536</t>
  </si>
  <si>
    <t xml:space="preserve">BIOL BLOOD MARROW TR</t>
  </si>
  <si>
    <t xml:space="preserve">Biol. Blood Marrow Transplant.</t>
  </si>
  <si>
    <t xml:space="preserve">10.1016/j.bbmt.2018.12.005</t>
  </si>
  <si>
    <t xml:space="preserve">Hematology; Immunology; Transplantation</t>
  </si>
  <si>
    <t xml:space="preserve">HZ9GV</t>
  </si>
  <si>
    <t xml:space="preserve">WOS:000469164700021</t>
  </si>
  <si>
    <t xml:space="preserve">Maffey, AF; Barrero, PR; Venialgo, C; Fernández, F; Fuse, VA; Saia, M; Villalba, A; Fermepin, MR; Teper, AM; Mistchenko, AS</t>
  </si>
  <si>
    <t xml:space="preserve">Maffey, Alberto F.; Barrero, Paola R.; Venialgo, Carolina; Fernandez, Francisco; Fuse, Valentina A.; Saia, Mariana; Villalba, Analia; Rodriguez Fermepin, Marcelo; Teper, Alejandro M.; Mistchenko, Alicia S.</t>
  </si>
  <si>
    <t xml:space="preserve">Viruses and Atypical Bacteria Associated With Asthma Exacerbations in Hospitalized Children</t>
  </si>
  <si>
    <t xml:space="preserve">rhinovirus; respiratory syncytial virus; wheezing illness</t>
  </si>
  <si>
    <t xml:space="preserve">RESPIRATORY SYNCYTIAL VIRUS; MYCOPLASMA-PNEUMONIAE; HUMAN METAPNEUMOVIRUS; CHLAMYDIA-PNEUMONIAE; VIRAL-INFECTIONS; BRONCHIOLITIS; COINFECTION; PREVALENCE; PREVENTION; DIAGNOSIS</t>
  </si>
  <si>
    <t xml:space="preserve">Objectives and Working Hypothesis: To evaluate the prevalence of respiratory viruses Mycoplasma pneumoniae and Chlamydophila pneumoniae and gain insight into their seasonal circulation pattern in children with acute asthma exacerbations in a temperate southern hemisphere region.Study Design: Patients hospitalized between 3 months and 16 years of age were included in a 1-year prospective, observational, cross-sectional study. Respiratory secretions were collected and the presence of different viruses and atypical bacteria analyzed by immunofluorescence and polymerase chain reaction.Results: Two hundred nine patients (118 females) aged (mean +/- SD) 4.4 +/- 4 years were included. A potential causative agent was detected in 78% of the patients. The most frequently detected viruses were respiratory syncytial virus (HRSV) (n = 85; 40%) and rhinovirus (HRV) (n = 52; 24.5%); M. pneumoniae and C. pneumoniae were detected in 4.5% and 2% of the cases, respectively. Patients with HRSV (vs. HRV) were hospitalized for a longer time (6.7 vs. 5.2 days, P=0.012), required more days of oxygen supply (5.1 vs. 3.4, P=0.005), had a longer duration of the exacerbation before hospitalization (3.6 vs. 1.9 days, P=0.001) and were younger (3.7 vs. 5.1 years, P=0.012). Three peaks of admissions were observed. A first peak (early autumn) caused by HRV, a second peak (winter) caused mainly by HRSV and a third one (spring), caused by HRSV, an increase in HMPV together with a second outbreak of HRV. Conclusions: Children with an acute asthma exacerbation presented a high prevalence of respiratory viruses. Most hospitalizations corresponded to seasonal increases in prevalence of HRV and HRSV. Pediatr Pulmonol. 2010; 45:619-625. (C) 2010 Wiley-Liss, Inc.</t>
  </si>
  <si>
    <t xml:space="preserve">[Maffey, Alberto F.; Venialgo, Carolina; Saia, Mariana; Villalba, Analia; Teper, Alejandro M.] Hosp Ninos Dr Ricardo Gutierrez, Ctr Resp, Buenos Aires, DF, Argentina; [Barrero, Paola R.; Fernandez, Francisco; Fuse, Valentina A.; Mistchenko, Alicia S.] Hosp Ninos Dr Ricardo Gutierrez, Virol Lab, Buenos Aires, DF, Argentina; [Barrero, Paola R.] Consejo Nacl Invest Cient &amp; Tecn, RA-1033 Buenos Aires, DF, Argentina; [Rodriguez Fermepin, Marcelo] Univ Buenos Aires, Fac Farm &amp; Bioquim, Hosp Clin Jose de San Martin, Inmunol Clin,Catedra Anal Clin 1,Dept Bioquim Cli, RA-1113 Buenos Aires, DF, Argentina; [Mistchenko, Alicia S.] Comis Invest Cient Prov Buenos Aires, Buenos Aires, DF, Argentina</t>
  </si>
  <si>
    <t xml:space="preserve">Hospital de Ninos Doctor Ricardo Gutierrez; University of Buenos Aires; University of Buenos Aires; Hospital de Ninos Doctor Ricardo Gutierrez; Consejo Nacional de Investigaciones Cientificas y Tecnicas (CONICET); University of Buenos Aires; Comision de Investigaciones Cientificas</t>
  </si>
  <si>
    <t xml:space="preserve">Maffey, AF (corresponding author), Pena 2757,1 C, RA-1425 Buenos Aires, DF, Argentina.</t>
  </si>
  <si>
    <t xml:space="preserve">amaffey@gmail.com</t>
  </si>
  <si>
    <t xml:space="preserve">RODRIGUEZ FERMEPIN, Marcelo/AAY-7762-2021</t>
  </si>
  <si>
    <t xml:space="preserve">RODRIGUEZ FERMEPIN, Marcelo/0000-0003-2543-4262; Teper, Alejandro/0000-0002-7835-9713; FERNANDEZ, FRANCISCO/0000-0001-7269-4572</t>
  </si>
  <si>
    <t xml:space="preserve">WILEY-LISS</t>
  </si>
  <si>
    <t xml:space="preserve">DIV JOHN WILEY &amp; SONS INC, 111 RIVER ST, HOBOKEN, NJ 07030 USA</t>
  </si>
  <si>
    <t xml:space="preserve">10.1002/ppul.21236</t>
  </si>
  <si>
    <t xml:space="preserve">607JX</t>
  </si>
  <si>
    <t xml:space="preserve">WOS:000278500000014</t>
  </si>
  <si>
    <t xml:space="preserve">Sun, HQ; Sun, QF; Jiang, WJ; Chen, ZR; Huang, L; Wang, MJ; Ji, W; Shao, XJ; Yan, YD</t>
  </si>
  <si>
    <t xml:space="preserve">Sun, Huiquan; Sun, Qiufeng; Jiang, Wunjun; Chen, Zhengrong; Huang, Li; Wang, Meijuan; Ji, Wei; Shao, Xuejun; Yan, Yongdong</t>
  </si>
  <si>
    <t xml:space="preserve">Prevalence of rhinovirus in wheezing children: a comparison with respiratory syncytial virus wheezing</t>
  </si>
  <si>
    <t xml:space="preserve">BRAZILIAN JOURNAL OF INFECTIOUS DISEASES</t>
  </si>
  <si>
    <t xml:space="preserve">Rhinovirus; Respiratory syncytial virus; Wheezing</t>
  </si>
  <si>
    <t xml:space="preserve">HOSPITALIZED CHILDREN; TRACT INFECTIONS; ACUTE ASTHMA; EARLY-LIFE; BRONCHIOLITIS; ASSOCIATION; PATHOGENS; SEVERITY</t>
  </si>
  <si>
    <t xml:space="preserve">Objective: To explore the distribution and clinical manifestations of rhinovirus infection in wheezing children, and compare the clinical differences between rhinovirus- and respiratory syncytial virus-induced wheezing. Materials and methods: This prospective cohort study was carried out in Children's Hospital of Soochow University from Dec 2012 to Nov 2014. We enrolled consecutive hospitalized children &lt;60 months of age presented with wheezing. Clinical data including cough, fever, dyspnea, crackles were recorded by pediatricians on the first day of admission. Meanwhile, nasopharyngeal aspirates were obtained to test for respiratory viruses, by using polymerase chain reaction method for rhinovirus, human bocavirus, and human metapneumovirus, and direct immunofluorescence assay to test for respiratory syncytial virus, adenovirus, parainfluenza virus types 1-3, and influenza virus types A and B. Results: Rhinovirus was a main causative agent isolated in 14.7% of the hospitalized wheezing children in Suzhou, China, being second to respiratory syncytial virus (21.0%). Different from respiratory syncytial virus infection, which peaked in winter months, rhinovirus could be detected all year round, peaked between July and September, and in November. Children with rhinovirus infection were older and presented with more often allergic sensitizations, blood eosinophilia, and leukocytosis than those of respiratory syncytial virus infection. Logistic regression analysis revealed that rhinovirus-infected children experienced earlier wheezing more often than respiratory syncytial virus children (odds ratio, 3.441; 95% confidence interval, 1.187-9.979; p = 0.023). Conclusion: Rhinovirus was a main viral pathogen in wheezing children, especially in summer time. Rhinovirus-induced wheezing was different from respiratory syncytial virus, apart from seasonal epidemics; these two groups differed with regard to age, allergic sensitizations, laboratory test, and history of wheezing episodes. (C) 2016 Elsevier Editora Ltda.</t>
  </si>
  <si>
    <t xml:space="preserve">[Sun, Huiquan; Jiang, Wunjun; Chen, Zhengrong; Huang, Li; Wang, Meijuan; Ji, Wei; Shao, Xuejun; Yan, Yongdong] Soochow Univ, Childrens Hosp, Dept Resp Med, 303 Jing De Rd, Suzhou 215003, Peoples R China; [Sun, Qiufeng] Xiamen Univ, Affiliated Hosp 1, Dept Pediat, Xiamen, Peoples R China</t>
  </si>
  <si>
    <t xml:space="preserve">Soochow University - China; Xiamen University</t>
  </si>
  <si>
    <t xml:space="preserve">Yan, YD (corresponding author), Soochow Univ, Childrens Hosp, Dept Resp Med, 303 Jing De Rd, Suzhou 215003, Peoples R China.</t>
  </si>
  <si>
    <t xml:space="preserve">yyd3060@126.com</t>
  </si>
  <si>
    <t xml:space="preserve">Wang, Jianye/KFA-4087-2024; sun, qiufeng/IVV-1077-2023; Chen, Zhengrong/LSL-5975-2024</t>
  </si>
  <si>
    <t xml:space="preserve">ELSEVIER BRAZIL</t>
  </si>
  <si>
    <t xml:space="preserve">RIO DE JANEIRO</t>
  </si>
  <si>
    <t xml:space="preserve">R SETE SETEMBRO, 111-16, RIO DE JANEIRO, RJ 20050-006, BRAZIL</t>
  </si>
  <si>
    <t xml:space="preserve">1413-8670</t>
  </si>
  <si>
    <t xml:space="preserve">1678-4391</t>
  </si>
  <si>
    <t xml:space="preserve">BRAZ J INFECT DIS</t>
  </si>
  <si>
    <t xml:space="preserve">Braz. J. Infect. Dis.</t>
  </si>
  <si>
    <t xml:space="preserve">MAR-APR</t>
  </si>
  <si>
    <t xml:space="preserve">10.1016/j.bjid.2015.12.005</t>
  </si>
  <si>
    <t xml:space="preserve">DH5GD</t>
  </si>
  <si>
    <t xml:space="preserve">WOS:000372813300011</t>
  </si>
  <si>
    <t xml:space="preserve">Chen, YX; Liu, JF; Larson, E</t>
  </si>
  <si>
    <t xml:space="preserve">Chen, Yingxue; Liu, Jianfang; Larson, Elaine</t>
  </si>
  <si>
    <t xml:space="preserve">Temporal trends and factors associated with pediatric hospitalizations with respiratory infection</t>
  </si>
  <si>
    <t xml:space="preserve">JOURNAL OF ASTHMA</t>
  </si>
  <si>
    <t xml:space="preserve">rhinovirus; respiratory syncytial virus; pneumonia; human metapneumovirus; influenza; Acute bronchitis and bronchiolitis; asthma</t>
  </si>
  <si>
    <t xml:space="preserve">ASTHMA; MANAGEMENT</t>
  </si>
  <si>
    <t xml:space="preserve">Objectives: Asthma is the leading cause of emergency room visits in children, and those with asthma tend to suffer from more severe consequences of respiratory tract infections. The aims of this study were among children who required hospitalization, compare differences between those admitted with or without respiratory infection, describe changes in yearly proportion of asthma among the children admitted with a respiratory infection in New York City from 2006 to 2012 and ascertain how asthma affected the average length of hospital stay for those with respiratory infection. Methods: We conducted an historical prospective study using data obtained from multiple electronic sources of patients discharged from a 200-bed pediatric hospital in a major metropolitan healthcare system between 2006 and 2012. Patient characteristics were obtained from electronic health records and billing codes. Results: Among 83 348 patient discharges, there were 5057 (6.1%) with a respiratory infection. In the multivariable model, children with the following characteristics were significantly more likely to be admitted with a respiratory infection as compared with other diagnoses: asthma [odds ratio (OR) 4.68 (95% confidence limits (CL): 4.31, 5.08], male sex [OR:1.11 (1.05, 1.18)], prior hospitalization [OR: 3.65 (3.43, 3.89)], renal failure [(OR: 2.14 (1.70, 2.70)] and Medicaid coverage [OR: 1.93 (1.81, 2.05)]. Children aged &gt;= 5 years (OR: 0.44 (0.41, 0.47) and those with diabetes (OR: 0.32 (0.21, 0.51) were less likely to be admitted with a respiratory infection. Hospitalized patients with respiratory infection and asthma, identified by ICD-9 codes, had significantly shorter lengths of stay than patients without asthma, 5.3 and 9.0 days, respectively, p &lt; 0.001. Asthma in patients admitted with a respiratory infection increased from 19.2% in 2006 to 28.2% in 2012, peaking at 34.1% in 2010 (p &lt; 0.001). Conclusion: This study suggests that asthma is a significant risk factor for hospitalization of children with respiratory infection, and suggests that the prevalence of asthma is increasing over time among children hospitalized with respiratory infection in this urban setting.</t>
  </si>
  <si>
    <t xml:space="preserve">[Chen, Yingxue; Larson, Elaine] Columbia Univ, Mailman Sch Publ Hlth, Dept Epidemiol, New York, NY 10032 USA; [Liu, Jianfang; Larson, Elaine] Columbia Univ, Sch Nursing, New York, NY 10032 USA</t>
  </si>
  <si>
    <t xml:space="preserve">Columbia University; Columbia University</t>
  </si>
  <si>
    <t xml:space="preserve">Larson, E (corresponding author), Columbia Univ, Sch Nursing, Nursing Res, 617 W 168th St,Room 330, New York, NY 10032 USA.</t>
  </si>
  <si>
    <t xml:space="preserve">Ell23@columbia.edu</t>
  </si>
  <si>
    <t xml:space="preserve">National Institute of Nursing Research (Health Information Technology to Reduce Healthcare-Associated Infection: HIT-HAI'') [2R01NR010822]</t>
  </si>
  <si>
    <t xml:space="preserve">National Institute of Nursing Research (Health Information Technology to Reduce Healthcare-Associated Infection: HIT-HAI'')</t>
  </si>
  <si>
    <t xml:space="preserve">This study was funded by The National Institute of Nursing Research (Health Information Technology to Reduce Healthcare-Associated Infection: HIT-HAI''), 2R01NR010822.</t>
  </si>
  <si>
    <t xml:space="preserve">TAYLOR &amp; FRANCIS LTD</t>
  </si>
  <si>
    <t xml:space="preserve">ABINGDON</t>
  </si>
  <si>
    <t xml:space="preserve">2-4 PARK SQUARE, MILTON PARK, ABINGDON OR14 4RN, OXON, ENGLAND</t>
  </si>
  <si>
    <t xml:space="preserve">0277-0903</t>
  </si>
  <si>
    <t xml:space="preserve">1532-4303</t>
  </si>
  <si>
    <t xml:space="preserve">J ASTHMA</t>
  </si>
  <si>
    <t xml:space="preserve">J. Asthma</t>
  </si>
  <si>
    <t xml:space="preserve">JAN 2</t>
  </si>
  <si>
    <t xml:space="preserve">10.3109/02770903.2015.1081940</t>
  </si>
  <si>
    <t xml:space="preserve">Allergy; Respiratory System</t>
  </si>
  <si>
    <t xml:space="preserve">DG9QP</t>
  </si>
  <si>
    <t xml:space="preserve">WOS:000372419200004</t>
  </si>
  <si>
    <t xml:space="preserve">Greer, RM; McErlean, P; Arden, KE; Faux, CE; Nitsche, A; Lambert, SB; Nissen, MD; Sloots, TP; Mackay, IM</t>
  </si>
  <si>
    <t xml:space="preserve">Greer, R. M.; McErlean, P.; Arden, K. E.; Faux, C. E.; Nitsche, A.; Lambert, S. B.; Nissen, M. D.; Sloots, T. P.; Mackay, I. M.</t>
  </si>
  <si>
    <t xml:space="preserve">Do rhinoviruses reduce the probability of viral co-detection during acute respiratory tract infections?</t>
  </si>
  <si>
    <t xml:space="preserve">Rhinovirus; Interference; Acute respiratory tract infection; Innate immunity; Protective effect</t>
  </si>
  <si>
    <t xml:space="preserve">SYNCYTIAL VIRUS; HUMAN METAPNEUMOVIRUS; HUMAN CORONAVIRUS; CHILDREN; ASTHMA; INTERFERON; IDENTIFICATION; AMPLIFICATION; ILLNESSES; INFLUENZA</t>
  </si>
  <si>
    <t xml:space="preserve">Background: Human rhinoviruses (HRVs) are often concurrently detected with other viruses found in the respiratory tract because of the high total number of HRV infections occurring throughout the year. This feature has previously relegated HRVs to being considered passengers in acute respiratory infections. HRVs remain poorly characterized and are seldom included as a target in diagnostic panels despite their pathogenic potential, infection-associated healthcare expenditure and relatively unmoderated elicitation of an antiviral state. Objectives: To test the hypothesis that respiratory viruses are proportionately more or less likely to co-occur, particularly the HRVs. Study design: Retrospective PCR-based analyses of 1247 specimens for 17 viruses, including HRV strains, identified 131 specimens containing two or more targets. We investigated the proportions of co-detections and compared the proportion of upper vs. lower respiratory tract presentations in the HRV positive group. Both univariate contingency table and multivariate logistic regression analyses were conducted to identify trends of association among the viruses present in co-detections. Results: Many of the co-detections occurred in patterns. In particular, HRV detection was associated with a reduced probability of detecting human adenoviruses, coronaviruses, bocavirus, metapneumovirus, respiratory syncytial virus, parainfluenza virus, influenza A virus, and the polyomaviruses KIPyV and WUPyV (p &lt;= 0.05). No single HRV species nor cluster of particular strains predominated. Conclusions: HRVs were proportionately under-represented among viral co-detections. For some period, HRVs may render the host less likely to be infected by other viruses. (C) 2009 Elsevier B.V. All rights reserved.</t>
  </si>
  <si>
    <t xml:space="preserve">[McErlean, P.; Arden, K. E.; Faux, C. E.; Lambert, S. B.; Nissen, M. D.; Sloots, T. P.; Mackay, I. M.] Royal Childrens Hosp, Queensland Childrens Med Res Inst, Sir Albert Sakzewski Virus Res Ctr, Queensland Paediat Infect Dis Lab, Brisbane, Qld, Australia; [Greer, R. M.] Univ Queensland, Sch Vet Sci, St Lucia, Qld, Australia; [McErlean, P.; Arden, K. E.; Faux, C. E.; Lambert, S. B.; Nissen, M. D.; Sloots, T. P.; Mackay, I. M.] Univ Queensland, Clin &amp; Med Virol Ctr, St Lucia, Qld, Australia; [Nitsche, A.] Robert Koch Inst, Ctr Biol Safety 1, D-1000 Berlin, Germany; [Nissen, M. D.; Sloots, T. P.] Royal Brisbane Hosp Campus, Queensland Hlth Pathol Serv, Div Microbiol, Brisbane, Qld, Australia; [Nissen, M. D.; Sloots, T. P.] Royal Childrens Hosp, Dept Paediat &amp; Child Hlth, Brisbane, Qld, Australia</t>
  </si>
  <si>
    <t xml:space="preserve">Royal Children's Hospital Brisbane; University of Queensland; University of Queensland; University of Queensland; Robert Koch Institute; Royal Brisbane &amp; Women's Hospital; Queensland Health; Royal Children's Hospital Brisbane</t>
  </si>
  <si>
    <t xml:space="preserve">Mackay, IM (corresponding author), Royal Childrens Hosp, Queensland Childrens Med Res Inst, Sir Albert Sakzewski Virus Res Ctr, Queensland Paediat Infect Dis Lab, Brisbane, Qld, Australia.</t>
  </si>
  <si>
    <t xml:space="preserve">Sloots, Theo/E-6118-2011; McErlean, Peter/O-5187-2016; Lambert, Stephen/N-7819-2019; Greer, Ristan/N-6948-2015; Nissen, Michael/M-6823-2013; Arden, Katherine/D-7970-2017; Lambert, Stephen/B-8348-2008; Mackay, Ian M./B-2537-2010</t>
  </si>
  <si>
    <t xml:space="preserve">Greer, Ristan/0000-0002-1574-4729; Nitsche, Andreas/0000-0001-8185-3176; Nissen, Michael/0000-0003-1686-3313; Arden, Katherine/0000-0003-3195-124X; Lambert, Stephen/0000-0002-2709-193X; Mackay, Ian M./0000-0003-3598-2350</t>
  </si>
  <si>
    <t xml:space="preserve">National Health and Medical Research Committee [455905]</t>
  </si>
  <si>
    <t xml:space="preserve">National Health and Medical Research Committee(National Health &amp; Medical Research Council (NHMRC) of Australia)</t>
  </si>
  <si>
    <t xml:space="preserve">This work was supported by a National Health and Medical Research Committee grant (455905). We thank Pathology Services, Queensland Health for the provision of clinical specimens and Dr. Kirsten Spann for discussions on immunological matters.</t>
  </si>
  <si>
    <t xml:space="preserve">10.1016/j.jcv.2009.03.008</t>
  </si>
  <si>
    <t xml:space="preserve">454LH</t>
  </si>
  <si>
    <t xml:space="preserve">WOS:000266682900003</t>
  </si>
  <si>
    <t xml:space="preserve">Miller, EK; Williams, JV; Gebretsadik, T; Carroll, KN; Dupont, WD; Mohamed, YA; Morin, LL; Heil, L; Minton, PA; Woodward, K; Liu, ZW; Hartert, TV</t>
  </si>
  <si>
    <t xml:space="preserve">Miller, E. Kathryn; Williams, John V.; Gebretsadik, Tebeb; Carroll, Kecia N.; Dupont, William D.; Mohamed, Yassir A.; Morin, Laura-Lee; Heil, Luke; Minton, Patricia A.; Woodward, Kimberly; Liu, Zhouwen; Hartert, Tina V.</t>
  </si>
  <si>
    <t xml:space="preserve">Host and viral factors associated with severity of human rhinovirus-associated infant respiratory tract illness</t>
  </si>
  <si>
    <t xml:space="preserve">JOURNAL OF ALLERGY AND CLINICAL IMMUNOLOGY</t>
  </si>
  <si>
    <t xml:space="preserve">Rhinovirus; HRVC; infants; atopy; asthma; bronchiolitis; maternal</t>
  </si>
  <si>
    <t xml:space="preserve">HUMAN METAPNEUMOVIRUS INFECTION; POLYMERASE-CHAIN-REACTION; TRANSCRIPTION-PCR ASSAY; HOSPITALIZED CHILDREN; SYNCYTIAL VIRUS; ASTHMA EXACERBATIONS; YOUNG-CHILDREN; HONG-KONG; BRONCHIOLITIS; LIFE</t>
  </si>
  <si>
    <t xml:space="preserve">Background: Risk factors for severe human rhinovirus (HRV)associated infant illness are unknown. Objectives: We sought to examine the role of HRV infection in infant respiratory tract illness and assess viral and host risk factors for HRV-associated disease severity. Methods: We used a prospective cohort of term, previously healthy infants enrolled during an inpatient or outpatient visit for acute upper or lower respiratory tract illness during the fall-spring months of 2004-2008. Illness severity was determined by using an ordinal bronchiolitis severity score, with higher scores indicating more severe disease. HRV was identified by means of real-time RT-PCR. The VP4/VP2 region from HRV-positive specimens was sequenced to determine species. Results: Of 630 infants with bronchiolitis or upper respiratory tract illnesses (URIs), 162 (26%) had HRV infection; HRV infection was associated with 18% of cases of bronchiolitis and 47% of cases of URI. Among infants with HRV infection, 104 (64%) had HRV infection alone. Host factors associated with more severe HRV-associated illness included a maternal and family history of atopy (median score of 3.5 [interquartile range [IQR], 1.0-7.8] vs 2.0 [IQR, 1.0-5.2] and 3.5 [IQR, 1.0-7.5] vs 2.0 [IQR, 0-4.0]). In adjusted analyses maternal history of atopy conferred an increase in the risk for more severe HRVassociated bronchiolitis (odds ratio, 2.39; 95% CI, 1.14-4.99; P = .02). In a similar model maternal asthma was also associated with greater HRV-associated bronchiolitis severity (odds ratio, 2.49, 95% CI, 1.10-5.67; P = .03). Among patients with HRV infection, 35% had HRVA, 6% had HRVB, and 30% had HRVC. Conclusion: HRV infection was a frequent cause of bronchiolitis and URIs among previously healthy term infants requiring hospitalization or unscheduled outpatient visits. Substantial viral genetic diversity was seen among the patients with HRV infection, and predominant groups varied by season and year. Host factors, including maternal atopy, were associated with more severe infant HRV-associated illness. (J Allergy Clin Immunol 2011;127:883-91.)</t>
  </si>
  <si>
    <t xml:space="preserve">[Hartert, Tina V.] Vanderbilt Univ, Sch Med, Dept Med, Div Allergy Pulm &amp; Crit Care Med, Nashville, TN 37232 USA; [Miller, E. Kathryn; Williams, John V.; Carroll, Kecia N.; Mohamed, Yassir A.; Morin, Laura-Lee; Heil, Luke] Vanderbilt Univ, Dept Pediat, Nashville, TN 37232 USA; [Williams, John V.] Vanderbilt Univ, Dept Microbiol &amp; Immunol, Nashville, TN 37232 USA; [Gebretsadik, Tebeb; Dupont, William D.; Liu, Zhouwen] Vanderbilt Univ, Dept Biostat, Nashville, TN 37232 USA</t>
  </si>
  <si>
    <t xml:space="preserve">Vanderbilt University; Vanderbilt University; Vanderbilt University; Vanderbilt University</t>
  </si>
  <si>
    <t xml:space="preserve">Hartert, TV (corresponding author), Vanderbilt Univ, Sch Med, Dept Med, Div Allergy Pulm &amp; Crit Care Med, 6107 MCE, Nashville, TN 37232 USA.</t>
  </si>
  <si>
    <t xml:space="preserve">tina.hartert@vanderbilt.edu</t>
  </si>
  <si>
    <t xml:space="preserve">Gebretsadik, Tebeb/KUC-9494-2024; Williams, John/ABE-3227-2020; Dupont, William/KRO-8863-2024; Williams, John/F-6962-2010</t>
  </si>
  <si>
    <t xml:space="preserve">Dupont, William/0000-0002-8166-599X; Gebretsadik, Tebeb/0000-0003-4548-3010; Williams, John/0000-0001-8377-5175</t>
  </si>
  <si>
    <t xml:space="preserve">Thrasher New Investigator Award; Thrasher Research Fund Clinical Research Grant; NIH [K24 AI 077930, UL1 RR024975, K01 AI070808, U01 HL 072471, R01 AI 05884, R01 HS018454, R01 HS019669, K12 ES 015855]; National Institute of Allergy and Infectious Diseases (NIAID)/National Institutes of Health (NIH); MedImmune; [KL2 RR24977-03]</t>
  </si>
  <si>
    <t xml:space="preserve">Thrasher New Investigator Award; Thrasher Research Fund Clinical Research Grant; NIH(United States Department of Health &amp; Human ServicesNational Institutes of Health (NIH) - USA); National Institute of Allergy and Infectious Diseases (NIAID)/National Institutes of Health (NIH)(United States Department of Health &amp; Human ServicesNational Institutes of Health (NIH) - USANIH National Institute of Allergy &amp; Infectious Diseases (NIAID)); MedImmune(AstraZenecaMedimmune);</t>
  </si>
  <si>
    <t xml:space="preserve">Supported by KL2 RR24977-03 (to E. K. M.), a Thrasher New Investigator Award (to E. K. M.), a Thrasher Research Fund Clinical Research Grant (to T. V. H.), an NIH mid-career investigator award K24 AI 077930 (to T. V. H.), UL1 RR024975 (Vanderbilt CTSA), and an NIH K01 AI070808 mentored clinical science award (to K.N.C.). T. V. H. is also supported by NIH grants U01 HL 072471, R01 AI 05884, R01 HS018454, R01 HS019669, and NIH K12 ES 015855.Disclosure of potential conflict of interest: E. K. Miller has received research support from Thrasher and VCTRS K12 and is a member of the American Academy of Allergy, Asthma &amp; Immunology's EORD Committee. J. V. Williams has served as a consultant for MedImmune and Novartis and serves on the scientific advisory board for Quidel. K. N. Carroll has received research support from the National Institute of Allergy and Infectious Diseases (NIAID)/National Institutes of Health (NIH). W. D. Dupont has received research support from the NIH. T. V. Hartert is on the Scientific Advisory Committee, is a speaker for Merck, and has received research support from MedImmune and the NIH. The rest of the authors have declared that they have no conflict of interest.</t>
  </si>
  <si>
    <t xml:space="preserve">0091-6749</t>
  </si>
  <si>
    <t xml:space="preserve">1097-6825</t>
  </si>
  <si>
    <t xml:space="preserve">J ALLERGY CLIN IMMUN</t>
  </si>
  <si>
    <t xml:space="preserve">J. Allergy Clin. Immunol.</t>
  </si>
  <si>
    <t xml:space="preserve">10.1016/j.jaci.2010.11.041</t>
  </si>
  <si>
    <t xml:space="preserve">743YL</t>
  </si>
  <si>
    <t xml:space="preserve">hybrid, Green Accepted</t>
  </si>
  <si>
    <t xml:space="preserve">WOS:000289055800008</t>
  </si>
  <si>
    <t xml:space="preserve">Linder, JE; Kraft, DC; Mohamed, Y; Lu, ZQ; Heil, L; Tollefson, S; Saville, BR; Wright, PF; Williams, JV; Miller, EK</t>
  </si>
  <si>
    <t xml:space="preserve">Linder, Jodell E.; Kraft, David C.; Mohamed, Yassir; Lu, Zengqi; Heil, Luke; Tollefson, Sharon; Saville, Benjamin R.; Wright, Peter F.; Williams, John V.; Miller, E. Kathryn</t>
  </si>
  <si>
    <t xml:space="preserve">Human rhinovirus C: Age, season, and lower respiratory illness over the past 3 decades</t>
  </si>
  <si>
    <t xml:space="preserve">Rhinovirus; HRV-C; children; season; lower respiratory illness</t>
  </si>
  <si>
    <t xml:space="preserve">OTHERWISE HEALTHY INFANTS; TRACT INFECTIONS; YOUNG-CHILDREN; HUMAN METAPNEUMOVIRUS; CLINICAL-FEATURES; VIRUS-INFECTIONS; SYNCYTIAL VIRUS; SPECIES C; HRV-C; INFLUENZA</t>
  </si>
  <si>
    <t xml:space="preserve">Background: Human rhinoviruses (HRVs) cause common colds, and the recently discovered HRV-C is increasingly associated with lower respiratory illness among populations such as children and asthmatic patients. Objective: To determine how HRV-C is associated with respiratory illness and to evaluate changes in prevalence and species over 2 decades. Methods: A prospective study of children younger than 5 years was performed at the Vanderbilt Vaccine Clinic over a 21-year period. Nasal-wash specimens from children presenting with upper or lower respiratory illness at acute care visits were tested for HRV and HRV-positives genotyped. Demographic and clinical features were compared between children with or without HRV, and with different HRV species. Results: HRV was detected in 190 of 527 (36%) specimens from a population of 2009 children from 1982 through 2003. Of these, 36% were HRV-C. Age (P = .039) and month of illness (P &lt; .001) were associated with HRV infection and HRV species. HRV-C was significantly associated with lower respiratory illness, compared with HRV-A (P = .014). HRV-A and HRV-C prevalence fluctuated throughout the 21-year period; HRV-C was more prevalent during winter (P = .058). Conclusions: HRV-C is not a new virus but has been significantly associated with childhood lower respiratory illness in this population for several decades. Temporal changes in virus prevalence occur, and season may predict virus species. Our findings have implications for diagnostic, preventive, and treatment strategies due to the variation in disease season and severity based on species of HRV infection. (J Allergy Clin Immunol 2013;131:69-77.)</t>
  </si>
  <si>
    <t xml:space="preserve">[Linder, Jodell E.; Kraft, David C.; Mohamed, Yassir; Heil, Luke; Tollefson, Sharon; Williams, John V.; Miller, E. Kathryn] Vanderbilt Univ, Dept Pediat, Sch Med, Nashville, TN 37232 USA; [Lu, Zengqi; Saville, Benjamin R.] Vanderbilt Univ, Dept Biostat, Sch Med, Nashville, TN 37232 USA; [Williams, John V.] Vanderbilt Univ, Dept Pathol Microbiol &amp; Immunol, Sch Med, Nashville, TN 37232 USA; [Wright, Peter F.] Geisel Sch Med Dartmouth, Div Infect Dis &amp; Int Hlth, Hanover, NH USA</t>
  </si>
  <si>
    <t xml:space="preserve">Vanderbilt University; Vanderbilt University; Vanderbilt University; Dartmouth College</t>
  </si>
  <si>
    <t xml:space="preserve">Miller, EK (corresponding author), Vanderbilt Univ, Dept Pediat, Sch Med, 1161 21st Ave S,D7201 Med Ctr N, Nashville, TN 37232 USA.</t>
  </si>
  <si>
    <t xml:space="preserve">eva.k.miller@vanderbilt.edu</t>
  </si>
  <si>
    <t xml:space="preserve">Williams, John/0000-0001-8377-5175</t>
  </si>
  <si>
    <t xml:space="preserve">National Institutes of Health [RR-24977-03, AI-091691-02, AI-085062]; Vanderbilt Institutional Clinical and Translational Research [UL1 RR024975-01, UL1 TR000445-06]; National Institute of Allergy and Infectious Diseases/Vaccine and Treatment Evaluation Units; Gates Foundation; National Institutes of Health (NIH); NIH; March of Dimes; Thrasher; MedImmune; Vanderbilt Institutional Clinical and Translational Research; FOOCUS Asthma Group</t>
  </si>
  <si>
    <t xml:space="preserve">National Institutes of Health(United States Department of Health &amp; Human ServicesNational Institutes of Health (NIH) - USA); Vanderbilt Institutional Clinical and Translational Research; National Institute of Allergy and Infectious Diseases/Vaccine and Treatment Evaluation Units; Gates Foundation(Bill &amp; Melinda Gates Foundation); National Institutes of Health (NIH)(United States Department of Health &amp; Human ServicesNational Institutes of Health (NIH) - USA); NIH(United States Department of Health &amp; Human ServicesNational Institutes of Health (NIH) - USA); March of Dimes(March of Dimes); Thrasher; MedImmune(AstraZenecaMedimmune); Vanderbilt Institutional Clinical and Translational Research; FOOCUS Asthma Group</t>
  </si>
  <si>
    <t xml:space="preserve">This study was supported by the National Institutes of Health (grant nos. RR-24977-03 and AI-091691-02 to E.K.M. and grant no. AI-085062 to J.V.W.) and Vanderbilt Institutional Clinical and Translational Research (grant nos. UL1 RR024975-01 and UL1 TR000445-06 to E.K.M.).P. F. Wright has received grants from the National Institute of Allergy and Infectious Diseases/Vaccine and Treatment Evaluation Units, the Gates Foundation, and the National Institutes of Health (NIH) and is employed by Dartmouth College and Vanderbilt University. J. V. Williams has received grants from the NIH and is on the scientific advisory board for Quidel. E. K. Miller has received grants from the NIH, the March of Dimes, Thrasher, MedImmune, and Vanderbilt Institutional Clinical and Translational Research; has consultant arrangements with the American Association for the Advancement of Science; and has received payment for lectures from the FOOCUS Asthma Group. The rest of the authors declare that they have no relevant conflicts of interest.</t>
  </si>
  <si>
    <t xml:space="preserve">U114</t>
  </si>
  <si>
    <t xml:space="preserve">10.1016/j.jaci.2012.09.033</t>
  </si>
  <si>
    <t xml:space="preserve">062YR</t>
  </si>
  <si>
    <t xml:space="preserve">Green Accepted, hybrid, Green Published</t>
  </si>
  <si>
    <t xml:space="preserve">WOS:000312961200008</t>
  </si>
  <si>
    <t xml:space="preserve">Varela, FH; Sartor, ITS; Polese-Bonatto, M; Azevedo, TR; Kern, LB; Fazolo, T; de David, CN; Zavaglia, GO; Fernandes, IR; Krauser, JRM; Stein, RT; Scotta, MC</t>
  </si>
  <si>
    <t xml:space="preserve">Varela, Fernanda Hammes; Sauthier Sartor, Ivaine Tais; Polese-Bonatto, Marcia; Azevedo, Thais Raupp; Kern, Luciane Beatriz; Fazolo, Tiago; de David, Caroline Nespolo; Zavaglia, Gabriela Oliveira; Fernandes, Ingrid Rodrigues; Mafalda Krauser, Joao Ronaldo; Stein, Renato T.; Scotta, Marcelo Comerlato</t>
  </si>
  <si>
    <t xml:space="preserve">Rhinovirus as the main co-circulating virus during the COVID-19 pandemic in children</t>
  </si>
  <si>
    <t xml:space="preserve">JORNAL DE PEDIATRIA</t>
  </si>
  <si>
    <t xml:space="preserve">Rhinovirus; COVID-19; SARS-CoV-2; Coinfection</t>
  </si>
  <si>
    <t xml:space="preserve">RESPIRATORY SYNCYTIAL VIRUS; SEASONALITY; SARS-COV-2</t>
  </si>
  <si>
    <t xml:space="preserve">Objective: Changes in the epidemiology of respiratory infections during the restrictions imposed as a response to the coronavirus disease 2019 (COVID-19) pandemic have been reported elsewhere. The present study's aim was to describe the prevalence of a large array of respiratory pathogens in symptomatic children and adolescents during the pandemic in Southern Brazil. Methods: Hospitalized and outpatients aged 2 months to 18 years with signs and symptoms of acute COVID-19 were prospectively enrolled in the study from May to November 2020 in two hospitals in a large metropolitan area in a Brazilian city. All participants performed a real-time PCR panel assessing 20 respiratory pathogens (three bacteria and 17 viruses). Results: 436 participants were included, with 45 of these hospitalized. Rhinovirus was the most prevalent pathogen (216/436) followed by the severe acute respiratory syndrome coronavirus 2 (SARS-CoV-2, 97/436), with a coinfection of these two viruses occurring in 31/436 participants. The remaining pathogens were found in 24 symptomatic participants (adenovirus, n = 6; Chlamydophila pneumoniae, n = 1; coronavirus NL63, n = 2; human enterovirus, n = 7; human metapneumovirus, n = 2; Mycoplasma pneumoniae, n = 6). Hospitalization was more common among infants (p = 0.004) and those with pathogens other than SARS-CoV-2 (p = 0.001). Conclusion: During the period of social distancing in response to COVID-19, the prevalence of most respiratory pathogens was unusually low. Rhinovirus remained as the main virus co-circulating with SARS-CoV-2. COVID-19 in symptomatic children was less associated with hospitalization than with other respiratory infections in children and adolescents. (c) 2022 Sociedade Brasileira de Pediatria. Published by Elsevier Editora Ltda. This is an open access article under the CC BY-NC-ND license (http://creativecommons.org/licenses/by-nc-nd/ 4.0/).</t>
  </si>
  <si>
    <t xml:space="preserve">[Varela, Fernanda Hammes; Sauthier Sartor, Ivaine Tais; Polese-Bonatto, Marcia; Azevedo, Thais Raupp; Kern, Luciane Beatriz; de David, Caroline Nespolo; Zavaglia, Gabriela Oliveira; Fernandes, Ingrid Rodrigues; Mafalda Krauser, Joao Ronaldo; Stein, Renato T.; Scotta, Marcelo Comerlato] Hosp Moinhos Vento, Social Responsibil, Porto Alegre, RS, Brazil; [Varela, Fernanda Hammes; Stein, Renato T.; Scotta, Marcelo Comerlato] Pontificia Univ Catolica Rio Grande do Sul, Escola Med, Porto Alegre, RS, Brazil; [Fazolo, Tiago] Univ Fed Ciencias Saude Porto Alegre, Porto Alegre, RS, Brazil</t>
  </si>
  <si>
    <t xml:space="preserve">Pontificia Universidade Catolica Do Rio Grande Do Sul; Universidade Federal de Ciencias da Saude de Porto Alegre</t>
  </si>
  <si>
    <t xml:space="preserve">Scotta, MC (corresponding author), Hosp Moinhos Vento, Social Responsibil, Porto Alegre, RS, Brazil.</t>
  </si>
  <si>
    <t xml:space="preserve">marcelo.scotta@hmv.org.br</t>
  </si>
  <si>
    <t xml:space="preserve">Scotta, Marcelo/J-5258-2017; Fazolo, Tiago/ADQ-8988-2022; Polese-Bonatto, Márcia/AAB-8471-2022; Sartor, Ivaine/AAR-1856-2021; Rodrigues Fernandes, Ingrid/ABC-8576-2021; Stein, Renato/K-2568-2014; Oliveira Zavaglia, Gabriela/ABC-8579-2021</t>
  </si>
  <si>
    <t xml:space="preserve">Kern, Luciane Beatriz/0000-0001-7521-8256; Rodrigues Fernandes, Ingrid/0000-0002-0895-0698; Krauzer, Joao Ronaldo/0000-0002-1802-6175; Raupp Azevedo, Thais/0000-0001-8563-3744; Polese Bonatto, Marcia/0000-0001-6049-926X; Fazolo, Tiago/0000-0001-6560-7004; Oliveira Zavaglia, Gabriela/0000-0001-5419-665X; Sauthier Sartor, Ivaine Tais/0000-0002-8775-6622</t>
  </si>
  <si>
    <t xml:space="preserve">Brazilian Ministry of Health through the Institutional Development Program of the Brazilian National Health System (PROADI-SUS); Hospital Moinhos de Vento</t>
  </si>
  <si>
    <t xml:space="preserve">This work was supported by the Brazilian Ministry of Health through the Institutional Development Program of the Brazil-ian National Health System (PROADI-SUS) in collaboration with Hospital Moinhos de Vento.</t>
  </si>
  <si>
    <t xml:space="preserve">SOC BRASIL PEDIATRIA</t>
  </si>
  <si>
    <t xml:space="preserve">RIO DE JANEIRO, RJ</t>
  </si>
  <si>
    <t xml:space="preserve">RUA SANTA CLARA 292, RIO DE JANEIRO, RJ, CEP 22401-01, BRAZIL</t>
  </si>
  <si>
    <t xml:space="preserve">0021-7557</t>
  </si>
  <si>
    <t xml:space="preserve">1678-4782</t>
  </si>
  <si>
    <t xml:space="preserve">J PEDIAT-BRAZIL</t>
  </si>
  <si>
    <t xml:space="preserve">J. Pediatr.</t>
  </si>
  <si>
    <t xml:space="preserve">NOV-DEC</t>
  </si>
  <si>
    <t xml:space="preserve">10.1016/j.jped.2022.03.003</t>
  </si>
  <si>
    <t xml:space="preserve">OCT 2022</t>
  </si>
  <si>
    <t xml:space="preserve">6R7KE</t>
  </si>
  <si>
    <t xml:space="preserve">WOS:000892476900001</t>
  </si>
  <si>
    <t xml:space="preserve">Cheuk, DKL; Tang, IWH; Chan, KH; Woo, PCY; Peiris, MJS; Chiu, SS</t>
  </si>
  <si>
    <t xml:space="preserve">Cheuk, Daniel K. L.; Tang, Ivan W. H.; Chan, Kwok Hung; Woo, Patrick C. Y.; Peiris, Malik J. S.; Chiu, Susan S.</t>
  </si>
  <si>
    <t xml:space="preserve">Rhinovirus infection in hospitalized children in Hong kong - A prospective study</t>
  </si>
  <si>
    <t xml:space="preserve">rhinovirus; children; lower respiratory tract infection; asthma exacerbation; disease burden</t>
  </si>
  <si>
    <t xml:space="preserve">ACUTE RESPIRATORY-INFECTIONS; REVERSE TRANSCRIPTION-PCR; VIRAL-INFECTIONS; CHILDHOOD; ILLNESS; ASTHMA; DIAGNOSIS; COMMUNITY</t>
  </si>
  <si>
    <t xml:space="preserve">Objectives: To analyze the clinical features and estimate the hospitalization disease burden of rhinovirus infection in children in Hong Kong. Methods: In this prospective study, nasopharyngeal aspirates were taken from children aged &lt;18 years with symptoms of acute respiratory infection admitted to Queen Mary Hospital on one fixed day of the week during August 2001-July 2002 for detection of common respiratory viruses by immunofluorescence, viral culture, and for rhinovirus, human metapneumovirus, and coronaviruses by reverse transcription polymerase chain reaction. The clinical features of rhinovirus infections were analyzed and hospitalization disease burden was estimated. Results: Altogether 239 of the 426 nasopharyngeal aspirates (56.1%) were positive for respiratory viruses, including 151 patients with rhinovirus (35.4%). The median age was 2.34 years. Upper respiratory infection, asthma exacerbation, pneumonia, and acute bronchiolitis were diagnosed in 44.4%, 19.9%, 11.3%, and 7.9%, respectively. The most common symptoms were cough (81.5%), runny nose (76.8%), and fever (68.9%). Shortness of breath, wheezes, and crepitation were present in 25.8%, 29.1%, and 18.5%, respectively. Fifty-five of 99 patients (55.6%) had chest radiographic abnormalities, most commonly perihilar streakiness. Children with chronic diseases were more likely to have lower respiratory tract infection and these children required longer hospitalization (mean 0.6 days longer). Coinfection with other respiratory pathogens was common (33.1%). Conclusion: Rhinovirus is frequently associated with asthmatic exacerbations and lower respiratory tract infection, especially in children with chronic diseases and is potentially an important contributor to hospitalization in children in Hong Kong.</t>
  </si>
  <si>
    <t xml:space="preserve">Univ Hong Kong, Dept Pediat &amp; Adolescent Med, Hong Kong, Hong Kong, Peoples R China; Univ Hong Kong, Dept Microbiol, Hong Kong, Hong Kong, Peoples R China; Univ Hong Kong, Pasteur Res Ctr, Hong Kong, Hong Kong, Peoples R China</t>
  </si>
  <si>
    <t xml:space="preserve">University of Hong Kong; University of Hong Kong; University of Hong Kong</t>
  </si>
  <si>
    <t xml:space="preserve">Chiu, SS (corresponding author), Univ Hong Kong, Queen Mary Hosp, Dept Pediat &amp; Adolescent Med, 121 Pokfulam Rd, Hong Kong, Hong Kong, Peoples R China.</t>
  </si>
  <si>
    <t xml:space="preserve">ssschiu@hkucc.hku.hk</t>
  </si>
  <si>
    <t xml:space="preserve">Chan, Kwok/ITU-6861-2023; Peiris, Joseph/C-4380-2009; Woo, Patrick Chiu Yat/C-4449-2009</t>
  </si>
  <si>
    <t xml:space="preserve">Cheuk, Daniel/0000-0001-9553-3528; Woo, Patrick Chiu Yat/0000-0001-9401-1832</t>
  </si>
  <si>
    <t xml:space="preserve">10.1097/INF.0b013e3181586b63</t>
  </si>
  <si>
    <t xml:space="preserve">229QE</t>
  </si>
  <si>
    <t xml:space="preserve">WOS:000250818300004</t>
  </si>
  <si>
    <t xml:space="preserve">Teeratakulpisarn, J; Pientong, C; Ekalaksananan, T; Ruangsiripiyakul, H; Uppala, R</t>
  </si>
  <si>
    <t xml:space="preserve">Teeratakulpisarn, Jamaree; Pientong, Chamsai; Ekalaksananan, Tipaya; Ruangsiripiyakul, Hunsa; Uppala, Rattapon</t>
  </si>
  <si>
    <t xml:space="preserve">Rhinovirus infection in children hospitalized with acute bronchiolitis and its impact on subsequent wheezing or asthma: a comparison of etiologies</t>
  </si>
  <si>
    <t xml:space="preserve">ASIAN PACIFIC JOURNAL OF ALLERGY AND IMMUNOLOGY</t>
  </si>
  <si>
    <t xml:space="preserve">rhinovirus; bronchiolitis; wheezing; asthma</t>
  </si>
  <si>
    <t xml:space="preserve">RESPIRATORY SYNCYTIAL VIRUS; EARLY-LIFE; ALLERGIC SENSITIZATION; RSV BRONCHIOLITIS; VIRAL-INFECTIONS; YOUNG-CHILDREN; INFANTS; RISK; PICORNAVIRUSES; ASSOCIATION</t>
  </si>
  <si>
    <t xml:space="preserve">Background: Children who suffer a viral lower respiratory infection early in life are prone to subsequent wheezing and asthma: RSV and rhinovirus are thought to be the primary causative pathogens. Epidemiologic and long-term data on these pathogens in Thailand are limited. Objectives: To detect the causative pathogens in children hospitalized with a first episode of acute wheezing and to compare the respective impact on the recurrence of wheezing and development of asthma. Method: We conducted a 5-year cohort study of children under 2 hospitalized with acute bronchiolitis at two tertiary hospitals. Nasopharyngeal secretions were collected at admission to determine the causative pathogens by RT-PCR. Results: 145/170 samples (85%) were positive for pathogens. RSV, rhinovirus, influenza, bacteria and hMPV was found in 64.7%, 18.2%, 17.6%, 12.9% and 3.5% of children respectively. The majority (94/152; 62%) of participants reported having recurrent wheezing within the first year of follow-up (mean duration 5.5 +/- 7.2 months). Only 16% still had wheezing episodes after 5 years. Asthma was diagnosed in 41 children (45%), most of whom were treated with inhaled corticosteroid. There were no statistically significant differences among the various etiologies. Conclusion: Rhinovirus ranked second after RSV as the cause of hospitalizations of children with acute bronchiolitis. More than half of these children had recurrent wheezing which mostly disappeared before the age of 6. Nearly half were subsequently diagnosed with asthma at the 5th year of follow-up. The specific pathogens did not account for a statistically significant difference in subsequent wheezing or asthma development.</t>
  </si>
  <si>
    <t xml:space="preserve">[Teeratakulpisarn, Jamaree; Uppala, Rattapon] Khon Kaen Univ, Fac Med, Dept Pediat, Khon Kaen, Thailand; [Pientong, Chamsai; Ekalaksananan, Tipaya] Khon Kaen Univ, Fac Med, Dept Microbiol, Khon Kaen, Thailand; [Ruangsiripiyakul, Hunsa] Sirindhorn Hosp, Dept Pediat, Khon Kaen, Thailand</t>
  </si>
  <si>
    <t xml:space="preserve">Khon Kaen University; Khon Kaen University</t>
  </si>
  <si>
    <t xml:space="preserve">Teeratakulpisarn, J (corresponding author), Khon Kaen Univ, Fac Med, Dept Pediat, Khon Kaen, Thailand.</t>
  </si>
  <si>
    <t xml:space="preserve">jamtee@kku.ac.th</t>
  </si>
  <si>
    <t xml:space="preserve">uppala, rattapon/0000-0003-1903-0907</t>
  </si>
  <si>
    <t xml:space="preserve">Faculty of Medicine, Khon Kaen University [I 51216]</t>
  </si>
  <si>
    <t xml:space="preserve">Faculty of Medicine, Khon Kaen University</t>
  </si>
  <si>
    <t xml:space="preserve">The authors thank (a) the Faculty of Medicine, Khon Kaen University for grant support (Number I 51216) (b) Miss Jitjira Chaiyarit, Biostatistician, Clinical Epidemiology Unit, Faculty of Medicine, Khon Kaen University for statistical analysis and (c) Mr. Bryan Roderick Hamman for assistance with the English-language presentation of the manuscript.</t>
  </si>
  <si>
    <t xml:space="preserve">ALLERGY IMMUNOL SOC THAILAND</t>
  </si>
  <si>
    <t xml:space="preserve">BANGKOK</t>
  </si>
  <si>
    <t xml:space="preserve">DIV ALLERGY &amp; CLINICAL IMMUNOLOGY, DEPT MEDICINE, CHULALONGKORN UNIV, BANGKOK 10330, THAILAND</t>
  </si>
  <si>
    <t xml:space="preserve">0125-877X</t>
  </si>
  <si>
    <t xml:space="preserve">2228-8694</t>
  </si>
  <si>
    <t xml:space="preserve">ASIAN PAC J ALLERGY</t>
  </si>
  <si>
    <t xml:space="preserve">Asian Pac. J. Allergy Immunol.</t>
  </si>
  <si>
    <t xml:space="preserve">AQ8MI</t>
  </si>
  <si>
    <t xml:space="preserve">WOS:000343079200006</t>
  </si>
  <si>
    <t xml:space="preserve">Mengelle, C; Mansuy, JM; Pierre, A; Claudet, I; Grouteau, E; Micheau, P; Sauné, K; Izopet, J</t>
  </si>
  <si>
    <t xml:space="preserve">Mengelle, C.; Mansuy, J. M.; Pierre, A.; Claudet, I.; Grouteau, E.; Micheau, P.; Saune, K.; Izopet, J.</t>
  </si>
  <si>
    <t xml:space="preserve">The use of a multiplex real-time PCR assay for diagnosing acute respiratory viral infections in children attending an emergency unit</t>
  </si>
  <si>
    <t xml:space="preserve">Respiratory; Viruses; Children; Multiplex-PCR; Spread; Symptoms</t>
  </si>
  <si>
    <t xml:space="preserve">HUMAN METAPNEUMOVIRUS; VIRUS-INFECTIONS; TRACT INFECTIONS; SYNCYTIAL VIRUS; YOUNG-CHILDREN; RISK-FACTORS; INFANTS; BRONCHIOLITIS; INFLUENZA; AMPLIFICATION</t>
  </si>
  <si>
    <t xml:space="preserve">Background: The use of a multiplex molecular technique to identify the etiological pathogen of respiratory viral infections might be a support as clinical signs are not characteristic. Objectives: The aim of the study was to evaluate a multiplex molecular real-time assay for the routine diagnosis of respiratory viruses, to analyze the symptoms associated with the pathogens detected and to determine the spread of virus during the period. Study design: Respiratory samples were collected from children presenting with respiratory symptoms and attending the emergency unit during the 2010-2011 winter seasons. Samples were tested with the multiplex RespiFinder (R) 15 assay (PathoFinder (TM)) which potentially detects 15 viruses. Results: 857 (88.7%) of the 966 samples collected from 914 children were positive for one (683 samples) or multiple viruses (174 samples). The most prevalent were the respiratory syncytial virus (39.5%) and the rhinovirus (24.4%). Influenza viruses were detected in 139 (14.4%) samples. Adenovirus was detected in 93 (9.6%) samples, coronaviruses in 88 (9.1%), metapneumovirus in 51 (5.3%) and parainfluenzae in 47 (4.9%). Rhinovirus (40%) was the most prevalent pathogen in upper respiratory tract infections while respiratory syncytial virus (49.9%) was the most prevalent in lower respiratory tract infections. Co-infections were associated with severe respiratory symptoms. Conclusion: The multiplex assay detected clinically important viruses in a single genomic test and thus will be useful for detecting several viruses causing respiratory tract disorders. (C) 2014 Elsevier B.V. All rights reserved.</t>
  </si>
  <si>
    <t xml:space="preserve">[Mengelle, C.; Mansuy, J. M.; Pierre, A.; Saune, K.; Izopet, J.] Toulouse Univ Hosp, Dept Virol, Toulouse, France; [Claudet, I.; Grouteau, E.; Micheau, P.] Toulouse Univ Hosp, Children Emergency Unit, Toulouse, France; [Saune, K.; Izopet, J.] Toulouse Purpan, Unite Inserm U563, Dept Physiopathol, Toulouse, France</t>
  </si>
  <si>
    <t xml:space="preserve">CHU de Toulouse; Universite de Toulouse; Universite Toulouse III - Paul Sabatier; Universite de Toulouse; Universite Toulouse III - Paul Sabatier; CHU de Toulouse; Universite de Toulouse; Universite Toulouse III - Paul Sabatier; Centre National de la Recherche Scientifique (CNRS); Institut National de la Sante et de la Recherche Medicale (Inserm)</t>
  </si>
  <si>
    <t xml:space="preserve">Mengelle, C (corresponding author), Federat Inst Biol, Dept Virol, 330 Ave Grande Bretagne,TSA 40031, F-31059 Toulouse 09, France.</t>
  </si>
  <si>
    <t xml:space="preserve">mengelle.c@chu-toulouse.fr</t>
  </si>
  <si>
    <t xml:space="preserve">Sauné, Karine/K-4509-2014; IZOPET, Jacques/L-5756-2014; MANSUY, Jean/AAO-7017-2021; CLAUDET, ISABELLE/N-4195-2019; CLAUDET, ISABELLE/G-9457-2016</t>
  </si>
  <si>
    <t xml:space="preserve">MENGELLE, Catherine/0000-0001-8693-7985; Saune, Karine/0000-0002-4829-5886; CLAUDET, ISABELLE/0000-0002-3868-8483; IZOPET, JACQUES/0000-0002-8462-3234</t>
  </si>
  <si>
    <t xml:space="preserve">10.1016/j.jcv.2014.08.023</t>
  </si>
  <si>
    <t xml:space="preserve">AT2GB</t>
  </si>
  <si>
    <t xml:space="preserve">WOS:000344750100018</t>
  </si>
  <si>
    <t xml:space="preserve">Hopkins, P; McNeil, K; Kermeen, F; Musk, M; McQueen, E; Mackay, I; Sloots, T; Nissen, M</t>
  </si>
  <si>
    <t xml:space="preserve">Hopkins, Peter; McNeil, Keith; Kermeen, Fiona; Musk, Michael; McQueen, Emily; Mackay, Ian; Sloots, Terry; Nissen, Michael</t>
  </si>
  <si>
    <t xml:space="preserve">Human metapneumovirus in lung transplant recipients and comparison to respiratory syncytial virus</t>
  </si>
  <si>
    <t xml:space="preserve">AMERICAN JOURNAL OF RESPIRATORY AND CRITICAL CARE MEDICINE</t>
  </si>
  <si>
    <t xml:space="preserve">respiratory; virus; solid organ transplant</t>
  </si>
  <si>
    <t xml:space="preserve">VIRAL-INFECTIONS; INFLUENZA PNEUMONIA; CLINICAL-FEATURES; RIBAVIRIN; PERSISTENCE; REJECTION; CANCER</t>
  </si>
  <si>
    <t xml:space="preserve">Rationale: Human metapneumovirus is a newly described virus isolated in 2001 from children with acute respiratory viral infection. It has subsequently been reported globally, although there are limited data in lung transplant recipients. Objectives: To prospectively analyze whether human metapneumovirus was circulating in our adult lung transplant community and assess the morbidity of this infection and to compare the clinical presentation and outcome after intravenous ribavirin of human metapneumovirus with that of respiratory syncytial virus (RSV). Methods: Lung transplant patients with clinical features of respiratory viral infection underwent nasopharyngeal aspirates. Patients with a positive specimen for RSV or human metapneumovirus by reverse transcriptase-polymerase chain reaction analysis and graft dysfunction received intravenous ribavirin and pulse steroid therapy. Measurements and Main Results: Eighty-nine patients had 199 visits for aspirate studies. A viral cause was determined for 62 visits in 47 patients (19 human metapneumovirus, 18 RSV, 13 parainfluenza, 9 influenza A, 2 adenovirus, and 1 influenza B). A significant percentage of patients with metapneumovirus (63%) and RSV (72%) developed graft dysfunction, with average declines in FEV1 of 30 +/- 12.4% and 25.9 +/- 11.2%, respectively. In these patients, bronchiolitis obliterans syndrome onset or progression occurred in no patients with human metapneumovirus compared with 5 of 13 (38%) patients with RSV at 6 months. Conclusions: Human metapneumovirus is a leading cause of acute respiratory tract illness in lung transplant recipients. The incidence and clinical spectrum at presentation are similar to RSV, although the latter seems to be associated with a higher risk of chronic rejection. We recommend testing of nasopharyngeal aspirates for human metapneumovirus with polymerase chain reaction to assess local epidemiologic patterns.</t>
  </si>
  <si>
    <t xml:space="preserve">[Hopkins, Peter; McNeil, Keith; Kermeen, Fiona; Musk, Michael] Prince Charles Hosp, Dept Resp Med, Queensland Heart Lung Transplant Unit, Brisbane, Qld 4032, Australia; [McQueen, Emily; Mackay, Ian; Sloots, Terry; Nissen, Michael] Royal Childrens Hosp, Queensland Paediat Infect Dis Lab, Brisbane, Qld, Australia; [Mackay, Ian] Univ Queensland, Clin Med Virol Ctr, Brisbane, Qld, Australia</t>
  </si>
  <si>
    <t xml:space="preserve">Prince Charles Hospital; Royal Children's Hospital Brisbane; University of Queensland</t>
  </si>
  <si>
    <t xml:space="preserve">Hopkins, P (corresponding author), Prince Charles Hosp, Dept Resp Med, Queensland Heart Lung Transplant Unit, Rode Rd, Brisbane, Qld 4032, Australia.</t>
  </si>
  <si>
    <t xml:space="preserve">peterwakatipu@hotmail.com</t>
  </si>
  <si>
    <t xml:space="preserve">Sloots, Theo/E-6118-2011; Nissen, Michael/M-6823-2013; Hopkins, Peter/B-1329-2011; Mackay, Ian M./B-2537-2010</t>
  </si>
  <si>
    <t xml:space="preserve">Mackay, Ian M./0000-0003-3598-2350</t>
  </si>
  <si>
    <t xml:space="preserve">AMER THORACIC SOC</t>
  </si>
  <si>
    <t xml:space="preserve">25 BROADWAY, 18 FL, NEW YORK, NY 10004 USA</t>
  </si>
  <si>
    <t xml:space="preserve">1073-449X</t>
  </si>
  <si>
    <t xml:space="preserve">1535-4970</t>
  </si>
  <si>
    <t xml:space="preserve">AM J RESP CRIT CARE</t>
  </si>
  <si>
    <t xml:space="preserve">Am. J. Respir. Crit. Care Med.</t>
  </si>
  <si>
    <t xml:space="preserve">OCT 15</t>
  </si>
  <si>
    <t xml:space="preserve">10.1164/rccm.200711-1657OC</t>
  </si>
  <si>
    <t xml:space="preserve">Critical Care Medicine; Respiratory System</t>
  </si>
  <si>
    <t xml:space="preserve">General &amp; Internal Medicine; Respiratory System</t>
  </si>
  <si>
    <t xml:space="preserve">358QM</t>
  </si>
  <si>
    <t xml:space="preserve">WOS:000259932600016</t>
  </si>
  <si>
    <t xml:space="preserve">Gaunt, ER; Harvala, H; McIntyre, C; Templeton, KE; Simmonds, P</t>
  </si>
  <si>
    <t xml:space="preserve">Gaunt, E. R.; Harvala, H.; McIntyre, C.; Templeton, K. E.; Simmonds, P.</t>
  </si>
  <si>
    <t xml:space="preserve">Disease burden of the most commonly detected respiratory viruses in hospitalized patients calculated using the disability adjusted life year (DALY) model</t>
  </si>
  <si>
    <t xml:space="preserve">Respiratory; Virus; Diagnostics; Disease burden; Disability adjusted life years (DALYs)</t>
  </si>
  <si>
    <t xml:space="preserve">HUMAN METAPNEUMOVIRUS INFECTIONS; RHINOVIRUS SPECIES C; SYNCYTIAL VIRUS; HUMAN CORONAVIRUS; TRACT INFECTIONS; YOUNG-CHILDREN; ADULTS; EPIDEMIOLOGY; POPULATION; WASHINGTON</t>
  </si>
  <si>
    <t xml:space="preserve">Background: The most common acute infections occur in the respiratory tract. Recent discoveries of several novel viruses have markedly increased the repertoire of agents understood to cause presentations of acute respiratory disease. Objectives: Further understanding is needed of the relative importance of newly discovered pathogens in the clinical setting to provide clinicians with an indication of appropriate diagnostic and therapeutic targets. To address this, quantification of the disease burden of respiratory viruses in hospitalized patients was undertaken. Study design: Disease burden caused by respiratory viruses in hospitalized patients was quantified using the World Health Organization endorsed DALY model. Diagnostic testing results from samples collected over three years for adenovirus (AdV), influenzas A and B, parainfluenza viruses 1, 2 and 3 (PIV-1, -2 and -3), respiratory syncytial virus (HRSV), and previously published retrospective screening for human metapneumovirus, rhinoviruses, and four respiratory coronaviruses were applied to the DALY model. Disability weights were calculated per 1000 hospitalized patients in age banded groups. Results: Strikingly different disease burden profiles were observed in children and adults. Adenoviruses were among the leading cause of respiratory presentations in children but not adults. HRSV and influenza A were consistently one of the greatest causes of disease regardless of sampled population. Rhinoviruses and PIV-3 were significant pathogens in all groups except those aged 16-64 years. In immunocompromised patients rhinoviruses were the leading viral cause of disease. Conclusions: These analyses provide a framework which can be used to identify where finite resources should be directed in respiratory therapeutics and vaccine development. (C) 2011 Elsevier B. V. All rights reserved.</t>
  </si>
  <si>
    <t xml:space="preserve">[Gaunt, E. R.] Univ Cambridge, Dept Med, Addenbrookes Hosp, Cambridge CB2 0QQ, England; [McIntyre, C.; Simmonds, P.] Univ Edinburgh, Ctr Immunol Infect &amp; Evolut, Edinburgh EH9 3JT, Midlothian, Scotland; [Harvala, H.; Templeton, K. E.] Royal Infirm Edinburgh NHS Trust, Specialist Virol Ctr, Edinburgh EH16 4SA, Midlothian, Scotland</t>
  </si>
  <si>
    <t xml:space="preserve">Cambridge University Hospitals NHS Foundation Trust; Addenbrooke's Hospital; University of Cambridge; University of Edinburgh; Royal Infirmary of Edinburgh; University of Edinburgh</t>
  </si>
  <si>
    <t xml:space="preserve">Gaunt, ER (corresponding author), Univ Cambridge, Dept Med, Addenbrookes Hosp, Level 5,Box 157, Cambridge CB2 0QQ, England.</t>
  </si>
  <si>
    <t xml:space="preserve">erg36@medschl.cam.ac.uk</t>
  </si>
  <si>
    <t xml:space="preserve">Simmonds, Peter/ACG-0918-2022; Harvala, Heli/LSJ-6221-2024</t>
  </si>
  <si>
    <t xml:space="preserve">Harvala, Heli/0000-0001-9154-4190; Gaunt, Eleanor/0000-0002-4473-6373; Simmonds, Peter/0000-0002-7964-4700; Templeton, Kate/0000-0001-7414-1277</t>
  </si>
  <si>
    <t xml:space="preserve">BBSRC; Medical Research Council</t>
  </si>
  <si>
    <t xml:space="preserve">BBSRC(UK Research &amp; Innovation (UKRI)Biotechnology and Biological Sciences Research Council (BBSRC)); Medical Research Council(UK Research &amp; Innovation (UKRI)Medical Research Council UK (MRC))</t>
  </si>
  <si>
    <t xml:space="preserve">E.G. was supported by a grant from BBSRC. C. M. was supported by a grant from the Medical Research Council.</t>
  </si>
  <si>
    <t xml:space="preserve">10.1016/j.jcv.2011.07.017</t>
  </si>
  <si>
    <t xml:space="preserve">842AF</t>
  </si>
  <si>
    <t xml:space="preserve">WOS:000296556800011</t>
  </si>
  <si>
    <t xml:space="preserve">Srinivasan, A; Gu, ZM; Smith, T; Morgenstern, M; Sunkara, A; Kang, GL; Srivastava, DK; Gaur, AH; Leung, W; Hayden, RT</t>
  </si>
  <si>
    <t xml:space="preserve">Srinivasan, Ashok; Gu, Zhengming; Smith, Teresa; Morgenstern, Markus; Sunkara, Anusha; Kang, Guolian; Srivastava, Deo K.; Gaur, Aditya H.; Leung, Wing; Hayden, Randall T.</t>
  </si>
  <si>
    <t xml:space="preserve">Prospective Detection of Respiratory Pathogens in Symptomatic Children With Cancer</t>
  </si>
  <si>
    <t xml:space="preserve">respiratory; infections; children; cancer</t>
  </si>
  <si>
    <t xml:space="preserve">STEM-CELL TRANSPLANTATION; HUMAN RHINOVIRUS; IMMUNOCOMPROMISED CHILDREN; HUMAN METAPNEUMOVIRUS; VIRAL-INFECTIONS; TRACT INFECTIONS; HUMAN BOCAVIRUS; RISK-FACTORS; CORONAVIRUS; RECIPIENTS</t>
  </si>
  <si>
    <t xml:space="preserve">Background: The data on human rhinovirus, coronavirus, bocavirus, metapneumovirus, Chlamydophila pneumoniae, Mycoplasma pneumoniae and Bordetella pertussis infections in children with cancer is limited. Methods: We sought to determine prospectively the prevalence of respiratory pathogens in these children, using multiplexed-polymerase chain reaction. Results: We enrolled 253 children with upper or lower respiratory tract infection (LRTI) during a 1-year period. A respiratory virus was detected in 193 (76%) patients; 156 (81%) patients had upper respiratory tract infection. Human rhinovirus was the most common virus detected in 97 (62%) and 24 (65%) patients with upper respiratory tract infection and LRTI, respectively. Leukemia or lymphoma was the most common underlying diagnosis in 95 (49%) patients followed by solid tumor 47 (24%), posthematopoietic stem cell transplant 28 (15%) and brain tumor in 23 (12%) patients. By multiple logistic regression analysis, human bocavirus was the most commonly detected respiratory virus in patients with LRTI (P = 0.008; odds ratio, 4.52; 95% confidence interval: 1.48-13.79). Coinfection with &gt;1 virus was present in 47 (24%) patients, and did not increase the risk for LRTI. Two (0.7%) patients succumbed to LRTI from parainfluenza virus-3 and respiratory syncytial virus/human rhinovirus infection, respectively. C. pneumoniae and M. pneumoniae were detected in 4 and 3 patients, respectively. Conclusions: Human rhinovirus was the most common virus detected in children with cancer and posthematopoietic stem cell transplant hospitalized with an acute respiratory illness, and was not associated with increased morbidity. Prospective studies with viral load determination and asymptomatic controls are needed to study the association of these emerging respiratory viruses with LRTI in children with cancer and posthematopoietic stem cell transplant.</t>
  </si>
  <si>
    <t xml:space="preserve">[Srinivasan, Ashok; Leung, Wing] St Jude Childrens Res Hosp, Dept Bone Marrow Transplantat &amp; Cellular Therapy, Memphis, TN 38105 USA; [Gu, Zhengming; Morgenstern, Markus; Hayden, Randall T.] St Jude Childrens Res Hosp, Dept Pathol, Memphis, TN 38105 USA; [Smith, Teresa] St Jude Childrens Res Hosp, Bone Marrow Transplantat &amp; Cellular Therapy Clin, Memphis, TN 38105 USA; [Sunkara, Anusha; Kang, Guolian; Srivastava, Deo K.] St Jude Childrens Res Hosp, Dept Biostat, Memphis, TN 38105 USA; [Gaur, Aditya H.] St Jude Childrens Res Hosp, Dept Infect Dis, Memphis, TN 38105 USA; [Srinivasan, Ashok; Gaur, Aditya H.; Leung, Wing] Univ Tennessee, Ctr Hlth Sci, Dept Pediat, Memphis, TN 38163 USA</t>
  </si>
  <si>
    <t xml:space="preserve">St Jude Children's Research Hospital; St Jude Children's Research Hospital; St Jude Children's Research Hospital; St Jude Children's Research Hospital; St Jude Children's Research Hospital; University of Tennessee System; University of Tennessee Health Science Center</t>
  </si>
  <si>
    <t xml:space="preserve">Srinivasan, A (corresponding author), St Jude Childrens Res Hosp, Dept Bone Marrow Transplantat &amp; Cellular Therapy, 262 Danny Thomas Pl,MS 1130, Memphis, TN 38105 USA.</t>
  </si>
  <si>
    <t xml:space="preserve">ashok.srinivasan@stjude.org</t>
  </si>
  <si>
    <t xml:space="preserve">Leung, Wing/HHD-3302-2022; Hayden, Randall/N-2534-2018; Morgenstern, Markus/K-7785-2013; Srivastava, Deo/P-2435-2017; Srinivasan, Ashok/N-8064-2018; Gaur, Aditya/N-8057-2018</t>
  </si>
  <si>
    <t xml:space="preserve">Sunkara, Anusha/0000-0002-1077-7097; Leung, Wing Hang/0000-0002-2996-7229; Srinivasan, Ashok/0000-0001-9058-537X; Gaur, Aditya/0000-0002-6639-5231</t>
  </si>
  <si>
    <t xml:space="preserve">National Cancer Institute Cancer Center CORE Support Grant [P30 CA 21765]; American Lebanese Syrian Associated Charities; Anderson Foundation</t>
  </si>
  <si>
    <t xml:space="preserve">National Cancer Institute Cancer Center CORE Support Grant; American Lebanese Syrian Associated Charities(American Lebanese Syrian Associated Charities (ALSAC)); Anderson Foundation</t>
  </si>
  <si>
    <t xml:space="preserve">This work was supported by National Cancer Institute Cancer Center CORE Support Grant P30 CA 21765, American Lebanese Syrian Associated Charities and by the Anderson Foundation. The authors have no other funding or conflicts of interest to disclose.</t>
  </si>
  <si>
    <t xml:space="preserve">E99</t>
  </si>
  <si>
    <t xml:space="preserve">E104</t>
  </si>
  <si>
    <t xml:space="preserve">10.1097/INF.0b013e31827bd619</t>
  </si>
  <si>
    <t xml:space="preserve">089TK</t>
  </si>
  <si>
    <t xml:space="preserve">WOS:000314932700002</t>
  </si>
  <si>
    <t xml:space="preserve">Rutvisuttinunt, W; Klungthong, C; Thaisomboonsuk, B; Chinnawirotpisan, P; Ajariyakhajorn, C; Manasatienkij, W; Phonpakobsin, T; Lon, C; Saunders, D; Wangchuk, S; Shrestha, SK; Velasco, JMS; Alera, MTP; Simasathien, S; Buddhari, D; Jarman, RG; Macareo, LR; Yoon, IK; Fernandez, S</t>
  </si>
  <si>
    <t xml:space="preserve">Rutvisuttinunt, Wiriya; Klungthong, Chonticha; Thaisomboonsuk, Butsaya; Chinnawirotpisan, Piyawan; Ajariyakhajorn, Chuanpis; Manasatienkij, Wudtichai; Phonpakobsin, Thipwipha; Lon, Chanthap; Saunders, David; Wangchuk, Sonam; Shrestha, Sanjaya K.; Velasco, John Mark S.; Alera, Maria Theresa P.; Simasathien, Sriluck; Buddhari, Darunee; Jarman, Richard G.; Macareo, Louis R.; Yoon, In-Kyu; Fernandez, Stefan</t>
  </si>
  <si>
    <t xml:space="preserve">Retrospective use of next-generation sequencing reveals the presence of Enteroviruses in acute influenza-like illness respiratory samples collected in South/South-East Asia during 2010-2013</t>
  </si>
  <si>
    <t xml:space="preserve">Respiratory; Enterovirus; Surveillance; Influenza-like illness; Next-generation sequencing; South East Asia; South Asia</t>
  </si>
  <si>
    <t xml:space="preserve">VIRUS DETECTION; RNA-SEQ; IDENTIFICATION; DIVERSITY; METAGENOMICS; PREVALENCE; DISCOVERY; INFECTION; PIPELINE</t>
  </si>
  <si>
    <t xml:space="preserve">Background: Emerging and re-emerging respiratory pathogens represent an increasing threat to public health. Etiological determination during outbreaks generally relies on clinical information, occasionally accompanied by traditional laboratory molecular or serological testing. Often, this limited testing leads to inconclusive findings. The Armed Forces Research Institute of Medical Sciences (AFRIMS) collected 12,865 nasopharyngeal specimens from acute influenza-like illness (ILI) patients in five countries in South/South East Asia during 2010-2013. Three hundred and twenty-four samples which were found to be negative for influenza virus after screening with real-time RT-PCR and cell-based culture techniques demonstrated the potential for viral infection with evident cytopathic effect (CPE) in several cell lines. Objective: To assess whether whole genome next-generation sequencing (WG-NGS) together with conventional molecular assays can be used to reveal the etiology of influenza negative, but CPE positive specimens. Study design: The supernatant of these CPE positive cell cultures were grouped in 32 pools containing 2-26 supernatants per pool. Three WG-NGS runs were performed on these supernatant pools. Sequence reads were used to identify positive pools containing viral pathogens. Individual samples in the positive pools were confirmed by qRT-PCR, RT-PCR, PCR and Sanger sequencing from the CPE culture and original clinical specimens. Results: WG-NGS was an effective way to expand pathogen identification in surveillance studies. This enabled the identification of a viral agent in 71.3% (231/324) of unidentified surveillance samples, including common respiratory pathogens (100/324; 30.9%): enterovirus (16/100; 16.0%), coxsackievirus (31/100; 31.0%), echovirus (22/100; 22.0%), human rhinovirus (3/100; 3%), enterovirus genus (2/100; 2.0%), influenza A (9/100; 9.0%), influenza B, (5/100; 5.0%), human parainfluenza (4/100; 4.0%), human adenovirus (3/100; 3.0%), human coronavirus (1/100; 1.0%), human metapneumovirus (2/100; 2.0%), and mumps virus (2/100; 2.0%), in addition to the non-respiratory pathogen herpes simplex virus type 1 (HSV-1) (172/324; 53.1%) and HSV-1 coinfection with respiratory viruses (41/324; 12.7%).</t>
  </si>
  <si>
    <t xml:space="preserve">[Rutvisuttinunt, Wiriya; Klungthong, Chonticha; Thaisomboonsuk, Butsaya; Chinnawirotpisan, Piyawan; Ajariyakhajorn, Chuanpis; Manasatienkij, Wudtichai; Phonpakobsin, Thipwipha; Velasco, John Mark S.; Alera, Maria Theresa P.; Buddhari, Darunee; Jarman, Richard G.; Macareo, Louis R.; Yoon, In-Kyu; Fernandez, Stefan] Armed Forces Res Inst Med Sci, Dept Virol, 315-6 Rajavithi Rd, Bangkok 10400, Thailand; [Lon, Chanthap; Saunders, David] Armed Forces Res Inst Med Sci, Dept Immunol &amp; Med, 315-6 Rajavithi Rd, Bangkok, Thailand; [Simasathien, Sriluck] Phramongkutklao Hosp, 315 Rajavithi Rd, Bangkok, Thailand; [Rutvisuttinunt, Wiriya; Shrestha, Sanjaya K.] AFRIMS Res Unit, Walter Reed, Kathmandu, Nepal; [Shrestha, Sanjaya K.] Univ Bergen, Ctr Int Hlth, Bergen, Norway; [Wangchuk, Sonam] Minist Hlth, Dept Publ Hlth, Royal Ctr Dis Control, Thimphu, Bhutan</t>
  </si>
  <si>
    <t xml:space="preserve">United States Department of Defense; United States Army; Walter Reed Army Institute of Research (WRAIR); Armed Forces Research Institute of Medical Science (AFRIMS); United States Department of Defense; United States Army; Walter Reed Army Institute of Research (WRAIR); Armed Forces Research Institute of Medical Science (AFRIMS); Phramongkutklao Hospital; University of Bergen</t>
  </si>
  <si>
    <t xml:space="preserve">Rutvisuttinunt, W; Fernandez, S (corresponding author), Armed Forces Res Inst Med Sci, Dept Virol, 315-6 Rajavithi Rd, Bangkok 10400, Thailand.</t>
  </si>
  <si>
    <t xml:space="preserve">wiriya.rutvisuttinunt.ctr@mail.mil; Stefan.fernandez.mil@mail.mil</t>
  </si>
  <si>
    <t xml:space="preserve">Velasco, John/AAY-8550-2020</t>
  </si>
  <si>
    <t xml:space="preserve">Armed Forces Health Surveillance Center - Global Emerging Infections Surveillance and Response System (AFHSC-GEIS)</t>
  </si>
  <si>
    <t xml:space="preserve">Armed Forces Health Surveillance Center - Global Emerging Infections Surveillance and Response System (AFHSC-GEIS).</t>
  </si>
  <si>
    <t xml:space="preserve">10.1016/j.jcv.2017.07.004</t>
  </si>
  <si>
    <t xml:space="preserve">FG7OT</t>
  </si>
  <si>
    <t xml:space="preserve">WOS:000410608400016</t>
  </si>
  <si>
    <t xml:space="preserve">García-García, ML; Calvo, C; Falcón, A; Pozo, F; Pérez-Breña, P; De Cea, JM; Casas, I</t>
  </si>
  <si>
    <t xml:space="preserve">Garcia-Garcia, M. L.; Calvo, C.; Falcon, A.; Pozo, F.; Perez-Brena, P.; De Cea, J. M.; Casas, I.</t>
  </si>
  <si>
    <t xml:space="preserve">Role of Emerging Respiratory Viruses in Children With Severe Acute Wheezing</t>
  </si>
  <si>
    <t xml:space="preserve">respiratory viruses; wheezing; human bocavirus; human metapneumovirus; rhinovirus; children; infants</t>
  </si>
  <si>
    <t xml:space="preserve">HUMAN METAPNEUMOVIRUS; HUMAN BOCAVIRUS; HOSPITALIZED INFANTS; CHILDHOOD ASTHMA; VIRAL-INFECTIONS; TRACT INFECTIONS; YOUNG-CHILDREN; BRONCHIOLITIS; ADMISSIONS; EXACERBATIONS</t>
  </si>
  <si>
    <t xml:space="preserve">Background Acute wheezing episodes are frequently associated with respiratory viral infections in children. However, the role of the recently described respiratory viruses is not yet fully understood. Objective The main objective of this study was to estimate the frequency of human metapneumovirus (HMPV), human bocavirus (HBoV), and 14 other respiratory viruses in hospitalized children with acute wheezing. Methods A prospective study was conducted on children &lt;14 years old, admitted with an acute expiratory wheezing episode from September 2005 to June 2008. Viruses were detected in nasopharyngeal aspirates by polymerase chain reaction. Clinical data were prospectively recorded. Results A viral pathogen was identified in 444 (71%) out of 626 hospitalized acute wheezing episodes. Respiratory syncytial virus (RSV) was the most frequently detected (27%), followed by rhinovirus (24%), adenovirus (17.8%), HBoV (16%), and HMPV (4.7%). The rate of viral detection was significantly higher in infants (77.3%), than in older children (59.8%) (P&lt;0.001). RSV and HBoV were more prevalent in infants (P&lt;0.001) than in older children. Conclusion The most prevalent viruses found in severe acute wheezing episodes were RSV and rhinovirus not only in childhood, but also in infancy. However, other emerging viruses such as FiBoV and metapneumovirus also play an important role in wheezing episodes. Pediatr Pulmonol. 2010; 45:585-591. (C) 2010 Wiley-Liss, Inc.</t>
  </si>
  <si>
    <t xml:space="preserve">[Garcia-Garcia, M. L.] Hosp Severo Ochoa, Serv Pediat, Dept Pediat, Madrid 28911, Spain; [Falcon, A.; Pozo, F.; Perez-Brena, P.; Casas, I.] ISCIII, Ctr Nacl Microbiol, Virol Serv, Influenza &amp; Resp Viruses Lab, Madrid, Spain</t>
  </si>
  <si>
    <t xml:space="preserve">Severo Ochoa University Hospital; Instituto de Salud Carlos III; Centro Nacional de Microbiologia (CNM)</t>
  </si>
  <si>
    <t xml:space="preserve">García-García, ML (corresponding author), Hosp Severo Ochoa, Serv Pediat, Dept Pediat, Ave Orellana S-N, Madrid 28911, Spain.</t>
  </si>
  <si>
    <t xml:space="preserve">marialuzgarcia@terra.es</t>
  </si>
  <si>
    <t xml:space="preserve">Casas, Inmaculada/H-9442-2015; Falcon, Ana/L-8304-2018; Pozo, Francisco/F-4426-2012; Calvo, Cristina/T-5028-2018</t>
  </si>
  <si>
    <t xml:space="preserve">Pozo, Francisco/0000-0003-1828-733X; Calvo, Cristina/0000-0002-6503-3423; Casas, Inmaculada/0000-0003-1840-1198; GARCIA-GARCIA, MARIA LUZ/0000-0003-4906-4227</t>
  </si>
  <si>
    <t xml:space="preserve">Fondo de Investigaciones Sanitarias (Health Research Fund), Spain [PI06/0532]</t>
  </si>
  <si>
    <t xml:space="preserve">Fondo de Investigaciones Sanitarias (Health Research Fund), Spain(Instituto de Salud Carlos III)</t>
  </si>
  <si>
    <t xml:space="preserve">Grant sponsor: Fondo de Investigaciones Sanitarias (Health Research Fund), Spain; Grant number: PI06/0532.</t>
  </si>
  <si>
    <t xml:space="preserve">10.1002/ppul.21225</t>
  </si>
  <si>
    <t xml:space="preserve">WOS:000278500000009</t>
  </si>
  <si>
    <t xml:space="preserve">Bonzel, L; Tenenbaum, T; Schroten, H; Schildgen, O; Schweitzer-Krantz, S; Adams, O</t>
  </si>
  <si>
    <t xml:space="preserve">Bonzel, Linda; Tenenbaum, Tobias; Schroten, Horst; Schildgen, Oliver; Schweitzer-Krantz, Susanne; Adams, Ortwin</t>
  </si>
  <si>
    <t xml:space="preserve">Frequent detection of viral coinfection in children hospitalized with acute respiratory tract infection using a real-time polymerase chain reaction</t>
  </si>
  <si>
    <t xml:space="preserve">respiratory viruses; viral coinfection; real-time PCR</t>
  </si>
  <si>
    <t xml:space="preserve">HUMAN BOCAVIRUS; HUMAN METAPNEUMOVIRUS; VIRUS-INFECTIONS; SYNCYTIAL-VIRUS; PCR ASSAYS; CORONAVIRUSES; DIAGNOSIS; DNA</t>
  </si>
  <si>
    <t xml:space="preserve">Background: Respiratory viruses are the main cause of acute respiratory tract infection (ARI) in children. Real-time polymerase chain reaction (PCR) technology is highly practicable for the rapid detection of viral pathogens. The simultaneous detection of a broad spectrum of viruses enables the diagnosis and evaluation of viral coinfection in ARI. Methods: A 1-step real-time PCR was developed for the detection of 12 respiratory viruses (10 RNA and 2 DNA viruses) in clinical samples. Clinical samples from 254 children admitted to the Departments of Pediatrics with ARI during a 10-month period were tested. Results: Respiratory syncytial virus (RSV) was the most frequently detected pathogen in 112 samples (44.1%), followed by human bocavirus (hBoV) in 49 (19.3%), and rhinovirus in 17 samples (6.7%). Viral coinfection was detected in 41 (16.1%) samples with RSV and hBoV being the most dominating combination (27 cases, 10.6%). Viral coinfection was found in 10 cases (17%) of children with bronchitis (n = 58) and in 7 cases (23%) of bronchiolitis (n = 30). In patients with pneumonia (n = 51), 17 cases (33%) were positive for 2 or more viral pathogens. Conclusions: Simultaneous testing of respiratory viruses by real-time PCR is a suitable tool for the detection of viral coinfections. In children hospitalized because of respiratory infection viral coinfection is frequently detected with RSV and hBoV being a common combination.</t>
  </si>
  <si>
    <t xml:space="preserve">[Bonzel, Linda; Adams, Ortwin] Univ Dusseldorf, Inst Virol, D-40225 Dusseldorf, Germany; [Tenenbaum, Tobias; Schroten, Horst] Univ Dusseldorf, Dept Gen Pediat, D-40225 Dusseldorf, Germany; [Schildgen, Oliver] Univ Bonn, Inst Med Microbiol Immunol &amp; Parasitol, Dept Virol, D-5300 Bonn, Germany; [Schweitzer-Krantz, Susanne] Evangel Krankenhaus Dusseldorf, Childrens Hosp, Dusseldorf, Germany</t>
  </si>
  <si>
    <t xml:space="preserve">Heinrich Heine University Dusseldorf; Heinrich Heine University Dusseldorf; University of Bonn</t>
  </si>
  <si>
    <t xml:space="preserve">Adams, O (corresponding author), Univ Dusseldorf, Inst Virol, Geb 22-21,Univ Str 1, D-40225 Dusseldorf, Germany.</t>
  </si>
  <si>
    <t xml:space="preserve">ortwin.adams@uni-duesseldorf.de</t>
  </si>
  <si>
    <t xml:space="preserve">Schildgen, Oliver/D-5327-2014</t>
  </si>
  <si>
    <t xml:space="preserve">Schildgen, Oliver/0000-0003-4297-9627</t>
  </si>
  <si>
    <t xml:space="preserve">10.1097/INF.0b013e3181694fb9</t>
  </si>
  <si>
    <t xml:space="preserve">319PR</t>
  </si>
  <si>
    <t xml:space="preserve">WOS:000257176600002</t>
  </si>
  <si>
    <t xml:space="preserve">Canducci, F; Debiaggi, M; Sampaolo, M; Marinozzi, MC; Berré, S; Terulla, C; Gargantini, G; Cambieri, P; Romero, E; Clementi, M</t>
  </si>
  <si>
    <t xml:space="preserve">Canducci, Filippo; Debiaggi, Maurizia; Sampaolo, Michela; Marinozzi, Maria Chiara; Berre, Stefano; Terulla, Cristina; Gargantini, Gianluigi; Cambieri, Patrizia; Romero, Egidio; Clementi, Massimo</t>
  </si>
  <si>
    <t xml:space="preserve">Two-year prospective study of single infections and co-infections by respiratory syncytial virus and viruses identified recently in infants with acute respiratory disease</t>
  </si>
  <si>
    <t xml:space="preserve">respiratory viruses; RSV; hMPV; coronavirus; bocavirus</t>
  </si>
  <si>
    <t xml:space="preserve">HUMAN CORONAVIRUS HKU1; HUMAN METAPNEUMOVIRUS; HUMAN BOCAVIRUS; TRACT INFECTIONS; YOUNG-CHILDREN; BRONCHIOLITIS; SAMPLES</t>
  </si>
  <si>
    <t xml:space="preserve">A prospective 2-year analysis including 322 infant patients with acute respiratory disease (ARD) hospitalized in a pediatric department in northern Italy was carried out to evaluate the role as respiratory pathogens or co-pathogens of recently identified viruses. The presence of respiratory syncitial virus (RSV), human Metapneumoviruses (hMPVs), human Bocaviruses (hBoVs), and human Coronaviruses (hCoVs) was assayed by molecular detection and clinical symptoms evaluated. Nasopharyngeal aspirates from 150 of the 322 infants (46.6%) tested positive for at least one pathogen. Ninety samples (28.0%) tested positive for RSV RNA (61.5% genotype A and 38.5% genotype B), 46 (14.3%) for hMPV RNA (71.7% subtype A and 28.3% subtype B), 28 (8.7%) for hCoV RNA (39.3% hCoV-OC43, 35.7% hCoV-NL63, 21.4% hCoV-HKU1, and 3.6% hCoV-229E), and 7 (2.2%) for hBoV DNA (of the 6 typed, 50% subtype 1 and 50% subtype 2); 21/150 samples revealed the presence of 2 or more viruses. Co-infection rates were higher for hMPVs, hCoVs, and hBoV (38.3%, 46.4%, and 57.1%,) and lower for RSV (23.3%). RSV was associated with the presence of complications (P&lt;0.001) and hypoxia (P&lt;0.015). When the presence of RSV alone and the RSV-hMPV co-infections were considered, RSV mono-infected patients resulted to have longer hospitalization and higher hypoxia (P&lt;0.001). The data highlight that (i) RSV has a central role as a respiratory pathogen of infants, (ii) the wide circulation of recently identified viruses does not reduce the clinical and epidemiological importance of RSV, and that (iii) recently identified agents (hMPVs, hBoVs, and hCoVs) act as primary pathogens or co-pathogens.</t>
  </si>
  <si>
    <t xml:space="preserve">[Canducci, Filippo; Sampaolo, Michela; Marinozzi, Maria Chiara; Berre, Stefano; Clementi, Massimo] Univ Vita Salute San Raffaele, Lab Microbiol &amp; Virol, Milan, Italy; [Canducci, Filippo; Sampaolo, Michela; Marinozzi, Maria Chiara; Berre, Stefano; Clementi, Massimo] Ist Sci San Raffaele, Milan, Italy; [Debiaggi, Maurizia; Romero, Egidio] Univ Pavia, Sez Microbiol, Dipartimento Sci Morfol Eidol &amp; Clin, I-27100 Pavia, Italy; [Terulla, Cristina; Romero, Egidio] Policlin San Matteo, Serv Anal Microbiol, Fdn Ist Ricovero &amp; Cura Carattere Sci, I-27100 Pavia, Italy; [Gargantini, Gianluigi] Presidio Vizzolo Predabissi, Azienda Ospedaliera Melegnano, Unit Operat Pediat, Melegnano, Italy; [Cambieri, Patrizia] Presidio Vizzolo Predabissi, Azienda Ospedaliera Melegnano, Serv Anal Chim Clin &amp; Microbiol, Melegnano, Italy</t>
  </si>
  <si>
    <t xml:space="preserve">Vita-Salute San Raffaele University; Vita-Salute San Raffaele University; IRCCS Ospedale San Raffaele; University of Pavia; IRCCS Fondazione San Matteo</t>
  </si>
  <si>
    <t xml:space="preserve">Canducci, F (corresponding author), Univ Vita Salute San Raffaele, Lab Microbiol &amp; Virol, Milan, Italy.</t>
  </si>
  <si>
    <t xml:space="preserve">canducci.filippo@hsr.it</t>
  </si>
  <si>
    <t xml:space="preserve">Clementi, Massimo/F-6646-2013; CAMBIERI, PATRIZIA/AAC-2243-2022</t>
  </si>
  <si>
    <t xml:space="preserve">Clementi, Massimo/0000-0002-7461-5898; BERRE, Stefano/0000-0001-8427-759X; CAMBIERI, PATRIZIA/0000-0002-6899-3462; Canducci, Filippo/0000-0002-5637-6205</t>
  </si>
  <si>
    <t xml:space="preserve">10.1002/jmv.21108</t>
  </si>
  <si>
    <t xml:space="preserve">271LL</t>
  </si>
  <si>
    <t xml:space="preserve">WOS:000253789800022</t>
  </si>
  <si>
    <t xml:space="preserve">Altay-Kocak, A; Sarzhanova, S; Tapisiz, A; Dizbay, M; Basustaoglu, A; Bozdayi, G</t>
  </si>
  <si>
    <t xml:space="preserve">Altay-Kocak, Aylin; Sarzhanova, Shakhnoza; Tapisiz, Anil; Dizbay, Murat; Basustaoglu, Ahmet; Bozdayi, Gulendam</t>
  </si>
  <si>
    <t xml:space="preserve">Retrospective evaluation of viral respiratory tract infections in a university hospital in Ankara, Turkey (2016-2019)</t>
  </si>
  <si>
    <t xml:space="preserve">Respiratory viruses; rhinovirus; influenza virus; coronavirus; multiplex real-time PCR</t>
  </si>
  <si>
    <t xml:space="preserve">MOLECULAR EPIDEMIOLOGY; INFLUENZA SURVEILLANCE; HUMAN RHINOVIRUS; CHILDREN; VIRUSES; SEASONS; ADULTS</t>
  </si>
  <si>
    <t xml:space="preserve">Introduction: Viruses are responsible for two-thirds of all acute respiratory tract infections. This study aims to retrospectively detect respiratory tract viruses in patients from all age groups who visited the hospital. Methodology: A total of 1592 samples from 1416 patients with respiratory tract symptoms were sent from several clinics to the Molecular Microbiology Laboratory at Gazi University Hospital from February 2016 to January 2019. Nucleic acid extraction from nasopharyngeal swabs, throat swabs or bronchoalveolar lavage (BAL) samples sent to our laboratory was done using a commercial automated system. Extracted nucleic acids were amplified by a commercial multiplex-real time Polymerase Chain Reaction (PCR) method, which can detect 18 viral respiratory pathogens. Results: Among 1592 samples, 914 (57.4%) were positive for respiratory viruses. The most prevalent were rhinovirus (25.2%) and influenza A virus (12.1%), the least prevalent was the bocavirus (2.6%). Rhinovirus was the most detected as a single agent (21.2%, 194/914) among all positive cases, followed by coronavirus (9.3%, 85/914). The detection rates of coronavirus, human adenovirus, respiratory syncytial virus A/B, human parainfluenza viruses, human metapneumovirus-A/B, human parechovirus, enterovirus and influenza B virus were 9.9%, 8%, 7.7%, 5%, 3.4%, 3.1%, 3%, and 2.8%, respectively. Conclusions: The most detected viral agents in our study were influenza A virus and rhinovirus. Laboratory diagnosis of respiratory viruses is helpful to prevent unnecessary antibiotic use and is essential in routine diagnostics for antiviral treatment. Multiplex Real-time PCR method is fast and useful for the diagnosis of viral respiratory infections.</t>
  </si>
  <si>
    <t xml:space="preserve">[Altay-Kocak, Aylin; Basustaoglu, Ahmet] Baskent Univ, Fac Med, Dept Med Microbiol, Ankara, Turkey; [Sarzhanova, Shakhnoza] Gazi Univ, Fac Med, Dept Med Microbiol, Ankara, Turkey; [Sarzhanova, Shakhnoza] Akhmet Yassawi Int Kazakh Turkish Univ, Fac Med, Turkestan, Kazakhstan; [Tapisiz, Anil] Gazi Univ, Fac Med, Dept Pediat, Ankara, Turkey; [Dizbay, Murat] Gazi Univ, Fac Med, Dept Infect Dis &amp; Clin Microbiol, Ankara, Turkey; [Bozdayi, Gulendam] Gazi Univ, Fac Med, Dept Med Microbiol, Div Med Virol, Ankara, Turkey</t>
  </si>
  <si>
    <t xml:space="preserve">Baskent University; Gazi University; Akhmet Yassawi International Kazakh-Turkish University; Gazi University; Gazi University; Gazi University</t>
  </si>
  <si>
    <t xml:space="preserve">Bozdayi, G (corresponding author), Gazi Univ, Fac Med, Dept Med Microbiol, Div Med Virol, Ankara, Turkey.</t>
  </si>
  <si>
    <t xml:space="preserve">gbozdayi@hotmail.com</t>
  </si>
  <si>
    <t xml:space="preserve">Tapısız, Anıl/AID-4131-2022; SARZHANOVA, Shakhnoza/HDN-5357-2022; Altay Kocak, Aylin/AAI-8012-2021</t>
  </si>
  <si>
    <t xml:space="preserve">Altay Kocak, Aylin/0000-0002-0451-0142; SARZHANOVA, Shakhnoza/0000-0003-1777-1701</t>
  </si>
  <si>
    <t xml:space="preserve">10.3855/jidc.14427</t>
  </si>
  <si>
    <t xml:space="preserve">1Y6EN</t>
  </si>
  <si>
    <t xml:space="preserve">WOS:000808235800017</t>
  </si>
  <si>
    <t xml:space="preserve">Marcone, DN; Ellis, A; Videla, C; Ekstrom, J; Ricarte, C; Carballal, G; Vidaurreta, SM; Echavarría, M</t>
  </si>
  <si>
    <t xml:space="preserve">Natalia Marcone, Debora; Ellis, Alejandro; Videla, Cristina; Ekstrom, Jorge; Ricarte, Carmen; Carballal, Guadalupe; Manuel Vidaurreta, Santiago; Echavarria, Marcela</t>
  </si>
  <si>
    <t xml:space="preserve">Viral Etiology of Acute Respiratory Infections in Hospitalized and Outpatient Children in Buenos Aires, Argentina</t>
  </si>
  <si>
    <t xml:space="preserve">respiratory viruses; rhinovirus; acute respiratory infections; real-time reverse transcription polymerase chain reaction; coinfection</t>
  </si>
  <si>
    <t xml:space="preserve">TRACT INFECTIONS; SYNCYTIAL VIRUS; HUMAN METAPNEUMOVIRUS; RHINOVIRUS ILLNESSES; INFANTS; IMMUNOFLUORESCENCE; BRONCHIOLITIS; BOCAVIRUS; DIAGNOSIS; IMPACT</t>
  </si>
  <si>
    <t xml:space="preserve">Objectives: To determine and compare the viral frequency, seasonality and clinical-demographic features in 2 groups of children (hospitalized versus outpatients) with acute respiratory infections. Material and Methods: A cross-sectional, descriptive study was performed from 2008 to 2010 in 620 children &lt;6 years of age with acute respiratory infection. Respiratory samples were studied for classical respiratory viruses by immunofluorescence and for human rhinoviruses (HRV) by real-time reverse transcription polymerase chain reaction. Clinical and demographic data were recorded. Results: Viral detection by immunofluorescence was 48% in 434 inpatients and 37% in 186 outpatients. Viral diagnosis increased to 83% and 62%, respectively, when testing for HRV. HRV (41%) and respiratory syncytial virus (RSV) (27%) were most common viruses identified, followed by metapneumovirus (9%), influenza A and parainfluenza (3%), adenovirus and influenza B (2%). HRV frequency was significantly higher in hospitalized patients (47%) than in outpatients (27%) (P &lt; 0.001). Coinfection was detected in 12% of hospitalized and 4% of outpatients (P &lt; 0.031). HRV and adenovirus circulated throughout the entire year. RSV, influenza A and B predominated in winter, whereas metapneumovirus and parainfluenza predominated in spring. Of 362 patients with bronchiolitis, 84% had a virus identified; HRV (42%) and RSV (38%) were predominant. Of 77 patients with pneumonia, 84% had a virus detected with HRV (43%) and RSV (29%) predominating. Conclusions: HRV were significant pathogens associated with bronchiolitis and pneumonia, especially in hospitalized patients. Both, HRV and co-infections, were risk factors for hospitalization. These findings support the importance of including HRV detection in children with acute respiratory infection.</t>
  </si>
  <si>
    <t xml:space="preserve">[Natalia Marcone, Debora; Videla, Cristina; Ricarte, Carmen; Carballal, Guadalupe; Echavarria, Marcela] Univ Hosp, Ctr Educ Med &amp; Invest Clin, Virol Unit, Buenos Aires, DF, Argentina; [Natalia Marcone, Debora; Videla, Cristina; Ricarte, Carmen; Carballal, Guadalupe; Echavarria, Marcela] Univ Hosp, Ctr Educ Med &amp; Invest Clin, Clin Virol Lab, Buenos Aires, DF, Argentina; [Ellis, Alejandro; Ekstrom, Jorge; Manuel Vidaurreta, Santiago] Univ Hosp, Ctr Educ Med &amp; Invest Clin, Dept Pediat, Buenos Aires, DF, Argentina; [Ellis, Alejandro] Mater Dei Hosp, Dept Pediat, Buenos Aires, DF, Argentina</t>
  </si>
  <si>
    <t xml:space="preserve">Centro de Educacion Medica e Investigaciones Clinicas (CEMIC); University of Buenos Aires; Centro de Educacion Medica e Investigaciones Clinicas (CEMIC); University of Buenos Aires; University of Buenos Aires; Centro de Educacion Medica e Investigaciones Clinicas (CEMIC)</t>
  </si>
  <si>
    <t xml:space="preserve">Echavarría, M (corresponding author), CEMIC Univ Hosp, Virol Unit, C 1421FWO, RA-4102 Buenos Aires, DF, Argentina.</t>
  </si>
  <si>
    <t xml:space="preserve">mechavarriaf@hotmail.com</t>
  </si>
  <si>
    <t xml:space="preserve">Marcone, Débora/Y-7539-2019; Echavarria, Marcela/AAQ-2897-2021</t>
  </si>
  <si>
    <t xml:space="preserve">Vidaurreta, Santiago/0000-0002-1341-4793; Marcone, Debora Natalia/0000-0003-4407-7280</t>
  </si>
  <si>
    <t xml:space="preserve">National Scientific and Technologic Agency (ANPCYT), Argentina [PICT 2006-650]</t>
  </si>
  <si>
    <t xml:space="preserve">National Scientific and Technologic Agency (ANPCYT), Argentina</t>
  </si>
  <si>
    <t xml:space="preserve">This work was funded by a grant given to the principal investigator (M.E.) by the National Scientific and Technologic Agency (ANPCYT), Argentina (PICT 2006-650). M. E. is a researcher from both the National Research Council of Argentina (CONICET) and Centro de Educacion Medica e Investigaciones Clinicas. D.N.M. is a PhD student and C.R. a technician, both from CONICET. The authors have no other funding or conflicts of interest to disclose.</t>
  </si>
  <si>
    <t xml:space="preserve">E105</t>
  </si>
  <si>
    <t xml:space="preserve">E110</t>
  </si>
  <si>
    <t xml:space="preserve">10.1097/INF.0b013e31827cd06f</t>
  </si>
  <si>
    <t xml:space="preserve">WOS:000314932700003</t>
  </si>
  <si>
    <t xml:space="preserve">Roh, KH; Kim, J; Nam, MH; Yoon, S; Lee, CK; Lee, K; Yoo, Y; Kim, MJ; Cho, Y</t>
  </si>
  <si>
    <t xml:space="preserve">Roh, Kyoung Ho; Kim, Jeeyong; Nam, Myung-Hyun; Yoon, Sooyung; Lee, Chang Kyu; Lee, Kapno; Yoo, Young; Kim, Min Ja; Cho, Yunjung</t>
  </si>
  <si>
    <t xml:space="preserve">Comparison of the Seeplex reverse transcription PCR assay with the R-mix viral culture and immunofluorescence techniques for detection of eight respiratory viruses</t>
  </si>
  <si>
    <t xml:space="preserve">ANNALS OF CLINICAL AND LABORATORY SCIENCE</t>
  </si>
  <si>
    <t xml:space="preserve">respiratory viruses; reverse transcription PCR; virus culture; Seeplex RV assay</t>
  </si>
  <si>
    <t xml:space="preserve">HUMAN METAPNEUMOVIRUS INFECTION; TRACT INFECTIONS; HOSPITALIZED CHILDREN; CELL-CULTURE; US CHILDREN; INFLUENZA-A; DISEASE; EPIDEMIOLOGY</t>
  </si>
  <si>
    <t xml:space="preserve">This study evaluated the clinical usefulness of a newly introduced multiplex reverse transcription PCR assay (Seeplex RV; Seegene, Inc., Seoul, Korea) in patients with respiratory symptoms. Fifty clinical respiratory specimens (45 from children, 5 from adults) were tested for 8 viruses (influenza virus type A and B, parainfluenza virus type 1, 2, 3, respiratory syncytial virus type A and B, and adenovirus) by Seeplex RV (S-RV) and R-mix viral culture with immunofluorescence (VC-IF). Forty (80%) of the 50 samples showed concordant results between S-RV and VC-IF; 24 of these showed the same positive and 16 showed the same negative results. Among the 10 discrepant samples, 9 were S-RV-positive and VC-IF-negative. Six were obtained in patients with lower respiratory tract infection. Only 1 sample was VC-IF-positive and S-RV-negative. This patient had pneumonia. In 3 cases, more than 1 virus was identified by S-RV. The total running time of S-RV was 6 hr, which shortens the detection time for the viral presence by 2 workdays compared to VC-IF. In conclusion, S-RV is reliable, rapid, relatively easy to perform, and able to detect more than 1virus simultaneously. Therefore, implementation of the S-RV assay in clinical laboratories will aid rapid diagnosis and treatment of major viral infections of the respiratory tract.</t>
  </si>
  <si>
    <t xml:space="preserve">[Roh, Kyoung Ho; Kim, Jeeyong; Nam, Myung-Hyun; Yoon, Sooyung; Lee, Chang Kyu; Lee, Kapno; Cho, Yunjung] Korea Univ, Coll Med, Dept Lab Med, Seoul 136705, South Korea; [Yoo, Young] Korea Univ, Coll Med, Dept Pediat, Seoul 136705, South Korea; [Kim, Min Ja] Korea Univ, Coll Med, Dept Internal Med, Seoul 136705, South Korea</t>
  </si>
  <si>
    <t xml:space="preserve">Korea University; Korea University Medicine (KU Medicine); Korea University; Korea University Medicine (KU Medicine); Korea University; Korea University Medicine (KU Medicine)</t>
  </si>
  <si>
    <t xml:space="preserve">Cho, Y (corresponding author), Korea Univ, Coll Med, Dept Lab Med, 126-1 Anam Dong, Seoul 136705, South Korea.</t>
  </si>
  <si>
    <t xml:space="preserve">eqcliolku@korea.ac.kr</t>
  </si>
  <si>
    <t xml:space="preserve">Kim, Jeeyong/LNQ-5083-2024</t>
  </si>
  <si>
    <t xml:space="preserve">Kim, Jeeyong/0000-0002-0426-2572</t>
  </si>
  <si>
    <t xml:space="preserve">ASSOC CLINICAL SCIENTISTS</t>
  </si>
  <si>
    <t xml:space="preserve">MIDDLEBURY</t>
  </si>
  <si>
    <t xml:space="preserve">PO BOX 1287, MIDDLEBURY, VT 05753 USA</t>
  </si>
  <si>
    <t xml:space="preserve">0091-7370</t>
  </si>
  <si>
    <t xml:space="preserve">1550-8080</t>
  </si>
  <si>
    <t xml:space="preserve">ANN CLIN LAB SCI</t>
  </si>
  <si>
    <t xml:space="preserve">Ann. Clin. Lab. Sci.</t>
  </si>
  <si>
    <t xml:space="preserve">WIN</t>
  </si>
  <si>
    <t xml:space="preserve">Medical Laboratory Technology</t>
  </si>
  <si>
    <t xml:space="preserve">267ER</t>
  </si>
  <si>
    <t xml:space="preserve">WOS:000253492800008</t>
  </si>
  <si>
    <t xml:space="preserve">Pavia, AT</t>
  </si>
  <si>
    <t xml:space="preserve">Pavia, Andrew T.</t>
  </si>
  <si>
    <t xml:space="preserve">What is the Role of Respiratory Viruses in Community-Acquired Pneumonia? What is the Best Therapy for Influenza and Other Viral Causes of Community-Acquired Pneumonia?</t>
  </si>
  <si>
    <t xml:space="preserve">Respiratory viruses; Respiratory viral infections; Influenza; Antiviral agents; Viral pneumonia</t>
  </si>
  <si>
    <t xml:space="preserve">HUMAN METAPNEUMOVIRUS INFECTION; INVASIVE PNEUMOCOCCAL DISEASE; CRITICALLY-ILL PATIENTS; SYNCYTIAL VIRUS; A H1N1; PANDEMIC INFLUENZA; OSELTAMIVIR-RESISTANT; HUMAN BOCAVIRUS; UNITED-STATES; REQUIRING HOSPITALIZATION</t>
  </si>
  <si>
    <t xml:space="preserve">Respiratory viruses have long been appreciated as a cause of community acquired pneumonia (CAP), particularly among children, people with serious medical comorbidities, and military recruits. They are increasingly recognized as a cause of CAP among adults. Polymerase chain reaction based testing has allowed detection of newer agents and improved the ability to detect such viral infections as influenza virus and rhinovirus. Coinfection with viruses and bacteria is common and it remains challenging to determine which patients have only viral infection as the cause of CAP. Better ways to diagnose viral CAP and to integrate detection into management, and better treatment options for noninfluenza respiratory viral infections are needed.</t>
  </si>
  <si>
    <t xml:space="preserve">Univ Utah, Div Pediat Infect Dis, Dept Pediat, Salt Lake City, UT 84108 USA</t>
  </si>
  <si>
    <t xml:space="preserve">Utah System of Higher Education; University of Utah</t>
  </si>
  <si>
    <t xml:space="preserve">Pavia, AT (corresponding author), Univ Utah, Div Pediat Infect Dis, Dept Pediat, 295 Chipeta Way, Salt Lake City, UT 84108 USA.</t>
  </si>
  <si>
    <t xml:space="preserve">andy.pavia@hsc.utah.edu</t>
  </si>
  <si>
    <t xml:space="preserve">10.1016/j.idc.2012.11.007</t>
  </si>
  <si>
    <t xml:space="preserve">104YH</t>
  </si>
  <si>
    <t xml:space="preserve">WOS:000316032200013</t>
  </si>
  <si>
    <t xml:space="preserve">Tai, CC; Tsai, CH; Huang, YH; Lee, CL; Chen, HP; Chan, YJ</t>
  </si>
  <si>
    <t xml:space="preserve">Tai, Cheng-Chun; Tsai, Cheng-Hsien; Huang, Yu-Han; Lee, Chia-Lin; Chen, Hsin-Pai; Chan, Yu-Jiun</t>
  </si>
  <si>
    <t xml:space="preserve">Detection of respiratory viruses in adults with respiratory tract infection using a multiplex PCR assay at a tertiary center</t>
  </si>
  <si>
    <t xml:space="preserve">JOURNAL OF MICROBIOLOGY IMMUNOLOGY AND INFECTION</t>
  </si>
  <si>
    <t xml:space="preserve">Respiratory Viruses; Respiratory tract infection; Multiplex PCR</t>
  </si>
  <si>
    <t xml:space="preserve">INTENSIVE-CARE-UNIT; COMMUNITY-ACQUIRED PNEUMONIA; VIRAL-INFECTIONS; EPIDEMIOLOGY; CHILDREN; EXPERIENCE; DISEASE</t>
  </si>
  <si>
    <t xml:space="preserve">Background: Respiratory viruses (RVs) are among the most common pathogens for both upper and lower respiratory tract infections (RTIs). However, the viral epidemiology of RV-associated RTIs in adults has long been under-recognized. Through a sensitive molecular assay, it would be possible to have a better understanding of the epidemiology of RV associated RTIs. Material and methods: Respiratory tract (RT) specimens from adults hospitalized due to RTIs were tested for RVs, using the multiplex PCR-based Luminex xTAG (R) Respiratory Viral Panel assay. A total of nineteen RVs, including influenza viruses and non-influenza respiratory viruses (NIRVs) were detected. Positive rates were compared using a chi-square test. Results: A total of 2292 samples from adult patients hospitalized with RTIs were screened for RVs. The overall positive rate was 22%, with 17.8% samples positive for at least one NIRV. NIRVs had a higher positive rate in non-winter seasons. As many as 12.7% (46/363) of the samples collected through broncho-alveolar lavage and 20.5% (176/859) of the samples collected in ICUs were positive for RVs. Distribution of corona virus (CoV), human metapneumovirus (hMPV) and parainfluenza virus (PIV) demonstrated seasonal variation. Also, temperature was associated with the positive rates of specific viruses, including CoV, respiratory syncytial virus (RSV), hMPV and PIV. Conclusion: Respiratory viruses, notably NIRVs, were frequently detected in adults hospitalized with RTIs. Several RVs were detected with distinctive seasonal variations. A sub-stantial number of RVs were identified in lower RT specimens or from patients admitted to ICU, highlighting their important role in causing severe respiratory infection. Copyright (c) 2020, Taiwan Society of Microbiology. Published by Elsevier Taiwan LLC. This is an open access article under the CC BY-NC-ND license (http://creativecommons.org/licenses/by-nc-nd/4.0/).</t>
  </si>
  <si>
    <t xml:space="preserve">[Tai, Cheng-Chun] Taipei Vet Gen Hosp, Dept Med Educ, Taipei, Taiwan; [Tai, Cheng-Chun; Chen, Hsin-Pai; Chan, Yu-Jiun] Taipei Vet Gen Hosp, Dept Med, Div Infect Dis, Taipei, Taiwan; [Chen, Hsin-Pai] Natl Yang Ming Univ, Sch Med, Taipei, Taiwan; [Chan, Yu-Jiun] Natl Yang Ming Univ, Sch Med, Inst Publ Hlth, Taipei, Taiwan; [Tsai, Cheng-Hsien; Huang, Yu-Han; Lee, Chia-Lin; Chan, Yu-Jiun] Taipei Vet Gen Hosp, Dept Pathol &amp; Lab Med, Div Microbiol, Taipei, Taiwan</t>
  </si>
  <si>
    <t xml:space="preserve">Taipei Veterans General Hospital; Taipei Veterans General Hospital; National Yang Ming Chiao Tung University; National Yang Ming Chiao Tung University; Taipei Veterans General Hospital</t>
  </si>
  <si>
    <t xml:space="preserve">Chen, HP; Chan, YJ (corresponding author), Taipei Vet Gen Hosp, 201 Shih Pai Rd,Sec 2, Taipei 11247, Taiwan.</t>
  </si>
  <si>
    <t xml:space="preserve">chenhp1970tw@gmail.com; yjchan@vghtpe.gov.tw</t>
  </si>
  <si>
    <t xml:space="preserve">Lee, Chia-Lin/AAR-2716-2020; chen, yuying/JNS-9778-2023; Huang, Yu-Han/AAZ-2308-2021</t>
  </si>
  <si>
    <t xml:space="preserve">ELSEVIER TAIWAN</t>
  </si>
  <si>
    <t xml:space="preserve">TAIPEI</t>
  </si>
  <si>
    <t xml:space="preserve">RM N-412, 4F, CHIA HSIN BUILDING 11, NO 96, ZHONG SHAN N ROAD SEC 2, TAIPEI, 10449, TAIWAN</t>
  </si>
  <si>
    <t xml:space="preserve">1684-1182</t>
  </si>
  <si>
    <t xml:space="preserve">1995-9133</t>
  </si>
  <si>
    <t xml:space="preserve">J MICROBIOL IMMUNOL</t>
  </si>
  <si>
    <t xml:space="preserve">J. Microbiol. Immunol. Infect.</t>
  </si>
  <si>
    <t xml:space="preserve">10.1016/j.jmii.2020.07.020</t>
  </si>
  <si>
    <t xml:space="preserve">OCT 2021</t>
  </si>
  <si>
    <t xml:space="preserve">WI5HD</t>
  </si>
  <si>
    <t xml:space="preserve">WOS:000708390100011</t>
  </si>
  <si>
    <t xml:space="preserve">Mathisen, M; Basnet, S; Sharma, A; Shrestha, PS; Sharma, BN; Valentiner-Branth, P; Sommerfelt, H; Strand, TA</t>
  </si>
  <si>
    <t xml:space="preserve">Mathisen, Maria; Basnet, Sudha; Sharma, Arun; Shrestha, Prakash S.; Sharma, Biswa N.; Valentiner-Branth, Palle; Sommerfelt, Halvor; Strand, Tor A.</t>
  </si>
  <si>
    <t xml:space="preserve">RNA Viruses in Young Nepalese Children Hospitalized With Severe Pneumonia</t>
  </si>
  <si>
    <t xml:space="preserve">respiratory viruses; respiratory syncytial virus; influenza virus; parainfluenza virus; human metapneumovirus; lower respiratory tract infection; polymerase chain reaction; low-income country</t>
  </si>
  <si>
    <t xml:space="preserve">RESPIRATORY VIRAL-INFECTIONS; COMMUNITY-ACQUIRED PNEUMONIA; TRACT INFECTIONS; INFANTS; PATHOGENS; ETIOLOGY; BOCAVIRUS; OUTBREAKS</t>
  </si>
  <si>
    <t xml:space="preserve">Background: Pneumonia is among the leading causes of illness and death in children &lt;5 years of age worldwide. There is little information on the viral etiology of severe pneumonia in low-income countries, where the disease burden is particularly high. Methods: We analyzed nasopharyngeal aspirates from 629 children 2 to 35 months of age meeting World Health Organization criteria for severe pneumonia and presenting at Kanti Children's Hospital, Kathmandu, Nepal, from January 2006 through June 2008. We examined one specimen from each child for 7 respiratory viruses using reverse transcription polymerase chain reaction. Results: We detected one or more respiratory viruses in 188 (30%; confidence interval: 26.4%-33.7%) of the 627 specimens with a valid polymerase chain reaction result, of which 88 (14%) yielded respiratory syncytial virus (RSV), 28 (4.5%) influenza A, 24 (5.8%) parainfluenza virus (PIV) type 3, 23 (3.7%) PIV type 1, 17 (2.7%) influenza B, 9 (1.4%) human metapneumovirus, and 5 (0.8%) PIV type 2. Episodes of severe pneumonia occurred in an epidemic pattern with 2 main annual peaks, the viral infections contributing importantly to these epidemics. The largest peaks of severe pneumonia coincided with peaks of RSV infection, which occurred during the last part of the monsoon season and in winter. Conclusions: RSV was the dominant respiratory viral pathogen detected in young Nepalese children hospitalized with severe pneumonia.</t>
  </si>
  <si>
    <t xml:space="preserve">[Mathisen, Maria; Sharma, Biswa N.] Univ Hosp N Norway, Dept Microbiol &amp; Infect Control, N-9038 Tromso, Norway; [Mathisen, Maria; Sommerfelt, Halvor; Strand, Tor A.] Univ Bergen, Ctr Int Hlth, Bergen, Norway; [Basnet, Sudha; Sharma, Arun; Shrestha, Prakash S.] Tribhuvan Univ, Dept Child Hlth, Inst Med, Kathmandu, Nepal; [Sharma, Biswa N.] Tribhuvan Univ, Teaching Hosp, Dept Microbiol, Kathmandu, Nepal; [Valentiner-Branth, Palle] Statens Serum Inst, Div Epidemiol, Dept Epidemiol, DK-2300 Copenhagen, Denmark; [Sommerfelt, Halvor; Strand, Tor A.] Norwegian Inst Publ Hlth, Div Infect Dis Control, Oslo, Norway; [Strand, Tor A.] Innlandet Hosp Trust, Dept Lab Med, Lillehammer, Norway</t>
  </si>
  <si>
    <t xml:space="preserve">UiT The Arctic University of Tromso; University Hospital of North Norway; University of Bergen; Tribhuvan University; Institute of Medicine (IoM) - Nepal; Tribhuvan University; Institute of Medicine (IoM) - Nepal; Statens Serum Institut; Norwegian Institute of Public Health (NIPH); Innlandet Hospital Trust</t>
  </si>
  <si>
    <t xml:space="preserve">Mathisen, M (corresponding author), Univ Hosp N Norway, Dept Microbiol &amp; Infect Control, Box 56, N-9038 Tromso, Norway.</t>
  </si>
  <si>
    <t xml:space="preserve">maria.mathisen2@unn.no</t>
  </si>
  <si>
    <t xml:space="preserve">Sommerfelt, Halvor/ABD-3552-2020; Strand, Tor/D-9836-2016</t>
  </si>
  <si>
    <t xml:space="preserve">valentiner-branth, palle/0000-0002-6229-5268; Strand, Tor/0000-0002-4038-151X</t>
  </si>
  <si>
    <t xml:space="preserve">European Commission (EU-INCO-DC) [INCO-FP6-003740]; Norwegian Research Council (RCN) [151054, 172226]; Meltzer Foundation in Bergen; Kanti Children Hospital; Department of Child Health</t>
  </si>
  <si>
    <t xml:space="preserve">European Commission (EU-INCO-DC)(European Union (EU)European Commission Joint Research Centre); Norwegian Research Council (RCN)(Research Council of Norway); Meltzer Foundation in Bergen; Kanti Children Hospital; Department of Child Health</t>
  </si>
  <si>
    <t xml:space="preserve">Supported by a grant from the European Commission (EU-INCO-DC contract number INCO-FP6-003740). It also received grants from the Norwegian Research Council (RCN project numbers 151054 and 172226) and the Meltzer Foundation in Bergen. The sponsors of the study had no role in study design, collection, analysis and interpretation of data, or writing of the report.The authors thank all the children and their families who took part in the study. We are indebted to field assistants Mahesh Kumar Thapa and Ram Krishna Khatri and the study physicians for their contribution to the study, as well as other staff of the Child Health Research Project. The authors thank the Director of the Kanti Children Hospital, as well as Dr. Renu Prasai and staff of the Emergency, Observation, ARI/ORT, Medical, Paying and Special Cabin wards for their invaluable support. We also thank Head of the Department of Child Health, Pushpa Raj Sharma, Ramesh K. Adhikari, and other faculty members for their support; Nita Bhandari for her valuable advice on study design; the Department of Microbiology, Tribhuvan University Teaching Hospital, Kathmandu, for providing the laboratory facilities; and are grateful for the diligent laboratory work performed by Govinda Gurung and Subash Sherchan.</t>
  </si>
  <si>
    <t xml:space="preserve">10.1097/INF.0b013e31822f845f</t>
  </si>
  <si>
    <t xml:space="preserve">853DJ</t>
  </si>
  <si>
    <t xml:space="preserve">WOS:000297406100007</t>
  </si>
  <si>
    <t xml:space="preserve">Costa, LF; Yokosawa, J; Mantese, OC; Oliveira, TFM; Silveira, HL; Nepomuceno, LL; Moreira, LS; Dyonisio, G; Rossi, LMG; Oliveira, RC; Ribeiro, LZG; Queiróz, DAO</t>
  </si>
  <si>
    <t xml:space="preserve">Costa, L. F.; Yokosawa, J.; Mantese, O. C.; Oliveira, T. F. M.; Silveira, H. L.; Nepomuceno, L. L.; Moreira, L. S.; Dyonisio, G.; Rossi, L. M. G.; Oliveira, R. C.; Ribeiro, L. Z. G.; Queiroz, D. A. O.</t>
  </si>
  <si>
    <t xml:space="preserve">Respiratory viruses in children younger than five years old with acute respiratory disease from 2001 to 2004 in Uberlandia, MG, Brazil</t>
  </si>
  <si>
    <t xml:space="preserve">MEMORIAS DO INSTITUTO OSWALDO CRUZ</t>
  </si>
  <si>
    <t xml:space="preserve">respiratory viruses; respiratory disease; immunofluorescence assay; reverse transcription of polymerase chain reaction; children</t>
  </si>
  <si>
    <t xml:space="preserve">SYNCYTIAL VIRUS; IMMUNE-RESPONSE; INFECTION; RHINOVIRUS; INFLUENZA; AGE; EPIDEMIOLOGY; ASSOCIATION; DIAGNOSIS; SEVERITY</t>
  </si>
  <si>
    <t xml:space="preserve">The main viruses involved in acute respiratory diseases among children are: respiratory syncytial virus (RSV), influenzavirus (FLU), parainfluenzavirus (PIV), adenovirus (AdV), human rhinovirus (HRV), and the human metapneumovirus (hMPV). The purpose of the present study was to identify respiratory viruses that affected children younger than five years old in Uberlandia, Midwestern Brazil. Nasopharyngeal aspirates from 3 79 children attended at Hospital de Clinicas (HC/UFU), from 2001 to 2004, with acute respiratory disease, were collected and tested by immunofluorescence assay (IFA) to detect RSV FLU A/B, PIV 1/2/3 and AdV and RT-PCR to detect HRV RSV was defected in 26.4% (100/379) of samples, FLU A/B in 9.5% (36/379), PIV 1/2/3 in 6.3% (24/379) and AdV in 3.7% (14/379). HRV were detected in 29.6% (112/379) of the negative and indeterminate samples tested by IFI. RSV particularly among children less than six months of life, and HRV cases showed highest incidence. Negative samples by both IFA and RT-PCR might reflect the presence of other pathogens, such as hMPV coronavirus, and bacteria. Laboratorial diagnosis constituted an essential instrument to determine the incidence of the most common viruses in respiratory infections among children in this region.</t>
  </si>
  <si>
    <t xml:space="preserve">Univ Fed Uberlandia, Inst Ciencias Biomed, Virol Lab, BR-38400902 Uberlandia, MG, Brazil; NG Biotecnol Ltda, Sao Paulo, Brazil; Univ Fed Uberlandia, Hosp Clin, Uberlandia, MG, Brazil</t>
  </si>
  <si>
    <t xml:space="preserve">Universidade Federal de Uberlandia; Universidade Federal de Uberlandia</t>
  </si>
  <si>
    <t xml:space="preserve">Queiróz, DAO (corresponding author), Univ Fed Uberlandia, Inst Ciencias Biomed, Virol Lab, Av Para 1720, BR-38400902 Uberlandia, MG, Brazil.</t>
  </si>
  <si>
    <t xml:space="preserve">dqueiroz@icbim.ufu.br</t>
  </si>
  <si>
    <t xml:space="preserve">Rossi, Livia/B-9776-2014</t>
  </si>
  <si>
    <t xml:space="preserve">Costa, Lourenco Faria/0000-0001-7370-1463</t>
  </si>
  <si>
    <t xml:space="preserve">FUNDACO OSWALDO CRUZ</t>
  </si>
  <si>
    <t xml:space="preserve">AV BRASIL 4365, 21045-900 RIO DE JANEIRO, RJ, BRAZIL</t>
  </si>
  <si>
    <t xml:space="preserve">0074-0276</t>
  </si>
  <si>
    <t xml:space="preserve">1678-8060</t>
  </si>
  <si>
    <t xml:space="preserve">MEM I OSWALDO CRUZ</t>
  </si>
  <si>
    <t xml:space="preserve">Mem. Inst. Oswaldo Cruz</t>
  </si>
  <si>
    <t xml:space="preserve">10.1590/S0074-02762006000300014</t>
  </si>
  <si>
    <t xml:space="preserve">Parasitology; Tropical Medicine</t>
  </si>
  <si>
    <t xml:space="preserve">050VJ</t>
  </si>
  <si>
    <t xml:space="preserve">Green Submitted, gold</t>
  </si>
  <si>
    <t xml:space="preserve">WOS:000238116700014</t>
  </si>
  <si>
    <t xml:space="preserve">Moore, C; Corden, S; Sinha, J; Jones, R</t>
  </si>
  <si>
    <t xml:space="preserve">Moore, Catherine; Corden, Sally; Sinha, Jaisi; Jones, Rachel</t>
  </si>
  <si>
    <t xml:space="preserve">Dry cotton or flocked respiratory swabs as a simple collection technique for the molecular detection of respiratory viruses using real-time NASBA</t>
  </si>
  <si>
    <t xml:space="preserve">Respiratory Viruses; Real-time NASBA; Dry respiratory swab</t>
  </si>
  <si>
    <t xml:space="preserve">SYNCYTIAL VIRUS; FILTER-PAPER; RAPID DETECTION; PLASMA SPOTS; WHOLE-BLOOD; VIRAL LOAD; ASSAY; INFLUENZA; RNA; QUANTIFICATION</t>
  </si>
  <si>
    <t xml:space="preserve">This paper describes the molecular detection of influenza A, influenza B, respiratory syncytial virus and human metapneumovirus using real-time nucleic acid sequence based amplification (NASBA) from respiratory samples collected on simple dry cotton swabs, non-invasively and in the absence of transport medium. Viral RNA was detectable on dry cotton and flocked swabs for at least 2 weeks at room temperature and was readily extracted using magnetic silica extraction methods. Dry cotton respiratory swabs were matched with traditionally collected respiratory samples from the same patient, and results of traditional laboratory techniques and real-time NASBA were compared for all four viral targets. The results not only showed a significant increase in the detection rate of the viral targets over traditional laboratory methods of 46%, but also that dry swabs did not compromise their recovery. Over two subsequent winter seasons, 736 dry cotton respiratory swabs were collected from symptomatic patients and tested using real-time NASBA giving an overall detection rate for these respiratory virus targets of 38%. The simplicity of the method together with the increased detection rate observed in the study proves that transporting a dry respiratory swab to the laboratory for respiratory virus diagnosis using molecular methods is a suitable and robust alternative to traditional sample types. (C) 2008 Elsevier B.V. All rights reserved.</t>
  </si>
  <si>
    <t xml:space="preserve">[Moore, Catherine; Corden, Sally; Sinha, Jaisi; Jones, Rachel] Univ Wales Hosp, Wales Specialist Virol Ctr, Cardiff CF14 4XW, S Glam, Wales</t>
  </si>
  <si>
    <t xml:space="preserve">Cardiff University</t>
  </si>
  <si>
    <t xml:space="preserve">Moore, C (corresponding author), Univ Wales Hosp, Wales Specialist Virol Ctr, Heath Pk, Cardiff CF14 4XW, S Glam, Wales.</t>
  </si>
  <si>
    <t xml:space="preserve">catherine.moore@nphs.wales.nhs.uk</t>
  </si>
  <si>
    <t xml:space="preserve">Moore, Catherine/G-9426-2015</t>
  </si>
  <si>
    <t xml:space="preserve">Moore, Catherine/0000-0001-7347-3210; Moore, Catherine/0000-0001-8934-0930</t>
  </si>
  <si>
    <t xml:space="preserve">Welsh Specialist Virology Centre; Molecular Diagnostics Unit; bioMerieux in France</t>
  </si>
  <si>
    <t xml:space="preserve">The authors would like to thank Dr Sam Hibbitts for her work in developing the assays used in the routine diagnostic service, Dr Diana Westmoreland for her hard work in setting up the respiratory diagnostic service for Wales. The staff of the Welsh Specialist Virology Centre, the Molecular Diagnostics Unit and the R&amp;D staff from bioMerieux in France and the Netherlands for providing kits and technical support. The Welsh Assembly Government provided funding support for the routine surveillance of influenza in Wales.</t>
  </si>
  <si>
    <t xml:space="preserve">10.1016/j.jviromet.2008.08.001</t>
  </si>
  <si>
    <t xml:space="preserve">367PV</t>
  </si>
  <si>
    <t xml:space="preserve">WOS:000260565200002</t>
  </si>
  <si>
    <t xml:space="preserve">Utokaparch, S; Marchant, D; Gosselink, JV; McDonough, JE; Thomas, EE; Hogg, JC; Hegele, RG</t>
  </si>
  <si>
    <t xml:space="preserve">Utokaparch, Soraya; Marchant, David; Gosselink, John V.; McDonough, John E.; Thomas, Eva E.; Hogg, James C.; Hegele, Richard G.</t>
  </si>
  <si>
    <t xml:space="preserve">The Relationship Between Respiratory Viral Loads and Diagnosis in Children Presenting to a Pediatric Hospital Emergency Department</t>
  </si>
  <si>
    <t xml:space="preserve">respiratory viruses; physician diagnosis; viral load</t>
  </si>
  <si>
    <t xml:space="preserve">REAL-TIME PCR; SYNCYTIAL VIRUS; HUMAN METAPNEUMOVIRUS; YOUNG-CHILDREN; CHAIN-REACTION; INFECTIONS; DISEASE; INFANTS; TRACT; RHINOVIRUS</t>
  </si>
  <si>
    <t xml:space="preserve">Background: Respiratory viral infections account for a considerable proportion of pediatric emergency room visits. Illnesses range in severity from mild upper respiratory tract infections to serious lower respiratory tract infections (LRTI). The relationship between viral load and specific viruses to clinical diagnosis made by physicians in this setting is poorly understood. Methods: We applied a real-time, quantitative polymerase chain reaction (qPCR) panel for 13 common respiratory viruses to 195 frozen, archival nasopharyngeal aspirate specimens obtained from symptomatic children &lt;= 24 months of age presenting to the emergency room. Mean total viral load and number of viruses per archival nasopharyngeal aspirate specimen were compared between LRTI (n = 70) and non-LRTI (1 or more of upper respiratory tract infection, fever, or cough) (n = 125), as were yield and concordance of qPCR results to viral culture/direct fluorescence assay (DFA). Results: Children with LRTI had significantly increased total viral load and harbored more viruses than the non-LRTI group. Respiratory syncytial virus-A and -B were significantly associated with LRTI, and parainfluenza virus-1 with non-LRTI. Individual loads of parainfluenza virus-2 and human rhinovirus were increased in LRTI versus non-LRTI. Quantitative PCR yielded more viruses (including coinfections, where a dominant virus was typically identified) than viral culture/DFA and documented nucleic acid from pathogens not tested by culture/DFA including human rhinovirus; coronaviruses -OC43, -229E, and -NL63; and metapneumovirus. Conclusions: In symptomatic children presenting to the emergency room, total viral load is related to clinical diagnosis; specific viruses are associated with particular clinical diagnoses, and qPCR has a higher yield than other viral diagnostic methods.</t>
  </si>
  <si>
    <t xml:space="preserve">[Utokaparch, Soraya; Marchant, David; Gosselink, John V.; McDonough, John E.; Hogg, James C.] Univ British Columbia, St Pauls Hosp, Providence Heart Lung Inst, James Hogg Res Ctr, Vancouver, BC V5Z 1M9, Canada; [Thomas, Eva E.] Univ British Columbia, Dept Pathol &amp; Lab Med, Childrens &amp; Womens Hlth Ctr British Columbia, Diagnost Virol Lab, Vancouver, BC V5Z 1M9, Canada; [Hegele, Richard G.] Univ Toronto, St Michaels Hosp, Li Ka Shing Knowledge Inst, Dept Lab Med &amp; Pathobiol,Keenan Res Ctr, Toronto, ON M5B 1W8, Canada</t>
  </si>
  <si>
    <t xml:space="preserve">St. Paul's Hospital; University of British Columbia; University of British Columbia; BC Women's Hospital &amp; Health Centre; University of Toronto; Saint Michaels Hospital Toronto; Li Ka Shing Knowledge Institute</t>
  </si>
  <si>
    <t xml:space="preserve">Hegele, RG (corresponding author), 1 Kings Coll Circle,Room 6229, Toronto, ON M5S 1A8, Canada.</t>
  </si>
  <si>
    <t xml:space="preserve">richard.hegele@utoronto.ca</t>
  </si>
  <si>
    <t xml:space="preserve">Hegele, Robert/G-3301-2011; McDonough, John/KCK-2427-2024</t>
  </si>
  <si>
    <t xml:space="preserve">Hegele, Richard/0000-0003-1073-8044; McDonough, John/0000-0003-2497-0258; Marchant, David J./0009-0007-1783-0448</t>
  </si>
  <si>
    <t xml:space="preserve">Canadian Institutes of Health Research; British Columbia Lung Association; Michael Smith Foundation for Health Research</t>
  </si>
  <si>
    <t xml:space="preserve">Canadian Institutes of Health Research(Canadian Institutes of Health Research (CIHR)); British Columbia Lung Association; Michael Smith Foundation for Health Research(Michael Smith Foundation for Health Research)</t>
  </si>
  <si>
    <t xml:space="preserve">Supported by Canadian Institutes of Health Research, British Columbia Lung Association, and Michael Smith Foundation for Health Research.</t>
  </si>
  <si>
    <t xml:space="preserve">E18</t>
  </si>
  <si>
    <t xml:space="preserve">E23</t>
  </si>
  <si>
    <t xml:space="preserve">10.1097/INF.0b013e3181ff2fac</t>
  </si>
  <si>
    <t xml:space="preserve">707TG</t>
  </si>
  <si>
    <t xml:space="preserve">WOS:000286310400001</t>
  </si>
  <si>
    <t xml:space="preserve">Auburn, H; Zuckerman, M; Broughton, S; Greenough, A; Smith, M</t>
  </si>
  <si>
    <t xml:space="preserve">Auburn, Helen; Zuckerman, Mark; Broughton, Simon; Greenough, Anne; Smith, Melvyn</t>
  </si>
  <si>
    <t xml:space="preserve">Detection of nine respiratory RNA viruses using three multiplex RT-PCR assays incorporating a novel RNA internal control transcript</t>
  </si>
  <si>
    <t xml:space="preserve">Respiratory viruses; Multiplex RT-PCR; RNA internal control</t>
  </si>
  <si>
    <t xml:space="preserve">REAL-TIME PCR; HUMAN METAPNEUMOVIRUS; SYNCYTIAL-VIRUS; HOSPITALIZED INFANTS; VIRAL-INFECTIONS; TRACT INFECTIONS; DIAGNOSTIC PCR; INFLUENZA-A; DESIGN</t>
  </si>
  <si>
    <t xml:space="preserve">Real-time PCR is a significant improvement over viral isolation and immunofluorescence for routinely detecting respiratory viruses. We developed three real-time internally controlled multiplex RT-PCR assays for detecting nine respiratory viruses. An internal control transcript consisting of a chimeric plasmid was synthesised and incorporated into each multiplex to monitor amplification efficiency, including inhibition. Each multiplex assay was developed on the Rotor-Gene 3000 and evaluated using RNA extracts from 126 nasopharyngeal aspirates from 112 pre-term infants. All 44/126 (35%) samples positive by immunofluorescence were confirmed by multiplex RT-PCR. Additionally, respiratory syncytial virus RNA was detected in 5 samples, influenza A virus RNA in 2 samples and thirteen (10%) dual infections by multiplex RT-PCR were noted. Inclusion of the RNA internal control did not affect the amplification efficiency of the target sequences and only 2 of 1256(0.2%) samples tested over a 12 month period were inhibitory. Together with the improved sensitivity of the internally controlled multiplex RT-PCR assays over the older technology and the ability to detect co-infections, the internal control monitored the efficiency of both the RI and PCR steps and indicated inhibition, saving time and costs on running duplicate samples with a spiked inhibition control. (C) 2011 Elsevier B.V. All rights reserved.</t>
  </si>
  <si>
    <t xml:space="preserve">[Auburn, Helen; Zuckerman, Mark; Smith, Melvyn] Kings Coll Hosp NHS Fdn Trust, S London Specialist Virol Ctr, London SE5 9RS, England; [Broughton, Simon; Greenough, Anne] Kings Coll Hosp NHS Fdn Trust, Dept Child Hlth, London SE5 9RS, England</t>
  </si>
  <si>
    <t xml:space="preserve">King's College Hospital NHS Foundation Trust; King's College Hospital NHS Foundation Trust</t>
  </si>
  <si>
    <t xml:space="preserve">Smith, M (corresponding author), Kings Coll Hosp NHS Fdn Trust, S London Specialist Virol Ctr, Bessemer Wing,Denmark Hill, London SE5 9RS, England.</t>
  </si>
  <si>
    <t xml:space="preserve">melvyn.smith@kcl.ac.uk</t>
  </si>
  <si>
    <t xml:space="preserve">Greenough, Anne/0000-0002-8672-5349</t>
  </si>
  <si>
    <t xml:space="preserve">10.1016/j.jviromet.2011.05.017</t>
  </si>
  <si>
    <t xml:space="preserve">809ED</t>
  </si>
  <si>
    <t xml:space="preserve">WOS:000294033700002</t>
  </si>
  <si>
    <t xml:space="preserve">Wiertsema, SP; Chidlow, GR; Kirkham, LAS; Corscadden, KJ; Mowe, EN; Vijayasekaran, S; Coates, HL; Harnett, GB; Richmond, PC</t>
  </si>
  <si>
    <t xml:space="preserve">Wiertsema, Selma P.; Chidlow, Glenys R.; Kirkham, Lea-Ann S.; Corscadden, Karli J.; Mowe, Eva N.; Vijayasekaran, Shyan; Coates, Harvey L.; Harnett, Gerald B.; Richmond, Peter C.</t>
  </si>
  <si>
    <t xml:space="preserve">High Detection Rates of Nucleic Acids of a Wide Range of Respiratory Viruses in the Nasopharynx and the Middle Ear of Children With a History of Recurrent Acute Otitis Media</t>
  </si>
  <si>
    <t xml:space="preserve">respiratory viruses; molecular detection; pathogen interaction; rhinovirus; bocavirus; polyomavirus</t>
  </si>
  <si>
    <t xml:space="preserve">POLYMERASE-CHAIN-REACTION; HUMAN BOCAVIRUS INFECTION; YOUNG-CHILDREN; HUMAN RHINOVIRUSES; TRACT INFECTIONS; SYNCYTIAL VIRUS; STREPTOCOCCUS-PNEUMONIAE; HAEMOPHILUS-INFLUENZAE; NONABORIGINAL CHILDREN; PATHOGENS</t>
  </si>
  <si>
    <t xml:space="preserve">Both bacteria and viruses play a role in the development of acute otitis media, however, the importance of specific viruses is unclear. In this study molecular methods were used to determine the presence of nucleic acids of human rhinoviruses (HRV; types A, B, and C), respiratory syncytial viruses (RSV; types A and B), bocavirus (HBoV), adenovirus, enterovirus, coronaviruses (229E, HKU1, NL63, and OC43), influenza viruses (types A, B, and C), parainfluenza viruses (types 1, 2, 3, 4A, and 4B), human metapneumovirus, and polyomaviruses (KI and WU) in the nasopharynx of children between 6 and 36 months of age either with (n = 180) or without (n = 66) a history of recurrent acute otitis media and in 238 middle ear effusion samples collected from 143 children with recurrent acute otitis media. The co-detection of these viruses with Streptococcus pneumoniae, nontypeable Haemophilus influenzae, and Moraxella catarrhalis was analyzed. HRV (58.3% vs. 42.4%), HBoV (52.2% vs. 19.7%), polyomaviruses (36.1% vs. 15.2%), parainfluenza viruses (29.4% vs. 9.1%), adenovirus (25.0% vs. 6.1%), and RSV (27.8% vs. 9.1%) were detected significantly more often in the nasopharynx of children with a history of recurrent acute otitis media compared to healthy children. HRV was predominant in the middle ear and detected in middle ear effusion of 46% of children. Since respiratory viruses were detected frequently in the nasopharynx of both children with and without a history of recurrent acute otitis media, the etiological role of specific viruses in recurrent acute otitis media remains uncertain, however, anti-viral therapies may be beneficial in future treatment and prevention strategies for acute otitis media. J. Med. Virol. 83:2008-2017, 2011. (C) 2011 Wiley-Liss, Inc.</t>
  </si>
  <si>
    <t xml:space="preserve">[Wiertsema, Selma P.; Kirkham, Lea-Ann S.; Coates, Harvey L.; Richmond, Peter C.] Univ Western Australia, Sch Paediat &amp; Child Hlth, Perth, WA 6009, Australia; [Wiertsema, Selma P.; Kirkham, Lea-Ann S.; Corscadden, Karli J.; Mowe, Eva N.; Richmond, Peter C.] Univ Western Australia, Telethon Inst Child Hlth Res, Ctr Child Hlth Res, Perth, WA 6009, Australia; [Chidlow, Glenys R.; Harnett, Gerald B.] Queen Elizabeth II Med Ctr, Pathw Lab Med WA, Perth, WA, Australia; [Vijayasekaran, Shyan; Coates, Harvey L.] Univ Western Australia, Dept Otolaryngol Head &amp; Neck Surg, Perth, WA 6009, Australia; [Vijayasekaran, Shyan; Coates, Harvey L.; Richmond, Peter C.] Princess Margaret Hosp Children, Perth, WA, Australia</t>
  </si>
  <si>
    <t xml:space="preserve">University of Western Australia; The Kids Research Institute Australia; University of Western Australia; University of Western Australia; University of Western Australia; Princess Margaret Hospital for Children; University of Western Australia</t>
  </si>
  <si>
    <t xml:space="preserve">Wiertsema, SP (corresponding author), Princess Margaret Hosp Children, Level 4,Admin Bldg, Subiaco, WA 6008, Australia.</t>
  </si>
  <si>
    <t xml:space="preserve">swiertsema@meddent.uwa.edu.au</t>
  </si>
  <si>
    <t xml:space="preserve">Coates, Harvey/AAR-2846-2020; Richmond, Peter/G-3379-2012; vijayasekaran, shyan/AAB-7538-2022; Kirkham, Lea-Ann/A-5847-2013</t>
  </si>
  <si>
    <t xml:space="preserve">Kirkham, Lea-Ann/0000-0001-5421-8126; Vijayasekaran, Shyan/0000-0001-7990-6742; Richmond, Peter/0000-0001-7562-7228; Mowe, Eva/0009-0006-7781-8697</t>
  </si>
  <si>
    <t xml:space="preserve">University of Western Australia; Telethon Trust</t>
  </si>
  <si>
    <t xml:space="preserve">Grant sponsor: University of Western Australia Priming Grant; Grant sponsor: University of Western Australia Safety Net Grant; Grant sponsor: Telethon Trust Research Grant.</t>
  </si>
  <si>
    <t xml:space="preserve">10.1002/jmv.22221</t>
  </si>
  <si>
    <t xml:space="preserve">824IS</t>
  </si>
  <si>
    <t xml:space="preserve">WOS:000295196200020</t>
  </si>
  <si>
    <t xml:space="preserve">Baccalà, GP; Komurian-Pradel, F; Richard, N; Vernet, G; Lina, B; Floret, D</t>
  </si>
  <si>
    <t xml:space="preserve">Baccala, Glaucia Paranhos; Komurian-Pradel, Florence; Richard, Nathalie; Vernet, Guy; Lina, Bruno; Floret, Daniel</t>
  </si>
  <si>
    <t xml:space="preserve">Mixed Respiratory Virus Infections</t>
  </si>
  <si>
    <t xml:space="preserve">Respiratory viruses; Mixed infections; Bronchiolitis; Cell culture; Molecular tests</t>
  </si>
  <si>
    <t xml:space="preserve">HUMAN METAPNEUMOVIRUS INFECTION; SYNCYTIAL VIRUS; YOUNG-CHILDREN; CLINICAL CHARACTERISTICS; HOSPITALIZED INFANTS; TRACT ILLNESS; 1ST YEAR; BRONCHIOLITIS; PREVALENCE; SEVERITY</t>
  </si>
  <si>
    <t xml:space="preserve">Mixed respiratory vital infections are double negative common and evidence that they are associated with severe disease is Supported by some groups. This controversial observation can be explained by the lack of sensitivity of the assessed methods used for vital identification and by the small number of patients included in the randomized cohorts studied. Most Studies showed that respiratory syncytial virus (RSV) is identified in about 70% of hospitalized infants with bronchiolitis during seasonal winter epidemics, followed by human metapneumovirus (hMPV, about 3-19%) or rhinoviruses (about 20%). Other respiratory Viruses have also been reported, indicating significant causes of bronchiolitis and hospitalization during seasonal epidemics. The presence of more than one pathogen, and moreover, the association of RSV with rhinoviruses and also RSV with WIN, May influence the natural Course of bronchiolitis. A better understanding of these Various interactions would help future decision-making, Such as the extent to which searches for co-pathogens Should be Conducted in severe bronchiolitis patients already infected by RSV. (c) 2008 Elsevier B.V. All rights reserved.</t>
  </si>
  <si>
    <t xml:space="preserve">[Baccala, Glaucia Paranhos] Fdn Merieux, Emerging Pathogens Lab LPE, IFR BioSci Lyon Gerland 128, Tour CERVI, F-69365 Lyon 07, France; [Richard, Nathalie] Hop Femme Mre Enfant, Serv Reanimat Pediat, Lyon, France; [Lina, Bruno] Lab Virol Est, Lyon, France</t>
  </si>
  <si>
    <t xml:space="preserve">CHU Lyon</t>
  </si>
  <si>
    <t xml:space="preserve">Baccalà, GP (corresponding author), Fdn Merieux, Emerging Pathogens Lab LPE, IFR BioSci Lyon Gerland 128, Tour CERVI, 21 Ave Tony Garnier, F-69365 Lyon 07, France.</t>
  </si>
  <si>
    <t xml:space="preserve">glaucia.baccala@lpe.fondation.merieux.org</t>
  </si>
  <si>
    <t xml:space="preserve">lina, bruno/N-3663-2019</t>
  </si>
  <si>
    <t xml:space="preserve">vernet, guy/0000-0002-5120-1297; lina, bruno/0000-0002-8959-2123; Pradel, Florence/0000-0002-1023-0796</t>
  </si>
  <si>
    <t xml:space="preserve">10.1016/j.jcv.2008.08.010</t>
  </si>
  <si>
    <t xml:space="preserve">384MY</t>
  </si>
  <si>
    <t xml:space="preserve">WOS:000261750100011</t>
  </si>
  <si>
    <t xml:space="preserve">O'Bryant, SC; Momin, Z; Camp, E; Jones, J; Meskill, S</t>
  </si>
  <si>
    <t xml:space="preserve">O'Bryant, Shelease C.; Momin, Zobiya; Camp, Elizabeth; Jones, Jennifer; Meskill, Sarah</t>
  </si>
  <si>
    <t xml:space="preserve">Longitudinal evaluation of pediatric respiratory infections</t>
  </si>
  <si>
    <t xml:space="preserve">Respiratory viruses; Mechanical ventilation; Pediatric viral infections; Pediatric viral coinfections; Pediatric viral-bacterial infections</t>
  </si>
  <si>
    <t xml:space="preserve">SYNCYTIAL VIRUS-INFECTION; BACTERIAL COINFECTIONS; INFLUENZA; MORTALITY; SEVERITY; CHILDREN</t>
  </si>
  <si>
    <t xml:space="preserve">Objective: Acute respiratory infections are the most common cause of under-five-year-old pediatric mortality worldwide. Due to a paucity of data, the impact of many respiratory viruses and their association with respiratory failure in children are unclear. We assessed single respiratory viral pathogens and their association with intubation, and secondly describe dual viral pathogens and viral-bacterial pathogens associations with intubation. Patient and Methods: This was a retrospective cross-sectional study of children (0-18 years old) admitted to the acute care unit and/or pediatric intensive care unit of an urban, quaternary children's hospital from November 1, 2013 to November 1, 2017. Patients with viral studies sent within 48 h of admission were included. Associations of viral pathogens and intubation status were calculated using odds ratios (OR), 95% confidence intervals (CI) and p-values. Results: There were 15,923 hospitalization encounters, with 634 (3.9%) requiring intubation. RSV and hMPV had increased odds for intubation, (aOR 1.80, 95% CI 1.50-2.18) and (aOR 1.59, 95% CI 1.13-2.24) respectively. Coinfection with RSV and adenovirus had increased odds of requiring intubation, (aOR 3.48, 95% CI 1.21-10.01). Contrary, coinfection with influenza A and RSV had no intubations. In the viral-bacterial coinfections model, there was an increased association with intubations for RSV and Streptococcus (aOR 9.34, 95% CI 4.21-20.71) and hMPV and Streptococcus (aOR 8.98, 95% CI 1.62-49.88). Conclusion: RSV and hMPV corresponded to the highest rates of intubations, and dual infections with RSV and adenovirus, RSV and Streptococcus, and hMPV and Streptococcus were associated with mechanical ventilation, revealing differences amongst the groups.</t>
  </si>
  <si>
    <t xml:space="preserve">[O'Bryant, Shelease C.; Momin, Zobiya; Camp, Elizabeth; Jones, Jennifer; Meskill, Sarah] Texas Childrens Hosp, Baylor Coll Med, Dept Pediat, Houston, TX 77030 USA; [O'Bryant, Shelease C.; Camp, Elizabeth; Jones, Jennifer; Meskill, Sarah] Texas Childrens Hosp, Baylor Coll Med, Sect Emergency Med, Houston, TX 77030 USA</t>
  </si>
  <si>
    <t xml:space="preserve">Baylor College of Medicine; Baylor College Medical Hospital; Baylor College of Medicine; Baylor College Medical Hospital</t>
  </si>
  <si>
    <t xml:space="preserve">O'Bryant, SC (corresponding author), 6621 Fannin St Suite A2210, Houston, TX 77030 USA.</t>
  </si>
  <si>
    <t xml:space="preserve">Sheleasej@gmail.com</t>
  </si>
  <si>
    <t xml:space="preserve">Camp, Elizabeth/0000-0001-5359-3557</t>
  </si>
  <si>
    <t xml:space="preserve">10.1016/j.jcv.2022.105084</t>
  </si>
  <si>
    <t xml:space="preserve">JAN 2022</t>
  </si>
  <si>
    <t xml:space="preserve">YX5XY</t>
  </si>
  <si>
    <t xml:space="preserve">WOS:000754176900005</t>
  </si>
  <si>
    <t xml:space="preserve">Buller, RS</t>
  </si>
  <si>
    <t xml:space="preserve">Buller, Richard S.</t>
  </si>
  <si>
    <t xml:space="preserve">Molecular Detection of Respiratory Viruses</t>
  </si>
  <si>
    <t xml:space="preserve">CLINICS IN LABORATORY MEDICINE</t>
  </si>
  <si>
    <t xml:space="preserve">Respiratory viruses; Laboratory diagnosis; Molecular methods; Polymerase chain reaction</t>
  </si>
  <si>
    <t xml:space="preserve">REAL-TIME PCR; CELL TRANSPLANT RECIPIENTS; OBSTRUCTIVE PULMONARY-DISEASE; POLYMERASE CHAIN-REACTION; ACID AMPLIFICATION TESTS; HEMATOPOIETIC STEM-CELL; VIRAL-INFECTIONS; INFLUENZA-A; HUMAN METAPNEUMOVIRUS; ENTEROVIRUS 68</t>
  </si>
  <si>
    <t xml:space="preserve">Over the past several years a wide variety of molecular assays for the detection of respiratory viruses has reached the market. The tests described herein range from kits containing primers and probes detecting specific groups of viruses, to self-contained systems requiring specialized instruments that extract nucleic acids and perform the polymerase chain reaction with little operator input. Some of the tests target just the viruses involved in large yearly epidemics such as influenza, or specific groups of viruses such as the adenoviruses or parainfluenza viruses; others can detect most of the known respiratory viruses and some bacterial agents.</t>
  </si>
  <si>
    <t xml:space="preserve">Washington Univ, Sch Med, Dept Pediat, St Louis, MO 63110 USA</t>
  </si>
  <si>
    <t xml:space="preserve">Washington University (WUSTL)</t>
  </si>
  <si>
    <t xml:space="preserve">Buller, RS (corresponding author), Washington Univ, Sch Med, Dept Pediat, 660 South Euclid Ave, St Louis, MO 63110 USA.</t>
  </si>
  <si>
    <t xml:space="preserve">buller@kids.wustl.edu</t>
  </si>
  <si>
    <t xml:space="preserve">0272-2712</t>
  </si>
  <si>
    <t xml:space="preserve">1557-9832</t>
  </si>
  <si>
    <t xml:space="preserve">CLIN LAB MED</t>
  </si>
  <si>
    <t xml:space="preserve">Clin. Lab. Med.</t>
  </si>
  <si>
    <t xml:space="preserve">10.1016/j.cll.2013.03.007</t>
  </si>
  <si>
    <t xml:space="preserve">215PB</t>
  </si>
  <si>
    <t xml:space="preserve">WOS:000324221600003</t>
  </si>
  <si>
    <t xml:space="preserve">Butt, SA; Maceira, VP; McCallen, ME; Stellrecht, KA</t>
  </si>
  <si>
    <t xml:space="preserve">Butt, S. A.; Maceira, V. P.; McCallen, M. E.; Stellrecht, K. A.</t>
  </si>
  <si>
    <t xml:space="preserve">Comparison of three commercial RT-PCR systems for the detection of respiratory viruses</t>
  </si>
  <si>
    <t xml:space="preserve">Respiratory viruses; Influenza; Respiratory syncytial virus; Multiplex real-time PCR</t>
  </si>
  <si>
    <t xml:space="preserve">SYNCYTIAL-VIRUS; INFLUENZA-A; FILMARRAY RP; XTAG RVP; DIAGNOSTIC-TEST; 2009 H1N1; ASSAY; IDENTIFICATION; INFECTIONS; MORTALITY</t>
  </si>
  <si>
    <t xml:space="preserve">Background: Due to the insensitivity of rapid tests for respiratory viruses, nucleic acid amplification tests are quickly becoming the standard of care. Objectives and study design: The performance of the FilmArray Respiratory Panel (RP) and Verigene RV+ (RV+) were compared in a retrospective analysis of 89 clinical specimens previously determined to be positive for the following viruses by our test of record, Prodesse (Pro): influenza A (29, FluA), influenza B (13, FluB), respiratory syncytial virus (12, RSV), human metapneumovirus (10, hMPV), parainfluenza (14, PIV), and adenovirus (10, AdV). Samples positive for influenza A, B or RSV were tested by both methods, while the remainder were tested by RP only. True positives were defined as positive by two or more assays. Results: Limit of detection (LOD) analyses demonstrated Pro had the lowest LOD for all FluA strains tested, PIV1, PIV2 and AdV; RV+ had the lowest LOD for FluB; and RP had the lowest LOD for RSV, PIV3 and hMPV. Of the 55 samples tested by RV+, all 54 true positive samples were positive by RV+. Of the 89 samples tested by RP, 85 of the 88 true positive samples were positive by RP. From these results, the overall sensitivities for influenza A, B and RSV were 100% and 98% for RV+ and RP, respectively. The overall sensitivity of RP for all viruses was 97%. Conclusions: In summary, these systems demonstrated excellent performance. Furthermore, each system has benefits which will ensure they will all have a niche in a clinical laboratory. (C) 2014 Elsevier B.V. All rights reserved.</t>
  </si>
  <si>
    <t xml:space="preserve">[Butt, S. A.; Maceira, V. P.; McCallen, M. E.; Stellrecht, K. A.] Albany Med Ctr Hosp, Dept Pathol &amp; Lab Med, Albany, NY 12208 USA; [Stellrecht, K. A.] Albany Med Coll, Dept Pathol &amp; Lab Med, Albany, NY 12208 USA</t>
  </si>
  <si>
    <t xml:space="preserve">Albany Medical College; Albany Medical College</t>
  </si>
  <si>
    <t xml:space="preserve">Stellrecht, KA (corresponding author), Albany Med Ctr, MC 22,43 New Scotland Ave, Albany, NY 12208 USA.</t>
  </si>
  <si>
    <t xml:space="preserve">stellrk@mail.amc.edu</t>
  </si>
  <si>
    <t xml:space="preserve">Stellrecht, Kathleen/AAB-3836-2019</t>
  </si>
  <si>
    <t xml:space="preserve">10.1016/j.jcv.2014.08.010</t>
  </si>
  <si>
    <t xml:space="preserve">WOS:000344750100017</t>
  </si>
  <si>
    <t xml:space="preserve">Stellrecht, KA; Cimino, JL; Wilson, LI; Maceira, VP; Butt, SA</t>
  </si>
  <si>
    <t xml:space="preserve">Stellrecht, Kathleen A.; Cimino, Jesse L.; Wilson, Lisa, I; Maceira, Vincente P.; Butt, Shafiq A.</t>
  </si>
  <si>
    <t xml:space="preserve">Panther Fusion® Respiratory Virus Assays for the detection of influenza and other respiratory viruses</t>
  </si>
  <si>
    <t xml:space="preserve">Respiratory viruses; Influenza; Diagnostic PCR</t>
  </si>
  <si>
    <t xml:space="preserve">DRIFT VARIANTS; PCR ASSAYS; 2009 H1N1; IDENTIFICATION; SENSITIVITY</t>
  </si>
  <si>
    <t xml:space="preserve">Background: Nucleic acid amplification tests (NAATs), such as PCR, are preferred for respiratory virus testing, due to superior diagnostic accuracy and faster turnaround time. Panther Fusion (R) Respiratory Assays (Fusion), which includes FluA/B/RSV (FFABR), Paraflu and AdV/hMPV/RV, offers a modular approach to syndromic testing on a fully automated platform while improving gene targets and expanding the test menu. Objectives and study design: We evaluated Fusion using 275 consecutive nasopharyngeal specimens previously used in an analysis of five PCRs, as well as 225 archived specimens. Results: Of the combined 500 specimens, 134 were positive for influenza A (FluA), 54 for FluB, 65 for RSV, 64 for parainfluenza (PIV), 24 for adenovirus (AdV), 21 for humanmetapneumovirus (hMPV), and 40 for rhinovirus (RV) with Fusion. Of the positive samples Fusion correlated with historical results for all but one, despite multiple freeze-thaws cycles of this collection. Fusion was positive for an additional 33 samples, including 11 FluAs, 7 RSVs, 3 PIV3s, 3 AdV, 6 hMPV and 3 RVs. These samples were retested with corresponding Prodesse (Pro) assays using quadruple sample volume. This resolver test confirmed Fusion results for an additional 4 FluAs, 4 RSVs, 1 PIV3 and 3 AdVs. The sensitivity and specificity ranges of Fusion were 99-100% and 98-100%. Limit of detection (LOD) analyses were performed on a variety of Flu isolates. The LODs ranged from 2.69 to 2.99 log copies/ml and demonstrated superior LOD as compared to previously published data for some assays or to concurrent analyses with two new commercial tests.</t>
  </si>
  <si>
    <t xml:space="preserve">[Stellrecht, Kathleen A.] Albany Med Coll, Dept Pathol &amp; Lab Med, Albany, NY 12208 USA; [Stellrecht, Kathleen A.] Albany Med Coll, Dept Immunol &amp; Microbial Dis, Albany, NY 12208 USA; [Stellrecht, Kathleen A.; Cimino, Jesse L.; Wilson, Lisa, I; Maceira, Vincente P.; Butt, Shafiq A.] Albany Med Ctr Hosp, Dept Pathol &amp; Lab Med, Albany, NY 12208 USA</t>
  </si>
  <si>
    <t xml:space="preserve">Albany Medical College; Albany Medical College; Albany Medical College</t>
  </si>
  <si>
    <t xml:space="preserve">Stellrecht, KA (corresponding author), Albany Med Ctr, Mol Diagnost, MC 22,43 New Scotland Ave, Albany, NY 12208 USA.</t>
  </si>
  <si>
    <t xml:space="preserve">Roche Diagnostics (USA)</t>
  </si>
  <si>
    <t xml:space="preserve">Reagents were provided by Hologic, Inc. (USA). The previously published study used for comparison was sponsored in part by Roche Diagnostics (USA).</t>
  </si>
  <si>
    <t xml:space="preserve">10.1016/j.jcv.2019.104204</t>
  </si>
  <si>
    <t xml:space="preserve">JQ2QX</t>
  </si>
  <si>
    <t xml:space="preserve">WOS:000498796600006</t>
  </si>
  <si>
    <t xml:space="preserve">Huo, X; Qin, YF; Qi, X; Zu, RQ; Tang, FY; Li, L; Hu, ZB; Zhu, FC</t>
  </si>
  <si>
    <t xml:space="preserve">Huo, Xiang; Qin, Yuanfang; Qi, Xian; Zu, Rongqiang; Tang, Fenyang; Li, Liang; Hu, Zhibin; Zhu, Fengcai</t>
  </si>
  <si>
    <t xml:space="preserve">Surveillance of 16 respiratory viruses in patients with influenza-like illness in Nanjing, China</t>
  </si>
  <si>
    <t xml:space="preserve">respiratory viruses; influenza-like illness; surveillance; outpatients</t>
  </si>
  <si>
    <t xml:space="preserve">HUMAN METAPNEUMOVIRUS; SYNCYTIAL VIRUS; YOUNG-CHILDREN; INFECTIONS; ETIOLOGY</t>
  </si>
  <si>
    <t xml:space="preserve">Much less is known about the etiology of influenza-like illness in China. A continuous surveillance of 16 respiratory viruses was conducted from November 2010 to October 2011 of outpatients with influenza-like illness in Nanjing, China. The two largest general hospitals and a provincial virus laboratory in Nanjing participated in this study. Throat swabs were collected from outpatients during medical visits for influenza-like illness and were tested for 16 respiratory viruses using PCR. Three hundred seventeen viruses were detected in samples from 246 (50.6%) patients with influenza-like illness. The viruses found mostly commonly were influenza, rhinovirus, hCoV HKU1, and adenovirus. The identification rates of respiratory viruses differed significantly among different sampling seasons (P?=?0.0002). The rates of influenza A and hCoV HKU1 were much higher during the influenza-like illness winter peak than during the influenza-like illness summer peak and other months. Co-infections were detected in 57 (11.7%) patients and were found most commonly in adults older than 60 years. RSV was detected in 5.9% and 2.6% of patients who were 05 and 615 years old, respectively, but was not detected in other age groups. This study confirmed that multiple respiratory viruses may circulate concurrently in the population and account for a large proportion of influenza-like illness. In addition to influenza virus, hCoV HKU1 may be associated with the influenza-like illness winter peak in Nanjing, China. J. Med. Virol. 84:19801984, 2012. (c) 2012 Wiley Periodicals, Inc.</t>
  </si>
  <si>
    <t xml:space="preserve">[Huo, Xiang; Qin, Yuanfang; Qi, Xian; Zu, Rongqiang; Tang, Fenyang; Li, Liang; Zhu, Fengcai] Jiangsu Prov Ctr Dis Control &amp; Prevent, Nanjing 210009, Jiangsu, Peoples R China; [Hu, Zhibin] Nanjing Med Univ, Coll Publ Hlth, Nanjing, Jiangsu, Peoples R China</t>
  </si>
  <si>
    <t xml:space="preserve">Jiangsu Provincial Center for Disease Control &amp; Prevention; Nanjing Medical University</t>
  </si>
  <si>
    <t xml:space="preserve">Huo, X (corresponding author), Jiangsu Prov Ctr Dis Control &amp; Prevent, 172 Jiangsu Rd, Nanjing 210009, Jiangsu, Peoples R China.</t>
  </si>
  <si>
    <t xml:space="preserve">huox@foxmail.com; jszfc@vip.sina.com</t>
  </si>
  <si>
    <t xml:space="preserve">Zhu, Fengcai/LKN-2083-2024</t>
  </si>
  <si>
    <t xml:space="preserve">Huo, Xiang/0000-0002-5968-6874</t>
  </si>
  <si>
    <t xml:space="preserve">10.1002/jmv.23401</t>
  </si>
  <si>
    <t xml:space="preserve">027GE</t>
  </si>
  <si>
    <t xml:space="preserve">WOS:000310339300022</t>
  </si>
  <si>
    <t xml:space="preserve">Falchi, A; Turbelin, C; Andreoletti, L; Arena, C; Blanchon, T; Bonmarin, I; Hanslik, T; Leruez-Ville, M; De Lamballerie, X; Carrat, F</t>
  </si>
  <si>
    <t xml:space="preserve">Falchi, Alessandra; Turbelin, Clement; Andreoletti, Laurent; Arena, Christophe; Blanchon, Thierry; Bonmarin, Isabelle; Hanslik, Thomas; Leruez-Ville, Marianne; De Lamballerie, Xavier; Carrat, Fabrice</t>
  </si>
  <si>
    <t xml:space="preserve">Nationwide Surveillance of 18 Respiratory Viruses in Patients With Influenza-Like Illnesses: A Pilot Feasibility Study in the French Sentinel Network</t>
  </si>
  <si>
    <t xml:space="preserve">respiratory viruses; influenza-like illness; surveillance system; general practitioners</t>
  </si>
  <si>
    <t xml:space="preserve">HUMAN METAPNEUMOVIRUS INFECTIONS; SYNCYTIAL VIRUS; MICROARRAY; ADULTS; SPREAD; ASSAYS</t>
  </si>
  <si>
    <t xml:space="preserve">The aim of the present study was to test the feasibility of integrating the diagnosis of 18 respiratory viruses into clinical surveillance of influenza-like illness using a PCR-DNA microarray detection assay. The study took place in the French Sentinel Network, a nationwide surveillance network of General Practitioners (GPs) representative of French GPs in terms age, location, and type of practice (urban/rural). Three virological laboratories also participated in the study. The study was planned for 5 weeks from January 25, 2010 to February 27, 2010. A subset of 150 Sentinel GPs, located in mainland France, was enrolled to collect clinical data and nasopharyngeal samples from every first patient of the week having a medical visit for influenza-like illness defined as a sudden fever of 39 C or more with respiratory symptoms and myalgia. Sixty-three GPs (42%) collected 103 samples while 87 GPs (58%) did not. GPs did not differ with respect to their age, gender, urban/rural distribution, or years of inscription in the Sentinel Network. Patients included were of a similar age and had similar vaccination characteristics, but were more frequently men than influenza-like illness patients reported to the network during the study period. Sixty-one viruses were detected from 56 of 96 (58%) interpretable samples. The respiratory viruses detected most frequently were metapneumovirus and respiratory syncytial virus. This study showed that virological diagnosis of 18 respiratory viruses can be combined with surveillance of clinical influenza-like illness in general practice. Although feasibility has not been demonstrated yet, it will be evaluated over the winter of 2010-2011. J. Med. Virol. 83:1451-1457, 2011. (C) 2011 Wiley-Liss, Inc.</t>
  </si>
  <si>
    <t xml:space="preserve">[Falchi, Alessandra] Univ Corsica, Virol Lab, UMR S 707, INSERM, F-20250 Corte, France; [Falchi, Alessandra; Turbelin, Clement; Arena, Christophe; Blanchon, Thierry; Carrat, Fabrice] UPMC Univ Paris 06, UMR S U707, Paris, France; [Andreoletti, Laurent] Ctr Hosp, Mol &amp; Med Virol Unit, Reims, France; [Andreoletti, Laurent] Fac Med, IFR 53, EA 4303, DAT PPCIDH, Reims, France; [Bonmarin, Isabelle] Inst Veille Sanit, Paris, France; [Hanslik, Thomas] Univ Versailles St Quentin Yuelines, Versailles, France; [Hanslik, Thomas] Hop Ambroise Pare, Publ Assistance Hosp Paris, Dept Internal Med, Boulogne Billancourt, France; [Leruez-Ville, Marianne] Univ Paris 05, Necker Hosp Sick Children, Virol Unit, Paris, France; [De Lamballerie, Xavier] Mediterranean Univ, Emerging Viruses Unit, UMR190, Marseille, France; [De Lamballerie, Xavier] Inst Dev Res, Marseille, France; [Carrat, Fabrice] Hop St Antoine, Publ Assistance Hosp Paris, Dept Internal Med, Unite Sante Publ, F-75571 Paris, France</t>
  </si>
  <si>
    <t xml:space="preserve">Institut National de la Sante et de la Recherche Medicale (Inserm); Sorbonne Universite; CHU de Reims; Universite de Reims Champagne-Ardenne; Sante publique France; Universite Paris Saclay; Assistance Publique Hopitaux Paris (APHP); Hopital Universitaire Ambroise-Pare - APHP; Universite Paris Cite; Assistance Publique Hopitaux Paris (APHP); Hopital Universitaire Necker-Enfants Malades - APHP; Aix-Marseille Universite; Institut de Recherche pour le Developpement (IRD); Assistance Publique Hopitaux Paris (APHP); Sorbonne Universite; Hopital Universitaire Saint-Antoine - APHP</t>
  </si>
  <si>
    <t xml:space="preserve">Falchi, A (corresponding author), Univ Corsica, Virol Lab, UMR S 707, INSERM, F-20250 Corte, France.</t>
  </si>
  <si>
    <t xml:space="preserve">falchi@u707.jussieu.fr</t>
  </si>
  <si>
    <t xml:space="preserve">Andreoletti, Laurent/AAQ-2756-2020; BLANCHON, Thierry/AAK-6254-2020; FALCHI, Alessandra/AAQ-8039-2020; Carrat, Fabrice/AAU-8480-2020; ARENA, Christophe/L-5496-2015; Carrat, Fabrice/P-6177-2017</t>
  </si>
  <si>
    <t xml:space="preserve">Carrat, Fabrice/0000-0002-8672-7918; BLANCHON, Thierry/0000-0001-9623-3906; ANDREOLETTI, LAURENT/0000-0002-7440-8880; Alessandra, FALCHI/0000-0003-0799-1460</t>
  </si>
  <si>
    <t xml:space="preserve">Institut de Veille Sanitaire (InVS, France)</t>
  </si>
  <si>
    <t xml:space="preserve">This work was made possible thanks to the participating general practitioners of the Sentinel Network: Andrieu S, Aubry C, Baert M, Baradel J, Barbary M, Behar M, Benard C, Bertrand-Desvages G, Bey lot JM, Bon C, Breton X, Collet P, Comelli Jy, Damalix G, Dao B, Delanian Jp, Demure P, Descotes C, Dupont-Vidal J, Duvochel P, Ecochard Cirica N, Em Ngourn M, Evellin F, Flamerion JM, Fondere M, Galesne-Herceg G, Galluet B, Galopin G, Gueux P, Kleiber H, Kurth D, Lavot R, Le Duff N, Lefebure P, Leharle P, Lherbier C, Mail lard Jm, Mao G, Mathieu B, Mener E, Menu G, Meyrand B, Mullie B, Nogrel C, Nortier B, Odoux X, Olaya E, Ostermann P, Pasquio O, Petit L, Pigache C, Ravinet O, Richard P, Rieu A Ruillier F, Samzun JL, Saugues M, Schweckler P, Sebbag P, Semeraro JP, Sou lie P, Virondaud M. The authors thank the Institut de Veille Sanitaire (InVS, France) for providing funding and support for the design and conduct of the study.</t>
  </si>
  <si>
    <t xml:space="preserve">10.1002/jmv.22113</t>
  </si>
  <si>
    <t xml:space="preserve">783DH</t>
  </si>
  <si>
    <t xml:space="preserve">WOS:000292061200026</t>
  </si>
  <si>
    <t xml:space="preserve">Thiberville, SD; Ninove, L; Hai, VV; Botelho-Nevers, E; Gazin, C; Thirion, L; Salez, N; de Lamballerie, X; Charrel, R; Brouqui, P</t>
  </si>
  <si>
    <t xml:space="preserve">Thiberville, S. D.; Ninove, L.; Hai, V. Vu.; Botelho-Nevers, E.; Gazin, C.; Thirion, L.; Salez, N.; de Lamballerie, X.; Charrel, R.; Brouqui, P.</t>
  </si>
  <si>
    <t xml:space="preserve">The viral etiology of an influenza-like illness during the 2009 pandemic</t>
  </si>
  <si>
    <t xml:space="preserve">respiratory viruses; influenza A virus; A; H1N1p subtype; rhinovirus; influenza-like-illness; acute respiratory tract infection</t>
  </si>
  <si>
    <t xml:space="preserve">REAL-TIME PCR; RAPID DETECTION; VIRUS; INFECTIONS; DIAGNOSIS; ENTEROVIRUS; ASSAY; WU; KI; POLYOMAVIRUSES</t>
  </si>
  <si>
    <t xml:space="preserve">Many viruses are known to cause influenza-like illness (ILI); however, in nearly 50% of patients, the etiologic agent remains unknown. The distribution of viruses in patients with ILI was investigated during the 2009 A/H1N1 influenza pandemic (A/H1N1p). From June 2009 to January 2010, 660 patients with suspected influenza were questioned and examined, and nasal swabs were collected. All patient samples were tested for influenza virus, and 286 negative nasal swabs were tested further for 18 other respiratory viruses using real-time RT-PCR. Two waves of ILI were observed in the epidemic curve (weeks 3542 and 4249). At least eight viruses co-circulated during this period: human rhinovirus (HRV) (58), parainfluenza 14 viruses (PIV) (9), human Coronavirus (hCoV) OC43 (9), enterovirus (5), adenovirus (AdV) (4), and human metapneumovirus (hMPV) (2); however, 204 samples remained negative for all viruses tested. ILI symptoms, according to the Centers for Disease Control and Prevention criteria for ILI definition, were reported in 75% of cases. These patients had positive swabs for A/H1N1p, HRV, hCoV-OC43, PIV, AdV, and hMPV without significant difference with non-ILI patients. This study found that many respiratory viruses circulated during this period and that the A/H1N1p did not impact on the kinetics of other respiratory viruses. The proportion of non-documented cases remains high. ILI could not distinguish A/H1N1p infection from that due to other respiratory viruses. However, in multivariate anlaysis, cough, chills, hyperemia, and dyspnea were associated significantly with influenza virus versus other respiratory viruses. J. Med. Virol. 84: 10711079, 2012. (C) 2012 Wiley Periodicals, Inc.</t>
  </si>
  <si>
    <t xml:space="preserve">[Charrel, R.] Univ Hosp, Inst Infect Dis &amp; Trop Med, AP HM Timone, Federat Microbiol Clin,Lab Clin Microbiol, Marseille, France; [Thiberville, S. D.; Ninove, L.; Thirion, L.; Salez, N.; de Lamballerie, X.; Charrel, R.] Aix Marseille Univ IRD EHESP, UMR 190, Marseille, France; [Thiberville, S. D.; Botelho-Nevers, E.; Brouqui, P.] Univ Hosp, Inst Infect Dis &amp; Trop Med, AP HM CHU Nord, Marseille, France; [Hai, V. Vu.] Viet Tiep Hosp, Dept Infect &amp; Trop Dis, Haiphong, Vietnam</t>
  </si>
  <si>
    <t xml:space="preserve">Aix-Marseille Universite; Assistance Publique-Hopitaux de Marseille; Aix-Marseille Universite; Aix-Marseille Universite; Assistance Publique-Hopitaux de Marseille</t>
  </si>
  <si>
    <t xml:space="preserve">Charrel, R (corresponding author), Univ Hosp, Inst Infect Dis &amp; Trop Med, AP HM Timone, Federat Microbiol Clin,Lab Clin Microbiol, Marseille, France.</t>
  </si>
  <si>
    <t xml:space="preserve">remi.charrel@univ-amu.fr</t>
  </si>
  <si>
    <t xml:space="preserve">Brouqui, Philippe/P-5771-2016; HAI, Vinh/AAT-2844-2021; Charrel, Remi/B-7234-2015; Botelho-Nevers, Elisabeth/H-2063-2019</t>
  </si>
  <si>
    <t xml:space="preserve">Botelho-Nevers, Elisabeth/0000-0003-2773-7750; VU HAI, Vinh/0000-0001-6130-7864; Charrel, Remi/0000-0002-7675-8251</t>
  </si>
  <si>
    <t xml:space="preserve">10.1002/jmv.23265</t>
  </si>
  <si>
    <t xml:space="preserve">941VH</t>
  </si>
  <si>
    <t xml:space="preserve">WOS:000303994200011</t>
  </si>
  <si>
    <t xml:space="preserve">Sarna, M; Ware, RS; Lambert, SB; Sloots, TP; Nissen, MD; Grimwood, K</t>
  </si>
  <si>
    <t xml:space="preserve">Sarna, Mohinder; Ware, Robert S.; Lambert, Stephen B.; Sloots, Theo P.; Nissen, Michael D.; Grimwood, Keith</t>
  </si>
  <si>
    <t xml:space="preserve">Timing of First Respiratory Virus Detections in Infants: A Community-Based Birth Cohort Study</t>
  </si>
  <si>
    <t xml:space="preserve">respiratory viruses; infant; primary infection; human rhinovirus; respiratory syncytial virus; human metapneumo-virus; cohort study</t>
  </si>
  <si>
    <t xml:space="preserve">AGED 6 MONTHS; SYNCYTIAL VIRUS; YOUNG-CHILDREN; UNITED-STATES; INFECTION; INFLUENZA; ILLNESS; BURDEN; HOSPITALIZATIONS; RISK</t>
  </si>
  <si>
    <t xml:space="preserve">Background. Determining timing of first virus detection episodes (fVDEs) for different respiratory viruses in infants identifies risk periods and informs preventive interventions, including vaccination. We describe the ages and nature of fVDEs in an infant birth cohort and explore factors associated with increased odds of symptomatic fVDEs. Methods. The Observational Research in Childhood Infectious Diseases (ORChID) study is a community-based birth cohort describing acute respiratory infections in infants until their second birthday. Parents recorded daily symptoms and collected nose swabs weekly, which were batch-tested using polymerase chain reaction assays for 17 respiratory viruses. Results. One hundred fifty-eight infants participated in ORChID. The median age for fVDEs was 2.9 months for human rhinovirus (HRV) but was &gt;= 13.9 months for other respiratory viruses. Overall, 52% of HRV fVDEs were symptomatic, compared with 57%-83% of other fVDEs. Respiratory syncytial virus and human metapneumovirus fVDEs were more severe than HRV fVDEs. Older age and the winter season were associated with symptomatic episodes. Conclusions. Infants do not always experience respiratory symptoms with their fVDE. Predominance of early HRV detections highlights the need for timing any intervention early in life. fVDEs from other respiratory viruses most commonly occur when maternal vaccines may no longer provide protection.</t>
  </si>
  <si>
    <t xml:space="preserve">[Sarna, Mohinder] Univ Queensland, Sch Publ Hlth, Brisbane, Qld, Australia; [Sarna, Mohinder; Ware, Robert S.; Lambert, Stephen B.; Sloots, Theo P.; Nissen, Michael D.] Univ Queensland, Sch Med, UQ Child Hlth Res Ctr, Brisbane, Qld, Australia; [Ware, Robert S.] Griffith Univ, Menzies Hlth Inst Queensland, Gold Coast, Qld, Australia; [Grimwood, Keith] Griffith Univ, Sch Med, Gold Coast, Qld, Australia; [Grimwood, Keith] Griffith Univ, Menzies Hlth Inst Queensland, Gold Coast, Qld, Australia; [Grimwood, Keith] Gold Coast Hlth, Dept Infect Dis, Southport, Qld, Australia; [Grimwood, Keith] Gold Coast Hlth, Dept Paediat, Southport, Qld, Australia</t>
  </si>
  <si>
    <t xml:space="preserve">University of Queensland; University of Queensland; Griffith University; Griffith University - Gold Coast Campus; Menzies Health Institute Queensland; Griffith University; Griffith University - Gold Coast Campus; Menzies Health Institute Queensland; Griffith University; Griffith University - Gold Coast Campus; Gold Coast Health; Gold Coast Health</t>
  </si>
  <si>
    <t xml:space="preserve">Sarna, M (corresponding author), Ctr Childrens Hlth Res, 62 Graham St, South Brisbane, Qld 4101, Australia.</t>
  </si>
  <si>
    <t xml:space="preserve">m.sarna@uq.edu.au</t>
  </si>
  <si>
    <t xml:space="preserve">Lambert, Stephen/N-7819-2019; Nissen, Michael/M-6823-2013; Grimwood, Keith/F-9334-2011; Sarna, Mohinder/AAO-9343-2020; Sarna, Mohinder/Q-7834-2016; Ware, Robert/B-2024-2014; Lambert, Stephen/B-8348-2008</t>
  </si>
  <si>
    <t xml:space="preserve">Sarna, Mohinder/0000-0002-2448-1588; Grimwood, Keith/0000-0003-3174-9834; Ware, Robert/0000-0002-6129-6736; Lambert, Stephen/0000-0002-2709-193X</t>
  </si>
  <si>
    <t xml:space="preserve">National Health and Medical Research Council (NHMRC) of Australia [APP 615700]; Children's Hospital Foundation Queensland (CHFQ) [50006]; NHMRC Dora Lush Clinical Scholarship; CHFQ PhD Clinical Scholarship; NHMRC Early Career Fellowship; CHFQ Mid-career Fellowship</t>
  </si>
  <si>
    <t xml:space="preserve">National Health and Medical Research Council (NHMRC) of Australia(National Health &amp; Medical Research Council (NHMRC) of Australia); Children's Hospital Foundation Queensland (CHFQ); NHMRC Dora Lush Clinical Scholarship(National Health &amp; Medical Research Council (NHMRC) of Australia); CHFQ PhD Clinical Scholarship; NHMRC Early Career Fellowship(National Health &amp; Medical Research Council (NHMRC) of Australia); CHFQ Mid-career Fellowship</t>
  </si>
  <si>
    <t xml:space="preserve">This work was supported by the National Health and Medical Research Council (NHMRC) of Australia (project grant number APP 615700) and the Children's Hospital Foundation Queensland (CHFQ) (program grant number 50006). M. S. is the recipient of an NHMRC Dora Lush Clinical Scholarship and a CHFQ PhD Clinical Scholarship. S. B. L. was the recipient of an NHMRC Early Career Fellowship and a CHFQ Mid-career Fellowship.</t>
  </si>
  <si>
    <t xml:space="preserve">FEB 1</t>
  </si>
  <si>
    <t xml:space="preserve">10.1093/infdis/jix599</t>
  </si>
  <si>
    <t xml:space="preserve">FT5BO</t>
  </si>
  <si>
    <t xml:space="preserve">WOS:000423169200012</t>
  </si>
  <si>
    <t xml:space="preserve">Ganzenmueller, T; Kaiser, R; Baier, C; Wehrhane, M; Hilfrich, B; Witthuhn, J; Flucht, S; Heim, A</t>
  </si>
  <si>
    <t xml:space="preserve">Ganzenmueller, Tina; Kaiser, Rolf; Baier, Claas; Wehrhane, Marlies; Hilfrich, Brigitta; Witthuhn, Jenny; Flucht, Sandra; Heim, Albert</t>
  </si>
  <si>
    <t xml:space="preserve">Comparison of the performance of the Panther Fusion respiratory virus panel to R-Gene and laboratory developed tests for diagnostic and hygiene screening specimens from the upper and lower respiratory tract</t>
  </si>
  <si>
    <t xml:space="preserve">JOURNAL OF MEDICAL MICROBIOLOGY</t>
  </si>
  <si>
    <t xml:space="preserve">respiratory viruses; hygiene screening; Panther Fusion; R-Gene; laboratory-developed PCR tests</t>
  </si>
  <si>
    <t xml:space="preserve">INFLUENZA-A; DISEASE SEVERITY; ADENOVIRUS DNA; VIRAL LOAD; PCR; BURDEN; IMPACT; INFECTIONS; CHILDREN; ASSAY</t>
  </si>
  <si>
    <t xml:space="preserve">Introduction. Diagnosis of acute respiratory infections (ARIs) can be facilitated by the Panther Fusion (PF) automatic, random access PCR system for the detection of influenzavirus A (Flu A) and B (Flu B), parainfluenzavirus (Paraflu), respiratory syncytial virus (RSV), human metapneumovirus (hMPV), rhinovirus (RV) and human adenovirus (AdV) in nasopharyngeal swabs. Aim. To evaluate the performance of PF in comparison with established methods, including subsets of (1) lower respiratory tract (LRT) specimens and (2) upper respiratory tract (URT) hygiene screening specimens of patients without ARI symptoms. Methodology. The performance characteristics of PF were compared with bioMerieux R-Gene and laboratory-developed PCR tests (LDTs). Overall, 1544 specimens with 6658 individual diagnostic requests were analysed. Results. The overall concordances of PF and LDTs for Flu A, Flu B and AdV were 98.4, 99.9 and 96.1%, respectively; by re-testing of discrepant specimens concordances increased to 99.4, 99.9 and 98.0%, respectively. Initial concordances of PF and R--Gene assays for RSV, Paraflu, hMPV and RV were 98.4, 96.3, 99.3 and 96.0%, respectively, and retest concordances were 99.7, 97.9, 99.9 and 98.9%, respectively. No differences to the overall performance were found for the subgroups of LRT and hygiene screening specimens. PCR cycle threshold (Ct) values correlated very well between methods, indicating that a semi-quantitative diagnostic approach using Ct values (e.g. highly vs. weakly positive) could augment the diagnostic information. Conclusion. PF performed similar to R-Gene and LDTs not only for its intended use but also for LRT and hygiene screening specimens with shorter hands-on and turnaround times.</t>
  </si>
  <si>
    <t xml:space="preserve">[Ganzenmueller, Tina; Wehrhane, Marlies; Hilfrich, Brigitta; Witthuhn, Jenny; Flucht, Sandra; Heim, Albert] Hannover Med Sch, Inst Virol, Hannover, Germany; [Ganzenmueller, Tina] Univ Hosp Tuebingen, Inst Med Virol, Tubingen, Germany; [Kaiser, Rolf] Univ Hosp Cologne, Inst Virol, Cologne, Germany; [Baier, Claas] Hannover Med Sch, Inst Med Microbiol, Hannover, Germany; [Baier, Claas] Hannover Med Sch, Hosp Epidemiol, Hannover, Germany</t>
  </si>
  <si>
    <t xml:space="preserve">Hannover Medical School; Eberhard Karls University of Tubingen; Eberhard Karls University Hospital; University of Cologne; Hannover Medical School; Hannover Medical School</t>
  </si>
  <si>
    <t xml:space="preserve">Heim, A (corresponding author), Hannover Med Sch, Inst Virol, Hannover, Germany.</t>
  </si>
  <si>
    <t xml:space="preserve">heim.Albert@mh-hannover.de</t>
  </si>
  <si>
    <t xml:space="preserve">Ganzenmueller, Tina/0000-0002-3791-4709</t>
  </si>
  <si>
    <t xml:space="preserve">Hologic Inc.</t>
  </si>
  <si>
    <t xml:space="preserve">This study was supported by an unconditional grant from Hologic Inc.</t>
  </si>
  <si>
    <t xml:space="preserve">MICROBIOLOGY SOC</t>
  </si>
  <si>
    <t xml:space="preserve">CHARLES DARWIN HOUSE, 12 ROGER ST, LONDON WC1N 2JU, ERKS, ENGLAND</t>
  </si>
  <si>
    <t xml:space="preserve">0022-2615</t>
  </si>
  <si>
    <t xml:space="preserve">1473-5644</t>
  </si>
  <si>
    <t xml:space="preserve">J MED MICROBIOL</t>
  </si>
  <si>
    <t xml:space="preserve">J. Med. Microbiol.</t>
  </si>
  <si>
    <t xml:space="preserve">10.1099/jmm.0.001133</t>
  </si>
  <si>
    <t xml:space="preserve">KY5ZE</t>
  </si>
  <si>
    <t xml:space="preserve">WOS:000522650900012</t>
  </si>
  <si>
    <t xml:space="preserve">Watanabe, ASA; Carraro, E; Candeias, JMG; Donalísio, MR; Leal, É; Granato, CFH; Bellei, N</t>
  </si>
  <si>
    <t xml:space="preserve">Aranha Watanabe, Aripuana Sakurada; Carraro, Emerson; Grisi Candeias, Joao Manuelo; Donalisio, Maria Rita; Leal, Elcio; Hernandes Granato, Celso Francisco; Bellei, Nancy</t>
  </si>
  <si>
    <t xml:space="preserve">Viral etiology among the elderly presenting acute respiratory infection during the influenza season</t>
  </si>
  <si>
    <t xml:space="preserve">REVISTA DA SOCIEDADE BRASILEIRA DE MEDICINA TROPICAL</t>
  </si>
  <si>
    <t xml:space="preserve">Respiratory viruses; Human rhinovirus; Genescan RT-PCR; Reverse transcription polymerase chain reaction; Elderly</t>
  </si>
  <si>
    <t xml:space="preserve">TRACT INFECTIONS; VIRUSES; EPIDEMIC; CHILDREN; ILLNESS; DISEASE; YOUNG</t>
  </si>
  <si>
    <t xml:space="preserve">Introduction: Acute respiratory tract infections are the most common illness in all individuals. Rhinoviruses have been reported as the etiology of more than 50% of respiratory tract infections worldwide. The study prospectively evaluated 47 elderly individuals from a group of 384 randomly assigned for acute respiratory viral infections (cold or flu) and assessed the occurrence of human rhinovirus (HRV), influenza A and B, respiratory syncytial virus and metapneumovirus (hMPV) in Botucatu, State of Sao Paulo, Brazil. Methods: Forty-nine nasal swabs collected from 47 elderly individuals following inclusion visits from 2002 to 2003 were tested by GenScan RT-PCR. HRV-positive samples were sequenced for phylogenetic analysis. Results: No sample was positive for influenza A/B or RSV. HRV was detected in 28.6% (14/47) and hMPV in 2% (1/47). Of 14 positive samples, 9 isolates were successfully sequenced, showing the follow group distribution: 6 group A, 1 group B and 2 group C HRVs. Conclusions: The high incidence of HRV during the months of the influenza season requires further study regarding HRV infection impact on respiratory complications among this population. Infection caused by HRV is very frequent and may contribute to increasing the already high demand for healthcare during the influenza season.</t>
  </si>
  <si>
    <t xml:space="preserve">[Aranha Watanabe, Aripuana Sakurada; Carraro, Emerson; Hernandes Granato, Celso Francisco; Bellei, Nancy] Univ Fed Sao Paulo, Dept Med, Infect Dis Unit, Clin Virol Lab, Sao Paulo, Brazil; [Grisi Candeias, Joao Manuelo] Sao Paulo State Univ, Biosci Inst, Human &amp; Anim Virol Lab, Botucatu, SP, Brazil; [Donalisio, Maria Rita] Univ Estadual Campinas, Med Sci Coll, Campinas, SP, Brazil; [Leal, Elcio] Fed Univ Para, Inst Biotechnol, BR-66059 Belem, Para, Brazil</t>
  </si>
  <si>
    <t xml:space="preserve">Universidade Federal de Sao Paulo (UNIFESP); Universidade Estadual Paulista; Universidade Estadual de Campinas; Universidade Federal do Para</t>
  </si>
  <si>
    <t xml:space="preserve">Watanabe, ASA (corresponding author), Univ Fed Sao Paulo, DM, DIPA, Lab Virol Clin, R Pedro de Toledo 781-15 Andar, BR-04039032 Sao Paulo, Brazil.</t>
  </si>
  <si>
    <t xml:space="preserve">watanabe@unifesp.br</t>
  </si>
  <si>
    <t xml:space="preserve">Leal, Elcio/M-5275-2019; Candeias, João/I-7009-2013; Donalisio, Maria/C-5263-2012; Carraro, Emerson/G-7954-2012; Bellei, Nancy/D-8641-2016</t>
  </si>
  <si>
    <t xml:space="preserve">Carraro, Emerson/0000-0001-5420-2300; Bellei, Nancy/0000-0001-6080-5693</t>
  </si>
  <si>
    <t xml:space="preserve">FAPESP; CNPq; CAPES</t>
  </si>
  <si>
    <t xml:space="preserve">FAPESP(Fundacao de Amparo a Pesquisa do Estado de Sao Paulo (FAPESP)); CNPq(Conselho Nacional de Desenvolvimento Cientifico e Tecnologico (CNPQ)); CAPES(Coordenacao de Aperfeicoamento de Pessoal de Nivel Superior (CAPES))</t>
  </si>
  <si>
    <t xml:space="preserve">FAPESP, CNPq, CAPES. ASA Watanabe was sponsored by the CNPq.</t>
  </si>
  <si>
    <t xml:space="preserve">SOC BRASILEIRA MEDICINA TROPICAL</t>
  </si>
  <si>
    <t xml:space="preserve">BRASILIA</t>
  </si>
  <si>
    <t xml:space="preserve">UNIV BRASILIA, NUCLEO MEDICINA TROPICAL E NUTRICAO, CAIXA POSTAL 4356, BRASILIA, DF 70919-970, BRAZIL</t>
  </si>
  <si>
    <t xml:space="preserve">0037-8682</t>
  </si>
  <si>
    <t xml:space="preserve">REV SOC BRAS MED TRO</t>
  </si>
  <si>
    <t xml:space="preserve">Rev. Soc. Bras. Med. Trop.</t>
  </si>
  <si>
    <t xml:space="preserve">723VT</t>
  </si>
  <si>
    <t xml:space="preserve">WOS:000287536100005</t>
  </si>
  <si>
    <t xml:space="preserve">Selvaraju, SB; Selvarangan, R</t>
  </si>
  <si>
    <t xml:space="preserve">Selvaraju, Suresh B.; Selvarangan, Rangaraj</t>
  </si>
  <si>
    <t xml:space="preserve">Evaluation of xTAG Respiratory Viral Panel FAST and xTAG Human Parainfluenza Virus Analyte-Specific Reagents for detection of human parainfluenza viruses in respiratory specimens</t>
  </si>
  <si>
    <t xml:space="preserve">Respiratory viruses; Human parainfluenza viruses; xTAG RVP FAST; xTAG Human Parainfluenza Virus ASR; Analyte-specific reagents</t>
  </si>
  <si>
    <t xml:space="preserve">MULTIPLEX PCR; HUMAN METAPNEUMOVIRUS; DIAGNOSIS; INFECTIONS; SYSTEM; ASSAYS</t>
  </si>
  <si>
    <t xml:space="preserve">The multiplex xTAG (R) Respiratory Viral Panel FAST (RVP FAST) research-use-only assay and xTAG (R) Human Parainfluenza Virus Analyte-Specific Reagent (HPIV-ASR) assay were evaluated with 99 culture-confirmed human parainfluenza virus (HPIV)-positive and - negative specimens and found to have analytical sensitivities of 95.2% and 100% and specificities of 98.3% and 96.6%, respectively. Since the in vitro diagnostic (IVD) version of the RVP FAST assay does not include HPIVs, the HPIV-ASR assay can be tested in parallel with RVP FAST-IVD for optimal detection of HPIVs. (C) 2012 Elsevier Inc. All rights reserved.</t>
  </si>
  <si>
    <t xml:space="preserve">[Selvarangan, Rangaraj] Childrens Mercy Hosp &amp; Clin, Dept Pathol &amp; Lab Med, Kansas City, MO 64108 USA; Univ Missouri, Sch Med, Dept Pediat, Kansas City, MO 64108 USA</t>
  </si>
  <si>
    <t xml:space="preserve">Children's Mercy Hospital; University of Missouri System; University of Missouri Kansas City</t>
  </si>
  <si>
    <t xml:space="preserve">Selvarangan, R (corresponding author), Childrens Mercy Hosp &amp; Clin, Dept Pathol &amp; Lab Med, Kansas City, MO 64108 USA.</t>
  </si>
  <si>
    <t xml:space="preserve">rselvarangan@cmh.edu</t>
  </si>
  <si>
    <t xml:space="preserve">Selvarangan, Rangaraj/0000-0003-3275-6657</t>
  </si>
  <si>
    <t xml:space="preserve">Luminex Corporation</t>
  </si>
  <si>
    <t xml:space="preserve">This study was funded by a research grant from Luminex Corporation.</t>
  </si>
  <si>
    <t xml:space="preserve">10.1016/j.diagmicrobio.2011.11.005</t>
  </si>
  <si>
    <t xml:space="preserve">895EH</t>
  </si>
  <si>
    <t xml:space="preserve">WOS:000300478500014</t>
  </si>
  <si>
    <t xml:space="preserve">Al-Turab, M; Chehadeh, W; Al-Nakib, W</t>
  </si>
  <si>
    <t xml:space="preserve">Al-Turab, Mariam; Chehadeh, Wassim; Al-Nakib, Widad</t>
  </si>
  <si>
    <t xml:space="preserve">Phylogenetic analysis of human metapneumovirus detected in hospitalized patients in Kuwait during the years 2009-2011</t>
  </si>
  <si>
    <t xml:space="preserve">Respiratory viruses; Human metapneumovirus (hMPV); Phylogenetic analysis; Genotypes; G gene; Genetic diversity</t>
  </si>
  <si>
    <t xml:space="preserve">ACUTE RESPIRATORY-INFECTIONS; GENETIC DIVERSITY; SYNCYTIAL VIRUS; YOUNG-CHILDREN; G-PROTEIN; VARIABILITY; SEVERITY; SEQUENCE; DISEASE; GENOTYPES</t>
  </si>
  <si>
    <t xml:space="preserve">Background: Human metapneumovirus (hMPV) is an important cause of both upper and lower respiratory tract infections (RTIs) in all age groups. Children, elderly, and immunocompromised individuals are the most affected groups. HMPV infection accounts for 5% of hospitalized patients with respiratory tract infections in Kuwait. It is mostly detected among infants and elderly age groups, and both hMPV genotypes A and B circulate in Kuwait. Methods: In this study, the genetic diversity of detected hMPV was evaluated, and a phylogenetic analysis based on partial nucleotide and amino acid sequences of the G gene was performed for hMPV detected among hospitalized patients with RTIs. Results: Our results showed that 62% of hMPV sequences belonged to the A genotype and 38% to the B genotype. A2b and B2 subtypes were detected and circulated during the study period, whereas A1 and B1 subtypes were not detected. Based on nucleotide sequences of the G gene, most of hMPV strains (57%) were clustered with Indian strains, followed by Greek strains (24%) and Canadian strains (14%). One strain (5%) clustered within the B genotype but had different branches than B1 and B2 branches. Conclusion: Our data showed the co-circulation of hMPV genotypes A2b and B2 in Kuwait with genetic diversity suggestive of evolution through negative selection. (C) 2015 King Saud Bin Abdulaziz University for Health Sciences. Published by Elsevier Limited. All rights reserved.</t>
  </si>
  <si>
    <t xml:space="preserve">[Al-Turab, Mariam; Chehadeh, Wassim; Al-Nakib, Widad] Kuwait Univ, Fac Med, Dept Microbiol, Jabriya, Kuwait</t>
  </si>
  <si>
    <t xml:space="preserve">Al-Turab, M (corresponding author), Kuwait Univ, Fac Med, Dept Microbiol, POB 24923, Safat 13310, Kuwait.</t>
  </si>
  <si>
    <t xml:space="preserve">mariamalturab@hsc.edu.kw</t>
  </si>
  <si>
    <t xml:space="preserve">Chehadeh, Wassim/AAD-9940-2020</t>
  </si>
  <si>
    <t xml:space="preserve">Chehadeh, Wassim/0000-0003-0761-4892</t>
  </si>
  <si>
    <t xml:space="preserve">Research Unit for Genomics, Proteomics and Cellomics Sciences (OMICS), Kuwait University [SRUL02/13]</t>
  </si>
  <si>
    <t xml:space="preserve">Research Unit for Genomics, Proteomics and Cellomics Sciences (OMICS), Kuwait University</t>
  </si>
  <si>
    <t xml:space="preserve">We acknowledge the support of the Research Unit for Genomics, Proteomics and Cellomics Sciences (OMICS), Kuwait University, with the Research Project No. SRUL02/13.</t>
  </si>
  <si>
    <t xml:space="preserve">10.1016/j.jiph.2015.01.008</t>
  </si>
  <si>
    <t xml:space="preserve">CQ8NV</t>
  </si>
  <si>
    <t xml:space="preserve">WOS:000360865900007</t>
  </si>
  <si>
    <t xml:space="preserve">Martino, R; Porras, RP; Rabella, N; Williams, JV; Rámila, E; Margall, N; Labeaga, R; Crowe, JE; Coll, P; Sierra, J</t>
  </si>
  <si>
    <t xml:space="preserve">Prospective study of the incidence, clinical features, and outcome of symptomatic upper and lower respiratory tract infections by respiratory viruses in adult recipients of hematopoietic stem cell transplants for hematologic malignancies</t>
  </si>
  <si>
    <t xml:space="preserve">respiratory viruses; hematopoietic stem cell transplantation; respiratory tract infection; prospective study</t>
  </si>
  <si>
    <t xml:space="preserve">BONE-MARROW TRANSPLANTS; INFLUENZA-A VIRUS; HUMAN METAPNEUMOVIRUS; SYNCYTIAL VIRUS; VIRAL-INFECTIONS; PARAINFLUENZA VIRUS; IMMUNOCOMPROMISED PATIENTS; ENTEROVIRUS INFECTIONS; RHINOVIRUS INFECTIONS; STATISTICAL-METHODS</t>
  </si>
  <si>
    <t xml:space="preserve">Respiratory viruses (RVs) are known to be major causes of morbidity and mortality in recipients of hematopoietic stem cell transplants (HSCTs), but prospective long-term studies are lacking. We prospectively screened all adult HSCT recipients (172 allogeneic [alloHSCT] and 240 autologous [autoHSCT]) who underwent transplantation during a 4-year period (1999 to 2003) for the development of a first episode of symptomatic upper respiratory tract infections and/or lower respiratory tract infections (LRTI) by an RV. RVs studied were influenza A and B viruses (n = 39), human respiratory syncytial virus (n = 19), human adenoviruses (n = 11), human parainfluenza viruses I to 3 (n = 8), human enteroviruses (n = 5), human rhinoviruses (n = 3), and the recently discovered human metapneumoviruses (n = 19). During the study, 51 and 32 cases of RV symptomatic infections were identified of alloHSCT and autoHSCT recipients (2-year incidence, 29% and 14%, respectively). Risk factors for progression of upper respiratory tract infection to LRTI included severe (&lt; 0.2 x 10(9)/L) and moderate (&lt; 0.2 x 10(9)/L) lymphocytopenia in alloHSCT (P = .02) and autoHSCT (P = .03). Death from LRTI was attributed to an RV in 8 alloHSCT recipients. Symptomatic RV had no effect on 2-year outcomes, with the possible exception of influenza A and B virus infections in autoHSCT: these were associated with nonrelapse mortality (P = .02). In conclusion, this prospective trial allows an estimation of the minimum incidence of a first RV infection in adult HSCT recipients and identifies risk factors for acquisition of an RV infection and progression to LRTI; this should aid in the design of future studies. In addition, human metapneumovirus should be added to the potentially serious causes of RV infections in HSCT. (c) 2005 American Society for Blood and Marrow Transplantation.</t>
  </si>
  <si>
    <t xml:space="preserve">Univ Autonoma Barcelona, Hosp Santa Creu &amp; St Pau, Dept Clin Hematol, E-08193 Barcelona, Spain; Univ Autonoma Barcelona, Hosp Santa Creu &amp; St Pau, Dept Microbiol, E-08193 Barcelona, Spain; Vanderbilt Univ, Med Ctr, Dept Pediat, Div Infect Dis, Nashville, TN 37232 USA</t>
  </si>
  <si>
    <t xml:space="preserve">Hospital of Santa Creu i Sant Pau; Autonomous University of Barcelona; Hospital of Santa Creu i Sant Pau; Autonomous University of Barcelona; Vanderbilt University</t>
  </si>
  <si>
    <t xml:space="preserve">Hosp Santa Creu &amp; Sant Pau, Serv Hematol Clin, Av St Antoni Maria Claret 167, Barcelona 08025, Spain.</t>
  </si>
  <si>
    <t xml:space="preserve">rmartino@hsp.santpau.es</t>
  </si>
  <si>
    <t xml:space="preserve">Rabella, Núria/AAF-9322-2019; Williams, John/ABE-3227-2020; Coll, Pere/A-1959-2009; Crowe, James/B-5549-2009; Williams, John/F-6962-2010</t>
  </si>
  <si>
    <t xml:space="preserve">Crowe, James/0000-0002-0049-1079; Rabella, Nuria/0000-0002-3409-0468; Coll, Pere/0000-0003-1782-9782; Williams, John/0000-0001-8377-5175; MARTINO, RODRIGO/0000-0001-5143-4042</t>
  </si>
  <si>
    <t xml:space="preserve">10.1016/j.bbmt.2005.07.007</t>
  </si>
  <si>
    <t xml:space="preserve">976KH</t>
  </si>
  <si>
    <t xml:space="preserve">Green Accepted, hybrid</t>
  </si>
  <si>
    <t xml:space="preserve">WOS:000232731800005</t>
  </si>
  <si>
    <t xml:space="preserve">Buitendijk, H; Fagrouch, Z; Niphuis, H; Bogers, WM; Warren, KS; Verschoor, EJ</t>
  </si>
  <si>
    <t xml:space="preserve">Buitendijk, Hester; Fagrouch, Zahra; Niphuis, Henk; Bogers, Willy M.; Warren, Kristin S.; Verschoor, Ernst J.</t>
  </si>
  <si>
    <t xml:space="preserve">Retrospective Serology Study of Respiratory Virus Infections in Captive Great Apes</t>
  </si>
  <si>
    <t xml:space="preserve">respiratory viruses; great apes; serology; anthroponotic infections</t>
  </si>
  <si>
    <t xml:space="preserve">NATIONAL-PARK; CHIMPANZEES; METAPNEUMOVIRUS; TRANSMISSION; EMERGENCE; ORIGINS; DISEASE</t>
  </si>
  <si>
    <t xml:space="preserve">Great apes are extremely sensitive to infections with human respiratory viruses. In this study, we retrospectively analyzed sera from captive chimpanzees, gorillas and orang-utans. More than 1000 sera (403 chimpanzee, 77 gorilla, and 535 orang-utan sera) were analyzed for antibodies to the human respiratory viruses RSV (respiratory syncytial virus, hMPV (human metapneumovirus), H1N1 and H3N2 influenza A viruses, and influenza B virus. In all ape species high seroprevalences were found for RSV, hMPV, and influenza B virus. A high percentage of captive chimpanzees also showed evidence of influenza A H1N1 infections, and had low levels of H3N2 antibodies, while in sera from gorillas and orang-utans antibody levels to influenza A and B viruses were much lower or practically absent. Transmission of respiratory viruses was examined in longitudinal sera of young chimpanzees, and in chimpanzee sera taken during health checks. In young animals isolated cases of influenza infections were monitored, but evidence was found for single introductions followed by a rapid dissemination of RSV and hMPV within the group. Implementation of strict guidelines for handling and housing of nonhuman primates was shown to be an efficient method to reduce the introduction of respiratory infections in colonies of captive animals. RSV seroprevalence rates of chimpanzees remained high, probably due to circulating virus in the chimpanzee colony.</t>
  </si>
  <si>
    <t xml:space="preserve">[Buitendijk, Hester; Fagrouch, Zahra; Niphuis, Henk; Bogers, Willy M.; Verschoor, Ernst J.] BPRC, Dept Virol, NL-2288 GJ Rijswijk, Netherlands; [Warren, Kristin S.] Murdoch Univ, Sch Vet &amp; Life Sci, Murdoch, WA 6150, Australia</t>
  </si>
  <si>
    <t xml:space="preserve">Murdoch University</t>
  </si>
  <si>
    <t xml:space="preserve">Verschoor, EJ (corresponding author), BPRC, Dept Virol, Lange Kleiweg 161, NL-2288 GJ Rijswijk, Netherlands.</t>
  </si>
  <si>
    <t xml:space="preserve">buitendijk@bprc.nl; fagrouch@bprc.nl; niphuis@bprc.nl; bogers@bprc.nl; k.warren@murdoch.edu.au; verschoor@bprc.nl</t>
  </si>
  <si>
    <t xml:space="preserve">Bogers, Willy/0000-0002-4563-8513; Warren, Kristin/0000-0002-9328-2013</t>
  </si>
  <si>
    <t xml:space="preserve">European Community Research Infrastructures Program [262443]</t>
  </si>
  <si>
    <t xml:space="preserve">European Community Research Infrastructures Program</t>
  </si>
  <si>
    <t xml:space="preserve">This study was supported by the European Community Research Infrastructures Program grant no. 262443 'European Primate Network: Advancing 3Rs and International Standards in Biological and Biomedical Research (EUPRIM-NET II)'. The authors wish to thank Lia van den Hoek (AMC) and John Rossen (RU Groningen) for provision of control sera.</t>
  </si>
  <si>
    <t xml:space="preserve">10.3390/v6031442</t>
  </si>
  <si>
    <t xml:space="preserve">AG9RC</t>
  </si>
  <si>
    <t xml:space="preserve">WOS:000335756100028</t>
  </si>
  <si>
    <t xml:space="preserve">Huang, XB; Yuan, L; Ye, CX; Zhu, X; Lin, CJ; Zhang, DM; He, KS; Niu, RX; Cao, KY; Xu, L</t>
  </si>
  <si>
    <t xml:space="preserve">Huang, Xu-bin; Yuan, Lei; Ye, Cong-xiu; Zhu, Xun; Lin, Cui-ji; Zhang, Ding-mei; He, Kai-shu; Niu, Ruo-xi; Cao, Kai-yuan; Xu, Lin</t>
  </si>
  <si>
    <t xml:space="preserve">Epidemiological characteristics of respiratory viruses in patients with acute respiratory infections during 2009-2018 in southern China</t>
  </si>
  <si>
    <t xml:space="preserve">Respiratory viruses; Epidemiology; Acute respiratory infection; Surveillance</t>
  </si>
  <si>
    <t xml:space="preserve">REAL-TIME PCR; SYNCYTIAL VIRUS; CHILDREN; GUANGZHOU</t>
  </si>
  <si>
    <t xml:space="preserve">Background: Acute respiratory infections (ARIs) remain a significant public threat with high morbidity and mortality worldwide; viruses are significant pathogens that cause ARIs. This study was conducted to better understand the epidemiological characteristics of respiratory viruses circulating in southern China. Methods: We collected 22,680 respiratory samples from ARI patients in 18 hospitals in southern China during 2009-2018; seven common respiratory viruses including Flu, RSV, PIV, hMPV, ADV, HCoV, and HBoV were screened using in-house real-time PCR. Results: Of all samples, 9760 ARI cases (9760/22680, 43.03%) tested positive for the seven common respiratory viruses. The most detected virus was Flu (14.15%), followed by RSV (10.33%) and PIV (5.43%); Flu-A, PIV3, and HCoV-OC43 were the predominant subtypes. Although most of the viruses were detected in male inpatients, Flu was more likely detected in female outpatients. Flu infection was more likely to cause URTI (upper respiratory tract infection), whereas RSV infection was more likely to cause pneumonia and bronchitis. The prevalence of Flu was particularly high in 2009. The epidemic level was found notably high in 2014-2018 for RSV, in 2016-2018 for PlV, in the summer of 2018 for ADV, in the summer of 2016 and winter of 2018 for HCoV, and in the summer of 2011 and autumn of 2018 for HBoV. The co-detection rate of the seven viruses was 4.70%; RSV, Ply, and Flu were the most commonly co-detected viruses. Conclusions: This work demonstrates the epidemiological characteristics of seven common respiratory viruses in ARI patients in southern China. (C) 2020 The Author(s). Published by Elsevier Ltd on behalf of International Society for Infectious Diseases.</t>
  </si>
  <si>
    <t xml:space="preserve">[Huang, Xu-bin] Sun Yat Sen Univ, Affiliated Hosp 1, Dept Pulm &amp; Crit Care Med, Guangzhou, Peoples R China; [Yuan, Lei] Nanchang Univ, Affiliated Hosp 1, Clin Lab, Nanchang, Jiangxi, Peoples R China; [Yuan, Lei; Zhu, Xun; Lin, Cui-ji; He, Kai-shu; Niu, Ruo-xi; Cao, Kai-yuan; Xu, Lin] Sun Yat Sen Univ, Key Lab Trop Dis Control, Minist Educ, Guangzhou, Peoples R China; [Yuan, Lei; Zhu, Xun; Lin, Cui-ji; He, Kai-shu; Niu, Ruo-xi; Cao, Kai-yuan; Xu, Lin] Sun Yat Sen Univ, Res Ctr Clin Lab Stand, Zhongshan Sch Med, Guangzhou, Peoples R China; [Yuan, Lei; Zhu, Xun; Lin, Cui-ji; He, Kai-shu; Niu, Ruo-xi; Cao, Kai-yuan; Xu, Lin] Sun Yat Sen Univ, Zhongshan Sch Med, Dept Microbiol, 74,Zhongshan 2 Rd, Guangzhou 510080, Peoples R China; [Ye, Cong-xiu] Sun Yat Sen Univ, Dept Dermatovenereol, Affiliated Hosp 3, Guangzhou, Peoples R China; [Zhang, Ding-mei] Sun Yat Sen Univ, Sch Publ Hlth, Dept Med Stat &amp; Epidemiol, Guangzhou, Peoples R China</t>
  </si>
  <si>
    <t xml:space="preserve">Sun Yat Sen University; Nanchang University; Sun Yat Sen University; Sun Yat Sen University; Sun Yat Sen University; Sun Yat Sen University; Sun Yat Sen University</t>
  </si>
  <si>
    <t xml:space="preserve">Cao, KY; Xu, L (corresponding author), Sun Yat Sen Univ, Zhongshan Sch Med, Dept Microbiol, 74,Zhongshan 2 Rd, Guangzhou 510080, Peoples R China.</t>
  </si>
  <si>
    <t xml:space="preserve">caoky@mail.sysu.edu.cn; xulin@mail.sysu.edu.cn</t>
  </si>
  <si>
    <t xml:space="preserve">Xu, Lin/HLW-1993-2023; Zhang, Dingmei/ABC-7476-2020</t>
  </si>
  <si>
    <t xml:space="preserve">lei, yuan/0009-0003-3309-1746; Xu, Lin/0000-0002-0537-922X</t>
  </si>
  <si>
    <t xml:space="preserve">National Major Projects of Major Infectious Disease Control and Prevention; Ministry of Science and Technology of the People's Republic of China [2009ZX10004-213, 2012ZX10004213-001, 2017ZX10103011]; Guangdong Province Medical Science Research Foundation [A2018413]</t>
  </si>
  <si>
    <t xml:space="preserve">National Major Projects of Major Infectious Disease Control and Prevention; Ministry of Science and Technology of the People's Republic of China(Ministry of Science and Technology, China); Guangdong Province Medical Science Research Foundation</t>
  </si>
  <si>
    <t xml:space="preserve">This research was supported by National Major Projects of Major Infectious Disease Control and Prevention, the Ministry of Science and Technology of the People's Republic of China (grant number 2009ZX10004-213, 2012ZX10004213-001 and 2017ZX10103011), and the Guangdong Province Medical Science Research Foundation (grant number A2018413). The funders had no role in study design, data collection and analysis, decision to publish, nor preparation of the manuscript.</t>
  </si>
  <si>
    <t xml:space="preserve">10.1016/j.ijid.2020.06.051</t>
  </si>
  <si>
    <t xml:space="preserve">NN8VF</t>
  </si>
  <si>
    <t xml:space="preserve">WOS:000569065100006</t>
  </si>
  <si>
    <t xml:space="preserve">Cho, HJ; Rhee, JE; Kang, D; Choi, EH; Lee, NJ; Woo, S; Lee, J; Lee, SW; Kim, EJ; Yun, KW</t>
  </si>
  <si>
    <t xml:space="preserve">Cho, Hyo Jin; Rhee, Jee Eun; Kang, Dayun; Choi, Eun Hwa; Lee, Nam-Joo; Woo, SangHee; Lee, Jaehee; Lee, Sang-Won; Kim, Eun-Jin; Yun, Ki Wook</t>
  </si>
  <si>
    <t xml:space="preserve">Epidemiology of Respiratory Viruses in Korean Children Before and After the COVID-19 Pandemic: A Prospective Study From National Surveillance System</t>
  </si>
  <si>
    <t xml:space="preserve">JOURNAL OF KOREAN MEDICAL SCIENCE</t>
  </si>
  <si>
    <t xml:space="preserve">Respiratory Viruses; Epidemic; Children; COVID-19 Pandemic; Korea</t>
  </si>
  <si>
    <t xml:space="preserve">Background: The coronavirus disease 2019 (COVID-19) pandemic led to a decrease in the seasonal incidence of many respiratory viruses worldwide due to the impact of nonpharmaceutical interventions (NPIs). However, as NPI measures were relaxed, respiratory viral infections re-emerged. We aimed to characterize the epidemiology of respiratory viruses in Korean children during post-COVID-19 pandemic years compared to that before the pandemic. Methods: A nationwide prospective ongoing surveillance study has been conducted for detection of respiratory viruses between January 2017 and June 2023. We included data on adenovirus (AdV), human bocavirus (HBoV), human coronavirus (HCoV), human metapneumovirus (HMPV), human rhinovirus (HRV), influenza virus (IFV), parainfluenza virus (PIV), and respiratory syncytial virus (RSV), which were detected in children and adolescents younger than 20 years. We analyzed the weekly detection frequency of individual viruses and the age distribution of the affected children. The study period was divided into prepandemic (2017-2019) and postpandemic (2021-2023) periods. Results: A total of 19,589 and 14,068 samples were collected in the pre- and postpandemic periods, respectively. The overall detection rate of any virus throughout the study period was 63.1%, with the lowest occurring in the 2nd half of 2020 (50.6%) and the highest occurring in the 2nd half of 2021 (72.3%). Enveloped viruses (HCoV, HMPV, IFV, PIV, and RSV) almost disappeared, but nonenveloped viruses (AdV, HBoV, and HRV) were detected even during the peak of the COVID-19 pandemic. The codetection rate increased from 15.0% prepandemic to 19.1% postpandemic ( P &lt; 0.001). During the postpandemic period, a large out -of -season PIV and HMPV epidemic occurred, but the usual seasonality began to be restored in 2023. The mean age of children with each virus detected in 2023 was significantly greater than that in prepandemic years ( P = 0.003 and 0.007 for AdV and HCoV, respectively; P &lt; 0.001 for others). The mean age of children with IFV increased in 2022 (11.1 +/- 5.2 years) from prepandemic years (7.9 +/- 4.6 years) but decreased to 8.7 +/- 4.1 years in 2023. Conclusion: With the relaxation of NPI measures, several seasonal respiratory viruses cocirculated with unusual seasonal epidemic patterns and were associated with increasing age of infected children.</t>
  </si>
  <si>
    <t xml:space="preserve">[Cho, Hyo Jin; Choi, Eun Hwa; Yun, Ki Wook] Seoul Natl Univ, Coll Med, Dept Pediat, 101 Daehak Ro, Seoul 03080, South Korea; [Cho, Hyo Jin] Boston Univ, Chobanian &amp; Avedisian Sch Med, Boston, MA USA; [Rhee, Jee Eun; Lee, Nam-Joo; Woo, SangHee; Lee, Jaehee; Lee, Sang-Won; Kim, Eun-Jin] Korea Dis Control &amp; Prevent Agcy KDCA, Bur Infect Dis Diag Control, Div Emerging Infect Dis, 87 Osongsaengmyeong 2 Ro, Cheongju 28159, South Korea; [Kang, Dayun; Choi, Eun Hwa; Yun, Ki Wook] Seoul Natl Univ, Childrens Hosp, Dept Pediat, Seoul, South Korea</t>
  </si>
  <si>
    <t xml:space="preserve">Seoul National University (SNU); Boston University; Seoul National University (SNU); Seoul National University Hospital</t>
  </si>
  <si>
    <t xml:space="preserve">Yun, KW (corresponding author), Seoul Natl Univ, Coll Med, Dept Pediat, 101 Daehak Ro, Seoul 03080, South Korea.;Kim, EJ (corresponding author), Korea Dis Control &amp; Prevent Agcy KDCA, Bur Infect Dis Diag Control, Div Emerging Infect Dis, 87 Osongsaengmyeong 2 Ro, Cheongju 28159, South Korea.</t>
  </si>
  <si>
    <t xml:space="preserve">ekim@korea.kr; pedwilly@snu.ac.kr</t>
  </si>
  <si>
    <t xml:space="preserve">Lee, Sang Won/JHU-9413-2023</t>
  </si>
  <si>
    <t xml:space="preserve">Kang, Dayun/0000-0002-0314-9455; Yun, Ki Wook/0000-0002-0798-6779</t>
  </si>
  <si>
    <t xml:space="preserve">Korea Disease Control and Prevention Agency [6300-6332-304]</t>
  </si>
  <si>
    <t xml:space="preserve">Korea Disease Control and Prevention Agency</t>
  </si>
  <si>
    <t xml:space="preserve">This study was supported by a grant from the Korea Disease Control and Prevention Agency (grant No. 6300-6332-304) .</t>
  </si>
  <si>
    <t xml:space="preserve">KOREAN ACAD MEDICAL SCIENCES</t>
  </si>
  <si>
    <t xml:space="preserve">4F, 37 Ichon-ro 46-Gil, Yongsan-gu, SEOUL, SOUTH KOREA</t>
  </si>
  <si>
    <t xml:space="preserve">1011-8934</t>
  </si>
  <si>
    <t xml:space="preserve">1598-6357</t>
  </si>
  <si>
    <t xml:space="preserve">J KOREAN MED SCI</t>
  </si>
  <si>
    <t xml:space="preserve">J. Korean Med. Sci.</t>
  </si>
  <si>
    <t xml:space="preserve">MAY 20</t>
  </si>
  <si>
    <t xml:space="preserve">e171</t>
  </si>
  <si>
    <t xml:space="preserve">10.3346/jkms.2024.39.e171</t>
  </si>
  <si>
    <t xml:space="preserve">TC9N3</t>
  </si>
  <si>
    <t xml:space="preserve">Green Accepted, gold</t>
  </si>
  <si>
    <t xml:space="preserve">WOS:001239180000001</t>
  </si>
  <si>
    <t xml:space="preserve">Barbosa, G; Alberto-Lei, F; Chaves, APC; Carvalho, JMA; Conte, DD; Moreira, LVL; Luna, LKD; Perosa, AH; Bellei, N</t>
  </si>
  <si>
    <t xml:space="preserve">Barbosa, G.; Alberto-Lei, F.; Chaves, A. P. C.; Carvalho, J. M. A.; Conte, D. D.; Moreira, L. V. L.; Luna, L. K. de Souza; Perosa, A. H.; Bellei, N.</t>
  </si>
  <si>
    <t xml:space="preserve">Respiratory virus detection among healthcare professionals in Brazil: work-related contact and episode recurrence during the COVID-19 pandemic</t>
  </si>
  <si>
    <t xml:space="preserve">PUBLIC HEALTH</t>
  </si>
  <si>
    <t xml:space="preserve">Respiratory viruses; COVID-19; Healthcare professionals</t>
  </si>
  <si>
    <t xml:space="preserve">Objectives: Since the beginning of the COVID-19 pandemic, changes in the circulation of respiratory viruses have been observed after measures to control the spread of SARS-CoV-2 were implemented. In this sense, we aimed to understand the circulation of the respiratory virus and its impact in a controlled healthy population of healthcare professional (HCP) volunteers in phase III of the clinical trial of the ChadOx nCoV1 conducted in S &amp; atilde;o Paulo, Brazil.Study design: This was a nested observational cohort study within a clinical trial.Methods: We performed RT-qPCR to detect SARS-CoV-2, influenza virus A and B (IVA and IVB), respiratory syncytial virus (RSV), human rhinovirus (HRV), human metapneumovirus (hMPV), human coronaviruses (hCoVs: HKU-1, NL63, OC43, and 229-E), parainfluenza virus (PiV) I-IV, and q-PCR for adenovirus in nasopharyngeal and oropharyngeal samples obtained from HCP enrolled in the clinical trial to assess respiratory viruses infection among vaccinated and non-vaccinated.Results: From July 2020 to January 2022, 876 samples were included from 737 volunteers (median age: 33 years, 62.9% female). New episodes were registered for 119 individuals. We observed an overall positivity of 37.7% for SARS-CoV-2 and 16.4% for other respiratory viruses; HRV was the second most detected virus (8%), followed by RSV (2.4%). Fully vaccinated individuals accounted for 53.3% of collected samples, and 52.9% presented at least one respiratory virus infection, with SARS-CoV-2 being the most predominant etiologic agent (62.3%). Influenza and hMPV were not detected among the tested samples. Among the subjects that presented more than one episode, SARS-CoV-2 and HRV infections were related to direct contact with patients (P &lt; 0.002).Conclusions: Data show high infection rates among HCPs even under mask policies and contact precautions, highlighting the need for improvement in infection control measures in this population regardless of the vaccination program.</t>
  </si>
  <si>
    <t xml:space="preserve">[Barbosa, G.; Alberto-Lei, F.; Chaves, A. P. C.; Carvalho, J. M. A.; Conte, D. D.; Moreira, L. V. L.; Luna, L. K. de Souza; Perosa, A. H.; Bellei, N.] Univ Fed Sao Paulo UNIFESP, Escola Paulista Med, Lab Virol Clin, Sao Paulo, SP, Brazil; [Barbosa, G.] Rua Pedro Toledo 781,781 Vila Clementino, BR-04039032 Sao Paulo, SP, Brazil</t>
  </si>
  <si>
    <t xml:space="preserve">Universidade Federal de Sao Paulo (UNIFESP)</t>
  </si>
  <si>
    <t xml:space="preserve">Barbosa, G (corresponding author), Rua Pedro Toledo 781,781 Vila Clementino, BR-04039032 Sao Paulo, SP, Brazil.</t>
  </si>
  <si>
    <t xml:space="preserve">grbarbosa@unifesp.br</t>
  </si>
  <si>
    <t xml:space="preserve">de Souza Luna, Luciano Kleber/L-1213-2013; Bellei, Nancy/D-8641-2016; Conte, DANIELLE/LPP-2427-2024; Chaves, Ana/AAI-4035-2021</t>
  </si>
  <si>
    <t xml:space="preserve">Lei, Felipe Alberto/0000-0002-2855-3147</t>
  </si>
  <si>
    <t xml:space="preserve">Sao Paulo Research Foundation (FAPESP) [2020/13381-6, 2020/11719-0]</t>
  </si>
  <si>
    <t xml:space="preserve">Sao Paulo Research Foundation (FAPESP)(Fundacao de Amparo a Pesquisa do Estado de Sao Paulo (FAPESP))</t>
  </si>
  <si>
    <t xml:space="preserve">This work was supported by grant 2020/13381-6, Sao Paulo Research Foundation (FAPESP). G. Barbosa is a fellow of the Sao Paulo Research Foundation (FAPESP), grant 2020/11719-0.</t>
  </si>
  <si>
    <t xml:space="preserve">W B SAUNDERS CO LTD</t>
  </si>
  <si>
    <t xml:space="preserve">32 JAMESTOWN RD, LONDON NW1 7BY, ENGLAND</t>
  </si>
  <si>
    <t xml:space="preserve">0033-3506</t>
  </si>
  <si>
    <t xml:space="preserve">1476-5616</t>
  </si>
  <si>
    <t xml:space="preserve">Public Health</t>
  </si>
  <si>
    <t xml:space="preserve">10.1016/j.puhe.2023.11.021</t>
  </si>
  <si>
    <t xml:space="preserve">DEC 2023</t>
  </si>
  <si>
    <t xml:space="preserve">EA5L5</t>
  </si>
  <si>
    <t xml:space="preserve">WOS:001136193700001</t>
  </si>
  <si>
    <t xml:space="preserve">Ben-Shimol, S; Ramilo, O; Leber, AL; van der Beek, BA; Everhart, K; Mertz, S; Mejias, A; Dagan, R</t>
  </si>
  <si>
    <t xml:space="preserve">Ben-Shimol, Shalom; Ramilo, Octavio; Leber, Amy L.; van der Beek, Bart Adriaan; Everhart, Kathy; Mertz, Sara; Mejias, Asuncion; Dagan, Ron</t>
  </si>
  <si>
    <t xml:space="preserve">A Hypothesis-Generating Prospective Longitudinal Study to Assess the Relative Contribution of Common Respiratory Viruses to Severe Lower Respiratory Infections in Young Children</t>
  </si>
  <si>
    <t xml:space="preserve">respiratory viruses; community alveolar pneumonia; bronchiolitis; carriage</t>
  </si>
  <si>
    <t xml:space="preserve">SYNCYTIAL VIRUS; BACTERIAL-INFECTION; HUMAN CORONAVIRUS; TRACT-INFECTIONS; INFANTS; PNEUMONIA; PULMONARY; RISK</t>
  </si>
  <si>
    <t xml:space="preserve">Background: Respiratory viruses such as respiratory syncytial virus (RSV), influenza, parainfluenza and human metapneumovirus are well-established etiologies of acute lower respiratory tract infections (ALRIs; LRI-viruses). In contrast, adenovirus (AdV), rhinovirus/enterovirus (RV/EV) and seasonal human coronaviruses (CoV), collectively termed AdV/RV/CoV, are detected both in healthy children and children with ALRI.Methods: The methods include a prospective longitudinal case-control study, assessing the prevalence of LRI-viruses versus AdV/RV/CoV in ALRI [community-acquired alveolar pneumonia (CAAP) and bronchiolitis] during hospitalization (visit 1), 7-14 days (visit 2) and 28-35 days (visit 3) in 2-17-month-old children. Controls were 2-27-month-old children hospitalized for elective surgery during the same respiratory seasons.Results: We enrolled 99 infants (37 CAAP, 38 bronchiolitis and 24 controls) and obtained 211 nasopharyngeal swabs. Overall, 163 (77%) had greater than or equal to 1 viruses detected; RV/EV (n = 94; 45%) and RSV (n = 71; 34%) were the most frequently detected viruses. In CAAP, the overall LRI-virus prevalence was 78.4%, 32.4% and 5.4% in visits 1, 2 and 3, respectively; the respective rates in bronchiolitis were 73.7%, 34.5% and 8.0%. In controls, no LRI-viruses were detected. In contrast, the overall AdV/RV/CoV prevalence was high among controls (70.8%) and similar among CAAP (48.6%, 40.5% and 40.5%) and bronchiolitis (47.4, 58.6% and 64.0%) across visits.Conclusions: Among ALRI cases, LRI-viruses dominated during the acute disease, with prevalence declining within 28-35 days, suggesting their causative role. In contrast, AdV/RV/CoV prevalence was similar during all 3 visits and in controls, suggesting that carriage of these viruses is common during the viral respiratory season. The current study is relatively small and of short duration; however, the findings are supported by other recent studies.</t>
  </si>
  <si>
    <t xml:space="preserve">[Ben-Shimol, Shalom] Ben Gurion Univ Negev, Fac Hlth Sci, Beer Sheva, Israel; [Ben-Shimol, Shalom] Soroka Univ, Pediat Infect Dis Unit, Med Ctr, Beer Sheva, Israel; [Ramilo, Octavio; Mertz, Sara; Mejias, Asuncion] Nationwide Childrens Hosp, Div Pediat Infect Dis, Abigail Wexner Res Inst, Columbus, OH USA; [Ramilo, Octavio; Mertz, Sara; Mejias, Asuncion] Abigail Wexner Res Inst Nationwide Childrens Hosp, Ctr Vaccines &amp; Immun, Columbus, OH USA; [Ramilo, Octavio; Mertz, Sara; Mejias, Asuncion] Ohio State Univ, Columbus, OH USA; [Leber, Amy L.; Everhart, Kathy] Nationwide Childrens Hosp, Dept Lab Med, Columbus, OH USA; [van der Beek, Bart Adriaan; Dagan, Ron] Ben Gurion Univ Negev, Fac Hlth Sci, Shraga Segal Dept Microbiol Immunol &amp; Genet, Beer Sheva, Israel; [Dagan, Ron] Ben Gurion Univ Negev, Fac Hlth Sci, IL-8410501 Beer Sheva, Israel</t>
  </si>
  <si>
    <t xml:space="preserve">Ben Gurion University; Ben Gurion University; Soroka Medical Center; University System of Ohio; Ohio State University; Nationwide Childrens Hospital; University System of Ohio; Ohio State University; Nationwide Childrens Hospital; Research Institute at Nationwide Children's Hospital; University System of Ohio; Ohio State University; University System of Ohio; Ohio State University; Nationwide Childrens Hospital; Ben Gurion University; Ben Gurion University</t>
  </si>
  <si>
    <t xml:space="preserve">Dagan, R (corresponding author), Ben Gurion Univ Negev, Fac Hlth Sci, IL-8410501 Beer Sheva, Israel.</t>
  </si>
  <si>
    <t xml:space="preserve">bench@bgu.ac.il; octavio.ramilo@stjude.org; Amy.Leber@nationwidechildrens.org; kathy.everhart@nationwidechildrens.org; sara.mertz@nationwidechildrens.org; Asuncion.Mejias@nationwidechildrens.org; rda-gan@bgu.ac.il</t>
  </si>
  <si>
    <t xml:space="preserve">Ben-Shimol, Shalom/G-3368-2015; van der Beek, Bart/AAA-6486-2021; Mejias, Asuncion/AAC-5998-2019</t>
  </si>
  <si>
    <t xml:space="preserve">Ben-Shimol, Shalom/0000-0002-7690-0991; Dagan, Ron/0000-0002-8888-1046</t>
  </si>
  <si>
    <t xml:space="preserve">NIH; Bill &amp; Melinda Gates Foundation; Merck; Janssen; Biofire; Cephied; Luminex; Diasorin; Pfizer; MSD; MedImmune/AstraZeneca</t>
  </si>
  <si>
    <t xml:space="preserve">NIH(United States Department of Health &amp; Human ServicesNational Institutes of Health (NIH) - USA); Bill &amp; Melinda Gates Foundation(Bill &amp; Melinda Gates FoundationBill &amp; Melinda Gates Foundation Grand Challenges Explorations InitiativeCGIAR); Merck(Merck &amp; Company); Janssen(Johnson &amp; JohnsonJohnson &amp; Johnson USAJanssen Biotech Inc); Biofire; Cephied; Luminex; Diasorin; Pfizer(Pfizer); MSD; MedImmune/AstraZeneca(AstraZeneca)</t>
  </si>
  <si>
    <t xml:space="preserve">S.B.-S. has received grants from Pfizer, fees as scientific consultant, participation in advisory board, and educational lectures from Pfizer and MSD, and fees for educational lectures from GSK. O.R. has received research grants from NIH, the Bill &amp; Melinda Gates Foundation, Merck and Janssen to institu-tion; fees for participation in advisory boards from Merck, Sanofi-Pasteur, Adagio, Lilly and Pfizer; and fees for lectures from Pfizer, Sanofi-Pasteur and AstraZeneca. A.L.L. has received research grants from Biofire, Cephied, Luminex, and Diasorin, and consulting fees from Medscape, Biorad and Biofire. A.M. has received research grants from, NIH, Janssen and Merck to institution, fees for participation in advisory boards from Janssen, Sanofi-Pasteur, and Merck and fees for educational lectures from Sanofi-Pasteur and AstraZeneca. R.D. has received grants from Pfizer, MSD, MedImmune/AstraZeneca, fees as scientific consultant, participation in advisory board, and educational lectures from Pfizer and MSD, as well as fees for educational lectures from Sanofi-Pasteur. The remaining authors have no conflicts of interest to disclose.</t>
  </si>
  <si>
    <t xml:space="preserve">10.1097/INF.0000000000003865</t>
  </si>
  <si>
    <t xml:space="preserve">D7EQ2</t>
  </si>
  <si>
    <t xml:space="preserve">WOS:000970325200025</t>
  </si>
  <si>
    <t xml:space="preserve">Diaz, J; Morales-Romero, J; Pérez-Gil, G; Bedolla-Barajas, M; Delgado-Figueroa, N; García-Román, R; López-López, O; Bañuelos, E; Rizada-Antel, C; Zenteno-Cuevas, R; Ramos-Ligonio, A; Sampieri, CL; Orozco-Alatorre, LG; Mora, SI; Montero, H</t>
  </si>
  <si>
    <t xml:space="preserve">Diaz, Jahaziel; Morales-Romero, Jaime; Perez-Gil, Gustavo; Bedolla-Barajas, Martin; Delgado-Figueroa, Netzahualpilli; Garcia-Roman, Rebeca; Lopez-Lopez, Omar; Banuelos, Evelyn; Rizada-Antel, Cristal; Zenteno-Cuevas, Roberto; Ramos-Ligonio, Angel; Sampieri, Clara Luz; Orozco-Alatorre, Luis Gustavo; Mora, Silvia I.; Montero, Hilda</t>
  </si>
  <si>
    <t xml:space="preserve">Viral coinfection in acute respiratory infection in Mexican children treated by the emergency service: A cross-sectional study</t>
  </si>
  <si>
    <t xml:space="preserve">ITALIAN JOURNAL OF PEDIATRICS</t>
  </si>
  <si>
    <t xml:space="preserve">Respiratory viruses; Coinfection; Acute respiratory infections; Children; Overcrowding; Emergency service; Metapneumovirus</t>
  </si>
  <si>
    <t xml:space="preserve">SYNCYTIAL VIRUS-INFECTION; HUMAN METAPNEUMOVIRUS INFECTIONS; CLINICAL CHARACTERISTICS; HOSPITALIZED CHILDREN; HUMAN BOCAVIRUS; RISK-FACTORS; EPIDEMIOLOGY; TRACT; ADENOVIRUS; PERSISTENCE</t>
  </si>
  <si>
    <t xml:space="preserve">Background: Acute respiratory infections (ARIs) cause illness. Children under five years of age are highly vulnerable to these infections. Viral coinfection or multiple viral infection is a variable that can have a significant impact on the evolution of these diseases. Methods: This cross-sectional study was carried out in Mexican children (under five years of age) who had an ARI and who were treated by an emergency service in a hospital in Guadalajara, Jalisco, Mexico. The viral etiology, as well as the presence of multiple viral infections, was determined. A structured questionnaire was used to obtain demographic and clinical information. Odds ratio (OR) was calculated, and univariate and multivariate analyses using logistic regression were performed. Results: In the study population, metapneumovirus (hMPV) was the most frequent virus (22%), followed by adenovirus (hAD) (16%), respiratory syncytial virus (RSV) (14%), rhinovirus (hRV) (12%), bocavirus (hBoV) (9%), influenza virus (IF) (7%), and parainfluenza (PIF) (4%). The frequency of viral coinfections was 31.62%, and multiple logistic regression analysis revealed that hMPV, RSV, PIF, and hBoV were independently associated with multiple viral infection. No difference was found in the clinical manifestation of children with simple and multiple infections. Simple hMPV infection was associated with patients who presented with severe ARI. Using a multivariate analysis, we found that overcrowding is associated with coinfection when the viral etiology was hRV (OR = 2.56, 95% confidence interval (CI) 1.07 to 6.13), IF (OR = 2.56, 95% CI 1.07 to 6.13), PIF (OR = 2.96, 95% CI 1.15 to 7.65), hAD (OR = 2.56, 95% CI 1.07 to 6.13), and hBoV (OR = 2.9, 95% CI 1.14 to 7.34). Conclusions: Viral coinfections are frequent in children requiring treatment by an emergency service. However, the severity of ARI is similar to that of children with a simple infection. The hMPV is common and may confer a significant disease burden in the Mexican population. Finally, overcrowding is a housing characteristic that favors the development of coinfections.</t>
  </si>
  <si>
    <t xml:space="preserve">[Diaz, Jahaziel; Morales-Romero, Jaime; Perez-Gil, Gustavo; Garcia-Roman, Rebeca; Lopez-Lopez, Omar; Banuelos, Evelyn; Rizada-Antel, Cristal; Zenteno-Cuevas, Roberto; Sampieri, Clara Luz; Montero, Hilda] Univ Veracruzana, Inst Salud Publ, Xalapa 91190, Veracruz, Mexico; [Perez-Gil, Gustavo] Univ Veracruzana, Ctr Ciencias Biomed, Xalapa 91190, Veracruz, Mexico; [Bedolla-Barajas, Martin; Delgado-Figueroa, Netzahualpilli; Orozco-Alatorre, Luis Gustavo] Hosp Civil Guadalajara Dr Juan I Menchaca, Guadalajara 44100, Jalisco, Mexico; [Lopez-Lopez, Omar; Banuelos, Evelyn] Univ Veracruzana, Fac Quim Farmaceut Biol, Xalapa 91000, Veracruz, Mexico; [Ramos-Ligonio, Angel] Univ Veracruzana, Fac Ciencias Quim, Orizaba 94340, Veracruz, Mexico; [Mora, Silvia I.] Univ Nacl Autonoma Mexico, Inst Invest Biomed, Unidad Procedimientos Preparat &amp; Acceso Serv Prot, Mexico City 04510, DF, Mexico</t>
  </si>
  <si>
    <t xml:space="preserve">Universidad Veracruzana; Universidad Veracruzana; Universidad Veracruzana; Universidad Veracruzana; Universidad Nacional Autonoma de Mexico</t>
  </si>
  <si>
    <t xml:space="preserve">Montero, H (corresponding author), Univ Veracruzana, Inst Salud Publ, Ave Luis Castelazo Ayala S-N, Xalapa 91190, Veracruz, Mexico.</t>
  </si>
  <si>
    <t xml:space="preserve">hmontero@uv.mx</t>
  </si>
  <si>
    <t xml:space="preserve">Garcia-Roman, Rebeca/LHA-1477-2024; Morales-Romero, Jaime/A-1442-2012; Sampieri Ramírez, Clara/KFA-5844-2024; Diaz Vallejo, Joel/KEJ-1550-2024; Montero, Hilda/IUQ-8136-2023; Ramos-Ligonio, Angel/ISU-4258-2023; Mora-Herrera, Silvia/ISB-2730-2023; Bedolla-Barajas, Martin/AFQ-5082-2022; Delgado Figueroa, Netzahualpilli/D-3632-2014; ZENTENO-CUEVAS, ROBERTO/A-7152-2012</t>
  </si>
  <si>
    <t xml:space="preserve">Montero, Hilda/0000-0001-8090-4103; Bedolla-Barajas, Martin/0000-0003-4915-1582; Ramos-Ligonio, Angel/0000-0003-3896-7447; Delgado Figueroa, Netzahualpilli/0000-0001-7759-6170; Diaz Vallejo, Joel Jahaziel/0000-0003-4927-7214; Perez-Gil Cervantes, Gustavo Antonio/0000-0003-0849-1433; ZENTENO-CUEVAS, ROBERTO/0000-0001-9597-127X; Sampieri Ramirez, Clara Luz/0000-0001-7495-426X; Morales-Romero, Jaime/0000-0002-1492-1797</t>
  </si>
  <si>
    <t xml:space="preserve">Consejo Nacional de Ciencia y Tecnologia (National Council for Science and Technology) [318952, 346287, 366125]; Programa para el Desarrollo Profesional Docente (Professional Teacher Development Program)</t>
  </si>
  <si>
    <t xml:space="preserve">Consejo Nacional de Ciencia y Tecnologia (National Council for Science and Technology)(Consejo Nacional de Ciencia y Tecnologia (CONACyT)); Programa para el Desarrollo Profesional Docente (Professional Teacher Development Program)</t>
  </si>
  <si>
    <t xml:space="preserve">J.D. (#318952), G.P.-G. (#346287), and C.R.-A. (#366125) are recipients of a scholarship from the Consejo Nacional de Ciencia y Tecnologia (National Council for Science and Technology). We thank Adriana Landa Cardena for her valuable technical assistance in this study, Susana Lopez for her advice in the IF detection and for providing the sequence of the oligonucleotides, Julio Santiago Cruz for his assistance in the detection of hRV and Programa para el Desarrollo Profesional Docente (Professional Teacher Development Program) for financial support.</t>
  </si>
  <si>
    <t xml:space="preserve">1720-8424</t>
  </si>
  <si>
    <t xml:space="preserve">1824-7288</t>
  </si>
  <si>
    <t xml:space="preserve">ITAL J PEDIATR</t>
  </si>
  <si>
    <t xml:space="preserve">Ital. J. Pediatr.</t>
  </si>
  <si>
    <t xml:space="preserve">APR 18</t>
  </si>
  <si>
    <t xml:space="preserve">10.1186/s13052-015-0133-7</t>
  </si>
  <si>
    <t xml:space="preserve">CG6CB</t>
  </si>
  <si>
    <t xml:space="preserve">WOS:000353382000002</t>
  </si>
  <si>
    <t xml:space="preserve">El Kholy, AA; Mostafa, NA; Ali, AA; El-Sherbini, SA; Ismail, RI; Magdy, RI; Soliman, MS; Said, MM</t>
  </si>
  <si>
    <t xml:space="preserve">El Kholy, Amani A.; Mostafa, Nadia A.; Ali, Aliaa A.; El-Sherbini, Seham A.; Ismail, Reem I.; Magdy, Rania I.; Soliman, May S.; Said, Mayar M.</t>
  </si>
  <si>
    <t xml:space="preserve">Risk factors of prolonged hospital stay in children with viral severe acute respiratory infections</t>
  </si>
  <si>
    <t xml:space="preserve">respiratory viruses; children; SARI; prolonged stay</t>
  </si>
  <si>
    <t xml:space="preserve">SYNCYTIAL VIRUS-INFECTION; TRACT INFECTIONS; HUMAN METAPNEUMOVIRUS; EPIDEMIOLOGY; ETIOLOGY; INFANTS; COMPLICATIONS; SEASONALITY; BOCAVIRUS; DIAGNOSIS</t>
  </si>
  <si>
    <t xml:space="preserve">Introduction: Severe acute lower respiratory infections (SARIs) are one of the major causes of morbidity and mortality in young children, especially in developing countries. The present study focused on detection of risk factors for prolonged hospital stays among children with viral SARIs. Methodology: A sentinel surveillance study was conducted at Cairo University Hospital (CUH) between February 2010 and May 2011. Nasopharyngeal (NP) and oropharyngeal (OP) swabs were collected from all children admitted with SARIs. Viruses were identified using reverse transcription polymerase chain reaction (RT-PCR). Results: Out of 1,046 children, 380 (36%) were positive for one or more viruses; these included respiratory syncytial virus (RSV) (22.9%), adenovirus (6.2%), parainfluenza viruses (PIVs1-3) (5.1%), human metapneumovirus (HMPV) (4.5%), influenza A (1.4%), and influenza B (0.6%). Viral etiology was mainly detected in children under one year of age (88.9%). Prolonged length of stay was independently associated with the presence of cyanosis and underlying chronic illness (OR 7.4, CI: 1.8-30.32 [p = 0.005], OR 2.5, CI: 1.36-4.64 [p = 0.004], respectively). Virus type did not affect the length of hospital stay (p &gt; 0.05). Oxygen therapy was required in 91% of the patients. A total of 43 patients (11.6%) required intensive care admission. Twenty-one patients (5.5%) died, and 15 of them (71.4%) had an underlying chronic illness. Conclusions: The study demonstrated the important burden of respiratory viruses as a cause of SARI in hospitalized children in a tertiary Egyptian hospital. Cyanosis and underlying chronic illness were significantly associated with prolonged length of stay.</t>
  </si>
  <si>
    <t xml:space="preserve">[El Kholy, Amani A.; Soliman, May S.] Cairo Univ, Dept Clin &amp; Chem Pathol, Cairo, Egypt; [Mostafa, Nadia A.; Ali, Aliaa A.; El-Sherbini, Seham A.; Ismail, Reem I.; Magdy, Rania I.] Cairo Univ, Dept Pediat, Cairo, Egypt; [Said, Mayar M.] US Naval Med Res, Unit 3, Global Dis Detect &amp; Response Program, Mol Diagnost Sect, Cairo, Egypt</t>
  </si>
  <si>
    <t xml:space="preserve">Egyptian Knowledge Bank (EKB); Cairo University; Egyptian Knowledge Bank (EKB); Cairo University; Naval Medical Research Center (NMRC); Naval Medical Research Unit - No. 3 (NAMRU-3)</t>
  </si>
  <si>
    <t xml:space="preserve">Ali, AA (corresponding author), Cairo Univ, Children Hosp, Dept Pediat, 1 Ali Basha Ibrahim St,POB 11562, Cairo, Egypt.</t>
  </si>
  <si>
    <t xml:space="preserve">draliaaadel@yahoo.com</t>
  </si>
  <si>
    <t xml:space="preserve">Kholy, Amani/ABA-4759-2020</t>
  </si>
  <si>
    <t xml:space="preserve">Esmail, Reem/0000-0003-0348-5966; El Kholy, Amani/0000-0002-0645-7664</t>
  </si>
  <si>
    <t xml:space="preserve">U.S. Naval Medical Research Unit [3 (NAMRU-3)]</t>
  </si>
  <si>
    <t xml:space="preserve">U.S. Naval Medical Research Unit</t>
  </si>
  <si>
    <t xml:space="preserve">We acknowledge our surveillance team in Cairo University Hospitals who identified the cases and collected the specimens. We acknowledge the scientific support of Dr. Maha Talaat from NAMRU-3. Technical support for this activity was provided through cooperative agreements with NAMRU-3. This study was funded by the U.S. Naval Medical Research Unit No. 3 (NAMRU-3)</t>
  </si>
  <si>
    <t xml:space="preserve">10.3855/jidc.4682</t>
  </si>
  <si>
    <t xml:space="preserve">AR7XW</t>
  </si>
  <si>
    <t xml:space="preserve">gold, Green Submitted</t>
  </si>
  <si>
    <t xml:space="preserve">WOS:000343791200008</t>
  </si>
  <si>
    <t xml:space="preserve">Pourakbari, B; Mahmoudi, S; Movahedi, Z; Halimi, S; Momeni, S; Hosseinpour-Sadeghi, R; Mamishi, S</t>
  </si>
  <si>
    <t xml:space="preserve">Pourakbari, Babak; Mahmoudi, Shima; Movahedi, Zahra; Halimi, Shahnaz; Momeni, Shervin; Hosseinpour-Sadeghi, Reihaneh; Mamishi, Setareh</t>
  </si>
  <si>
    <t xml:space="preserve">Viral etiology of acute lower respiratory tract infections in hospitalized young children in a children's referral hospital in Iran</t>
  </si>
  <si>
    <t xml:space="preserve">TURKISH JOURNAL OF PEDIATRICS</t>
  </si>
  <si>
    <t xml:space="preserve">respiratory viruses; children; Iran</t>
  </si>
  <si>
    <t xml:space="preserve">SYNCYTIAL VIRUS; SURVEILLANCE; EPIDEMIOLOGY; INFLUENZA</t>
  </si>
  <si>
    <t xml:space="preserve">Viruses are considered major causes of acute respiratory tract infections among children under 5 years old. In this study we investigated the prevalence of three respiratory viruses-respiratory syncytial virus (RSV), influenza virus (INF) and adenovirus (ADV)-among hospitalized children with acute viral lower respiratory tract infections (LRTIs). Nasopharyngeal aspirates were collected from children under five who had been hospitalized for LRTIs. The clinical data, including demographic data (age and sex), vital symptoms and signs at admission, duration of fever, duration of hospitalization, chest X-ray findings and outcome were considered. All inpatient specimens were tested by reverse transcriptase-polymerase chain reaction (RT-PCR) for RSV and the INF-A, INF-B and parainfluenza viruses and by polymerase chain reaction (PCR) for ADV. Out of those from 232 patients, 58 (25%) specimens were positive for either RSV, INF or ADV. The most predominant pathogens were RSV (40 cases, 17.2%), followed by INF (10 cases, 4%; including 8 type A and 2 type B) and ADV (8 cases, 3.4%). A total of 32 (55.1%) viral cases were identified in the spring, followed by 19 (32.7%) in the autumn and 7 (12%) in the winter. There was no significant correlation between clinical symptoms and the individual virus detected. In our study, RSV and INF were the two most common causes of LRTIs. These data are helpful for guiding the development of further vaccines as well as the use of antiviral drugs. Further studies will be needed to investigate other respiratory viruses such as parainfluenza, human metapneumovirus and rhinovirus.</t>
  </si>
  <si>
    <t xml:space="preserve">[Pourakbari, Babak; Mahmoudi, Shima; Hosseinpour-Sadeghi, Reihaneh; Mamishi, Setareh] Univ Tehran Med Sci, Pediat Infect Dis Res Ctr, Tehran, Iran; [Movahedi, Zahra] Qom Univ Med Sci, Sch Med, Dept Infect Dis, Qom, Iran; [Halimi, Shahnaz] Univ Tehran Med Sci, Sch Med, Dept Microbiol, Tehran, Iran; [Mamishi, Setareh] Univ Tehran Med Sci, Sch Med, Dept Infect Dis, Tehran, Iran</t>
  </si>
  <si>
    <t xml:space="preserve">Tehran University of Medical Sciences; Tehran University of Medical Sciences; Tehran University of Medical Sciences</t>
  </si>
  <si>
    <t xml:space="preserve">Pourakbari, B (corresponding author), Univ Tehran Med Sci, Pediat Infect Dis Res Ctr, Tehran, Iran.</t>
  </si>
  <si>
    <t xml:space="preserve">smamishi@sina.tums.ac.ir</t>
  </si>
  <si>
    <t xml:space="preserve">Mahmoudi, Shima/AAL-5912-2020; halimi, shahnaz/ABE-4670-2020</t>
  </si>
  <si>
    <t xml:space="preserve">Mahmoudi, Shima/0000-0003-3557-6432; movahedi, zahra/0000-0002-5847-6111</t>
  </si>
  <si>
    <t xml:space="preserve">TURKISH J PEDIATRICS</t>
  </si>
  <si>
    <t xml:space="preserve">ANKARA</t>
  </si>
  <si>
    <t xml:space="preserve">P K 66 SAMANPAZARI, 06240 ANKARA, TURKEY</t>
  </si>
  <si>
    <t xml:space="preserve">0041-4301</t>
  </si>
  <si>
    <t xml:space="preserve">TURKISH J PEDIATR</t>
  </si>
  <si>
    <t xml:space="preserve">Turk. J. Pediatr.</t>
  </si>
  <si>
    <t xml:space="preserve">JUL-AUG</t>
  </si>
  <si>
    <t xml:space="preserve">CJ1OI</t>
  </si>
  <si>
    <t xml:space="preserve">WOS:000355252900003</t>
  </si>
  <si>
    <t xml:space="preserve">Özkaya, PY; Ari, HF; Ersayoglu, I; Çiçek, C; Karapinar, B</t>
  </si>
  <si>
    <t xml:space="preserve">Ozkaya, Pinar Yazici; Ari, Hatice Feray; Ersayoglu, Irem; Cicek, Candan; Karapinar, Bulent</t>
  </si>
  <si>
    <t xml:space="preserve">The Impact of Multiple Viral Infection in Children with Severe Lower Respiratory Tract Infections</t>
  </si>
  <si>
    <t xml:space="preserve">JOURNAL OF PEDIATRIC RESEARCH</t>
  </si>
  <si>
    <t xml:space="preserve">Respiratory viruses; children; co-infection; critical care; lower respiratory tract infections</t>
  </si>
  <si>
    <t xml:space="preserve">INTENSIVE-CARE; SYNCYTIAL VIRUS; HUMAN METAPNEUMOVIRUS; INFANTS; COINFECTION</t>
  </si>
  <si>
    <t xml:space="preserve">Aim: We aimed to compare the clinical features and outcomes between single and multiple viral pathogens in children with severe lower respiratory tract infections (LRTIs) in a pediatric intensive care unit (PICU). Materials and Methods: This study was conducted retrospectively in patients who were admitted to a PICU between March, 2018 and March, 2020. The subjects were divided into two groups, single viral infection and multiple viral infection. The epidemiologic characteristics, clinical features, disease severity and outcomes were compared between these single and multiple viral infection groups. Results: During this study period, positive polymerase chain reaction (PCR) tests were carried out on 136 (29%) children among the 468 children admitted to the PICU with the diagnosis of LRTI. Rhinovirus and Respiratory Syncytial Virus (RSV) were the most commonly identified viruses (44.1% and 35.2%, respectively). Two viruses were detected in thirty-nine (28.6%) of samples via PCR tests. Rhinovirus and RSV co-infection was the most common combination (10/39, 25.6%) in our cohort. The multiple viral infection group had higher PRISM scores than the single virus infection group (10 vs. 7, respectively, p=0.009). In the multiple viral infection group, the invasive ventilatory support rate (56.4% vs 36.1%, p=0.030) and the non-invasive ventilatory (NIV) support rate (43.5% vs 6.1%, p=0.018) were significantly higher than in the single viral infection group. Conclusion: Lower respiratory multi-viral infections are associated with increased invasive and NIV support requirements. Close monitoring in a unit where support can be provided is essential for those infants with multi-viral LRTIs.</t>
  </si>
  <si>
    <t xml:space="preserve">[Ozkaya, Pinar Yazici; Ari, Hatice Feray; Ersayoglu, Irem; Karapinar, Bulent] Ege Univ, Div Intens Care, Dept Pediat, Fac Med, Izmir, Turkey; [Cicek, Candan] Ege Univ, Dept Med Microbiol, Fac Med, Izmir, Turkey</t>
  </si>
  <si>
    <t xml:space="preserve">Ege University; Ege University</t>
  </si>
  <si>
    <t xml:space="preserve">Özkaya, PY (corresponding author), Ege Univ, Div Intens Care, Dept Pediat, Fac Med, Izmir, Turkey.</t>
  </si>
  <si>
    <t xml:space="preserve">dryazicipinar@gmail.com</t>
  </si>
  <si>
    <t xml:space="preserve">Yazıcı Özkaya, Pınar/GWQ-8519-2022; Arı, Hatice Feray/ABF-1811-2022; Çiçek, Candan/ABH-1161-2021</t>
  </si>
  <si>
    <t xml:space="preserve">Yazici Ozkaya, Pinar/0000-0002-1209-2534; Ari, Hatice Feray/0000-0002-2208-2524</t>
  </si>
  <si>
    <t xml:space="preserve">GALENOS PUBL HOUSE</t>
  </si>
  <si>
    <t xml:space="preserve">ISTANBUL</t>
  </si>
  <si>
    <t xml:space="preserve">Kacamak Sokak 21/1, ISTANBUL, Findikzade, TURKIYE</t>
  </si>
  <si>
    <t xml:space="preserve">2147-9445</t>
  </si>
  <si>
    <t xml:space="preserve">J PEDIATR RES</t>
  </si>
  <si>
    <t xml:space="preserve">J. Pediatr. Res.</t>
  </si>
  <si>
    <t xml:space="preserve">10.4274/jpr.galenos.2022.54289</t>
  </si>
  <si>
    <t xml:space="preserve">CI3A3</t>
  </si>
  <si>
    <t xml:space="preserve">WOS:001124572400001</t>
  </si>
  <si>
    <t xml:space="preserve">Piralla, A; Mariani, B; Rovida, F; Baldanti, F</t>
  </si>
  <si>
    <t xml:space="preserve">Piralla, Antonio; Mariani, Bianca; Rovida, Francesca; Baldanti, Fausto</t>
  </si>
  <si>
    <t xml:space="preserve">Frequency of respiratory viruses among patients admitted to 26 Intensive Care Units in seven consecutive winter-spring seasons (2009-2016) in Northern Italy</t>
  </si>
  <si>
    <t xml:space="preserve">respiratory viruses; CAP; lower respiratory tract infection; molecular diagnostic; respiratory infection</t>
  </si>
  <si>
    <t xml:space="preserve">COMMUNITY-ACQUIRED PNEUMONIA; VIRAL-INFECTION; ADULTS; TRACT; ETIOLOGY</t>
  </si>
  <si>
    <t xml:space="preserve">Background: The role of respiratory viruses in the etiology of community-acquired pneumonia (CAP) is still debated. The advent of molecular assays has improved the identification of viruses in patients with CAP and according to published studies, viruses account for 11-55% of adult CAP cases. Objectives and study design: In the present study, the frequency of respiratory viruses was evaluated in respiratory samples collected from 414 patients with CAP admitted to 26 ICUs in the Lombardy Region (10 million inhabitants) during seven winter-spring seasons (2009-2016). Results: In 226 (54.6%) patients one or more respiratory viruses were identified, while 188 (45.4%) patients were negative. A single virus infection was observed in 214/226 (94.7%) patients; while, in 12/226 (5.3%) at least two respiratory viruses were detected. Influenza A was the most common virus in 140/226 patients (61.9%) followed by rhinoviruses (33/226, 14.6%), respiratory syncytial virus (13/226, 5.8%), influenza B virus (9/226, 4.0%), human coronaviruses (9/226, 4.0%), cytomegalovirus (9/226, 4.0%) and human metapneumovirus (1/226, 0.4%). Conclusions: Viral infections are present in a consistent proportion of patients admitted to the ICU for CAP. Influenza A and rhinovirus accounted for three-quarters of all CAP in ICU patients. The use of lower respiratory instead of upper respiratory samples might be useful in the diagnosis of viral CAP.</t>
  </si>
  <si>
    <t xml:space="preserve">[Piralla, Antonio; Mariani, Bianca; Rovida, Francesca; Baldanti, Fausto] Fdn IRCCS Policlin San Matteo, Microbiol &amp; Virol Dept, Mol Virol Unit, Pavia, Italy; [Baldanti, Fausto] Univ Pavia, Dept Clin Surg Diagnost &amp; Pediat Sci, Pavia, Italy</t>
  </si>
  <si>
    <t xml:space="preserve">IRCCS Fondazione San Matteo; University of Pavia</t>
  </si>
  <si>
    <t xml:space="preserve">Baldanti, F (corresponding author), Univ Pavia, Dept Clin Surg Diagnost &amp; Pediat Sci, Pavia, Italy.</t>
  </si>
  <si>
    <t xml:space="preserve">f.baldanti@smatteo.pv.it</t>
  </si>
  <si>
    <t xml:space="preserve">Piralla, Antonio/K-4756-2018; Mariani, Bianca/J-6765-2018; Baldanti, Fausto/J-4924-2018; Rovida, Francesca/K-7984-2016</t>
  </si>
  <si>
    <t xml:space="preserve">Piralla, Antonio/0000-0002-6062-2579; Mariani, Bianca/0000-0002-1508-8776; Baldanti, Fausto/0000-0002-3358-8969; Rovida, Francesca/0000-0003-2345-2790</t>
  </si>
  <si>
    <t xml:space="preserve">Ministero della Salute, Fondazione IRCCS Policlinico San Matteo Ricerca Corrente [80622]</t>
  </si>
  <si>
    <t xml:space="preserve">Ministero della Salute, Fondazione IRCCS Policlinico San Matteo Ricerca Corrente(Ministry of Health, Italy)</t>
  </si>
  <si>
    <t xml:space="preserve">This work was supported by the Ministero della Salute, Fondazione IRCCS Policlinico San Matteo Ricerca Corrente grant 80622.</t>
  </si>
  <si>
    <t xml:space="preserve">10.1016/j.jcv.2017.05.004</t>
  </si>
  <si>
    <t xml:space="preserve">FA0FW</t>
  </si>
  <si>
    <t xml:space="preserve">WOS:000405107800010</t>
  </si>
  <si>
    <t xml:space="preserve">Müller, A; Klinkenberg, D; Vehreschild, J; Cornely, O; Tillmann, RL; Franzen, C; Simon, A; Schildgen, O</t>
  </si>
  <si>
    <t xml:space="preserve">Mueller, Andreas; Klinkenberg, Dennis; Vehreschild, Joerg; Cornely, Oliver; Tillmann, Ramona Liza; Franzen, Caspar; Simon, Arne; Schildgen, Oliver</t>
  </si>
  <si>
    <t xml:space="preserve">Low prevalence of human metapneumovirus and human bocavirus in adult immunocompromised high risk patients suspected to suffer from Pneumocystis pneumonia</t>
  </si>
  <si>
    <t xml:space="preserve">JOURNAL OF INFECTION</t>
  </si>
  <si>
    <t xml:space="preserve">Respiratory viruses; Atypical pneumonia; Pneumocystis pneumonia; Human bocavirus (HBoV); Human metapneumovirus (HMPV)</t>
  </si>
  <si>
    <t xml:space="preserve">RESPIRATORY-TRACT INFECTIONS; CELL TRANSPLANT RECIPIENTS; HOSPITALIZED CHILDREN; HUMAN CORONAVIRUS; DISEASE; HKU1</t>
  </si>
  <si>
    <t xml:space="preserve">Background: Novel respiratory viruses were discovered in the last years predominantly in children. Until now information on newly identified respiratory viruses in immunosuppressed adult patients is limited. Here we investigated immunocompromised adults with suspected Pneumocystis jirovecii pneumonia (PCP) for new respiratory viruses. Methods: Bronchoalveolar lavage (BAL) samples of 128 patients with atypical pneumonia (HIV-infected n = 50, hematological malignancy n = 51, immunosuppressive treatment n = 27) were prospectively evaluated for P. jirovecii and retrospectively for new respiratory viruses (HMPV, HBoV, HCoV-NL63/SARS/HKU1). Results: P. jirovecii was detected in 26/128, bacteria in 10, fungi in four, Influenza A in two patients. Novel respiratory viruses were found in only two/128 patients with hematological malignancy, of those one patient with HBoV-infection and one with HMPV-infection, respectively. No pathogens were detected in 82/128 patients. The one patient with detection of hMPV and clinical diagnosis of atypical pneumonia died of pulmonary failure. Conclusion: Human bocavirus and human metapneumovirus are rarely involved in atypical pneumonia in immunocompromised adult patients with suspected PCP, but may contribute to severe respiratory failure. (C) 2009 The British Infection Society. Published by Elsevier Ltd. All. rights reserved.</t>
  </si>
  <si>
    <t xml:space="preserve">[Mueller, Andreas; Simon, Arne] Univ Bonn, Dept Pediat, D-53105 Bonn, Germany; [Klinkenberg, Dennis; Tillmann, Ramona Liza; Schildgen, Oliver] Univ Bonn, Inst Med Microbiol Immunol &amp; Parasitol, D-53105 Bonn, Germany; [Vehreschild, Joerg; Cornely, Oliver] Univ Cologne, Dept Internal Med 1, Cologne, Germany; [Franzen, Caspar] Univ Regensburg, Dept Internal Med 1, Regensburg, Germany</t>
  </si>
  <si>
    <t xml:space="preserve">University of Bonn; University of Bonn; University of Cologne; University of Regensburg</t>
  </si>
  <si>
    <t xml:space="preserve">Müller, A (corresponding author), Univ Bonn, Dept Pediat, Sigmund Freud Str 25, D-53105 Bonn, Germany.</t>
  </si>
  <si>
    <t xml:space="preserve">a.mueller@ukb.uni-bonn.de; schildgen@virology-bonn.de</t>
  </si>
  <si>
    <t xml:space="preserve">Vehreschild, Jörg/KAM-4877-2024; Cornely, Oliver/J-5095-2013; Vehreschild, Jorg Janne/G-6764-2013; Schildgen, Oliver/D-5327-2014</t>
  </si>
  <si>
    <t xml:space="preserve">Cornely, Oliver/0000-0001-9599-3137; Vehreschild, Jorg Janne/0000-0002-5446-7170; Schildgen, Oliver/0000-0003-4297-9627</t>
  </si>
  <si>
    <t xml:space="preserve">European Commission [LSHM-CT-2006-037276]</t>
  </si>
  <si>
    <t xml:space="preserve">European Commission(European Union (EU)European Commission Joint Research Centre)</t>
  </si>
  <si>
    <t xml:space="preserve">This work was supported by a grant from the European Commission (LSHM-CT-2006-037276).</t>
  </si>
  <si>
    <t xml:space="preserve">0163-4453</t>
  </si>
  <si>
    <t xml:space="preserve">J INFECTION</t>
  </si>
  <si>
    <t xml:space="preserve">J. Infect.</t>
  </si>
  <si>
    <t xml:space="preserve">10.1016/j.jinf.2009.01.004</t>
  </si>
  <si>
    <t xml:space="preserve">429UJ</t>
  </si>
  <si>
    <t xml:space="preserve">WOS:000264945300008</t>
  </si>
  <si>
    <t xml:space="preserve">Mathisen, M; Basnet, S; Christensen, A; Sharma, AK; Tylden, G; Krokstad, S; Valentiner-Branth, P; Strand, TA</t>
  </si>
  <si>
    <t xml:space="preserve">Mathisen, Maria; Basnet, Sudha; Christensen, Andreas; Sharma, Arun K.; Tylden, Garth; Krokstad, Sidsel; Valentiner-Branth, Palle; Strand, Tor A.</t>
  </si>
  <si>
    <t xml:space="preserve">Viral and Atypical Bacterial Detection in Young Nepalese Children Hospitalized with Severe Pneumonia</t>
  </si>
  <si>
    <t xml:space="preserve">MICROBIOLOGY SPECTRUM</t>
  </si>
  <si>
    <t xml:space="preserve">respiratory viruses; atypical bacteria; lower respiratory tract infection; community-acquired pneumonia; PCR; children; low-income country; epidemiology</t>
  </si>
  <si>
    <t xml:space="preserve">COMMUNITY-ACQUIRED PNEUMONIA; RESPIRATORY-SYNCYTIAL-VIRUS; ENZYME HYBRIDIZATION ASSAY; HUMAN BOCAVIRUS 1; REAL-TIME PCR; REQUIRING HOSPITALIZATION; RHINOVIRUS INFECTIONS; GROUP-A; ETIOLOGY; TRACT</t>
  </si>
  <si>
    <t xml:space="preserve">Respiratory viruses cause a substantial proportion of respiratory tract infections in children but are underrecognized as a cause of severe pneumonia hospitalization in low-income settings. We employed 22 real-time PCR assays and retrospectively reanalyzed 610 nasopharyngeal aspirate specimens from children aged 2 to 35 months with severe pneumonia (WHO definition) admitted to Kanti Childrens' Hospital in Kathmandu, Nepal, from January 2006 through June 2008. Previously, &gt;= 1 of 7 viruses had been detected by multiplex reverse transcription-PCR in 30% (188/627) of cases. Reanalyzing the stored specimens, we detected &gt;= 1 pathogens, including 18 respiratory viruses and 3 atypical bacteria, in 98.7% (602/610) of cases. Rhinovirus (RV) and respiratory syncytial virus (RSV) were the most common, detected in 318 (52.1%) and 299 (49%) cases, respectively, followed by adenovirus (AdV) (10.6%), human metapneumovirus (hMPV) (9.7%), parainfluenza virus type 3 (8.4%), and enterovirus (7.7%). The remaining pathogens were each detected in less than 5%. Mycoplasma pneumoniae was most common among the atypical bacteria (3.7%). Codetections were observed in 53.3% of cases. Single-virus detection was more common for hMPV (46%) and RSV (41%) than for RV (22%) and AdV (6%). The mean cycle threshold value for detection of each pathogen tended to be lower in single-pathogen detections than in codetections. This finding was significant for RSV, RV, and AdV. RSV outbreaks occurred at the end of the monsoon or during winter. An expanded diagnostic PCR panel substantially increased the detection of respiratory viruses in young Nepalese children hospitalized with severe pneumonia. IMPORTANCE Respiratory viruses are an important cause of respiratory tract infections in children but are underrecognized as a cause of pneumonia hospitalization in low-income settings. Previously, we detected at least one of seven respiratory viruses by PCR in 30% of young Nepalese children hospitalized with severe pneumonia over a period of 36 months. Using updated PCR assays detecting 21 different viruses and atypical bacteria, we reanalyzed 610 stored upper-respiratory specimens from these children. Respiratory viruses were detected in nearly all children hospitalized for pneumonia. RSV and rhinovirus were the predominant pathogens detected. Detection of two or more pathogens was observed in more than 50% of the pneumonia cases. Single-virus detection was more common for human metapneumovirus and RSV than for rhinovirus and adenovirus. The concentration of virus was higher (low cycle threshold [C-T] value) for single detected pathogens, hinting at a high viral load as a marker of clinical significance.</t>
  </si>
  <si>
    <t xml:space="preserve">[Mathisen, Maria] Vestre Viken Hosp Trust, Drammen Hosp, Dept Med Microbiol, Drammen, Norway; [Basnet, Sudha; Sharma, Arun K.] Tribhuvan Univ, Inst Med, Dept Pediat, Kathmandu, Nepal; [Christensen, Andreas; Krokstad, Sidsel] Trondheim Reg &amp; Univ Hosp, St Olavs Hosp, Dept Med Microbiol, Trondheim, Norway; [Christensen, Andreas] Norwegian Univ Sci &amp; Technol, Dept Clin &amp; Mol Med, Trondheim, Norway; [Christensen, Andreas] Norwegian Inst Publ Hlth, Div Infect Dis Control, Oslo, Norway; [Tylden, Garth] Univ Hosp North Norway, Dept Microbiol &amp; Infect Control, Tromso, Norway; [Valentiner-Branth, Palle] Statens Serum Inst, Dept Infect Dis Epidemiol &amp; Prevent, Infect Dis Preparedness, Copenhagen, Denmark; [Strand, Tor A.] Innlandet Hosp Trust, Dept Res, Lillehammer, Norway</t>
  </si>
  <si>
    <t xml:space="preserve">Tribhuvan University; Institute of Medicine (IoM) - Nepal; Norwegian University of Science &amp; Technology (NTNU); Norwegian University of Science &amp; Technology (NTNU); Norwegian Institute of Public Health (NIPH); UiT The Arctic University of Tromso; University Hospital of North Norway; Statens Serum Institut; Innlandet Hospital Trust</t>
  </si>
  <si>
    <t xml:space="preserve">Strand, TA (corresponding author), Innlandet Hosp Trust, Dept Res, Lillehammer, Norway.</t>
  </si>
  <si>
    <t xml:space="preserve">tors@me.com</t>
  </si>
  <si>
    <t xml:space="preserve">Sharma, Arun/KAL-8089-2024; Strand, Tor/D-9836-2016</t>
  </si>
  <si>
    <t xml:space="preserve">European Commission (EU-INCODC) [INCO-FP6-003740]; Norwegian Research Council (RCN) [151054, 172226]; Meltzer Foundation in Bergen</t>
  </si>
  <si>
    <t xml:space="preserve">European Commission (EU-INCODC)(European Union (EU)European Commission Joint Research Centre); Norwegian Research Council (RCN)(Research Council of Norway); Meltzer Foundation in Bergen</t>
  </si>
  <si>
    <t xml:space="preserve">This study was primarily funded by a grant from the European Commission (EU-INCODC contract number INCO-FP6-003740). It also received grants from the Norwegian Research Council (RCN project numbers 151054 and 172226) and the Meltzer Foundation in Bergen.</t>
  </si>
  <si>
    <t xml:space="preserve">2165-0497</t>
  </si>
  <si>
    <t xml:space="preserve">MICROBIOL SPECTR</t>
  </si>
  <si>
    <t xml:space="preserve">Microbiol. Spectr.</t>
  </si>
  <si>
    <t xml:space="preserve">e00551-21</t>
  </si>
  <si>
    <t xml:space="preserve">10.1128/Spectrum.00551-21</t>
  </si>
  <si>
    <t xml:space="preserve">XM1XT</t>
  </si>
  <si>
    <t xml:space="preserve">WOS:000728629300070</t>
  </si>
  <si>
    <t xml:space="preserve">Goktas, S; Sirin, MC</t>
  </si>
  <si>
    <t xml:space="preserve">Goktas, Safak; Sirin, Mumtaz Cem</t>
  </si>
  <si>
    <t xml:space="preserve">Prevalence and Seasonal Distribution of Respiratory Viruses During the 2014-2015 Season in Istanbul</t>
  </si>
  <si>
    <t xml:space="preserve">Respiratory Viruses; Acute Respiratory Tract Infection; Multiplex PCR</t>
  </si>
  <si>
    <t xml:space="preserve">COMMUNITY-ACQUIRED PNEUMONIA; TRACT INFECTIONS; VIRAL EPIDEMIOLOGY; CHILDREN; SURVEILLANCE; RESPIFINDER; SEVERITY; ADULTS; PCR</t>
  </si>
  <si>
    <t xml:space="preserve">Background: Acute respiratory tract infection (ARTI) is one of the most common infections worldwide, causing significant morbidity and mortality. Objectives: This study was conducted to determine the prevalence and seasonal distribution of respiratory viruses in our region, in children and adults with a pre-diagnosis of ARTI. Methods: A total of 845 nasopharyngeal swab specimens were analyzed with the RespiFinder Smart 22 kit (PathoFinder BV, Netherlands) and the Rotor-Gene 6000 real-time PCR system. Results: At least one pathogen was detected in 612 (72.4%) of the specimens. Overall, 902 pathogens were detected; 821 (91%) were viruses and 81 (9%) were bacteria. The most commonly detected pathogens were influenza A virus (IFV-A) (n = 219), influenza B virus (IFV-B) (n= 157), rhinovirus/enterovirus (n = 107), human bocavirus (HBoV) (n = 91), respiratory syncytial virus (RSV) A/B (n = 64), adenovirus (n = 56), human coronaviruses (n = 51), Mycoplasma pneumoniae (n = 49), parainfluenza viruses (n = 40), human metapneumovirus (n = 36), Bordetella pertussis (n = 15), Legionella pneumophila (n = 11), and Chlamydophila pneumoniae (n = 6), respectively. Among the 215 (25.4%) co-infected cases, IFV-A/HBoV and IFV-A/IFV-B were the most common co-infections. IFV-A was the most prevalent agent in all age groups except for children under 5 years of age, in whom RSV A/B was the most common pathogen. Approximately two thirds of the respiratory viruses were detected in early spring and winter, with peaks in January, March, and April. Conclusions: With regard to the prevalence and seasonal distribution of respiratory viruses, our epidemiological data for the 2014-2015 season in Istanbul showed a predominance of IFV-A infections with a peak activity in early spring. Enhanced surveillance and early detection of respiratory viral pathogens can be useful in the diagnosis, treatment, and prevention of ARTIs, and for guiding the development of appropriate public health strategies.</t>
  </si>
  <si>
    <t xml:space="preserve">[Goktas, Safak] Dept Infect Dis &amp; Clin Microbiol, Gelisim Med Labs, Istanbul, Turkey; [Sirin, Mumtaz Cem] Izmir Tepecik Training &amp; Res Hosp, Dept Med Microbiol, Izmir, Turkey</t>
  </si>
  <si>
    <t xml:space="preserve">Izmir Tepecik Training &amp; Research Hospital</t>
  </si>
  <si>
    <t xml:space="preserve">Sirin, MC (corresponding author), Izmir Tepecik Training &amp; Res Hosp, Dept Med Microbiol, Izmir, Turkey.</t>
  </si>
  <si>
    <t xml:space="preserve">drmcemsirin@yahoo.com</t>
  </si>
  <si>
    <t xml:space="preserve">Sirin, Mumtaz Cem/ABV-4590-2022</t>
  </si>
  <si>
    <t xml:space="preserve">Sirin, Mumtaz Cem/0000-0002-7349-3438</t>
  </si>
  <si>
    <t xml:space="preserve">e39132</t>
  </si>
  <si>
    <t xml:space="preserve">10.5812/jjm.39132</t>
  </si>
  <si>
    <t xml:space="preserve">DZ2DD</t>
  </si>
  <si>
    <t xml:space="preserve">Green Published, Green Submitted</t>
  </si>
  <si>
    <t xml:space="preserve">WOS:000385651600011</t>
  </si>
  <si>
    <t xml:space="preserve">Zhu, RN; Song, QW; Qian, Y; Zhao, LQ; Deng, J; Wang, F; Sun, Y</t>
  </si>
  <si>
    <t xml:space="preserve">Zhu Runan; Song Qinwei; Qian Yuan; Zhao Linqing; Deng Jie; Wang Fang; Sun Yu</t>
  </si>
  <si>
    <t xml:space="preserve">Virus profile in children with acute respiratory infections with various severities in Beijing, China</t>
  </si>
  <si>
    <t xml:space="preserve">CHINESE MEDICAL JOURNAL</t>
  </si>
  <si>
    <t xml:space="preserve">respiratory viruses; acute respiratory infections; co-infection; children; xTAG Respiratory Viral Panel Fast assay</t>
  </si>
  <si>
    <t xml:space="preserve">COMMUNITY-ACQUIRED PNEUMONIA; REAL-TIME PCR; TRACT INFECTIONS; MULTIPLEX PCR; RHINOVIRUS INFECTIONS; ASSAY; CORONAVIRUS; BOCAVIRUS; INFANTS; DISEASE</t>
  </si>
  <si>
    <t xml:space="preserve">Background Acute respiratory infection (ARI) is one of the most common infectious diseases in infants and young children globally. This study aimed to determine the virus profile in children with ARI presenting with different severities. Methods Clinical specimens collected from children with ARI in Beijing from September 2010 to March 2011 were investigated for 18 respiratory viruses using an xTAG Respiratory Viral Panel Fast (RVP Fast) assay. The Pearson chi-square analysis was used to identify statistical significance. Results Of 270 cases from three groups of ARI patients, including Out-patients, In-patients and patients in the intensive care unit (ICU), viruses were detected in 176 (65.2%) specimens with the RVP Fast assay. The viral detection rate from the Out-patients group (50.0%) was significantly lower than that from the In-patients (71.1%) and ICU-patients (74.4%) groups. The virus distribution was different between the Out-patients group and the other hospitalized groups, while the virus detection rate and distribution characteristics were similar between the In-patients and ICU-patients groups. The co-infection rates of the Out-patients group, the In-patients group, and the ICU-patients group were 15.6%, 50.0% and 35.8%, respectively. In addition to respiratory syncytial virus (RSV) and adenovirus (ADV), human rhinovirus (HRV) was frequently detected from children with serious illnesses, followed by human metapneumovirus (hMPV), human bocavirus (HBoV) and coronaviruses. Parainfluenza virus 3 (PIV3) was detected in children with lower respiratory illness, but rarely from those with serious illnesses in the ICU-patient group. Conclusion In addition to so-called common respiratory viruses, virus detection in children with ARI should include those thought to be uncommon respiratory viruses, especially when there are severe ARI-related clinical illnesses.</t>
  </si>
  <si>
    <t xml:space="preserve">[Zhu Runan; Song Qinwei; Qian Yuan; Zhao Linqing; Deng Jie; Wang Fang; Sun Yu] Capital Inst Pediat, Virol Lab, Beijing 100020, Peoples R China</t>
  </si>
  <si>
    <t xml:space="preserve">Capital Institute of Pediatrics (CIP)</t>
  </si>
  <si>
    <t xml:space="preserve">Qian, Y (corresponding author), Capital Inst Pediat, Virol Lab, Beijing 100020, Peoples R China.</t>
  </si>
  <si>
    <t xml:space="preserve">yqianbjc@263.net</t>
  </si>
  <si>
    <t xml:space="preserve">Deng, Jie/F-2413-2017; wang, fang/GYD-4295-2022</t>
  </si>
  <si>
    <t xml:space="preserve">National Natural Science Foundation of China [30872153]; Beijing Municipal Science &amp; Technology Commission [Z111107056811041]</t>
  </si>
  <si>
    <t xml:space="preserve">National Natural Science Foundation of China(National Natural Science Foundation of China (NSFC)); Beijing Municipal Science &amp; Technology Commission(Beijing Municipal Science &amp; Technology Commission)</t>
  </si>
  <si>
    <t xml:space="preserve">This work was supported by grants from the National Natural Science Foundation of China (No. 30872153) and the Beijing Municipal Science &amp; Technology Commission (No. Z111107056811041).</t>
  </si>
  <si>
    <t xml:space="preserve">CHINESE MEDICAL ASSOC</t>
  </si>
  <si>
    <t xml:space="preserve">BEIJING</t>
  </si>
  <si>
    <t xml:space="preserve">42 DONGSI XIDAJIE, BEIJING 100710, PEOPLES R CHINA</t>
  </si>
  <si>
    <t xml:space="preserve">0366-6999</t>
  </si>
  <si>
    <t xml:space="preserve">CHINESE MED J-PEKING</t>
  </si>
  <si>
    <t xml:space="preserve">Chin. Med. J.</t>
  </si>
  <si>
    <t xml:space="preserve">NOV 5</t>
  </si>
  <si>
    <t xml:space="preserve">10.3760/cma.j.issn.0366-6999.20141556</t>
  </si>
  <si>
    <t xml:space="preserve">AW5QN</t>
  </si>
  <si>
    <t xml:space="preserve">WOS:000346329300006</t>
  </si>
  <si>
    <t xml:space="preserve">Fagbo, SF; Garbati, MA; Hasan, R; AlShahrani, D; Al-Shehri, M; AlFawaz, T; Hakawi, A; Wani, TA; Skakni, L</t>
  </si>
  <si>
    <t xml:space="preserve">Fagbo, Shamsudeen F.; Garbati, Musa A.; Hasan, Rami; AlShahrani, Dayel; Al-Shehri, Mohamed; AlFawaz, Tariq; Hakawi, Ahmed; Wani, Tariq Ahmad; Skakni, Leila</t>
  </si>
  <si>
    <t xml:space="preserve">Acute viral respiratory infections among children in MERS-endemic Riyadh, Saudi Arabia, 2012-2013</t>
  </si>
  <si>
    <t xml:space="preserve">respiratory viruses; acute respiratory illness; multiplex molecular testing platform; pediatrics; MERS-CoV; season</t>
  </si>
  <si>
    <t xml:space="preserve">SYNCYTIAL VIRUS-INFECTION; REVERSE TRANSCRIPTION-PCR; PRESCHOOL-AGED CHILDREN; TERTIARY CARE CENTER; TRACT INFECTIONS; MOLECULAR EPIDEMIOLOGY; HUMAN METAPNEUMOVIRUS; YOUNG-CHILDREN; HAJJ PILGRIMS; DIAGNOSIS</t>
  </si>
  <si>
    <t xml:space="preserve">The emergence of the Middle East Respiratory Syndrome (MERS) in Saudi Arabia has intensified focus on Acute Respiratory Infections [ARIs]. This study sought to identify respiratory viruses (RVs) associated with ARIs in children presenting at a tertiary hospital. Children (aged 13) presenting with ARI between January 2012 and December 2013 tested for 15 RVs using the Seeplex(R) RV15 kit were retrospectively included. Epidemiological data was retrieved from patient records. Of the 2235 children tested, 61.5% were 1 year with a male: female ratio of 3:2. Viruses were detected in 1364 (61.02%) children, 233 (10.4%) having dual infections: these viruses include respiratory syncytial virus (RSV) (24%), human rhinovirus (hRV) (19.7%), adenovirus (5.7%), influenza virus (5.3%), and parainfluenzavirus-3 (4.6%). Children, aged 9-11 months, were most infected (60.9%). Lower respiratory tract infections (55.4%) were significantly more than upper respiratory tract infection (45.3%) (P&lt;0.001). Seasonal variation of RV was directly and inversely proportional to relative humidity and temperature, respectively, for non MERS coronaviruses (NL63, 229E, and OC43). The study confirms community-acquired RV associated with ARI in children and suggests modulating roles for abiotic factors in RV epidemiology. However, community-based studies are needed to elucidate how these factors locally influence RV epidemiology. J. Med. Virol. 89:195-201, 2017. (c) 2016 Wiley Periodicals, Inc.</t>
  </si>
  <si>
    <t xml:space="preserve">[Fagbo, Shamsudeen F.; Garbati, Musa A.; Hasan, Rami; AlShahrani, Dayel; Al-Shehri, Mohamed; AlFawaz, Tariq; Hakawi, Ahmed; Wani, Tariq Ahmad; Skakni, Leila] King Fahad Med City, Riyadh, Saudi Arabia</t>
  </si>
  <si>
    <t xml:space="preserve">Skakni, L (corresponding author), King Fahad Med City, Mol Microbiol Lab, POB 59046, Riyadh 11525, Saudi Arabia.</t>
  </si>
  <si>
    <t xml:space="preserve">lskakni@kfmc.med.sa</t>
  </si>
  <si>
    <t xml:space="preserve">Fagbo, Shamsudeen/GYE-1971-2022</t>
  </si>
  <si>
    <t xml:space="preserve">Garbati, Musa Abubakar/0000-0003-3438-421X; Fagbo, Shamsudeen/0000-0003-3448-6136</t>
  </si>
  <si>
    <t xml:space="preserve">WILEY-BLACKWELL</t>
  </si>
  <si>
    <t xml:space="preserve">10.1002/jmv.24632</t>
  </si>
  <si>
    <t xml:space="preserve">EE1BX</t>
  </si>
  <si>
    <t xml:space="preserve">WOS:000389316800002</t>
  </si>
  <si>
    <t xml:space="preserve">Marinelli, T; Wee, LA; Rowe, E; Chhetri, R; Friel, O; Higgins, G; Bardy, P; Singhal, D; Pradhan, A; Crawford, L; Hiwase, DK</t>
  </si>
  <si>
    <t xml:space="preserve">Marinelli, Tina; Wee, Li Yan A.; Rowe, Emily; Chhetri, Rakchha; Friel, Oisin; Higgins, Geoffrey; Bardy, Peter; Singhal, Deepak; Pradhan, Alyssa; Crawford, Lucy; Hiwase, Devendra K.</t>
  </si>
  <si>
    <t xml:space="preserve">Respiratory Viruses Cause Late Morbidity in Recipients of Hematopoietic Stem Cell Transplantation</t>
  </si>
  <si>
    <t xml:space="preserve">Respiratory virus; Stem cell transplant</t>
  </si>
  <si>
    <t xml:space="preserve">SYNCYTIAL VIRUS; PARAINFLUENZA VIRUS; VIRAL-INFECTIONS; TRACT INFECTIONS; INFLUENZA VACCINATION; IMMUNE RECONSTITUTION; HUMAN METAPNEUMOVIRUS; EPIDEMIOLOGY; ADENOVIRUS; MORTALITY</t>
  </si>
  <si>
    <t xml:space="preserve">Common respiratory viral infections (CRVIs) frequently complicate hematopoietic stem cell transplantation (HSCT). We conducted a retrospective, single-center, observational cohort study to determine the incidence of CRVI in patients who received an allogeneic (allo) or autologous (auto) HSCT at the Royal Adelaide Hospital between 2009 and 2017. The median follow-up was 8.9 and 4.5 years for auto- and allo-HSCT recipients, respectively. There were 149 CRVI episodes in 74 patients, with rhinovirus being the most commonly isolated virus (n = 81, 47%). The majority of CRVIs (113/149, 75.8%) occurred more than 100 days post-HSCT and 67% were diagnosed in the outpatient setting. There was evidence of lower respiratory tract infection (LRTI) in 45.6% (68/149) of CRVIs. On multivariate logistic regression analysis, coviral infections and cytomegalovirus viremia were independent risk factors for progression of CRVI to LRTI. Ten (6.7%) CRVI episodes resulted in admission to intensive care for ventilatory support and 8 (5.4%) patients died within 30 days of CRVI diagnosis. In our study, 10.4% of HSCT recipients experienced a CRVI post-transplant, primarily causing late morbidity and potentially mortality. Prevention with strict infection control practices, vaccination, and patient education is essential. Crown Copyright (C) 2019 Published by Elsevier Inc. on behalf of the American Society for Transplantation and Cellular Therapy. All rights reserved.</t>
  </si>
  <si>
    <t xml:space="preserve">[Marinelli, Tina; Rowe, Emily; Higgins, Geoffrey; Pradhan, Alyssa] Royal Adelaide Hosp, Dept Infect Dis, Cent Adelaide Local Hlth Network, Adelaide, SA, Australia; [Wee, Li Yan A.; Chhetri, Rakchha; Friel, Oisin; Bardy, Peter; Singhal, Deepak; Hiwase, Devendra K.] Royal Adelaide Hosp, Dept Haematol, Cent Adelaide Local Hlth Network, Adelaide, SA, Australia; [Wee, Li Yan A.; Chhetri, Rakchha; Singhal, Deepak; Hiwase, Devendra K.] South Australian Hlth &amp; Med Res Inst, Precis Med Theme, Adelaide, SA, Australia; [Rowe, Emily; Chhetri, Rakchha; Bardy, Peter; Singhal, Deepak; Crawford, Lucy; Hiwase, Devendra K.] Univ Adelaide, Adelaide Med Sch, Discipline Med, Adelaide, SA, Australia; [Higgins, Geoffrey; Crawford, Lucy] Cent Adelaide Local Hlth Network, SA Pathol, Adelaide, SA, Australia</t>
  </si>
  <si>
    <t xml:space="preserve">Royal Adelaide Hospital; Royal Adelaide Hospital; South Australian Health &amp; Medical Research Institute (SAHMRI); University of Adelaide; SA Pathology</t>
  </si>
  <si>
    <t xml:space="preserve">Hiwase, DK (corresponding author), Royal Adelaide Hosp, Dept Haematol, Port Rd, Adelaide, SA 5000, Australia.</t>
  </si>
  <si>
    <t xml:space="preserve">Devendra.hiwase@sa.gov.au</t>
  </si>
  <si>
    <t xml:space="preserve">Singhal, Deepak/0000-0002-2024-2969</t>
  </si>
  <si>
    <t xml:space="preserve">10.1016/j.bbmt.2019.12.724</t>
  </si>
  <si>
    <t xml:space="preserve">LJ3TY</t>
  </si>
  <si>
    <t xml:space="preserve">WOS:000530091800025</t>
  </si>
  <si>
    <t xml:space="preserve">Cai, XY; Wang, Q; Lin, GY; Cai, ZW; Lin, CX; Chen, PZ; Zhou, XH; Xie, JC; Lu, XD</t>
  </si>
  <si>
    <t xml:space="preserve">Cai, Xiao-Ying; Wang, Qiong; Lin, Guang-Yu; Cai, Zhi-Wei; Lin, Chuang-Xing; Chen, Pai-Zhen; Zhou, Xiao-Hua; Xie, Jin-Chun; Lu, Xue-Dong</t>
  </si>
  <si>
    <t xml:space="preserve">Respiratory virus infections among children in South China</t>
  </si>
  <si>
    <t xml:space="preserve">respiratory virus; South China; children</t>
  </si>
  <si>
    <t xml:space="preserve">SYNCYTIAL-VIRUS; HUMAN BOCAVIRUS; TRACT INFECTIONS; HOSPITALIZED CHILDREN; MOLECULAR EPIDEMIOLOGY; DISEASE SEVERITY; MULTIPLEX PCR; HEALTH; WU; COINFECTIONS</t>
  </si>
  <si>
    <t xml:space="preserve">Acute respiratory tract infection is an important cause of morbidity and mortality with a worldwide disease burden. This study aimed to determine the prevalence and clinical characteristics of children with viral-induced acute respiratory tract infection, in Southern China. Nasopharyngeal aspirate samples from 1,980 pediatric patients with suspected acute respiratory tract infection, and 82 samples from healthy subject controls were collected for routine examination at the Second Affiliated Hospital of Shantou University Medical College, from October 2007 to August 2011. Specimens were tested by multiplex polymerase chain reaction (mPCR). At least one or more viruses were detected from 1,087 samples (54.9%). These included laboratory confirmations for 446 respiratory syncytial virus (RSV), 386 influenza virus A (FluA), 315 human rhinovirus (HRV), 135 human bocavirus (HBoV), 119 Parainfluenza virus 3 (PIV3), 82 Parainfluenza virus 1 (PIV1), 66 adenovirus (ADV), 53 WU polyomavirus (WUPyV), 52 human metapneumovirus (hMPV), and 29 influenza virus B (FluB) samples. Samples from healthy subjects were negative for any virus. Of the patients with positive specimens, 107 (9.8%) were admitted to pediatric intensive care unit (PICU). Co-infection with at least two of the viral pathogens under study was observed in 325 of the 1,980 patients (16.4% of the total number of cases). These findings may help in the diagnosis of viral infections of the respiratory tract in children, and help to consider current and potential therapeutic approaches for the treatment of acute respiratory tract infection, and further respiratory complications. J. Med. Virol. 86:1249-1255, 2014. (c) 2014 Wiley Periodicals, Inc.</t>
  </si>
  <si>
    <t xml:space="preserve">[Cai, Xiao-Ying; Lin, Guang-Yu; Lin, Chuang-Xing; Chen, Pai-Zhen; Zhou, Xiao-Hua; Xie, Jin-Chun] Shantou Univ, Dept Pediat, Coll Med, Affiliated Hosp 2, Shantou 515041, Guangdong, Peoples R China; [Wang, Qiong; Lu, Xue-Dong] Guangdong Med Coll, Dept Clin Lab Med, Futian Hosp, Shenzhen, Guangdong, Peoples R China; [Cai, Zhi-Wei] Shantou Univ, Dept Transforming Med Ctr, Coll Med, Affiliated Hosp 2, Shantou, Peoples R China</t>
  </si>
  <si>
    <t xml:space="preserve">Shantou University; Guangdong Medical University; Shantou University</t>
  </si>
  <si>
    <t xml:space="preserve">Lin, GY (corresponding author), Shantou Univ, Dept Pediat, Coll Med, Affiliated Hosp 2, Shantou 515041, Guangdong, Peoples R China.</t>
  </si>
  <si>
    <t xml:space="preserve">du0077@21cn.com</t>
  </si>
  <si>
    <t xml:space="preserve">10.1002/jmv.23931</t>
  </si>
  <si>
    <t xml:space="preserve">AG1SB</t>
  </si>
  <si>
    <t xml:space="preserve">WOS:000335195300023</t>
  </si>
  <si>
    <t xml:space="preserve">Paulsen, GC; Danziger-Lsakov, L</t>
  </si>
  <si>
    <t xml:space="preserve">Paulsen, Grant C.; Danziger-Lsakov, Lara</t>
  </si>
  <si>
    <t xml:space="preserve">Respiratory Viral Infections in Solid Organ and Hematopoietic Stem Cell Transplantation</t>
  </si>
  <si>
    <t xml:space="preserve">Respiratory virus; Solid organ transplant; Hematopoietic stem cell transplant</t>
  </si>
  <si>
    <t xml:space="preserve">SYNCYTIAL VIRUS-INFECTION; HERPES-SIMPLEX-VIRUS; BRONCHIOLITIS OBLITERANS SYNDROME; INACTIVATED INFLUENZA VACCINE; VARICELLA-ZOSTER-VIRUS; HUMAN METAPNEUMOVIRUS INFECTIONS; DISEASES WORKING PARTY; ADENOVIRUS INFECTION; CYTOMEGALOVIRUS DISEASE; DOUBLE-BLIND</t>
  </si>
  <si>
    <t xml:space="preserve">Respiratory viruses are common in solid organ and hematopoietic stem cell transplant recipients and a recognized cause of significant morbidity and mortality. Epidemiology, risk factors, and attributable mortality in both populations are reviewed. In addition, virus-specific prevention and treatment options, including emerging investigational therapies, are discussed for respiratory syncytial virus, influenza, adenovirus, parainfluenza, and other respiratory viruses.</t>
  </si>
  <si>
    <t xml:space="preserve">[Paulsen, Grant C.; Danziger-Lsakov, Lara] Cincinnati Childrens Hosp Med Ctr, Div Infect Dis, 58-216 MLC 7017,3333 Burnet Ave, Cincinnati, OH 45229 USA</t>
  </si>
  <si>
    <t xml:space="preserve">University System of Ohio; University of Cincinnati; Cincinnati Children's Hospital Medical Center</t>
  </si>
  <si>
    <t xml:space="preserve">Paulsen, GC (corresponding author), Cincinnati Childrens Hosp Med Ctr, Div Infect Dis, 58-216 MLC 7017,3333 Burnet Ave, Cincinnati, OH 45229 USA.</t>
  </si>
  <si>
    <t xml:space="preserve">Grant.paulsen@cchmc.org</t>
  </si>
  <si>
    <t xml:space="preserve">10.1016/j.ccm.2017.07.012</t>
  </si>
  <si>
    <t xml:space="preserve">FP6XX</t>
  </si>
  <si>
    <t xml:space="preserve">WOS:000417772000011</t>
  </si>
  <si>
    <t xml:space="preserve">Lee, JS; Ahn, JJ; Kim, SJ; Yu, SY; Koh, EJ; Kim, SH; Sung, HS; Huh, JW; Hwang, SY</t>
  </si>
  <si>
    <t xml:space="preserve">Lee, Ji Su; Ahn, Jeong Jin; Kim, Seung Jun; Yu, So Yeon; Koh, Eun Jung; Kim, Seung Hwan; Sung, Heung Sup; Huh, Jin Won; Hwang, Seung Yong</t>
  </si>
  <si>
    <t xml:space="preserve">POCT Detection of 14 Respiratory Viruses Using Multiplex RT-PCR</t>
  </si>
  <si>
    <t xml:space="preserve">BIOCHIP JOURNAL</t>
  </si>
  <si>
    <t xml:space="preserve">Respiratory virus; RT-PCR; Point-of-care; Molecular diagnosis; SARS-CoV-2</t>
  </si>
  <si>
    <t xml:space="preserve">SEQUENCE-ANALYSIS; INFECTIONS; GENE</t>
  </si>
  <si>
    <t xml:space="preserve">Over the past 6 years, acute respiratory infections have constituted an average of more than 70,000 cases in South Korea. It results in a high mortality rate in infants and the elderly with weak immunity. There are several types of respiratory viruses that invade the human respiratory tract and cause infectious disease. Reverse transcription PCR (RT-PCR) is mainly used for respiratory virus detection owing to its high sensitivity and reproducibility. In response, a multiplex real-time RT-PCR (rRT-PCR) assay was developed for the detection of influenza A and B viruses, parainfluenza viruses 1-4 (PIV1-4), human metapneumovirus, adenovirus, human rhinovirus, respiratory syncytial virus (RSV), and SARS-CoV-2. Detection ability of RT-PCR assay was confirmed by applying it to a portable device capable of point-of-care testing (POCT). Amplicons were synthesized using primer pairs and probe sets designed for each target virus, and a standard curve was constructed to confirm the limit of detection. An experiment using nasopharyngeal swab samples was conducted to understand the field applicability of the rRT-PCR assay. Detection was confirmed in most samples. This study demonstrated that rapid and accurate detection results can be obtained using the multiplex rRT-PCR based POC test, and that it is possible to detect 14 types of respiratory viruses that are generally difficult to distinguish at the same time, enabling timely treatment. Furthermore, we expect that the portable PCR device can significantly reduce the processing procedure of clinical samples before testing, which is the main disadvantage of common RT-PCR tests and can help reduce costs.</t>
  </si>
  <si>
    <t xml:space="preserve">[Lee, Ji Su; Yu, So Yeon; Hwang, Seung Yong] Hanyang Univ, Dept Mol &amp; Life Sci, 55 Hanyangdeahak Ro, Ansan 15588, Gyeonggi Do, South Korea; [Ahn, Jeong Jin; Kim, Seung Jun] GeneTrigger, 20,Magokjungang 5 Ro 1 Gil, Seoul, South Korea; [Koh, Eun Jung; Kim, Seung Hwan] Hanyang Univ, Dept Bionanotechnol, 55 Hanyangdeahak Ro, Ansan 15588, Gyeonggi Do, South Korea; [Sung, Heung Sup] Univ Ulsan, Coll Med, Asan Med Ctr, Dept Lab Med, Seoul, South Korea; [Huh, Jin Won] Univ Ulsan, Asan Med Ctr, Coll Med, Dept Pulm &amp; Crit Care Med, Seoul, South Korea</t>
  </si>
  <si>
    <t xml:space="preserve">Hanyang University; Hanyang University; University of Ulsan; Asan Medical Center; University of Ulsan; Asan Medical Center</t>
  </si>
  <si>
    <t xml:space="preserve">Hwang, SY (corresponding author), Hanyang Univ, Dept Mol &amp; Life Sci, 55 Hanyangdeahak Ro, Ansan 15588, Gyeonggi Do, South Korea.</t>
  </si>
  <si>
    <t xml:space="preserve">syhwang@hanyang.ac.kr</t>
  </si>
  <si>
    <t xml:space="preserve">Hwang, Seung Yong/0000-0002-9046-8496</t>
  </si>
  <si>
    <t xml:space="preserve">Korea Health Industry Development Institute (KHIDI) through the Infectious Disease Prevention and Treatment Technology Development Program - Ministry of Health and Welfare (MOHW) [HI20C0061]</t>
  </si>
  <si>
    <t xml:space="preserve">Korea Health Industry Development Institute (KHIDI) through the Infectious Disease Prevention and Treatment Technology Development Program - Ministry of Health and Welfare (MOHW)</t>
  </si>
  <si>
    <t xml:space="preserve">This work was supported by the Korea Health Industry Development Institute (KHIDI) through the Infectious Disease Prevention and Treatment Technology Development Program, funded by the Ministry of Health and Welfare (MOHW) (HI20C0061).</t>
  </si>
  <si>
    <t xml:space="preserve">KOREAN BIOCHIP SOCIETY-KBCS</t>
  </si>
  <si>
    <t xml:space="preserve">KOREA SCI &amp; TECHNOL CENT, #310, 635-4, YEOGSAM-DONG, KANGNAM-GU, SEOUL, 135-703, SOUTH KOREA</t>
  </si>
  <si>
    <t xml:space="preserve">1976-0280</t>
  </si>
  <si>
    <t xml:space="preserve">2092-7843</t>
  </si>
  <si>
    <t xml:space="preserve">BIOCHIP J</t>
  </si>
  <si>
    <t xml:space="preserve">BioChip J.</t>
  </si>
  <si>
    <t xml:space="preserve">10.1007/s13206-021-00037-w</t>
  </si>
  <si>
    <t xml:space="preserve">NOV 2021</t>
  </si>
  <si>
    <t xml:space="preserve">Biochemical Research Methods; Chemistry, Analytical; Nanoscience &amp; Nanotechnology</t>
  </si>
  <si>
    <t xml:space="preserve">Biochemistry &amp; Molecular Biology; Chemistry; Science &amp; Technology - Other Topics</t>
  </si>
  <si>
    <t xml:space="preserve">XQ0YC</t>
  </si>
  <si>
    <t xml:space="preserve">WOS:000714326900002</t>
  </si>
  <si>
    <t xml:space="preserve">Lassaunière, R; Kresfelder, T; Venter, M</t>
  </si>
  <si>
    <t xml:space="preserve">Lassauniere, R.; Kresfelder, T.; Venter, M.</t>
  </si>
  <si>
    <t xml:space="preserve">A novel multiplex real-time RT-PCR assay with FRET hybridization probes for the detection and quantitation of 13 respiratory viruses</t>
  </si>
  <si>
    <t xml:space="preserve">Respiratory virus; Quantitation; Real-time RT-PCR; Co-infection</t>
  </si>
  <si>
    <t xml:space="preserve">INFLUENZA-B VIRUSES; SYNCYTIAL-VIRUS; TRACT INFECTIONS; HUMAN BOCAVIRUS; DISEASE SEVERITY; SENSITIVE METHOD; RAPID DIAGNOSIS; CHILDREN; CORONAVIRUS; PNEUMONIA</t>
  </si>
  <si>
    <t xml:space="preserve">Quantitative multiplex real-time RT-PCR assays utilizing fluorescence resonance energy transfer (FRET) hybridization probes were developed for the detection of 13 respiratory viruses, including well recognized viral causes (respiratory syncytial virus, influenza viruses A and B, parainfluenza viruses types 1, 2, and 3, adenovirus) as well as viruses described recently as causes of acute respiratory tract infections (human coronaviruses NL63, HKU1, 229E, and OC43, human bocavirus, and human metapneumovirus). FRET probes have an improved toleration for single base mismatches than other probe chemistries, reducing the chances of missing highly variable RNA viruses. The assay could detect 2.5-25 DNA/RNA copies/mu l (2.5 x 10(3)-2.5 x 10(4) copies/ml). Validation on 91 known positive respiratory specimens indicated similar specificity as commercial direct immunofluorescence assays (IFA) or single-round PCRs used in initial identification. Screening of 270 IFA negative respiratory specimens identified new viruses in 40/270 (14.8%) cases and additional 79/270(29.3%) well recognized viruses missed by routine diagnostic assays including 6.7% co-infections. All viruses could be detected in the clinical screening panel. The assays demonstrates an improved sensitivity and scope of detecting respiratory viruses relative to routine antigen detection assays while the quantitative utility may facilitate investigation of the role of co-infections and viral load in respiratory virus pathogenesis. (C) 2010 Elsevier B.V. All rights reserved.</t>
  </si>
  <si>
    <t xml:space="preserve">[Venter, M.] NICD, Resp Virus Unit, Natl Hlth Lab Serv, ZA-2131 Sandrigham, South Africa; [Lassauniere, R.; Kresfelder, T.; Venter, M.] Univ Pretoria, Dept Med Virol, Fac Hlth Sci, ZA-0002 Pretoria, South Africa</t>
  </si>
  <si>
    <t xml:space="preserve">National Institute for Communicable Diseases (NICD); University of Pretoria</t>
  </si>
  <si>
    <t xml:space="preserve">Venter, M (corresponding author), NICD, Resp Virus Unit, Natl Hlth Lab Serv, Private bag X 4, ZA-2131 Sandrigham, South Africa.</t>
  </si>
  <si>
    <t xml:space="preserve">marietjiev@nicd.ac.za</t>
  </si>
  <si>
    <t xml:space="preserve">Lassaunière, Ria/HJZ-4456-2023; Venter, Marietjie/P-9604-2016</t>
  </si>
  <si>
    <t xml:space="preserve">Lassauniere, Ria/0000-0002-3910-7185; Venter, Marietjie/0000-0003-2696-824X</t>
  </si>
  <si>
    <t xml:space="preserve">Poliomyelitis Research Foundation</t>
  </si>
  <si>
    <t xml:space="preserve">This study has been funded by the Poliomyelitis Research Foundation. We would like to thank Dr. Jan Kimpen of the University Medical Centre, Utrecht, The Netherlands and Heidi Smuts from the University of Cape Town, Cape Town, South Africa, for supplying us with respiratory specimens positive for hMPV, hCoV-NL63 and hCoV-OC43 and bocavirus and Astrid Vabret of the Laboratory of Human and Molecular Virology, University Hospital of Caen, France, for supplying us with viral RNA for hCoV-HKU1 and hCoV-229E.</t>
  </si>
  <si>
    <t xml:space="preserve">10.1016/j.jviromet.2010.02.005</t>
  </si>
  <si>
    <t xml:space="preserve">597NC</t>
  </si>
  <si>
    <t xml:space="preserve">WOS:000277763700018</t>
  </si>
  <si>
    <t xml:space="preserve">Lin, CY; Hwang, D; Chiu, NC; Weng, LC; Liu, HF; Mu, JJ; Liu, CP; Chi, H</t>
  </si>
  <si>
    <t xml:space="preserve">Lin, Chien-Yu; Hwang, David; Chiu, Nan-Chang; Weng, Li-Chuan; Liu, Hsin-Fu; Mu, Jung-Jung; Liu, Chang-Pan; Chi, Hsin</t>
  </si>
  <si>
    <t xml:space="preserve">Increased Detection of Viruses in Children with Respiratory Tract Infection Using PCR</t>
  </si>
  <si>
    <t xml:space="preserve">INTERNATIONAL JOURNAL OF ENVIRONMENTAL RESEARCH AND PUBLIC HEALTH</t>
  </si>
  <si>
    <t xml:space="preserve">respiratory virus; polymerase chain reaction; PCR; respiratory syncytial virus; human metapneumovirus; multiplex quantitative real-time RT-PCR</t>
  </si>
  <si>
    <t xml:space="preserve">REAL-TIME PCR; COMMUNITY-ACQUIRED PNEUMONIA; SYNCYTIAL-VIRUS; REQUIRING HOSPITALIZATION; HUMAN METAPNEUMOVIRUS; YOUNG-CHILDREN; MULTIPLEX PCR; INFLUENZA-A; DIAGNOSIS; ANTIBIOTICS</t>
  </si>
  <si>
    <t xml:space="preserve">Respiratory viruses are a common cause of respiratory tract infection (RTI), particularly in neonates and children. Rapid and accurate diagnosis of viral infections could improve clinical outcomes and reduce the use of antibiotics and treatment sessions. Advances in diagnostic technology contribute to the accurate detection of viruses. We performed a multiplex real-time polymerase chain reaction (PCR) to investigate the viral etiology in pediatric patients and compared the detection rates with those determined using traditional antigen tests and virus cultures. Fifteen respiratory viruses were included in our investigation: respiratory syncytial virus A/B (RSV), influenza virus A (FluA) and influenza virus B (FluB), human metapneumovirus (MPV), enterovirus (EV), human parainfluenza virus (PIV) types 1-4, human rhinovirus (RV), human coronavirus OC43, NL63, and 229E, human adenovirus (ADV), and human bocavirus (Boca). In total, 474 specimens were collected and tested. Respiratory viruses were detected more frequently by PCR (357, 75.3%) than they were by traditional tests (229, 49.3%). The leading pathogens were RSV (113, 23.8%), RV (72, 15.2%), PIV3 (53, 11.2%), FluA (51, 10.8%), and ADV (48, 10.1%). For children younger than 5 years, RSV and RV were most prevalent; for children older than 5 years, FluA and ADV were the most frequently detected. Of the specimens, 25.8% (92/357) were coinfected with two or more viruses. RV, Boca, PIV2, FluB, and PIV4 had higher rates of coinfection; MPV and PIV1 had the lowest rates of coinfection (9.1% and 5.3%). To conclude, the detection power of PCR was better than that of traditional antigen tests and virus cultures when considering the detection of respiratory viruses. RSV and RV were the leading viral pathogens identified in the respiratory specimens. One-quarter of the positive specimens were coinfected with two or more viruses. In the future, further application of PCR may contribute to the rapid and accurate diagnosis of respiratory viruses and could improve patient outcomes.</t>
  </si>
  <si>
    <t xml:space="preserve">[Lin, Chien-Yu] Hsinchu MacKay Mem Hosp, Dept Pediat, Hsinchu 30071, Taiwan; [Lin, Chien-Yu; Chiu, Nan-Chang; Liu, Chang-Pan; Chi, Hsin] MacKay Med Coll, Dept Med, New Taipei 25160, Taiwan; [Hwang, David; Chiu, Nan-Chang; Chi, Hsin] MacKay Childrens Hosp, Dept Pediat, Taipei 10449, Taiwan; [Hwang, David; Chiu, Nan-Chang; Chi, Hsin] MacKay Mem Hosp, Taipei 10449, Taiwan; [Chiu, Nan-Chang; Liu, Chang-Pan; Chi, Hsin] MacKay Jr Coll Med Nursing &amp; Management, Dept Med, Taipei 11260, Taiwan; [Weng, Li-Chuan; Liu, Hsin-Fu; Liu, Chang-Pan; Chi, Hsin] MacKay Mem Hosp, Dept Med Res, New Taipei 25160, Taiwan; [Mu, Jung-Jung] Ctr Dis Control, Ctr Res Diagnost &amp; Vaccine Dev, Taipei 10050, Taiwan</t>
  </si>
  <si>
    <t xml:space="preserve">Mackay Memorial Hospital; Mackay Medical College; Mackay Memorial Hospital; Mackay Junior College of Medicine, Nursing &amp; Management; Mackay Memorial Hospital; Centers For Disease Control - Taiwan</t>
  </si>
  <si>
    <t xml:space="preserve">Chi, H (corresponding author), MacKay Med Coll, Dept Med, New Taipei 25160, Taiwan.;Chi, H (corresponding author), MacKay Childrens Hosp, Dept Pediat, Taipei 10449, Taiwan.;Chi, H (corresponding author), MacKay Mem Hosp, Taipei 10449, Taiwan.;Chi, H (corresponding author), MacKay Jr Coll Med Nursing &amp; Management, Dept Med, Taipei 11260, Taiwan.;Chi, H (corresponding author), MacKay Mem Hosp, Dept Med Res, New Taipei 25160, Taiwan.</t>
  </si>
  <si>
    <t xml:space="preserve">mmhped.lin@gmail.com; Ckdarpay@gmail.com; ncc88@mmh.org.tw; lichuan@mmh.org.tw; hsinfu@mmh.org.tw; jjmu@cdc.gov.tw; cpliu@mmh.org.tw; chi.4531@mmh.org.tw</t>
  </si>
  <si>
    <t xml:space="preserve">Liu, Chen-Hua/F-6608-2018; Liu, Hsin-Fu/AAR-5960-2020; Ren, Yongcheng/AAF-4911-2019</t>
  </si>
  <si>
    <t xml:space="preserve">Lin, Chien-Yu/0000-0003-4630-8724; Chi, Hsin/0000-0002-2385-344X; Liu, Hsin-Fu/0000-0003-0082-2269</t>
  </si>
  <si>
    <t xml:space="preserve">MacKay Memorial Hospital, Taipei, Taiwan [MMH-103-65]</t>
  </si>
  <si>
    <t xml:space="preserve">MacKay Memorial Hospital, Taipei, Taiwan</t>
  </si>
  <si>
    <t xml:space="preserve">This study is supported by MacKay Memorial Hospital, Taipei, Taiwan (Project number: MMH-103-65). This study was approved by the Institutional Review Board of the MacKay Memorial Hospital, Taipei, Taiwan (approval no. 14MMHIS030).</t>
  </si>
  <si>
    <t xml:space="preserve">1660-4601</t>
  </si>
  <si>
    <t xml:space="preserve">INT J ENV RES PUB HE</t>
  </si>
  <si>
    <t xml:space="preserve">Int. J. Environ. Res. Public Health</t>
  </si>
  <si>
    <t xml:space="preserve">10.3390/ijerph17020564</t>
  </si>
  <si>
    <t xml:space="preserve">Environmental Sciences; Public, Environmental &amp; Occupational Health</t>
  </si>
  <si>
    <t xml:space="preserve">Environmental Sciences &amp; Ecology; Public, Environmental &amp; Occupational Health</t>
  </si>
  <si>
    <t xml:space="preserve">KQ3LG</t>
  </si>
  <si>
    <t xml:space="preserve">WOS:000516827400185</t>
  </si>
  <si>
    <t xml:space="preserve">Arslan, D; Danziger-Isakov, L</t>
  </si>
  <si>
    <t xml:space="preserve">Arslan, Defne; Danziger-Isakov, Lara</t>
  </si>
  <si>
    <t xml:space="preserve">Respiratory Viral Infections in Pediatric Solid Organ and Hematopoietic Stem Cell Transplantation</t>
  </si>
  <si>
    <t xml:space="preserve">CURRENT INFECTIOUS DISEASE REPORTS</t>
  </si>
  <si>
    <t xml:space="preserve">Respiratory virus; Pediatric; Pediatric solid organ transplant; Pediatric hematopoietic stem cell transplant; Respiratory syncytial virus; Influenza</t>
  </si>
  <si>
    <t xml:space="preserve">SYNCYTIAL VIRUS-INFECTION; HUMAN METAPNEUMOVIRUS INFECTION; BONE-MARROW-TRANSPLANTATION; ADENOVIRUS INFECTION; BRONCHIOLITIS OBLITERANS; PALIVIZUMAB PROPHYLAXIS; INTRAVENOUS RIBAVIRIN; INFLUENZA VACCINATION; SEASONAL INFLUENZA; H1N1 VIRUS</t>
  </si>
  <si>
    <t xml:space="preserve">Respiratory viruses are common in children, including pediatric recipients of both solid organ transplantation and hematopoietic stem cell transplantation. The prevalence and risk factors in each of these groups are reviewed. Furthermore, associated morbidity and mortality in pediatric transplant recipients with respiratory viral infections are addressed. The literature on specific prevention and treatment options for respiratory syncytial virus, adenovirus, influenza, and other respiratory viruses in pediatric solid organ and hematopoietic stem cell transplant recipients is reported.</t>
  </si>
  <si>
    <t xml:space="preserve">[Arslan, Defne] Case Western Reserve Univ, Cleveland, OH 44106 USA; [Danziger-Isakov, Lara] Cincinnati Childrens Hosp Med Ctr, Cincinnati, OH 45229 USA</t>
  </si>
  <si>
    <t xml:space="preserve">University System of Ohio; Case Western Reserve University; Cincinnati Children's Hospital Medical Center</t>
  </si>
  <si>
    <t xml:space="preserve">Danziger-Isakov, L (corresponding author), Cincinnati Childrens Hosp Med Ctr, MLC 7017,3333 Burnet Ave, Cincinnati, OH 45229 USA.</t>
  </si>
  <si>
    <t xml:space="preserve">Lara.Danziger-Isakov@cchmc.org</t>
  </si>
  <si>
    <t xml:space="preserve">1523-3847</t>
  </si>
  <si>
    <t xml:space="preserve">1534-3146</t>
  </si>
  <si>
    <t xml:space="preserve">CURR INFECT DIS REP</t>
  </si>
  <si>
    <t xml:space="preserve">Curr. Infect. Dis. Rep.</t>
  </si>
  <si>
    <t xml:space="preserve">10.1007/s11908-012-0294-0</t>
  </si>
  <si>
    <t xml:space="preserve">V32XI</t>
  </si>
  <si>
    <t xml:space="preserve">WOS:000208983500011</t>
  </si>
  <si>
    <t xml:space="preserve">Nagasawa, M; Udagawa, T; Kato, T; Tanaka, I; Yamamoto, R; Sakaguchi, H; Sekikawa, Y</t>
  </si>
  <si>
    <t xml:space="preserve">Nagasawa, Masayuki; Udagawa, Tomohiro; Kato, Tomoyuki; Tanaka, Ippei; Yamamoto, Ren; Sakaguchi, Hayato; Sekikawa, Yoshiyuki</t>
  </si>
  <si>
    <t xml:space="preserve">Observational Study on the Clinical Reality of Community-Acquired Respiratory Virus Infections in Adults and Older Individuals</t>
  </si>
  <si>
    <t xml:space="preserve">respiratory virus; older adults; comprehensive PCR; comorbidity</t>
  </si>
  <si>
    <t xml:space="preserve">PNEUMONIA REQUIRING HOSPITALIZATION; SYNCYTIAL VIRUS; INFLUENZA; CHILDREN; PRETERM; RSV; PCR</t>
  </si>
  <si>
    <t xml:space="preserve">The impact of common respiratory virus infections on adults and older individuals in the community is unclear, excluding seasonal influenza viruses. We examined FilmArray (R) tests performed on 1828 children aged &lt;10 years and 10,803 adults, including cases with few respiratory symptoms, between January 2021 and June 2024. Approximately 80% of the children tested positive for &gt;= 1 viruses, while 9.5% of the adults tested positive mostly for severe acute respiratory syndrome corona virus-2 (SARS-CoV-2). Besides SARS-CoV-2 infection, 66 out of 97 patients (68.0%) aged &gt;60 years with rhinovirus/enterovirus (RV/EV), respiratory syncytial virus (RSV), parainfluenza virus-3 (PIV-3), or human metapneumovirus (hMPV) infection required hospitalization, of whom seven died; 26 out of 160 patients (16.3%) aged &lt;60 years required hospitalization mostly because of deterioration of bronchial asthma, with no reported deaths. In older patients with RV/EV infection, three with few respiratory symptoms died due to worsened heart failure. Although the frequency of common respiratory virus infections in older adults is low, it may be overlooked because of subclinical respiratory symptoms, and its clinical significance in worsening comorbidities in older adults should not be underestimated.</t>
  </si>
  <si>
    <t xml:space="preserve">[Nagasawa, Masayuki; Kato, Tomoyuki; Tanaka, Ippei; Sakaguchi, Hayato; Sekikawa, Yoshiyuki] Musashino Red Cross Hosp, Dept Infect Control, 1-26-1 Kyonan Cho, Musashino, Tokyo 1808610, Japan; [Nagasawa, Masayuki; Udagawa, Tomohiro] Musashino Red Cross Hosp, Dept Pediat, 1-26-1 Kyonan Cho, Musashino, Tokyo 1808610, Japan; [Kato, Tomoyuki; Tanaka, Ippei] Musashino Red Cross Hosp, Dept Pharm, 1-26-1 Kyonan Cho, Musashino, Tokyo 1808610, Japan; [Yamamoto, Ren; Sakaguchi, Hayato] Musashino Red Cross Hosp, Dept Lab, 1-26-1 Kyonan Cho, Musashino, Tokyo 1808610, Japan; [Sekikawa, Yoshiyuki] Musashino Red Cross Hosp, Dept Infect Dis, 1-26-1 Kyonan Cho, Musashino, Tokyo 1808610, Japan</t>
  </si>
  <si>
    <t xml:space="preserve">Musashino RedCross Hospital; Musashino RedCross Hospital; Musashino RedCross Hospital; Musashino RedCross Hospital; Musashino RedCross Hospital</t>
  </si>
  <si>
    <t xml:space="preserve">Nagasawa, M (corresponding author), Musashino Red Cross Hosp, Dept Infect Control, 1-26-1 Kyonan Cho, Musashino, Tokyo 1808610, Japan.;Nagasawa, M (corresponding author), Musashino Red Cross Hosp, Dept Pediat, 1-26-1 Kyonan Cho, Musashino, Tokyo 1808610, Japan.</t>
  </si>
  <si>
    <t xml:space="preserve">masayukin@musashino.jrc.or.jp; uda0112@yahoo.co.jp; ict-ph2@musashino.jrc.or.jp; i.tanaka@musashino.jrc.or.jp; ron.0503.y@gmail.com; h.sakaguti@musashino.jrc.or.jp; yoshiyuki1021@gmail.com</t>
  </si>
  <si>
    <t xml:space="preserve">Nagasawa, Masayuki/JGD-0708-2023; Udagawa, Tomohiro/N-7331-2016</t>
  </si>
  <si>
    <t xml:space="preserve">Udagawa, Tomohiro/0000-0002-7177-6426; Nagasawa, Masayuki/0000-0002-8085-4940</t>
  </si>
  <si>
    <t xml:space="preserve">10.3390/pathogens13110983</t>
  </si>
  <si>
    <t xml:space="preserve">N8Z3R</t>
  </si>
  <si>
    <t xml:space="preserve">WOS:001367143600001</t>
  </si>
  <si>
    <t xml:space="preserve">Wu, F; Cai, DF; Shi, XY; Li, P; Ma, L</t>
  </si>
  <si>
    <t xml:space="preserve">Wu, Feng; Cai, Defeng; Shi, Xueying; Li, Ping; Ma, Lan</t>
  </si>
  <si>
    <t xml:space="preserve">Multiplexed detection of eight respiratory viruses based on nanozyme colorimetric microfluidic immunoassay</t>
  </si>
  <si>
    <t xml:space="preserve">FRONTIERS IN BIOENGINEERING AND BIOTECHNOLOGY</t>
  </si>
  <si>
    <t xml:space="preserve">respiratory virus; nanozyme; microfluidics; immunoassay; multiplexed detection</t>
  </si>
  <si>
    <t xml:space="preserve">Pandemics caused by respiratory viruses, such as the SARS-CoV-1/2, influenza virus, and respiratory syncytial virus, have resulted in serious consequences to humans and a large number of deaths. The detection of such respiratory viruses in the early stages of infection can help control diseases by preventing the spread of viruses. However, the diversity of respiratory virus species and subtypes, their rapid antigenic mutations, and the limited viral release during the early stages of infection pose challenges to their detection. This work reports a multiplexed microfluidic immunoassay chip for simultaneous detection of eight respiratory viruses with noticeable infection population, namely, influenza A virus, influenza B virus, respiratory syncytial virus, SARS-CoV-2, human bocavirus, human metapneumovirus, adenovirus, and human parainfluenza viruses. The nanomaterial of the nanozyme (Au@Pt nanoparticles) was optimized to improve labeling efficiency and enhance the detection sensitivity significantly. Nanozyme-binding antibodies were used to detect viral proteins with a limit of detection of 0.1 pg/mL with the naked eye and a microplate reader within 40 min. Furthermore, specific antibodies were screened against the conserved proteins of each virus in the immunoassay, and the clinical sample detection showed high specificity without cross reactivity among the eight pathogens. In addition, the microfluidic chip immunoassay showed high accuracy, as compared with the RT-PCR assay for clinical sample detection, with 97.2%/94.3% positive/negative coincidence rates. This proposed approach thus provides a convenient, rapid, and sensitive method for simultaneous detection of eight respiratory viruses, which is meaningful for the early diagnosis of viral infections. Significantly, it can be widely used to detect pathogens and biomarkers by replacing only the antigen-specific antibodies.</t>
  </si>
  <si>
    <t xml:space="preserve">[Wu, Feng; Cai, Defeng; Shi, Xueying; Li, Ping; Ma, Lan] Tsinghua Univ, Inst Biopharmaceut &amp; Hlth Engn, Tsinghua Shenzhen Int Grad Sch, Shenzhen, Peoples R China; [Wu, Feng] Shenzhen Inst Drug Control, Shenzhen, Peoples R China; [Cai, Defeng] Shenzhen Univ, Dept Clin Lab, South China Hosp, Pathol Ctr, Shenzhen, Peoples R China; [Ma, Lan] Tsinghua Univ, Tsinghua Shenzhen Int Grad Sch, State Key Lab Chem Oncogen, Shenzhen, Peoples R China; [Ma, Lan] Shenzhen Bay Lab, Inst Biomed Hlth Technol &amp; Engn, Shenzhen, Peoples R China</t>
  </si>
  <si>
    <t xml:space="preserve">Tsinghua Shenzhen International Graduate School; Tsinghua University; Shenzhen University; Tsinghua Shenzhen International Graduate School; Tsinghua University; Shenzhen Bay Laboratory</t>
  </si>
  <si>
    <t xml:space="preserve">Li, P; Ma, L (corresponding author), Tsinghua Univ, Inst Biopharmaceut &amp; Hlth Engn, Tsinghua Shenzhen Int Grad Sch, Shenzhen, Peoples R China.;Ma, L (corresponding author), Tsinghua Univ, Tsinghua Shenzhen Int Grad Sch, State Key Lab Chem Oncogen, Shenzhen, Peoples R China.;Ma, L (corresponding author), Shenzhen Bay Lab, Inst Biomed Hlth Technol &amp; Engn, Shenzhen, Peoples R China.</t>
  </si>
  <si>
    <t xml:space="preserve">li.ping@sz.tsinghua.edu.cn; malan@sz.tsinghua.edu.cn</t>
  </si>
  <si>
    <t xml:space="preserve">Shi, Xueying/GRR-3032-2022</t>
  </si>
  <si>
    <t xml:space="preserve">Shenzhen Science and Technology Innovation Program10.13039/501100017610</t>
  </si>
  <si>
    <t xml:space="preserve">No Statement Available</t>
  </si>
  <si>
    <t xml:space="preserve">2296-4185</t>
  </si>
  <si>
    <t xml:space="preserve">FRONT BIOENG BIOTECH</t>
  </si>
  <si>
    <t xml:space="preserve">Front. Bioeng. Biotechnol.</t>
  </si>
  <si>
    <t xml:space="preserve">MAY 16</t>
  </si>
  <si>
    <t xml:space="preserve">10.3389/fbioe.2024.1402831</t>
  </si>
  <si>
    <t xml:space="preserve">Biotechnology &amp; Applied Microbiology; Engineering, Biomedical</t>
  </si>
  <si>
    <t xml:space="preserve">Biotechnology &amp; Applied Microbiology; Engineering</t>
  </si>
  <si>
    <t xml:space="preserve">SK4M6</t>
  </si>
  <si>
    <t xml:space="preserve">WOS:001234334000001</t>
  </si>
  <si>
    <t xml:space="preserve">Wang, W; Ren, P; Sheng, J; Mardy, S; Yan, H; Zhang, J; Hou, L; Vabret, A; Buchy, P; Freymuth, F; Deubel, V</t>
  </si>
  <si>
    <t xml:space="preserve">Wang, Wei; Ren, Peijun; Sheng, Jun; Mardy, Sek; Yan, Huajie; Zhang, Jing; Hou, Lili; Vabret, Astrid; Buchy, Philippe; Freymuth, Francois; Deubel, Vincent</t>
  </si>
  <si>
    <t xml:space="preserve">Simultaneous detection of respiratory viruses in children with acute respiratory infection using two different multiplex reverse transcription-PCR assays</t>
  </si>
  <si>
    <t xml:space="preserve">Respiratory virus; Multiplex RT-PCR; Diagnosis</t>
  </si>
  <si>
    <t xml:space="preserve">POLYMERASE-CHAIN-REACTION; ACID AMPLIFICATION TESTS; INFLUENZA-A VIRUSES; CLINICAL SPECIMENS; TRACT INFECTIONS; HUMAN BOCAVIRUS; HIGH-THROUGHPUT; RNA VIRUSES; NESTED-PCR; RT-PCR</t>
  </si>
  <si>
    <t xml:space="preserve">A 4-tube multiplex RT-PCR (mRT-PCR), which showed higher sensitivity over conventional methods, was previously developed for the diagnosis of 14 viral pathogens of the respiratory tract. Herein the mRT-PCR was compared to the commercial Luminex mPCR-microsphere flow cytometry assay (Resplex II) which allows the detection of 12 different viruses. Eleven different viruses were identified in 91 nasopharyngeal swabs of children with acute respiratory infection, influenza A (IAV) and B, respiratory syncytial virus (RSV), human rhinovirus (hRhV), human echovirus, parainfluenza viruses (PIV) 1, 2, 3 and 4, human metapneumovirus (hMPV), and human coronavirus NL63. The results of the two techniques showed 53 and 40 positive patients by the Resplex 11 assay and mRT-PCR, respectively, with a concordance in 35 positive and 33 negative patients (74.7%). Individual RT-PCR tests were performed to control viruses not simultaneously detected by the two multiplex assays. The major virus misdiagnosed by mRT-PCR was IAV whereas the major viruses misdiagnosed by Resplex II were PIV1, 3 and 4. The mRT-PCR remains a simple, rapid, and specific assay for the specific detection of respiratory viruses, and can be easily implemented with standards in clinical laboratories at a low cost. (C) 2009 Elsevier B.V. All rights reserved.</t>
  </si>
  <si>
    <t xml:space="preserve">[Wang, Wei; Ren, Peijun; Zhang, Jing; Hou, Lili; Deubel, Vincent] Chinese Acad Sci, Inst Pasteur, Shanghai 200025, Peoples R China; [Wang, Wei; Ren, Peijun; Zhang, Jing; Hou, Lili; Deubel, Vincent] Shanghai Inst Biol Sci, Shanghai, Peoples R China; [Sheng, Jun; Yan, Huajie] Shanghai Nanxiang Paediat Hosp, Shanghai, Peoples R China; [Mardy, Sek; Buchy, Philippe] Inst Pasteur Cambodge, Phnom Penh, Cambodia; [Vabret, Astrid; Freymuth, Francois] CHU Caen, Virol Lab, F-14000 Caen, France</t>
  </si>
  <si>
    <t xml:space="preserve">Chinese Academy of Sciences; Shanghai Institute of Immunity and Infection, CAS; Chinese Academy of Sciences; Pasteur Network; Institut Pasteur Cambodia; CHU de Caen NORMANDIE; Universite de Caen Normandie</t>
  </si>
  <si>
    <t xml:space="preserve">Deubel, V (corresponding author), Chinese Acad Sci, Inst Pasteur, 411 Hefei Rd, Shanghai 200025, Peoples R China.</t>
  </si>
  <si>
    <t xml:space="preserve">vdeubel@sibs.ac.cn</t>
  </si>
  <si>
    <t xml:space="preserve">Buchy, Philippe/JNS-0960-2023; VABRET, Astrid/HTO-5810-2023</t>
  </si>
  <si>
    <t xml:space="preserve">BUCHY, Philippe/0000-0003-1372-3008; VABRET, Astrid/0000-0002-8940-7645; REN, peijun/0000-0001-6082-945X</t>
  </si>
  <si>
    <t xml:space="preserve">Li Ka-Shing Foundation; French Agency for the Development</t>
  </si>
  <si>
    <t xml:space="preserve">The study was supported by the Li Ka-Shing Foundation (RESPARI project), and the French Agency for the Development (SISEA project). WW is a recipient of AREVA from the AREVA-Pasteur partnership. The help of Mrs. Yimei Zheng in manuscript preparation is greatly appreciated.</t>
  </si>
  <si>
    <t xml:space="preserve">10.1016/j.jviromet.2009.07.004</t>
  </si>
  <si>
    <t xml:space="preserve">517BA</t>
  </si>
  <si>
    <t xml:space="preserve">WOS:000271586500006</t>
  </si>
  <si>
    <t xml:space="preserve">Iroh Tam, PY; Zhang, L; Cohen, Z</t>
  </si>
  <si>
    <t xml:space="preserve">Iroh Tam, Pui-Ying; Zhang, Lei; Cohen, Zohara</t>
  </si>
  <si>
    <t xml:space="preserve">Impact of a Transition from Respiratory Virus Shell Vial to Multiplex PCR on Clinical Outcomes and Cost in Hospitalized Children</t>
  </si>
  <si>
    <t xml:space="preserve">CHILDREN-BASEL</t>
  </si>
  <si>
    <t xml:space="preserve">respiratory virus; multiplex PCR; shell vial; cell culture; diagnostics; children</t>
  </si>
  <si>
    <t xml:space="preserve">POLYMERASE-CHAIN-REACTION; SYNCYTIAL VIRUS; EMERGENCY-DEPARTMENT; INFLUENZA-VIRUS; RAPID DETECTION; ANTIBIOTIC USE; VIRAL PANEL; INFECTIONS; IDENTIFICATION; COINFECTION</t>
  </si>
  <si>
    <t xml:space="preserve">While respiratory virus PCR panel (RVPP) is more expensive than shell vial (SV) cell culture, it has been shown to reduce unnecessary diagnostic procedures, decrease the inappropriate use of antimicrobials, and shorten the hospital length of stay (LOS). We therefore hypothesized that, for hospitalized children, RVPP would be associated with improved clinical outcomes but higher hospital charges than SV cell culture. We performed a retrospective cohort study of hospitalized children. Multivariate analysis was performed, and p-values were calculated. Respiratory virus testing was collected in a total of 1625 inpatient encounters, of which 156 were tested positive by RVPP (57.7%) and 112 were tested positive by SV (11.1%, p &lt; 0.05). Excluding human rhinovirus (HRV) and human metapneumovirus (hMPV) from the analysis, patients with a positive test from SV had more comorbidities (p = 0.04) and higher mortality (p = 0.008). Patients with a positive test from RVPP had shorter LOS (p = 0.0503). Hospital charges for patients with a positive test from RVPP were lower, but not significantly so. When a multivariate analysis was performed, there were no statistically significant differences in comorbidities, mortality, LOS, or median hospital charges between those patients with a positive SV and those with a positive RVPP. Although testing with RVPP significantly increased the detection of respiratory viruses, clinical outcomes remained comparable to those tested with SV, however RVPP was found to not be associated with higher long-term hospital costs.</t>
  </si>
  <si>
    <t xml:space="preserve">[Iroh Tam, Pui-Ying] Univ Minnesota, Mason Childrens Hosp, Div Pediat Infect Dis &amp; Immunol, Minneapolis, MN 55454 USA; [Iroh Tam, Pui-Ying] Malawi Liverpool Wellcome Trust, Blantyre 3, Malawi; [Zhang, Lei; Cohen, Zohara] Univ Minnesota, Clin &amp; Translat Sci Inst, Minneapolis, MN 55454 USA</t>
  </si>
  <si>
    <t xml:space="preserve">University of Minnesota System; University of Minnesota Twin Cities; University of Malawi; University of Minnesota System; University of Minnesota Twin Cities</t>
  </si>
  <si>
    <t xml:space="preserve">Iroh Tam, PY (corresponding author), Univ Minnesota, Mason Childrens Hosp, Div Pediat Infect Dis &amp; Immunol, Minneapolis, MN 55454 USA.;Iroh Tam, PY (corresponding author), Malawi Liverpool Wellcome Trust, Blantyre 3, Malawi.</t>
  </si>
  <si>
    <t xml:space="preserve">irohtam@mlw.mw; zhangl@umn.edu; zacohen@umn.edu</t>
  </si>
  <si>
    <t xml:space="preserve">Iroh Tam, Pui-Ying/0000-0002-3682-8892</t>
  </si>
  <si>
    <t xml:space="preserve">National Center for Advancing Translational Sciences of the National Institutes of Health [UL1TR000114]</t>
  </si>
  <si>
    <t xml:space="preserve">National Center for Advancing Translational Sciences of the National Institutes of Health(United States Department of Health &amp; Human ServicesNational Institutes of Health (NIH) - USANIH National Center for Advancing Translational Sciences (NCATS))</t>
  </si>
  <si>
    <t xml:space="preserve">This study was approved by the Institutional Review Board of the University of Minnesota. Research reported in this publication was supported by the National Center for Advancing Translational Sciences of the National Institutes of Health Award Number UL1TR000114. The content is solely the responsibility of the authors and does not necessarily represent the official views of the National Institutes of Health. The founding sponsors had no role in the design of the study; in the collection, analyses, or interpretation of data; in the writing of the manuscript, and in the decision to publish the results.</t>
  </si>
  <si>
    <t xml:space="preserve">2227-9067</t>
  </si>
  <si>
    <t xml:space="preserve">Children-Basel</t>
  </si>
  <si>
    <t xml:space="preserve">10.3390/children4010003</t>
  </si>
  <si>
    <t xml:space="preserve">EM7QD</t>
  </si>
  <si>
    <t xml:space="preserve">WOS:000395506400002</t>
  </si>
  <si>
    <t xml:space="preserve">Templeton, KE; Forde, CB; van Loon, AM; Claas, ECJ; Niesters, HGM; Wallace, P; Carman, WF</t>
  </si>
  <si>
    <t xml:space="preserve">A multi-centre pilot proficiency programme to assess the quality of molecular detection of respiratory viruses</t>
  </si>
  <si>
    <t xml:space="preserve">respiratory virus; molecular detection; proficiency programme; QCMD</t>
  </si>
  <si>
    <t xml:space="preserve">POLYMERASE-CHAIN-REACTION; REAL-TIME PCR; NUCLEIC-ACID AMPLIFICATION; RAPID DIAGNOSTIC-TESTS; CLINICAL SPECIMENS; TRACT INFECTIONS; TRANSPLANT RECIPIENTS; HUMAN METAPNEUMOVIRUS; SYNCYTIAL-VIRUS; VIRAL CULTURE</t>
  </si>
  <si>
    <t xml:space="preserve">Objectives: To assess the quality of molecular detection of respiratory viruses in clinical diagnostic laboratories. Study design: Respiratory virus proficiency panels were produced from diluted stocks of respiratory viruses provided and tested by four reference laboratories. The panels consisted of strong positive, positive, low positive and negative samples for influenza viruses A and B, respiratory syncytial virus, parainfluenza viruses 1 and 3, adenovirus serotypes 4 and 7, human rhinovirus serotypes 16, 72 and 90, human coronaviruses OC43 and 229E. The panels were sent to 17 participants; results and information on methodology was collected. Results: All laboratories returned results, of which five submitted complete data sets. So, for analysis all results were combined. Samples were correctly identified by participants in 93.75%, 76.75% and 47.03% for the high positive, positive and low positive samples, respectively. One false positive was reported for all data sets (1.1%). The overall score for all assays using different methodologies was 78.8%. Laboratory performance was not dependant on methodology as all in-house methodologies could achieve optimal results, but dependant on careful optimisation and procedures specific to the laboratory. Conclusions: The first proficiency panel showed that in general all participants performed well. Although, it also highlights areas for improvement for all participants in order to generate robust results for use in clinical diagnostics. (C) 2005 Elsevier B.V. All rights reserved.</t>
  </si>
  <si>
    <t xml:space="preserve">QCMD, Glasgow G20 0SP, Lanark, Scotland; Leiden Univ, Med Ctr, Ctr Infect Dis, Dept Med Microbiol, NL-2300 RC Leiden, Netherlands; Univ Med Ctr Utrecht, Eijkman Winkler Ctr, Dept Virol, NL-3584 CX Utrecht, Netherlands; Univ Med Ctr Rotterdam, Erasmus MC, Inst Virol, NL-3015 GD Rotterdam, Netherlands; Gartnavel Royal Hosp, W Scotland Specialist Virol Ctr, Glasgow G12 0YN, Lanark, Scotland</t>
  </si>
  <si>
    <t xml:space="preserve">Leiden University; Leiden University Medical Center (LUMC); Leiden University - Excl LUMC; Utrecht University; Utrecht University Medical Center; Erasmus University Rotterdam; Erasmus MC; Gartnavel Royal Hospital</t>
  </si>
  <si>
    <t xml:space="preserve">QCMD, Block 4,Kelvin Campus,W Scotland Sci Pk, Glasgow G20 0SP, Lanark, Scotland.</t>
  </si>
  <si>
    <t xml:space="preserve">paulwallace@qcmd.org</t>
  </si>
  <si>
    <t xml:space="preserve">Bert, Niesters/AAH-6808-2019</t>
  </si>
  <si>
    <t xml:space="preserve">Templeton, Kate/0000-0001-7414-1277; Niesters, Hubert/0000-0002-1758-0430</t>
  </si>
  <si>
    <t xml:space="preserve">10.1016/j.jcv.2005.05.005</t>
  </si>
  <si>
    <t xml:space="preserve">WOS:000235182800008</t>
  </si>
  <si>
    <t xml:space="preserve">Neemuchwala, A; Duvvuri, VR; Marchand-Austin, A; Li, AM; Gubbay, JB</t>
  </si>
  <si>
    <t xml:space="preserve">Neemuchwala, Alefiya; Duvvuri, Venkata R.; Marchand-Austin, Alex; Li, Aimin; Gubbay, Jonathan B.</t>
  </si>
  <si>
    <t xml:space="preserve">Human Metapneumovirus Prevalence and Molecular Epidemiology in Respiratory Outbreaks in Ontario, Canada</t>
  </si>
  <si>
    <t xml:space="preserve">respiratory virus; long-term care facility; molecular typing</t>
  </si>
  <si>
    <t xml:space="preserve">GENETIC-VARIABILITY; INFECTION; DIVERSITY</t>
  </si>
  <si>
    <t xml:space="preserve">Human metapneumovirus (hMPV) has been identified previously as a cause of respiratory outbreaks in adults, including the elderly. The objective of this study was to document respiratory outbreaks that were caused by hMPV in Ontario, Canada and to identify the various circulating genotypes during April 2009-February 2012. The majority of the outbreaks that were part of this study were in adults (&gt;65 years). Total nucleic acid extraction was done on 123 residual anonymized clinical specimens from 51 different respiratory outbreaks. Specimens were subjected to PCR amplification and Sanger sequencing targeting the F and G genes of hMPV. Phylogenetic analysis was performed to identify genotypes. HMPV accounted for 195 (8.5%) of 2,292 respiratory outbreaks. Genotype A2b was most prevalent, detected in 28 (54.9%) of 51 typed hMPV-positive outbreaks. The genotype A2b2 that was described recently was also identified. In earlier reports, subtype A1 was reported in Canada which was absent in the specimens typed in this study. This shift in genotype may be significant in terms of disease severity, and for any future vaccine considerations. Regular testing for hMPV should be done as part of outbreak investigation. J. Med. Virol. 87:269-274, 2015. (c) 2014 Wiley Periodicals, Inc.</t>
  </si>
  <si>
    <t xml:space="preserve">[Neemuchwala, Alefiya; Duvvuri, Venkata R.; Marchand-Austin, Alex; Li, Aimin; Gubbay, Jonathan B.] Ontario Agcy Hlth Protect &amp; Promot, Toronto, ON M9P 3T1, Canada; [Duvvuri, Venkata R.; Gubbay, Jonathan B.] Mt Sinai Hosp, Toronto, ON M5G 1X5, Canada; [Duvvuri, Venkata R.] York Univ, Ctr Dis Modelling, Toronto, ON M3J 2R7, Canada; [Gubbay, Jonathan B.] Univ Toronto, Toronto, ON, Canada; [Gubbay, Jonathan B.] Hosp Sick Children, Toronto, ON M5G 1X8, Canada</t>
  </si>
  <si>
    <t xml:space="preserve">University of Toronto; Sinai Health System Toronto; York University - Canada; University of Toronto; University of Toronto; Hospital for Sick Children (SickKids)</t>
  </si>
  <si>
    <t xml:space="preserve">Gubbay, JB (corresponding author), Ontario Agcy Hlth Protect &amp; Promot, 81 Resources Rd, Toronto, ON M9P 3T1, Canada.</t>
  </si>
  <si>
    <t xml:space="preserve">jonathan.gubbay@oahpp.ca</t>
  </si>
  <si>
    <t xml:space="preserve">Duvvuri, Venkata/H-2728-2019; Gubbay, Jonathan/Q-8580-2019; Neemuchwala, Alefiya/ABC-3694-2020</t>
  </si>
  <si>
    <t xml:space="preserve">Marchand-Austin, Alex/0000-0001-5932-2037; Gubbay, Jonathan/0000-0003-0026-3786; Duvvuri, Venkata/0000-0001-7356-338X</t>
  </si>
  <si>
    <t xml:space="preserve">10.1002/jmv.24024</t>
  </si>
  <si>
    <t xml:space="preserve">AW8BY</t>
  </si>
  <si>
    <t xml:space="preserve">WOS:000346486800012</t>
  </si>
  <si>
    <t xml:space="preserve">Ogimi, C; Xie, H; Waghmare, A; Jerome, KR; Leisenring, WM; Milano, F; Englund, JA; Boeckh, M</t>
  </si>
  <si>
    <t xml:space="preserve">Ogimi, Chikara; Xie, Hu; Waghmare, Alpana; Jerome, Keith R.; Leisenring, Wendy M.; Milano, Filippo; Englund, Janet A.; Boeckh, Michael</t>
  </si>
  <si>
    <t xml:space="preserve">Correlation of initial upper respiratory tract viral burden with progression to lower tract disease in adult allogeneic hematopoietic cell transplant recipients</t>
  </si>
  <si>
    <t xml:space="preserve">Respiratory virus; Influenza; Viral burden; Ct values; Lower respiratory tract infection; Hematopoietic cell transplant</t>
  </si>
  <si>
    <t xml:space="preserve">HUMAN METAPNEUMOVIRUS; INFECTIONS; OUTCOMES</t>
  </si>
  <si>
    <t xml:space="preserve">Background: Some respiratory viruses have been evaluated for the association between viral burden and respiratory disease progression in hematopoietic cell transplant (HCT) recipients, and no significant association has been reported.Objectives: To assess whether initial viral burden of respiratory viruses predicts risk of progression to lower respiratory tract infection (LRTI) among adult allogeneic HCT recipients who presented with upper respiratory tract infection (URTI) with 12 viruses in the PCR era.Study design: We reviewed adult allogeneic HCT recipients (4/2008-9/2018) who presented with their first symptomatic respiratory viral infection following transplantation at the Fred Hutchinson Cancer Center. Cox proportional hazards models were used to investigate whether viral burden as measured by initial Ct values at the diagnosis of URTI is associated with progression to LRTI within 90 days for each virus, treating death as a competing risk.Results: Among 2,148 adult HCT recipients during the study periods, 1,102 episodes of URTI met the study inclusion criteria. Higher viral burden (lower Ct value) were associated with an increased risk of progression to LRTI for influenza after adjusting for immunodeficiency scoring index and initiation of antiviral therapy, respectively. The association between viral burden and progression to LRTI was not found for other viruses.Conclusions: Our findings suggest that routine reporting of viral burden in current molecular diagnostic platforms may be beneficial. Further studies are needed to investigate the impact of viral burden on LRTI in other populations including pediatric HCT recipients.</t>
  </si>
  <si>
    <t xml:space="preserve">[Ogimi, Chikara; Waghmare, Alpana; Englund, Janet A.] Seattle Childrens Hosp, Pediat Infect Dis Div, Seattle, WA USA; [Ogimi, Chikara; Waghmare, Alpana; Englund, Janet A.] Univ Washington, Dept Pediat, Seattle, WA 98195 USA; [Ogimi, Chikara; Waghmare, Alpana; Jerome, Keith R.; Boeckh, Michael] Fred Hutchinson Canc Ctr, Vaccine &amp; Infect Dis Div, Seattle, WA USA; [Xie, Hu; Leisenring, Wendy M.; Milano, Filippo; Boeckh, Michael] Fred Hutchinson Canc Ctr, Div Clin Res, Seattle, WA USA; [Jerome, Keith R.] Univ Washington, Dept Lab Med &amp; Pathol, Seattle, WA 98195 USA; [Milano, Filippo] Univ Washington, Div Med Oncol, Seattle, WA 98195 USA; [Boeckh, Michael] Univ Washington, Dept Med, Seattle, WA USA</t>
  </si>
  <si>
    <t xml:space="preserve">Seattle Children's Hospital; University of Washington; University of Washington Seattle; Fred Hutchinson Cancer Center; Fred Hutchinson Cancer Center; University of Washington; University of Washington Seattle; University of Washington; University of Washington Seattle; University of Washington; University of Washington Seattle</t>
  </si>
  <si>
    <t xml:space="preserve">Ogimi, C (corresponding author), Fred Hutchinson Canc Res Ctr, Vaccine &amp; Infect Dis Div, 1100 Fairview Ave N,Mail Stop E4-215, Seattle, WA 98109 USA.</t>
  </si>
  <si>
    <t xml:space="preserve">cogimi@fredhutch.org</t>
  </si>
  <si>
    <t xml:space="preserve">Englund, Janet/ABV-6379-2022; Ogimi, Chikara/ABD-5632-2020; Boeckh, Michael/AAA-1607-2022</t>
  </si>
  <si>
    <t xml:space="preserve">National Institutes of Health [K23AI139385, R01HL081595, K24HL093294, CA18029, CA15704]; Fred Hutchinson Cancer Center Vaccine and Infectious Disease Division; Seattle Children's Research Institute Clinical Research Scholars Program Award; National Cancer Institute [P01CA018029] Funding Source: NIH RePORTER; National Institute of Allergy and Infectious Diseases [K23AI139385] Funding Source: NIH RePORTER</t>
  </si>
  <si>
    <t xml:space="preserve">National Institutes of Health(United States Department of Health &amp; Human ServicesNational Institutes of Health (NIH) - USA); Fred Hutchinson Cancer Center Vaccine and Infectious Disease Division; Seattle Children's Research Institute Clinical Research Scholars Program Award; National Cancer Institute(United States Department of Health &amp; Human ServicesNational Institutes of Health (NIH) - USANIH National Cancer Institute (NCI)); National Institute of Allergy and Infectious Diseases(United States Department of Health &amp; Human ServicesNational Institutes of Health (NIH) - USANIH National Institute of Allergy &amp; Infectious Diseases (NIAID))</t>
  </si>
  <si>
    <t xml:space="preserve">This work was supported by the National Institutes of Health (grant numbers K23AI139385 to C.O., R01HL081595 and K24HL093294 to M. B., CA18029 to W. L., clinical database, CA15704 to H. X.); the Fred Hutchinson Cancer Center Vaccine and Infectious Disease Division (biorepository); Seattle Children's Research Institute Clinical Research Scholars Program Award) to C. O.</t>
  </si>
  <si>
    <t xml:space="preserve">10.1016/j.jcv.2022.105152</t>
  </si>
  <si>
    <t xml:space="preserve">APR 2022</t>
  </si>
  <si>
    <t xml:space="preserve">1D0EG</t>
  </si>
  <si>
    <t xml:space="preserve">Bronze, Green Accepted</t>
  </si>
  <si>
    <t xml:space="preserve">WOS:000793482900004</t>
  </si>
  <si>
    <t xml:space="preserve">Ison, MG</t>
  </si>
  <si>
    <t xml:space="preserve">Ison, Michael G.</t>
  </si>
  <si>
    <t xml:space="preserve">Antiviral Treatments</t>
  </si>
  <si>
    <t xml:space="preserve">Respiratory virus; Influenza; Respiratory syncytial virus (RSV); Neuraminidase inhibitor; Ribavirin</t>
  </si>
  <si>
    <t xml:space="preserve">RESISTANT INFLUENZA-VIRUS; SIALIDASE FUSION PROTEIN; CRITICALLY-ILL PATIENTS; A DOUBLE-BLIND; INTRAVENOUS PERAMIVIR; ORAL OSELTAMIVIR; NEURAMINIDASE INHIBITORS; LANINAMIVIR OCTANOATE; SEASONAL INFLUENZA; CLINICAL PHARMACOKINETICS</t>
  </si>
  <si>
    <t xml:space="preserve">Most viral respiratory tract infections are caused by classic respiratory viruses, including influenza, respiratory syncytial virus, human metapneumovirus, parainfluenza, rhinovirus, and adenovirus, whereas other viruses, such as herpes simplex, cytomegalovirus, and measles virus, can opportunistically affect the respiratory tract. The M2 inhibitors, amantadine and rimantadine, were historically effective for the prevention and treatment of influenza A but all circulating strains are currently resistant to these drugs. Neuraminidase inhibitors are the sole approved class of antivirals to treat influenza. Ribavirin, especially when combined with intravenous antibody, reduces morbidity and mortality among immunosuppressed patients.</t>
  </si>
  <si>
    <t xml:space="preserve">[Ison, Michael G.] Northwestern Univ, Feinberg Sch Med, Div Infect Dis, 645 North Michigan Ave Suite 900, Chicago, IL 60611 USA</t>
  </si>
  <si>
    <t xml:space="preserve">Ison, MG (corresponding author), Northwestern Univ, Feinberg Sch Med, Div Infect Dis, 645 North Michigan Ave Suite 900, Chicago, IL 60611 USA.</t>
  </si>
  <si>
    <t xml:space="preserve">mgison@northwestern.edu</t>
  </si>
  <si>
    <t xml:space="preserve">Ison, Michael/AAI-2547-2019</t>
  </si>
  <si>
    <t xml:space="preserve">Alios; Astellas; Beckman Coulter; Chimerix; Gilead; Jansen/Johnson Johnson</t>
  </si>
  <si>
    <t xml:space="preserve">Alios; Astellas(Astellas Pharmaceuticals); Beckman Coulter; Chimerix; Gilead(Gilead Sciences); Jansen/Johnson Johnson</t>
  </si>
  <si>
    <t xml:space="preserve">M.G. Ison has received research support, paid to Northwestern University, from Alios, Astellas, Beckman Coulter, Chimerix, Gilead, Jansen/Johnson &amp; Johnson; he has provided compensated consultation to Celltrion, Chimerix, Farmark, Genentech/Roche, Toyama/MediVector, and Shionogi, and uncompensated consultation to BioCryst, Biota, Cellex, GlaxoSmithKlein, Romark, NexBio, Theraclone, Unither Virology, and Vertex; he is also a paid member of data and safety monitor boards related to research activity conducted by Astellas, Jansen/Vertex.</t>
  </si>
  <si>
    <t xml:space="preserve">10.1016/j.ccm.2016.11.008</t>
  </si>
  <si>
    <t xml:space="preserve">WOS:000396387100014</t>
  </si>
  <si>
    <t xml:space="preserve">Prasad, N; Trenholme, AA; Huang, QS; Duque, J; Grant, CC; Newbern, EC</t>
  </si>
  <si>
    <t xml:space="preserve">Prasad, Namrata; Trenholme, Adrian A.; Huang, Q. Sue; Duque, Jazmin; Grant, Cameron C.; Newbern, E. Claire</t>
  </si>
  <si>
    <t xml:space="preserve">Respiratory Virus-related Emergency Department Visits and Hospitalizations Among Infants in New Zealand</t>
  </si>
  <si>
    <t xml:space="preserve">respiratory virus; infants; emergency care; hospitalizations</t>
  </si>
  <si>
    <t xml:space="preserve">SYNCYTIAL-VIRUS; HUMAN-METAPNEUMOVIRUS; CHILDREN; INFLUENZA; INFECTIONS; AUCKLAND; VACCINE</t>
  </si>
  <si>
    <t xml:space="preserve">Background: Estimates of the contribution of respiratory viruses to emergency department (ED) utilization remain limited. Methods: We conducted surveillance of infants with acute respiratory infection (ARI) associated ED visits, which then resulted in either hospital admission or discharge home. Seasonal rates of specific viruses stratified by age, ethnicity, and socioeconomic status were estimated for both visits discharged directly from ED and hospitalizations using rates of positivity for each virus. Results: During the 2014-2016 winter seasons, 3585 (66%) of the 5412 ARI ED visits were discharged home directly and 1827 (34%) were admitted to hospital. Among visits tested for all respiratory viruses, 601/1111 (54.1%) of ED-only and 639/870 (73.4%) of the hospital-admission groups were positive for at least one respiratory virus. Overall, respiratory virus-associated ED visit rates were almost twice as high as hospitalizations. Respiratory syncytial virus was associated with the highest ED (34.4 per 1000) and hospitalization rates (24.6 per 1000) among infants. ED visit and hospitalization rates varied significantly by age and virus. Maori and Pacific children had significantly higher ED visit and hospitalization rates for all viruses compared with children of other ethnicities. Conclusions: Many infants with acute respiratory virus infections are managed in the ED rather than admitted to the hospital. Higher rates of ED-only versus admitted acute respiratory virus infections occur among infants living in lower socioeconomic households, older infants and infants of Maori or Pacific versus European ethnicity. Respiratory virus infections resulting in ED visits should be included in measurements of ARI disease burden.</t>
  </si>
  <si>
    <t xml:space="preserve">[Prasad, Namrata; Huang, Q. Sue; Newbern, E. Claire] Inst Environm Sci &amp; Res, Wellington, New Zealand; [Prasad, Namrata; Grant, Cameron C.] Univ Auckland, Dept Paediat Child &amp; Youth Hlth, Auckland, New Zealand; [Trenholme, Adrian A.] Kidz First Childrens Hosp, Counties Manukau Dist Hlth Board, Auckland, New Zealand; [Duque, Jazmin] Univ Auckland, Sch Populat Hlth, Auckland, New Zealand; [Grant, Cameron C.] Starship Childrens Hosp, Gen Paediat, Auckland, New Zealand</t>
  </si>
  <si>
    <t xml:space="preserve">Institute of Environmental Science &amp; Research (ESR) - New Zealand; University of Auckland; University of Auckland; Starship Children's Hospital</t>
  </si>
  <si>
    <t xml:space="preserve">Prasad, N; Newbern, EC (corresponding author), ESR, NCBID, 66 Ward St, Upper Hutt 5018, New Zealand.</t>
  </si>
  <si>
    <t xml:space="preserve">Namrata.Prasad@esr.cri.nz; Claire.New-bern@esr.cri.nz</t>
  </si>
  <si>
    <t xml:space="preserve">Huang, Q. Sue/0000-0002-3923-5195; Duque, Jazmin/0000-0003-3484-276X; Newbern, Elizabeth Claire/0000-0002-8486-6471</t>
  </si>
  <si>
    <t xml:space="preserve">US Centers for Disease Control and Prevention [1U01IP000480-01]; Pacific Health Research PhD scholarship by the New Zealand Health Research Council; GlaxoSmithKline; New Zealand Ministry of Health</t>
  </si>
  <si>
    <t xml:space="preserve">US Centers for Disease Control and Prevention(United States Department of Health &amp; Human ServicesCenters for Disease Control &amp; Prevention - USA); Pacific Health Research PhD scholarship by the New Zealand Health Research Council; GlaxoSmithKline(GlaxoSmithKline); New Zealand Ministry of Health</t>
  </si>
  <si>
    <t xml:space="preserve">Supported by the US Centers for Disease Control and Prevention funded (grant number 1U01IP000480-01) and a Pacific Health Research PhD scholarship by the New Zealand Health Research Council to N.P. Support in kind was provided by the New Zealand Ministry of Health. N.P., E.C.N., and Q.S.H. are currently contracted on a RSV surveillance project funded by GlaxoSmithKline.</t>
  </si>
  <si>
    <t xml:space="preserve">E176</t>
  </si>
  <si>
    <t xml:space="preserve">E182</t>
  </si>
  <si>
    <t xml:space="preserve">10.1097/INF.0000000000002681</t>
  </si>
  <si>
    <t xml:space="preserve">ND4QL</t>
  </si>
  <si>
    <t xml:space="preserve">WOS:000561886700003</t>
  </si>
  <si>
    <t xml:space="preserve">Etemadi, MR; Jalilian, FA; Othman, N; Lye, MS; Ansari, S; Yubbu, P; Sekawi, Z</t>
  </si>
  <si>
    <t xml:space="preserve">Etemadi, Mohammad Reza; Jalilian, Farid Azizi; Othman, Norlijah; Lye, Munn-Sann; Ansari, Sara; Yubbu, Putri; Sekawi, Zamberi</t>
  </si>
  <si>
    <t xml:space="preserve">Diversity of respiratory viruses detected among hospitalized children with acute lower respiratory tract infections at Hospital Serdang, Malaysia</t>
  </si>
  <si>
    <t xml:space="preserve">Respiratory virus; Hospitalized; Malaysia</t>
  </si>
  <si>
    <t xml:space="preserve">HUMAN METAPNEUMOVIRUS INFECTION; REVERSE TRANSCRIPTION-PCR; POLYMERASE-CHAIN-REACTION; HUMAN RHINOVIRUS C; SYNCYTIAL-VIRUS; MONOCLONAL-ANTIBODIES; ADENOVIRAL INFECTIONS; CLINICAL-SAMPLES; RAPID DIAGNOSIS; HUMAN BOCAVIRUS</t>
  </si>
  <si>
    <t xml:space="preserve">Background: The role of respiratory viruses as the major cause of acute lower respiratory tract infections (ALRTIs) in children is becoming increasingly evident due to the use of sensitive molecular detection methods. The aim of this study was to use conventional and molecular detection methods to assess the epidemiology of respiratory viral infections in children less than five years of age that were hospitalized with ALRTIs. Methods: The cross-sectional study was designed to investigate the occurrence of respiratory viruses including respiratory syncytisl virus (RSV), human metapneumovirus (HMPV), influenza virus A and B (IFV-A and B), parainfluenzavirus 1, 2, 3 and 4 (PIV 1, 2, 3 and 4), human rhinoviruses (HRV), human enterovirus (HEV), human coronaviruses (HCoV) 229E and OC43, human bocavirus (HBoV) and human adenovirus (HAdV) in hospitalized children with ALRTIs, at Hospital Serdang, Malaysia, from June 16 to December 21, 2009. The study was also designed in part to assess the performance of the conventional methods against molecular methods. Results: Viral pathogens were detected in 158 (95.8%) of the patients. Single virus infections were detected in 114 (67.9%) patients; 46 (27.9%) were co-infected with different viruses including double-virus infections in 37 (22.4%) and triple-virus infections in 9 (5.5%) cases. Approximately 70% of samples were found to be positive using conventional methods compared with 96% using molecular methods. A wide range of respiratory viruses were detected in the study. There was a high prevalence of RSV (50.3%) infections, particularly group B viruses. Other etiological agents including HAdV, HMPV, IFV-A, PIV 1-3, HBoV, HCoV-OC43 and HEV were detected in 14.5, 9.6, 9.1, 4.8, 3.6, 2.4 and 1.8 percent of the samples, respectively. Conclusion: Our results demonstrated the increased sensitivity of molecular detection methods compared with conventional methods for the diagnosis of ARTIs in hospitalized children. This is the first report of HMPV infections in Malaysia.</t>
  </si>
  <si>
    <t xml:space="preserve">[Etemadi, Mohammad Reza] Islamic Azad Univ Arak, Fac Basic Sci, Dept Biol, Arak, Iran; [Etemadi, Mohammad Reza; Sekawi, Zamberi] Univ Putra Malaysia, Dept Med Microbiol &amp; Parasitol, Fac Med &amp; Hlth Sci, Serdang 43400, Selangor, Malaysia; [Jalilian, Farid Azizi] Hamadan Univ Med Sci, Dept Med Virol, Fac Med, Hamadan, Iran; [Othman, Norlijah; Yubbu, Putri] Univ Putra Malaysia, Dept Pediat, Fac Med &amp; Hlth Sci, Serdang 43400, Selangor, Malaysia; [Lye, Munn-Sann] Univ Putra Malaysia, Dept Community Hlth, Fac Med &amp; Hlth Sci, Serdang 43400, Selangor, Malaysia; [Ansari, Sara] Univ Putra Malaysia, Dept Anat, Fac Med &amp; Hlth Sci, Serdang 43400, Selangor, Malaysia</t>
  </si>
  <si>
    <t xml:space="preserve">Islamic Azad University; Universiti Putra Malaysia; Hamadan University of Medical Sciences; Universiti Putra Malaysia; Universiti Putra Malaysia; Universiti Putra Malaysia</t>
  </si>
  <si>
    <t xml:space="preserve">Jalilian, FA (corresponding author), Hamadan Univ Med Sci, Dept Med Virol, Fac Med, Hamadan, Iran.</t>
  </si>
  <si>
    <t xml:space="preserve">mr_etemadi@yahoo.com; azizifarid@gmail.com; nor@upm.edu.my; mslye@upm.edu.my; sara.ansari1986@gmail.com; drputri@upm.edu.my; zamberi@upm.edu.my</t>
  </si>
  <si>
    <t xml:space="preserve">Etemadi, Mohammad/M-6420-2019; jalilian, farid/O-8590-2017</t>
  </si>
  <si>
    <t xml:space="preserve">yubbu, putri/0000-0001-5477-9847</t>
  </si>
  <si>
    <t xml:space="preserve">Ministry of Science, Technology and Innovation Malaysia [5450401]</t>
  </si>
  <si>
    <t xml:space="preserve">Ministry of Science, Technology and Innovation Malaysia(Ministry of Energy, Science, Technology, Environment and Climate Change (MESTECC), Malaysia)</t>
  </si>
  <si>
    <t xml:space="preserve">This work was partially supported by grants from the Ministry of Science, Technology and Innovation Malaysia (grant number 5450401). We are grateful to all of the doctors and nurses of the Pediatric Department, Hospital Serdang for providing nasopharyngeal aspirates for the study.</t>
  </si>
  <si>
    <t xml:space="preserve">10.1016/j.jviromet.2019.03.013</t>
  </si>
  <si>
    <t xml:space="preserve">IA9PX</t>
  </si>
  <si>
    <t xml:space="preserve">WOS:000469890400001</t>
  </si>
  <si>
    <t xml:space="preserve">Kim, JK; Jeon, JS; Kim, JW; Rheem, I</t>
  </si>
  <si>
    <t xml:space="preserve">Kim Jae Kyung; Jeon, Jae-Sik; Kim, Jong Wan; Rheem, Insoo</t>
  </si>
  <si>
    <t xml:space="preserve">Epidemiology of Respiratory Viral Infection Using Multiplex RT-PCR in Cheonan, Korea (2006-2010)</t>
  </si>
  <si>
    <t xml:space="preserve">Respiratory virus; epidemiology; multiplex RT-PCR</t>
  </si>
  <si>
    <t xml:space="preserve">COMMUNITY-ACQUIRED PNEUMONIA; HOSPITALIZED CHILDREN; DEVELOPING-COUNTRIES; VIRUS-INFECTIONS; YOUNG-CHILDREN; INFLUENZA; ETIOLOGY; SURVEILLANCE; DIAGNOSIS; MORTALITY</t>
  </si>
  <si>
    <t xml:space="preserve">Multiplex RT-PCR was used to detect respiratory viruses in 5,318 clinical samples referred to the laboratory of a tertiary teaching hospital from December 2006 to November 2010. The acquired data were analyzed with respect to types, ratio, and co-infection trends of infected respiratory viruses. Trends in respiratory viral infection according to sex, age, and period of infection were also analyzed. Of the 5,318 submitted clinical samples, 3,350 (63.0%) specimens were positive for at least one respiratory virus. The infection rates were 15.8% for human rhinovirus, 14.4% for human respiratory syncytial virus A, 9.7% for human respiratory syncytial virus B, 10.1% for human adenovirus, 5.4% for influenza A virus, 1.7% for influenza B virus, 4.7% for human metapneumovirus, 2.3% for human coronavirus OC43, 1.9% for human coronavirus 229E/NL63, 3.7% for human parainfluenza virus (HPIV)-1, 1.1% for HPIV-2, and 5.3% for HPIV-3. The co-infection analysis showed 17.1% of double infections and 1.8% of triple infections. The median age of virus-positive patients was 1.3 years, and 91.5% of virus-positive patients were under 10 years old. Human respiratory syncytial virus was the most common virus in children under 5 years of age, and the influenza A virus was the most prevalent virus in children over 5 years of age. These results help in elucidating the tendency of respiratory viral infections.</t>
  </si>
  <si>
    <t xml:space="preserve">[Kim Jae Kyung] Dankook Univ Hosp, Dept Lab Med, Cheonan 330715, South Korea; [Jeon, Jae-Sik; Kim, Jong Wan; Rheem, Insoo] Dankook Univ, Coll Med, Dept Lab Med, Cheonan 330714, South Korea</t>
  </si>
  <si>
    <t xml:space="preserve">Dankook University; Dankook University Hospital; Dankook University</t>
  </si>
  <si>
    <t xml:space="preserve">Rheem, I (corresponding author), Dankook Univ, Coll Med, Dept Lab Med, Cheonan 330714, South Korea.</t>
  </si>
  <si>
    <t xml:space="preserve">insoo@dankook.ac.kr</t>
  </si>
  <si>
    <t xml:space="preserve">Lee, Jong/D-8530-2011; Kim, Jae Kyung/HSB-0487-2023</t>
  </si>
  <si>
    <t xml:space="preserve">Kim, Jae Kyung/0000-0002-1534-563X</t>
  </si>
  <si>
    <t xml:space="preserve">Dankook University</t>
  </si>
  <si>
    <t xml:space="preserve">The present research was conducted by the research fund of Dankook University in 2005.</t>
  </si>
  <si>
    <t xml:space="preserve">10.4014/jmb.1212.12050</t>
  </si>
  <si>
    <t xml:space="preserve">098KI</t>
  </si>
  <si>
    <t xml:space="preserve">WOS:000315547800019</t>
  </si>
  <si>
    <t xml:space="preserve">Fox, JD</t>
  </si>
  <si>
    <t xml:space="preserve">Fox, Julie D.</t>
  </si>
  <si>
    <t xml:space="preserve">Nucleic acid amplification tests for detection of respiratory viruses</t>
  </si>
  <si>
    <t xml:space="preserve">respiratory virus; diagnosis; nucleic acid amplification; PCR; NASBA; microarray; RVP</t>
  </si>
  <si>
    <t xml:space="preserve">SEQUENCE-BASED AMPLIFICATION; POLYMERASE-CHAIN-REACTION; REVERSE TRANSCRIPTION-PCR; HUMAN CORONAVIRUS NL63; TRACT INFECTIONS; HUMAN METAPNEUMOVIRUS; SYNCYTIAL VIRUS; REAL-TIME; HIGH-THROUGHPUT; HYBRIDIZATION ASSAY</t>
  </si>
  <si>
    <t xml:space="preserve">Nucleic acid amplification tests (NATs) are increasingly being used for diagnosis of respiratory virus infections. The most familiar formats use DNA or RNA target amplification methods for enhanced sensitivity above culture and antigen-based procedures. Although gel and plate-hybridisation methods are still utilised for analysis of amplified products, detection using real-time methods which do not require handling of amplified products are favoured in many laboratories. Assays based on nucleic acid amplification and detection can be designed against a broad range of respiratory viruses and have been particularly useful for detection of recently identified viruses such as human metapneumovirus and coronaviruses NL63 and HKU1. However, the wide range of potential pathogens which can cause similar respiratory symptomology and disease makes application of individual diagnostic assays based on detection of DNA and RNA both complex and expensive. One way to resolve this potential problem is to undertake multiplexed nucleic acid amplification reactions with analysis of amplified products by suspension microarray. The Respiratory Virus Panel (RVP) from Luminex Molecular Diagnostics is one example of such an approach which could be made available to diagnostic and public health laboratories for broad spectrum respiratory virus detection. (C) 2007 Elsevier B.V. All rights reserved.</t>
  </si>
  <si>
    <t xml:space="preserve">Univ Calgary, Prov Lab Publ Hlth Microbiol, Calgary, AB T2N 4W4, Canada; [Fox, Julie D.] Univ Calgary, Dept Med Microbiol &amp; Infect Dis, Calgary, AB, Canada</t>
  </si>
  <si>
    <t xml:space="preserve">University of Calgary; University of Calgary</t>
  </si>
  <si>
    <t xml:space="preserve">Fox, JD (corresponding author), Univ Calgary, Prov Lab Publ Hlth Microbiol, 3030 Hosp Dr NW, Calgary, AB T2N 4W4, Canada.</t>
  </si>
  <si>
    <t xml:space="preserve">J.Fox@provlab.ab.ca</t>
  </si>
  <si>
    <t xml:space="preserve">S15</t>
  </si>
  <si>
    <t xml:space="preserve">S23</t>
  </si>
  <si>
    <t xml:space="preserve">10.1016/S1386-6532(07)70005-7</t>
  </si>
  <si>
    <t xml:space="preserve">256NQ</t>
  </si>
  <si>
    <t xml:space="preserve">WOS:000252736300005</t>
  </si>
  <si>
    <t xml:space="preserve">Respiratory virus surveillance and outbreak investigation</t>
  </si>
  <si>
    <t xml:space="preserve">respiratory virus; diagnosis; nucleic acid amplification; outbreak; pandemic; surveillance</t>
  </si>
  <si>
    <t xml:space="preserve">HUMAN METAPNEUMOVIRUS INFECTION; INTENSIVE-CARE-UNIT; TRACT INFECTIONS; SYNCYTIAL VIRUS; HUMAN BOCAVIRUS; CORONAVIRUS INFECTIONS; TRANSPLANT RECIPIENTS; ACUTE BRONCHIOLITIS; YOUNG-CHILDREN; RT-PCR</t>
  </si>
  <si>
    <t xml:space="preserve">Sensitive, rapid detection of respiratory viruses is needed for surveillance and for investigation of epidemiologically linked cases. The utility of rapid antigen-based methods for detection of common respiratory viruses and to confirm the cause of outbreaks is well established. However, nucleic acid amplification tests (NATs) offer some benefits above antigen or culture-based procedures, with the main advantages being sensitivity and range of pathogens detectable. It is important to understand how changes in our testing methodology alter respiratory virus detection and information for epidemiological studies. For viruses such as influenza A, influenza B and respiratory syncytial virus, NATs offer enhanced sensitivity above antigen assays but still identify the seasonal peaks important for predicting disease and managing time-sensitive prophylaxis. For other viruses, such as rhinoviruses, coronaviruses, human bocavirus and parainfluenza virus type 4, culture and antigen-based procedures are not available and/or lack sensitivity. Thus such targets would be missed if NATs were not included in testing for surveillance and outbreak investigation. As more respiratory viruses are identified there is a need to expand surveillance and further evaluate new technologies and automation beyond currently-available diagnostics to address detection of a broad range of potential pathogens. (C) 2007 Elsevier B.V. All rights reserved.</t>
  </si>
  <si>
    <t xml:space="preserve">Univ Calgary, Prov Lab Publ Hlth Microbiol, Calgary, AB T2N 4W4, Canada; [Fox, Julie D.] Univ Calgary, Dept Med Microbiol &amp; Infect Dis, Calgary, AB T2N 4W4, Canada</t>
  </si>
  <si>
    <t xml:space="preserve">S24</t>
  </si>
  <si>
    <t xml:space="preserve">S30</t>
  </si>
  <si>
    <t xml:space="preserve">10.1016/S1386-6532(07)70006-9</t>
  </si>
  <si>
    <t xml:space="preserve">WOS:000252736300006</t>
  </si>
  <si>
    <t xml:space="preserve">Yan, H; Zhai, B; Yang, F; Wang, PG; Zhou, Y</t>
  </si>
  <si>
    <t xml:space="preserve">Yan, Hui; Zhai, Bo; Yang, Fang; Wang, Penggao; Zhou, Yang</t>
  </si>
  <si>
    <t xml:space="preserve">The Impact of Non-pharmacological Interventions Measures Against COVID-19 on Respiratory Virus in Preschool Children in Henan, China</t>
  </si>
  <si>
    <t xml:space="preserve">JOURNAL OF EPIDEMIOLOGY AND GLOBAL HEALTH</t>
  </si>
  <si>
    <t xml:space="preserve">Respiratory virus; COVID-19; Pandemic; Preschool children; Henan</t>
  </si>
  <si>
    <t xml:space="preserve">BREAST-CANCER; YOUNG-WOMEN; IMAGING FEATURES; AGE; DENSITY</t>
  </si>
  <si>
    <t xml:space="preserve">ObjectivesTo investigate the long-term effects of non-pharmacological interventions (NPIs) measures on the epidemiological characteristics of common respiratory viruses in preschool children in Henan, China.MethodsThis was a retrospective observational study containing data from 17 prefecture-level cities in Henan, China. We analyzed and compared laboratory results and clinical data of preschool children presenting to outpatient clinics for acute respiratory infections (ARTI) after COVID-19 (January 2020-October 2022) and before COVID-19 (December 2017-December 2019). Each year was divided into quarters. The ratio of the odds ratios (ORs) of testing positive for eight respiratory viruses in each year after the pandemic to the prepandemic period was estimated applying a generalized linear model (GLM), using the mean of the positive detection rates in 2018-2019 as a reference.ResultsA total of 11,400 children were enrolled from December 2017 to October 2022. The number of positive detections for all respiratory viruses decreased in 2020-2022 compared to the average of 2018-2019. Human respiratory syncytial virus (hRSV), human rhinovirus (hRV), and influenza virus (IFV) accounted for a larger proportion of all detected viruses before COVID-19 pandemic, whereas hRV, human bocavirus (hBoV), and human adenovirus (hAdV) accounted for a significantly larger proportion after COVID-19 pandemic. The positive detection rates of enveloped viruses [IFV, human parainfluenza virus (hPIV), hRSV, human metapneumovirus (hMPV), and human coronavirus (hCoV)] decreased sharply and the seasonal activity of these viruses was weakened, while the positive detection rates of non-enveloped viruses (hRV, hBoV, and hAdV) increased, especially hRV. The conditions described above tended to occur more frequently in boys and children older than 1 year, and they were also more sensitive to the NPIs.ConclusionsNPIs transformed the epidemiological profile of common respiratory viruses among preschool children during the COVID-19 pandemic. To improve the overall public health response to all respiratory viruses, interventions targeting non-enveloped viruses need to be strengthened to mitigate their continued transmission.</t>
  </si>
  <si>
    <t xml:space="preserve">[Yan, Hui; Zhai, Bo; Yang, Fang; Wang, Penggao; Zhou, Yang] Zhengzhou Univ, Henan Childrens Hosp, Zhengzhou Childrens Hosp, Henan Prov Clin Res Ctr Pediat Dis,Henan Key Lab P, Zhengzhou 450018, Peoples R China</t>
  </si>
  <si>
    <t xml:space="preserve">Zhengzhou University</t>
  </si>
  <si>
    <t xml:space="preserve">Zhou, Y (corresponding author), Zhengzhou Univ, Henan Childrens Hosp, Zhengzhou Childrens Hosp, Henan Prov Clin Res Ctr Pediat Dis,Henan Key Lab P, Zhengzhou 450018, Peoples R China.</t>
  </si>
  <si>
    <t xml:space="preserve">zyangcpu@163.com</t>
  </si>
  <si>
    <t xml:space="preserve">Medical Science and Technology Projects of Henan Province; Henan Provincial Health and Wellness Committee</t>
  </si>
  <si>
    <t xml:space="preserve">The authors thank all the hospital personnel who performed the electronic medical records, the laboratory staff involved in performing the analysis of the virus tests, and the Henan Provincial Health and Wellness Committee for their support of this work.</t>
  </si>
  <si>
    <t xml:space="preserve">2210-6006</t>
  </si>
  <si>
    <t xml:space="preserve">2210-6014</t>
  </si>
  <si>
    <t xml:space="preserve">J EPIDEMIOL GLOB HEA</t>
  </si>
  <si>
    <t xml:space="preserve">J. Epidemiol. Glob. Health</t>
  </si>
  <si>
    <t xml:space="preserve">10.1007/s44197-023-00168-3</t>
  </si>
  <si>
    <t xml:space="preserve">OM6K8</t>
  </si>
  <si>
    <t xml:space="preserve">WOS:001122242100001</t>
  </si>
  <si>
    <t xml:space="preserve">Yu, N; Kim, HR; Kim, TH; Lee, MK</t>
  </si>
  <si>
    <t xml:space="preserve">Yu, Nae; Kim, Hye Ryoun; Kim, Tae-Hyoung; Lee, Mi-Kyung</t>
  </si>
  <si>
    <t xml:space="preserve">CONTROL STRATEGY FOR NOSOCOMIAL RESPIRATORY VIRUS INFECTION BASED ON COLONIZATION OF HEALTHCARE WORKERS</t>
  </si>
  <si>
    <t xml:space="preserve">SOUTHEAST ASIAN JOURNAL OF TROPICAL MEDICINE AND PUBLIC HEALTH</t>
  </si>
  <si>
    <t xml:space="preserve">respiratory virus; colonization; healthcare worker; nasopharyngeal swab; South Korea</t>
  </si>
  <si>
    <t xml:space="preserve">2009 INFLUENZA; HUMAN METAPNEUMOVIRUS</t>
  </si>
  <si>
    <t xml:space="preserve">Many respiratory viruses are easily spread by human-to-human transmission, and healthcare workers (HCWs) are likely to be sources of infection. The study verified colonization rates of respiratory viruses (including H1N1) in HCWs and evaluated the necessity of nasopharyngeal swab screening in HCWs for detection of subclinical infections. First-line and non-first-line HCWs were monitored in May and August 2010 for respiratory virus colonization, obtaining 147 nasal secretion samples for RT-multiplex-PCR to identify seven respiratory viruses and RT-PCR for pandemic H1N1 2009. All participants were asked to complete questionnaire on demographics and previous clinical symptoms. Positive results for respiratory viruses were more frequent (13.3%) in first-line than in non-first-line (3.5%) HCWs in May than in August. In addition, first-line HCWs presented more frequently with respiratory virus infection-related symptoms than non-first-line HCWs. Nasopharyngeal swab screening by RT-PCR in conjunction with observations of associated symptoms in first-line HCWs could provide effective early detection and prevention of nosocomial spread of respiratory viruses.</t>
  </si>
  <si>
    <t xml:space="preserve">[Yu, Nae; Kim, Hye Ryoun; Lee, Mi-Kyung] Chung Ang Univ, Coll Med, Dept Lab Med, Seoul, South Korea; [Kim, Tae-Hyoung] Chung Ang Univ, Coll Med, Dept Urol, Seoul, South Korea</t>
  </si>
  <si>
    <t xml:space="preserve">Chung Ang University; Chung Ang University Hospital; Chung Ang University; Chung Ang University Hospital</t>
  </si>
  <si>
    <t xml:space="preserve">Lee, MK (corresponding author), Chung Ang Univ Hosp, Dept Lab Med, 102 Heukseok Ro, Seoul 06973, South Korea.</t>
  </si>
  <si>
    <t xml:space="preserve">cpworld@cau.ac.kr</t>
  </si>
  <si>
    <t xml:space="preserve">Kim, Han/C-4709-2011</t>
  </si>
  <si>
    <t xml:space="preserve">Basic Science Research Program through the National Research Foundation of Korea (NRF) - Ministry of Education [NRF2015R1D1A1A-01058906]</t>
  </si>
  <si>
    <t xml:space="preserve">Basic Science Research Program through the National Research Foundation of Korea (NRF) - Ministry of Education</t>
  </si>
  <si>
    <t xml:space="preserve">The research was supported by the Basic Science Research Program through the National Research Foundation of Korea (NRF) funded by the Ministry of Education (grant no. NRF2015R1D1A1A-01058906).</t>
  </si>
  <si>
    <t xml:space="preserve">SOUTHEAST ASIAN MINISTERS EDUC ORGANIZATION</t>
  </si>
  <si>
    <t xml:space="preserve">SEAMEO-TROPMED, 420-6 RAJVITHI RD,, BANGKOK 10400, THAILAND</t>
  </si>
  <si>
    <t xml:space="preserve">0125-1562</t>
  </si>
  <si>
    <t xml:space="preserve">SE ASIAN J TROP MED</t>
  </si>
  <si>
    <t xml:space="preserve">Southeast Asian J. Trop. Med. Public Health</t>
  </si>
  <si>
    <t xml:space="preserve">Public, Environmental &amp; Occupational Health; Infectious Diseases; Tropical Medicine</t>
  </si>
  <si>
    <t xml:space="preserve">HJ1FE</t>
  </si>
  <si>
    <t xml:space="preserve">WOS:000456906500009</t>
  </si>
  <si>
    <t xml:space="preserve">Martin, ET; Fairchok, MP; Stednick, ZJ; Kuypers, J; Englund, JA</t>
  </si>
  <si>
    <t xml:space="preserve">Martin, Emily T.; Fairchok, Mary P.; Stednick, Zach J.; Kuypers, Jane; Englund, Janet A.</t>
  </si>
  <si>
    <t xml:space="preserve">Epidemiology of Multiple Respiratory Viruses in Childcare Attendees</t>
  </si>
  <si>
    <t xml:space="preserve">respiratory virus; coinfection; childcare</t>
  </si>
  <si>
    <t xml:space="preserve">INVASIVE PNEUMOCOCCAL DISEASE; SEASONAL INFLUENZA-A; TIME RT-PCR; SYNCYTIAL VIRUS; HUMAN METAPNEUMOVIRUS; TRACT INFECTIONS; HOSPITALIZED CHILDREN; SEVERE BRONCHIOLITIS; VIRAL COINFECTION; CLINICAL-DISEASE</t>
  </si>
  <si>
    <t xml:space="preserve">Background. The identification of multiple viruses during respiratory illness is increasing with advances in rapid molecular testing; however, the epidemiology of respiratory viral coinfections is not well known. Methods. In total, 225 childcare attendees were prospectively followed for up to 2 years. Nasal swabs were collected at respiratory illness onset and every 7-10 days until illness resolution. Swabs were tested by polymerase chain reaction for 15 respiratory viruses and subtypes. Results. At least 1 virus was detected in 382 (84%) of 455 new-onset illnesses with multiple viruses identified in 212 (46%). The proportion of subject swabs with multiple viruses detected changed as respiratory illnesses progressed from week to week, as did the prevalence of individual viruses. Children with multiple viruses detected at the time of illness onset had less frequent fever (odds ratio [OR], 0.56; 95% confidence interval [CI], 0.35, 0.90), however, these children more often had illness symptoms lasting over 7 days (OR, 1.94; 95% CI, 1.20, 3.14). Conclusions. A high proportion of daycare attendees had multiple viruses detected during respiratory illnesses. Delay between onset of illness and viral detection varied by virus, indicating that some viruses may be underrepresented in studies of virus epidemiology that rely on only a single test at symptom onset.</t>
  </si>
  <si>
    <t xml:space="preserve">[Martin, Emily T.] Wayne State Univ, Dept Pharm Practice, Detroit, MI USA; [Fairchok, Mary P.] Madigan Army Med Ctr, Dept Pediat, Tacoma, WA 98431 USA; [Stednick, Zach J.] Fred Hutchinson Canc Res Ctr, Vaccine &amp; Infect Dis Dept, Seattle, WA 98104 USA; [Kuypers, Jane] Univ Washington, Dept Lab Med, Seattle, WA 98195 USA; [Englund, Janet A.] Seattle Childrens Hosp, Dept Pediat, Seattle, WA USA</t>
  </si>
  <si>
    <t xml:space="preserve">Wayne State University; Madigan Army Medical Center; Fred Hutchinson Cancer Center; University of Washington; University of Washington Seattle; Seattle Children's Hospital</t>
  </si>
  <si>
    <t xml:space="preserve">Martin, ET (corresponding author), 259 Mack Ave, Detroit, MI 48201 USA.</t>
  </si>
  <si>
    <t xml:space="preserve">etmartin@wayne.edu</t>
  </si>
  <si>
    <t xml:space="preserve">Englund, Janet/ABV-6379-2022</t>
  </si>
  <si>
    <t xml:space="preserve">MedImmune, Inc.; Novartis</t>
  </si>
  <si>
    <t xml:space="preserve">MedImmune, Inc.(AstraZenecaMedimmune); Novartis(Novartis)</t>
  </si>
  <si>
    <t xml:space="preserve">J. A. E. has received research support from MedImmune, Inc., and Novartis, and serves as a consultant for GlaxoSmithKline and Novavax. All other authors declare no conflicts of interest.</t>
  </si>
  <si>
    <t xml:space="preserve">MAR 15</t>
  </si>
  <si>
    <t xml:space="preserve">10.1093/infdis/jis934</t>
  </si>
  <si>
    <t xml:space="preserve">092XO</t>
  </si>
  <si>
    <t xml:space="preserve">WOS:000315156500015</t>
  </si>
  <si>
    <t xml:space="preserve">Saadi, S; Kallala, O; Fodha, I; Jerbi, A; BenHamida-Rebai, M; Fredj, MB; Ben Hamouda, H; Mathlouthi, J; Khlifa, M; Boussofara, R; Boussetta, K; Abroug, S; Trabelsi, A</t>
  </si>
  <si>
    <t xml:space="preserve">Saadi, Souhir; Kallala, Ouafa; Fodha, Imene; Jerbi, Amira; BenHamida-Rebai, Meriem; Fredj, Mouna Ben Hadj; Ben Hamouda, Hichem; Mathlouthi, Jihen; Khlifa, Monia; Boussofara, Raoudha; Boussetta, Khadija; Abroug, Saoussen; Trabelsi, Abdelhalim</t>
  </si>
  <si>
    <t xml:space="preserve">Correlation between Children Respiratory Virus Infections and Climate Factors</t>
  </si>
  <si>
    <t xml:space="preserve">respiratory virus; climatic factor; children; seasonality; lower respiratory tract infection</t>
  </si>
  <si>
    <t xml:space="preserve">Objective Respiratory viruses are the most important cause of lower respiratory tract infections (LRTI) in children. Meteorological factors can influence viral outbreaks. The objective of this study was to determine the association between climate variables and respiratory virus detection. Methods Multicenter prospective 1-year surveillance was conducted among children hospitalized for LRTI in Tunisia. Nasopharyngeal aspirates were tested by direct immunofluorescence assay (DIFA) for the detection of respiratory syncytial virus (RSV); adenovirus (AdV); influenza virus (IFV) A and B; and parainfluenza virus 1, 2, and 3 (PIV1/2/3). Samples were further analyzed by reverse-transcription polymerase chain reaction for the detection of human metapneumovirus (hMPV). Monthly meteorological data were determined by consulting the National Institute of Meteorology and the World Weather Online Meteorological Company websites. Pearson's correlation tests were used to determine the statistical association between the detection of respiratory viruses and climatic characteristics. Results Among 572 patients, 243 (42.5%) were positive for at least one virus. The most frequently detected viruses by DIFA were RSV (30.0%), followed by IFVA (3.8%), IFVB (3.5%), PIV (0.9%), and AdV (0.9%). HMPV was detected in 13 RSV-negative samples (3.3%). Dual infections were detected in seven cases (1.2%). Monthly global respiratory viruses and RSV detections correlated significantly with temperature, rainfall, cloud cover, wind speed, wind temperature, and duration of sunshine. Monthly IFV detection significantly correlated with rainfall, wind speed, wind temperature, and duration of sunshine. HMPV detection significantly correlated with temperature and wind temperature. Conclusion Respiratory viral outbreaks are clearly related to meteorological factors in Tunisia.</t>
  </si>
  <si>
    <t xml:space="preserve">[Saadi, Souhir; Kallala, Ouafa; Fodha, Imene; Jerbi, Amira; BenHamida-Rebai, Meriem; Fredj, Mouna Ben Hadj; Trabelsi, Abdelhalim] Univ Sousse, Sahloul Univ Hosp, Res Lab Epidemiol &amp; Immunogenet Viral Infect, Sousse, Tunisia; [Saadi, Souhir; Kallala, Ouafa; Fodha, Imene; Jerbi, Amira; BenHamida-Rebai, Meriem; Trabelsi, Abdelhalim] Univ Monastir, Fac Pharm, Monastir, Tunisia; [Fredj, Mouna Ben Hadj] Univ Kairouan, Fac Sci &amp; Tech, Kairouan, Tunisia; [Ben Hamouda, Hichem] Tahar Sfar Univ Hosp, Neonatol Ward, Mandia, Tunisia; [Mathlouthi, Jihen] Farhat Hached Univ Hosp, Neonatol Ward, Sousse, Tunisia; [Khlifa, Monia] Reg Hosp Msaken, Pediat Ward, Sousse, Tunisia; [Boussofara, Raoudha] Tahar Sfar Univ Hosp, Pediat Ward, Mandia, Tunisia; [Boussetta, Khadija] Univ Hosp Children, Pediat Ward, Tunis, Tunisia; [Abroug, Saoussen] Sahloul Univ Hosp, Pediat Ward, Sousse, Tunisia</t>
  </si>
  <si>
    <t xml:space="preserve">Universite de Sousse; Hopital Sahloul; Universite de Monastir; Universite de Kairouan; Universite de Monastir; Hopital Universitaire Tahar Sfar; Universite de Sousse; Hopital Farhat Hached; Universite de Monastir; Hopital Universitaire Tahar Sfar; Universite de Tunis-El-Manar; Hopital d'Enfants; Universite de Sousse; Hopital Sahloul</t>
  </si>
  <si>
    <t xml:space="preserve">Kallala, O (corresponding author), Fac Pharm, Dept Clin Biol B, Avicenne St, Monastir 5000, Tunisia.</t>
  </si>
  <si>
    <t xml:space="preserve">ouafa.kallala@gmail.com</t>
  </si>
  <si>
    <t xml:space="preserve">10.1055/s-0040-1722569</t>
  </si>
  <si>
    <t xml:space="preserve">FEB 2021</t>
  </si>
  <si>
    <t xml:space="preserve">QS8QB</t>
  </si>
  <si>
    <t xml:space="preserve">WOS:000614612700001</t>
  </si>
  <si>
    <t xml:space="preserve">An, TJ; Lee, J; Shin, M; Yoo, KH; Hwang, YI; Min, KH; Kim, DK; Sim, YS; Jung, JY; Rhee, CK</t>
  </si>
  <si>
    <t xml:space="preserve">An, Tai Joon; Lee, Jangwon; Shin, Myoungin; Yoo, Kwang Ha; Hwang, Yong Il; Min, Kyung Hoon; Kim, Deog Kyeom; Sim, Yun Su; Jung, Ji Ye; Rhee, Chin Kook</t>
  </si>
  <si>
    <t xml:space="preserve">Korean Asthma Study Grp; Korean COPD Study Grp; KATRD</t>
  </si>
  <si>
    <t xml:space="preserve">Similarity analyses of causative viruses for chronic obstructive pulmonary disease and asthma exacerbations</t>
  </si>
  <si>
    <t xml:space="preserve">BMC PULMONARY MEDICINE</t>
  </si>
  <si>
    <t xml:space="preserve">Respiratory virus; Chronic obstructive pulmonary disease; Asthma; Exacerbation; Causative agent; Cohort; Representativeness</t>
  </si>
  <si>
    <t xml:space="preserve">BURDEN</t>
  </si>
  <si>
    <t xml:space="preserve">Background The representativeness of cohort studies compared to nationwide data is a major concern. This study evaluated the similarity and seasonality of causative respiratory viruses for chronic obstructive pulmonary disease (COPD) and asthma exacerbations between retrospective multicenter cohort study and nationwide data. Methods We compared data from the retrospective multicenter cohort study with Korean Influenza and Respiratory Surveillance System data between 2015 and 2018. Correlation, dynamic time warping (DTW), and seasonal autoregressive integrated moving average (SARIMA) analyses were performed. Results Spearman correlation coefficients [rho] indicated very strong (respiratory syncytial virus [RSV] [rho = 0.8458] and influenza virus [IFV] [rho = 0.8272]), strong (human metapneumovirus [HMPV] [rho = 0.7177] and parainfluenza virus [PIV] [rho = 0.6742]), and moderate (rhinovirus [RV] [rho = 0.5850] and human coronavirus [HCoV] [rho = 0.5158]) correlations. DTW analyses showed moderate (PIV) and high (IFV, RSV, and HMPV) synchronicity between the two datasets, while RV and HCoV showed low synchronicity. SARIMA analyses revealed 12-month seasonality for IFV, RSV, PIV, and HMPV. The peak season was winter for RSV and IFV, spring to summer for PIV, and spring for HMPV. Conclusions This was the first study to report the synchronicity between a retrospective multicenter cohort study of viruses that can cause COPD or asthma exacerbations and nationwide surveillance system data.</t>
  </si>
  <si>
    <t xml:space="preserve">[An, Tai Joon] Catholic Univ Korea, Yeouido St Marys Hosp, Dept Internal Med, Div Pulm &amp; Crit Care Med,Coll Med, Seoul, South Korea; [Lee, Jangwon] Korea Univ, Dept Stat, Seoul, South Korea; [Shin, Myoungin] Agcy Def Dev, Sonar Syst PMO, Chang Won, South Korea; [Yoo, Kwang Ha] Konkuk Univ, Sch Med, Dept Internal Med, Seoul, South Korea; [Hwang, Yong Il] Hallym Univ, Sacred Heart Hosp, Dept Internal Med, Div Pulm Allergy &amp; Crit Care Med,Coll Med, Anyang, South Korea; [Min, Kyung Hoon] Korea Univ, Guro Hosp, Coll Med, Dept Internal Med,Div Pulmonol Allergy &amp; Crit Care, Seoul, South Korea; [Kim, Deog Kyeom] Seoul Natl Univ, Dept Internal Med, Div Pulm &amp; Crit Care Med, Seoul Metropolitan Govt,Boramae Med Ctr,Coll Med, Seoul, South Korea; [Sim, Yun Su] Kangnam Sacred Heart Hosp, Div Pulm Allergy &amp; Crit Care Med, Seoul, South Korea; [Jung, Ji Ye] Yonsei Univ, Severance Hosp, Dept Internal Med, Div Pulm &amp; Crit Care Med,Coll Med, Seoul, South Korea; [Rhee, Chin Kook] Catholic Univ Korea, Seoul St Marys Hosp, Coll Med, Dept Internal Med,Div Pulm &amp; Crit Care Med, Seoul, South Korea</t>
  </si>
  <si>
    <t xml:space="preserve">Catholic University of Korea; Korea University; Agency of Defense Development (ADD), Republic of Korea; Konkuk University; Konkuk University Medical Center; Hallym University; Korea University; Korea University Medicine (KU Medicine); Seoul National University (SNU); Seoul National University Hospital; Yonsei University; Yonsei University Health System; Seoul St. Mary's Hospital; Catholic University of Korea</t>
  </si>
  <si>
    <t xml:space="preserve">Rhee, CK (corresponding author), Catholic Univ Korea, Seoul St Marys Hosp, Coll Med, Dept Internal Med,Div Pulm &amp; Crit Care Med, Seoul, South Korea.</t>
  </si>
  <si>
    <t xml:space="preserve">chinkook77@gmail.com</t>
  </si>
  <si>
    <t xml:space="preserve">Jung, Ji/AAB-4993-2021; HWANG, YONG/AAU-7121-2021; Rhee, Chin Kook/P-8885-2018; Min, Kyung Hoon/C-5984-2019</t>
  </si>
  <si>
    <t xml:space="preserve">Kim, Deog Kyeom/0000-0001-9379-8098; An, Tai Joon/0000-0002-0286-2638; Jung, Ji Ye/0000-0003-1589-4142; Shin, MyoungIn/0000-0003-3456-8123; YOO, KWANG HA/0000-0001-9969-2657; Rhee, Chin Kook/0000-0003-4533-7937; Min, Kyung Hoon/0000-0003-0610-2182</t>
  </si>
  <si>
    <t xml:space="preserve">Korean Environment Industry and Technology Institute through the Core Technology Development Project for Environmental Disease Prevention and Management - Korea Ministry of Environment [2022003310008]</t>
  </si>
  <si>
    <t xml:space="preserve">Korean Environment Industry and Technology Institute through the Core Technology Development Project for Environmental Disease Prevention and Management - Korea Ministry of Environment</t>
  </si>
  <si>
    <t xml:space="preserve">This study was supported by grants from the Korean Environment Industry and Technology Institute through the Core Technology Development Project for Environmental Disease Prevention and Management, funded by the Korea Ministry of Environment (Grant number 2022003310008).</t>
  </si>
  <si>
    <t xml:space="preserve">1471-2466</t>
  </si>
  <si>
    <t xml:space="preserve">BMC PULM MED</t>
  </si>
  <si>
    <t xml:space="preserve">BMC Pulm. Med.</t>
  </si>
  <si>
    <t xml:space="preserve">SEP 27</t>
  </si>
  <si>
    <t xml:space="preserve">10.1186/s12890-024-03298-x</t>
  </si>
  <si>
    <t xml:space="preserve">H7F1W</t>
  </si>
  <si>
    <t xml:space="preserve">WOS:001325053400001</t>
  </si>
  <si>
    <t xml:space="preserve">Grijalva, CG; Griffin, MR; Edwards, KM; Johnson, M; Gil, AI; Verástegui, H; Lanata, CF; Williams, JV</t>
  </si>
  <si>
    <t xml:space="preserve">Grijalva, Carlos G.; Griffin, Marie R.; Edwards, Kathryn M.; Johnson, Monika; Gil, Ana I.; Verastegui, Hector; Lanata, Claudio F.; Williams, John V.</t>
  </si>
  <si>
    <t xml:space="preserve">Concordance between RT-PCR-based detection of respiratory viruses from nasal swabs collected for viral testing and nasopharyngeal swabs collected for bacterial testing</t>
  </si>
  <si>
    <t xml:space="preserve">Respiratory virus; Children; Epidemiology; Nasal swab; Nasopharyngeal swab</t>
  </si>
  <si>
    <t xml:space="preserve">STANDARD METHOD; ASSAY; AGREEMENT; CARRIAGE</t>
  </si>
  <si>
    <t xml:space="preserve">Background: Epidemiologic studies of respiratory infections frequently rely on separate sample collections for the detection of bacteria and viruses. The requirement for two specimens presents cost, logistical, and acceptability challenges. Objectives: To determine the agreement in detection of respiratory viruses using RT-PCR between two different types of samples collected on the same day: nasal swabs preserved in viral transport medium (NS) and nasopharyngeal swabs preserved in skim milk-tryptone-glucose-glycerol [STGG] medium (NP), the current standard for pneumococcal colonization studies. Study design: Paired NS and NP samples were collected between May 2009 and September 2011 as part of the RESPIRA-PERU study, a large prospective cohort of Andean children &lt;3 years of age. NS samples used polyester swabs and viral transport medium whereas NP samples used rayon wire-handled swabs and STGG medium. Samples were tested for influenza, human metapneumovirus (MPV), respiratory syncytial virus (RSV), human rhinovirus (HRV), parainfluenza virus 3 (PIV3) and adenovirus (ADV) using real-time RT-PCR. We calculated the agreement, and compared cycle thresholds (CT) between NP and NS samples. Results: Among 226 paired NP-NS samples, we observed very high agreement with a Kappa statistic ranging from 0.71 for ADV to 0.97 for MPV. CT values were similar for both strategies. Conclusions: NP samples preserved in STGG provide a simple and reliable strategy for identification of both pneumococcus and respiratory viruses. This single specimen collection strategy could be used for epidemiologic studies, especially in resource-limited settings. Furthermore, archived NP-STGG specimens from previous studies could be reliably tested by RT-PCR for viruses. (C) 2014 Elsevier B.V. All rights reserved.</t>
  </si>
  <si>
    <t xml:space="preserve">[Grijalva, Carlos G.; Griffin, Marie R.] Vanderbilt Univ, Sch Med, Dept Hlth Policy, Nashville, TN 37212 USA; [Edwards, Kathryn M.; Williams, John V.] Vanderbilt Univ, Sch Med, Dept Pediat, Nashville, TN 37212 USA; [Johnson, Monika; Williams, John V.] Vanderbilt Univ, Sch Med, Dept Pathol Microbiol &amp; Immunol, Nashville, TN 37212 USA; [Gil, Ana I.; Verastegui, Hector; Lanata, Claudio F.] Inst Invest Nutr, Lima, Peru</t>
  </si>
  <si>
    <t xml:space="preserve">Vanderbilt University; Vanderbilt University; Vanderbilt University</t>
  </si>
  <si>
    <t xml:space="preserve">Grijalva, CG (corresponding author), Vanderbilt Univ, Sch Med, Dept Hlth Policy, 1500 21st Ave South,Suite 2600, Nashville, TN 37212 USA.</t>
  </si>
  <si>
    <t xml:space="preserve">Carlos.grijalva@vanderbilt.edu</t>
  </si>
  <si>
    <t xml:space="preserve">Williams, John/ABE-3227-2020; Lanata, Claudio/N-7997-2018; Grijalva, Carlos/HRA-9217-2023; Williams, John/F-6962-2010</t>
  </si>
  <si>
    <t xml:space="preserve">Grijalva, Carlos/0000-0002-2329-7797; Williams, John/0000-0001-8377-5175</t>
  </si>
  <si>
    <t xml:space="preserve">Thrasher Research Fund [02832-9]; Vanderbilt University CTSA grant from the US National Institutes of Health [UL1 RR024975-01]; Pfizer [IIR WS1898786(0887X1-4492)]</t>
  </si>
  <si>
    <t xml:space="preserve">Thrasher Research Fund; Vanderbilt University CTSA grant from the US National Institutes of Health; Pfizer(Pfizer)</t>
  </si>
  <si>
    <t xml:space="preserve">This study was supported by the Thrasher Research Fund (grant 02832-9), Vanderbilt University CTSA grant UL1 RR024975-01 from the US National Institutes of Health, and an investigator initiated research grant IIR WS1898786(0887X1-4492) from Pfizer.</t>
  </si>
  <si>
    <t xml:space="preserve">10.1016/j.jcv.2014.04.011</t>
  </si>
  <si>
    <t xml:space="preserve">AL7BF</t>
  </si>
  <si>
    <t xml:space="preserve">WOS:000339287200019</t>
  </si>
  <si>
    <t xml:space="preserve">Durigon, GS; Oliveira, DBL; Felicio, MCC; Finelli, C; Pereira, MFB; Storni, JG; Caldeira, RN; Berezin, RC; Durigon, EL; Berezin, EN</t>
  </si>
  <si>
    <t xml:space="preserve">Durigon, Giuliana Stravinskas; Leal Oliveira, Danielle Bruna; Calahani Felicio, Maria Carolina; Finelli, Cristiane; Badue Pereira, Maria Fernanda; Storni, Juliana Gamo; Caldeira, Raquel Negrao; Berezin, Reni Chehter; Durigon, Edison Luiz; Berezin, Eitan Naaman</t>
  </si>
  <si>
    <t xml:space="preserve">Poor Outcome of Acute Respiratory Infection in Young Children with Underlying Health Condition in Brazil</t>
  </si>
  <si>
    <t xml:space="preserve">Respiratory virus; Children; Acute respiratory tract infection; underlying disease</t>
  </si>
  <si>
    <t xml:space="preserve">SYNCYTIAL VIRUS-INFECTION; HIGH-RISK; IDENTIFICATION; EPIDEMIOLOGY; INFLUENZA; INFANTS; PCR; BRONCHIOLITIS; PALIVIZUMAB; MORTALITY</t>
  </si>
  <si>
    <t xml:space="preserve">Objectives: It is well established that respiratory viruses are an important cause of hospitalizations in young children worldwide, but data are limited on the contribution of specific viruses to severe illness in South America. We describe clinical and laboratory findings from prospective surveillance for acute respiratory infections at a tertiary hospital in Sao Paulo, Brazil. Methods: We screened children &lt; 2 years old with acute respiratory tract infections admitted to an urban tertiary hospital for respiratory viruses from March 2008 through February 2010, using polymerase chain reaction assays. Results: Respiratory viruses were identified in 378 (53%) of the 715 samples analyzed. Respiratory syncytial virus was the most commonly identified virus (52%), followed by adenovirus (27%) and Human metapneumovirus (12%). More than one virus was identified in 19% of specimens. Almost half of the samples (46%) were from children with underlying health conditions. We demonstrated that compared to the previously healthy group, those with comorbidities had a worse outcome in terms of severity, with prolonged hospital stay and more need of intensive care. Conclusion: Identification of this high-risk population along with strategies for fast diagnosis might each help to reduce morbidity and mortality in this group. (C) 2015 The Authors. Published by Elsevier Ltd on behalf of International Society for Infectious Diseases.</t>
  </si>
  <si>
    <t xml:space="preserve">[Durigon, Giuliana Stravinskas; Calahani Felicio, Maria Carolina; Finelli, Cristiane; Badue Pereira, Maria Fernanda; Storni, Juliana Gamo; Berezin, Eitan Naaman] Santa Casa Misericordia Hosp, Dept Pediat, BR-01220020 Sao Paulo, SP, Brazil; [Durigon, Giuliana Stravinskas; Badue Pereira, Maria Fernanda] Univ Sao Paulo, Childrens Inst, Div Infect Dis, HC FMUSP, BR-05403000 Sao Paulo, SP, Brazil; [Durigon, Giuliana Stravinskas; Leal Oliveira, Danielle Bruna; Caldeira, Raquel Negrao; Durigon, Edison Luiz] Univ Sao Paulo, Inst Biomed Sci, Dept Microbiol, BR-05508900 Sao Paulo, SP, Brazil; [Berezin, Reni Chehter] Stat Consultant, BR-05611050 Sao Paulo, SP, Brazil</t>
  </si>
  <si>
    <t xml:space="preserve">Universidade de Sao Paulo; Universidade de Sao Paulo</t>
  </si>
  <si>
    <t xml:space="preserve">Durigon, GS (corresponding author), Univ Sao Paulo, Inst Biomed Sci, Dept Microbiol, Av Prof Lineu Prestes, BR-05508900 Sao Paulo, SP, Brazil.</t>
  </si>
  <si>
    <t xml:space="preserve">giuliana.durigon@gmail.com; danibruna@gmail.com; carolcalahani@hotmail.com; cfinelli@bol.com.br; fernandabadue@uol.com.br; juliana.storni@gmail.com; biogirl8@gmail.com; reniberezin@hotmail.com; eldurigo@usp.br; eberezin2003@yahoo.com</t>
  </si>
  <si>
    <t xml:space="preserve">Finelli, Carlo/AAB-9686-2019; Oliveira, Danielle/H-8030-2015</t>
  </si>
  <si>
    <t xml:space="preserve">Durigon, Edison/0000-0003-4898-6553; Oliveira, Danielle/0000-0002-0534-0886</t>
  </si>
  <si>
    <t xml:space="preserve">Fundacao de Amparo a Pesquisa do Estado de Sao Paulo (FAPESP); CNPq - Conselho Nacional de Desenvolvimento Cientifico e Tecnologico, Brazil</t>
  </si>
  <si>
    <t xml:space="preserve">Fundacao de Amparo a Pesquisa do Estado de Sao Paulo (FAPESP)(Fundacao de Amparo a Pesquisa do Estado de Sao Paulo (FAPESP)); CNPq - Conselho Nacional de Desenvolvimento Cientifico e Tecnologico, Brazil(Conselho Nacional de Desenvolvimento Cientifico e Tecnologico (CNPQ))</t>
  </si>
  <si>
    <t xml:space="preserve">This study has been funded in part by the Fundacao de Amparo a Pesquisa do Estado de Sao Paulo (FAPESP) and the CNPq - Conselho Nacional de Desenvolvimento Cientifico e Tecnologico, Brazil.</t>
  </si>
  <si>
    <t xml:space="preserve">10.1016/j.ijid.2015.03.003</t>
  </si>
  <si>
    <t xml:space="preserve">CK0WS</t>
  </si>
  <si>
    <t xml:space="preserve">WOS:000355926800002</t>
  </si>
  <si>
    <t xml:space="preserve">Sanbonmatsu-Gámez, S; Pérez-Ruiz, M; Lara-Oya, A; Pedrosa-Corral, I; Riazzo-Damas, C; Navarro-Marí, JM</t>
  </si>
  <si>
    <t xml:space="preserve">Sanbonmatsu-Gamez, Sara; Perez-Ruiz, Mercedes; Lara-Oya, Ana; Pedrosa-Corral, Irene; Riazzo-Damas, Cristina; Maria Navarro-Mari, Jose</t>
  </si>
  <si>
    <t xml:space="preserve">Analytical performance of the automated multianalyte point-of-care mariPOC® for the detection of respiratory viruses</t>
  </si>
  <si>
    <t xml:space="preserve">Respiratory virus; antigen detection; point-of-care; rapid test</t>
  </si>
  <si>
    <t xml:space="preserve">2-PHOTON EXCITATION ASSAY; INFLUENZA-A; IMMUNOCHROMATOGRAPHIC TEST; HUMAN METAPNEUMOVIRUS; INFECTIONS; CORONAVIRUS; INFANTS; IMPACT; PCR; IDENTIFICATION</t>
  </si>
  <si>
    <t xml:space="preserve">The analytical performance of mariPOC (R) respi test (ArcDia (R) Laboratories, Turku, Finland) was evaluated using nucleic acid amplification techniques (NAATs) as the gold standard. The mariPOC assay allows automated detection of antigens from 8 respiratory viruses: influenza A and B viruses, respiratory syncytial virus, adenovirus, human metapneumovirus, and parainfluenza viruses 1-3. Positive results from samples with high viral load are available in 20 min. Nasopharyngeal aspirates (n = 192) from patients with acute respiratory infection and from previously positive samples were analyzed by mariPOC and NAATs (Simplexa (TM) FluA/FluB &amp; RSV kit [n = 118] and Luminex (R) Respiratory virus panel xTAG (R) RVP FAST [n = 74]). Sensitivity, specificity, positive predictive value, and negative predictive value of mariPOC were 85.4%, 99.2%, 95.9%, and 97%, respectively, and 84.6% of positive results were reported in 20 min. The good analytical performance and extended portfolio of mariPOC show this rapid assay as a good alternative for the etiological diagnosis of acute respiratory infection in laboratories that are not equipped with molecular assays. (C) 2015 Elsevier Inc. All rights reserved.</t>
  </si>
  <si>
    <t xml:space="preserve">[Sanbonmatsu-Gamez, Sara; Perez-Ruiz, Mercedes; Lara-Oya, Ana; Pedrosa-Corral, Irene; Riazzo-Damas, Cristina; Maria Navarro-Mari, Jose] Hosp Univ Virgen de las Nieves, Microbiol Serv, Granada 18012, Spain; [Sanbonmatsu-Gamez, Sara; Perez-Ruiz, Mercedes; Pedrosa-Corral, Irene; Maria Navarro-Mari, Jose] Inst Invest Biosanitaria Granada, Granada 18012, Spain</t>
  </si>
  <si>
    <t xml:space="preserve">Hospital Universitario Virgen de las Nieves; Instituto de Investigacion Biosanitaria IBS Granada</t>
  </si>
  <si>
    <t xml:space="preserve">Sanbonmatsu-Gámez, S (corresponding author), Hosp Univ Virgen de las Nieves, Microbiol Serv, Ave Fuerzas Armadas 2, Granada 18012, Spain.</t>
  </si>
  <si>
    <t xml:space="preserve">saral.sanbonmatsu.sspa@juntadeandalucia.es</t>
  </si>
  <si>
    <t xml:space="preserve">Navarro-Mari, José Mª/AAY-8421-2021</t>
  </si>
  <si>
    <t xml:space="preserve">Navarro, Jose Maria/0000-0002-5227-5167; Sanbonmatsu-Gamez, Sara Luisa/0000-0003-1859-927X</t>
  </si>
  <si>
    <t xml:space="preserve">10.1016/j.diagmicrobio.2015.07.010</t>
  </si>
  <si>
    <t xml:space="preserve">CU2OO</t>
  </si>
  <si>
    <t xml:space="preserve">WOS:000363363000011</t>
  </si>
  <si>
    <t xml:space="preserve">Hovind, MJ; Berdal, JE; Dalgard, O; Lyngbakken, MN</t>
  </si>
  <si>
    <t xml:space="preserve">Hovind, M. J.; Berdal, J. E.; Dalgard, O.; Lyngbakken, M. N.</t>
  </si>
  <si>
    <t xml:space="preserve">Impact of antibiotic therapy in patients with respiratory viral infections: a retrospective cohort study</t>
  </si>
  <si>
    <t xml:space="preserve">INFECTIOUS DISEASES</t>
  </si>
  <si>
    <t xml:space="preserve">Respiratory virus; antibiotics; prognosis; mortality; length of stay</t>
  </si>
  <si>
    <t xml:space="preserve">COMMUNITY-ACQUIRED PNEUMONIA; ADULTS; INFLUENZA</t>
  </si>
  <si>
    <t xml:space="preserve">ObjectivesThe impact of antibiotics in patients with positive polymerase chain reaction (PCR) for respiratory viruses without evidence of a respiratory bacterial co-infection is largely unknown. The aim of this study was to assess the association of antibiotics on 30-day mortality and length of hospital stay in patients with an acute respiratory infection and PCR documented presence of respiratory viruses.MethodsWe conducted a retrospective cohort study of adult patients admitted to hospital between 2012 and 2021 with positive PCR for influenza virus (H3N2, H1N1, influenza B), respiratory syncytial virus, human metapneumovirus or severe acute respiratory syndrome coronavirus 2. We used logistic regression, the Kaplan-Meier estimator and Poisson's regression to assess the impact of antibiotic therapy on outcomes.ResultsAmong 3979 patients, 67.7% received antibiotics. In adjusted analyses, antibiotics initiated in the emergency department (adjusted OR 1.23, 95% CI 0.77-1.96) and days of antibiotic therapy (adjusted OR per day of therapy 0.98, 95% CI 0.95-1.00) had no significant impact on mortality, whereas antibiotics initiated later during admission (adjusted OR 2.25, 95% CI 1.26-4.02) was associated with increased mortality. Patients prescribed antibiotics had longer duration of hospital admission.ConclusionsWe observed no protective association between in-hospital antibiotic therapy and outcomes, suggesting overuse of antibiotics in respiratory infections with proven respiratory viruses. A restrictive antibiotic strategy may be warranted.</t>
  </si>
  <si>
    <t xml:space="preserve">[Hovind, M. J.; Berdal, J. E.; Dalgard, O.; Lyngbakken, M. N.] Akershus Univ Hosp, Dept Infect Dis, Lorenskog, Norway; [Hovind, M. J.; Berdal, J. E.; Dalgard, O.; Lyngbakken, M. N.] Univ Oslo, Inst Clin Med, Oslo, Norway</t>
  </si>
  <si>
    <t xml:space="preserve">University of Oslo; University of Oslo</t>
  </si>
  <si>
    <t xml:space="preserve">Hovind, MJ (corresponding author), Akershus Univ Hosp, Dept Infect Dis, Lorenskog, Norway.;Hovind, MJ (corresponding author), Univ Oslo, Inst Clin Med, Oslo, Norway.</t>
  </si>
  <si>
    <t xml:space="preserve">Lyngbakken, Magnus/U-1133-2019</t>
  </si>
  <si>
    <t xml:space="preserve">Ishtiaq Khushi at the Unit of Data Analysis, Division of Research and Innovation, Akershus University Hospital</t>
  </si>
  <si>
    <t xml:space="preserve">The authors thank Ishtiaq Khushi at the Unit of Data Analysis, Division of Research and Innovation, Akershus University Hospital, L &amp; oslash;renskog, Norway, for help with data acquisition in this study.</t>
  </si>
  <si>
    <t xml:space="preserve">2374-4235</t>
  </si>
  <si>
    <t xml:space="preserve">2374-4243</t>
  </si>
  <si>
    <t xml:space="preserve">INFECT DIS-NOR</t>
  </si>
  <si>
    <t xml:space="preserve">Infect. Dis.</t>
  </si>
  <si>
    <t xml:space="preserve">10.1080/23744235.2024.2375592</t>
  </si>
  <si>
    <t xml:space="preserve">JUL 2024</t>
  </si>
  <si>
    <t xml:space="preserve">N3L1E</t>
  </si>
  <si>
    <t xml:space="preserve">WOS:001274836900001</t>
  </si>
  <si>
    <t xml:space="preserve">Ogimi, C; Krantz, EM; Golob, JL; Waghmare, A; Liu, C; Leisenring, WM; Woodard, CR; Marquis, S; Kuypers, JM; Jerome, KR; Pergam, SA; Fredricks, DN; Sorror, ML; Englund, JA; Boeckh, M</t>
  </si>
  <si>
    <t xml:space="preserve">Ogimi, Chikara; Krantz, Elizabeth M.; Golob, Jonathan L.; Waghmare, Alpana; Liu, Catherine; Leisenring, Wendy M.; Woodard, Christopher R.; Marquis, Sara; Kuypers, Jane M.; Jerome, Keith R.; Pergam, Steven A.; Fredricks, David N.; Sorror, Mohamed L.; Englund, Janet A.; Boeckh, Michael</t>
  </si>
  <si>
    <t xml:space="preserve">Antibiotic Exposure Prior to Respiratory Viral Infection Is Associated with Progression to Lower Respiratory Tract Disease in Allogeneic Hematopoietic Cell Transplant Recipients</t>
  </si>
  <si>
    <t xml:space="preserve">Respiratory virus; Antibiotics; Microbiota; Lower respiratory tract disease; Hematopoietic cell transplantation; Progression</t>
  </si>
  <si>
    <t xml:space="preserve">PARAINFLUENZA VIRUS-INFECTIONS; STEM-CELL; SYNCYTIAL VIRUS; HUMAN METAPNEUMOVIRUS; FEBRILE NEUTROPENIA; COMORBIDITY INDEX; ANTIVIRAL THERAPY; MICROBIOTA; RISK; OUTCOMES</t>
  </si>
  <si>
    <t xml:space="preserve">Recent publications note an association between antibiotic exposure and respiratory viral infections (RVIs). Antibiotics affect microbiota and impair immune response against RVIs in mice, and low microbiome diversity is associated with pulmonary complications including viral lower respiratory tract disease (LRTD) in hematopoietic cell transplantation (HCT) recipients. In this study, we examined whether antibiotic exposure was associated with increased risk of disease progression in RV's post-transplantation. We analyzed patients who underwent allogeneic HCT (June 2008 to February 2016) and had their first RVI due to parainfluenza virus (PIV), respiratory syncytial virus (RSV), or human metapneumovirus (MPV) during the initial 100 days post-transplantation. Antibiotic exposure in the 3 weeks before RVI onset was defined as (1) use of specific antibiotics versus none of these antibiotics and (2) number of antibiotic-days. Cox proportional hazards models were used to examine associations between antibiotic exposures and risk of viral disease progression to proven/probable/ possible LRTD. Ninety HCT recipients (84 adults, 6 children) fulfilled study criteria; 33 progressed to LRTD. The number of antibiotic-days was associated with progression to LRTD after adjusting for neutropenia, steroid use, and either lymphopenia (hazard ratio, 1.41 [95% confidence interval, 1.04 to 1.92], P= .027) or monocytopenia (hazard ratio, 1.46 [95% confidence interval, 1.11 to 1.911, P= .006). Specific antibiotic classes was not associated with the outcome. Cumulative antibiotic exposure immediately before RVI onset is a risk factor for disease progression following PIV, RSV, and MPV infections post-transplantation. Larger cohort studies are needed to determine the impact of specific antibiotics or antibiotic classes on disease severity. (C) 2018 American Society for Blood and Marrow Transplantation.</t>
  </si>
  <si>
    <t xml:space="preserve">[Ogimi, Chikara; Krantz, Elizabeth M.; Golob, Jonathan L.; Waghmare, Alpana; Liu, Catherine; Woodard, Christopher R.; Marquis, Sara; Kuypers, Jane M.; Jerome, Keith R.; Pergam, Steven A.; Fredricks, David N.; Boeckh, Michael] Fred Hutchinson Canc Res Ctr, Vaccine &amp; Infect Dis Div, 1100 Fairview Ave N, Seattle, WA 98109 USA; [Ogimi, Chikara; Waghmare, Alpana; Englund, Janet A.] Univ Washington, Dept Pediat, Seattle, WA 98195 USA; [Ogimi, Chikara; Waghmare, Alpana; Englund, Janet A.] Seattle Childrens Hosp, Pediat Infect Dis Div, 4800 Sand Point Way NE,MA 7-226, Seattle, WA 98105 USA; [Golob, Jonathan L.; Liu, Catherine; Pergam, Steven A.; Fredricks, David N.; Sorror, Mohamed L.; Boeckh, Michael] Univ Washington, Dept Med, Seattle, WA USA; [Golob, Jonathan L.; Liu, Catherine; Leisenring, Wendy M.; Pergam, Steven A.; Fredricks, David N.; Sorror, Mohamed L.; Boeckh, Michael] Fred Hutchinson Canc Res Ctr, Clin Res Div, 1124 Columbia St, Seattle, WA 98104 USA; [Leisenring, Wendy M.] Univ Washington, Dept Biostat, Seattle, WA 98195 USA; [Kuypers, Jane M.; Jerome, Keith R.] Univ Washington, Dept Lab Med, Seattle, WA 98195 USA</t>
  </si>
  <si>
    <t xml:space="preserve">Fred Hutchinson Cancer Center; University of Washington; University of Washington Seattle; Seattle Children's Hospital; University of Washington; University of Washington Seattle; Fred Hutchinson Cancer Center; University of Washington; University of Washington Seattle; University of Washington; University of Washington Seattle</t>
  </si>
  <si>
    <t xml:space="preserve">Boeckh, M (corresponding author), Fred Hutchinson Canc Res Ctr, Vaccine &amp; Infect Dis Div, 1100 Fairview Ave N, Seattle, WA 98109 USA.;Ogimi, C (corresponding author), Seattle Childrens Hosp, Pediat Infect Dis Div, 4800 Sand Point Way NE,MA 7-226, Seattle, WA 98105 USA.</t>
  </si>
  <si>
    <t xml:space="preserve">chikara.ogimi@seattlechildrens.org; mboeckh@fhcrc.org</t>
  </si>
  <si>
    <t xml:space="preserve">Englund, Janet/ABV-6379-2022; Boeckh, Michael/AAA-1607-2022; Ogimi, Chikara/ABD-5632-2020; Pergam, Steven/C-2286-2008</t>
  </si>
  <si>
    <t xml:space="preserve">Fredricks, David/0000-0003-2735-6800; Leisenring, Wendy/0000-0001-7405-0906; OGIMI, CHIKARA/0000-0002-2166-8152</t>
  </si>
  <si>
    <t xml:space="preserve">National Institutes of Health [K24HL093294, HL081595, K23 A1114844, CA18029, CA15704, T32HD00723332]; Pediatric Infectious Diseases Society Fellowship Award - Horizon Pharma</t>
  </si>
  <si>
    <t xml:space="preserve">National Institutes of Health(United States Department of Health &amp; Human ServicesNational Institutes of Health (NIH) - USA); Pediatric Infectious Diseases Society Fellowship Award - Horizon Pharma</t>
  </si>
  <si>
    <t xml:space="preserve">The work was supported by National Institutes of Health (K24HL093294 [M.B.], HL081595 [M.B.], K23 A1114844 [A.W.], CA18029 [W.L., clinical database]), CA15704 (clinical database), T32HD00723332, and Pediatric Infectious Diseases Society Fellowship Award funded by Horizon Pharma (C.O.).</t>
  </si>
  <si>
    <t xml:space="preserve">10.1016/j.bbmt.2018.05.016</t>
  </si>
  <si>
    <t xml:space="preserve">HE7RW</t>
  </si>
  <si>
    <t xml:space="preserve">WOS:000453638700019</t>
  </si>
  <si>
    <t xml:space="preserve">Prasetyo, AA; Desyardi, MN; Tanamas, J; Suradi; Reviono; Harsini; Kageyama, S; Chikumi, H; Shimizu, E</t>
  </si>
  <si>
    <t xml:space="preserve">Prasetyo, Afiono Agung; Desyardi, Martinus Nuherwan; Tanamas, Jimmy; Suradi; Reviono; Harsini; Kageyama, Seiji; Chikumi, Hiroki; Shimizu, Eiji</t>
  </si>
  <si>
    <t xml:space="preserve">Respiratory Viruses and Torque Teno Virus in Adults with Acute Respiratory Infections</t>
  </si>
  <si>
    <t xml:space="preserve">Respiratory virus; Adults; Torque teno virus</t>
  </si>
  <si>
    <t xml:space="preserve">COMMUNITY-ACQUIRED PNEUMONIA; SYNCYTIAL VIRUS; INFLUENZA TRANSMISSION; HUMAN GYROVIRUS; CHILDREN; INDONESIA; SURVEILLANCE; ILLNESS; EPIDEMIOLOGY; PREVALENCE</t>
  </si>
  <si>
    <t xml:space="preserve">Objective: To define the molecular epidemiology of respiratory viral infections in adult patients. Methods: Nasal and throat swabs were collected from all adult patients with influenza-like illness (ILI), acute respiratory infection (ARI), or severe ARI (SARI) admitted to a tertiary hospital in Surakarta, Indonesia, between March 2010 and April 2011 and analyzed for 19 respiratory viruses and for torque teno virus (TTV) and human gyrovirus (HGyV). Results: Respiratory viruses were detected in 61.3% of the subjects, most of whom had ARI (90.8%, OR = 11.39), were hospitalized (96.9%, OR = 22.31), had asthma exacerbation (90.9%, OR = 8.67), and/or had pneumonia (80%, OR = 4.0). Human rhinovirus (HRV) A43 predominated. Influenza A H3N2, human metapneumovirus (HMPV) subtypes Al and A2, the influenza B virus, human adenovirus B, and human coronavirus OC43 were also detected. All respiratory viruses were detected in the transition month between the rainy and dry seasons. No mixed respiratory virus infection was found. Coinfections of the influenza A H3N2 virus with TTV, HMPV with TTV, HRV with TTV, and human parainfluenza virus-3 with TTV were found in 4.7, 2.8, 19.8, and 0.9% of the samples, respectively. Conclusions: This study highlights the need to perform routine detection of respiratory viruses in adults hospitalized with ARI, asthma exacerbation, and/or pneumonia. (C) 2015 S. Karger AG, Basel</t>
  </si>
  <si>
    <t xml:space="preserve">[Prasetyo, Afiono Agung; Reviono] Sebelas Maret Univ, Fac Med, A IGIC Res Grp, Surakarta 57126, Indonesia; [Prasetyo, Afiono Agung] Sebelas Maret Univ, Fac Med, Ctr Biotechnol &amp; Biodivers Res &amp; Dev, Surakarta 57126, Indonesia; [Prasetyo, Afiono Agung; Desyardi, Martinus Nuherwan; Tanamas, Jimmy] Sebelas Maret Univ, Fac Med, Dept Microbiol, Surakarta 57126, Indonesia; [Suradi; Reviono] Sebelas Maret Univ, Fac Med, Dept Pulmonol, Surakarta 57126, Indonesia; [Harsini] Dr Moewardi Gen Hosp, Dept Pulmonol, Surakarta, Indonesia; [Kageyama, Seiji] Tottori Univ, Fac Med, Dept Microbiol &amp; Immunol, Div Virol, Yonago, Tottori 683, Japan; [Chikumi, Hiroki; Shimizu, Eiji] Tottori Univ, Fac Med, Dept Multidisciplinary Internal Med, Div Med Oncol &amp; Mol Respirol, Yonago, Tottori 683, Japan</t>
  </si>
  <si>
    <t xml:space="preserve">Sebelas Maret University; Sebelas Maret University; Sebelas Maret University; Sebelas Maret University; Tottori University; Tottori University</t>
  </si>
  <si>
    <t xml:space="preserve">Prasetyo, AA (corresponding author), Sebelas Maret Univ, Dept Microbiol, Fac Med, Jl Ir Sutami 36A, Surakarta 57126, Indonesia.</t>
  </si>
  <si>
    <t xml:space="preserve">afie.agp.la@gmail.com</t>
  </si>
  <si>
    <t xml:space="preserve">Kageyama, Seiji/I-1145-2019; Shimizu, Eiji/K-4637-2017</t>
  </si>
  <si>
    <t xml:space="preserve">Prasetyo, Afiono Agung/0000-0003-1735-1504; Kageyama, Seiji/0000-0002-5220-6137</t>
  </si>
  <si>
    <t xml:space="preserve">Indonesian Directorate of Higher Education [322/SP2H/PP/DP2M/VI/2009, 077/SP2H/PL/Dit.Litabmas/V/2013]; APBN/DIPA UNS [2342/UN27.16/PN/2012, 159a/UN27.11/PN/2013, 267a/UN27.16/PN/2013]</t>
  </si>
  <si>
    <t xml:space="preserve">Indonesian Directorate of Higher Education(Ministry of Research and Technology of the Republic of Indonesia (RISTEK)); APBN/DIPA UNS</t>
  </si>
  <si>
    <t xml:space="preserve">This work was supported in part by grants from the Indonesian Directorate of Higher Education (No. 322/SP2H/PP/DP2M/VI/2009 and No. 077/SP2H/PL/Dit.Litabmas/V/2013) and from APBN/DIPA UNS (No. 2342/UN27.16/PN/2012, 159a/UN27.11/PN/2013, and No. 267a/UN27.16/PN/2013).</t>
  </si>
  <si>
    <t xml:space="preserve">10.1159/000369211</t>
  </si>
  <si>
    <t xml:space="preserve">CC3RQ</t>
  </si>
  <si>
    <t xml:space="preserve">WOS:000350267400009</t>
  </si>
  <si>
    <t xml:space="preserve">Petat, H; Schuers, M; Marguet, C; Humbert, X; Le Bas, F; Rabiaza, A; Corbet, S; Leterrier, B; Vabret, A; Gouilh, MA</t>
  </si>
  <si>
    <t xml:space="preserve">Petat, Hortense; Schuers, Matthieu; Marguet, Christophe; Humbert, Xavier; Le Bas, Francois; Rabiaza, Andry; Corbet, Sandrine; Leterrier, Bryce; Vabret, Astrid; Gouilh, Meriadeg Ar</t>
  </si>
  <si>
    <t xml:space="preserve">Positive and negative viral associations in patients with acute respiratory tract infections in primary care: the ECOVIR study</t>
  </si>
  <si>
    <t xml:space="preserve">FRONTIERS IN PUBLIC HEALTH</t>
  </si>
  <si>
    <t xml:space="preserve">respiratory virus; acute respiratory infections; primary care; respiratory syncytal virus; rhinovirus; respiratory coinfection</t>
  </si>
  <si>
    <t xml:space="preserve">SYNCYTIAL VIRUS; INFLUENZA-VIRUS; CLINICAL-COURSE; CHILDREN; RHINOVIRUS; IMPACT; METAPNEUMOVIRUS; INTERFERENCE; EPIDEMIOLOGY; ETIOLOGY</t>
  </si>
  <si>
    <t xml:space="preserve">Introduction: Acute respiratory infections (ARIs) are the most common viral infections encountered in primary care settings. The identification of causal viruses is still not available in routine practice. Although new strategies of prevention are being identified, knowledge of the relationships between respiratory viruses remains limited.Materials and methods: ECOVIR was a multicentric prospective study in primary care, which took place during two pre-pandemic seasons (2018-2019 and 2019-2020). Patients presenting to their General practitioner (GP) with ARIs were included, without selecting for age or clinical conditions. Viruses were detected on nasal swab samples using a multiplex Polymerase Chain Reaction test focused on 17 viruses [Respiratory Syncytial Virus-A (RSV-A), RSV-B, Rhinovirus/Enterovirus (HRV), human Metapneumovirus (hMPV), Adenovirus (ADV), Coronaviruses (CoV) HKU1, NL63, 229E, OC43, Influenza virus (H1 and H3 subtypes), Influenza virus B, Para-Influenza viruses (PIVs) 1-4, and Bocavirus (BoV)].Results: Among the 668 analyzed samples, 66% were positive for at least one virus, of which 7.9% were viral codetections. The viral detection was negatively associated with the age of patients. BoV, ADV, and HRV occurred more significantly in younger patients than the other viruses (p &lt; 0.05). Codetections were significantly associated with RSV, HRV, BoV, hMPV, and ADV and not associated with influenza viruses, CoV, and PIVs. HRV and influenza viruses were negatively associated with all the viruses. Conversely, a positive association was found between ADV and BoV and between PIVs and BoV.Conclusion: Our study provides additional information on the relationships between respiratory viruses, which remains limited in primary care.</t>
  </si>
  <si>
    <t xml:space="preserve">[Petat, Hortense; Marguet, Christophe] Univ Rouen Normandie, Dept Paediat &amp; Adolescent Med Rouen, CHU Rouen, Dynamicure,INSERM,UMR 1311, Rouen, France; [Schuers, Matthieu] Univ Rouen Normandie, Dept Gen Practice, INSERM U1142, INSERM,U1142, Rouen, France; [Humbert, Xavier; Le Bas, Francois; Rabiaza, Andry] Univ Caen Normandie Sante, Dept Gen Practice, Caen, France; [Corbet, Sandrine; Leterrier, Bryce; Vabret, Astrid; Gouilh, Meriadeg Ar] Univ Caen Normandie, Dept Virol, INSERM Dynamicure UMR 1311, Dynamicure,INSERM,UMR 1311, Caen, France</t>
  </si>
  <si>
    <t xml:space="preserve">Universite de Rouen Normandie; CHU de Rouen; Institut National de la Sante et de la Recherche Medicale (Inserm); Universite de Rouen Normandie; Institut National de la Sante et de la Recherche Medicale (Inserm); Universite de Caen Normandie; Institut National de la Sante et de la Recherche Medicale (Inserm)</t>
  </si>
  <si>
    <t xml:space="preserve">Petat, H (corresponding author), Univ Rouen Normandie, Dept Paediat &amp; Adolescent Med Rouen, CHU Rouen, Dynamicure,INSERM,UMR 1311, Rouen, France.</t>
  </si>
  <si>
    <t xml:space="preserve">hortense.petat@univ-rouen.fr</t>
  </si>
  <si>
    <t xml:space="preserve">Schuers, Matthieu/KLP-5785-2024; HUMBERT, Xavier/AAF-9485-2019; Le Gouil, Meriadeg/E-4896-2017</t>
  </si>
  <si>
    <t xml:space="preserve">PETAT, Hortense/0000-0003-2843-871X; Le Gouil, Meriadeg/0000-0002-3672-9974</t>
  </si>
  <si>
    <t xml:space="preserve">2296-2565</t>
  </si>
  <si>
    <t xml:space="preserve">FRONT PUBLIC HEALTH</t>
  </si>
  <si>
    <t xml:space="preserve">Front. Public Health</t>
  </si>
  <si>
    <t xml:space="preserve">NOV 24</t>
  </si>
  <si>
    <t xml:space="preserve">10.3389/fpubh.2023.1269805</t>
  </si>
  <si>
    <t xml:space="preserve">AE8R0</t>
  </si>
  <si>
    <t xml:space="preserve">WOS:001116883500001</t>
  </si>
  <si>
    <t xml:space="preserve">Rand, KH; Bhaduri-McIntosh, S; Gurka, MJ; Chi, XF; Harris, A</t>
  </si>
  <si>
    <t xml:space="preserve">Rand, Kenneth H.; Bhaduri-McIntosh, Sumita; Gurka, Matthew J.; Chi, Xiaofei; Harris, Alyssa</t>
  </si>
  <si>
    <t xml:space="preserve">Is Kawasaki Disease Caused by a Respiratory Virus?</t>
  </si>
  <si>
    <t xml:space="preserve">respiratory virus positivity rates; Kawasaki disease; COVID lockdown; BioFire syndromic trends</t>
  </si>
  <si>
    <t xml:space="preserve">Background:Kawasaki disease is characterized by high fever, rash, cervical lymphadenopathy, conjunctival injection, oral mucous membrane changes and swelling of the extremities followed by skin sloughing. Despite &gt;50 years of study, no bacterial, viral or other infectious agent has been consistently associated with the illness. The lockdown and social distancing for COVID-19 in March 2020 led to a marked decrease in respiratory virus circulation. This provided an experiment of nature to determine whether Kawasaki disease would decline in parallel. Methods:Discharge ICD-10 diagnosis codes were obtained from the Vizient Clinical Data Base for Kawasaki disease and respiratory viruses, and analyzed for the age group &lt; 5 years. Weekly respiratory virus positivity data were also obtained from BioFire Diagnostics. Results:Common enveloped respiratory viruses declined precipitously from April 2020 through March 2021 to levels at or below historical seasonal minimum levels. Kawasaki Disease declined about 40% compared with 2018-2019, which is distinctly different from the pattern seen for the enveloped respiratory viruses. Strong seasonality was seen for Kawasaki disease as far back as 2010, and correlated most closely with respiratory syncytial virus, human metapneumovirus and less so with influenza virus suggesting there is a baseline level of Kawasaki disease activity that is heightened during yearly respiratory virus activity but that remains at a certain level even in the near total absence of respiratory viruses. Conclusions:The striking decrease in enveloped respiratory viruses after lockdown and social distancing was not paralleled by a comparable decrease in Kawasaki disease incidence, suggesting a different epidemiology.</t>
  </si>
  <si>
    <t xml:space="preserve">[Rand, Kenneth H.] Univ Florida, Dept Pathol Immunol &amp; Lab Med, Gainesville, FL USA; [Bhaduri-McIntosh, Sumita] Univ Florida, Dept Pediat &amp; Mol Genet &amp; Microbiol, Gainesville, FL USA; [Gurka, Matthew J.; Chi, Xiaofei] Univ Florida, Dept Pediat, Gainesville, FL USA; [Harris, Alyssa] Vizient Inc, Ctr Adv Analyt &amp; Informat, Irving, TX USA; [Rand, Kenneth H.] Univ Florida, Dept Pathol Immunol &amp; Lab Med, Gainesville, FL 32610 USA; [Bhaduri-McIntosh, Sumita] Univ Florida, Dept Pediat, Gainesville, FL 32610 USA; [Bhaduri-McIntosh, Sumita] Univ Florida, Dept Mol Genet &amp; Microbiol, Gainesville, FL 32610 USA</t>
  </si>
  <si>
    <t xml:space="preserve">State University System of Florida; University of Florida; State University System of Florida; University of Florida; State University System of Florida; University of Florida; State University System of Florida; University of Florida; State University System of Florida; University of Florida; State University System of Florida; University of Florida</t>
  </si>
  <si>
    <t xml:space="preserve">Rand, KH (corresponding author), Univ Florida, Dept Pathol Immunol &amp; Lab Med, Gainesville, FL 32610 USA.;Bhaduri-McIntosh, S (corresponding author), Univ Florida, Dept Pediat, Gainesville, FL 32610 USA.;Bhaduri-McIntosh, S (corresponding author), Univ Florida, Dept Mol Genet &amp; Microbiol, Gainesville, FL 32610 USA.</t>
  </si>
  <si>
    <t xml:space="preserve">kenrand@ufl.eduor; sbhadurimcintosh@ufl.edu; matthewgurka@ufl.edu; alyssahharris1@gmail.com</t>
  </si>
  <si>
    <t xml:space="preserve">10.1097/INF.0000000000003889</t>
  </si>
  <si>
    <t xml:space="preserve">G8XI3</t>
  </si>
  <si>
    <t xml:space="preserve">WOS:000991916200015</t>
  </si>
  <si>
    <t xml:space="preserve">Balada-Llasat, JM; LaRue, H; Kelly, C; Rigali, L; Pancholi, P</t>
  </si>
  <si>
    <t xml:space="preserve">Balada-Llasat, Joan-Miquel; LaRue, Heidi; Kelly, Cheryl; Rigali, Lisa; Pancholi, Preeti</t>
  </si>
  <si>
    <t xml:space="preserve">Evaluation of commercial ResPlex II v2.0, MultiCode®-PLx, and xTAG® respiratory viral panels for the diagnosis of respiratory viral infections in adults</t>
  </si>
  <si>
    <t xml:space="preserve">Respiratory virus panel; RVP; Respiratory viruses; xTAG; ResPlex II; MutiCode (R)-PLx</t>
  </si>
  <si>
    <t xml:space="preserve">REAL-TIME PCR; VIRUS-INFECTIONS; MULTIPLEX PCR; INFLUENZA-A; HUMAN METAPNEUMOVIRUS; MOLECULAR METHODS; SYNCYTIAL-VIRUS; ASSAYS; PATHOGENS; TESTS</t>
  </si>
  <si>
    <t xml:space="preserve">Background: Commercial multiplex PCR panels for respiratory viruses (PRV) have been recently developed. ResPlex II Panel v2.0 (Qiagen), MultiCode (R)-PLx (EraGen Biosciences), and xTAG (R) (Luminex) PRV's were studied. All assays detect influenza A and B, adenovirus, parainfluenza 1-3, respiratory syncytial virus A and B, human metapneumovirus and human rhinovirus. The ResPlex II additionally detects coronavirus (229E, OC43, NL63, HKU1), coxsackie/echo virus, bocavirus and differentiates adenoviruses (B, E). The MultiCode-PLX assay detects 229E, OC43, and NL63, differentiates parainfluenza 4a, 4b and adenoviruses (B, C, E). The xTAG additionally subtypes influenza A as seasonal H1 and H3. Study design: 202 specimens collected from adult patients with signs of respiratory infection from November, 2008 to May, 2009 were used for evaluating the performance of the three commercial PRV assays. Viral culture and xTAG were used as the standards to assess sensitivity and specificity. Results: The PRV assays detected more viruses than culture. When compared to culture, the xTAG PRV showed a sensitivity and specificity of 100% and 91%, compared to MultiCode-PLx with 89% and 87%, and ResPlex II with 89% and 94%, respectively. Co-infection was detected in a small subset of patient specimens. Each panel showed differences in sensitivities for individual viruses. Conclusions: While the ResPlex II and MultiCode-PLx offer a broader virus detection range and greater ease of use, the xTAG PRV showed increased sensitivity to common viral targets represented in the assays, and also had the ability to differentiate human from non-human influenza A H1. (C) 2010 Published by Elsevier B.V.</t>
  </si>
  <si>
    <t xml:space="preserve">[Balada-Llasat, Joan-Miquel; LaRue, Heidi; Kelly, Cheryl; Rigali, Lisa; Pancholi, Preeti] Ohio State Univ, Med Ctr, Dept Pathol, Columbus, OH 43205 USA</t>
  </si>
  <si>
    <t xml:space="preserve">University System of Ohio; Ohio State University</t>
  </si>
  <si>
    <t xml:space="preserve">Pancholi, P (corresponding author), Ohio State Univ, Med Ctr, Dept Pathol, 1492 E Broad St, Columbus, OH 43205 USA.</t>
  </si>
  <si>
    <t xml:space="preserve">Preeti.Pancholi@osumc.edu</t>
  </si>
  <si>
    <t xml:space="preserve">Balada-llasat, Joan-miquel/E-2690-2011</t>
  </si>
  <si>
    <t xml:space="preserve">10.1016/j.jcv.2010.09.022</t>
  </si>
  <si>
    <t xml:space="preserve">704YV</t>
  </si>
  <si>
    <t xml:space="preserve">WOS:000286094300009</t>
  </si>
  <si>
    <t xml:space="preserve">Zhang, YG; Sakthivel, SK; Bramley, A; Jain, S; Haynes, A; Chappell, JD; Hymas, W; Lenny, N; Patel, A; Qi, C; Ampofo, K; Arnold, SR; Self, WH; Williams, DJ; Hillyard, D; Anderson, EJ; Grijalva, CG; Zhu, YW; Wunderink, RG; Edwards, KM; Pavia, AT; McCullers, JA; Erdman, DD</t>
  </si>
  <si>
    <t xml:space="preserve">Zhang, Yange; Sakthivel, Senthilkumar K.; Bramley, Anna; Jain, Seema; Haynes, Amber; Chappell, James D.; Hymas, Weston; Lenny, Noel; Patel, Anami; Qi, Chao; Ampofo, Krow; Arnold, Sandra R.; Self, Wesley H.; Williams, Derek J.; Hillyard, David; Anderson, Evan J.; Grijalva, Carlos G.; Zhu, Yuwei; Wunderink, Richard G.; Edwards, Kathryn M.; Pavia, Andrew T.; McCullers, Jonathan A.; Erdman, Dean D.</t>
  </si>
  <si>
    <t xml:space="preserve">Serology Enhances Molecular Diagnosis of Respiratory Virus Infections Other than Influenza in Children and Adults Hospitalized with Community-Acquired Pneumonia</t>
  </si>
  <si>
    <t xml:space="preserve">respiratory virus infections; community-acquired pneumonia; PCR assays and serology; serology; PCR assays</t>
  </si>
  <si>
    <t xml:space="preserve">SYNCYTIAL VIRUS; REQUIRING HOSPITALIZATION; METAPNEUMOVIRUS; IMMUNOASSAY; RESPONSES; PCR</t>
  </si>
  <si>
    <t xml:space="preserve">Both molecular and serological assays have been used previously to determine the etiology of community-acquired pneumonia (CAP). However, the extent to which these methods are correlated and the added diagnostic value of serology for respiratory viruses other than influenza virus have not been fully evaluated. Using data from patients enrolled in the Centers for Disease Control and Prevention (CDC) Etiology of Pneumonia in the Community (EPIC) study, we compared real-time reverse transcription-PCR (RT-PCR) and serology for the diagnosis of respiratory syncytial virus (RSV), human metapneumovirus (HMPV), parainfluenza virus 1 to 3 (PIV1, PIV2, and PIV3), and adenovirus (AdV) infections. Of 5,126 patients enrolled, RT-PCR and serology test results were available for 2,023, including 1,087 children below the age of 18 years and 936 adults. For RSV, 287 (14.2%) patients were positive by RT-PCR and 234 (11.6%) were positive by serology; for HMPV, 172 (8.5%) tested positive by RTPCR and 147 (7.3%) by serology; for the PIVs, 94 (4.6%) tested positive by RT-PCR and 92 (4.6%) by serology; and for AdV, 111 (5.5%) tested positive by RT-PCR and 62 (3.1%) by serology. RT-PCR provided the highest number of positive detections overall, but serology increased diagnostic yield for RSV (by 11.8%), HMPV (by 25.0%), AdV (by 32.4%), and PIV (by 48.9%). The method concordance estimated by Cohen's kappa coefficient (kappa) ranged from good (for RSV; kappa = 0.73) to fair (for AdV; kappa = 0.27). Heterotypic seroresponses observed between PIVs and persistent low-level AdV shedding may account for the higher method discordance observed with each of these viruses. Serology can be a helpful adjunct to RT-PCR for research-based assessment of the etiologic contribution of respiratory viruses other than influenza virus to CAP.</t>
  </si>
  <si>
    <t xml:space="preserve">[Zhang, Yange; Sakthivel, Senthilkumar K.; Bramley, Anna; Jain, Seema; Haynes, Amber; Erdman, Dean D.] Ctr Dis Control &amp; Prevent, Atlanta, GA 30333 USA; [Chappell, James D.; Self, Wesley H.; Williams, Derek J.; Grijalva, Carlos G.; Zhu, Yuwei; Edwards, Kathryn M.] Vanderbilt Univ, Sch Med, Nashville, TN 37212 USA; [Hymas, Weston; Ampofo, Krow; Hillyard, David; Pavia, Andrew T.] Univ Utah, Hlth Sci Ctr, Salt Lake City, UT USA; [Lenny, Noel; Patel, Anami; Arnold, Sandra R.; McCullers, Jonathan A.] Le Bonheur Childrens Hosp, Memphis, TN USA; [Lenny, Noel; Patel, Anami; Arnold, Sandra R.; McCullers, Jonathan A.] Univ Tennessee, Ctr Hlth Sci, Memphis, TN 38163 USA; [Qi, Chao; Wunderink, Richard G.] Northwestern Univ, Feinberg Sch Med, Chicago, IL 60611 USA; [McCullers, Jonathan A.] St Jude Childrens Res Hosp, 332 N Lauderdale St, Memphis, TN 38105 USA; [Zhang, Yange; Sakthivel, Senthilkumar K.] Battelle Mem Inst, Columbus, OH USA; [Anderson, Evan J.] Emory Univ, Sch Med, Atlanta, GA USA</t>
  </si>
  <si>
    <t xml:space="preserve">Centers for Disease Control &amp; Prevention - USA; Vanderbilt University; Utah System of Higher Education; University of Utah; University of Tennessee System; University of Tennessee Health Science Center; Northwestern University; Feinberg School of Medicine; St Jude Children's Research Hospital; Battelle Memorial Institute; Emory University</t>
  </si>
  <si>
    <t xml:space="preserve">Erdman, DD (corresponding author), Ctr Dis Control &amp; Prevent, Atlanta, GA 30333 USA.</t>
  </si>
  <si>
    <t xml:space="preserve">dde1@cdc.gov</t>
  </si>
  <si>
    <t xml:space="preserve">Arnold, Sandra/O-4712-2014; Williams, Derek/KRP-6083-2024; Self, Wesley/KTI-1352-2024; Grijalva, Carlos/HRA-9217-2023</t>
  </si>
  <si>
    <t xml:space="preserve">Wunderink, Richard/0000-0002-8527-4195; Self, Wesley/0000-0002-9300-3045; Grijalva, Carlos/0000-0002-2329-7797</t>
  </si>
  <si>
    <t xml:space="preserve">10.1128/JCM.01701-16</t>
  </si>
  <si>
    <t xml:space="preserve">EH7QC</t>
  </si>
  <si>
    <t xml:space="preserve">WOS:000391966600012</t>
  </si>
  <si>
    <t xml:space="preserve">Russell, CJ; Penkert, RR; Kim, S; Hurwitz, JL</t>
  </si>
  <si>
    <t xml:space="preserve">Russell, Charles J.; Penkert, Rhiannon R.; Kim, Sonnie; Hurwitz, Julia L.</t>
  </si>
  <si>
    <t xml:space="preserve">Human Metapneumovirus: A Largely Unrecognized Threat to Human Health</t>
  </si>
  <si>
    <t xml:space="preserve">respiratory virus infection; Sendai virus; vaccine development</t>
  </si>
  <si>
    <t xml:space="preserve">RESPIRATORY SYNCYTIAL VIRUS; HMPV FUSION PROTEIN; F-PROTEIN; PARAINFLUENZA VIRUS; MEMBRANE-FUSION; YOUNG-CHILDREN; IN-VITRO; INFECTION; INFANTS; VACCINE</t>
  </si>
  <si>
    <t xml:space="preserve">Human metapneumovirus (HMPV) infects most children by five years of age. The virus can cause both upper and lower respiratory tract disease and can be life threatening. High-risk populations include young children who are exposed to virus for the first time and the elderly. Currently, there is no standard treatment nor licensed vaccine for HMPV, although several attractive vaccine candidates have been developed for pre-clinical studies. A raised awareness of the impact of HMPV on public health is needed to drive research, complete vaccine development, and thereby prevent significant virus-associated morbidities and mortalities worldwide.</t>
  </si>
  <si>
    <t xml:space="preserve">[Russell, Charles J.; Penkert, Rhiannon R.; Hurwitz, Julia L.] St Jude Childrens Res Hosp, Dept Infect Dis, Memphis, TN 38105 USA; [Russell, Charles J.; Hurwitz, Julia L.] Univ Tennessee, Dept Microbiol Immunol &amp; Biochem, Hlth Sci Ctr, Memphis, TN 38163 USA; [Kim, Sonnie] NIAID, NIH, Rockville, MD 20852 USA</t>
  </si>
  <si>
    <t xml:space="preserve">St Jude Children's Research Hospital; University of Tennessee System; University of Tennessee Health Science Center; National Institutes of Health (NIH) - USA; NIH National Institute of Allergy &amp; Infectious Diseases (NIAID)</t>
  </si>
  <si>
    <t xml:space="preserve">Hurwitz, JL (corresponding author), St Jude Childrens Res Hosp, Dept Infect Dis, Memphis, TN 38105 USA.;Hurwitz, JL (corresponding author), Univ Tennessee, Dept Microbiol Immunol &amp; Biochem, Hlth Sci Ctr, Memphis, TN 38163 USA.</t>
  </si>
  <si>
    <t xml:space="preserve">charles.russell@stjude.org; rhiannon.penkert@stjude.org; sonnie.kim@nih.gov; julia.hurwitz@stjude.org</t>
  </si>
  <si>
    <t xml:space="preserve">Hurwitz, Julia/N-2301-2018; Russell, Charles/K-4824-2013</t>
  </si>
  <si>
    <t xml:space="preserve">Russell, Charles/0000-0001-5683-3990</t>
  </si>
  <si>
    <t xml:space="preserve">ALSAC; NIH NCI [P30-CA21765]</t>
  </si>
  <si>
    <t xml:space="preserve">ALSAC(American Lebanese Syrian Associated Charities (ALSAC)); NIH NCI(United States Department of Health &amp; Human ServicesNational Institutes of Health (NIH) - USANIH National Cancer Institute (NCI))</t>
  </si>
  <si>
    <t xml:space="preserve">The writing of this manuscript was supported in part by ALSAC and grant NIH NCI P30-CA21765.</t>
  </si>
  <si>
    <t xml:space="preserve">10.3390/pathogens9020109</t>
  </si>
  <si>
    <t xml:space="preserve">KT8DT</t>
  </si>
  <si>
    <t xml:space="preserve">WOS:000519242900046</t>
  </si>
  <si>
    <t xml:space="preserve">Hutspardol, S; Essa, M; Richardson, S; Schechter, T; Ali, M; Krueger, J; Fujii, H; Egeler, RM; Gassas, A</t>
  </si>
  <si>
    <t xml:space="preserve">Hutspardol, Sakara; Essa, Mohammed; Richardson, Susan; Schechter, Tal; Ali, Muhammad; Krueger, Joerg; Fujii, Hisaki; Egeler, R. Maarten; Gassas, Adam</t>
  </si>
  <si>
    <t xml:space="preserve">Significant Transplantation-Related Mortality from Respiratory Virus Infections within the First One Hundred Days in Children after Hematopoietic Stem Cell Transplantation</t>
  </si>
  <si>
    <t xml:space="preserve">Respiratory virus infection; Hematopoietic stem cell transplantation; Children; Mortality</t>
  </si>
  <si>
    <t xml:space="preserve">PARAINFLUENZA VIRUS; SYNCYTIAL VIRUS; RISK-FACTORS; INFLUENZA VACCINATION; ADENOVIRUS INFECTIONS; VIRAL-INFECTIONS; IMMUNOCOMPROMISED PATIENTS; HUMAN METAPNEUMOVIRUS; RECIPIENTS; DISEASE</t>
  </si>
  <si>
    <t xml:space="preserve">Respiratory viral infections (RVI) are important in hematopoietic stem cell transplantations (HSCT) and knowledge regarding incidence, morbidity, mortality, and long-term pulmonary complications is limited. We report a study to evaluate incidence and outcomes, both short and long-term, of RVI in children receiving HSCT. Between January 2000 and December 2012, 844 patients underwent hematopoietic stem cell transplantation (HSCT) at the Hospital for Sick Children: 491 were allogeneic and 353 were autologous. When screening for causes of death in the first year after HSCT in the 844 patients, we found that RVI as a cause of death was only evident in the first 100 days after HSCT. Fifty-four (6.5%) patients were found to have an RVI within the first 100 days after HSCT (allogeneic = 32, autologous = 22). Upper and lower respiratory tract infections were documented in 31 (57%) and 23 (43%) patients, respectively. Viruses were parainfluenza (35%), respiratory syncytial virus (28%), influenza (22%), adenovirus (7%), human metapneumovirus (4%), coronavirus (2%), and rhinovirus (2%). Three patients relapsed with their primary disease before day 100 and were excluded. The overall mortality for the remaining 51 patients was 10% (allogeneic = 4, autologous = 1). All 5 deaths were directly attributable to RVI and all 5 deaths occurred in patients with a lower respiratory tract infection. The remaining patients were followed for a median of 4.3 years (range, 1.4 to 11.8) and no chronic pulmonary complications were observed. A clear seasonal pattern for contracting RVI was evident with 65% of total RVI occurring between October and March (35 of 427 versus 19 of 417, P = .03). Given the significant mortality from RVI and the challenges in preventing them, choosing the time to start HSCT, whenever possible, may help prevent RVI and improve outcomes. (C) 2015 American Society for Blood and Marrow Transplantation.</t>
  </si>
  <si>
    <t xml:space="preserve">[Hutspardol, Sakara; Schechter, Tal; Ali, Muhammad; Krueger, Joerg; Fujii, Hisaki; Egeler, R. Maarten; Gassas, Adam] Univ Toronto, Hosp Sick Children, Div Haematol Oncol BMT, Toronto, ON M5S 1A1, Canada; [Essa, Mohammed] King Saud Bin Abdulaziz Univ Hlth Sci, King Abdullah Specialized Childrens Hosp, Div Haematol Oncol SCT, Riyadh, Saudi Arabia; [Richardson, Susan] Univ Toronto, Hosp Sick Children, Div Microbiol, Toronto, ON M5S 1A1, Canada</t>
  </si>
  <si>
    <t xml:space="preserve">University of Toronto; Hospital for Sick Children (SickKids); King Saud Bin Abdulaziz University for Health Sciences; King Abdullah Specialist Childrens Hospital (KASCH); University of Toronto; Hospital for Sick Children (SickKids)</t>
  </si>
  <si>
    <t xml:space="preserve">Hutspardol, S (corresponding author), Hosp Sick Children, Div Hematol Oncol, 555 Univ Ave, Toronto, ON M5G 1X8, Canada.</t>
  </si>
  <si>
    <t xml:space="preserve">sakara4695@yahoo.com</t>
  </si>
  <si>
    <t xml:space="preserve">Essa, Mohammed/0000-0002-3761-4407</t>
  </si>
  <si>
    <t xml:space="preserve">10.1016/j.bbmt.2015.06.015</t>
  </si>
  <si>
    <t xml:space="preserve">CS0VU</t>
  </si>
  <si>
    <t xml:space="preserve">WOS:000361781100017</t>
  </si>
  <si>
    <t xml:space="preserve">Fontana, L; Strasfeld, L</t>
  </si>
  <si>
    <t xml:space="preserve">Fontana, Lauren; Strasfeld, Lynne</t>
  </si>
  <si>
    <t xml:space="preserve">Respiratory Virus Infections of the Stem Cell Transplant Recipient and the Hematologic Malignancy Patient</t>
  </si>
  <si>
    <t xml:space="preserve">Respiratory virus infection; Hematopoietic stem cell transplant; RSV; Influenza; Parainfluenza; Human metapneumovirus; Rhinovirus; Coronavirus</t>
  </si>
  <si>
    <t xml:space="preserve">HUMAN METAPNEUMOVIRUS INFECTIONS; SIALIDASE FUSION PROTEIN; INHIBITOR LANINAMIVIR OCTANOATE; BRONCHOALVEOLAR LAVAGE SAMPLES; HEMATOPOIETIC SCT RECIPIENTS; VIRAL-RNA DETECTION; SYNCYTIAL VIRUS; AEROSOLIZED RIBAVIRIN; ADENOVIRUS INFECTIONS; INFLUENZA VACCINATION</t>
  </si>
  <si>
    <t xml:space="preserve">Respiratory virus infections in hematologic stem cell transplant recipients and patients with hematologic malignancies are increasingly recognized as a cause of significant morbidity and mortality. The often overlapping clinical presentation makes molecular diagnostic strategies imperative for rapid diagnosis and to inform understanding of the changing epidemiology of each of the respiratory viruses. Most respiratory virus infections are managed with supportive therapy, although there is effective antiviral therapy for influenza. The primary focus should remain on primary prevention infection control procedures and isolation precautions, avoidance of ill contacts, and vaccination for influenza.</t>
  </si>
  <si>
    <t xml:space="preserve">[Fontana, Lauren; Strasfeld, Lynne] Oregon Hlth &amp; Sci Univ, Dept Med, Div Infect Dis, 3181 Southwest Sam Jackson Pk Rd,Mail Code L457, Portland, OR 97239 USA</t>
  </si>
  <si>
    <t xml:space="preserve">Oregon Health &amp; Science University</t>
  </si>
  <si>
    <t xml:space="preserve">Fontana, L (corresponding author), Oregon Hlth &amp; Sci Univ, Dept Med, Div Infect Dis, 3181 Southwest Sam Jackson Pk Rd,Mail Code L457, Portland, OR 97239 USA.</t>
  </si>
  <si>
    <t xml:space="preserve">fontanla@ohsu.edu</t>
  </si>
  <si>
    <t xml:space="preserve">10.1016/j.idc.2019.02.004</t>
  </si>
  <si>
    <t xml:space="preserve">HZ4YJ</t>
  </si>
  <si>
    <t xml:space="preserve">WOS:000468857000012</t>
  </si>
  <si>
    <t xml:space="preserve">Campbell, AP; Guthrie, KA; Englund, JA; Farney, RM; Minerich, EL; Kuypers, J; Corey, L; Boeckh, M</t>
  </si>
  <si>
    <t xml:space="preserve">Campbell, Angela P.; Guthrie, Katherine A.; Englund, Janet A.; Farney, Robert M.; Minerich, Elisa L.; Kuypers, Jane; Corey, Lawrence; Boeckh, Michael</t>
  </si>
  <si>
    <t xml:space="preserve">Clinical Outcomes Associated With Respiratory Virus Detection Before Allogeneic Hematopoietic Stem Cell Transplant</t>
  </si>
  <si>
    <t xml:space="preserve">respiratory virus infection; hematopoietic cell transplant; pneumonia</t>
  </si>
  <si>
    <t xml:space="preserve">TIME RT-PCR; SYNCYTIAL VIRUS; RHINOVIRUS INFECTION; PARAINFLUENZA VIRUS; RECIPIENTS; CHILDREN; GUIDELINES; TRACT; METAPNEUMOVIRUS; CORONAVIRUS</t>
  </si>
  <si>
    <t xml:space="preserve">Background. The management of respiratory virus infections prior to hematopoietic cell transplant (HCT) is difficult. We examined whether respiratory virus detection before HCT influenced the requirement for bronchoscopy, hospitalization, and overall survival following HCT. Methods. Pre-HCT and weekly post-HCT nasal washes were collected through day 100 from patients with and without symptoms. Samples were tested by multiplex polymerase chain reaction for respiratory syncytial virus, parainfluenza viruses 1-4, influenza A and B, human metapneumovirus, adenovirus, and human rhinoviruses, corona-viruses, and bocavirus. Results. Of 458 patients, 116 (25%) had respiratory viruses detected pre-HCT. Overall, patients with viruses detected pre-HCT had fewer days alive and out of the hospital and lower survival at day 100 (adjusted hazard ratio [aHR], 2.4; 95% confidence interval [ CI], 1.3-4.5; P = .007) than patients with negative samples; this risk was also present with rhinovirus alone (aHR for mortality, 2.6; 95% CI, 1.2-5.5; P = .01). No difference in bronchoscopy incidence was seen in patients with and without respiratory viruses (aHR, 1.3; 95% CI,.8-2.0; P = .32). In symptomatic patients, those with respiratory viruses detected had increased overall mortality compared with patients without viruses detected (unadjusted HR, 3.5; 95% CI, 1.0-12.1; P = .05); among asymptomatic patients, detection of respiratory viruses was not associated with increased mortality. Conclusions. These data support routine testing for respiratory viruses among symptomatic patients before HCT, and delay of transplant with virus detection when feasible, even for detection of rhinovirus alone. Further study is needed to address whether asymptomatic patients should undergo screening for respiratory virus detection before HCT.</t>
  </si>
  <si>
    <t xml:space="preserve">[Campbell, Angela P.; Guthrie, Katherine A.; Englund, Janet A.; Farney, Robert M.; Minerich, Elisa L.; Kuypers, Jane; Corey, Lawrence; Boeckh, Michael] Fred Hutchinson Canc Res Ctr, Seattle, WA 98104 USA; [Campbell, Angela P.; Englund, Janet A.; Minerich, Elisa L.] Seattle Childrens Hosp, Seattle, WA USA; [Campbell, Angela P.; Englund, Janet A.; Kuypers, Jane; Corey, Lawrence; Boeckh, Michael] Univ Washington, Seattle, WA 98195 USA</t>
  </si>
  <si>
    <t xml:space="preserve">Fred Hutchinson Cancer Center; Seattle Children's Hospital; University of Washington; University of Washington Seattle</t>
  </si>
  <si>
    <t xml:space="preserve">Campbell, AP (corresponding author), Ctr Dis Control &amp; Prevent, Influenza Div, 1600 Clifton Rd NE,MS-A32, Atlanta, GA 30329 USA.</t>
  </si>
  <si>
    <t xml:space="preserve">app4@cdc.gov</t>
  </si>
  <si>
    <t xml:space="preserve">Englund, Janet/ABV-6379-2022; Corey, Lawrence/AAE-1796-2020; Boeckh, Michael/AAA-1607-2022</t>
  </si>
  <si>
    <t xml:space="preserve">National Institutes of Health [K23HL091059, L40AI071572, HL081595, HL93294, CA18029, CA15704]; Seattle Children's Center for Clinical and Translational Research; Clinical and Translational Science Award program [ULI RR025014]</t>
  </si>
  <si>
    <t xml:space="preserve">National Institutes of Health(United States Department of Health &amp; Human ServicesNational Institutes of Health (NIH) - USA); Seattle Children's Center for Clinical and Translational Research; Clinical and Translational Science Award program</t>
  </si>
  <si>
    <t xml:space="preserve">A. P. C. received funding from the National Institutes of Health (grant numbers K23HL091059 and L40AI071572) and from the Seattle Children's Center for Clinical and Translational Research and the Clinical and Translational Science Award program (grant number ULI RR025014). M. B. received research support from the National Institutes of Health (grant numbers HL081595 and HL93294). The clinical database was supported by funding from the National Institutes of Health (grant numbers CA18029 and CA15704).</t>
  </si>
  <si>
    <t xml:space="preserve">JUL 15</t>
  </si>
  <si>
    <t xml:space="preserve">10.1093/cid/civ272</t>
  </si>
  <si>
    <t xml:space="preserve">CO7MD</t>
  </si>
  <si>
    <t xml:space="preserve">WOS:000359342500009</t>
  </si>
  <si>
    <t xml:space="preserve">Venter, M; Lassaunière, R; Kresfelder, TL; Westerberg, Y; Visser, A</t>
  </si>
  <si>
    <t xml:space="preserve">Venter, Marietjie; Lassauniere, Ria; Kresfelder, Tina Louise; Westerberg, Yvette; Visser, Adele</t>
  </si>
  <si>
    <t xml:space="preserve">Contribution of Common and Recently Described Respiratory Viruses to Annual Hospitalizations in Children in South Africa</t>
  </si>
  <si>
    <t xml:space="preserve">respiratory virus infection; epidemiology; disease severity; viral load; co-infection; HIV</t>
  </si>
  <si>
    <t xml:space="preserve">SYNCYTIAL VIRUS; TRACT INFECTIONS; HUMAN CORONAVIRUS; HUMAN POLYOMAVIRUS; YOUNG-CHILDREN; PNEUMONIA; GENOTYPE; IDENTIFICATION; BOCAVIRUS; DISEASE</t>
  </si>
  <si>
    <t xml:space="preserve">The contribution of viruses to lower respiratory tract disease in sub-Saharan Africa where human immunodeficiency virus may exacerbate respiratory infections is not well defined. No data exist on some of these viruses for Southern Africa. Comprehensive molecular screening may define the role of these viruses as single and co-infections in a population with a high HIV-AIDS burden. To address this, children less than 5 years of age with respiratory infections from 3 public sector hospitals, Pretoria South Africa were screened for 14 respiratory viruses, by PCR over 2 years. Healthy control children from the same region were included. Rhinovirus was identified in 33% of patients, RSV (30.1%), PIV-3 (7.8%), hBoV (6.1%), adenovirus (5.7%), hMPV (4.8%), influenza A (3.4%), coronavirus NL63 (2.1%), and OC43 (1.8%). PIV-1, PIV-2, CoV-229E, -HKU1, and influenza B occurred in &lt;1.5% of patients. Most cases with adenovirus, influenza A, hMPV, hBoV, coronaviruses, and WU virus occurred as co-infections while RSV, PIV-3, and rhinovirus were identified most frequently as the only respiratory pathogen. Rhinovirus but not RSV or PIV-3 was also frequently identified in healthy controls. A higher HIV sero-prevalence was noticed in patients with co-infections although co-infections were not associated with more severe disease. RSV, hPMV, PIV-3, and influenza viruses had defined seasons while rhinovirus, adenovirus, and coronavirus infections occurred year round in this temporal region of sub-Saharan Africa. J. Med. Virol. 83:1458-1468, 2011. (C) 2011 Wiley-Liss, Inc.</t>
  </si>
  <si>
    <t xml:space="preserve">[Venter, Marietjie] NICD, Resp Virus Unit, NHLS, ZA-2131 Johannesburg, South Africa; [Venter, Marietjie; Lassauniere, Ria; Kresfelder, Tina Louise; Westerberg, Yvette; Visser, Adele] Univ Pretoria, Fac Hlth Sci, Dept Med Virol, ZA-0002 Pretoria, South Africa; [Visser, Adele] Univ Pretoria, Fac Hlth Sci, Dept Clin Pathol, ZA-0002 Pretoria, South Africa; [Visser, Adele] NHLS, Tshwane Acad Div, Pretoria, South Africa</t>
  </si>
  <si>
    <t xml:space="preserve">National Health Laboratory Service; National Institute for Communicable Diseases (NICD); University of Pretoria; University of Pretoria; Tshwane University of Technology</t>
  </si>
  <si>
    <t xml:space="preserve">Venter, M (corresponding author), NICD, Resp Virus Unit, NHLS, Private Bag X 4, ZA-2131 Johannesburg, South Africa.</t>
  </si>
  <si>
    <t xml:space="preserve">Poliomyelitis Research Foundation; University of Pretoria</t>
  </si>
  <si>
    <t xml:space="preserve">Grant sponsor: Poliomyelitis Research Foundation; Grant sponsor: University of Pretoria.</t>
  </si>
  <si>
    <t xml:space="preserve">MALDEN</t>
  </si>
  <si>
    <t xml:space="preserve">COMMERCE PLACE, 350 MAIN ST, MALDEN 02148, MA USA</t>
  </si>
  <si>
    <t xml:space="preserve">10.1002/jmv.22120</t>
  </si>
  <si>
    <t xml:space="preserve">WOS:000292061200027</t>
  </si>
  <si>
    <t xml:space="preserve">van Diepen, A; Brand, HK; Sama, I; Lambooy, LHJ; van den Heuvel, LP; van der Well, L; Huynen, M; Osterhaus, ADME; Andeweg, AC; Hermans, PWM</t>
  </si>
  <si>
    <t xml:space="preserve">van Diepen, Angela; Brand, H. Kim; Sama, Iziah; Lambooy, Lambert H. J.; van den Heuvel, Lambert P.; van der Well, Leontine; Huynen, Martijn; Osterhaus, Albert D. M. E.; Andeweg, Arno C.; Hermans, Peter W. M.</t>
  </si>
  <si>
    <t xml:space="preserve">Quantitative proteome profiling of respiratory virus-infected lung epithelial cells</t>
  </si>
  <si>
    <t xml:space="preserve">JOURNAL OF PROTEOMICS</t>
  </si>
  <si>
    <t xml:space="preserve">Respiratory virus infection; 2-D DIGE; Apoptosis</t>
  </si>
  <si>
    <t xml:space="preserve">ENDOPLASMIC-RETICULUM STRESS; BCL-2 MESSENGER-RNA; SYNCYTIAL VIRUS; DISEASE HOSPITALIZATIONS; VIRAL-INFECTION; DOWN-REGULATION; BINDING-SITE; APOPTOSIS; GENE; IDENTIFICATION</t>
  </si>
  <si>
    <t xml:space="preserve">Respiratory virus infections are among the primary causes of morbidity and mortality in humans. Influenza virus, respiratory syncytial virus (RSV), parainfluenza (PIV) and human metapneumovirus (hMPV) are major causes of respiratory illness in humans. Especially young children and the elderly are susceptible to infections with these viruses. In this study we aim to gain detailed insight into the molecular pathogenesis of respiratory virus infections by studying the protein expression profiles of infected lung epithelial cells. A549 cells were exposed to a set of respiratory viruses [RSV, hMPV, Ply and Measles virus (MV)] using both live and UV-inactivated virus preparations. Cells were harvested at different time points after infection and processed for proteomics analysis by 2-dimensional difference gel electrophoresis. Samples derived from infected cells were compared to mock-infected cells to identify proteins that are differentially expressed due to infection. We show that RSV, hMPV, PIV3, and MV induced similar core host responses and that mainly proteins involved in defense against ER stress and apoptosis were affected which points towards an induction of apoptosis upon infection. By 2-D DIGE analyses we have gathered information on the induction of apoptosis by respiratory viruses in A549 cells. (C) 2010 Elsevier B.V. All rights reserved.</t>
  </si>
  <si>
    <t xml:space="preserve">[van Diepen, Angela; Brand, H. Kim; Lambooy, Lambert H. J.; Hermans, Peter W. M.] Radboud Univ Nijmegen Med Ctr, Lab Pediat Infect Dis, NL-6500 HB Nijmegen, Netherlands; [Sama, Iziah; Huynen, Martijn] Radboud Univ Nijmegen Med Ctr, Ctr Mol &amp; Biomol Informat, NL-6500 HB Nijmegen, Netherlands; [Sama, Iziah; Huynen, Martijn] Radboud Univ Nijmegen Med Ctr, Nijmegen Ctr Mol Life Sci, NL-6500 HB Nijmegen, Netherlands; [Lambooy, Lambert H. J.; van den Heuvel, Lambert P.] Radboud Univ Nijmegen Med Ctr, Lab Pediat &amp; Neurol, NL-6500 HB Nijmegen, Netherlands; [van der Well, Leontine; Osterhaus, Albert D. M. E.; Andeweg, Arno C.] Erasmus MC, Inst Virol, Rotterdam, Netherlands</t>
  </si>
  <si>
    <t xml:space="preserve">Radboud University Nijmegen; Radboud University Nijmegen; Radboud University Nijmegen; Radboud University Nijmegen; Erasmus University Rotterdam; Erasmus MC</t>
  </si>
  <si>
    <t xml:space="preserve">Hermans, PWM (corresponding author), Radboud Univ Nijmegen Med Ctr, Lab Pediat Infect Dis, Internal Post 224,POB 9101, NL-6500 HB Nijmegen, Netherlands.</t>
  </si>
  <si>
    <t xml:space="preserve">van den Heuvel, Lambertus/AAM-1772-2021; Hermans, Peter/F-4655-2010; Huynen, Martijn/A-1530-2014</t>
  </si>
  <si>
    <t xml:space="preserve">van Diepen, Angela/0000-0001-6991-0385; Osterhaus, Albert/0000-0002-6074-1172; Huynen, Martijn/0000-0001-6189-5491; Sama, Iziah/0000-0002-9056-7152</t>
  </si>
  <si>
    <t xml:space="preserve">VIRGO consortium; Dutch Government, The Netherlands [BSIK 03012]</t>
  </si>
  <si>
    <t xml:space="preserve">VIRGO consortium; Dutch Government, The Netherlands(Netherlands Government)</t>
  </si>
  <si>
    <t xml:space="preserve">This study was financially supported by the VIRGO consortium, an Innovative Cluster approved by the Netherlands Genomics Initiative and partially funded by the Dutch Government (BSIK 03012), The Netherlands.</t>
  </si>
  <si>
    <t xml:space="preserve">1874-3919</t>
  </si>
  <si>
    <t xml:space="preserve">1876-7737</t>
  </si>
  <si>
    <t xml:space="preserve">J PROTEOMICS</t>
  </si>
  <si>
    <t xml:space="preserve">J. Proteomics</t>
  </si>
  <si>
    <t xml:space="preserve">10.1016/j.jprot.2010.04.008</t>
  </si>
  <si>
    <t xml:space="preserve">Biochemical Research Methods</t>
  </si>
  <si>
    <t xml:space="preserve">Biochemistry &amp; Molecular Biology</t>
  </si>
  <si>
    <t xml:space="preserve">638WA</t>
  </si>
  <si>
    <t xml:space="preserve">WOS:000280927500004</t>
  </si>
  <si>
    <t xml:space="preserve">Carneiro, BM; Yokosawa, J; Arbiza, J; Costa, LF; Mirazo, S; Nepomuceno, LL; Oliveira, TFM; Goulart, LR; Vieira, CU; Freitas, GRO; Paula, NT; Queiróz, DAO</t>
  </si>
  <si>
    <t xml:space="preserve">Carneiro, Bruno M.; Yokosawa, Jonny; Arbiza, Juan; Costa, Lourenco F.; Mirazo, Santiago; Nepomuceno, Lysa L.; Oliveira, Thelma F. M.; Goulart, Luiz Ricardo; Vieira, Carlos U.; Freitas, Guilherme R. O.; Paula, Nayhanne T.; Queiroz, Divina A. O.</t>
  </si>
  <si>
    <t xml:space="preserve">Detection of All Four Human Metapneumovirus Subtypes in Nasopharyngeal Specimens from Children with Respiratory Disease in Uberlandia, Brazil</t>
  </si>
  <si>
    <t xml:space="preserve">respiratory virus diseases; human metapneumovirus; infants and young children</t>
  </si>
  <si>
    <t xml:space="preserve">SYNCYTIAL VIRUS; CIRCULATION PATTERNS; PEDIATRIC-PATIENTS; YOUNG-CHILDREN; GROUP-A; INFECTION; PREVALENCE; GENOTYPE; VARIABILITY; EPIDEMICS</t>
  </si>
  <si>
    <t xml:space="preserve">The human metapneumovirus (hMPV) is a pathogen of the respiratory tract identified first in the Netherlands in 2001 and since then it has been detected worldwide. The purpose of this study was to identify and characterize hMPV in samples collected from children &lt;5 years presenting with acute respiratory disease (ARD) seen at a public hospital in Uberlandia, in Southeastern Brazil. One hundred fourteen nasopharyngeal aspirates (NPAs) samples that were negative for the presence of nine other respiratory viruses were tested by reverse transcription polymerase chain reaction (RT-PCR) for the presence of hMPV RNA. Fourteen out of 114 (12.3%) samples were positive for presence of hMPV RNA. PCR products, obtained by the amplification of partial nucleotide sequence of gene N, were sequenced and compared with sequences deposited in GenBank. Sequences from eight samples were obtained and all four subtypes were identified. Also, the recently proposed sublineages a and b of subtype A2 were found; mean age was 21 months old; upper respiratory tract infection (URTI) was the most common clinical symptom; the virus was detected in samples collected from March to November, a period that corresponds to late summer to mid-spring in Brazil. This is the first study to describe the circulation of all hMPV subtypes in Minas Gerais state. J. Med. Virol. 81: 1814-1818, 2009. (C) 2009 Wiley-Liss, Inc.</t>
  </si>
  <si>
    <t xml:space="preserve">[Carneiro, Bruno M.; Yokosawa, Jonny; Costa, Lourenco F.; Nepomuceno, Lysa L.; Oliveira, Thelma F. M.; Freitas, Guilherme R. O.; Paula, Nayhanne T.; Queiroz, Divina A. O.] Univ Fed Uberlandia, Virol Lab, Inst Ciencias Biomed, BR-38400782 Uberlandia, MG, Brazil; [Arbiza, Juan; Mirazo, Santiago] Univ Republica, Fac Ciencias, Secc Virol, Montevideo, Uruguay; [Goulart, Luiz Ricardo; Vieira, Carlos U.] Univ Fed Uberlandia, Inst Genet &amp; Bioquim, Lab Nanobiotecnol, BR-38400782 Uberlandia, MG, Brazil</t>
  </si>
  <si>
    <t xml:space="preserve">Universidade Federal de Uberlandia; Universidad de la Republica, Uruguay; Universidade Federal de Uberlandia</t>
  </si>
  <si>
    <t xml:space="preserve">Queiróz, DAO (corresponding author), Univ Fed Uberlandia, Virol Lab, Inst Ciencias Biomed, Av Amazonas 1720,Bloco 4C, BR-38400782 Uberlandia, MG, Brazil.</t>
  </si>
  <si>
    <t xml:space="preserve">Carneiro, Bruno/P-2415-2019; Ueira-Vieira, Carlos/J-8998-2014; Goulart, Luiz/G-7357-2012</t>
  </si>
  <si>
    <t xml:space="preserve">Ueira-Vieira, Carlos/0000-0002-8369-9069; Mirazo, Santiago/0000-0003-0121-5268; Carneiro, Bruno/0000-0002-2355-7907; Goulart, Luiz/0000-0002-1803-4861; de Paula, Nayhanne/0000-0001-9069-7902</t>
  </si>
  <si>
    <t xml:space="preserve">10.1002/jmv.21555</t>
  </si>
  <si>
    <t xml:space="preserve">489BV</t>
  </si>
  <si>
    <t xml:space="preserve">WOS:000269395400018</t>
  </si>
  <si>
    <t xml:space="preserve">Forman, MS; Advani, S; Newman, C; Gaydos, CA; Milstone, AM; Valsamakis, A</t>
  </si>
  <si>
    <t xml:space="preserve">Forman, Michael S.; Advani, Sonali; Newman, Christina; Gaydos, Charlotte A.; Milstone, Aaron M.; Valsamakis, Alexandra</t>
  </si>
  <si>
    <t xml:space="preserve">Diagnostic performance of two highly multiplexed respiratory virus assays in a pediatric cohort</t>
  </si>
  <si>
    <t xml:space="preserve">Respiratory virus diagnostics; Respiratory virus nucleic acid tests; Respiratory virus multiplex tests</t>
  </si>
  <si>
    <t xml:space="preserve">REAL-TIME PCR</t>
  </si>
  <si>
    <t xml:space="preserve">Background: Rapid detection of respiratory viruses is important for management and infection control in hospitalized patients. Multiplex nucleic acid tests (NATs) have begun to replace conventional methods as gold standards for respiratory virus detection. Objective: To compare the performance of two large multiplex NATS, ResPlex II (RPII) and Respiratory Virus Surveillance kit with electrospray ionization mass spectrometry (RVS/MS) using nasopharyngeal aspirates (NPAs) from hospitalized children who had been tested previously with conventional methods. Study design: Stored residual NPAs (N = 306) were tested concomitantly by RPII and RVS/MS. Alternate NATs were used to adjudicate discordant results. Results: More viruses were detected with multiplex NATs (RPII, 110; RVS/MS, 109) than conventional assays (86); diagnostic gain was primarily for fastidious viruses (coronaviruses and enteroviruses [EVs]/human rhinoviruses [HRVs]). Total positive and negative agreement between the multiplex NATs for all viruses detected was quite high (86% positive agreement, 99% negative agreement). Most individual viruses were detected with fairly equivalent accuracy by the multiplex NATs, except for adenoviruses (RPII sensitivity 40%) and human metapneumovirus (RVS/MS sensitivity 42%). RPII had the advantage of detecting EVs and HRVs, however, it demonstrated considerable EV/HRV cross-reactivity (29 HRV-positive specimens by real-time PCR were positive for EV by RPII and 21 specimens positive for HRV only by RT-PCR were dual positive for EV/HRV by RPII). RPII also had reduced sensitivity for HRV detection (in 36 specimens, HRV was detected by RT-PCR but not by RPII). Conclusions: Both multiplex NATs were promising, but had notable limitations. (C) 2012 Elsevier B. V. All rights reserved.</t>
  </si>
  <si>
    <t xml:space="preserve">[Forman, Michael S.; Newman, Christina; Valsamakis, Alexandra] Johns Hopkins Med Inst, Div Med Microbiol, Baltimore, MD 21205 USA; [Advani, Sonali; Milstone, Aaron M.] Johns Hopkins Med Inst, Div Pediat Infect Dis, Baltimore, MD 21205 USA; [Gaydos, Charlotte A.] Johns Hopkins Med Inst, Div Adult Infect Dis, Baltimore, MD 21205 USA</t>
  </si>
  <si>
    <t xml:space="preserve">Johns Hopkins University; Johns Hopkins Medicine; Johns Hopkins University; Johns Hopkins Medicine; Johns Hopkins University; Johns Hopkins Medicine</t>
  </si>
  <si>
    <t xml:space="preserve">Valsamakis, A (corresponding author), Meyer B1-193,600 N Wolfe St, Baltimore, MD 21287 USA.</t>
  </si>
  <si>
    <t xml:space="preserve">avalsam1@jhmi.edu</t>
  </si>
  <si>
    <t xml:space="preserve">Gaydos, Charlotte/E-9937-2010</t>
  </si>
  <si>
    <t xml:space="preserve">Advani, Sonali/0000-0001-5162-6482; Milstone, Aaron/0000-0001-8498-8682</t>
  </si>
  <si>
    <t xml:space="preserve">R-Baby Foundation; Abbott/Ibis; Qiagen</t>
  </si>
  <si>
    <t xml:space="preserve">This work was funded by R-Baby Foundation.Reagent support was kindly provided by Qiagen and Ibis Biosciences/Abbott Molecular. C. Gaydos has received research funding from Abbott/Ibis. A. Valsamakis has received research funding from Abbott/Ibis and Qiagen; she has served on a scientific advisory board for Diagnostic Hybrids Inc.</t>
  </si>
  <si>
    <t xml:space="preserve">10.1016/j.jcv.2012.06.019</t>
  </si>
  <si>
    <t xml:space="preserve">995HC</t>
  </si>
  <si>
    <t xml:space="preserve">WOS:000307997800014</t>
  </si>
  <si>
    <t xml:space="preserve">Popowitch, EB; Kaplan, S; Wu, ZL; Tang, YW; Miller, MB</t>
  </si>
  <si>
    <t xml:space="preserve">Popowitch, Elena B.; Kaplan, Sam; Wu, Zenglin; Tang, Yi-Wei; Miller, Melissa B.</t>
  </si>
  <si>
    <t xml:space="preserve">Comparative Performance of the Luminex NxTAG Respiratory Pathogen Panel, GenMark eSensor Respiratory Viral Panel, and BioFire FilmArray Respiratory Panel</t>
  </si>
  <si>
    <t xml:space="preserve">respiratory viral panels; respiratory pathogen panels; BioFire; GenMark; Luminex; syndromic testing</t>
  </si>
  <si>
    <t xml:space="preserve">CLINICAL-EVALUATION; MULTIPLEX DETECTION; ASSAY; TIME; IMPACT; PCR; CHILDREN; VIRUSES</t>
  </si>
  <si>
    <t xml:space="preserve">This study compares three of the most inclusive and widely used panels for respiratory syndromic testing in the United States, namely, Luminex NxTAG Respiratory Pathogen Panel (RPP), BioFire FilmArray Respiratory Panel (RP), and GenMark eSensor Respiratory Viral Panel (RVP). We compared the three assays using nasopharyngeal swab samples (n = 350) collected from symptomatic patients (n = 329) in the pre-coronavirus disease 2019 (COVID-19) era. There was no significant difference in the overall accuracies of BioFire and Luminex assays (P = 0.6171); however, significant differences were found between BioFire and GenMark (P = 0.0003) and between GenMark and Luminex (P = 0.0009). The positive percent agreement of the BioFire RP assay was 94.1%, compared to 97.3% for GenMark RVP and 96.5% for Luminex RPP. Overall negative percent agreement values were high for all three assays, i.e., 99.9% for BioFire and Luminex and 99.5% for GenMark. The three assays were equivalent for adenovirus, human metapneumovirus, influenza A, and respiratory syncytial virus. Increased false-positive results were seen with BioFire for the endemic coronaviruses and with GenMark for influenza B and the parainfluenza viruses. IMPORTANCE Clinical laboratories have multiple choices when it is comes to syndromic respiratory testing. Here, the Luminex NxTAG RPP is compared to the BioFire FilmArray RP and GenMark eSensor RVP for overall and per-target accuracy. As new tests come to market, it is important to ascertain their performance characteristics, compared to other widely used in vitro diagnostic products.</t>
  </si>
  <si>
    <t xml:space="preserve">[Popowitch, Elena B.; Miller, Melissa B.] UNC Hlth Care, McLendon Clin Labs, Clin Microbiol Lab, Chapel Hill, NC 27514 USA; [Kaplan, Sam; Wu, Zenglin; Tang, Yi-Wei] Mem Sloan Kettering Canc Ctr, Dept Lab Med, 1275 York Ave, New York, NY 10021 USA; [Wu, Zenglin] Sun Yat Sen Univ, Affiliated Hosp 8, Dept Lab Med, Shenzhen, Peoples R China; [Miller, Melissa B.] Univ N Carolina, Sch Med, Dept Pathol &amp; Lab Med, Chapel Hill, NC 27515 USA; [Popowitch, Elena B.] Novel Microdevices Inc, Baltimore, MD USA; [Kaplan, Sam] Rhode Isl Hosp, Providence, RI USA; [Tang, Yi-Wei] Danaher Diagnost Platform Cepheid, Shanghai, Peoples R China</t>
  </si>
  <si>
    <t xml:space="preserve">Memorial Sloan Kettering Cancer Center; Sun Yat Sen University; University of North Carolina School of Medicine; University of North Carolina; University of North Carolina Chapel Hill; Lifespan Health Rhode Island; Rhode Island Hospital</t>
  </si>
  <si>
    <t xml:space="preserve">Miller, MB (corresponding author), UNC Hlth Care, McLendon Clin Labs, Clin Microbiol Lab, Chapel Hill, NC 27514 USA.;Miller, MB (corresponding author), Univ N Carolina, Sch Med, Dept Pathol &amp; Lab Med, Chapel Hill, NC 27515 USA.</t>
  </si>
  <si>
    <t xml:space="preserve">melissa.miller@unchealth.unc.edu</t>
  </si>
  <si>
    <t xml:space="preserve">Tang, Yiwei/F-6622-2017</t>
  </si>
  <si>
    <t xml:space="preserve">Tang, Yi-Wei/0000-0003-4888-6771; Miller, Melissa/0000-0002-0296-3535</t>
  </si>
  <si>
    <t xml:space="preserve">10.1128/spectrum.01248-22</t>
  </si>
  <si>
    <t xml:space="preserve">N2FM1</t>
  </si>
  <si>
    <t xml:space="preserve">WOS:000819225900002</t>
  </si>
  <si>
    <t xml:space="preserve">Wunderink, RG</t>
  </si>
  <si>
    <t xml:space="preserve">Wunderink, Richard G.</t>
  </si>
  <si>
    <t xml:space="preserve">Other Community Respiratory Viruses</t>
  </si>
  <si>
    <t xml:space="preserve">Respiratory viral panel; Pneumonia; Acute respiratory distress syndrome; Ribavirin; Cidofovir; Adenovirus; Coronavirus; Human metapneumovirus</t>
  </si>
  <si>
    <t xml:space="preserve">INTERFERON ALPHA-2A; VIRAL-INFECTIONS; PNEUMONIA; RIBAVIRIN; CORONAVIRUS; MORTALITY; CHILDREN; OUTCOMES; ADULTS</t>
  </si>
  <si>
    <t xml:space="preserve">Polymerase chain reaction based diagnosis has become the standard for viral pneumonia and other respiratory tract infections. Expansion of respiratory viral panels (RVPs) outside of influenza and, possibly, respiratory syncytial virus has led to the ability to diagnose viral infections for which no approved specific antiviral treatment exists. Careful clinical evaluation of the patient with a positive RVP is, therefore, critical given the limited repertoire of treatments. Generic treatments with intravenous immunoglobulin, ribavirin, and interferons may benefit select severe viral pneumonia patients, whereas cidofovir has activity for severe adenoviral pneumonia.</t>
  </si>
  <si>
    <t xml:space="preserve">[Wunderink, Richard G.] Northwestern Univ, Dept Med Pulm &amp; Crit Care, Feinberg Sch Med, 676 North St Clair St,Arkes 14-015, Chicago, IL 60611 USA</t>
  </si>
  <si>
    <t xml:space="preserve">Wunderink, RG (corresponding author), Northwestern Univ, Dept Med Pulm &amp; Crit Care, Feinberg Sch Med, 676 North St Clair St,Arkes 14-015, Chicago, IL 60611 USA.</t>
  </si>
  <si>
    <t xml:space="preserve">Wunderink, Richard/0000-0002-8527-4195</t>
  </si>
  <si>
    <t xml:space="preserve">10.1016/j.ccm.2016.11.003</t>
  </si>
  <si>
    <t xml:space="preserve">WOS:000396387100006</t>
  </si>
  <si>
    <t xml:space="preserve">Jothisri, L; Das, S; Singh, NP; Saha, R; Raizada, A; Ansari, MA; Jain, C; Sivakumar; Dar, SA</t>
  </si>
  <si>
    <t xml:space="preserve">Jothisri, L.; Das, Shukla; Singh, Narendra Pal; Saha, Rumpa; Raizada, Alpana; Ansari, Mohammad Ahmad; Jain, Charu; Sivakumar, Sajad Ahmad; Dar, Sajad Ahmad</t>
  </si>
  <si>
    <t xml:space="preserve">Respiratory Viruses Causing Influenza Like Illness/Severe Acute Respiratory Infection During COVID-19 Pandemic</t>
  </si>
  <si>
    <t xml:space="preserve">CURRENT RESPIRATORY MEDICINE REVIEWS</t>
  </si>
  <si>
    <t xml:space="preserve">Respiratory viral infections; influenza like illness; severe acute respiratory infection; COVID-19; immunity; comorbidity</t>
  </si>
  <si>
    <t xml:space="preserve">OUTCOMES</t>
  </si>
  <si>
    <t xml:space="preserve">Background Respiratory tract infections caused by viruses are among the most common diseases in humans worldwide. The diagnosis remains difficult as the symptoms overlap significantly with each other.Objectives The objective of this study is to identify the respiratory viruses other than SARS-CoV-2 causing Influenza-like illness (ILI) /severe acute respiratory infection (SARI) during COVID-19 pandemic.Methods A total of 100 samples, including COVID-19 positive (n=50) and negative (n=50), were included in the study. The detailed case record form was filled for each patient including relevant history. Nasopharyngeal and Oropharyngeal swabs were subjected to standardized RT-PCR for the detection of SARS-CoV-2 followed by Multiplex RT-PCR for other respiratory viruses.Results Other respiratory viruses causing ILI/SARI symptoms similar to SARS-CoV2 during COVID-19 pandemic in non-COVID-19 patients aged more than 18 years were found to be Human metapneumovirus (2%), Human adenovirus (1%), Human parainfluenza virus-1 (1%). The result suggested that other respiratory viral infections are significantly higher among COVID-19 negative individuals presenting with respiratory illness as compared to COVID-19 positive individuals, possibly due to viral interference and competitive advantage of SARS-CoV-2 in modulating the host immune system.Conclusion The other respiratory viruses in SARS-CoV-2 negative patients had mild to moderate ILI/SARI symptoms, which usually do not require hospitalization but need to be monitored, especially in high-risk patients. Human metapneumovirus, Adenovirus, Parainfluenza virus-1 most commonly occured in more than 60 years age group with comorbidity which can be useful in stratification for future surveillance of other respiratory viruses in health care settings.</t>
  </si>
  <si>
    <t xml:space="preserve">[Jothisri, L.; Das, Shukla; Singh, Narendra Pal; Saha, Rumpa; Jain, Charu; Dar, Sajad Ahmad] Univ Delhi, Univ Coll Med Sci, Dept Microbiol, New Delhi 110095, India; [Jothisri, L.; Das, Shukla; Singh, Narendra Pal; Saha, Rumpa; Raizada, Alpana; Ansari, Mohammad Ahmad; Jain, Charu; Sivakumar, Sajad Ahmad] GTB Hosp, New Delhi 110095, India; [Raizada, Alpana] Univ Delhi, Univ Coll Med Sci, Dept Med, New Delhi 110095, India; [Ansari, Mohammad Ahmad] Univ Delhi, Coll Med Sci, Multidisciplinary Res Unit, Cent Res Lab,Univ, New Delhi 110095, India; Univ Delhi, Univ Coll Med Sci, Dept Pediat, New Delhi 110095, India; [Dar, Sajad Ahmad] Jazan Univ, Coll Nursing, Res &amp; Sci Studies Unit, Jazan 45142, Saudi Arabia</t>
  </si>
  <si>
    <t xml:space="preserve">University of Delhi; University College of Medical Sciences; University of Delhi; University College of Medical Sciences; University of Delhi; University College of Medical Sciences; University of Delhi; University of Delhi; University College of Medical Sciences; Jazan University</t>
  </si>
  <si>
    <t xml:space="preserve">Das, S (corresponding author), Univ Delhi, Univ Coll Med Sci, Dept Microbiol, New Delhi 110095, India.;Das, S (corresponding author), GTB Hosp, New Delhi 110095, India.</t>
  </si>
  <si>
    <t xml:space="preserve">shukladas_123@yahoo.com</t>
  </si>
  <si>
    <t xml:space="preserve">Dar, Sajad/L-1065-2019</t>
  </si>
  <si>
    <t xml:space="preserve">Dar, Sajad/0000-0003-2499-8701</t>
  </si>
  <si>
    <t xml:space="preserve">GTB hospital, New Delhi; Multi-disciplinary Research Unit &amp; Central Research Laboratory (MRU-CRL)</t>
  </si>
  <si>
    <t xml:space="preserve">This work was carried out under the activity of Regional VRDL at UCMS and GTB hospital, New Delhi. The support from Multi-disciplinary Research Unit &amp; Central Research Laboratory (MRU-CRL) is duly acknowledged.</t>
  </si>
  <si>
    <t xml:space="preserve">BENTHAM SCIENCE PUBL LTD</t>
  </si>
  <si>
    <t xml:space="preserve">SHARJAH</t>
  </si>
  <si>
    <t xml:space="preserve">EXECUTIVE STE Y-2, PO BOX 7917, SAIF ZONE, 1200 BR SHARJAH, U ARAB EMIRATES</t>
  </si>
  <si>
    <t xml:space="preserve">1573-398X</t>
  </si>
  <si>
    <t xml:space="preserve">1875-6387</t>
  </si>
  <si>
    <t xml:space="preserve">CURR RESPIR MED REV</t>
  </si>
  <si>
    <t xml:space="preserve">Curr. Respir. Med. Rev.</t>
  </si>
  <si>
    <t xml:space="preserve">10.2174/011573398X259978230922090846</t>
  </si>
  <si>
    <t xml:space="preserve">Z7HG8</t>
  </si>
  <si>
    <t xml:space="preserve">WOS:001113741300011</t>
  </si>
  <si>
    <t xml:space="preserve">Caini, S; de Mora, D; Olmedo, M; Portugal, D; Becerra, MA; Mejía, M; Pacurucu, MC; Ojeda, J; Bonaccorsi, G; Lorini, C; Paget, J; Bruno, A</t>
  </si>
  <si>
    <t xml:space="preserve">Caini, Saverio; de Mora, Domenica; Olmedo, Maritza; Portugal, Denisses; Becerra, Maria A.; Mejia, Marcela; Pacurucu, Maria C.; Ojeda, Jenny; Bonaccorsi, Guglielmo; Lorini, Chiara; Paget, John; Bruno, Alfredo</t>
  </si>
  <si>
    <t xml:space="preserve">The epidemiology and severity of respiratory viral infections in a tropical country: Ecuador, 2009-2016</t>
  </si>
  <si>
    <t xml:space="preserve">Respiratory viral infections; Epidemiology; Age distribution; Case-fatality ratio; Ecuador</t>
  </si>
  <si>
    <t xml:space="preserve">VIRUS-INFECTIONS; INFLUENZA; ETIOLOGY</t>
  </si>
  <si>
    <t xml:space="preserve">Background: Respiratory viral infections (RVI) are a leading cause of mortality worldwide. We compared the epidemiology and severity of RVI in Ecuador during 2009-2016. Methods: Respiratory specimens collected within the national surveillance system were tested for influenza viruses, respiratory syncytial virus (RSV), adenovirus, parainfluenza virus, and human metapneumovirus. Overall and virus-specific positive detection rate (PDR) were calculated and compared the timing of epidemics caused by the different viruses. Logistic regression models were used to compare the age distribution and risk of death across respiratory viruses. Results: A total of 41,172 specimens were analyzed: influenza (PDR= 14.3%) and respiratory syncytial virus (RSV) (PDR= 9.5%) were the most frequently detected viruses. Influenza epidemics typically peaked in December-January and RSV epidemics in March; seasonality was less evident for the other viruses. Compared to adults, children were more frequently infected with RSV, adenovirus, parainfluenza, and influenza B, while the elderly were less frequently infected with influenza A(H1N1)p. The age-adjusted risk of death was highest for A(H1N1)p (odds ratio [OR] 1.73, 95% confidence intervals [CI] 1.38-2.17), and lowest for RSV (OR 0.75, 95%CI 0.57-0.98). Conclusions: Whilst influenza and RSV were the most frequently detected pathogens, the risk of death differed by RVI, being highest for pandemic influenza and lowest for RSV. (C) 2018 The Authors. Published by Elsevier Limited on behalf of King Saud Bin Abdulaziz University for Health Sciences.</t>
  </si>
  <si>
    <t xml:space="preserve">[Caini, Saverio; Paget, John] Netherlands Inst Hlth Serv Res NIVEL, Otterstr 118-124, NL-3513 CR Utrecht, Netherlands; [de Mora, Domenica; Olmedo, Maritza; Portugal, Denisses; Bruno, Alfredo] Natl Inst Publ Hlth Res INSPI, Guayaquil, Ecuador; [Becerra, Maria A.] Natl Inst Publ Hlth Res INSPI, Quito, Ecuador; [Mejia, Marcela; Pacurucu, Maria C.] Natl Inst Publ Hlth Res INSPI, Cuenca, Ecuador; [Ojeda, Jenny] Minist Publ Hlth, Guayaquil, Ecuador; [Bonaccorsi, Guglielmo; Lorini, Chiara] Univ Firenze, Florence, Italy; [Bruno, Alfredo] Univ Agr Ecuador, Guayaquil, Ecuador</t>
  </si>
  <si>
    <t xml:space="preserve">Netherlands Institute for Health Services Research; University of Florence</t>
  </si>
  <si>
    <t xml:space="preserve">Caini, S (corresponding author), Netherlands Inst Hlth Serv Res NIVEL, Otterstr 118-124, NL-3513 CR Utrecht, Netherlands.</t>
  </si>
  <si>
    <t xml:space="preserve">s.caini@nivel.nl</t>
  </si>
  <si>
    <t xml:space="preserve">bonaccorsi, guglielmo/AAR-6916-2020; Caini, Saverio/AAI-3788-2020; BRUNO, PhD, ALFREDO/AAW-8354-2020</t>
  </si>
  <si>
    <t xml:space="preserve">Caini, Saverio/0000-0002-2262-1102; BRUNO, PhD, ALFREDO/0000-0002-9678-4203; bonaccorsi, guglielmo/0000-0002-5171-4308</t>
  </si>
  <si>
    <t xml:space="preserve">10.1016/j.jiph.2018.12.003</t>
  </si>
  <si>
    <t xml:space="preserve">HW8MR</t>
  </si>
  <si>
    <t xml:space="preserve">WOS:000466944300011</t>
  </si>
  <si>
    <t xml:space="preserve">Shakoor, N; Niazi, SK; Ghani, E; Iftikhar, R; Rathore, A; Noor, M</t>
  </si>
  <si>
    <t xml:space="preserve">Shakoor, Noman; Niazi, Saifullah Khan; Ghani, Eijaz; Iftikhar, Raheel; Rathore, Ali; Noor, Misbah</t>
  </si>
  <si>
    <t xml:space="preserve">Respiratory viral infections in bone marrow transplant patients: insights from a tertiary care hospital in Rawalpindi, Pakistan</t>
  </si>
  <si>
    <t xml:space="preserve">JOURNAL OF THE PAKISTAN MEDICAL ASSOCIATION</t>
  </si>
  <si>
    <t xml:space="preserve">Respiratory viral infections; Bone marrow transplantation; Multiplex respiratory PCR; Diagnosis</t>
  </si>
  <si>
    <t xml:space="preserve">HEMATOPOIETIC STEM-CELL; RECIPIENTS; VIRUSES</t>
  </si>
  <si>
    <t xml:space="preserve">Objective: To determine the incidence of respiratory viral infections in bone marrow transplant patients. Method: The prospective, descriptive, cross-sectional study was conducted at a tertiary care hospital in Rawalpindi, Pakistan, from September 2019 to August 2020, and comprised respiratory specimens from recipients of haematopoietic stem cell transplant. The specimens were collected in viral transport medium, and were then taken to the Department of Virology. Multiplex polymerase chain reaction was performed on the specimens to ascertain the incidence and prevalence of respiratory viruses. Data was analysed using SPSS 24. Results: Of the 85 subjects, 53(62.35%) were males and 32(37.65%) were females. The overall median age was 20.0 years (interquartile range: 11.0-32.0 years). Respiratory viral infections were detected in 31(36.4%) specimens. Among them, human rhinovirus was detected in 12(38.7%) cases, respiratory syncytial virus in 5(16.1%), influenza A/H3 in 4(13%), human parainfluenza virus-1 in 3(9.7%), adenovirus in 2(6.4%), human parainfluenza virus-3 in 1(3.2%), human parainfluenza virus-4 in 1(3.2%) and human metapneumovirus in 1(3.2%) case. There were 2(6.4%) cases of co-infection. Conclusion: More than one-third recipients of haematopoietic stem cell transplant were found to have respiratory viral infections, highlighting the importance of employing multiplex respiratory polymerase chain reaction in early diagnosis and treatment of such infections.</t>
  </si>
  <si>
    <t xml:space="preserve">[Shakoor, Noman; Niazi, Saifullah Khan; Ghani, Eijaz] Armed Forces Inst Pathol, Dept Virol, Rawalpindi, Pakistan; [Iftikhar, Raheel] Armed Forces Bone Marrow Transplant Ctr, Dept Haematol, Rawalpindi, Pakistan; [Rathore, Ali] Armed Forces Inst Transfus, Dept Virol, Rawalpindi, Pakistan; [Noor, Misbah] Pakistan Air Force Hosp, Dept Virol, Islamabad, Pakistan</t>
  </si>
  <si>
    <t xml:space="preserve">Shakoor, N (corresponding author), Armed Forces Inst Pathol, Dept Virol, Rawalpindi, Pakistan.</t>
  </si>
  <si>
    <t xml:space="preserve">nomanrana06@gmail.com</t>
  </si>
  <si>
    <t xml:space="preserve">iftikhar, raheel/AGV-3878-2022</t>
  </si>
  <si>
    <t xml:space="preserve">Acknowledgement: We are grateful to all members of staff at the Armed Forces Bone Marrow Transplant Centre, Rawalpindi, for facilitating the study.</t>
  </si>
  <si>
    <t xml:space="preserve">PAKISTAN MEDICAL ASSOC</t>
  </si>
  <si>
    <t xml:space="preserve">KARACHI</t>
  </si>
  <si>
    <t xml:space="preserve">PMA HOUSE, AGA KHAN III RD, KARACHI, 00000, PAKISTAN</t>
  </si>
  <si>
    <t xml:space="preserve">0030-9982</t>
  </si>
  <si>
    <t xml:space="preserve">J PAK MED ASSOC</t>
  </si>
  <si>
    <t xml:space="preserve">J. Pak. Med. Assoc.</t>
  </si>
  <si>
    <t xml:space="preserve">10.47391/JPMA.10587</t>
  </si>
  <si>
    <t xml:space="preserve">Medicine, General &amp; Internal; Medicine, Research &amp; Experimental</t>
  </si>
  <si>
    <t xml:space="preserve">General &amp; Internal Medicine; Research &amp; Experimental Medicine</t>
  </si>
  <si>
    <t xml:space="preserve">H3E5A</t>
  </si>
  <si>
    <t xml:space="preserve">WOS:001322300600012</t>
  </si>
  <si>
    <t xml:space="preserve">Smith, SM; Pineda, ED; Oda, J; Chavda, R; Herrington, JD</t>
  </si>
  <si>
    <t xml:space="preserve">Smith, Stephanie M.; Pineda, Elmor D.; Oda, Julie; Chavda, Rihin; Herrington, Jon D.</t>
  </si>
  <si>
    <t xml:space="preserve">Outcomes Associated With Antibiotic Cessation in Oncology Patients With Positive Respiratory Viral Panel Polymerase Chain Reaction Results</t>
  </si>
  <si>
    <t xml:space="preserve">INFECTIOUS DISEASES IN CLINICAL PRACTICE</t>
  </si>
  <si>
    <t xml:space="preserve">respiratory viral infections; antibiotics; oncology</t>
  </si>
  <si>
    <t xml:space="preserve">COMMUNITY-ACQUIRED PNEUMONIA</t>
  </si>
  <si>
    <t xml:space="preserve">Background The discontinuation of antibiotics is ideal if a viral infection is diagnosed. However, it remains uncertain whether in clinical practice, this applies to immunocompromised patients. Purpose The purpose of this study was to evaluate the outcomes of hospitalized febrile oncology patients that cease or continue antibiotics with positive respiratory viral panels (RVP) with negative bacterial cultures. Methods This retrospective study evaluated hospitalized febrile oncology patients divided into 2 groups: patients with antibiotics discontinued within 72 hours of a positive RVP and those continued on antibiotics beyond 72 hours of a positive RVP. Patients were included if they were at least 18 years of age, had active malignant disease, a positive RVP result, and negative bacterial cultures. The primary endpoint was a composite of readmissions, escalation of care to intensive care unit, or death. Results A total of 243 charts were reviewed with 127 admissions meeting inclusion criteria. Sixty-three patients were included in the antibiotics discontinued within 72 hours group and 64 patients were included in the antibiotics continued after 72 hours group. The most common defined malignancy was lymphoma (22%), and the 3 most common viruses identified were rhinovirus/enterovirus (56.7%), influenza A (12.6%), and human metapneumovirus (12.6%). The composite primary outcome occurred in 26.2% of patients in the antibiotic-continued group compared with 27% in the antibiotic-discontinued group. Conclusions Discontinuing antibiotics in oncology patients with a positive RVP result without concurrent bacterial infections did not lead to a significant increase in 30-day readmission, intensive care unit admission, or death.</t>
  </si>
  <si>
    <t xml:space="preserve">[Smith, Stephanie M.; Pineda, Elmor D.; Oda, Julie] Baylor Scott &amp; White Med Ctr Temple, Temple, TX USA; [Chavda, Rihin; Herrington, Jon D.] Texas A&amp;M Univ, Coll Med, Temple, TX 76508 USA</t>
  </si>
  <si>
    <t xml:space="preserve">Texas A&amp;M University System</t>
  </si>
  <si>
    <t xml:space="preserve">Herrington, JD (corresponding author), 2401 S 31st St,MS-01-055, Temple, TX 76508 USA.</t>
  </si>
  <si>
    <t xml:space="preserve">Jon.Herrington@BSWHealth.org</t>
  </si>
  <si>
    <t xml:space="preserve">Pineda, Elmor/0000-0002-0018-6808</t>
  </si>
  <si>
    <t xml:space="preserve">1056-9103</t>
  </si>
  <si>
    <t xml:space="preserve">1536-9943</t>
  </si>
  <si>
    <t xml:space="preserve">INFECT DIS CLIN PRAC</t>
  </si>
  <si>
    <t xml:space="preserve">Infect. Dis. Clin. Pract.</t>
  </si>
  <si>
    <t xml:space="preserve">10.1097/IPC.0000000000000869</t>
  </si>
  <si>
    <t xml:space="preserve">NP3IM</t>
  </si>
  <si>
    <t xml:space="preserve">WOS:000570072800009</t>
  </si>
  <si>
    <t xml:space="preserve">Beckham, JD; Cadena, A; Lin, JJ; Piedra, PA; Glezen, WP; Greenberg, SB; Atmar, RL</t>
  </si>
  <si>
    <t xml:space="preserve">Respiratory viral infections in patients with chronic, obstructive pulmonary disease</t>
  </si>
  <si>
    <t xml:space="preserve">respiratory viral infection; influenza; respiratory syncytial virus; rhinovirus; parainfluenza virus; coronavirus; human metapneumovirus; chronic obstructive pulmonary disease; hospitalization; exacerbation</t>
  </si>
  <si>
    <t xml:space="preserve">REVERSE TRANSCRIPTION-PCR; POLYMERASE-CHAIN-REACTION; SYNCYTIAL VIRUS-INFECTION; HUMAN METAPNEUMOVIRUS; RISK-FACTORS; EXACERBATIONS; INFLUENZA; DIAGNOSIS; ADENOVIRUSES; PREVALENCE</t>
  </si>
  <si>
    <t xml:space="preserve">Objectives. The purpose of the present study was to apply reverse transcription- PCR (RT-PCR) assays to clinical specimens collected from patients with acute respiratory illness and chronic obstructive pulmonary disease (COPD). Methods. One hundred and ninety-four samples from two different study cohorts were analysed using RT-PCR assays for picornaviruses, coronaviruses 229E and OC43, influenza A and B viruses, respiratory syncytial. virus, parainfluenza types 1-3 viruses, and human metapneumovirus and a PCR assay for adenoviruses. The results were added to results obtained previously using cell culture and serologic methods. Results. RT-PCR assays identified an additional 35 respiratory virus- associated illnesses not identified previously by cell culture or serology (n=46). Picornaviruses and coronaviruses were the most common viral infections identified only by RT-PCR. Overall, 41.8% of the acute respiratory illnesses evaluated were associated with a respiratory virus infection, with picornaviruses, coronaviruses and influenza viruses being the most common infections recognized. No human metapneumovirus infections were identified by RT-IPCR assay. Conclusions. Respiratory viral infections are commonly associated with acute respiratory illness in COPD patients, and the use of RT-PCR assays significantly increases the ability to diagnose these infections. (c) 2004 The British Infection Society. Published by Elsevier Ltd. All rights reserved.</t>
  </si>
  <si>
    <t xml:space="preserve">Baylor Coll Med, Dept Med, Houston, TX 77030 USA; Ben Taub Gen Hosp, Houston, TX 77030 USA; Baylor Coll Med, Dept Mol Virol &amp; Microbiol, Houston, TX 77030 USA; Baylor Coll Med, Dept Pediat, Houston, TX 77030 USA; Baylor Coll Med, Dept Med Serv, Houston, TX 77030 USA</t>
  </si>
  <si>
    <t xml:space="preserve">Baylor College of Medicine; Baylor College of Medicine; Baylor College of Medicine; Baylor College of Medicine</t>
  </si>
  <si>
    <t xml:space="preserve">Baylor Coll Med, Dept Med, 1 Baylor Plaza, Houston, TX 77030 USA.</t>
  </si>
  <si>
    <t xml:space="preserve">ratmar@bcm.tmc.edu</t>
  </si>
  <si>
    <t xml:space="preserve">Beckham, John/AAE-6694-2020; Atmar, Robert/AFQ-5392-2022</t>
  </si>
  <si>
    <t xml:space="preserve">Beckham, J. David/0000-0001-9305-2683</t>
  </si>
  <si>
    <t xml:space="preserve">NIAID NIH HHS [N01-AI-15103] Funding Source: Medline</t>
  </si>
  <si>
    <t xml:space="preserve">1532-2742</t>
  </si>
  <si>
    <t xml:space="preserve">10.1016/j.jinf.2004.07.011</t>
  </si>
  <si>
    <t xml:space="preserve">925OJ</t>
  </si>
  <si>
    <t xml:space="preserve">WOS:000229062100006</t>
  </si>
  <si>
    <t xml:space="preserve">Torres, JP; De la Maza, V; Kors, L; Villarroel, M; Piemonte, P; Izquierdo, G; Salgado, C; Tordecilla, J; Contardo, V; Farfán, MJ; Mejías, A; Ramilo, O; Santolaya, ME</t>
  </si>
  <si>
    <t xml:space="preserve">Pablo Torres, Juan; De la Maza, Veronica; Kors, Lisette; Villarroel, Milena; Piemonte, Paula; Izquierdo, Giannina; Salgado, Carmen; Tordecilla, Juan; Contardo, Veronica; Farfan, Mauricio J.; Mejias, Asuncion; Ramilo, Octavio; Elena Santolaya, Maria</t>
  </si>
  <si>
    <t xml:space="preserve">Respiratory Viral Infections and Coinfections in Children With Cancer, Fever and Neutropenia Clinical Outcome of Infections Caused by Different Respiratory Viruses</t>
  </si>
  <si>
    <t xml:space="preserve">respiratory viral infection; febrile neutropenia; coinfections; children; cancer</t>
  </si>
  <si>
    <t xml:space="preserve">STEM-CELL TRANSPLANTATION; SYNCYTIAL VIRUS; YOUNG-CHILDREN; LEUKEMIA; BRONCHIOLITIS; CHEMOTHERAPY; RHINOVIRUS; GUIDELINE; RISK</t>
  </si>
  <si>
    <t xml:space="preserve">Background: Respiratory viral infections in episodes of fever and neutropenia (FN) in children with cancer are not well characterized. We compared the clinical outcome of infections caused by different respiratory viruses (RVs) and by RV coinfection in this population. Methods: Children with cancer and FN at 3 hospitals in Chile were prospectively evaluated by clinical examination, blood cultures and detection of 17 RVs using multiplex polymerase chain reaction (nasopharyngeal samples). Clinical characterization and outcome variables were determined and compared by the type of RV detected. Results: A total of 1044 episodes of FN in 525 children were included. At least 1 RV was detected in 46%. In 350 of 1044 (34%) episodes, we detected only RVs, of which 284 (81%) were classified as a single-RV infection and 66 (19%) as a viral coinfection. Respiratory symptoms were present at admission in 65% of the episodes with any detected RV. Median age was 6 years (interquartile range, 3-10), and 51% were women. The most common RVs detected were rhinovirus, respiratory syncytial virus, parainfluenza, influenza, adenovirus and human metapneumovirus. Episodes caused by different types of RVs had no differences in the clinical outcome (days of hospitalization, days of fever, O-2 requirement, admission to the intensive care unit and death) and when comparing single and viral coinfection. Conclusions: To our knowledge, this is the largest report comparing clinical outcome in FN episodes caused by different RVs in children with cancer. A positive polymerase chain reaction for RV at admission was significantly associated with the presence of respiratory symptoms. Our data showed a favorable outcome in all episodes with RV detection, including single and viral coinfections.</t>
  </si>
  <si>
    <t xml:space="preserve">[Pablo Torres, Juan; De la Maza, Veronica; Kors, Lisette; Farfan, Mauricio J.; Elena Santolaya, Maria] Univ Chile, Fac Med, Dept Pediat, Hosp Dr Luis Calvo Mackenna, Santiago, Chile; [Villarroel, Milena] Hosp Dr Luis Calvo Mackenna, Dept Pediat, Santiago, Chile; [Piemonte, Paula] Clin Las Condes, Lab Mol Biol, Santiago, Chile; [Izquierdo, Giannina; Salgado, Carmen] Hosp Dr Exequiel Gonzalez Cortes, Dept Pediat, Santiago, Chile; [Tordecilla, Juan; Contardo, Veronica] Hosp Dr Roberto del Rio, Dept Pediat, Santiago, Chile; [Mejias, Asuncion; Ramilo, Octavio] Ohio State Univ, Div Pediat Infect Dis, Nationwide Childrens Hosp, Columbus, OH 43210 USA</t>
  </si>
  <si>
    <t xml:space="preserve">Universidad de Chile; Clinica Las Condes; Universidad de Chile; University System of Ohio; Ohio State University; Nationwide Childrens Hospital</t>
  </si>
  <si>
    <t xml:space="preserve">Torres, JP (corresponding author), Univ Chile, Hosp Luis Calvo Mackenna, Div Pediat Infect Dis, Dept Pediat,Fac Med, Antonio Varas 360, Santiago, Chile.</t>
  </si>
  <si>
    <t xml:space="preserve">jptorres@clc.cl</t>
  </si>
  <si>
    <t xml:space="preserve">Torretti, Juan/H-6583-2014; Mejias, Asuncion/AAC-5998-2019</t>
  </si>
  <si>
    <t xml:space="preserve">Torres, Juan P/0000-0002-3565-5467; MEJIAS, ASUNCION/0000-0002-5983-8006</t>
  </si>
  <si>
    <t xml:space="preserve">Fondo Nacional de Desarrollo Cientifico y Tecnologico [1130911, 1120800, 11080113]</t>
  </si>
  <si>
    <t xml:space="preserve">Fondo Nacional de Desarrollo Cientifico y Tecnologico(Comision Nacional de Investigacion Cientifica y Tecnologica (CONICYT)CONICYT FONDECYT)</t>
  </si>
  <si>
    <t xml:space="preserve">Supported by Fondo Nacional de Desarrollo Cientifico y Tecnologico government grants 1130911, 1120800 and 11080113.</t>
  </si>
  <si>
    <t xml:space="preserve">10.1097/INF.0000000000001209</t>
  </si>
  <si>
    <t xml:space="preserve">DU5NP</t>
  </si>
  <si>
    <t xml:space="preserve">WOS:000382258800006</t>
  </si>
  <si>
    <t xml:space="preserve">Parks, OB; Eddens, T; Sojati, J; Lan, J; Zhang, Y; Oury, TD; Ramsey, M; Erickson, JJ; Byersdorfer, CA; Williams, JV</t>
  </si>
  <si>
    <t xml:space="preserve">Parks, Olivia B.; Eddens, Taylor; Sojati, Jorna; Lan, Jie; Zhang, Yu; Oury, Tim D.; Ramsey, Manda; Erickson, John J.; Byersdorfer, Craig A.; Williams, John V.</t>
  </si>
  <si>
    <t xml:space="preserve">Terminally exhausted CD8+ T cells contribute to age-dependent severity of respiratory virus infection</t>
  </si>
  <si>
    <t xml:space="preserve">IMMUNITY &amp; AGEING</t>
  </si>
  <si>
    <t xml:space="preserve">Respiratory viral infection; Aged immune response; Viral immunology</t>
  </si>
  <si>
    <t xml:space="preserve">HUMAN METAPNEUMOVIRUS INFECTION; SYNCYTIAL-VIRUS; INFLUENZA-VIRUS; PATHOGENESIS; LYMPHOCYTES; DISEASE</t>
  </si>
  <si>
    <t xml:space="preserve">BackgroundLower respiratory infections are a leading cause of severe morbidity and mortality among older adults. Despite ubiquitous exposure to common respiratory pathogens throughout life and near universal seropositivity, antibodies fail to effectively protect the elderly. Therefore, we hypothesized that severe respiratory illness in the elderly is due to deficient CD8(+) T cell responses.ResultsHere, we establish an aged mouse model of human metapneumovirus infection (HMPV) wherein aged C57BL/6 mice exhibit worsened weight loss, clinical disease, lung pathology and delayed viral clearance compared to young adult mice. Aged mice generate fewer lung-infiltrating HMPV epitope-specific CD8(+) T cells. Those that do expand demonstrate higher expression of PD-1 and other inhibitory receptors and are functionally impaired. Transplant of aged T cells into young mice and vice versa, as well as adoptive transfer of young versus aged CD8(+) T cells into Rag1(-/-) recipients, recapitulates the HMPV aged phenotype, suggesting a cell-intrinsic age-associated defect. HMPV-specific aged CD8(+) T cells exhibit a terminally exhausted TCF1/7(-) TOX+ EOMES+ phenotype. We confirmed similar terminal exhaustion of aged CD8(+) T cells during influenza viral infection.ConclusionsThis study identifies terminal CD8(+) T cell exhaustion as a mechanism of severe disease from respiratory viral infections in the elderly.</t>
  </si>
  <si>
    <t xml:space="preserve">[Parks, Olivia B.; Sojati, Jorna; Lan, Jie; Zhang, Yu; Williams, John V.] Univ Pittsburgh, Dept Pediat, Div Infect Dis, Sch Med, Pittsburgh, PA 15261 USA; [Eddens, Taylor] Univ Pittsburgh, Dept Pediat, Div Allergy Immunol, Sch Med, Pittsburgh, PA USA; [Oury, Tim D.] Univ Pittsburgh, Dept Pathol, Sch Med, Pittsburgh, PA USA; [Ramsey, Manda; Byersdorfer, Craig A.] Univ Pittsburgh, Dept Pediat, Div Blood &amp; Marrow Transplant &amp; Cellular Therapies, Sch Med, Pittsburgh, PA USA; [Erickson, John J.] Univ Cincinnati, Cincinnati Childrens Hosp Med Ctr, Dept Pediat, Div Neonatol &amp; Pulm Biol,Sch Med, Cincinnati, OH USA; [Williams, John V.] Inst Infect Inflammat &amp; Immun Children i4Kids, Pittsburgh, PA 15261 USA; [Williams, John V.] Univ Pittsburgh, Rangos Res Bldg, 4401 Penn Ave, Pittsburgh, PA 15224 USA</t>
  </si>
  <si>
    <t xml:space="preserve">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 Cincinnati Children's Hospital Medical Center; University System of Ohio; University of Cincinnati; Pennsylvania Commonwealth System of Higher Education (PCSHE); University of Pittsburgh</t>
  </si>
  <si>
    <t xml:space="preserve">Williams, JV (corresponding author), Univ Pittsburgh, Dept Pediat, Div Infect Dis, Sch Med, Pittsburgh, PA 15261 USA.;Williams, JV (corresponding author), Inst Infect Inflammat &amp; Immun Children i4Kids, Pittsburgh, PA 15261 USA.;Williams, JV (corresponding author), Univ Pittsburgh, Rangos Res Bldg, 4401 Penn Ave, Pittsburgh, PA 15224 USA.</t>
  </si>
  <si>
    <t xml:space="preserve">Williams, John/ABE-3227-2020</t>
  </si>
  <si>
    <t xml:space="preserve">Eddens, Taylor/0000-0003-2969-3624; Sojati, Jorna/0000-0002-3908-6126</t>
  </si>
  <si>
    <t xml:space="preserve">NIH Tetramer Core Facility [75N93020D00005]</t>
  </si>
  <si>
    <t xml:space="preserve">NIH Tetramer Core Facility(United States Department of Health &amp; Human ServicesNational Institutes of Health (NIH) - USA)</t>
  </si>
  <si>
    <t xml:space="preserve">We thank Anita McElroy, MD/PhD for discussion of the project and results. We thank the NIH Tetramer Core Facility (contract number 75N93020D00005) for providing tetramers. The authors have no additional financial interests.</t>
  </si>
  <si>
    <t xml:space="preserve">1742-4933</t>
  </si>
  <si>
    <t xml:space="preserve">IMMUN AGEING</t>
  </si>
  <si>
    <t xml:space="preserve">Immun. Ageing</t>
  </si>
  <si>
    <t xml:space="preserve">10.1186/s12979-023-00365-5</t>
  </si>
  <si>
    <t xml:space="preserve">Geriatrics &amp; Gerontology; Immunology</t>
  </si>
  <si>
    <t xml:space="preserve">O0JN5</t>
  </si>
  <si>
    <t xml:space="preserve">WOS:001040771400001</t>
  </si>
  <si>
    <t xml:space="preserve">Chao, S; Wang, YJ; Wu, BL; Li, RQ; Dong, JX; Ji, LN; Li, XJ; Li, R; Yin, XM; Zhao, XY; Liang, WN</t>
  </si>
  <si>
    <t xml:space="preserve">Chao, Shuang; Wang, Yuejiao; Wu, Baolei; Li, Runqing; Dong, Jingxiao; Ji, Lina; Li, Xuejun; Li, Ran; Yin, Xiaomei; Zhao, Xiuying; Liang, Wannian</t>
  </si>
  <si>
    <t xml:space="preserve">Characterization of viral infections in children with influenza-like-illness during December 2018-January 2019</t>
  </si>
  <si>
    <t xml:space="preserve">FRONTIERS IN CELLULAR AND INFECTION MICROBIOLOGY</t>
  </si>
  <si>
    <t xml:space="preserve">respiratory viral infection (RVI); influenza (flu); nucleic acid sequence-based amplification (NASBA); influenza rapid diagnostic test (IRDT); influenza-like illness (ILI); pediatrics</t>
  </si>
  <si>
    <t xml:space="preserve">RESPIRATORY PANEL; DIAGNOSIS</t>
  </si>
  <si>
    <t xml:space="preserve">Introduction: Respiratory viral infection (RVI) is of very concern after the outbreak of COVID-19, especially in pediatric departments. Learning pathogen spectrum of RVI in children previous the epidemic of COVID-19 could provide another perspective for understanding RVI under current situation and help to prepare for the post COVID-19 infection control. Methods: A nucleic acid sequence-based amplification (NASBA) assay, with 19 pairs of primers targeting various respiratory viruses, was used for multi-pathogen screening of viral infections in children presenting influenza-like illness (ILI) symptoms. Children with ILI at the outpatient department of Beijing Tsinghua Changgung Hospital during the influenza epidemic from 12/2018 to 01/2019 were included. Throat swabs were obtained for both the influenza rapid diagnostic test (IRDT) based on the colloidal gold immunochromatographic assay and the NASBA assay, targeting various respiratory viruses with an integrated chip technology. Results and discussion: Of 519 patients, 430 (82.9%) were positive in the NASBA assay. The predominant viral pathogens were influenza A H1N1 pdm1/2009 (pH1N1) (48.4%) and influenza A (H3N2) (18.1%), followed by human metapneumovirus (hMPV) (8.8%) and respiratory syncytial virus (RSV) (6.1%). Of the 320 cases identified with influenza A by NASBA, only 128 (40.0%) were positive in the IRDT. The IRDT missed pH1N1 significantly more frequently than A (H3N2) (P&lt;0.01). Influenza A pH1N1 and A (H3N2) were the major pathogens in &lt;6 years and 6-15 years old individuals respectively (P&lt;0.05). In summary, influenza viruses were the major pathogens in children with ILI during the 2018-2019 winter influenza epidemic, while hMPV and RSV were non-negligible. The coexistence of multiple pathogen leading to respiratory infections is the normalcy in winter ILI cases.</t>
  </si>
  <si>
    <t xml:space="preserve">[Chao, Shuang; Wang, Yuejiao; Ji, Lina; Li, Xuejun; Li, Ran; Yin, Xiaomei] Tsinghua Univ, Beijing Tsinghua Changgung Hosp, Sch Clin Med, Dept Pediat, Beijing, Peoples R China; [Wu, Baolei; Liang, Wannian] Tsinghua Univ, Vanke Sch Publ Hlth, Beijing, Peoples R China; [Li, Runqing; Dong, Jingxiao; Zhao, Xiuying] Tsinghua Univ, Beijing Tsinghua Changgung Hosp, Sch Clin Med, Dept Clin Lab, Beijing, Peoples R China</t>
  </si>
  <si>
    <t xml:space="preserve">Tsinghua University; Tsinghua University; Tsinghua University</t>
  </si>
  <si>
    <t xml:space="preserve">Liang, WN (corresponding author), Tsinghua Univ, Vanke Sch Publ Hlth, Beijing, Peoples R China.;Zhao, XY (corresponding author), Tsinghua Univ, Beijing Tsinghua Changgung Hosp, Sch Clin Med, Dept Clin Lab, Beijing, Peoples R China.</t>
  </si>
  <si>
    <t xml:space="preserve">zhaoxiuying2001@163.com; liangwn@mail.tsinghua.edu.cn</t>
  </si>
  <si>
    <t xml:space="preserve">Li, zhiling/AAS-4712-2021; Wu, Baolei/ABF-2152-2020; Li, Runqing/X-9317-2019; Zhang, Zixuan/JSL-3603-2023; Li, Runqing/IQT-3001-2023</t>
  </si>
  <si>
    <t xml:space="preserve">Li, Runqing/0000-0003-3139-2871</t>
  </si>
  <si>
    <t xml:space="preserve">Beijing Municipal Science &amp; Technology Commission Program of China [Z181100001718148]; Beijing High-level Public Health Technical Personnel Project [2023-03-03]</t>
  </si>
  <si>
    <t xml:space="preserve">Beijing Municipal Science &amp; Technology Commission Program of China(Beijing Municipal Science &amp; Technology Commission); Beijing High-level Public Health Technical Personnel Project</t>
  </si>
  <si>
    <t xml:space="preserve">The author(s) declare financial support was received for the research, authorship, and/or publication of this article. This work was supported by the Beijing Municipal Science &amp; Technology Commission Program of China [grant no. Z181100001718148, 2018 and Beijing High-level Public Health Technical Personnel Project 2023-03-03]. The funder had no role in study design, data collection and analysis, decision to publish, or preparation of the manuscript.</t>
  </si>
  <si>
    <t xml:space="preserve">2235-2988</t>
  </si>
  <si>
    <t xml:space="preserve">FRONT CELL INFECT MI</t>
  </si>
  <si>
    <t xml:space="preserve">Front. Cell. Infect. Microbiol.</t>
  </si>
  <si>
    <t xml:space="preserve">JAN 18</t>
  </si>
  <si>
    <t xml:space="preserve">10.3389/fcimb.2023.1351814</t>
  </si>
  <si>
    <t xml:space="preserve">GU3Z4</t>
  </si>
  <si>
    <t xml:space="preserve">WOS:001155159600001</t>
  </si>
  <si>
    <t xml:space="preserve">Yeo, KT; de la Puerta, R; Tee, NWS; Thoon, KC; Rajadurai, VS; Yung, CF</t>
  </si>
  <si>
    <t xml:space="preserve">Yeo, Kee Thai; de la Puerta, Rowena; Tee, Nancy Wen Sim; Thoon, Koh Cheng; Rajadurai, Victor S.; Yung, Chee Fu</t>
  </si>
  <si>
    <t xml:space="preserve">Burden, Etiology, and Risk Factors of Respiratory Virus Infections Among Symptomatic Preterm Infants in the Tropics: A Retrospective Single-Center Cohort Study</t>
  </si>
  <si>
    <t xml:space="preserve">respiratory tract infections; viruses; respiratory syncytial virus infections; premature infant; incidence</t>
  </si>
  <si>
    <t xml:space="preserve">INVESTIGATORS COLLABORATIVE NETWORK; SYNCYTIAL VIRUS; PREMATURE-INFANTS; TRACT INFECTIONS; HUMAN METAPNEUMOVIRUS; PARAINFLUENZA VIRUS; CHILDREN; BORN; HOSPITALIZATION; DISEASE</t>
  </si>
  <si>
    <t xml:space="preserve">Background. The burden of respiratory viral infections (RVIs) among preterm infants in the first few years of life, especially those living in the tropics with year-long transmissions of respiratory viruses, remains unknown. We aimed to describe the clinical epidemiology and associated risk factors for RVIs among symptomatic preterm infants &lt;= 32 weeks up to 2 years of life. Methods. We performed a data linkage analysis of clinical and hospital laboratory databases for preterm infants born at KK Women's and Children's Hospital, Singapore, from 2005 to 2015. RVI episodes during initial admission and subsequent hospital readmissions were included. Results. Of 1854 infants in the study, 270 (14.5%) infants were diagnosed with at least 1 RVI. A total of 285 (85.3%) episodes were diagnosed postdischarge, with the highest risk for RVIs being from 3 to 5 months of age. The incidence of RVI in this population was 116 per 1000 infant-years and respiratory syncytial virus was the main overall causative pathogen. Infants with RVIs were more likely to be born at &lt;= 27 weeks' gestational age (odds ratio [OR], 1.7; 95% confidence interval [CI], 1.2-2.3), to have received postnatal steroids (OR, 1.5; 95% CI, 1.0-2.1), and to be diagnosed with bronchopulmonary dysplasia (OR, 1.7; 95% CI, 1.2-2.4). Conclusions. The burden of RVIs is high in preterm infants in the tropics, affecting &gt;1 of 10 infants born at &lt;= 32 weeks' gestation before 2 years of age. Respiratory syncytial virus was the main causative pathogen identified. Risk factors for RVI included extremely low gestational age, receipt of postnatal steroids, and bronchopulmonary dysplasia.</t>
  </si>
  <si>
    <t xml:space="preserve">[Yeo, Kee Thai; de la Puerta, Rowena; Rajadurai, Victor S.] KK Womens &amp; Childrens Hosp, Dept Neonatol, 100 Bukit Timah Rd, Singapore 229899, Singapore; [Yeo, Kee Thai; Tee, Nancy Wen Sim; Thoon, Koh Cheng; Rajadurai, Victor S.; Yung, Chee Fu] Duke NUS Med Sch, Singapore, Singapore; [Yeo, Kee Thai; Thoon, Koh Cheng; Rajadurai, Victor S.] Natl Univ Singapore, Yong Loo Lin Sch Med, Singapore, Singapore; [Tee, Nancy Wen Sim] KK Womens &amp; Childrens Hosp, Dept Pathol &amp; Lab Med, Singapore, Singapore; [Thoon, Koh Cheng; Yung, Chee Fu] KK Womens &amp; Childrens Hosp, Infect Dis Serv, Singapore, Singapore; [Thoon, Koh Cheng; Rajadurai, Victor S.; Yung, Chee Fu] Nanyang Technol Univ, Lee Kong Chian Sch Med, Singapore, Singapore</t>
  </si>
  <si>
    <t xml:space="preserve">KK Women's &amp; Children's Hospital; National University of Singapore; National University of Singapore; KK Women's &amp; Children's Hospital; KK Women's &amp; Children's Hospital; Nanyang Technological University</t>
  </si>
  <si>
    <t xml:space="preserve">Yeo, KT (corresponding author), KK Womens &amp; Childrens Hosp, Dept Neonatol, 100 Bukit Timah Rd, Singapore 229899, Singapore.</t>
  </si>
  <si>
    <t xml:space="preserve">yeo.kee.thai@singhealth.com.sg</t>
  </si>
  <si>
    <t xml:space="preserve">Yeo, Kee/R-5340-2019</t>
  </si>
  <si>
    <t xml:space="preserve">Yeo, Kee Thai/0000-0003-4357-3610</t>
  </si>
  <si>
    <t xml:space="preserve">NOV 15</t>
  </si>
  <si>
    <t xml:space="preserve">10.1093/cid/ciy311</t>
  </si>
  <si>
    <t xml:space="preserve">HA2FX</t>
  </si>
  <si>
    <t xml:space="preserve">WOS:000450051300017</t>
  </si>
  <si>
    <t xml:space="preserve">Grech, AK; Foo, CT; Paul, E; Aung, AK; Yu, CSA</t>
  </si>
  <si>
    <t xml:space="preserve">Grech, Audrey K.; Foo, Chuan T.; Paul, Eldho; Aung, Ar K.; Yu, Christiaan</t>
  </si>
  <si>
    <t xml:space="preserve">Epidemiological trends of respiratory tract pathogens detected via mPCR in Australian adult patients before COVID-19</t>
  </si>
  <si>
    <t xml:space="preserve">Respiratory tract infections; Seasonal distribution of respiratory pathogens; Viral trends</t>
  </si>
  <si>
    <t xml:space="preserve">COMMUNITY-ACQUIRED PNEUMONIA; SYNCYTIAL VIRUS-INFECTION; MORTALITY; ETIOLOGY</t>
  </si>
  <si>
    <t xml:space="preserve">Background Respiratory tract infections (RTIs) are a major global health burden due to their high morbidity and mortality. This retrospective study described the epidemiology of respiratory pathogens in adults over a 5-year period at an Australian tertiary healthcare network. Methods All multiplex reverse transcription polymerase chain reaction respiratory samples taken between the 1st of November 2014 and the 31st of October 2019 were included in this study. Overall prevalence and variations according to seasons, age groups and sex were analysed, as well as factors associated with prolonged hospital and intensive care length of stay. Results There were 12,453 pathogens detected amongst the 12,185 positive samples, with coinfection rates of 3.7%. Picornavirus (Rhinovirus), Influenza A and respiratory syncytial virus were the most commonly detected pathogens. Mycoplasma pneumoniae was the most commonly detected atypical bacteria. Significant differences in the prevalence of Chlamydia pneumoniae and Human metapneumovirus infections were found between sexes. Longest median length of intensive care and hospital stay was for Legionella species. Seasonal variations were evident for certain pathogens. Conclusions The high rates of pathogen detection and hospitalisation in this real-world study highlights the significant burden of RTIs, and the urgent need for an improved understanding of the pathogenicity as well as preventative and treatment options of RTIs.</t>
  </si>
  <si>
    <t xml:space="preserve">[Grech, Audrey K.; Yu, Christiaan] Alfred Hlth, Dept Resp Med, 55 Commercial Rd, Melbourne, Vic 3004, Australia; [Foo, Chuan T.] Eastern Hlth, Dept Resp Med, Melbourne, Australia; [Foo, Chuan T.; Yu, Christiaan] Monash Hlth, Monash Lung &amp; Sleep, Melbourne, Australia; [Paul, Eldho] Monash Univ, Sch Publ Hlth &amp; Prevent Med, ANZ RC, Melbourne, Australia; [Aung, Ar K.] Monash Univ, Sch Publ Hlth &amp; Prevent Med, Melbourne, Australia; [Aung, Ar K.] Alfred Hlth, Dept Gen Med, Melbourne, Australia; [Yu, Christiaan] Monash Univ, Cent Clin Sch, Melbourne, Australia</t>
  </si>
  <si>
    <t xml:space="preserve">Eastern Health; Monash Health; Monash University; Monash University; Monash University</t>
  </si>
  <si>
    <t xml:space="preserve">Yu, CSA (corresponding author), Alfred Hlth, Dept Resp Med, 55 Commercial Rd, Melbourne, Vic 3004, Australia.;Yu, CSA (corresponding author), Monash Hlth, Monash Lung &amp; Sleep, Melbourne, Australia.;Yu, CSA (corresponding author), Monash Univ, Cent Clin Sch, Melbourne, Australia.</t>
  </si>
  <si>
    <t xml:space="preserve">c.yu2@alfred.org.au</t>
  </si>
  <si>
    <t xml:space="preserve">Aung, Ar/JDC-2561-2023; Yu, Christiaan/AAN-5673-2020</t>
  </si>
  <si>
    <t xml:space="preserve">Yu, Christiaan/0000-0002-6066-8438; Aung, Ar Kar/0000-0003-3317-945X</t>
  </si>
  <si>
    <t xml:space="preserve">10.1186/s12879-023-08750-7</t>
  </si>
  <si>
    <t xml:space="preserve">DX3N6</t>
  </si>
  <si>
    <t xml:space="preserve">WOS:001135345000020</t>
  </si>
  <si>
    <t xml:space="preserve">Zhang, DM; He, ZJ; Xu, L; Zhu, X; Wu, JH; Wen, WT; Zheng, Y; Deng, Y; Chen, JL; Hu, YW; Li, MF; Cao, KY</t>
  </si>
  <si>
    <t xml:space="preserve">Zhang, Dingmei; He, Zhenjian; Xu, Lin; Zhu, Xun; Wu, Jueheng; Wen, Weitao; Zheng, Yun; Deng, Yu; Chen, Jieling; Hu, Yiwen; Li, Mengfeng; Cao, Kaiyuan</t>
  </si>
  <si>
    <t xml:space="preserve">Epidemiology characteristics of respiratory viruses found in children and adults with respiratory tract infections in southern China</t>
  </si>
  <si>
    <t xml:space="preserve">Respiratory tract infections; Respiratory viruses; Southern China</t>
  </si>
  <si>
    <t xml:space="preserve">SYNCYTIAL-VIRUS; YOUNG-CHILDREN; PARAINFLUENZA VIRUS; HUMAN BOCAVIRUS; HOSPITALIZED CHILDREN; HUMAN METAPNEUMOVIRUS; SEASONAL INFLUENZA; GLOBAL BURDEN; VACCINES; TYPE-3</t>
  </si>
  <si>
    <t xml:space="preserve">Background: The World Health Organization (WHO) ranks respiratory tract infection (RTI) as the second leading cause of death worldwide for children under 5 years of age. The aim of this work was to evaluate the epidemiology characteristics of respiratory viruses found in children and adults with RTI from July 2009 to June 2012 in southern China. Methods: In this work, a total of 14 237 nasopharyngeal swabs (14 237 patients from 25 hospitals) were analyzed, and seven respiratory viruses (influenza virus, respiratory syncytial virus, parainfluenza virus, adenovirus, human metapneumovirus, human coronavirus, human bocavirus) were detected using PCR/RT-PCR from nasopharyngeal swabs. Results: The demographic characteristics, viral prevalence, age distribution, seasonal distribution, and pathogen spectrum of the patients with RTIs were analyzed. Co-infection was observed in 483 specimens, but it was more common in male patients, inpatients, children, and young adults. It varied by season, being more prevalent in the spring and summer and less so in the winter. Human coronavirus and human bocavirus were the most common pathogens, tending to occur in co-infection with other respiratory viruses. Conclusions: This work adds to our knowledge of the epidemiology characteristics of these seven common respiratory viruses among patients with RTI in southern China. The detection of the specific viral causes of infection provides a useful starting point for an understanding of illness attributable to respiratory infection, and might also provide data relevant to the development of prevention strategies. (C) 2014 The Authors. Published by Elsevier Ltd on behalf of International Society for Infectious Diseases.</t>
  </si>
  <si>
    <t xml:space="preserve">[Zhang, Dingmei; He, Zhenjian] Sun Yat Sen Univ, Sch Publ Hlth, Dept Med Stat &amp; Epidemiol, Guangzhou 510275, Guangdong, Peoples R China; [Zhang, Dingmei; He, Zhenjian; Xu, Lin; Zhu, Xun; Wu, Jueheng; Wen, Weitao; Zheng, Yun; Deng, Yu; Chen, Jieling; Hu, Yiwen; Li, Mengfeng; Cao, Kaiyuan] Sun Yat Sen Univ, Minist Educ, Key Lab Trop Dis Control, Guangzhou 510275, Guangdong, Peoples R China; [Zhang, Dingmei; He, Zhenjian; Xu, Lin; Zhu, Xun; Wu, Jueheng; Wen, Weitao; Zheng, Yun; Deng, Yu; Chen, Jieling; Hu, Yiwen; Li, Mengfeng; Cao, Kaiyuan] Sun Yat Sen Univ, Zhongshan Sch Med, Dept Microbiol, Guangzhou 510080, Guangdong, Peoples R China</t>
  </si>
  <si>
    <t xml:space="preserve">Sun Yat Sen University; Sun Yat Sen University; Sun Yat Sen University</t>
  </si>
  <si>
    <t xml:space="preserve">Li, MF (corresponding author), Sun Yat Sen Univ, Minist Educ, Key Lab Trop Dis Control, Guangzhou 510275, Guangdong, Peoples R China.</t>
  </si>
  <si>
    <t xml:space="preserve">limf@mail.sysu.edu.cn; caoky@mail.sysu.edu.cn</t>
  </si>
  <si>
    <t xml:space="preserve">Zhang, Dingmei/ABC-7476-2020; Xu, Lin/HLW-1993-2023</t>
  </si>
  <si>
    <t xml:space="preserve">Xu, Lin/0000-0002-0537-922X</t>
  </si>
  <si>
    <t xml:space="preserve">Natural Science Foundation of China [81201283, 81102370, 41176128]; National Science and Technique Major Project [201005022-2, 2012ZX09102101-017, 2012ZX10004213, 311030]; High-Tech Research (863) Projects [2011AA09070201]; Guangdong Provincial Natural Science Foundation [8151008901000210]; Key Science and Technique Research Project of Guangdong Province [2010B030600003, 2009010058]</t>
  </si>
  <si>
    <t xml:space="preserve">Natural Science Foundation of China(National Natural Science Foundation of China (NSFC)); National Science and Technique Major Project; High-Tech Research (863) Projects; Guangdong Provincial Natural Science Foundation(National Natural Science Foundation of Guangdong Province); Key Science and Technique Research Project of Guangdong Province</t>
  </si>
  <si>
    <t xml:space="preserve">This work was supported by the Natural Science Foundation of China (81201283, 81102370, 41176128); the National Science and Technique Major Project (201005022-2, 2012ZX09102101-017, 2012ZX10004213, 311030); High-Tech Research (863) Projects (2011AA09070201); Guangdong Provincial Natural Science Foundation (8151008901000210); The Key Science and Technique Research Project of Guangdong Province (2010B030600003, 2009010058).</t>
  </si>
  <si>
    <t xml:space="preserve">10.1016/j.ijid.2014.02.019</t>
  </si>
  <si>
    <t xml:space="preserve">AR8HG</t>
  </si>
  <si>
    <t xml:space="preserve">WOS:000343815700032</t>
  </si>
  <si>
    <t xml:space="preserve">Ramaekers, K; Keyaerts, E; Rector, A; Borremans, A; Beuselinck, K; Lagrou, K; Van Ranst, M</t>
  </si>
  <si>
    <t xml:space="preserve">Ramaekers, Kaat; Keyaerts, Els; Rector, Annabel; Borremans, Annie; Beuselinck, Kurt; Lagrou, Katrien; Van Ranst, Marc</t>
  </si>
  <si>
    <t xml:space="preserve">Prevalence and seasonality of six respiratory viruses during five consecutive epidemic seasons in Belgium</t>
  </si>
  <si>
    <t xml:space="preserve">Respiratory tract infections; Respiratory syncytial virus; Orthomyxoviridae; Metapneumovirus; Adenoviridae; Seasons</t>
  </si>
  <si>
    <t xml:space="preserve">HUMAN METAPNEUMOVIRUS; SYNCYTIAL VIRUS; VIRAL ETIOLOGY; TRACT DISEASE; CHILDREN; INFECTIONS; INFLUENZA; CHINA; ILLNESSES; KENYA</t>
  </si>
  <si>
    <t xml:space="preserve">Background: Acute Respiratory Infections (ARIs) are a major health problem, especially in young children and the elderly. Objectives: Insights into the seasonality of respiratory viruses can help us understand when the burden on society is highest and which age groups are most vulnerable. Study design: We monitored six respiratory viruses during five consecutive seasons (2011-2016) in Belgium. Patient specimens (n = 22876), tested for one or more of the following respiratory viruses, were included in this analysis: Influenza viruses (IAV &amp; IBV), Human respiratory syncytial virus (hRSV), Human metapneumovirus (hMPV), Adenovirus (ADV) and Human parainfluenza virus (hPIV). Data were analysed for four age categories: &lt; 6y, 6-17y, 18-64y and &gt;= 65y. Results: Children &lt; 6y had the highest infection rates (39% positive vs. 20% positive adults) and the highest frequency of co-infections. hRSV (28%) and IAV (32%) caused the most common respiratory viral infections and followed, like hMPV, a seasonal pattern with winter peaks. hRSV followed an annual pattern with two peaks: first in young children and +/- 7 weeks later in elderly. This phenomenon has not been described in literature so far. hPIV and ADV occurred throughout the year with higher rates in winter. Conclusions: Children &lt; 6y are most vulnerable for respiratory viral infections and have a higher risk for co-infections. hRSV and IAV are the most common respiratory infections with peaks during the winter season in Belgium.</t>
  </si>
  <si>
    <t xml:space="preserve">[Ramaekers, Kaat; Keyaerts, Els; Rector, Annabel; Van Ranst, Marc] Katholieke Univ Leuven, Rega Inst Med Res, Lab Clin &amp; Epidemiol Virol, Herestr 49,Box 1040, BE-3000 Leuven, Belgium; [Keyaerts, Els; Borremans, Annie; Beuselinck, Kurt; Lagrou, Katrien] Univ Hosp Leuven, Herestr 49, BE-3000 Leuven, Belgium</t>
  </si>
  <si>
    <t xml:space="preserve">KU Leuven; KU Leuven; University Hospital Leuven</t>
  </si>
  <si>
    <t xml:space="preserve">Ramaekers, K (corresponding author), Katholieke Univ Leuven, Rega Inst Med Res, Lab Clin &amp; Epidemiol Virol, Herestr 49,Box 1040, BE-3000 Leuven, Belgium.</t>
  </si>
  <si>
    <t xml:space="preserve">kaat.ramaekers@kuleuven.be; els.keyaerts@kuleuven.be; annabel.rector@kuleuven.be; annie.borremans@uzleuven.be; kurt.beuselinck@uzleuven.be; katien.lagrou@kuleuven.be; vanranstmarc@gmail.com</t>
  </si>
  <si>
    <t xml:space="preserve">Ramaekers, Kaat/D-9452-2018; Rector, Annabel/E-7619-2018; Van Ranst, Marc/P-7522-2017; Keyaerts, Els/F-2305-2018</t>
  </si>
  <si>
    <t xml:space="preserve">Rector, Annabel/0000-0003-3714-449X; Van Ranst, Marc/0000-0002-1674-4157; Keyaerts, Els/0000-0002-1849-3240; Ramaekers, Kaat/0000-0002-7958-4891</t>
  </si>
  <si>
    <t xml:space="preserve">MSD; Pfizer</t>
  </si>
  <si>
    <t xml:space="preserve">MSD; Pfizer(Pfizer)</t>
  </si>
  <si>
    <t xml:space="preserve">Kaat Ramaekers, Els Keyaerts, Annabel Rector, Kurt Beuselinck, Marc Van Ranst and Annie Borremans declare that there is no association that might pose a conflict of interest. Katrien Lagrou reports grants, personal fees and non-financial support from MSD, personal fees and non-financial support from Pfizer, personal fees and non-financial support from Gilead, outside the submitted work.</t>
  </si>
  <si>
    <t xml:space="preserve">10.1016/j.jcv.2017.07.011</t>
  </si>
  <si>
    <t xml:space="preserve">WOS:000410608400013</t>
  </si>
  <si>
    <t xml:space="preserve">da Silva, ER; Pitrez, PMC; Arruda, E; Mattiello, R; Sarria, EE; de Paula, FE; Proença-Modena, JL; Delcaro, LS; Cintra, O; Jones, MH; Ribeiro, JD; Stein, RT</t>
  </si>
  <si>
    <t xml:space="preserve">da Silva, Emerson Rodrigues; Condessa Pitrez, Paulo Marcio; Arruda, Eurico; Mattiello, Rita; Sarria, Edgar E.; de Paula, Flavia Escremim; Proenca-Modena, Jose Luis; Delcaro, Luana Sella; Cintra, Otavio; Jones, Marcus H.; Ribeiro, Jose Dirceu; Stein, Renato T.</t>
  </si>
  <si>
    <t xml:space="preserve">Severe lower respiratory tract infection in infants and toddlers from a non-affluent population: viral etiology and co-detection as risk factors</t>
  </si>
  <si>
    <t xml:space="preserve">Respiratory tract infections; Respiratory syncytial virus; Human rhinovirus; Infants; Coinfection</t>
  </si>
  <si>
    <t xml:space="preserve">SYNCYTIAL VIRUS-INFECTION; HUMAN METAPNEUMOVIRUS; ACUTE BRONCHIOLITIS; RHINOVIRUS ILLNESSES; HUMAN BOCAVIRUS; YOUNG-CHILDREN; EARLY-LIFE; DISEASE; SYMPTOMS; ASTHMA</t>
  </si>
  <si>
    <t xml:space="preserve">Background: Lower respiratory tract infection (LRTI) is a major cause of pediatric morbidity and mortality, especially among non-affluent communities. In this study we determine the impact of respiratory viruses and how viral co-detections/infections can affect clinical LRTI severity in children in a hospital setting. Methods: Patients younger than 3 years of age admitted to a tertiary hospital in Brazil during the months of high prevalence of respiratory viruses had samples collected from nasopharyngeal aspiration. These samples were tested for 13 different respiratory viruses through real-time PCR (rt-PCR). Patients were followed during hospitalization, and clinical data and population characteristics were collected during that period and at discharge to evaluate severity markers, especially length of hospital stay and oxygen use. Univariate regression analyses identified potential risk factors and multivariate logistic regressions were used to determine the impact of specific viral detections as well as viral co-detections in relation to clinical outcomes. Results: We analyzed 260 episodes of LRTI with a viral detection rate of 85% (n = 222). Co-detection was observed in 65% of all virus-positive episodes. The most prevalent virus was Respiratory Syncytial Virus (RSV) (54%), followed by Human Metapneumovirus (hMPV) (32%) and Human Rhinovirus (HRV) (21%). In the multivariate models, infants with co-detection of HRV + RSV stayed 4.5 extra days (p = 0.004), when compared to infants without the co-detection. The same trends were observed for the outcome of days of supplemental oxygen use. Conclusions: Although RSV remains as the main cause of LRTI in infants our study indicates an increase in the length of hospital stay and oxygen use in infants with HRV detected by RT-PCR compared to those without HRV. Moreover, one can speculate that when HRV is detected simultaneously with RSV there is an additive effect that may be reflected in more severe clinical outcome. Also, our study identified a significant number of children infected by recently identified viruses, such as hMPV and Human Bocavirus (HBov), and this is a novel finding for poor communities from developing countries.</t>
  </si>
  <si>
    <t xml:space="preserve">[da Silva, Emerson Rodrigues] Univ Caxias do Sul, Caxias Do Sul, Brazil; [Condessa Pitrez, Paulo Marcio; Mattiello, Rita; Sarria, Edgar E.; Jones, Marcus H.; Stein, Renato T.] Pontificia Univ Catolica Rio Grande do Sul, Porto Alegre, RS, Brazil; [Arruda, Eurico; de Paula, Flavia Escremim; Proenca-Modena, Jose Luis; Delcaro, Luana Sella; Cintra, Otavio] Univ Sao Paulo, BR-14049 Ribeirao Preto, Brazil; [da Silva, Emerson Rodrigues; Ribeiro, Jose Dirceu] Univ Estadual Campinas, Campinas, SP, Brazil; [Stein, Renato T.] IPB PUCRS, Dept Pediat, PUCRS, Porto Alegre, RS, Brazil</t>
  </si>
  <si>
    <t xml:space="preserve">Universidade de Caxias do Sul; Pontificia Universidade Catolica Do Rio Grande Do Sul; Universidade de Sao Paulo; Universidade Estadual de Campinas; Pontificia Universidade Catolica Do Rio Grande Do Sul</t>
  </si>
  <si>
    <t xml:space="preserve">Stein, RT (corresponding author), Pontificia Univ Catolica Rio Grande do Sul, Porto Alegre, RS, Brazil.</t>
  </si>
  <si>
    <t xml:space="preserve">rstein@pucrs.br</t>
  </si>
  <si>
    <t xml:space="preserve">Arruda, Eurico/E-4101-2012; Pitrez, Paulo/W-2098-2019; Mattiello, Rita/B-1748-2012; Stein, Renato/K-2568-2014; Proenca-Modena, Jose Luiz/C-8231-2014; SILVA, Emerson Rodrigues da/C-1541-2014; Mattiello, Rita/K-3344-2015; Jones, Marcus Herbert/A-3580-2011; Ribeiro, Jose Dirceu/I-7308-2012</t>
  </si>
  <si>
    <t xml:space="preserve">SILVA, Emerson Rodrigues da/0000-0001-5421-2883; Mattiello, Rita/0000-0002-0548-3342; STEIN, RENATO/0000-0003-0269-0757; Proenca-Modena, Jose Luiz/0000-0002-4996-3153; Jones, Marcus Herbert/0000-0002-8263-1265; Ribeiro, Jose Dirceu/0000-0002-3387-5642</t>
  </si>
  <si>
    <t xml:space="preserve">Abbott Laboratorios do Brasil Ltda</t>
  </si>
  <si>
    <t xml:space="preserve">This study was supported by Abbott Laboratorios do Brasil Ltda (academic grant), from an unrestricted investigator-generated proposal.</t>
  </si>
  <si>
    <t xml:space="preserve">JAN 25</t>
  </si>
  <si>
    <t xml:space="preserve">10.1186/1471-2334-13-41</t>
  </si>
  <si>
    <t xml:space="preserve">103FM</t>
  </si>
  <si>
    <t xml:space="preserve">WOS:000315900900001</t>
  </si>
  <si>
    <t xml:space="preserve">Dabaniyasti, D; Eksi, F; Keskin, Ö; Özkars, MY; Karsligil, T; Balci, I</t>
  </si>
  <si>
    <t xml:space="preserve">Dabaniyasti, Demet; Eksi, Fahriye; Keskin, Ozlem; Ozkars, Mehmet Y.; Karsligil, Tekin; Balci, Iclal</t>
  </si>
  <si>
    <t xml:space="preserve">An investigation into respiratory tract viruses in children with acute lower respiratory tract infection or wheezing</t>
  </si>
  <si>
    <t xml:space="preserve">MINERVA PEDIATRICA</t>
  </si>
  <si>
    <t xml:space="preserve">Respiratory tract infections; Respiratory sounds; Multiplex polymerise chain reaction; Viruses</t>
  </si>
  <si>
    <t xml:space="preserve">VIRAL-INFECTIONS; SYNCYTIAL VIRUS; HUMAN METAPNEUMOVIRUS; RHINOVIRUS; ASTHMA; EXACERBATIONS; BRONCHIOLITIS; PERSISTENCE; COMMUNITY; INFLUENZA</t>
  </si>
  <si>
    <t xml:space="preserve">BACKGROUND: This study aimed to determine the frequencies of respiratory tract viruses in patient (acute lower respiratory tract infection [TAU] or wheezing) and control (history of asthma without symptoms) groups. METHODS: Using multi plex-polymerase chain reaction (PCR), respiratory tract viruses were investigated in the respiratory tract specimens from patient and control groups followed in the Pediatric Clinic. RESULTS: The viruses detected in the patient and control groups (P=0.013) were as follows, respectively: rhinoviruses A, B, C (25.6% and 36.7%), influenza virus A (21.1% and 0.0%), parainfluenza virus type 1 (7.8% and 1.7%), parainfluenza virus type 4 (5.6% and 0.0%), adenoviruses A. B, C, D, E (4.4% and 1.7%). parainfluenza virus type 3 (4.4% and 1.7%), coronaviruses 229E and NL63 (4.4% and 1.7%), coronavirus OC43 (3.3% and 0.0%), respiratory syncytial virus A (3.3% and 0.0%), parainfluenza virus type 2 (2.2% and 0.0%), influenza virus B (2.2% and 0.0%), and respiratory syncytial virus B (1.1% and 1.7%). No bocavirus, metapneumovints or enterovirus was found in any specimen. Statistically significant differences in the detection of influenza virus A (P=0.000). the total detection of parainfluenza viruses (P=0.008) and coinfection (P=0.004) were observed between the patient and control groups. CONCLUSIONS: The advantage of our study compared with other studies is the inclusion of not only wheezing patients but also children with asthma without symptom. The higher detection of rhinoviruses both in patient and control groups give rise to thought that these viruses may be responsible for asthma exacerbations and may be related with long duration of virus shedding.</t>
  </si>
  <si>
    <t xml:space="preserve">[Dabaniyasti, Demet; Eksi, Fahriye; Karsligil, Tekin; Balci, Iclal] Gaziantep Univ, Fac Med, Dept Med Microbiol, Univ Bulvari, TR-27310 Gaziantep, Turkey; [Keskin, Ozlem; Ozkars, Mehmet Y.] Gaziantep Univ, Fac Med, Unit Pediat Allergy &amp; Immunol, Gaziantep, Turkey</t>
  </si>
  <si>
    <t xml:space="preserve">Gaziantep University; Gaziantep University</t>
  </si>
  <si>
    <t xml:space="preserve">Eksi, F (corresponding author), Gaziantep Univ, Fac Med, Dept Med Microbiol, Univ Bulvari, TR-27310 Gaziantep, Turkey.</t>
  </si>
  <si>
    <t xml:space="preserve">eksi@gantep.edu.tr</t>
  </si>
  <si>
    <t xml:space="preserve">Karslıgil, Tekin/AAD-6385-2022; Ekşi, Fahriye/AGV-1106-2022</t>
  </si>
  <si>
    <t xml:space="preserve">Unit of Scientific Research Projects of Gaziantep University [TF.11.07]</t>
  </si>
  <si>
    <t xml:space="preserve">Unit of Scientific Research Projects of Gaziantep University(Gaziantep University)</t>
  </si>
  <si>
    <t xml:space="preserve">This study was supported by the Unit of Scientific Research Projects of Gaziantep University (Project No. TF.11.07).</t>
  </si>
  <si>
    <t xml:space="preserve">EDIZIONI MINERVA MEDICA</t>
  </si>
  <si>
    <t xml:space="preserve">TURIN</t>
  </si>
  <si>
    <t xml:space="preserve">CORSO BRAMANTE 83-85 INT JOURNALS DEPT., 10126 TURIN, ITALY</t>
  </si>
  <si>
    <t xml:space="preserve">0026-4946</t>
  </si>
  <si>
    <t xml:space="preserve">1827-1715</t>
  </si>
  <si>
    <t xml:space="preserve">MINERVA PEDIATR</t>
  </si>
  <si>
    <t xml:space="preserve">Minerva Pediat.</t>
  </si>
  <si>
    <t xml:space="preserve">10.23736/S0026-4946.16.04322-X</t>
  </si>
  <si>
    <t xml:space="preserve">MH4UH</t>
  </si>
  <si>
    <t xml:space="preserve">WOS:000546725600006</t>
  </si>
  <si>
    <t xml:space="preserve">Essa, S; Owayed, A; Altawalah, H; Khadadah, M; Behbehani, N; Al-Nakib, W</t>
  </si>
  <si>
    <t xml:space="preserve">Essa, Sahar; Owayed, Abdullah; Altawalah, Haya; Khadadah, Mousa; Behbehani, Nasser; Al-Nakib, Widad</t>
  </si>
  <si>
    <t xml:space="preserve">The Prevalence of Human Bocavirus, Human Coronavirus-NL63, Human Metapneumovirus, Human Polyomavirus KI and WU in Respiratory Tract Infections in Kuwait</t>
  </si>
  <si>
    <t xml:space="preserve">MEDICAL PRINCIPLES AND PRACTICE</t>
  </si>
  <si>
    <t xml:space="preserve">Respiratory tract infections; Newly discovered viruses; Polymerase chain reaction</t>
  </si>
  <si>
    <t xml:space="preserve">HOSPITALIZED CHILDREN; YOUNG-CHILDREN; VIRUSES; DISEASE; IDENTIFICATION</t>
  </si>
  <si>
    <t xml:space="preserve">Objective: The aim of this study was to investigate the prevalence of human coronavirus (HCoV)-NL63, human meta-pneumovirus (hMPV), human bocavirus (Boca), human polyomavirus KI (KIV) and human polyomavirus WU (WUV) in respiratory tract infections (RTI) in Kuwait. Materials and Methods: Respiratory samples from 735 hospitalized patients with RTI from September 2010 to April 2013 were evaluated for the presence of HCoV-NL63, hMPV, Boca, KIV and WUV using molecular assays, polymerase chain reaction (PCR) and reverse-transcription PCR. Results: Of the 735 patients, 285 (38.8%) were diagnosed with viral RTI. The distribution of respiratory viruses was hMPV: 15 (5.3%), Boca: 14 (4.9%), WUV: 10 (3.5%) and KIV: 4 (1.4%). HCoV-NL63 was not detected in any of the samples. Conclusions: These newly discovered viruses were associated with the development of RTI in Kuwait. The rapid identification of these viral infections could aid in the control of nosocomial transmission, reduce the use of antibiotics and improve treatment and management strategies. (C) 2015 S. Karger AG, Basel</t>
  </si>
  <si>
    <t xml:space="preserve">[Essa, Sahar; Altawalah, Haya; Al-Nakib, Widad] Kuwait Univ, Fac Med, Dept Microbiol, Safat 13110, Kuwait; [Owayed, Abdullah] Kuwait Univ, Fac Med, Dept Pediat, Safat 13110, Kuwait; [Khadadah, Mousa; Behbehani, Nasser] Kuwait Univ, Fac Med, Dept Med, Safat 13110, Kuwait</t>
  </si>
  <si>
    <t xml:space="preserve">Kuwait University; Kuwait University; Kuwait University</t>
  </si>
  <si>
    <t xml:space="preserve">Essa, S (corresponding author), Kuwait Univ, Fac Med, Dept Microbiol, POB 24923, Safat 13110, Kuwait.</t>
  </si>
  <si>
    <t xml:space="preserve">sahar@hsc.edu.kw</t>
  </si>
  <si>
    <t xml:space="preserve">Kuwait University [MI 03/08]</t>
  </si>
  <si>
    <t xml:space="preserve">Kuwait University(Kuwait University)</t>
  </si>
  <si>
    <t xml:space="preserve">This research was funded by the Research Sector, Kuwait University, grant No. MI 03/08. We are especially thankful to Dr. Wassim Chehadeh, Associate Professor, Microbiology Department, Faculty of Medicine, for his excellent technical assistance in the viral analysis by PCR.</t>
  </si>
  <si>
    <t xml:space="preserve">1011-7571</t>
  </si>
  <si>
    <t xml:space="preserve">1423-0151</t>
  </si>
  <si>
    <t xml:space="preserve">MED PRIN PRACT</t>
  </si>
  <si>
    <t xml:space="preserve">Med. Princ. Pract.</t>
  </si>
  <si>
    <t xml:space="preserve">10.1159/000381422</t>
  </si>
  <si>
    <t xml:space="preserve">CL4YX</t>
  </si>
  <si>
    <t xml:space="preserve">WOS:000356965800013</t>
  </si>
  <si>
    <t xml:space="preserve">Babady, NE; England, MR; Smith, KLJ; He, TJ; Wijetunge, DS; Tang, YW; Chamberland, RR; Menegus, M; Swierkosz, EM; Jerris, RC; Greene, W</t>
  </si>
  <si>
    <t xml:space="preserve">Babady, N. Esther; England, Matthew R.; Smith, Kristen L. Jurcic; He, Taojun; Wijetunge, Dona Saumya; Tang, Yi-Wei; Chamberland, Robin R.; Menegus, Marilyn; Swierkosz, Ella M.; Jerris, Robert C.; Greene, Wallace</t>
  </si>
  <si>
    <t xml:space="preserve">Multicenter Evaluation of the ePlex Respiratory Pathogen Panel for the Detection of Viral and Bacterial Respiratory Tract Pathogens in Nasopharyngeal Swabs</t>
  </si>
  <si>
    <t xml:space="preserve">respiratory tract infections; multiplex syndromic panel; rapid diagnosis; sample-to-answer test; rapid PCR; respiratory pathogens</t>
  </si>
  <si>
    <t xml:space="preserve">REAL-TIME PCR; INFECTIONS; VIRUSES; DIAGNOSTICS; PERTUSSIS; BURDEN; ASSAYS</t>
  </si>
  <si>
    <t xml:space="preserve">The performance of the new ePlex Respiratory Pathogen (RP) panel (GenMark Diagnostics) for the simultaneous detection of 19 viruses (influenza A virus; influenza A H1 virus; influenza A 2009 H1 virus; influenza A H3 virus; influenza B virus; adenovirus; coronaviruses [HKU1, OC43, NL63, and 229E]; human rhinovirus/enterovirus; human metapneumovirus; parainfluenza viruses 1, 2, 3, and 4; and respiratory syncytial virus [RSV] [RSV subtype A and RSV subtype B]) and 2 bacteria (Mycoplasma pneumoniae and Chlamydia pneumoniae) was evaluated. Prospectively and retrospectively collected nasopharyngeal swab (NPS) specimens (n = 2,908) were evaluated by using the ePlex RP panel, with the bioMerieux/BioFire FilmArray Respiratory Panel (BioFire RP) as the comparator method. Discordance analysis was performed by using target-specific PCRs and bidirectional sequencing. The reproducibility of the assay was evaluated by using reproducibility panels comprised of 6 pathogens. The overall agreement between the ePlex RP and BioFire RP results was &gt;95% for all targets. Positive percent agreement with the BioFire RP result for viruses ranged from 85.1% (95% confidence interval [CI], 80.2% to 88.9%) to 95.1% (95% CI, 89.0% to 97.9%), while negative percent agreement values ranged from 99.5% (95% CI, 99.1% to 99.7%) to 99.8% (95% CI, 99.5% to 99.9%). Additional testing of discordant targets (12%; 349/2,908) confirmed the results of ePlex RP for 38% (131/349) of samples tested. Reproducibility was 100% for all targets tested, with the exception of adenovirus, for which reproducibilities were 91.6% at low virus concentrations and 100% at moderate virus concentrations. The ePlex RP panel offers a new, rapid, and sensitive sample-to-answer multiplex panel for the detection of the most common viral and bacterial respiratory pathogens.</t>
  </si>
  <si>
    <t xml:space="preserve">[Babady, N. Esther; He, Taojun; Tang, Yi-Wei] Mem Sloan Kettering Canc Ctr, 1275 York Ave, New York, NY 10021 USA; [England, Matthew R.; Wijetunge, Dona Saumya; Greene, Wallace] Penn State Univ, Hershey Med Ctr, Hershey, PA USA; [Smith, Kristen L. Jurcic; Menegus, Marilyn] Univ Rochester, Med Ctr, Rochester, NY 14642 USA; [He, Taojun] Sun Yat Sen Univ, Affiliated Hosp 8, Shenzhen, Peoples R China; [Tang, Yi-Wei] Cornell Univ, Weill Med Coll, New York, NY 10021 USA; [Chamberland, Robin R.; Swierkosz, Ella M.] St Louis Univ, Sch Med, St Louis, MO USA; [Jerris, Robert C.] Childrens Healthcare Atlanta, Atlanta, GA USA</t>
  </si>
  <si>
    <t xml:space="preserve">Memorial Sloan Kettering Cancer Center; Pennsylvania Commonwealth System of Higher Education (PCSHE); Pennsylvania State University; Penn State Health; University of Rochester; Sun Yat Sen University; Cornell University; Weill Cornell Medicine; Saint Louis University; Children's Healthcare of Atlanta (CHOA)</t>
  </si>
  <si>
    <t xml:space="preserve">Babady, NE (corresponding author), Mem Sloan Kettering Canc Ctr, 1275 York Ave, New York, NY 10021 USA.</t>
  </si>
  <si>
    <t xml:space="preserve">babadyn@mskcc.org</t>
  </si>
  <si>
    <t xml:space="preserve">Babady, N Esther/0000-0003-4399-1249; Tang, Yi-Wei/0000-0003-4888-6771</t>
  </si>
  <si>
    <t xml:space="preserve">GenMark Diagnostics; NIH/NCI Cancer Center support [P30 CA008748]</t>
  </si>
  <si>
    <t xml:space="preserve">GenMark Diagnostics; NIH/NCI Cancer Center support(United States Department of Health &amp; Human ServicesNational Institutes of Health (NIH) - USANIH National Cancer Institute (NCI))</t>
  </si>
  <si>
    <t xml:space="preserve">This study was designed and funded by GenMark Diagnostics. All authors have received research funding from GenMark Diagnostics for this study. This research was funded in part through NIH/NCI Cancer Center support grant P30 CA008748 to N.E.B. and Y.-W.T.</t>
  </si>
  <si>
    <t xml:space="preserve">e01658- 17</t>
  </si>
  <si>
    <t xml:space="preserve">10.1128/JCM.01658-17</t>
  </si>
  <si>
    <t xml:space="preserve">FT4ZG</t>
  </si>
  <si>
    <t xml:space="preserve">WOS:000423163200028</t>
  </si>
  <si>
    <t xml:space="preserve">Steensels, D; Reynders, M; Descheemaeker, P; Curran, MD; Hites, M; Etienne, I; Montesinos, I</t>
  </si>
  <si>
    <t xml:space="preserve">Steensels, Deborah; Reynders, Marijke; Descheemaeker, Patrick; Curran, Martin D.; Hites, Maya; Etienne, Isabelle; Montesinos, Isabel</t>
  </si>
  <si>
    <t xml:space="preserve">Epidemiology and clinical impact of viral, atypical, and fungal respiratory pathogens in symptomatic immunocompromised patients: a two-center study using a multi-parameter customized respiratory Taqman® array card</t>
  </si>
  <si>
    <t xml:space="preserve">EUROPEAN JOURNAL OF CLINICAL MICROBIOLOGY &amp; INFECTIOUS DISEASES</t>
  </si>
  <si>
    <t xml:space="preserve">Respiratory tract infections; Immunocompromised host; Epidemiology; Clinical impact</t>
  </si>
  <si>
    <t xml:space="preserve">HERPES-SIMPLEX-VIRUS; PNEUMOCYSTIS-JIROVECII PNEUMONIA; CRITICALLY-ILL PATIENTS; STEM-CELL; BRONCHOALVEOLAR LAVAGE; TRANSPLANT RECIPIENTS; RETROSPECTIVE COHORT; INFECTIONS; TRACT; DISEASE</t>
  </si>
  <si>
    <t xml:space="preserve">The prevalence of respiratory viruses in immunocompromised adult patients and the association with clinical outcomes is still underexplored. Our goal was to assess the epidemiology and the potential clinical impact of respiratory viral infections in a high-risk patient population. Two large hospitals performed a respiratory Taqman array card (TAC), targeting 24 viruses, 8 bacteria, and 2 fungi simultaneously, on 435 samples from 397 symptomatic immunocompromised patients. Clinical details were collected retrospectively using a structured case report form. An overall positivity rate of 68% was found (51% mono- and 17% co-infections). Pathogen distribution was as follows: influenza A (20.7%), rhinoviruses (15.2%), coronaviruses (7.8%), Pneumocystis jirovecii (7.4%), RSV (7.1%), and CMV (6.0%) were the most frequently encountered, followed by HSV (5.5%), hMPV (4.4%), parainfluenza viruses (3.9%), influenza B (3.7%), and Aspergillus species (3.7%). Other pathogens were not detected or detected only in &lt;= 1% of samples. Hospital and ICU admission rates were 84% and 11%, respectively. The presence of a pathogen was strongly associated with higher need for supplemental oxygen (p = 0.001), but it had no impact on ICU admission, mechanical ventilation requirement, antibacterial therapy, or mortality. In conclusion, our study described the epidemiology of respiratory pathogens in a large group of symptomatic immunocompromised patients and provides evidence of a relationship between pathogen detection and the need for supplemental oxygen. This association was still found after the exclusion of the results positive for influenza viruses, suggesting that non-influenza viruses contribute to severe respiratory illness in patients with compromised immunity.</t>
  </si>
  <si>
    <t xml:space="preserve">[Steensels, Deborah; Montesinos, Isabel] Univ Libre Bruxelles, CUB Erasme, Dept Clin Microbiol, Brussels, Belgium; [Reynders, Marijke; Descheemaeker, Patrick] AZ St Jan Brugge Oostende Hosp, Dept Clin Microbiol, Brugge, Belgium; [Curran, Martin D.] Addenbrookes Hosp, Clin Microbiol &amp; Publ Hlth Lab, Publ Hlth England, Cambridge, England; [Hites, Maya] Univ Libre Bruxelles, CUB Erasme, Dept Infect Dis, Brussels, Belgium; [Etienne, Isabelle] Univ Libre Bruxelles, CUB Erasme, Dept Pulmonol Pulm Transplant, Brussels, Belgium</t>
  </si>
  <si>
    <t xml:space="preserve">Universite Libre de Bruxelles; University of Cambridge; Public Health England; Cambridge University Hospitals NHS Foundation Trust; Addenbrooke's Hospital; Universite Libre de Bruxelles; Universite Libre de Bruxelles</t>
  </si>
  <si>
    <t xml:space="preserve">Steensels, D (corresponding author), Univ Libre Bruxelles, CUB Erasme, Dept Clin Microbiol, Brussels, Belgium.</t>
  </si>
  <si>
    <t xml:space="preserve">deborah.steensels@zol.be</t>
  </si>
  <si>
    <t xml:space="preserve">Hites, Maya/AAS-2969-2020</t>
  </si>
  <si>
    <t xml:space="preserve">Hites, Maya/0000-0001-6961-6039; Steensels, Deborah/0000-0002-8082-6587; Montesinos, Isabel/0000-0002-1956-5330</t>
  </si>
  <si>
    <t xml:space="preserve">0934-9723</t>
  </si>
  <si>
    <t xml:space="preserve">1435-4373</t>
  </si>
  <si>
    <t xml:space="preserve">EUR J CLIN MICROBIOL</t>
  </si>
  <si>
    <t xml:space="preserve">Eur. J. Clin. Microbiol. Infect. Dis.</t>
  </si>
  <si>
    <t xml:space="preserve">10.1007/s10096-019-03579-y</t>
  </si>
  <si>
    <t xml:space="preserve">IK3MD</t>
  </si>
  <si>
    <t xml:space="preserve">WOS:000476492200015</t>
  </si>
  <si>
    <t xml:space="preserve">Lamichhane, J; Upreti, M; Nepal, K; Upadhyay, BP; Maharjan, U; Shrestha, RK; Chapagain, RH; Banjara, MR; Shrestha, UT</t>
  </si>
  <si>
    <t xml:space="preserve">Lamichhane, Jyoti; Upreti, Milan; Nepal, Krishus; Upadhyay, Bishnu Prasad; Maharjan, Urusha; Shrestha, Ram Krishna; Chapagain, Ram Hari; Banjara, Megha Raj; Shrestha, Upendra Thapa</t>
  </si>
  <si>
    <t xml:space="preserve">Burden of human metapneumovirus infections among children with acute respiratory tract infections attending a Tertiary Care Hospital, Kathmandu</t>
  </si>
  <si>
    <t xml:space="preserve">Respiratory tract infections; Human metapneumovirus; Multiplex real-time RT-PCR; Pneumonia; Bronchiolitis</t>
  </si>
  <si>
    <t xml:space="preserve">VIRAL-INFECTIONS; SYNCYTIAL VIRUS; INFLUENZA; INFANTS</t>
  </si>
  <si>
    <t xml:space="preserve">BackgroundAcute respiratory infections (ARIs) are one of the most common causes of mortality and morbidity worldwide. Every year millions of children suffer from viral respiratory tract infections (RTIs) ranging from mild to severe illnesses. Human Metapneumovirus (HMPV) is among the most frequent viruses responsible for RTIs. However, HMPV infections and their severity among children have not been explored yet in Nepal.PurposeTherefore, the study was focused on HMPV infections and other potential viral etiologies or co-infections using multiplex PCR among children attending Kanti Children's Hospital and assessed the clinical characteristics of the infections as well as found the co-infections. A hospital-based cross-sectional study was designed and a convenience sampling method was used to enroll children of less than 15 years with flu-like symptoms from both outpatients and inpatients departments over three months of the study period.ResultsHMPV infection (13.3%) was the most predominant infection among the different viral infections in children with ARIs in Kanti Children's Hospital. The HMPV was more prevalent in the age group less than three years (21.8%). Cough and fever were the most common clinical features present in all children infected with HMPV followed by rhinorrhea, sore throat, and wheezing. HMPV-positive children were diagnosed with pneumonia (42.9%), bronchiolitis (28.5%), upper respiratory tract infections (14.3%), and asthma (14.3%). The prevalence of HMPV was high in late winter (14.3%) followed by early spring (13.5%).ConclusionsThis study provides the baseline information on HMPV and associated co-infection with other respiratory viruses for the differential diagnosis based on molecular methods and also the comparison of clinical presentations among the different respiratory syndromes.</t>
  </si>
  <si>
    <t xml:space="preserve">[Lamichhane, Jyoti; Upreti, Milan; Nepal, Krishus] GoldenGate Int Coll, Kathmandu, Nepal; [Upadhyay, Bishnu Prasad; Maharjan, Urusha; Shrestha, Ram Krishna] Cent Diagnost Lab &amp; Res Ctr, Kathmandu, Nepal; [Chapagain, Ram Hari] Kanti Childrens Hosp, Kathmandu, Nepal; [Banjara, Megha Raj; Shrestha, Upendra Thapa] Tribhuvan Univ, Cent Dept Microbiol, Kathmandu, Nepal</t>
  </si>
  <si>
    <t xml:space="preserve">Tribhuvan University</t>
  </si>
  <si>
    <t xml:space="preserve">Shrestha, UT (corresponding author), Tribhuvan Univ, Cent Dept Microbiol, Kathmandu, Nepal.</t>
  </si>
  <si>
    <t xml:space="preserve">upendrats@gmail.com</t>
  </si>
  <si>
    <t xml:space="preserve">Chapagain, Ram/AAP-7385-2020</t>
  </si>
  <si>
    <t xml:space="preserve">Upreti, Milan Kumar/0009-0004-3237-8005</t>
  </si>
  <si>
    <t xml:space="preserve">AUG 7</t>
  </si>
  <si>
    <t xml:space="preserve">10.1186/s12887-023-04208-6</t>
  </si>
  <si>
    <t xml:space="preserve">O5NH5</t>
  </si>
  <si>
    <t xml:space="preserve">WOS:001044270700001</t>
  </si>
  <si>
    <t xml:space="preserve">Fontes, V; Ferreira, H; Ribeiro, M; Pinheiro, A; Maramaldo, C; Pereira, E; Batista, L; Júnior, A; Lobato, L; Silva, F; Sousa, L; Lima, W; Lima, C; Soczek, S; Carvalho, R; Santos, M; Fernandes, E; Sousa, E; Neto, L</t>
  </si>
  <si>
    <t xml:space="preserve">Fontes, Valeria; Ferreira, Hivylla; Ribeiro, Marilene; Pinheiro, Aruana; Maramaldo, Carlos; Pereira, Eduardo; Batista, Luis; Junior, Antonio; Lobato, Luis; Silva, Fabiano; Sousa, Luis; Lima, Washington; Lima, Claudia; Soczek, Suzany; Carvalho, Rafael; Santos, Mirleide; Fernandes, Elizabeth; Sousa, Eduardo; Neto, Lidio</t>
  </si>
  <si>
    <t xml:space="preserve">High Incidence of Respiratory Syncytial Virus in Children with Community-Acquired Pneumonia from a City in the Brazilian Pre-Amazon Region</t>
  </si>
  <si>
    <t xml:space="preserve">respiratory tract infections; clinical epidemiology; child</t>
  </si>
  <si>
    <t xml:space="preserve">EPIDEMIOLOGY; INFECTION; METAPNEUMOVIRUS; BRONCHIOLITIS; SEASONALITY; PREVENTION; INFANTS</t>
  </si>
  <si>
    <t xml:space="preserve">Introduction: Although fewer children have been affected by the severe form of the coronavirus disease 2019 (COVID-19), community-acquired pneumonia (CAP) continues to be the leading global cause of child hospitalizations and deaths. Aim: This study investigated the incidence of respiratory syncytial virus (RSV) as well its subtypes (RSV A and B), adenovirus (ADV), rhinovirus (HRV), metapneumovirus (HMPV), coronavirus (NL63, OC43, 229E and HKU1), parainfluenza virus subtypes (PI1, PI2 and PI3), bocavirus and influenza A and B viruses (FluA and FluB) in children diagnosed with CAP during the COVID-19 pandemic. Methods: A total of 200 children with clinically confirmed CAP were initially recruited, of whom 107 had negative qPCR results for SARS-CoV-2 and were included in this study. Viral subtypes were identified using a real-time polymerase chain reaction in the nasopharyngeal swab samples. Results: Viruses were identified in 69.2% of the patients. RSV infections were the most frequently identified (65.4%), with type RSV B being the most prevalent (63.5%). In addition, HCoV 229E and HRV were detected in 6.5% and 3.7% of the patients, respectively. RSV type B was associated with severe acute respiratory infection (ARI) and a younger age (less than 24 months). Conclusions: New strategies for preventing and treating viral respiratory infections, particularly RSV infections, are necessary.</t>
  </si>
  <si>
    <t xml:space="preserve">[Fontes, Valeria; Pereira, Eduardo; Sousa, Luis; Lima, Claudia; Sousa, Eduardo; Neto, Lidio] CEUMA Univ, Postgrad Programme Microbial Biol, Lab Virol, BR-65075120 Sao Luis, MA, Brazil; [Ferreira, Hivylla; Maramaldo, Carlos; Lobato, Luis; Silva, Fabiano; Sousa, Luis; Neto, Lidio] Osvaldo Cruz Inst, Cent Publ Hlth Lab Maranhao, LACEN MA, BR-65020904 Sao Luis, MA, Brazil; [Ribeiro, Marilene] Hosp Fed Univ Maranhao, HU UFMA, BR-65020070 Sao Luis, MA, Brazil; [Pinheiro, Aruana] CEUMA Univ, Postdoctoral Program Microbial Biol, BR-65075120 Sao Luis, MA, Brazil; [Batista, Luis; Junior, Antonio; Carvalho, Rafael; Sousa, Eduardo] Univ Fed Maranhao, Postgrad Program Adult Hlth PPGSAD, UFMA, BR-65080805 Sao Luis, MA, Brazil; [Lobato, Luis; Silva, Fabiano] FIOCRUZ RJ, Postgrad Programme Trop Med, BR-21040360 Rio De Janeiro, RJ, Brazil; [Lima, Washington; Neto, Lidio] CEUMA Univ, Postgrad Programme Biodivers &amp; Biotechnol BIONORTE, BR-65075120 Sao Luis, MA, Brazil; [Soczek, Suzany; Fernandes, Elizabeth] Pele Pequeno Principe Res Inst, Postgrad Programme Biotechnol Appl Child &amp; Adolesc, BR-80250060 Curitiba, PR, Brazil; [Santos, Mirleide] Evandro Chagas Inst, BR-67030000 Ananindeua, PA, Brazil</t>
  </si>
  <si>
    <t xml:space="preserve">Universidade Ceuma; Universidade Ceuma; Universidade Federal do Maranhao; Fundacao Oswaldo Cruz; Universidade Ceuma; Hospital Pequeno Principe; Instituto Evandro Chagas</t>
  </si>
  <si>
    <t xml:space="preserve">Neto, L (corresponding author), CEUMA Univ, Postgrad Programme Microbial Biol, Lab Virol, BR-65075120 Sao Luis, MA, Brazil.;Neto, L (corresponding author), Osvaldo Cruz Inst, Cent Publ Hlth Lab Maranhao, LACEN MA, BR-65020904 Sao Luis, MA, Brazil.;Neto, L (corresponding author), CEUMA Univ, Postgrad Programme Biodivers &amp; Biotechnol BIONORTE, BR-65075120 Sao Luis, MA, Brazil.</t>
  </si>
  <si>
    <t xml:space="preserve">lidio.neto@ceuma.br</t>
  </si>
  <si>
    <t xml:space="preserve">Pereira, Eduardo/IQX-1769-2023; Carvalho, Rafael/AAT-9280-2020; de Sousa, Eduardo/AAT-9294-2020; Fernandes, Elizabeth/J-9397-2012; Sousa, Eduardo Martins de/R-3206-2016</t>
  </si>
  <si>
    <t xml:space="preserve">Lima Lobato, Luis Felipe/0000-0003-1401-0245; Ferreira, Hivylla Lorrana dos Santos/0000-0002-7822-3410; Cardoso Carvalho, Rafael/0000-0001-7073-8308; Sousa, Eduardo Martins de/0000-0002-2506-169X; Willian de Alencar Pereira, Eduardo/0000-0002-2266-9771; Ferreira de Sousa, Luis Artur/0000-0002-7121-1417</t>
  </si>
  <si>
    <t xml:space="preserve">10.3390/v15061306</t>
  </si>
  <si>
    <t xml:space="preserve">K3RE5</t>
  </si>
  <si>
    <t xml:space="preserve">WOS:001015637000001</t>
  </si>
  <si>
    <t xml:space="preserve">Mori, T; Kitano, T; Kitagawa, D; Murata, M; Onishi, M; Hachisuka, S; Okubo, T; Yamamoto, N; Nishikawa, H; Onaka, M; Suzuki, R; Sekine, M; Suzuki, S; Nakamura, F; Yoshida, S</t>
  </si>
  <si>
    <t xml:space="preserve">Mori, Takahiro; Kitano, Taito; Kitagawa, Daisuke; Murata, Masayuki; Onishi, Mai; Hachisuka, Soshi; Okubo, Tenshin; Yamamoto, Naohiro; Nishikawa, Hiroki; Onaka, Masayuki; Suzuki, Rika; Sekine, Madoka; Suzuki, Soma; Nakamura, Fumihiko; Yoshida, Sayaka</t>
  </si>
  <si>
    <t xml:space="preserve">Risk of admission requirement among children with respiratory infection in the post-COVID-19 pandemic era</t>
  </si>
  <si>
    <t xml:space="preserve">Respiratory tract infections; Children; SARS-CoV-2; Respiratory syncytial virus; Influenza</t>
  </si>
  <si>
    <t xml:space="preserve">VACCINE; VIRUSES; RSV</t>
  </si>
  <si>
    <t xml:space="preserve">Background: To evaluate the effect of the type and codetection of respiratory viruses on admission requirements among children with respiratory infections in the post-COVID-19 pandemic era. Methods: In this retrospective study, we analyzed patients with acute respiratory symptoms using FilmArray (R) Respiratory Panel between December 2020 and March 2024. The viruses were classified into eight groups: adenovirus, seasonal coronavirus, human metapneumovirus, human rhinovirus/enterovirus, influenza virus, parainfluenza virus, respiratory syncytial virus, and severe acute respiratory virus coronavirus-2. The impact of the detected viral groups and viral codetection on hospitalization rates were examined using multivariable regression analysis in three pediatric age groups (&lt; 2 years, 2-4 years, and 5-17 years). Results: A total of 4684 tests were performed, of which 3555 (75.9 %) tested positive for at least one respiratory virus and negative for atypical bacteria. Of these, 946 (26.6 %) were hospitalized. Multivariable regression analyses showed that respiratory syncytial virus (RSV) infection was associated with hospitalization requirement among young children (adjusted odds ratios (aOR) 2.46 [1.65-3.67], p &lt; 0.001 in &lt; 2 years, and 1.34 [1.02-2.30], p = 0.042 in 2-4 years). Influenza (aOR 0.23 [0.07-0.83], p = 0.025) and SARSCoV-2 (aOR 0.39 [0.22-0.69], p = 0.001) were negatively correlated with hospitalization among children younger than 2 years. Viral codetection was not significantly associated with hospitalization in any pediatric age group. Conclusion: RSV infection was associated with a higher risk of hospitalization in children younger than 5 years than other respiratory viruses. These results highlight the importance of preventive measures against RSV infections, including maternal vaccination and childhood immunization.</t>
  </si>
  <si>
    <t xml:space="preserve">[Mori, Takahiro; Kitano, Taito; Murata, Masayuki; Onishi, Mai; Hachisuka, Soshi; Okubo, Tenshin; Yamamoto, Naohiro; Nishikawa, Hiroki; Onaka, Masayuki; Suzuki, Rika; Yoshida, Sayaka] Nara Prefecture Gen Med Ctr, Dept Pediat, Nara, Japan; [Kitagawa, Daisuke; Sekine, Madoka; Suzuki, Soma; Nakamura, Fumihiko] Nara Prefecture Gen Med Ctr, Dept Lab Med, Nara, Japan</t>
  </si>
  <si>
    <t xml:space="preserve">Kitano, T (corresponding author), Nara Prefecture Gen Med Ctr, Dept Pediat, 2-897-5 Shichijonishimachi, Nara, Nara 6308581, Japan.</t>
  </si>
  <si>
    <t xml:space="preserve">tkitano@nara-hp.jp</t>
  </si>
  <si>
    <t xml:space="preserve">Kitagawa, Daisuke/HNI-3590-2023</t>
  </si>
  <si>
    <t xml:space="preserve">Kitagawa, Daisuke/0000-0002-5352-8621</t>
  </si>
  <si>
    <t xml:space="preserve">10.1016/j.jiph.2024.102570</t>
  </si>
  <si>
    <t xml:space="preserve">L4W3O</t>
  </si>
  <si>
    <t xml:space="preserve">WOS:001350732100001</t>
  </si>
  <si>
    <t xml:space="preserve">Sarna, M; Ware, RS; Sloots, TP; Nissen, MD; Grimwood, K; Lambert, SB</t>
  </si>
  <si>
    <t xml:space="preserve">Sarna, Mohinder; Ware, Robert S.; Sloots, Theo P.; Nissen, Michael D.; Grimwood, Keith; Lambert, Stephen B.</t>
  </si>
  <si>
    <t xml:space="preserve">The burden of community-managed acute respiratory infections in the first 2-years of life</t>
  </si>
  <si>
    <t xml:space="preserve">respiratory tract infections; children; respiratory symptoms; management</t>
  </si>
  <si>
    <t xml:space="preserve">TRACT INFECTION; YOUNG-CHILDREN; ANTIBIOTIC USE; HUMAN METAPNEUMOVIRUS; OTITIS-MEDIA; VIRUSES; ILLNESSES; INFLUENZA; RISK; SYMPTOMS</t>
  </si>
  <si>
    <t xml:space="preserve">BackgroundContemporary information on acute respiratory infections (ARIs) in children is based on hospital cohorts, primary healthcare presentations, and high-risk birth cohort studies. We describe the burden and determinants of symptomatic episodes of ARIs in unselected healthy infants in the first 2-years of life. MethodsOne hundred and fifty-four infants from subtropical Brisbane, Australia participated in a longitudinal, community-based birth cohort study. A daily tick-box diary captured pre-defined respiratory symptoms. Parents also completed a burden diary, recording family physician and hospital visits, and antibiotic use. ResultsParticipants contributed 88,032 child-days (78.2% of expected), of which 17,316 (19.7%) days were symptomatic during 1,651 ARI episodes: incidence rate 0.56 ARIs per child-month (95%CI: 0.54, 0.59). Runny nose (14,220 days; 6.0-days median duration) and dry cough (6,880 days; 4.0-days median duration) were reported most frequently. Overall, 955 burden diaries recorded 455 family physician visits (1-8 visits per ARI) and 48 hospital presentations, including six hospital admissions. Antibiotics were prescribed on 209 occasions (21.9% of ARI episodes where burden diary submitted). Increasing age, non-summer seasons, and attendance at childcare were associated with an increased risk of ARI. ConclusionsARIs are a common cause of morbidity in the first 2-years of life, with children experiencing 13 discrete ARI episodes and almost 5-months of respiratory symptoms. Most ARIs are managed in the community by parents and family physicians. Antibiotic prescribing remains common for ARIs in young children. Secular societal changes, including greater use of childcare in early childhood, may have maintained the high ARI incidence in this age-group. Pediatr Pulmonol. 2016;51:1336-1346. (c) 2016 Wiley Periodicals, Inc.</t>
  </si>
  <si>
    <t xml:space="preserve">[Sarna, Mohinder; Ware, Robert S.] Univ Queensland, Sch Publ Hlth, Brisbane, Qld, Australia; [Sarna, Mohinder; Ware, Robert S.; Sloots, Theo P.; Nissen, Michael D.] Univ Queensland, Sch Med, Child Hlth Res Ctr, Brisbane, Qld, Australia; [Sloots, Theo P.; Lambert, Stephen B.] Childrens Hlth Queensland, Ctr Childrens Hlth Res, Queensland Pediat Infect Dis Lab, Brisbane, Qld, Australia; [Grimwood, Keith] Griffith Univ, Menzies Hlth Inst Queensland, Gold Coast, Qld, Australia; [Grimwood, Keith] Gold Coast Hlth, Gold Coast, Qld, Australia; [Lambert, Stephen B.] Queensland Hlth, Communicable Dis Branch, Brisbane, Qld, Australia</t>
  </si>
  <si>
    <t xml:space="preserve">University of Queensland; University of Queensland; Menzies Health Institute Queensland; Griffith University; Griffith University - Gold Coast Campus; Gold Coast Health; Queensland Health</t>
  </si>
  <si>
    <t xml:space="preserve">Sarna, M (corresponding author), Ctr Childrens Hlth Res LCCH, 62 Graham St, South Brisbane, Qld 4101, Australia.</t>
  </si>
  <si>
    <t xml:space="preserve">Grimwood, Keith/F-9334-2011; Sarna, Mohinder/AAO-9343-2020; Nissen, Michael/M-6823-2013; Lambert, Stephen/N-7819-2019; Lambert, Stephen/B-8348-2008; Sarna, Mohinder/Q-7834-2016; Ware, Robert/B-2024-2014</t>
  </si>
  <si>
    <t xml:space="preserve">Grimwood, Keith/0000-0003-3174-9834; Lambert, Stephen/0000-0002-2709-193X; Sarna, Mohinder/0000-0002-2448-1588; Ware, Robert/0000-0002-6129-6736</t>
  </si>
  <si>
    <t xml:space="preserve">National Health and Medical Research Council (NHMRC) [APP 615700]; Children's Hospital Foundation Queensland (CHFQ) [50006]; NHMRC; CHFQ</t>
  </si>
  <si>
    <t xml:space="preserve">National Health and Medical Research Council (NHMRC)(National Health &amp; Medical Research Council (NHMRC) of Australia); Children's Hospital Foundation Queensland (CHFQ); NHMRC(National Health &amp; Medical Research Council (NHMRC) of Australia); CHFQ</t>
  </si>
  <si>
    <t xml:space="preserve">National Health and Medical Research Council (NHMRC), Number: APP 615700; Children's Hospital Foundation Queensland (CHFQ), Number: 50006; NHMRC Dora Lush Clinical Scholarship; CHFQ PhD Clinical Scholarship; NHMRC Early Career Fellowship; CHFQ Mid-Career Fellowship.</t>
  </si>
  <si>
    <t xml:space="preserve">10.1002/ppul.23480</t>
  </si>
  <si>
    <t xml:space="preserve">ED1DC</t>
  </si>
  <si>
    <t xml:space="preserve">WOS:000388583200011</t>
  </si>
  <si>
    <t xml:space="preserve">Chavoshzadeh, Z; Abdinia, B; Fahimzad, A; Samakosh, HR; Khanbabaei, GT; Tabatabaei, SA</t>
  </si>
  <si>
    <t xml:space="preserve">Chavoshzadeh, Zahra; Abdinia, Babak; Fahimzad, Alireza; Samakosh, Hamid Reza; Khanbabaei, Ghamar Tag; Tabatabaei, Seyed Ahmad</t>
  </si>
  <si>
    <t xml:space="preserve">Molecular Study of Respiratory Syncytial Virus, Human Rhinovirus and Human Metapneumovirus, Detected in Children With Acute Wheezing</t>
  </si>
  <si>
    <t xml:space="preserve">ARCHIVES OF PEDIATRIC INFECTIOUS DISEASES</t>
  </si>
  <si>
    <t xml:space="preserve">Respiratory Tract Infections; Child; Respiratory Sounds; Respiratory Syncytial Viruses</t>
  </si>
  <si>
    <t xml:space="preserve">VIRAL-INFECTIONS; TRACT INFECTIONS; ASTHMA; INFANTS; RISK; BRONCHIOLITIS; PREDNISOLONE; PREVALENCE; SEVERITY; SYMPTOMS</t>
  </si>
  <si>
    <t xml:space="preserve">Background: Viruses are known to cause the majority of acute respiratory infections. A great deal of evidence indicates that the etiology of most cases of wheezing in children, like asthma or bronchiolitis, is also linked to such respiratory infections. Objectives: We assessed the prevalence of three common viruses including; Respiratory syncytial virus (RSV), human rhinovirus (HRV), and human Metapneurnovirus (hMPV), in children with acute wheezing. Patients and Methods: Ninety six wheezy children, 48 males (50%) and 48 females (50%) under the age of 5 years, were enrolled in the study. All patients visited as outpatients or inpatients when referred to the Mofid Children Hospital, in Tehran, from September 2009 to March 2010. A nasopharyngeal sample was taken from each child's nostril and the three viruses were detected by a molecular polymerase chain reaction method (PCR). Results: Out of 96 patients, 63 cases (64.8%) had a positive PCR test for at least one virus. Prevalence of each virus including RSV, HRV and hMPV alone or in combination were 44 (45.8%), 13 (13.5%) and 6 (6.3%), respectively. There were no significant relationships between; age, prematurity, fever, respiratory distress and the existence of any kind of virus in the nasopharynx. Conclusions: Our study revealed that the prevalence of these three viruses in the nasopharyngeal secretions of children suffering from acute wheezing was similar to other studies. The results of this study concluded; PCR assay is a widely available and rapid method to detect the viral etiology which induces wheezing in children in Iran, and the study also provides a baseline for future studies about the clinical importance of this relationship. Published by Kowsar Corp, 2013. cc 3.0.</t>
  </si>
  <si>
    <t xml:space="preserve">[Chavoshzadeh, Zahra] Shahid Beheshti Univ Med Sci, Dept Pediat Immunol &amp; Allergy, Tehran, Iran; [Abdinia, Babak] Tabriz Univ Med Sci, Dept Pediat Infect Dis, Tehran, Iran; [Fahimzad, Alireza] Shahid Beheshti Univ Med Sci, Pediat Infect Res Ctr, Tehran, Iran; [Fahimzad, Alireza] Shahid Beheshti Univ Med Sci, Mofid Children Hosp, Dept Pediat Infect Dis, Tehran, Iran; [Samakosh, Hamid Reza] Semnan Univ Med Sci, Dept Pediat, Tehran, Iran; [Khanbabaei, Ghamar Tag; Tabatabaei, Seyed Ahmad] Shahid Beheshti Univ Med Sci, Mofid Children Hosp, Dept Pediat Pulmonol, Tehran, Iran</t>
  </si>
  <si>
    <t xml:space="preserve">Shahid Beheshti University Medical Sciences; Tabriz University of Medical Science; Shahid Beheshti University Medical Sciences; Shahid Beheshti University Medical Sciences; Semnan University of Medical Sciences; Shahid Beheshti University Medical Sciences</t>
  </si>
  <si>
    <t xml:space="preserve">Fahimzad, A (corresponding author), Shahid Beheshti Univ Med Sci, Mofid Children Hosp, Pediat Infect Res Ctr, Tehran, Iran.</t>
  </si>
  <si>
    <t xml:space="preserve">safahimzad@yahoo.com</t>
  </si>
  <si>
    <t xml:space="preserve">Abdinia, Babak/L-9637-2014; chavoshzadeh, zahra/AAU-8508-2021</t>
  </si>
  <si>
    <t xml:space="preserve">Abdinia, Babak/0000-0002-4375-4991</t>
  </si>
  <si>
    <t xml:space="preserve">KOWSAR CORP</t>
  </si>
  <si>
    <t xml:space="preserve">PO BOX 14155-3651, TEHRAN, 14155, IRAN</t>
  </si>
  <si>
    <t xml:space="preserve">2322-1828</t>
  </si>
  <si>
    <t xml:space="preserve">2322-1836</t>
  </si>
  <si>
    <t xml:space="preserve">ARCH PEDIATR INFECT</t>
  </si>
  <si>
    <t xml:space="preserve">Arch. Pediatr. Infect. Dis.</t>
  </si>
  <si>
    <t xml:space="preserve">10.5812/pedinfect.5319</t>
  </si>
  <si>
    <t xml:space="preserve">V23TK</t>
  </si>
  <si>
    <t xml:space="preserve">WOS:000215111500004</t>
  </si>
  <si>
    <t xml:space="preserve">Wishaupt, JO; van der Ploeg, T; de Groot, R; Versteegh, FGA; Hartwig, NG</t>
  </si>
  <si>
    <t xml:space="preserve">Wishaupt, Jerome O.; van der Ploeg, Tjeerd; de Groot, Ronald; Versteegh, Florens G. A.; Hartwig, Nico G.</t>
  </si>
  <si>
    <t xml:space="preserve">Single- and multiple viral respiratory infections in children: disease and management cannot be related to a specific pathogen</t>
  </si>
  <si>
    <t xml:space="preserve">Respiratory tract infections; Child; Co-infection; Respiratory Syncytial Virus; Respiratory viruses</t>
  </si>
  <si>
    <t xml:space="preserve">SYNCYTIAL VIRUS; HOSPITALIZED CHILDREN; HUMAN METAPNEUMOVIRUS; RHINOVIRUS INFECTION; TRACT INFECTIONS; CLINICAL IMPACT; INFANTS; SEVERITY; LOAD; BRONCHIOLITIS</t>
  </si>
  <si>
    <t xml:space="preserve">Background: The number of viral pathogens associated with pediatric acute respiratory tract infection (ARI) has grown since the introduction of reverse transcription real-time polymerase chain reaction (RT-PCR) assays. Multiple viruses are detected during a single ARI episode in approximately a quarter of all cases. The clinical relevance of these multiple detections is unclear, as is the role of the individual virus. We therefore investigated the correlation between clinical data and RT-PCR results in children with single-and multiple viral ARI. Methods: Data from children with ARI were prospectively collected during two winter seasons. RT-PCR testing for 15 viruses was performed in 560 ARI episodes. In the patients with a single-viral etiology, clinical data, laboratory findings, patient management-and outcome data were compared between the different viruses. With this information, we compared data from children of whom RT-PCR data were negative, with children with single-and multiple viral positive results. Results: The viral detection rate was 457/560 (81.6%) of which 331/560 (59.1%) were single infections and 126/560 (22.5%) were multiple infections. In single viral infections, some statistically significant differences in demographics, clinical findings, disease severity and outcome were found between children with different viral etiologies. However, no clinically recognizable pattern was established to be virus-specific. In a multivariate analysis, the only variables that were correlated with longer hospital stay were the use of oxygen and nebulizer therapy, irrespective of the viral pathogen. Children with RT-PCR positive test results had a significant higher disease severity, fever, length of hospital stay, days of extra oxygen supply, and days of antibiotic treatment than children with a negative RT-PCR test result. For children with single-versus children with multiple positive RT-PCR test results, these differences were not significant. Conclusions: Disease (severity), management and outcome in pediatric ARI are not associated with a specific virus. Single-and multiple viral ARI do not significantly differ with regard to clinical outcome and patient management. For general pediatrics, RT-PCR assays should be restricted to pathogens for which therapy is available or otherwise may have clinical consequences. Further research with an extended panel of RT-PCR assays and a larger number of inclusions is necessary to further validate our findings.</t>
  </si>
  <si>
    <t xml:space="preserve">[Wishaupt, Jerome O.] Reinier Graaf Hosp, Dept Pediat, POB 5011, NL-2600 GA Delft, Netherlands; [van der Ploeg, Tjeerd] Pieter Van Foreest Inst Educ &amp; Res, Med Ctr Alkmaar, Alkmaar, Netherlands; [de Groot, Ronald] Radboud Univ Nijmegen, Med Ctr, Dept Pediat, Lab Pediat Infect Dis, Nijmegen, Netherlands; [Versteegh, Florens G. A.] Groene Hart Ziekenhuis, Dept Pediat, Gouda, Netherlands; [Versteegh, Florens G. A.] Ghent Univ Hosp, Dept Pediat, Ghent, Belgium; [Hartwig, Nico G.] Franciscus Gasthuis Vlietland, Dept Pediat, Rotterdam, Netherlands; [Hartwig, Nico G.] ErasmusMC Sophia, Dept Pediat Infect Dis &amp; Immunol, Rotterdam, Netherlands</t>
  </si>
  <si>
    <t xml:space="preserve">Reinier de Graaf Hospital; Medical Center Of Alkmaar; Radboud University Nijmegen; Ghent University; Ghent University Hospital; Franciscus Gasthuis; Erasmus University Rotterdam; Erasmus MC</t>
  </si>
  <si>
    <t xml:space="preserve">Wishaupt, JO (corresponding author), Reinier Graaf Hosp, Dept Pediat, POB 5011, NL-2600 GA Delft, Netherlands.</t>
  </si>
  <si>
    <t xml:space="preserve">wishaupt@rdgg.nl</t>
  </si>
  <si>
    <t xml:space="preserve">Hartwig, Nico/ABI-5467-2020</t>
  </si>
  <si>
    <t xml:space="preserve">van der Ploeg, Tjeerd/0000-0003-0429-6753</t>
  </si>
  <si>
    <t xml:space="preserve">Research Activity Committee of the Reinier de Graaf hospital [620604]</t>
  </si>
  <si>
    <t xml:space="preserve">Research Activity Committee of the Reinier de Graaf hospital</t>
  </si>
  <si>
    <t xml:space="preserve">This study was financially supported by the Research Activity Committee of the Reinier de Graaf hospital (project number 620604). The funders had no role in study design, data collection and analysis, decision to publish, or preparation of the manuscript.</t>
  </si>
  <si>
    <t xml:space="preserve">JAN 11</t>
  </si>
  <si>
    <t xml:space="preserve">10.1186/s12879-016-2118-6</t>
  </si>
  <si>
    <t xml:space="preserve">EP4IX</t>
  </si>
  <si>
    <t xml:space="preserve">WOS:000397345300004</t>
  </si>
  <si>
    <t xml:space="preserve">Ferone, EA; Berezin, EN; Durigon, GS; Finelli, C; Felício, MCC; Storni, JG; Durigon, EL; de Oliveira, DBL</t>
  </si>
  <si>
    <t xml:space="preserve">Ferone, Eduardo A.; Berezin, Eitan N.; Durigon, Giuliana S.; Finelli, Cristiane; Felicio, Maria C. C.; Storni, Juliana G.; Durigon, Edison L.; de Oliveira, Danielle B. L.</t>
  </si>
  <si>
    <t xml:space="preserve">Clinical and epidemiological aspects related to the detection of adenovirus or respiratory syncytial virus in infants hospitalized for acute lower respiratory tract infection</t>
  </si>
  <si>
    <t xml:space="preserve">Respiratory tract infections; Adenoviruses human; Child hospitalized</t>
  </si>
  <si>
    <t xml:space="preserve">C-REACTIVE PROTEIN; HUMAN METAPNEUMOVIRUS; VIRAL-INFECTIONS; YOUNG-CHILDREN; SURVEILLANCE; PNEUMONIA; DIAGNOSIS; DISEASE; BRAZIL</t>
  </si>
  <si>
    <t xml:space="preserve">Objective: to characterize and compare clinical, epidemiological, and laboratory aspects of infants with acute lower respiratory infection (ALRI) associated with the detection of adenovirus (ADV) or respiratory syncytial virus (RSV). Methods: a preliminary respiratory infection surveillance study collected samples of nasopharyngeal aspirate (NPA) for viral research, linked to the completion of a standard protocol, from children younger than two years admitted to a university hospital with ALRI, between March of 2008 and August of 2011. Polymerase chain reaction (PCR) was used for eight viruses: ADV, RSV, nnetapneumovirus, Parainfluenza 1, 2, and 3, and Influenza A and B. Cases with NPA collected during the first 24 hours of admission, negative results of blood culture, and exclusive detection of ADV (Gadv group) or RSV (Grsv group) were selected for comparisons. Results: the preliminary study included collection of 1,121 samples of NPA, 813 collected in the first 24 hours of admission, of which 50.3% were positive for at least one virus; RSV was identified in 27.3% of cases surveyed, and ADV was identified in 15.8%. Among the aspects analyzed in the Gadv (n = 58) and Grsv (n = 134) groups, the following are noteworthy: the higher mean age, more frequent prescription of antibiotics, and the highest median of total white blood cell count and C-reactive protein values in Gadv. Conclusions: PCR can detect persistent/latent forms of ADV, an aspect to be considered when interpreting results. Additional studies with quantitative diagnostic techniques could elucidate the importance of the high frequency observed. (C) 2013 Sociedade Brasileira de Pediatria. Published by Elsevier Editora Ltda. All rights reserved.</t>
  </si>
  <si>
    <t xml:space="preserve">[Ferone, Eduardo A.; Berezin, Eitan N.] Irmandade Santa Casa de Misericordia Sao Paulo, Pediat Pneumol Unit, Dept Pediat &amp; Child Care, Sao Paulo, Brazil; [Berezin, Eitan N.; Durigon, Giuliana S.] Fac Ciencias Med Santa Casa Sao Paulo, Sao Paulo, Brazil; [Finelli, Cristiane; Felicio, Maria C. C.] Irmandade Santa Casa de Misericordia Sao Paulo, Emergency Unit, Dept Pediat &amp; Child Care, Sao Paulo, Brazil; [Storni, Juliana G.] Irmandade Santa Casa de Misericordia Sao Paulo, Sao Paulo, Brazil; [Durigon, Edison L.; de Oliveira, Danielle B. L.] Univ Sao Paulo, Inst Ciencias Biomed, BR-05508 Sao Paulo, Brazil; Irmandade Santa Casa de Misericordia Sao Paulo, Dept Pediat &amp; Child Care, Sao Paulo, Brazil</t>
  </si>
  <si>
    <t xml:space="preserve">Faculdade de Ciencias Medicas Santa Casa de Sao Paulo; Universidade de Sao Paulo</t>
  </si>
  <si>
    <t xml:space="preserve">Ferone, EA (corresponding author), Irmandade Santa Casa de Misericordia Sao Paulo, Pediat Pneumol Unit, Dept Pediat &amp; Child Care, Sao Paulo, Brazil.</t>
  </si>
  <si>
    <t xml:space="preserve">ferone_eduardo@yahoo.com.br</t>
  </si>
  <si>
    <t xml:space="preserve">Oliveira, Danielle/0000-0002-0534-0886; Durigon, Edison/0000-0003-4898-6553</t>
  </si>
  <si>
    <t xml:space="preserve">10.1016/j.jped.2013.05.005</t>
  </si>
  <si>
    <t xml:space="preserve">AD0DL</t>
  </si>
  <si>
    <t xml:space="preserve">WOS:000332904600008</t>
  </si>
  <si>
    <t xml:space="preserve">Hara, M; Takao, S; Shimazu, Y; Nishimura, T</t>
  </si>
  <si>
    <t xml:space="preserve">Hara, Michimaru; Takao, Shinichi; Shimazu, Yukie; Nishimura, Tatsuo</t>
  </si>
  <si>
    <t xml:space="preserve">Three-Year Study of Viral Etiology and Features of Febrile Respiratory Tract Infections in Japanese Pediatric Outpatients</t>
  </si>
  <si>
    <t xml:space="preserve">respiratory tract infection; respiratory viruses; pediatric outpatients; fever</t>
  </si>
  <si>
    <t xml:space="preserve">REAL-TIME PCR; POLYMERASE-CHAIN-REACTION; COMMUNITY-ACQUIRED PNEUMONIA; HUMAN METAPNEUMOVIRUS; PARAINFLUENZA VIRUS; HUMAN RHINOVIRUS; FREQUENT DETECTION; SYNCYTIAL VIRUS; YOUNG-CHILDREN; ILLNESS</t>
  </si>
  <si>
    <t xml:space="preserve">Background: For most febrile respiratory tract infections (RTIs) in children, the causative pathogen is never identified. We sought to identify the causative pathogen in individual cases of pediatric outpatient with RTIs and to determine whether particular clinical features of RTIs are associated with particular viruses. Methods: Over 3 years, we prospectively collected nasopharyngeal aspirate specimens from individual pediatric outpatients with an RTI accompanied by persistent fever (&gt;3 days, &gt;= 38.0 degrees C) and peak temperature &gt;= 39.0 degrees C. Two methods-(1) viral culture for respiratory viruses and (2) real-time polymerase chain reaction (PCR) assays identifying 9 different respiratory viruses and 2 respiratory bacteria-were used to test specimens. Results: For 495 specimens, viral culture and real-time PCR assays together identified at least 1 pathogen in 83.0% and &gt;= 1 viruses alone in 79.4%. These 2 methods identified 138 children with respiratory syncytial virus, 66 with human metapneumovirus, 73 with parainfluenza viruses, 124 with adenovirus, 23 with rhinovirus, 38 with enterovirus, 11 with influenza type C virus, 15 with Mycoplasma pneumoniae and 3 with Chlamydophila pneumoniae; the coinfection rate was 19.7% among all infections. Among the patients with single-pathogen infections, the rate of lower RTI was 37.6% for respiratory syncytial virus, 40.7% for human metapneumovirus, 18.2% for parainfluenza viruses and 2.2% for adenovirus (P &lt; 0.01). Conclusions: Viral culture and real-time PCR assays were used together to identify causative pathogens in 83% of febrile outpatient children with RTI; specific viruses were associated with particular clinical diagnoses.</t>
  </si>
  <si>
    <t xml:space="preserve">[Hara, Michimaru] Hara Pediat Clin, Hiroshima, Japan; [Takao, Shinichi; Shimazu, Yukie] Hiroshima Prefectural Technol Res Inst, Ctr Publ Hlth &amp; Environm, Hiroshima 73400076, Japan; [Nishimura, Tatsuo] Nishimura Pediat Clin, Osaka, Japan</t>
  </si>
  <si>
    <t xml:space="preserve">Takao, S (corresponding author), Hiroshima Prefectural Technol Res Inst, Ctr Publ Hlth &amp; Environm, Minami Ku, 1-6-29 Minami Machi, Hiroshima 73400076, Japan.</t>
  </si>
  <si>
    <t xml:space="preserve">shinichi-takao@yahoo.co.jp</t>
  </si>
  <si>
    <t xml:space="preserve">Nishimura, Tatsuo/0000-0002-8423-8037</t>
  </si>
  <si>
    <t xml:space="preserve">10.1097/INF.0000000000000227</t>
  </si>
  <si>
    <t xml:space="preserve">AK0TH</t>
  </si>
  <si>
    <t xml:space="preserve">WOS:000338127900007</t>
  </si>
  <si>
    <t xml:space="preserve">Pierangeli, A; Gentile, M; Di Marco, P; Pagnotti, P; Scagnolari, C; Trombetti, S; Lo Russo, L; Tromba, V; Moretti, C; Midulla, F; Antonelli, G</t>
  </si>
  <si>
    <t xml:space="preserve">Pierangeli, Alessandra; Gentile, Massimo; Di Marco, Paola; Pagnotti, Paolo; Scagnolari, Carolina; Trombetti, Simona; Lo Russo, Lelia; Tromba, Valeria; Moretti, Corrado; Midulla, Fabio; Antonelli, Guido</t>
  </si>
  <si>
    <t xml:space="preserve">Detection and typing by molecular techniques of respiratory viruses in children hospitalized for acute respiratory infection in Rome, Italy</t>
  </si>
  <si>
    <t xml:space="preserve">respiratory tract infection; pneumonia; bronchiolitis; RT-PCR; co-infection</t>
  </si>
  <si>
    <t xml:space="preserve">REVERSE TRANSCRIPTION-PCR; POLYMERASE-CHAIN-REACTION; HUMAN METAPNEUMOVIRUS; HUMAN CORONAVIRUS; SYNCYTIAL VIRUS; TRACT INFECTIONS; YOUNG-CHILDREN; ACUTE BRONCHIOLITIS; KAWASAKI-DISEASE; INFANTS</t>
  </si>
  <si>
    <t xml:space="preserve">Detection of a broad number of respiratory viruses is not undertaken currently for the diagnosis of acute respiratory infection due to the large and always increasing list of pathogens involved. A 1-year study was undertaken on children hospitalized consecutively for acute respiratory infection in a Pediatric Department in Rome to characterize the viruses involved. Two hundred twenty-seven children were enrolled in the study with a diagnosis of asthma, bronchiolitis, bronchopneumonia, or laringo-tracheo bronchitis. A molecular approach was adopted using specific reverse transcription (RT)-PCR assays detecting 13 respiratory viruses including metapneumovirus (hMPV) and the novel coronaviruses NL63 and HKU1; most amplified fragments were sequenced to confirm positive results and differentiate the strain. Viral pathogens were detected in 97 samples (42.7%), with 4.8% of dual infections identified; respiratory syncytial virus (RSV) was detected in 17.2% of children, followed by rhinovirus (9.7%), parainfluenza virus type 3 (PIV3) (7.5%), and influenza type A (4.4%). Interestingly, more than half the patients (9/17) that have rhinovirus as the sole respiratory pathogen had pneumonia. HMPV infected children below 3 years in two peaks in March and June causing bronchiolitis and pneumonia. One case of NL63 infection is described, documenting NL63 circulation in central Italy. In conclusion, the use of a comprehensive number of PCR-based tests is recommended to define the burden of viral pathogens in patients with respiratory tract infection.</t>
  </si>
  <si>
    <t xml:space="preserve">Univ Roma La Sapienza, Dipartimento Med Sperimentale, Sez Virol, I-00185 Rome, Italy; Univ Roma La Sapienza, Dept Pediat, I-00161 Rome, Italy</t>
  </si>
  <si>
    <t xml:space="preserve">Pierangeli, A (corresponding author), Univ Roma La Sapienza, Dipartimento Med Sperimentale, Sez Virol, Viale Porta Tiburtina 28, I-00185 Rome, Italy.</t>
  </si>
  <si>
    <t xml:space="preserve">alessandra.pierangeli@uniroma1.it</t>
  </si>
  <si>
    <t xml:space="preserve">Pierangeli, Alessandra/A-6368-2008; Midulla, Fabio/AAL-4391-2020; Gentile, Massimo/R-3270-2016; Antonelli, Guido/K-7915-2016; SCAGNOLARI, CAROLINA/G-3837-2011</t>
  </si>
  <si>
    <t xml:space="preserve">Moretti, Corrado/0000-0003-2005-7437; SCAGNOLARI, CAROLINA/0000-0003-1044-1478; Pierangeli, Alessandra/0000-0003-0633-360X; Midulla, Fabio/0000-0001-7476-5266; GENTILE, Massimo/0000-0001-7407-246X</t>
  </si>
  <si>
    <t xml:space="preserve">10.1002/jmv.20832</t>
  </si>
  <si>
    <t xml:space="preserve">142AF</t>
  </si>
  <si>
    <t xml:space="preserve">WOS:000244620000016</t>
  </si>
  <si>
    <t xml:space="preserve">Maison, N; Omony, J; Rinderknecht, S; Kolberg, L; Meyer-Buehn, M; von Mutius, E; Hübner, J; von Both, U</t>
  </si>
  <si>
    <t xml:space="preserve">Maison, Nicole; Omony, Jimmy; Rinderknecht, Sophia; Kolberg, Laura; Meyer-Buehn, Melanie; von Mutius, Erika; Huebner, Johannes; von Both, Ulrich</t>
  </si>
  <si>
    <t xml:space="preserve">Old foes following news ways?-Pandemic-related changes in the epidemiology of viral respiratory tract infections</t>
  </si>
  <si>
    <t xml:space="preserve">Respiratory tract infection; Pandemic; Epidemiology; Rhinovirus; Respiratory viruses</t>
  </si>
  <si>
    <t xml:space="preserve">CLIMATE-CHANGE</t>
  </si>
  <si>
    <t xml:space="preserve">Introduction Following lockdown periods and restricting public health measures in response to the COVID-19 pandemic, respiratory tract infections (RTIs) rose significantly worldwide. This led to an increased burden on children's hospitals compromising medical care of acutely and chronically ill children. We characterized changes in the epidemiological pattern of circulating respiratory viral infections.Methods We assessed the number of patients with RTIs and the annual distribution of virus detections between 2019 and 2022 based on 4809 clinical samples (4131 patients) from a German pediatric tertiary care-center. We investigated the impact of lockdown periods on spectra of circulating respiratory viruses, pattern of coinfections, age, and seasonality of infections.Results A fourfold increase in the number of respiratory virus detections was observed in 2022 vs 2019 with numbers doubling in 2022 (vs 2021). In 2022, seasonal patterns of circulating virus, particularly Adeno and seasonal Coronavirus were far less pronounced compared to previous years, in fact almost disappeared for Rhinoviruses.. SARS-CoV-2, Parainfluenza- and human Metapneumovirus detections increased significantly in 2022 (2019 vs 2022, p &lt; 0.01). Coinfections with multiple viruses occurred more frequently since 2021 compared to pre-pandemic years, especially in younger children (2019 vs 2022, p &lt; 0.01).Conclusion Compared to pre-pandemic years, we observed a dramatic increase in pediatric RTIs with an incrementing spectrum of viruses and a predominance in Rhino/Enterovirus infections - leading to a high rate of hospital admissions, particularly in conjunction with other viruses. This caused an acute shortage in medical care and may also be followed by an increase of virus-triggered secondary chronic respiratory diseases like asthma-rendering a burden on the health system.</t>
  </si>
  <si>
    <t xml:space="preserve">[Maison, Nicole; Rinderknecht, Sophia; von Mutius, Erika] Ludwig Maximilians Univ Munchen, LMU Univ Hosp, Dr Hauner Childrens Hosp, Dept Asthma &amp; Allergy, Lindwurmstr 4, D-80337 Munich, Germany; [Maison, Nicole; Omony, Jimmy; von Mutius, Erika] German Res Ctr Environm Hlth GmbH, Helmholtz Zentrum Munich, Inst Asthma &amp; Allergy Prevent IAP, Munich, Germany; [Kolberg, Laura; Meyer-Buehn, Melanie; Huebner, Johannes; von Both, Ulrich] LMU, LMU Univ Hosp, Dr Hauner Childrens Hosp, Dept Infect Dis, Munich, Germany; [Maison, Nicole; von Mutius, Erika] German Ctr Lung Res DZL, Munich, Germany; [von Both, Ulrich] German Ctr Infect Res DZIF, Partner Site Munich, Munich, Germany</t>
  </si>
  <si>
    <t xml:space="preserve">University of Munich; Helmholtz Association; Helmholtz-Center Munich - German Research Center for Environmental Health; University of Munich; German Center for Infection Research</t>
  </si>
  <si>
    <t xml:space="preserve">Maison, N (corresponding author), Ludwig Maximilians Univ Munchen, LMU Univ Hosp, Dr Hauner Childrens Hosp, Dept Asthma &amp; Allergy, Lindwurmstr 4, D-80337 Munich, Germany.;Maison, N (corresponding author), German Res Ctr Environm Hlth GmbH, Helmholtz Zentrum Munich, Inst Asthma &amp; Allergy Prevent IAP, Munich, Germany.;Maison, N (corresponding author), German Ctr Lung Res DZL, Munich, Germany.</t>
  </si>
  <si>
    <t xml:space="preserve">Nicole.maison@med.lmu.de</t>
  </si>
  <si>
    <t xml:space="preserve">Maison, Nicole/AAI-1447-2019; Huebner, Johannes/KVY-7036-2024</t>
  </si>
  <si>
    <t xml:space="preserve">Huebner, Johannes/0000-0003-1232-4646; Omony, Jimmy/0000-0001-9983-1039; von Mutius, Erika/0000-0002-8893-4515; von Both, Ulrich/0000-0001-8411-1071; Maison, Nicole/0000-0002-8731-4218</t>
  </si>
  <si>
    <t xml:space="preserve">Projekt DEAL</t>
  </si>
  <si>
    <t xml:space="preserve">Open Access funding enabled and organized by Projekt DEAL.</t>
  </si>
  <si>
    <t xml:space="preserve">SPRINGER HEIDELBERG</t>
  </si>
  <si>
    <t xml:space="preserve">HEIDELBERG</t>
  </si>
  <si>
    <t xml:space="preserve">TIERGARTENSTRASSE 17, D-69121 HEIDELBERG, GERMANY</t>
  </si>
  <si>
    <t xml:space="preserve">0300-8126</t>
  </si>
  <si>
    <t xml:space="preserve">1439-0973</t>
  </si>
  <si>
    <t xml:space="preserve">Infection</t>
  </si>
  <si>
    <t xml:space="preserve">10.1007/s15010-023-02085-w</t>
  </si>
  <si>
    <t xml:space="preserve">AUG 2023</t>
  </si>
  <si>
    <t xml:space="preserve">GA4A7</t>
  </si>
  <si>
    <t xml:space="preserve">WOS:001063907700001</t>
  </si>
  <si>
    <t xml:space="preserve">Fabbiani, M; Terrosi, C; Martorelli, B; Valentini, M; Bernini, L; Cellesi, C; Cusi, MG</t>
  </si>
  <si>
    <t xml:space="preserve">Fabbiani, Massimiliano; Terrosi, Chiara; Martorelli, Barbara; Valentini, Melissa; Bernini, Laura; Cellesi, Carla; Cusi, Maria Grazia</t>
  </si>
  <si>
    <t xml:space="preserve">Epidemiological and Clinical Study of Viral Respiratory Tract Infections in Children From Italy</t>
  </si>
  <si>
    <t xml:space="preserve">respiratory tract infection; metapneumovirus; bocavirus; respiratory syncytial virus; coronavirus</t>
  </si>
  <si>
    <t xml:space="preserve">HUMAN METAPNEUMOVIRUS; SYNCYTIAL VIRUS; HUMAN BOCAVIRUS; PEDIATRIC-PATIENTS; DISEASE; ASSOCIATION; CORONAVIRUS; COMMUNITY; IMPACT; PICORNAVIRUSES</t>
  </si>
  <si>
    <t xml:space="preserve">Impact of recently discovered viruses on epidemiology of acute respiratory tract infections (ARTI) is still unclear. We studied the impact of recently discovered human metapneumovirus (hMPV), human bocavirus (HBoV), and new coronaviruses (HCoV-NL63 and HKU1) on the global epidemiology of ARTI. From October 2006 to April 2007, 237 pediatric patients affected by ARTI were enrolled in our study. Specimens were tested for respiratory viruses by polymerase chain reaction. One hundred twenty-four out of 237 samples (52.3%) were positive for one or more viruses. Picornaviruses were the most prevalent viruses (n=61, 43.6%), followed by respiratory syncytial virus (n=34, 24.3%) and Adenovirus (n=25, 17.9%); hMPV (n=9, 6.4%) was the fourth most common virus detected. HBoV and HCoV showed a low prevalence (respectively 2.9% and 2.1%). RSV was the prevalent agent of LRTI (38%). Viruses were identified in more than 50% of the studied ARTI, providing useful information on clinical features and epidemiology of specific agents affecting children in cold months. Although routine surveillance of respiratory viruses does not seem cost-effective, continuous monitoring of ARTI etiology could be a useful tool for planning resources for the development of new vaccines and antiviral agents. J. Med. Virol. 81:750756, 2009. (C) 2009 Wiley-Liss, Inc.</t>
  </si>
  <si>
    <t xml:space="preserve">[Terrosi, Chiara; Martorelli, Barbara; Valentini, Melissa; Cusi, Maria Grazia] Univ Siena, Dept Mol Biol, Microbiol Sect, Policlin S Maria delle Scotte, I-53100 Siena, Italy; [Fabbiani, Massimiliano; Bernini, Laura; Cellesi, Carla] Univ Siena, Dept Mol Biol, Infect Dis Sect, Policlin S Maria delle Scotte, I-53100 Siena, Italy</t>
  </si>
  <si>
    <t xml:space="preserve">University of Siena; University of Siena</t>
  </si>
  <si>
    <t xml:space="preserve">Cusi, MG (corresponding author), Univ Siena, Dept Mol Biol, Microbiol Sect, Policlin S Maria delle Scotte, Viale Bracci 1, I-53100 Siena, Italy.</t>
  </si>
  <si>
    <t xml:space="preserve">cusi@unisi.it</t>
  </si>
  <si>
    <t xml:space="preserve">Fabbiani, Massimiliano/K-8842-2016; CUSI, MARIA GRAZIA/K-2377-2018</t>
  </si>
  <si>
    <t xml:space="preserve">Fabbiani, Massimiliano/0000-0002-1343-812X; CUSI, MARIA GRAZIA/0000-0001-8869-8164</t>
  </si>
  <si>
    <t xml:space="preserve">EEC [37276]</t>
  </si>
  <si>
    <t xml:space="preserve">EEC</t>
  </si>
  <si>
    <t xml:space="preserve">Grant sponsor: EEC FP6-2005-LIFESCHEALTH-7 (Resp-Viruses); Grant number: 37276.</t>
  </si>
  <si>
    <t xml:space="preserve">10.1002/jmv.21457</t>
  </si>
  <si>
    <t xml:space="preserve">413AS</t>
  </si>
  <si>
    <t xml:space="preserve">WOS:000263765900025</t>
  </si>
  <si>
    <t xml:space="preserve">Stockmann, C; Ampofo, K; Hersh, AL; Carleton, ST; Korgenski, K; Sheng, XM; Pavia, AT; Byington, CL</t>
  </si>
  <si>
    <t xml:space="preserve">Stockmann, Chris; Ampofo, Krow; Hersh, Adam L.; Carleton, Scott T.; Korgenski, Kent; Sheng, Xiaoming; Pavia, Andrew T.; Byington, Carrie L.</t>
  </si>
  <si>
    <t xml:space="preserve">Seasonality of Acute Otitis Media and the Role of Respiratory Viral Activity in Children</t>
  </si>
  <si>
    <t xml:space="preserve">respiratory tract infection; influenza; respiratory syncytial virus; human metapneumovirus; pediatrics</t>
  </si>
  <si>
    <t xml:space="preserve">YOUNG-CHILDREN; HUMAN METAPNEUMOVIRUS; UNITED-STATES; TRACT INFECTION; INFLUENZA VACCINATION; MIDDLE-EAR; VIRUSES; PREVENTION; DISEASE; BACTERIOLOGY</t>
  </si>
  <si>
    <t xml:space="preserve">Background: Acute otitis media (AOM) occurs as a complication of viral upper respiratory tract infections in young children. AOM and respiratory viruses both display seasonal variation. Our objective was to examine the temporal association between circulating respiratory viruses and the occurrence of pediatric ambulatory care visits for AOM. Methods: This retrospective study included 9 seasons of respiratory viral activity (2002 to 2010) in Utah. We used Intermountain Healthcare electronic medical records to assess community respiratory viral activity via laboratory-based active surveillance and to identify children &lt;18 years with outpatient visits and International Classification of Diseases, Ninth Revision codes for AOM. We assessed the strength of the association between AOM and individual respiratory viruses using interrupted time series analyses. Results: During the study period, 96,418 respiratory viral tests were performed; 46,460 (48%) were positive. The most commonly identified viruses were respiratory syncytial virus (22%), rhinovirus (8%), influenza (8%), parainfluenza (4%), human metapneumovirus (3%) and adenovirus (3%). AOM was diagnosed during 271,268 ambulatory visits. There were significant associations between peak activity of respiratory syncytial virus, human metapneumovirus, influenza A and office visits for AOM. Adenovirus, parainfluenza and rhinovirus were not associated with visits for AOM. Conclusions: Seasonal respiratory syncytial virus, human metapneumovirus and influenza activity were temporally associated with increased diagnoses of AOM among children. These findings support the role of individual respiratory viruses in the development AOM. These data also underscore the potential for respiratory viral vaccines to reduce the burden of AOM.</t>
  </si>
  <si>
    <t xml:space="preserve">[Stockmann, Chris; Ampofo, Krow; Hersh, Adam L.; Korgenski, Kent; Sheng, Xiaoming; Pavia, Andrew T.; Byington, Carrie L.] Univ Utah, Hlth Sci Ctr, Div Pediat Infect Dis, Dept Pediat, Salt Lake City, UT 84108 USA; [Carleton, Scott T.] Univ Utah, Hlth Sci Ctr, Dept Pediat, Div Hospitalist Med, Salt Lake City, UT 84108 USA; [Korgenski, Kent] Intermt Healthcare, Primary Childrens Med Ctr, Salt Lake City, UT USA</t>
  </si>
  <si>
    <t xml:space="preserve">Utah System of Higher Education; University of Utah; Utah System of Higher Education; University of Utah; Intermountain Healthcare; Intermountain Medical Center</t>
  </si>
  <si>
    <t xml:space="preserve">Stockmann, C (corresponding author), Univ Utah, Hlth Sci Ctr, Div Pediat Infect Dis, 295 Chipeta Way,2S010, Salt Lake City, UT 84108 USA.</t>
  </si>
  <si>
    <t xml:space="preserve">Chris.Stockmann@hsc.utah.edu</t>
  </si>
  <si>
    <t xml:space="preserve">Kumar, Praveen/KHC-7586-2024; Sherwin, Catherine/B-2888-2012; Stockmann, Chris/P-1996-2014</t>
  </si>
  <si>
    <t xml:space="preserve">Byington, Carrie/0000-0002-7350-9495; Sherwin, Catherine/0000-0002-0844-3207; Stockmann, Chris/0000-0002-5779-5567</t>
  </si>
  <si>
    <t xml:space="preserve">National Institute of Allergy and Infectious Diseases [U01A1082482, U01AI074419-01, U01AI082184-01]; National Center for Research Resources; National Center for Advancing Translational Sciences; National Institutes of Health [UL1RR025764]; Centers for Disease Control Prevention [U18-IP000303-01]; University of Utah; Department of Pediatrics, through the Children's Health Research Center; Pediatric Clinical and Translational Research Scholars Program; Edna Benning Presidential Endowment and the Primary Children's Medical Center Foundation</t>
  </si>
  <si>
    <t xml:space="preserve">National Institute of Allergy and Infectious Diseases(United States Department of Health &amp; Human ServicesNational Institutes of Health (NIH) - USANIH National Institute of Allergy &amp; Infectious Diseases (NIAID)); National Center for Research Resources(United States Department of Health &amp; Human ServicesNational Institutes of Health (NIH) - USANIH National Center for Research Resources (NCRR)); National Center for Advancing Translational Sciences(United States Department of Health &amp; Human ServicesNational Institutes of Health (NIH) - USANIH National Center for Advancing Translational Sciences (NCATS)); National Institutes of Health(United States Department of Health &amp; Human ServicesNational Institutes of Health (NIH) - USA); Centers for Disease Control Prevention(United States Department of Health &amp; Human ServicesCenters for Disease Control &amp; Prevention - USA); University of Utah; Department of Pediatrics, through the Children's Health Research Center; Pediatric Clinical and Translational Research Scholars Program; Edna Benning Presidential Endowment and the Primary Children's Medical Center Foundation</t>
  </si>
  <si>
    <t xml:space="preserve">This work was supported by grants from the National Institute of Allergy and Infectious Diseases [grant number U01A1082482] (to K.A., C.L.B.), [grant number U01AI074419-01] (to C.L.B., A.T.P.), [grant number U01AI082184-01] (to A.T.P.), the National Center for Research Resources and the National Center for Advancing Translational Sciences, National Institutes of Health, [grant number UL1RR025764] (to C.L.B.) and the Centers for Disease Control Prevention [U18-IP000303-01] (to C.S., K.A., C.L.B., A.T.P.). This project was further supported by the University of Utah, Department of Pediatrics, through the Children's Health Research Center and the Pediatric Clinical and Translational Research Scholars Program, the H.A. and Edna Benning Presidential Endowment and the Primary Children's Medical Center Foundation. The authors have no other funding or conflicts of interest to disclose.</t>
  </si>
  <si>
    <t xml:space="preserve">10.1097/INF.0b013e31827d104e</t>
  </si>
  <si>
    <t xml:space="preserve">113LM</t>
  </si>
  <si>
    <t xml:space="preserve">WOS:000316669200013</t>
  </si>
  <si>
    <t xml:space="preserve">Safamanesh, S; Azimian, A; Shakeri, A; Ghazvini, K; Jamehdar, SA; Nojoumi, S; Khosrojerdi, M; Youssefi, M</t>
  </si>
  <si>
    <t xml:space="preserve">Safamanesh, Saghar; Azimian, Amir; Shakeri, Abdolreza; Ghazvini, Kiarash; Jamehdar, Saeid Amel; Nojoumi, Sara; Khosrojerdi, Mahsa; Youssefi, Masoud</t>
  </si>
  <si>
    <t xml:space="preserve">Frequency and Molecular Typing of Human Metapneumovirus in Children with Acute Respiratory Tract Infection in Bojnurd, Northeastern Iran</t>
  </si>
  <si>
    <t xml:space="preserve">Respiratory Tract Infection; Human Metapneumovirus; Child; Iran</t>
  </si>
  <si>
    <t xml:space="preserve">SYNCYTIAL VIRUS; CLINICAL CHARACTERISTICS; EPIDEMIOLOGY; SEASONALITY; PREVALENCE; STRAINS; IMPACT</t>
  </si>
  <si>
    <t xml:space="preserve">Background: Acute respiratory infection plays a major role in hospitalization of children worldwide and viruses are one of the most important causative pathogens of acute respiratory tract infections (ARTIs). Human metapneumovirus (hMPV) is a respiratory pathogen responsible for ARTIs in infants and children around the world. The epidemiology of hMPV in the northeast of Iran is poorly described. This study aims to evaluate the prevalence and molecular types of hMPV in children under the age of 12 along with clinical relevance in northeast Iran. Methods: In this cross sectional study, from autumn 2015 to spring 2016 (nine months), 150 nasopharyngeal swabs were collected from children with ARTI and were evaluated for the presence of hMPV by reverse transcriptase-polymerase chain reaction (RT-PCR) technique; after that hMPV typing on positive samples was performed using PCR method. Results: Among the 150 patients that were included the study, 31 (20.6%) were positive for the hMPV genome. We also found that 96.8% (n = 30 cases) of positive cases belonged to genotype A; whereas no B genotype was detected. One of our hMPV isolates was non typable (3.2%). Conclusions: This study, for the first time, reports the existence of Human metapneumovirus virus in children with respiratory symptoms in northeastern Iran. We have also shown that the genotype A is the predominant circulating type among our patients.</t>
  </si>
  <si>
    <t xml:space="preserve">[Safamanesh, Saghar; Ghazvini, Kiarash; Jamehdar, Saeid Amel; Nojoumi, Sara; Youssefi, Masoud] Mashhad Univ Med Sci, Dept Microbiol &amp; Virol, Fac Med, Mashhad, Iran; [Safamanesh, Saghar; Azimian, Amir; Nojoumi, Sara] North Khorasan Univ Med Sci, Dept Pathobiol &amp; Lab Sci, Fac Med, Bojnurd, Iran; [Shakeri, Abdolreza] North Khorasan Univ Med Sci, Dept Pediat, Fac Med, Bojnurd, Iran; [Ghazvini, Kiarash; Jamehdar, Saeid Amel; Youssefi, Masoud] Mashhad Univ Med Sci, Antimicrobial Resistance Res Ctr, Mashhad, Iran; [Khosrojerdi, Mahsa] Semnan Univ Med Sci, Dept Pediat, Fac Med, Semnan, Iran</t>
  </si>
  <si>
    <t xml:space="preserve">Mashhad University of Medical Sciences; North Khorasan University of Medical Sciences; North Khorasan University of Medical Sciences; Mashhad University of Medical Sciences; Semnan University of Medical Sciences</t>
  </si>
  <si>
    <t xml:space="preserve">Youssefi, M (corresponding author), Imam Reza Univ Hosp, Cent Lab, Imam Reza Sq, Mashhad 9137913316, Iran.</t>
  </si>
  <si>
    <t xml:space="preserve">youssefim@mums.ac.ir</t>
  </si>
  <si>
    <t xml:space="preserve">Ghazvini, kiarash/K-2439-2017; Khosrojerdi, Mahsa/ABD-4250-2020</t>
  </si>
  <si>
    <t xml:space="preserve">Youssefi, Masoud/0000-0001-6028-3573</t>
  </si>
  <si>
    <t xml:space="preserve">North Khorasan University of Medical Sciences [94/P/890]; Mashhad University of Medical Sciences [940878]</t>
  </si>
  <si>
    <t xml:space="preserve">North Khorasan University of Medical Sciences; Mashhad University of Medical Sciences(Mashhad University of Medical Sciences)</t>
  </si>
  <si>
    <t xml:space="preserve">The study was funded by research grants from the North Khorasan University of Medical Sciences (94/P/890) and the Mashhad University of Medical Sciences (940878).</t>
  </si>
  <si>
    <t xml:space="preserve">e12552</t>
  </si>
  <si>
    <t xml:space="preserve">10.5812/pedinfect.12552</t>
  </si>
  <si>
    <t xml:space="preserve">GN4IO</t>
  </si>
  <si>
    <t xml:space="preserve">WOS:000438985000004</t>
  </si>
  <si>
    <t xml:space="preserve">Stein, M; Cohen, H; Nemet, I; Atari, N; Kliker, L; Fratty, IS; Bucris, E; Geva, M; Mendelson, E; Zuckerman, N; Mandelboim, M</t>
  </si>
  <si>
    <t xml:space="preserve">Stein, Michal; Cohen, Hodaya; Nemet, Ital; Atari, Nofar; Kliker, Limor; Fratty, Ilana S.; Bucris, Efrat; Geva, Miranda; Mendelson, Ella; Zuckerman, Neta; Mandelboim, Michal</t>
  </si>
  <si>
    <t xml:space="preserve">Human metapneumovirus prevalence during 2019-2021 in Israel is influenced by the COVID-19 pandemic</t>
  </si>
  <si>
    <t xml:space="preserve">Respiratory system; Viruses; Phylogeny</t>
  </si>
  <si>
    <t xml:space="preserve">RESPIRATORY SYNCYTIAL VIRUS; GENETIC DIVERSITY; INFECTION; CHILDREN</t>
  </si>
  <si>
    <t xml:space="preserve">Objectives: To compare infection rates and circulating subtypes of human metapneumovirus (hMPV) before (2019-2020) and after the emergence of coronavirus disease 2019 (COVID-19) (2021) in Israel. Methods: In total, 12,718 respiratory samples were collected from hospitalized patients of all ages during the years 2019 to 2021 at the Sheba Medical Center in Israel and subjected to reverse transcriptionpolymerase chain reaction analysis. In addition, whole-genome sequencing was performed to characterize the subtypes of hMPV circulating in Israel between 2019 and 2021. Results: A total of 481 samples were found positive for hMPV. Before the emergence of COVID-19, hMPV peaked in winter months and declined thereafter. In sharp contrast, during the COVID-19 pandemic, we observed a delayed peak in hMPV infection cases and higher infection of young children. Viral sequencing showed a shift in the most prevalent circulating hMPV strain from A2b to B1 during the years 2019, 2020, and 2021. Conclusion: Compared with the years before the COVID-19 pandemic, in 2021, hMPV mostly affected young children, and the most prevalent circulating subtype shifted from A2b in 2019 to B1.(C) 2022 The Authors. Published by Elsevier Ltd on behalf of International Society for Infectious Diseases.</t>
  </si>
  <si>
    <t xml:space="preserve">[Stein, Michal] Sheba Med Ctr, Pediat Infect Dis Unit, Tel Hashomer, Israel; [Stein, Michal; Mendelson, Ella; Mandelboim, Michal] Tel Aviv Univ, Sackler Fac Med, Tel Aviv, Israel; [Cohen, Hodaya; Nemet, Ital; Atari, Nofar; Kliker, Limor; Fratty, Ilana S.; Bucris, Efrat; Geva, Miranda; Mendelson, Ella; Zuckerman, Neta; Mandelboim, Michal] Minist Hlth, Publ Hlth Serv, Cent Virol Lab, Tel Hashomer, Israel; [Cohen, Hodaya; Nemet, Ital; Atari, Nofar; Kliker, Limor; Fratty, Ilana S.; Bucris, Efrat; Geva, Miranda; Mendelson, Ella; Zuckerman, Neta; Mandelboim, Michal] Sheba Med Ctr, Tel Hashomer, Israel; [Mandelboim, Michal] Tel Hashomer Hosp, Cent Virol Lab, Ramat Gan 11, Ramat Gan, Israel</t>
  </si>
  <si>
    <t xml:space="preserve">Chaim Sheba Medical Center; Tel Aviv University; Chaim Sheba Medical Center</t>
  </si>
  <si>
    <t xml:space="preserve">Mandelboim, M (corresponding author), Tel Hashomer Hosp, Cent Virol Lab, Ramat Gan 11, Ramat Gan, Israel.</t>
  </si>
  <si>
    <t xml:space="preserve">michalman@sheba.health.gov.il</t>
  </si>
  <si>
    <t xml:space="preserve">Geva, Miranda/0000-0003-2515-1166</t>
  </si>
  <si>
    <t xml:space="preserve">10.1016/j.ijid.2022.04.037</t>
  </si>
  <si>
    <t xml:space="preserve">2E5FZ</t>
  </si>
  <si>
    <t xml:space="preserve">WOS:000812254300008</t>
  </si>
  <si>
    <t xml:space="preserve">Ramirez, JB; Dominguez, PP; Benito, GR; Rico, JM; Castellanos, J; Martinez, AP</t>
  </si>
  <si>
    <t xml:space="preserve">Barbosa Ramirez, Juliana; Pulido Dominguez, Paola; Rey Benito, Gloria; Mendez Rico, Jairo; Castellanos, Jaime; Paez Martinez, Andres</t>
  </si>
  <si>
    <t xml:space="preserve">Human respiratory syncytial virus and metapneumovirus in patients with acute respiratory infection in Colombia, 2000-2011</t>
  </si>
  <si>
    <t xml:space="preserve">REVISTA PANAMERICANA DE SALUD PUBLICA-PAN AMERICAN JOURNAL OF PUBLIC HEALTH</t>
  </si>
  <si>
    <t xml:space="preserve">Respiratory syncytial viruses; metapneumovirus; polymerase chain reaction; respiratory tract infections; diagnostic techniques, respiratory system; Colombia</t>
  </si>
  <si>
    <t xml:space="preserve">YOUNG-CHILDREN; TRACT DISEASE; GROUP-A; GENETIC-VARIABILITY; VIRAL-INFECTIONS; SEASONAL TRENDS; INFANTS; EPIDEMIOLOGY; BRAZIL; PREVALENCE</t>
  </si>
  <si>
    <t xml:space="preserve">Objective. To describe the epidemiology of respiratory syncytial virus (RSV) and human metapneumovirus (hMPV) in Colombia from 2000-2011, including seasonal trends. Methods. Nasopharyngeal aspirates and/or throat swabs from 14 870 patients with acute respiratory infections (ARI) were studied. Two subgroups were analyzed using molecular biology techniques. The first consisted of 264 RSV indirect fluorescence assay (IFA)-positive samples, the second of 264 RSV IFA-negative samples. RSV and hMPV were detected using reverse transcription polymerase chain reaction (RT-PCR). Results. 2 799 samples (18.8%) contained a respiratory virus. RSV was detected by IFA in 1 333 samples (8.9%). RSV was detected by RT-PCR in 192 samples from the RSV IFA-positive subgroup and in 25 samples from the RSV IFA-negative subgroup. hMPV was detected in eight samples from the RSV IFA-positive subgroup and in 11 samples from the RSV IFA-negative subgroup. Among the RSV infections, subtype A was dominant in two-year intervals, subtype B was dominant in one-year intervals. 85.3% of RSV and 74% of hMPV infections occurred in children younger than 5 years old. RSV and hMPV infections were associated with rainy seasons. Co-infection with RSV A and RSV B was detected in two patients. Five cases of co-infection with RSV and hMPV were detected. Conclusions. This report is the first to examine the epidemiology of ARIs in Colombia, with an emphasis on RSV and hMPV. The samples studied here were obtained over a 12-year period and represent all age groups and both genders.</t>
  </si>
  <si>
    <t xml:space="preserve">[Barbosa Ramirez, Juliana; Pulido Dominguez, Paola; Rey Benito, Gloria; Mendez Rico, Jairo; Paez Martinez, Andres] Inst Nacl Salud, Lab Virol, Bogota, Distrito Capita, Colombia; [Castellanos, Jaime] Univ El Bosque, Lab Virol, Bogota, Colombia</t>
  </si>
  <si>
    <t xml:space="preserve">Instituto Nacional de Salud (Colombia); Universidad El Bosque</t>
  </si>
  <si>
    <t xml:space="preserve">Martinez, AP (corresponding author), Inst Nacl Salud, Lab Virol, Bogota, Distrito Capita, Colombia.</t>
  </si>
  <si>
    <t xml:space="preserve">apaezm@ins.gov.co</t>
  </si>
  <si>
    <t xml:space="preserve">Castellanos, Jaime/W-2635-2019</t>
  </si>
  <si>
    <t xml:space="preserve">PAEZ MARTINEZ, ANDRES/0000-0001-7316-3706; Castellanos, Jaime/0000-0003-1596-8383</t>
  </si>
  <si>
    <t xml:space="preserve">PAN AMER HEALTH ORGANIZATION</t>
  </si>
  <si>
    <t xml:space="preserve">525 23RD ST NW, WASHINGTON, DC 20037 USA</t>
  </si>
  <si>
    <t xml:space="preserve">1020-4989</t>
  </si>
  <si>
    <t xml:space="preserve">REV PANAM SALUD PUBL</t>
  </si>
  <si>
    <t xml:space="preserve">Rev. Panam. Salud Publica</t>
  </si>
  <si>
    <t xml:space="preserve">Social Science Citation Index (SSCI)</t>
  </si>
  <si>
    <t xml:space="preserve">AS8AR</t>
  </si>
  <si>
    <t xml:space="preserve">WOS:000344473400005</t>
  </si>
  <si>
    <t xml:space="preserve">Khamis, FA; Al-Kobaisi, MF; Al-Areimi, WS; Al-Kindi, H; Al-Zakwani, I</t>
  </si>
  <si>
    <t xml:space="preserve">Khamis, F. A.; Al-Kobaisi, M. F.; Al-Areimi, W. S.; Al-Kindi, H.; Al-Zakwani, I.</t>
  </si>
  <si>
    <t xml:space="preserve">Epidemiology of respiratory virus infections among infants and young children admitted to hospital in Oman</t>
  </si>
  <si>
    <t xml:space="preserve">respiratory syncytial viruses; adenoviruses; parainfluenza viruses; prevalence; infants</t>
  </si>
  <si>
    <t xml:space="preserve">SYNCYTIAL VIRUS; HUMAN-METAPNEUMOVIRUS; RISK-FACTORS; CLINICAL CHARACTERISTICS; VIRAL-INFECTIONS; TRACT INFECTION; PREVENTION; DISEASE; POPULATIONS; PNEUMONIA</t>
  </si>
  <si>
    <t xml:space="preserve">The aim of this prospective study was to determine the epidemiology of respiratory viruses responsible for seasonal epidemics of influenza-like illness in infants and young children in Oman. All children =5 years of age consecutively admitted to Sultan Qaboos University Hospital in Oman over a 1-year period between December 2007 and December 2008 with acute respiratory infections were included. A multiplex polymerase chain reaction (PCR) for viral detection was performed on nasopharyngeal aspirates. Analyses were conducted using univariate statistical methods. Of the 259 infants and young children, at least one respiratory virus was detected in 130 samples (50%). The most prevalent viruses were respiratory syncytial virus (RSV; 43%; n?=?56), adenovirus (15%; n?=?20), and parainfluenza virus (PIV) (11%; n?=?14). Dual or multiple viral infections were found in 23 cases (18%). The three most prominent symptoms of the cohort were fever (78%; n?=?201), tachypnoea (77%; n?=?200), and runny nose (61%; n?=?158). The majority had bronchiolitis (39%; n?=?101) while 37% (n?=?96) had pneumonia. RSV was more likely to affect those that were young (4 months vs. 7.5 months; P?=?0.002) and had tachypnoea (93% vs. 69%; P?=?0.004), lower respiratory tract infections (91% vs. 80%; P?=?0.039), and bronchiolitis (57% vs. 38%; P?=?0.024). The study indicated that respiratory viruses are highly prevalent in children =5 years presenting with acute respiratory infections in Oman, of which RSV is the most prominent. J. Med. Virol. 84: 13231329, 2012. (C) 2012 Wiley Periodicals, Inc.</t>
  </si>
  <si>
    <t xml:space="preserve">[Khamis, F. A.] Royal Hosp, Dept Med, Muscat, Oman; [Al-Kobaisi, M. F.; Al-Areimi, W. S.] Sultan Qaboos Univ, Coll Med &amp; Hlth Sci, Dept Microbiol &amp; Immunol, Muscat, Oman; [Al-Kindi, H.] Sultan Qaboos Univ Hosp, Dept Child Hlth, Muscat, Oman; [Al-Zakwani, I.] Sultan Qaboos Univ, Dept Pharmacol &amp; Clin Pharm, Coll Med &amp; Hlth Sci, Muscat, Oman; [Al-Zakwani, I.] Gulf Hlth Res, Muscat, Oman</t>
  </si>
  <si>
    <t xml:space="preserve">The Royal Hospital, Sultanate of Oman; Sultan Qaboos University; Sultan Qaboos University; Sultan Qaboos University</t>
  </si>
  <si>
    <t xml:space="preserve">Khamis, FA (corresponding author), Royal Hosp, Dept Med, POB 1331,PC 111, Muscat, Oman.</t>
  </si>
  <si>
    <t xml:space="preserve">khami001@gmail.com</t>
  </si>
  <si>
    <t xml:space="preserve">Al-Zakwani, Ibrahim/ABI-2951-2020; khamis, faryal/AHE-0642-2022</t>
  </si>
  <si>
    <t xml:space="preserve">Al-Zakwani, Ibrahim/0000-0002-3626-4230</t>
  </si>
  <si>
    <t xml:space="preserve">10.1002/jmv.23330</t>
  </si>
  <si>
    <t xml:space="preserve">960KO</t>
  </si>
  <si>
    <t xml:space="preserve">WOS:000305386800021</t>
  </si>
  <si>
    <t xml:space="preserve">Takeyama, A; Hashimoto, K; Sato, M; Kawashima, R; Kawasaki, Y; Hosoya, M</t>
  </si>
  <si>
    <t xml:space="preserve">Takeyama, Aya; Hashimoto, Koichi; Sato, Masatoki; Kawashima, Ryoko; Kawasaki, Yukihiko; Hosoya, Mitsuaki</t>
  </si>
  <si>
    <t xml:space="preserve">Respiratory syncytial virus shedding by children hospitalized with lower respiratory tract infection</t>
  </si>
  <si>
    <t xml:space="preserve">respiratory syncytial virus; viral shedding; hospitalized children; nasopharyngeal aspiration; quantitative real-time PCR</t>
  </si>
  <si>
    <t xml:space="preserve">REAL-TIME PCR; VIRAL LOAD; DISEASE SEVERITY; HUMAN METAPNEUMOVIRUS; YOUNG-CHILDREN; INFANTS; RHINOVIRUS; QUANTITATION; ILLNESSES; COMMUNITY</t>
  </si>
  <si>
    <t xml:space="preserve">Children with respiratory syncytial virus (RSV) infection shed virus for variable periods. The aim of this study was to quantify the viral load in nasopharyngeal aspirates of children with RSV throughout their hospitalization. This study included 37 children who were admitted with a diagnosis of RSV infection based on a positive rapid diagnostic test. Nasopharyngeal aspirates were collected from patients every day, from admission to discharge. Viral detection and quantification were performed using quantitative real-time PCR. Of the 37 patients, RSV-A was detected in 29 and RSV-B in 6. Two patients were PCR-negative for any type of RSV. RSV-A was detected in 12 of 16 patients (75%) 6 days after admission. These patients shed detectable virus from days 1 to 12, and for a significantly longer period (mean 5.7 days) than RSV-B (mean 3.8 days) patients. Half of the RSV-A patients were also positive on day 14 following onset. RSV-A was detected in patients &lt;12 months of age for significantly longer periods after onset than in patients 12 months of age. RSV-A viral load was negatively correlated with days from admission and days from onset. Because RSV shedding was frequently prolonged, the hospitalized children may have contracted RSV as a nosocomial infection. To prevent nosocomial RSV infections in hospital wards, healthcare workers must take appropriate infection control measures and provide adequate guidance on hand washing to the family of the patient. J. Med. Virol. 88:938-946, 2016. (c) 2015 Wiley Periodicals, Inc.</t>
  </si>
  <si>
    <t xml:space="preserve">[Takeyama, Aya; Kawashima, Ryoko] Soma Gen Hosp, Dept Pediat, 142 Tubogasaku Niinuma, Soma City, Fukushima 9760011, Japan; [Takeyama, Aya; Hashimoto, Koichi; Sato, Masatoki; Kawasaki, Yukihiko; Hosoya, Mitsuaki] Fukushima Med Univ, Sch Med, Dept Pediat, Fukushima, Japan</t>
  </si>
  <si>
    <t xml:space="preserve">Japan Society for Pediatric Infectious Diseases; Japan Society for the Promotion of Science</t>
  </si>
  <si>
    <t xml:space="preserve">Japan Society for Pediatric Infectious Diseases; Japan Society for the Promotion of Science(Ministry of Education, Culture, Sports, Science and Technology, Japan (MEXT)Japan Society for the Promotion of Science)</t>
  </si>
  <si>
    <t xml:space="preserve">Grant sponsor: Japan Society for Pediatric Infectious Diseases; Grant sponsor: Japan Society for the Promotion of Science</t>
  </si>
  <si>
    <t xml:space="preserve">10.1002/jmv.24434</t>
  </si>
  <si>
    <t xml:space="preserve">DI6RF</t>
  </si>
  <si>
    <t xml:space="preserve">WOS:000373627000003</t>
  </si>
  <si>
    <t xml:space="preserve">Mazur, NI; Bont, L; Cohen, AL; Cohen, C; von Gottberg, A; Groome, MJ; Hellferscee, O; Klipstein-Grobusch, K; Mekgoe, O; Naby, F; Moyes, J; Tempia, S; Treurnicht, FK; Venter, M; Walaza, S; Wolter, N; Madhi, SA</t>
  </si>
  <si>
    <t xml:space="preserve">Mazur, Natalie I.; Bont, Louis; Cohen, Adam L.; Cohen, Cheryl; von Gottberg, Anne; Groome, Michelle J.; Hellferscee, Orienka; Klipstein-Grobusch, Kerstin; Mekgoe, Omphile; Naby, Fathima; Moyes, Jocelyn; Tempia, Stefano; Treurnicht, Florette K.; Venter, Marietje; Walaza, Sibongile; Wolter, Nicole; Madhi, Shabir A.</t>
  </si>
  <si>
    <t xml:space="preserve">South African Severe Acute Resp Il</t>
  </si>
  <si>
    <t xml:space="preserve">Severity of Respiratory Syncytial Virus Lower Respiratory Tract Infection With Viral Coinfection in HIV-Uninfected Children</t>
  </si>
  <si>
    <t xml:space="preserve">respiratory syncytial virus; viral coinfection; lower respiratory tract infection disease severity</t>
  </si>
  <si>
    <t xml:space="preserve">HUMAN METAPNEUMOVIRUS INFECTION; DISEASE SEVERITY; RISK-FACTORS; ACUTE BRONCHIOLITIS; YOUNG-CHILDREN; SOUTH-AFRICA; MULTIPLE; INFANTS; ADENOVIRUS; INFLUENZA</t>
  </si>
  <si>
    <t xml:space="preserve">Background. Molecular diagnostics enable sensitive detection of respiratory viruses, but their clinical significance remains unclear in pediatric lower respiratory tract infection (LRTI). We aimed to determine whether viral coinfections increased life-threatening disease in a large cohort. Methods. Molecular testing was performed for respiratory viruses in nasopharyngeal aspirates collected from children aged &lt; 5 years within 24 hours of hospital admission during sentinel surveillance for severe acute respiratory illness (SARI) hospitalization conducted in South Africa during February 2009-December 2013. The primary outcome was life-threatening disease, defined as mechanical ventilation, intensive care unit admission, or death. Results. Of 2322 HIV-uninfected children with respiratory syncytial virus (RSV)-associated LRTI, 1330 (57.3%) had RSV monoinfection, 38 (1.6%) had life-threatening disease, 575 (24.8%) had rhinovirus, 347 (14.9%) had adenovirus (ADV), and 30 (1.3%) had influenza virus. RSV and any other viral coinfection was not associated with severe disease (odds ratio [OR], 1.4; 95% confidence interval [CI], OR, 0.74; 95% CI,.39-1.4), ADV coinfection had increased odds of life-threatening disease (adjusted OR, 3.4; 95% CI, 1.6-7.2; P =.001), and influenza coinfection had increased odds of life-threatening disease and prolonged length of stay (adjusted OR, 2.1; 95% CI, 1.0-4.5; P =.05) compared with RSV monoinfection. Conclusions. RSV coinfection with any respiratory virus is not associated with more severe disease when compared to RSV alone in this study. However, increased life-threatening disease in RSV-ADV and RSV-influenza coinfection warrants further study.</t>
  </si>
  <si>
    <t xml:space="preserve">[Mazur, Natalie I.; Groome, Michelle J.; Madhi, Shabir A.] Univ Witwatersrand, Med Res Council, Respiratory &amp; Meningeal Pathogens Unit, ZA-2050 Johannesburg, South Africa; [Mazur, Natalie I.; Bont, Louis] Wilhelmina Childrens Hosp, Utrecht, Netherlands; [Mazur, Natalie I.; Klipstein-Grobusch, Kerstin] Univ Med Ctr Utrecht, Julius Global Hlth Ctr Hlth Sci &amp; Primary Care, Utrecht, Netherlands; [Bont, Louis] ReSViNET, Utrecht, Netherlands; [Cohen, Cheryl] Ctr Dis Control &amp; Prevent, Natl Ctr Immunizat &amp; Respiratory Dis, Influenza Div, Atlanta, GA USA; [Cohen, Cheryl] Ctr Dis Control &amp; Prevent, Influenza Program, Pretoria, South Africa; [Cohen, Cheryl; Walaza, Sibongile] Univ Witwatersrand, Fac Hlth Sci, Sch Publ Hlth, Div Epidemiol &amp; Biostat, ZA-2050 Johannesburg, South Africa; [Cohen, Adam L.; Cohen, Cheryl; Hellferscee, Orienka; Moyes, Jocelyn; Walaza, Sibongile; Wolter, Nicole] Natl Inst Communicable Dis, Natl Hlth Lab Serv, Ctr Respiratory Dis &amp; Meningitis, Pretoria, South Africa; [von Gottberg, Anne; Hellferscee, Orienka; Wolter, Nicole] Univ Witwatersrand, Sch Pathol, ZA-2050 Johannesburg, South Africa; [Groome, Michelle J.; Madhi, Shabir A.] Univ Witwatersrand, Natl Res Fdn Vaccine Preventable Dis, Dept Sci &amp; Technol, ZA-2050 Johannesburg, South Africa; [Mekgoe, Omphile] Klerksdorp Hosp, Klerksdorp, South Africa; [Naby, Fathima] Pietermartizburg Metropolitan Hosp, Dept Pediat, Pietermaritzburg, South Africa; [Venter, Marietje] Global Dis Detect Ctr South Africa, Ctr Dis Control &amp; Prevent, Div Global Hlth Protect, Pretoria, South Africa; [Venter, Marietje] Univ Pretoria, Dept Med Virol, ZA-0002 Pretoria, South Africa</t>
  </si>
  <si>
    <t xml:space="preserve">University of Witwatersrand; South African Medical Research Council; Wilhelmina Kinderziekenhuis; Utrecht University; Utrecht University Medical Center; Centers for Disease Control &amp; Prevention - USA; University of Witwatersrand; National Institute for Communicable Diseases (NICD); University of Witwatersrand; University of Witwatersrand; National Research Foundation - South Africa; University of Pretoria</t>
  </si>
  <si>
    <t xml:space="preserve">Madhi, SA (corresponding author), MRC, Respiratory &amp; Meningeal Pathogens Res Unit, DST NRF, Vaccine Preventable Dis, New Nurses Residence,11th Floor West Wing,PO 9075, Johannesburg, ZA-2013, South Africa.</t>
  </si>
  <si>
    <t xml:space="preserve">shabirm@nicd.ac.za</t>
  </si>
  <si>
    <t xml:space="preserve">Groome, Michelle/AAI-9967-2021; Walaza, Sibongile/HKP-0810-2023; Moyes, Jocelyn/AAF-7882-2019; Hellferscee, Orienka/AAN-6202-2020; Venter, Marietjie/P-9604-2016; Klipstein-Grobusch, Kerstin/F-5555-2016; Cohen, Cheryl/HKV-1000-2023</t>
  </si>
  <si>
    <t xml:space="preserve">TREURNICHT, FLORETTE KATHLEEN/0000-0002-0853-8011; von Gottberg, Anne/0000-0002-0243-7455; Groome, Michelle/0000-0001-5893-3725; Venter, Marietjie/0000-0003-2696-824X; Walaza, Sibongile/0000-0001-7588-2480; Klipstein-Grobusch, Kerstin/0000-0002-5462-9889; Cohen, Cheryl/0000-0003-0376-2302; Madhi, Shabir/0000-0002-7629-0636; Wolter, Nicole/0000-0002-9526-0133</t>
  </si>
  <si>
    <t xml:space="preserve">NCIRD CDC HHS [U51 IP000528, U01 IP001048, U51 IP000155] Funding Source: Medline; ALLCDC; NCIRD [605573] Funding Source: Federal RePORTER; ALLCDC; NCIRD [5U51IP000528-04] Funding Source: Federal RePORTER</t>
  </si>
  <si>
    <t xml:space="preserve">NCIRD CDC HHS; ALLCDC; NCIRD(United States Department of Health &amp; Human ServicesCenters for Disease Control &amp; Prevention - USA); ALLCDC; NCIRD(United States Department of Health &amp; Human ServicesCenters for Disease Control &amp; Prevention - USA)</t>
  </si>
  <si>
    <t xml:space="preserve">10.1093/cid/ciw756</t>
  </si>
  <si>
    <t xml:space="preserve">EP3SB</t>
  </si>
  <si>
    <t xml:space="preserve">Green Accepted, Green Submitted, Green Published, Bronze</t>
  </si>
  <si>
    <t xml:space="preserve">WOS:000397300900016</t>
  </si>
  <si>
    <t xml:space="preserve">Talbot, HK; Belongia, EA; Walsh, EE; Schaffner, W</t>
  </si>
  <si>
    <t xml:space="preserve">Talbot, H. Keipp; Belongia, Edward A.; Walsh, Edward E.; Schaffner, William</t>
  </si>
  <si>
    <t xml:space="preserve">Respiratory Syncytial Virus in Older Adults A Hidden Annual Epidemic</t>
  </si>
  <si>
    <t xml:space="preserve">respiratory syncytial virus; vaccines; influenza</t>
  </si>
  <si>
    <t xml:space="preserve">HIGH-RISK ADULTS; HUMAN METAPNEUMOVIRUS; INFECTION; INFLUENZA; VACCINE; HOSPITALIZATIONS; MORTALITY; RESPONSES; PROGRESS; CHILDREN</t>
  </si>
  <si>
    <t xml:space="preserve">Respiratory syncytial virus (RSV) is a common cause of medically significant respiratory tract illnesses in adults 65 years and older. The clinical presentation of RSVis largely indistinguishable from other respiratory infections including influenza, limiting awareness of its burden and impact among health care professionals and the public. Although no specific treatment in adults or licensed vaccine to prevent the disease is currently available, several promising candidate vaccines and treatments are on the horizon. Recognizing and defining the impact of RSV in older adults is important to evaluate the impact of these new prevention and treatment options. Public health and health care professionals need to be aware about RSV so they can advise the general public and older patients about the importance of prevention.</t>
  </si>
  <si>
    <t xml:space="preserve">[Talbot, H. Keipp; Schaffner, William] Vanderbilt Univ, Sch Med, Nashville, TN 37212 USA; [Belongia, Edward A.] Marshfield Clin Res Fdn, Marshfield, WI USA; [Walsh, Edward E.] Univ Rochester, Med Ctr, Rochester, NY 14642 USA</t>
  </si>
  <si>
    <t xml:space="preserve">Vanderbilt University; University of Rochester</t>
  </si>
  <si>
    <t xml:space="preserve">Talbot, HK (corresponding author), Vanderbilt Univ, Sch Med, Div Infect Dis, A2200 MCN,1161 21st Ave S, Nashville, TN 37232 USA.</t>
  </si>
  <si>
    <t xml:space="preserve">keipp.talbot@vanderbilt.edu</t>
  </si>
  <si>
    <t xml:space="preserve">Talbot, Helen/KLY-2181-2024; Schaffner, William/KMA-4097-2024</t>
  </si>
  <si>
    <t xml:space="preserve">Schaffner, William/0000-0002-1375-8078; Belongia, Edward/0000-0001-7478-0415</t>
  </si>
  <si>
    <t xml:space="preserve">10.1097/IPC.0000000000000455</t>
  </si>
  <si>
    <t xml:space="preserve">EB6CJ</t>
  </si>
  <si>
    <t xml:space="preserve">WOS:000387468200020</t>
  </si>
  <si>
    <t xml:space="preserve">Kim, L; Rha, B; Abramson, JS; Anderson, LJ; Byington, CL; Chen, GL; DeVincenzo, J; Edwards, KM; Englund, JA; Falsey, AR; Griffin, MR; Karron, RA; Martin, KG; Meissner, HC; Munoz, FM; Pavia, AT; Piedra, PA; Schaffner, W; Simoes, EAF; Singleton, R; Talbot, HK; Walsh, EE; Zucker, JR; Gerber, SI</t>
  </si>
  <si>
    <t xml:space="preserve">Kim, Lindsay; Rha, Brian; Abramson, Jon S.; Anderson, Larry J.; Byington, Carrie L.; Chen, Grace L.; DeVincenzo, John; Edwards, Kathryn M.; Englund, Janet A.; Falsey, Ann R.; Griffin, Marie R.; Karron, Ruth A.; Martin, Karen G.; Meissner, H. Cody; Munoz, Flor M.; Pavia, Andrew T.; Piedra, Pedro A.; Schaffner, William; Simoes, Eric A. F.; Singleton, Rosalyn; Talbot, H. Keipp; Walsh, Edward E.; Zucker, Jane R.; Gerber, Susan I.</t>
  </si>
  <si>
    <t xml:space="preserve">Identifying Gaps in Respiratory Syncytial Virus Disease Epidemiology in the United States Prior to the Introduction of Vaccines</t>
  </si>
  <si>
    <t xml:space="preserve">respiratory syncytial virus; vaccine; monoclonal antibody; epidemiology; vaccine impact</t>
  </si>
  <si>
    <t xml:space="preserve">BRONCHIOLITIS-ASSOCIATED HOSPITALIZATIONS; HUMAN METAPNEUMOVIRUS; VIRAL-INFECTIONS; RISK-FACTORS; US CHILDREN; INFANTS; MORTALITY; TRACT; SURVEILLANCE; PREVENTION</t>
  </si>
  <si>
    <t xml:space="preserve">Respiratory syncytial virus (RSV) causes lower respiratory tract illness frequently. No effective antivirals or vaccines for RSV are approved for use in the United States; however, there are at least 50 vaccines and monoclonal antibody products in development, with those targeting older adults and pregnant women (to protect young infants) in phase 2 and 3 clinical trials. Unanswered questions regarding RSV epidemiology need to be identified and addressed prior to RSV vaccine introduction to guide the measurement of impact and future recommendations. The Centers for Disease Control and Prevention (CDC) convened a technical consultation to gather input from external subject matter experts on their individual perspectives regarding evidence gaps in current RSV epidemiology in the United States, potential studies and surveillance platforms needed to fill these gaps, and prioritizing efforts. Participants articulated their individual views, and CDC staff synthesized individuals' input into this report.</t>
  </si>
  <si>
    <t xml:space="preserve">[Kim, Lindsay; Rha, Brian; Gerber, Susan I.] Ctrs Dis Control &amp; Prevent, Divis Viral Dis, Atlanta, GA USA; [Abramson, Jon S.] Wake Forest Sch Med, Winston Salem, NC USA; [Anderson, Larry J.] Emory Univ, Dept Pediat, Atlanta, GA USA; [Byington, Carrie L.] Texas A&amp;M Univ, Coll Med, Bryan, TX 77843 USA; [Chen, Grace L.] NIAID, Natl Inst Hlth, Vaccine Res Ctr, Bethesda, MD 20892 USA; [DeVincenzo, John] Univ Tennessee, Ctr Hlth Sci, Dept Pediat, Memphis, TN 38163 USA; [DeVincenzo, John] Univ Tennessee, Ctr Hlth Sci, Dept Microbiol, Memphis, TN 38163 USA; [DeVincenzo, John] Univ Tennessee, Ctr Hlth Sci, Dept Immunol, Memphis, TN 38163 USA; [DeVincenzo, John] Univ Tennessee, Ctr Hlth Sci, Dept Biochem, Memphis, TN 38163 USA; [DeVincenzo, John] Lebonheur Childrens Hosp, Childrens Fdn Res Inst, Memphis, TN USA; [Edwards, Kathryn M.] Vanderbilt Univ, Sch Med, Dept Pediat, Nashville, TN USA; [Englund, Janet A.] Univ Washington, Dept Pediat, Seattle, WA 98195 USA; [Falsey, Ann R.; Walsh, Edward E.] Univ Rochester, Sch Med, Dept Med, Rochester, NY 14627 USA; [Griffin, Marie R.] Vanderbilt Univ, Med Ctr, Dept Hlth Policy, Nashville, TN USA; [Griffin, Marie R.] Vanderbilt Univ, Med Ctr, Dept Med, Nashville, TN USA; [Griffin, Marie R.] VA Tennessee Valley Hlth Care Syst, Midsouth Geriatr Res Educ &amp; Clin Ctr, Nashville, TN USA; [Karron, Ruth A.] Johns Hopkins Bloomberg Sch Publ Hlth, Ctr Immunizat Res, Baltimore, MD USA; [Martin, Karen G.] Council State &amp; Terr Epidemiologists, Atlanta, GA USA; [Martin, Karen G.] Minnesota Dept Hlth, St Paul, MN USA; [Meissner, H. Cody] Tufts Univ Sch Med, Dept Pediat, Boston, MA USA; [Munoz, Flor M.; Piedra, Pedro A.] Baylor Coll Med, Dept Pediat, Houston, TX 77030 USA; [Munoz, Flor M.; Piedra, Pedro A.] Baylor Coll Med, Div Mol Virol, Houston, TX 77030 USA; [Munoz, Flor M.; Piedra, Pedro A.] Baylor Coll Med, Dept Microbiol, Houston, TX 77030 USA; [Pavia, Andrew T.] Univ Utah Sch Med, Dept Pediat, Salt Lake City, UT USA; [Pavia, Andrew T.] Univ Utah Sch Med, Dept Med, Salt Lake City, UT USA; [Schaffner, William] Vanderbilt Univ Sch Med, Dept Med, Nashville, TN USA; [Simoes, Eric A. F.] Univ Colorado Sch Med, Dept Pediat, Aurora, CO USA; [Simoes, Eric A. F.] Colorado Sch Publ Hlth, Ctr Global Hlth, Dept Epidemiol, Aurora, CO USA; [Singleton, Rosalyn] Alaska Native Tribal Hlth Consortium, Anchorage, AK USA; [Singleton, Rosalyn] Ctr Dis Control &amp; Prevent, Arct Invest Program, Anchorage, AK USA; [Talbot, H. Keipp] Vanderbilt Univ Sch Med, Dept Med, Nashville, TN USA; [Zucker, Jane R.] York City Dept Hlth &amp; Mental Hyg, Bur Immunizat, New York, NY USA; [Zucker, Jane R.] Ctr Dis Control &amp; Prevent, Immunizat Serv Div, Atlanta, GA USA</t>
  </si>
  <si>
    <t xml:space="preserve">Centers for Disease Control &amp; Prevention - USA; Wake Forest University; Emory University; Texas A&amp;M University System; Texas A&amp;M University College Station; National Institutes of Health (NIH) - USA; NIH National Institute of Allergy &amp; Infectious Diseases (NIAID); University of Tennessee System; University of Tennessee Health Science Center; University of Tennessee System; University of Tennessee Health Science Center; University of Tennessee System; University of Tennessee Health Science Center; University of Tennessee System; University of Tennessee Health Science Center; Vanderbilt University; University of Washington; University of Washington Seattle; University of Rochester; Vanderbilt University; Vanderbilt University; US Department of Veterans Affairs; Veterans Health Administration (VHA); VA Tennessee Valley Healthcare System; Geriatric Research Education &amp; Clinical Center; Johns Hopkins University; Johns Hopkins Bloomberg School of Public Health; Minnesota Department of Health (MHD); Tufts University; Baylor College of Medicine; Baylor College of Medicine; Baylor College of Medicine; Utah System of Higher Education; University of Utah; Utah System of Higher Education; University of Utah; Vanderbilt University; University of Colorado System; University of Colorado Anschutz Medical Campus; Colorado School of Public Health; Alaska Native Tribal Health Consortium; Centers for Disease Control &amp; Prevention - USA; Vanderbilt University; Centers for Disease Control &amp; Prevention - USA</t>
  </si>
  <si>
    <t xml:space="preserve">Kim, L (corresponding author), Ctr Dis Control &amp; Prevent, 1600 Clifton Rd NE,MS A34, Atlanta, GA 30329 USA.</t>
  </si>
  <si>
    <t xml:space="preserve">lkim@cdc.gov</t>
  </si>
  <si>
    <t xml:space="preserve">Kumar, Praveen/KHC-7586-2024; Englund, Janet/ABV-6379-2022; Atwell, Jessica/IVV-7755-2023; Talbot, Helen/KLY-2181-2024; Schaffner, William/KMA-4097-2024</t>
  </si>
  <si>
    <t xml:space="preserve">Schaffner, William/0000-0002-1375-8078; Talbot, H. Keipp/0000-0003-0141-1760</t>
  </si>
  <si>
    <t xml:space="preserve">CDC</t>
  </si>
  <si>
    <t xml:space="preserve">CDC(United States Department of Health &amp; Human ServicesCenters for Disease Control &amp; Prevention - USA)</t>
  </si>
  <si>
    <t xml:space="preserve">This work was supported by funds from the CDC for travel of the technical consultants.</t>
  </si>
  <si>
    <t xml:space="preserve">SEP 15</t>
  </si>
  <si>
    <t xml:space="preserve">10.1093/cid/cix432</t>
  </si>
  <si>
    <t xml:space="preserve">FF2BY</t>
  </si>
  <si>
    <t xml:space="preserve">WOS:000408704100021</t>
  </si>
  <si>
    <t xml:space="preserve">Neemann, K; Freifeld, A</t>
  </si>
  <si>
    <t xml:space="preserve">Neemann, Kari; Freifeld, Alison</t>
  </si>
  <si>
    <t xml:space="preserve">Respiratory Syncytial Virus in Hematopoietic Stem Cell Transplantation and Solid-Organ Transplantation</t>
  </si>
  <si>
    <t xml:space="preserve">Respiratory syncytial virus; Transplant; Ribavirin</t>
  </si>
  <si>
    <t xml:space="preserve">FACTORS DETERMINING PROGRESSION; AEROSOLIZED RIBAVIRIN; VIRAL-INFECTIONS; ORAL RIBAVIRIN; PARAINFLUENZA VIRUS; PARAMYXOVIRUS INFECTION; HUMAN METAPNEUMOVIRUS; COMBINATION THERAPY; PEDIATRIC-PATIENTS; CLINICAL-FEATURES</t>
  </si>
  <si>
    <t xml:space="preserve">Respiratory syncytial virus (RSV), one of the most common causes of respiratory infections in immunocompetent individuals, can cause significant pulmonary morbidity and mortality in hematopoietic stem cell (HSCT) and less often in solid-organ transplant recipients. Early diagnosis and medical intervention prior to the progression from upper to lower respiratory tract viral involvement is essential to positively affect the clinical course. The greatest risk of disease progression from upper to lower respiratory tract disease is during the early posttransplant period for HSCT recipients, with lymphopenia being an important risk factor. Polymerase chain reaction has become the preferred method for rapidly diagnosing infection in this population because of higher sensitivity compared to traditional viral culture and direct viral antigen methods. Despite the lack of prospective randomized trials, retrospective pooled analyses have suggested that systemically delivered ribavirin (either aerosolized, oral, or IV; with or without immunomodulator therapy) can decrease the risk of progression of disease. Additionally, there are a number of clinical trials currently in process to evaluate several new agents that target RSV in the high-risk HSCT patient population.</t>
  </si>
  <si>
    <t xml:space="preserve">[Neemann, Kari; Freifeld, Alison] Univ Nebraska, Med Ctr, Omaha, NE 68198 USA</t>
  </si>
  <si>
    <t xml:space="preserve">University of Nebraska System; University of Nebraska Medical Center</t>
  </si>
  <si>
    <t xml:space="preserve">Freifeld, A (corresponding author), Univ Nebraska, Med Ctr, 985400 Nebraska Med Ctr, Omaha, NE 68198 USA.</t>
  </si>
  <si>
    <t xml:space="preserve">afreifeld@unmc.edu</t>
  </si>
  <si>
    <t xml:space="preserve">Neemann, Kari/0000-0001-6476-5924</t>
  </si>
  <si>
    <t xml:space="preserve">10.1007/s11908-015-0490-9</t>
  </si>
  <si>
    <t xml:space="preserve">CK9DF</t>
  </si>
  <si>
    <t xml:space="preserve">WOS:000356540100002</t>
  </si>
  <si>
    <t xml:space="preserve">Simoes, EAF; DeVincenzo, JP; Boeckh, M; Bont, L; Crowe, JE; Griffiths, P; Hayden, FG; Hodinka, RL; Smyth, RL; Spencer, K; Thirstrup, S; Walsh, EE; Whitley, RJ</t>
  </si>
  <si>
    <t xml:space="preserve">Simoes, Eric A. F.; DeVincenzo, John P.; Boeckh, Michael; Bont, Louis; Crowe, James E., Jr.; Griffiths, Paul; Hayden, Frederick G.; Hodinka, Richard L.; Smyth, Rosalind L.; Spencer, Keith; Thirstrup, Steffen; Walsh, Edward E.; Whitley, Richard J.</t>
  </si>
  <si>
    <t xml:space="preserve">Challenges and Opportunities in Developing Respiratory Syncytial Virus Therapeutics</t>
  </si>
  <si>
    <t xml:space="preserve">respiratory syncytial virus; therapeutic strategies; patient populations</t>
  </si>
  <si>
    <t xml:space="preserve">CELL TRANSPLANT RECIPIENTS; HUMANIZED MONOCLONAL-ANTIBODY; VIRAL-RNA DETECTION; HIGH-RISK CHILDREN; AEROSOLIZED RIBAVIRIN; DISEASE SEVERITY; HUMAN METAPNEUMOVIRUS; FUSION GLYCOPROTEIN; INFLUENZA-VIRUS; EARLY-LIFE</t>
  </si>
  <si>
    <t xml:space="preserve">Two meetings, one sponsored by the Wellcome Trust in 2012 and the other by the Global Virology Foundation in 2013, assembled academic, public health and pharmaceutical industry experts to assess the challenges and opportunities for developing antivirals for the treatment of respiratory syncytial virus (RSV) infections. The practicalities of clinical trials and establishing reliable outcome measures in different target groups were discussed in the context of the regulatory pathways that could accelerate the translation of promising compounds into licensed agents. RSV drug development is hampered by the perceptions of a relatively small and fragmented market that may discourage major pharmaceutical company investment. Conversely, the public health need is far too large for RSV to be designated an orphan or neglected disease. Recent advances in understanding RSV epidemiology, improved point-of-care diagnostics, and identification of candidate antiviral drugs argue that the major obstacles to drug development can and will be overcome. Further progress will depend on studies of disease pathogenesis and knowledge provided from controlled clinical trials of these new therapeutic agents. The use of combinations of inhibitors that have different mechanisms of action may be necessary to increase antiviral potency and reduce the risk of resistance emergence.</t>
  </si>
  <si>
    <t xml:space="preserve">[Simoes, Eric A. F.] Univ Colorado, Sch Med, Dept Pediat, Aurora, CO USA; [Simoes, Eric A. F.] Colorado Sch Publ Hlth, Aurora, CO USA; [DeVincenzo, John P.] Univ Tennessee, Sch Med, Div Infect Dis, Dept Pediat, Memphis, TN USA; [DeVincenzo, John P.] Univ Tennessee, Sch Med, Dept Microbiol Immunol &amp; Biochem, Memphis, TN USA; [DeVincenzo, John P.] Le Bonheur Childrens Hosp, Childrens Fdn Res Inst, Memphis, TN USA; [Crowe, James E., Jr.] Vanderbilt Univ, Dept Pediat, Nashville, TN USA; [Crowe, James E., Jr.] Vanderbilt Univ, Vanderbilt Vaccine Ctr, Nashville, TN 37235 USA; [Boeckh, Michael] Fred Hutchinson Canc Res Ctr, Seattle, WA 98104 USA; [Boeckh, Michael] Univ Washington, Seattle, WA 98195 USA; [Hayden, Frederick G.] Univ Virginia, Sch Med, Dept Med, Charlottesville, VA 22908 USA; [Hodinka, Richard L.] Childrens Hosp Philadelphia, Clin Virol Lab, Philadelphia, PA USA; [Walsh, Edward E.] Rochester Gen Hosp, Dept Med, Infect Dis Unit, New York, NY USA; [Whitley, Richard J.] Univ Alabama Birmingham, Dept Pediat Microbiol Med &amp; Neurosurg, Birmingham, AL 35233 USA; [Bont, Louis] Univ Med Ctr Utrecht, Dept Pediat, Utrecht, Netherlands; [Bont, Louis] Univ Med Ctr Utrecht, Lab Translat Immunol, Utrecht, Netherlands; [Griffiths, Paul] UCL, Sch Med, Ctr Virol, London WC1E 6BT, England; [Smyth, Rosalind L.] UCL, Inst Child Hlth, Dept Pediat, London WC1E 6BT, England; [Spencer, Keith] Wellcome Trust Res Labs, Innovat, London, England; [Thirstrup, Steffen] NDA Advisory Serv Ltd, Leatherhead, Surrey, England; [Thirstrup, Steffen] Univ Copenhagen, Dept Hlth Sci, DK-1168 Copenhagen, Denmark</t>
  </si>
  <si>
    <t xml:space="preserve">University of Colorado System; University of Colorado Anschutz Medical Campus; Colorado School of Public Health; University of Tennessee System; University of Tennessee Health Science Center; University of Tennessee System; University of Tennessee Health Science Center; Vanderbilt University; Vanderbilt University; Fred Hutchinson Cancer Center; University of Washington; University of Washington Seattle; University of Virginia; University of Pennsylvania; Pennsylvania Medicine; Childrens Hospital of Philadelphia; Rochester General Hospital; University of Alabama System; University of Alabama Birmingham; Utrecht University; Utrecht University Medical Center; Utrecht University; Utrecht University Medical Center; University of London; University College London; UCL Medical School; University of London; University College London; University of Copenhagen</t>
  </si>
  <si>
    <t xml:space="preserve">Whitley, RJ (corresponding author), Univ Alabama Birmingham, CHB 303,16007th Ave S, Birmingham, AL 35233 USA.</t>
  </si>
  <si>
    <t xml:space="preserve">rwhitley@peds.uab.edu</t>
  </si>
  <si>
    <t xml:space="preserve">Boeckh, Michael/AAA-1607-2022; Atwell, Jessica/IVV-7755-2023; Thirstrup, Steffen/JGD-9024-2023; Crowe, James/B-5549-2009</t>
  </si>
  <si>
    <t xml:space="preserve">Thirstrup, Steffen/0000-0003-0903-682X; Crowe, James/0000-0002-0049-1079</t>
  </si>
  <si>
    <t xml:space="preserve">Wellcome Trust in London; Global Virology Foundation in San Francisco, California; Alios Biopharma; Gilead; AbbVie; Ablynx; Janssen; MedImmune</t>
  </si>
  <si>
    <t xml:space="preserve">Wellcome Trust in London(Wellcome Trust); Global Virology Foundation in San Francisco, California; Alios Biopharma; Gilead(Gilead Sciences); AbbVie(AbbVie); Ablynx(Ablynx); Janssen(Johnson &amp; JohnsonJohnson &amp; Johnson USAJanssen Biotech Inc); MedImmune(AstraZenecaMedimmune)</t>
  </si>
  <si>
    <t xml:space="preserve">Two meetings were held; the first was sponsored by and held at the Wellcome Trust in London, September 2012, and the second by the Global Virology Foundation in San Francisco, California, 6-7 October 2013, with sponsorship from Alios Biopharma, Gilead, AbbVie, Ablynx, Janssen, and MedImmune. The Global Virology Foundation is a not-for-profit organization with an educational mission to consider viruses with a significant public health impact, those with medical impact on specific populations, and less common, emerging or migrating viruses. The group is committed to encouraging debate and exchange of knowledge and ideas and the development of clear practical guidelines on all aspects of the management of these infections.</t>
  </si>
  <si>
    <t xml:space="preserve">S1</t>
  </si>
  <si>
    <t xml:space="preserve">S20</t>
  </si>
  <si>
    <t xml:space="preserve">10.1093/infdis/jiu828</t>
  </si>
  <si>
    <t xml:space="preserve">CE2GI</t>
  </si>
  <si>
    <t xml:space="preserve">WOS:000351632200001</t>
  </si>
  <si>
    <t xml:space="preserve">Köndgen, S; Oh, DY; Thürmer, A; Sedaghatjoo, S; Patrono, LV; Calvignac-Spencer, S; Biere, B; Wolff, T; Dürrwald, R; Fuchs, S; Reiche, J</t>
  </si>
  <si>
    <t xml:space="preserve">Koendgen, Sophie; Oh, Djin-Ye; Thuermer, Andrea; Sedaghatjoo, Somayyeh; Patrono, Livia V.; Calvignac-Spencer, Sebastien; Biere, Barbara; Wolff, Thorsten; Duerrwald, Ralf; Fuchs, Stephan; Reiche, Janine</t>
  </si>
  <si>
    <t xml:space="preserve">A robust, scalable, and cost-efficient approach to whole genome sequencing of RSV directly from clinical samples</t>
  </si>
  <si>
    <t xml:space="preserve">respiratory syncytial virus; surveillance; whole genome sequencing; hybrid capture; NGS</t>
  </si>
  <si>
    <t xml:space="preserve">RESPIRATORY SYNCYTIAL VIRUS; VACCINE</t>
  </si>
  <si>
    <t xml:space="preserve">Respiratory syncytial virus (RSV) is a leading cause of acute lower respiratory tract infections causing significant morbidity and mortality among children and the elderly; two RSV vaccines and a monoclonal antibody have recently been approved. Thus, there is an increasing need for a detailed and continuous genomic surveillance of RSV circulating in resource-rich and resource-limited settings worldwide. However, robust, cost-effective methods for whole genome sequencing of RSV from clinical samples that are amenable to high-throughput are still scarce. We developed Next-RSV-SEQ, an experimental and computational pipeline to generate whole genome sequences of historic and current RSV genotypes by in-solution hybridization capture-based next generation sequencing. We optimized this workflow by automating library preparation and pooling libraries prior to enrichment in order to reduce hands-on time and cost, thereby augmenting scalability. Next-RSV-SEQ yielded near-complete to complete genome sequences for 98% of specimens with Cp values &lt;= 31, at median on-target reads &gt; 93%, and mean coverage depths between similar to 1,000 and &gt; 5,000, depending on viral load. Whole genomes were successfully recovered from samples with viral loads as low as 230 copies per microliter RNA. We demonstrate that the method can be expanded to other respiratory viruses like parainfluenza virus and human metapneumovirus. Next-RSV-SEQ produces high-quality RSV genomes directly from culture isolates and, more importantly, clinical specimens of all genotypes in circulation. It is cost-efficient, scalable, and can be extended to other respiratory viruses, thereby opening new perspectives for a future effective and broad genomic surveillance of respiratory viruses.IMPORTANCERespiratory syncytial virus (RSV) is a leading cause of severe acute respiratory tract infections in children and the elderly, and its prevention has become an increasing priority. Recently, vaccines and a long-acting monoclonal antibody to protect effectively against severe disease have been approved for the first time. Hence, there is an urgent need for genomic surveillance of RSV at the global scale to monitor virus evolution, especially with an eye toward immune evasion. However, robust, cost-effective methods for RSV whole genome sequencing that are suitable for high-throughput of clinical samples are currently scarce. Therefore, we have developed Next-RSV-SEQ, an experimental and computational pipeline that produces reliably high-quality RSV genomes directly from clinical specimens and isolates.</t>
  </si>
  <si>
    <t xml:space="preserve">[Koendgen, Sophie; Oh, Djin-Ye; Biere, Barbara; Wolff, Thorsten; Duerrwald, Ralf; Reiche, Janine] Robert Koch Inst, Consultant Lab RSV PIV &amp; HMPV, Influenza &amp; Other Resp Viruses, Berlin, Germany; [Thuermer, Andrea; Sedaghatjoo, Somayyeh; Fuchs, Stephan] Robert Koch Inst, Genome Competence Ctr, Berlin, Germany; [Patrono, Livia V.; Calvignac-Spencer, Sebastien] Robert Koch Inst, Epidemiol Highly Pathogen Microorganisms, Berlin, Germany; [Patrono, Livia V.; Calvignac-Spencer, Sebastien] Helmholtz Inst One Hlth, Greifswald, Germany</t>
  </si>
  <si>
    <t xml:space="preserve">Robert Koch Institute; Robert Koch Institute; Robert Koch Institute</t>
  </si>
  <si>
    <t xml:space="preserve">Reiche, J (corresponding author), Robert Koch Inst, Consultant Lab RSV PIV &amp; HMPV, Influenza &amp; Other Resp Viruses, Berlin, Germany.</t>
  </si>
  <si>
    <t xml:space="preserve">reichej@rki.de</t>
  </si>
  <si>
    <t xml:space="preserve">Durrwald, Ralf/0000-0002-3432-0438</t>
  </si>
  <si>
    <t xml:space="preserve">Robert Koch Institut (RKI)</t>
  </si>
  <si>
    <t xml:space="preserve">We are grateful to the patients, their families, and the physicians participating in the German ARI sentinel, who have contributed many of the clinical specimens used for validation. We thank the staff of the National Influenza Centre and the excellent technical support of Susi Hafemann.</t>
  </si>
  <si>
    <t xml:space="preserve">10.1128/jcm.01111-23</t>
  </si>
  <si>
    <t xml:space="preserve">FEB 2024</t>
  </si>
  <si>
    <t xml:space="preserve">LC1T0</t>
  </si>
  <si>
    <t xml:space="preserve">WOS:001176579200001</t>
  </si>
  <si>
    <t xml:space="preserve">Debes, S; Haug, JB; de Blasio, BF; Lindstrom, JC; Jonassen, CM; Dudman, SG</t>
  </si>
  <si>
    <t xml:space="preserve">Debes, Sara; Haug, Jon Birger; de Blasio, Birgitte Freiesleben; Lindstrom, Jonas Christoffer; Jonassen, Christine Monceyron; Dudman, Susanne Gjeruldsen</t>
  </si>
  <si>
    <t xml:space="preserve">Clinical Outcome of Viral Respiratory Tract Infections in Hospitalized Adults in Norway: High Degree of Inflammation and Need of Emergency Care for Cases With Respiratory Syncytial Virus</t>
  </si>
  <si>
    <t xml:space="preserve">FRONTIERS IN MEDICINE</t>
  </si>
  <si>
    <t xml:space="preserve">respiratory syncytial virus; RSV; viral respiratory tract infection; Adults; antibiotic; hospitalization; influenza; human metapneumovirus (hMPV)</t>
  </si>
  <si>
    <t xml:space="preserve">MORTALITY; MORBIDITY; ILLNESS; RISK</t>
  </si>
  <si>
    <t xml:space="preserve">BackgroundThe clinical features and outcomes of viral respiratory tract infections (RTIs) in adults have not been thoroughly studied, especially the respiratory syncytial virus (RSV) disease burden. It has become apparent that outbreaks of RSV in the elderly are associated with increased hospitalization rates. However, little data exists on the severity of such viral RTIs in adults, particularly the need for hospitalization, respiratory support and intensive care. MethodsWe conducted a retrospective observational single-center study at ostfold Hospital Trust, Norway, during three winter seasons 2015-2018. Patients &gt;= 18 years with either influenza A, influenza B, RSV A/B, human metapneumovirus, parainfluenza virus 1-4 or adenovirus detected in respiratory specimens were included, if they were hospitalized 14 days prior or following the detection date, with signs of RTI. Hospital records on treatment and outcome were investigated, as well as mortality of all causes up to 30 days from discharge. ResultsOf the 1222 infection events that were included, influenza A was the most frequent virus detected (39%), while 179 infection events (14.6%) were due to RSV. Influenza B counted for 24% of the infection events, human metapneumovirus 13%, parainfluenza virus 9% and adenovirus 1%. Patients admitted with RSV more often suffered from COPD and congestive heart failure than patients with influenza A. In addition, RSV patients were overrepresented in the urgent response NEWS score (National Early Warning Score) category &gt;= 5. RSV patients also showed signs of more severe inflammation, with WBC &gt;= 11.1 x 10(9)/L and CRP &gt;100 mg/L, and they were more often treated with antibiotic agents during their hospital stay. However, we found no differences in the need for ICU admission or mortality. ConclusionPatients with RSV had more often high values for markers of inflammation and elevated NEWS score when compared to patients hospitalized with other common respiratory viruses. Taken into account that they suffered more frequently from comorbidities like COPD, these patients needed hospitalization more urgently. These findings highlight the need for further investigations on RSV disease in adults and the elderly.</t>
  </si>
  <si>
    <t xml:space="preserve">[Debes, Sara; Jonassen, Christine Monceyron] Ostfold Hosp Trust, Ctr Lab Med, Ostfold, Norway; [Debes, Sara; Dudman, Susanne Gjeruldsen] Univ Oslo, Inst Clin Med, Fac Med, Oslo, Norway; [Haug, Jon Birger] Ostfold Hosp Trust, Dept Infect Control, Ostfold, Norway; [de Blasio, Birgitte Freiesleben; Lindstrom, Jonas Christoffer] Norwegian Inst Publ Hlth, Div Infect Control &amp; Environm Hlth, Dept Methods Dev &amp; Analyt, Oslo, Norway; [de Blasio, Birgitte Freiesleben] Univ Oslo, Inst Basic Med Sci, Dept Biostat &amp; Epidemiol, Ctr Biostat, Oslo, Norway; [Jonassen, Christine Monceyron] Norwegian Inst Publ Hlth, Dept Virol, Oslo, Norway; [Dudman, Susanne Gjeruldsen] Oslo Univ Hosp, Dept Microbiol, Oslo, Norway</t>
  </si>
  <si>
    <t xml:space="preserve">University of Oslo; Norwegian Institute of Public Health (NIPH); University of Oslo; Norwegian Institute of Public Health (NIPH); University of Oslo</t>
  </si>
  <si>
    <t xml:space="preserve">Debes, S (corresponding author), Ostfold Hosp Trust, Ctr Lab Med, Ostfold, Norway.;Debes, S (corresponding author), Univ Oslo, Inst Clin Med, Fac Med, Oslo, Norway.</t>
  </si>
  <si>
    <t xml:space="preserve">sara.molvig.debes@so-hf.no</t>
  </si>
  <si>
    <t xml:space="preserve">Haug, Jon/C-4880-2011; Dudman, Susanne Gjeruldsen/A-8411-2013</t>
  </si>
  <si>
    <t xml:space="preserve">Dudman, Susanne Gjeruldsen/0000-0001-5047-4982</t>
  </si>
  <si>
    <t xml:space="preserve">Ostfold Hospital Trust; Sykehuset Ostfold [AB3417]</t>
  </si>
  <si>
    <t xml:space="preserve">Ostfold Hospital Trust; Sykehuset Ostfold</t>
  </si>
  <si>
    <t xml:space="preserve">Funding source: Ostfold Hospital Trust, Sykehuset Ostfold, Research Grant AB3417.</t>
  </si>
  <si>
    <t xml:space="preserve">2296-858X</t>
  </si>
  <si>
    <t xml:space="preserve">FRONT MED-LAUSANNE</t>
  </si>
  <si>
    <t xml:space="preserve">Front. Med.</t>
  </si>
  <si>
    <t xml:space="preserve">APR 29</t>
  </si>
  <si>
    <t xml:space="preserve">10.3389/fmed.2022.866494</t>
  </si>
  <si>
    <t xml:space="preserve">1H2MY</t>
  </si>
  <si>
    <t xml:space="preserve">WOS:000796381300001</t>
  </si>
  <si>
    <t xml:space="preserve">Singeton, RJ; Bulkow, LR; Miernyk, K; DeByle, C; Pruitt, L; Hummel, KB; Bruden, D; Englund, JA; Anderson, LJ; Lucher, L; Holman, RC; Hennessy, TW</t>
  </si>
  <si>
    <t xml:space="preserve">Singeton, Rosalyn J.; Bulkow, Lisa R.; Miernyk, Karen; DeByle, Carolynn; Pruitt, Lori; Hummel, Kimberlee Boyd; Bruden, Dana; Englund, Janet A.; Anderson, Larry J.; Lucher, Lynne; Holman, Robert C.; Hennessy, Thomas W.</t>
  </si>
  <si>
    <t xml:space="preserve">Viral Respiratory Infections in Hospitalized and Community Control Children in Alaska</t>
  </si>
  <si>
    <t xml:space="preserve">respiratory syncytial virus; RSV; respiratory infections; respiratory viruses; Alaska native; viral etiologies</t>
  </si>
  <si>
    <t xml:space="preserve">SYNCYTIAL VIRUS HOSPITALIZATIONS; HUMAN METAPNEUMOVIRUS INFECTION; NATIVE CHILDREN; PCR ASSAYS; UNITED-STATES; PEDIATRIC-PATIENTS; HIGH-RISK; DISEASE; INFANTS; ILLNESS</t>
  </si>
  <si>
    <t xml:space="preserve">Respiratory syncytial virus (RSV) in Alaska Native children from the Yukon Kuskokwim (YK) Delta is associated with a hospitalization rate five times higher than that reported for the general US child population. The role of other viral respiratory pathogens has not been studied in this population. YK Delta children &lt;3 years of age hospitalized with respiratory infections and same aged community control children were prospectively enrolled between October 2005 and September 2007. Polymerase chain reaction detection of viruses was performed on nasopharyngeal samples. Characteristics of hospitalized and asymptomatic control children were analyzed. From October 2005 to September 2007, 440 hospitalized and 425 control children were analyzed. Respiratory viruses were detected in 90% (395) of hospitalized children: 194 (44%) rhinovirus, 131 (30%) adenovirus, 102 (23%) RSV, 77 (18%) para influenza viruses (Ply), 66 (15%) human meta-pneumovirus (hMPV), 23 (5%) influenza, and 25 (6%) coronavirus. Fifty-two percent (221) of control children had a virus detected, most commonly rhinovirus (33%), and adenovirus (16%). RSV, Ply, hMPV, and influenza were significantly more common in hospitalized cases than control children, but rhinovirus, adenovirus, and coronavirus were not. RSV and hMPV were associated with higher severity of illness. In this study, RSV remains the most important virus associated with respiratory hospitalization, although hMPV and PIV were also common. RSV and hMPV were associated with more severe illness. Rhinovirus and adenovirus were detected in two-thirds of hospitalized children, but their frequent detection in control children made theirrole in respiratory hospitalization uncertain. J. Med. Virol. 82:1282-1290,2010. (C) 2010 Wiley-Liss, Inc.</t>
  </si>
  <si>
    <t xml:space="preserve">[Singeton, Rosalyn J.; Bulkow, Lisa R.; Miernyk, Karen; DeByle, Carolynn; Hummel, Kimberlee Boyd; Bruden, Dana; Hennessy, Thomas W.] Centers Dis Control &amp; Prevent CDC, Arctic Invest Program, Natl Ctr Emerging &amp; Zoonot Infect Dis, Anchorage, AK USA; [Singeton, Rosalyn J.; Miernyk, Karen] Alaska Native Tribal Hlth Consortium, Anchorage, AK USA; [Pruitt, Lori] Yukon Kuskokwim Hlth Corp, Bethel, AK USA; [Englund, Janet A.] Univ Washington, Seattle Childrens Hosp, Seattle, WA 98195 USA; [Anderson, Larry J.] CDC, Div Viral Dis, Natl Ctr Immunizat &amp; Resp Dis, Atlanta, GA 30333 USA; [Lucher, Lynne] State Alaska, Div Hlth &amp; Social Serv, Anchorage, AK USA; [Holman, Robert C.] CDC, Div Viral &amp; Rickettsial Dis, Natl Ctr Zoonot Vector Borne &amp; Enter Dis, Atlanta, GA 30333 USA</t>
  </si>
  <si>
    <t xml:space="preserve">Alaska Native Tribal Health Consortium; Seattle Children's Hospital; University of Washington; University of Washington Seattle; Centers for Disease Control &amp; Prevention - USA; Centers for Disease Control &amp; Prevention - USA</t>
  </si>
  <si>
    <t xml:space="preserve">Singeton, RJ (corresponding author), CDC, Arctic Invest Program, 4055 Tudor Ctr Dr Anchorage, Anchorage, AK 99508 USA.</t>
  </si>
  <si>
    <t xml:space="preserve">ris2@cdc.gov</t>
  </si>
  <si>
    <t xml:space="preserve">10.1002/jmv.21790</t>
  </si>
  <si>
    <t xml:space="preserve">602XW</t>
  </si>
  <si>
    <t xml:space="preserve">WOS:000278173400027</t>
  </si>
  <si>
    <t xml:space="preserve">Nasrullah, A; Gangu, K; Garg, I; Javed, A; Shuja, H; Chourasia, P; Shekhar, R; Sheikh, A</t>
  </si>
  <si>
    <t xml:space="preserve">Nasrullah, Adeel; Gangu, Karthik; Garg, Ishan; Javed, Anam; Shuja, Hina; Chourasia, Prabal; Shekhar, Rahul; Sheikh, Abu Baker</t>
  </si>
  <si>
    <t xml:space="preserve">Trends in Hospitalization and Mortality for Influenza and Other Respiratory Viruses during the COVID-19 Pandemic in the United States</t>
  </si>
  <si>
    <t xml:space="preserve">respiratory syncytial virus; RSV; coronavirus 2019; COVID-19; influenza viruses; parainfluenza viruses (PIVs); human metapneumovirus (MPV); respiratory viral outbreak; national inpatient sample (NIS)</t>
  </si>
  <si>
    <t xml:space="preserve">VACCINE; IMPACT</t>
  </si>
  <si>
    <t xml:space="preserve">Seasonal epidemics of respiratory viruses, respiratory syncytial virus (RSV), influenza viruses, parainfluenza viruses (PIVs), and human metapneumovirus (MPV) are associated with a significant healthcare burden secondary to hundreds of thousands of hospitalizations every year in the United States (US) alone. Preventive measures implemented to reduce the spread of SARS-CoV-2 (COVID-19 infection), including facemasks, hand hygiene, stay-at-home orders, and closure of schools and local/national borders may have impacted the transmission of these respiratory viruses. In this study, we looked at the hospitalization and mortality trends for various respiratory viral infections from January 2017 to December 2020. We found a strong reduction in all viral respiratory infections, with the lowest admission rates and mortality in the last season (2020) compared to the corresponding months from the past three years (2017-2019). This study highlights the importance of public health interventions implemented during the COVID-19 pandemic, which had far-reaching public health benefits. Appropriate and timely use of these measures may help to reduce the severity of future seasonal respiratory viral outbreaks as well as their burden on already strained healthcare systems.</t>
  </si>
  <si>
    <t xml:space="preserve">[Nasrullah, Adeel] Allegheny Hlth Network, Div Pulmonol &amp; Crit Care, Pittsburgh, PA 15212 USA; [Gangu, Karthik] Univ Kansas, Med Ctr, Dept Internal Med, Kansas City, KS 66160 USA; [Garg, Ishan; Shekhar, Rahul; Sheikh, Abu Baker] Univ New Mexico Hlth Sci Ctr, Dept Internal Med, Albuquerque, NM 87106 USA; [Javed, Anam] Allegheny Hlth Network, Dept Internal Med, Pittsburgh, PA 15512 USA; [Shuja, Hina] Karachi Med &amp; Dent Coll, Dept Med, Karachi 74700, Pakistan; [Chourasia, Prabal] Mary Washington Hosp, Dept Hosp Med, Fredericksburg, VA 22401 USA</t>
  </si>
  <si>
    <t xml:space="preserve">University of Kansas; University of Kansas Medical Center; University of New Mexico's Health Sciences Center; University of New Mexico</t>
  </si>
  <si>
    <t xml:space="preserve">Sheikh, A (corresponding author), Univ New Mexico Hlth Sci Ctr, Dept Internal Med, Albuquerque, NM 87106 USA.</t>
  </si>
  <si>
    <t xml:space="preserve">absheikh@salud.unm.edu</t>
  </si>
  <si>
    <t xml:space="preserve">, Abu Baker Sheikh/AAQ-5454-2021; Chourasia, Prabal/ABA-5790-2021; SHEKHAR, RAHUL/AAF-1096-2021; GARG, ISHAN/GLT-2487-2022</t>
  </si>
  <si>
    <t xml:space="preserve">Chourasia, Prabal/0000-0001-8685-0599; Shekhar, Rahul/0000-0002-1200-6886; Nasrullah, Adeel/0000-0001-7604-6978; Sheikh, Abu Baker/0000-0003-0503-6961</t>
  </si>
  <si>
    <t xml:space="preserve">10.3390/vaccines11020412</t>
  </si>
  <si>
    <t xml:space="preserve">9L0PM</t>
  </si>
  <si>
    <t xml:space="preserve">WOS:000941259900001</t>
  </si>
  <si>
    <t xml:space="preserve">Hasegawa, K; Goto, T; Hirayama, A; Laham, FR; Mansbach, JM; Piedra, PA; Camargo, CA</t>
  </si>
  <si>
    <t xml:space="preserve">Hasegawa, Kohei; Goto, Tadahim; Hirayama, Atsushi; Laham, Federico R.; Mansbach, Jonathan M.; Piedra, Pedro A.; Camargo, Carlos A., Jr.</t>
  </si>
  <si>
    <t xml:space="preserve">RESPIRATORY VIRUS EPIDEMIOLOGY AMONG US INFANTS WITH SEVERE BRONCHIOLITIS: ANALYSIS OF 2 MULTICENTER, MULTIYEAR COHORT STUDIES</t>
  </si>
  <si>
    <t xml:space="preserve">respiratory syncytial virus; rhinovirus; bronchiolitis; children; epidemiology</t>
  </si>
  <si>
    <t xml:space="preserve">UNITED-STATES; HOSPITALIZATIONS</t>
  </si>
  <si>
    <t xml:space="preserve">In 2 multicenter cohort studies of 2912 infants hospitalized for bronchiolitis during 2007-2014, the 5 most common pathogens were RSV (76.5%), rhinovirus (23.8%), coronavirus (6.9%), adenovirus (6.4%) and human metapneumovirus (6.0%). Hospitalization months significantly differed for these common pathogens (P &lt;= 0.01), except for coronavirus (P = 0.30). There was a significant heterogeneity in temporal patterns by region in RSV-A and -B (both P &lt; 0.001).</t>
  </si>
  <si>
    <t xml:space="preserve">[Hasegawa, Kohei; Goto, Tadahim; Camargo, Carlos A., Jr.] Harvard Med Sch, Massachusetts Gen Hosp, Dept Emergency Med, Boston, MA 02115 USA; [Hirayama, Atsushi] Natl Cerebral &amp; Cardiovasc Ctr, Suita, Osaka, Japan; [Laham, Federico R.] Arnold Palmer Hosp Children, Dept Infect Dis, Orlando, FL USA; [Mansbach, Jonathan M.] Harvard Med Sch, Dept Med, Boston Childrens Hosp, Boston, MA 02115 USA; [Piedra, Pedro A.] Baylor Coll Med, Dept Mol Virol, Houston, TX 77030 USA; [Piedra, Pedro A.] Baylor Coll Med, Dept Microbiol, Houston, TX 77030 USA; [Piedra, Pedro A.] Baylor Coll Med, Dept Pediat, Houston, TX 77030 USA</t>
  </si>
  <si>
    <t xml:space="preserve">Harvard University; Harvard Medical School; Massachusetts General Hospital; National Cerebral &amp; Cardiovascular Center - Japan; Harvard University; Harvard Medical School; Boston Children's Hospital; Baylor College of Medicine; Baylor College of Medicine; Baylor College of Medicine</t>
  </si>
  <si>
    <t xml:space="preserve">Hasegawa, K (corresponding author), Massachusetts Gen Hosp, Dept Emergency Med, 125 Nashua St,Suite 920, Boston, MA 02114 USA.</t>
  </si>
  <si>
    <t xml:space="preserve">khasegawa1@partners.org</t>
  </si>
  <si>
    <t xml:space="preserve">Camargo, Carlos/C-2145-2008</t>
  </si>
  <si>
    <t xml:space="preserve">Camargo, Carlos/0000-0002-5071-7654</t>
  </si>
  <si>
    <t xml:space="preserve">National Institutes of Health (Bethesda, MD) [U01 AI-67693, U01 AI-087881, UG3 OD-023253, UH3 OD-023253, R01 AI-134940, R01 AI-137091, R21 HL-129909]</t>
  </si>
  <si>
    <t xml:space="preserve">National Institutes of Health (Bethesda, MD)(United States Department of Health &amp; Human ServicesNational Institutes of Health (NIH) - USA)</t>
  </si>
  <si>
    <t xml:space="preserve">This work was supported by grants U01 AI-67693, U01 AI-087881, UG3 OD-023253, UH3 OD-023253, R01 AI-134940, R01 AI-137091 and R21 HL-129909 from the National Institutes of Health (Bethesda, MD). The content of this manuscript is solely the responsibility of the authors and does not necessarily represent the official views of the National Institutes of Health.</t>
  </si>
  <si>
    <t xml:space="preserve">E180</t>
  </si>
  <si>
    <t xml:space="preserve">E183</t>
  </si>
  <si>
    <t xml:space="preserve">10.1097/INF.0000000000002279</t>
  </si>
  <si>
    <t xml:space="preserve">IQ4JE</t>
  </si>
  <si>
    <t xml:space="preserve">Green Accepted, Bronze</t>
  </si>
  <si>
    <t xml:space="preserve">WOS:000480716200006</t>
  </si>
  <si>
    <t xml:space="preserve">Xi, Y; Xu, CZ; Xie, ZZ; Zhu, DL; Dong, JM; Xiao, G</t>
  </si>
  <si>
    <t xml:space="preserve">Xi, Yun; Xu, Chang-Zhi; Xie, Zhi-Zhi; Zhu, Dong-Lin; Dong, Jie-Ming; Xiao, Gang</t>
  </si>
  <si>
    <t xml:space="preserve">Development of a reverse transcription recombinase polymerase amplification assay for rapid detection of human respiratory syncytial virus</t>
  </si>
  <si>
    <t xml:space="preserve">MOLECULAR AND CELLULAR PROBES</t>
  </si>
  <si>
    <t xml:space="preserve">Respiratory syncytial virus; Recombinase polymerase amplification; Detection</t>
  </si>
  <si>
    <t xml:space="preserve">MEDIATED ISOTHERMAL AMPLIFICATION; INDIRECT IMMUNOFLUORESCENCE ASSAY; LINKED-IMMUNOSORBENT-ASSAY; REAL-TIME; CLINICAL-EVALUATION; HUMAN METAPNEUMOVIRUS; DIAGNOSIS; PCR; INFLUENZA; INFECTIONS</t>
  </si>
  <si>
    <t xml:space="preserve">Respiratory syncytial virus (RSV) is one of the most important causative agents that causing respiratory tract infection in children and associated with high morbidity and mortality. A diagnostic method would be a robust tool for identification of RSV infection, especially in the resource-limited settings. Recombinase polymerase amplification (RPA) is a novel isothermal amplification technique which has been widely employed to detect human/animal pathogens. In present study, a probe-based reverse transcription RPA (RT-RPA) assay was established for the detection of RSV. The primers and probe were designed based on the sequences of the conserved nucleocapsid (N) gene. The minimal detection limit of the RT-RPA assay for the detection of RSV B was 19 copies of RNA molecules at 95% probability, whereas the detection limit for RSV A was 10(4) copies molecule. The assay was RSV-specific since it had no non-specific reactions with other common human pathogens. The clinical performance of the RT-RPA assay was validated using 188 nasopharyngeal aspirates (NPAs). The nucleic acid extraction of the samples was performed by use of the magnetic bead-based kit which didn't require the heavy and expensive centrifuge. The coincidence rates between RT-RPA and qRT-PCR for the clinical samples was 96%, indicating the RT-RPA assay had good diagnostic performance on clinical samples. The real-time RT-RPA assay combined with the manual genome extraction method make it potential to detect clinical samples in field, providing a possible solution for RSV diagnosis in remote rural areas in developing countries.</t>
  </si>
  <si>
    <t xml:space="preserve">[Xi, Yun; Xu, Chang-Zhi; Xie, Zhi-Zhi; Zhu, Dong-Lin; Dong, Jie-Ming] Sun Yat Sen Univ, Affiliated Hosp 3, Dept Clin Lab, Guangzhou, Guangdong, Peoples R China; [Xiao, Gang] Southern Med Univ, Affiliated Hosp 3, Dept Clin Lab, Guangzhou, Guangdong, Peoples R China</t>
  </si>
  <si>
    <t xml:space="preserve">Sun Yat Sen University; Southern Medical University - China</t>
  </si>
  <si>
    <t xml:space="preserve">Xi, Y (corresponding author), Sun Yat Sen Univ, Affiliated Hosp 3, Dept Clin Lab, Guangzhou, Guangdong, Peoples R China.</t>
  </si>
  <si>
    <t xml:space="preserve">xiyun1993@126.com</t>
  </si>
  <si>
    <t xml:space="preserve">ACADEMIC PRESS LTD- ELSEVIER SCIENCE LTD</t>
  </si>
  <si>
    <t xml:space="preserve">24-28 OVAL RD, LONDON NW1 7DX, ENGLAND</t>
  </si>
  <si>
    <t xml:space="preserve">0890-8508</t>
  </si>
  <si>
    <t xml:space="preserve">MOL CELL PROBE</t>
  </si>
  <si>
    <t xml:space="preserve">Mol. Cell. Probes</t>
  </si>
  <si>
    <t xml:space="preserve">10.1016/j.mcp.2019.03.005</t>
  </si>
  <si>
    <t xml:space="preserve">Biochemical Research Methods; Biochemistry &amp; Molecular Biology; Biotechnology &amp; Applied Microbiology; Cell Biology</t>
  </si>
  <si>
    <t xml:space="preserve">Biochemistry &amp; Molecular Biology; Biotechnology &amp; Applied Microbiology; Cell Biology</t>
  </si>
  <si>
    <t xml:space="preserve">ID9BK</t>
  </si>
  <si>
    <t xml:space="preserve">WOS:000471982200002</t>
  </si>
  <si>
    <t xml:space="preserve">Liu, WK; Chen, DH; Tan, WP; Qiu, SY; Xu, D; Zhang, L; Gu, SJ; Zhou, R; Liu, Q</t>
  </si>
  <si>
    <t xml:space="preserve">Liu, Wen-Kuan; Chen, De-Hui; Tan, Wei-Ping; Qiu, Shu-Yan; Xu, Duo; Zhang, Li; Gu, Shu-Jun; Zhou, Rong; Liu, Qian</t>
  </si>
  <si>
    <t xml:space="preserve">Paramyxoviruses respiratory syncytial virus, parainfluenza virus, and human metapneumovirus infection in pediatric hospitalized patients and climate correlation in a subtropical region of southern China: a 7-year survey</t>
  </si>
  <si>
    <t xml:space="preserve">Respiratory syncytial virus; Parainfluenza virus; Human metapneumovirus; Acute respiratory illness; Epidemiology; Meteorological conditions</t>
  </si>
  <si>
    <t xml:space="preserve">VIRAL-INFECTIONS; TRACT INFECTIONS; NOSOCOMIAL TRANSMISSION; CLINICAL SYMPTOMS; YOUNG-CHILDREN; RSV INFECTION; INFANTS; EPIDEMIOLOGY; PREVALENCE; INPATIENTS</t>
  </si>
  <si>
    <t xml:space="preserve">To investigate the features of paramyxovirus respiratory syncytial virus (RSV), parainfluenza virus (PIV), and human metapneumovirus (HMPV) infection and determine the effect of meteorological conditions in Guangzhou, a subtropical region of southern China. We collected 11,398 respiratory samples from hospitalized pediatric patients with acute respiratory illness between July 2009 and June 2016 in Guangzhou. The samples were tested simultaneously for 18 respiratory pathogens using real-time PCR. Local meteorological data were also collected for correlation analysis. Of 11,398 patients tested, 5606 (49.2%) patients tested positive for one or more pathogens; RSV, PIV, and HMPV were the first, sixth, and ninth most frequently detected pathogens, in 1690 (14.8%), 502 (4.4%), and 321 (2.8%) patients, respectively. A total 17.9% (4605/5606) of patients with positive results had coinfection with other pathogens. Significant differences were found in the prevalence of RSV, PIV, and HMPV among all age groups (p &lt; 0.001). RSV and HMPV had similar seasonal patterns, with two prevalence peaks every year. PIV appeared alternatively with RSV and HMPV. Multiple linear regression models were established for RSV, PIV, and HMPV prevalence and meteorological factors (p &lt; 0.05). RSV and PIV incidence was negatively correlated with monthly mean relative humidity; RSV and HMPV incidence was negatively correlated with sunshine duration; PIV incidence was positively correlated with mean temperature. We described the features of paramyxovirus infection in a subtropical region of China and highlighted the correlation with meteorological factors. These findings will assist public health authorities and clinicians in improving strategies for controlling paramyxovirus infection.</t>
  </si>
  <si>
    <t xml:space="preserve">[Liu, Wen-Kuan; Qiu, Shu-Yan; Xu, Duo; Zhang, Li; Zhou, Rong] Guangzhou Med Univ, Guangzhou Inst Resp Hlth, Affiliated Hosp 1, State Key Lab Resp Dis,Natl Clin Res Ctr Resp Dis, Guangzhou, Guangdong, Peoples R China; [Chen, De-Hui; Gu, Shu-Jun] Guangzhou Med Univ, Affiliated Hosp 1, Dept Pediat, Guangzhou, Guangdong, Peoples R China; [Tan, Wei-Ping] Sun Yat Sen Univ, Sun Yat Sen Mem Hosp, Dept Pediat, Guangzhou, Guangdong, Peoples R China; [Liu, Qian] Guangdong Pharmaceut Univ, Affiliated Hosp 1, Sci Res Ctr, Guangzhou, Guangdong, Peoples R China; [Liu, Qian] Dongguan Eighth Peoples Hosp, Dept Pediat, Dongguan, Peoples R China</t>
  </si>
  <si>
    <t xml:space="preserve">State Key Laboratory of Respiratory Disease; Guangzhou Medical University; Guangzhou Medical University; Sun Yat Sen University; Guangdong Pharmaceutical University</t>
  </si>
  <si>
    <t xml:space="preserve">Zhou, R (corresponding author), Guangzhou Med Univ, Guangzhou Inst Resp Hlth, Affiliated Hosp 1, State Key Lab Resp Dis,Natl Clin Res Ctr Resp Dis, Guangzhou, Guangdong, Peoples R China.;Liu, Q (corresponding author), Guangdong Pharmaceut Univ, Affiliated Hosp 1, Sci Res Ctr, Guangzhou, Guangdong, Peoples R China.;Liu, Q (corresponding author), Dongguan Eighth Peoples Hosp, Dept Pediat, Dongguan, Peoples R China.</t>
  </si>
  <si>
    <t xml:space="preserve">ahlwk2000-2004@163.com; cdh84@126.com; 13556196566@163.com; 664380820@qq.com; 264027412@qq.com; 1069644029@qq.com; 387849060@qq.com; zhourong@gird.cn; qianliu_ln@163.com</t>
  </si>
  <si>
    <t xml:space="preserve">xu, duo/IAM-7010-2023</t>
  </si>
  <si>
    <t xml:space="preserve">zhou, rong/0000-0001-7322-3561; Liu, Wen-Kuan/0000-0003-3020-9158</t>
  </si>
  <si>
    <t xml:space="preserve">10.1007/s10096-019-03693-x</t>
  </si>
  <si>
    <t xml:space="preserve">JN1JW</t>
  </si>
  <si>
    <t xml:space="preserve">WOS:000496660300021</t>
  </si>
  <si>
    <t xml:space="preserve">Tseng, HF; Sy, LS; Ackerson, B; Solano, Z; Slezak, J; Luo, Y; Fischetti, CA; Shinde, V</t>
  </si>
  <si>
    <t xml:space="preserve">Tseng, Hung Fu; Sy, Lina S.; Ackerson, Bradley; Solano, Zendi; Slezak, Jeff; Luo, Yi; Fischetti, Christine A.; Shinde, Vivek</t>
  </si>
  <si>
    <t xml:space="preserve">Severe Morbidity and Short- and Mid- to Long-term Mortality in Older Adults Hospitalized with Respiratory Syncytial Virus Infection</t>
  </si>
  <si>
    <t xml:space="preserve">respiratory syncytial virus; older adults; hospitalization; epidemiology; outcomes</t>
  </si>
  <si>
    <t xml:space="preserve">HUMAN METAPNEUMOVIRUS; UNITED-STATES; INFLUENZA; RSV</t>
  </si>
  <si>
    <t xml:space="preserve">Background. We describe the clinical epidemiology and outcomes among a large cohort of older adults hospitalized with respiratory syncytial virus (RSV) infection in the United States. Methods. Hospitalized adults aged &gt;= 60 years who tested positive for RSV between 1 January 2011 and 30 June 2015 were identified from Kaiser Permanente Southern California. Patient-level demographics, comorbidities, clinical presentation, utilization, complications, and mortality were evaluated. Results. There were 664 patients hospitalized with RSV (61% female, 64% aged &gt;= 75 years). Baseline chronic diseases were prevalent (all &gt;30%); 66% developed pneumonia, 80% of which were radiographically confirmed. Very severe tachypnea (&gt;= 26 breaths/minute) was common (56%); 21% required ventilator support and 18% were admitted to intensive care unit. Mortality during hospitalization was 5.6% overall (4.6% in 60-74 year olds and 6.1% in &gt;= 75 year olds). Cumulative mortality within 1, 3, 6, and 12 months of admission was 8.6%, 12.3%, 17.2%, and 25.8%, respectively. Conclusion. RSV infection in hospitalized older adults often manifested as severe, life-threatening lower respiratory tract illness with high rates of pneumonia, requirement for ventilatory support, and short- and long-term mortality. Increased recognition of the substantial RSV disease burden in adults will be important in evaluation and use of urgently needed interventions.</t>
  </si>
  <si>
    <t xml:space="preserve">[Tseng, Hung Fu; Sy, Lina S.; Ackerson, Bradley; Solano, Zendi; Slezak, Jeff; Luo, Yi; Fischetti, Christine A.] Kaiser Permanente Southern Calif, Pasadena, CA USA; [Shinde, Vivek] Novavax, Gaithersburg, MD USA</t>
  </si>
  <si>
    <t xml:space="preserve">Kaiser Permanente</t>
  </si>
  <si>
    <t xml:space="preserve">Tseng, HF (corresponding author), Kaiser Permanente, Southern Calif Permanente Med Grp, Dept Res &amp; Evaluat, 100 S Los Robles Ave, Pasadena, CA 91101 USA.</t>
  </si>
  <si>
    <t xml:space="preserve">Hung-Fu.X.Tseng@kp.org</t>
  </si>
  <si>
    <t xml:space="preserve">Luo, Yijing/HDO-2735-2022; Sy, Lina/AFM-9458-2022; Sy, Lina/JCO-4731-2023</t>
  </si>
  <si>
    <t xml:space="preserve">Taylor, Christine/0000-0003-0120-0365; Luo, Yi/0000-0001-8990-2470; Sy, Lina/0000-0003-2762-9266; Tseng, HungFu/0000-0001-6184-6534</t>
  </si>
  <si>
    <t xml:space="preserve">Novavax</t>
  </si>
  <si>
    <t xml:space="preserve">This work was supported by Novavax.</t>
  </si>
  <si>
    <t xml:space="preserve">10.1093/infdis/jiaa361</t>
  </si>
  <si>
    <t xml:space="preserve">NZ5WM</t>
  </si>
  <si>
    <t xml:space="preserve">WOS:000577175900011</t>
  </si>
  <si>
    <t xml:space="preserve">Li, Y; Kulkarni, D; Begier, E; Wahi-Singh, P; Wahi-Singh, B; Gessner, B; Nair, H</t>
  </si>
  <si>
    <t xml:space="preserve">Li, You; Kulkarni, Durga; Begier, Elizabeth; Wahi-Singh, Pia; Wahi-Singh, Bhanu; Gessner, Bradford; Nair, Harish</t>
  </si>
  <si>
    <t xml:space="preserve">Adjusting for Case Under-Ascertainment in Estimating RSV Hospitalisation Burden of Older Adults in High-Income Countries: a Systematic Review and Modelling Study</t>
  </si>
  <si>
    <t xml:space="preserve">INFECTIOUS DISEASES AND THERAPY</t>
  </si>
  <si>
    <t xml:space="preserve">Respiratory syncytial virus; Older adults; Hospitalisation; Disease burden; Under-ascertainment; Sensitivity; Mortality</t>
  </si>
  <si>
    <t xml:space="preserve">RESPIRATORY SYNCYTIAL VIRUS; HUMAN METAPNEUMOVIRUS; INFLUENZA-VIRUS; INFECTION</t>
  </si>
  <si>
    <t xml:space="preserve">IntroductionPrevious studies suggest diagnostic testing characteristics (i.e. variations in clinical specimens and diagnostic tests) can contribute to underestimation of RSV disease burden. We aimed to improve the understanding of RSV hospitalisation burden in older adults (aged &gt;= 65 years) in high-income countries through adjusting for case under-ascertainment.MethodsWe conducted a systematic review to include data on RSV-associated acute respiratory infection (ARI) hospitalisation burden in older adults in high-income countries. To adjust for case under-ascertainment, we developed a two-step framework that incorporated empirical data on the RSV detection proportion of different clinical specimens and testing approaches as well as their statistical uncertainty. We estimated the unadjusted and adjusted RSV-associated hospitalisation burden through multilevel random-effects meta-analysis. We further explored RSV-associated in-hospital mortality burden.ResultsWe included 12 studies with eligible RSV hospitalisation burden data. We estimated that pooled unadjusted hospitalisation rate was 157 per 100,000 (95% CI 98-252) for adults aged &gt;= 65 years; the rate was adjusted to 347 per 100,000 (203-595) after accounting for under-ascertainment. The adjusted rate could be translated into 787,000 (460,000-1,347,000) RSV-associated hospitalisations in high-income countries in 2019, which was about 2.2 times the unadjusted estimate. Stratified analysis by age group showed that the adjusted rate increased with age, from 231 per 100,000 in adults aged 65-74 years to 692 per 100,000 in adults aged &gt; 85 years. The in-hospital case fatality ratio of RSV was 6.1% (3.3-11.0) and the total RSV-associated in-hospital deaths in high-income countries in 2019 could be between 22,000 and 47,000.ConclusionThis study improves the understanding of RSV-associated hospitalisation burden in older adults and shows that the true RSV-associated hospitalisation burden could be 2.2 times what was reported in existing studies. This study has implications for calculating the benefit of interventions to treat and prevent RSV-associated disease.</t>
  </si>
  <si>
    <t xml:space="preserve">[Li, You] Nanjing Med Univ, Sch Publ Hlth, 101 Longmian Ave, Nanjing 211166, Peoples R China; [Li, You; Kulkarni, Durga; Wahi-Singh, Pia; Wahi-Singh, Bhanu; Nair, Harish] Univ Edinburgh, Usher Inst, Ctr Global Hlth, Edinburgh, Scotland; [Begier, Elizabeth] Pfizer Vaccines, Global Med Dev Sci &amp; Clin Affairs, Dublin, Ireland; [Gessner, Bradford] Pfizer Inc, Global Vaccines, Collegeville, PA USA; [Nair, Harish] Univ Witwatersrand, Fac Hlth Sci, Sch Publ Hlth, MRC Wits Rural Publ Hlth &amp; Hlth Transit Res Unit A, Johannesburg, South Africa</t>
  </si>
  <si>
    <t xml:space="preserve">Nanjing Medical University; University of Edinburgh; Pfizer; Pfizer; University of Witwatersrand</t>
  </si>
  <si>
    <t xml:space="preserve">Li, Y (corresponding author), Nanjing Med Univ, Sch Publ Hlth, 101 Longmian Ave, Nanjing 211166, Peoples R China.</t>
  </si>
  <si>
    <t xml:space="preserve">You.Li@njmu.edu.cn</t>
  </si>
  <si>
    <t xml:space="preserve">Li, You/GRX-6269-2022; Nair, Harish/E-7431-2010</t>
  </si>
  <si>
    <t xml:space="preserve">Nair, Harish/0000-0002-9432-9100; Li, You/0000-0002-8506-8439; Kulkarni, Durga/0000-0002-7680-1168</t>
  </si>
  <si>
    <t xml:space="preserve">Pfizer</t>
  </si>
  <si>
    <t xml:space="preserve">Pfizer(Pfizer)</t>
  </si>
  <si>
    <t xml:space="preserve">Pfizer funded this study and the journal's Rapid Service fee.</t>
  </si>
  <si>
    <t xml:space="preserve">SPRINGER LONDON LTD</t>
  </si>
  <si>
    <t xml:space="preserve">236 GRAYS INN RD, 6TH FLOOR, LONDON WC1X 8HL, ENGLAND</t>
  </si>
  <si>
    <t xml:space="preserve">2193-8229</t>
  </si>
  <si>
    <t xml:space="preserve">2193-6382</t>
  </si>
  <si>
    <t xml:space="preserve">INFECT DIS THER</t>
  </si>
  <si>
    <t xml:space="preserve">Infect. Dis. Ther.</t>
  </si>
  <si>
    <t xml:space="preserve">10.1007/s40121-023-00792-3</t>
  </si>
  <si>
    <t xml:space="preserve">MAR 2023</t>
  </si>
  <si>
    <t xml:space="preserve">AL2K8</t>
  </si>
  <si>
    <t xml:space="preserve">WOS:000953638800001</t>
  </si>
  <si>
    <t xml:space="preserve">Kodama, F; Nace, DA; Jump, RLP</t>
  </si>
  <si>
    <t xml:space="preserve">Kodama, Fumihiro; Nace, David A.; Jump, Robin L. P.</t>
  </si>
  <si>
    <t xml:space="preserve">Respiratory Syncytial Virus and Other Noninfluenza Respiratory Viruses in Older Adults</t>
  </si>
  <si>
    <t xml:space="preserve">Respiratory syncytial virus; Noninfluenza respiratory virus; Outbreak; Elderly; Long-term care facility; Multiplex respiratory viral panel</t>
  </si>
  <si>
    <t xml:space="preserve">TERM-CARE FACILITY; HUMAN METAPNEUMOVIRUS INFECTION; POLYMERASE-CHAIN-REACTION; UNITED-STATES; NURSING-HOME; RISK-FACTORS; RHINOVIRUS OUTBREAK; VIRAL-INFECTIONS; DISEASES SOCIETY; TRACT INFECTION</t>
  </si>
  <si>
    <t xml:space="preserve">Respiratory viral infections may cause serious complications for older adults, including residents of long-term care facilities (LTCFs). Although influenza is the most common cause of viral respiratory infections among older adults, several other respiratory viruses also cause significant morbidity and mortality, most notably respiratory syncytial virus. Other noninfluenza respiratory viral pathogens include human metapneumovirus, parainfluenza virus, rhinovirus, coronavirus, and adenovirus. All of these may cause outbreaks among LTCF residents. Recently developed rapid diagnostic molecular tests may clarify the epidemiology of these viruses and have potential, through early identification, to limit the severity of outbreaks among older adults living in LTCFs.</t>
  </si>
  <si>
    <t xml:space="preserve">[Kodama, Fumihiro] Sapporo City Gen Hosp, Dept Infect Dis, Chuo Ku, 13 Chome 1-1,Kita 11 Jonishi, Sapporo, Hokkaido 0608604, Japan; [Nace, David A.] Univ Pittsburgh, Div Geriatr Med, Dept Med, 3471 Fifth Ave,Kaufmann Bldg Suite 500, Pittsburgh, PA 15213 USA; [Jump, Robin L. P.] Case Western Reserve Univ, Dept Med, Div Infect Dis &amp; HIV Med, 11100 Euclid Ave, Cleveland, OH 44195 USA; [Jump, Robin L. P.] Louis Stokes Cleveland Vet Affairs Med Ctr, Specialty Care Ctr Innovat, Geriatr Res Educ &amp; Clin Ctr, 111C W,10701 East Blvd, Cleveland, OH 44106 USA</t>
  </si>
  <si>
    <t xml:space="preserve">Sapporo City General Hospital; Pennsylvania Commonwealth System of Higher Education (PCSHE); University of Pittsburgh; University System of Ohio; Case Western Reserve University; University System of Ohio; Case Western Reserve University; US Department of Veterans Affairs; Veterans Health Administration (VHA); Louis Stokes Cleveland Veterans Affairs Medical Center; Geriatric Research Education &amp; Clinical Center</t>
  </si>
  <si>
    <t xml:space="preserve">Jump, RLP (corresponding author), Louis Stokes Cleveland Vet Affairs Med Ctr, Geriatr Res Educ &amp; Clin Ctr, 111C W,10701 East Blvd, Cleveland, OH 44106 USA.</t>
  </si>
  <si>
    <t xml:space="preserve">robinjump@gmail.com</t>
  </si>
  <si>
    <t xml:space="preserve">Nace, David/D-2638-2014; Jump, Robin/AAD-8364-2019</t>
  </si>
  <si>
    <t xml:space="preserve">Pfizer [13162823]; Steris Foundation</t>
  </si>
  <si>
    <t xml:space="preserve">Pfizer(Pfizer); Steris Foundation</t>
  </si>
  <si>
    <t xml:space="preserve">Dr R.L.P. Jump has received research funding from Pfizer (ID 13162823) and the Steris Foundation.</t>
  </si>
  <si>
    <t xml:space="preserve">10.1016/j.idc.2017.07.006</t>
  </si>
  <si>
    <t xml:space="preserve">FN7LT</t>
  </si>
  <si>
    <t xml:space="preserve">WOS:000416200400013</t>
  </si>
  <si>
    <t xml:space="preserve">Cong, BB; Dighero, I; Zhang, TT; Chung, A; Nair, H; Li, Y</t>
  </si>
  <si>
    <t xml:space="preserve">Cong, Bingbing; Dighero, Izzie; Zhang, Tiantian; Chung, Alexandria; Nair, Harish; Li, You</t>
  </si>
  <si>
    <t xml:space="preserve">Understanding the age spectrum of respiratory syncytial virus associated hospitalisation and mortality burden based on statistical modelling methods: a systematic analysis</t>
  </si>
  <si>
    <t xml:space="preserve">BMC MEDICINE</t>
  </si>
  <si>
    <t xml:space="preserve">Respiratory syncytial virus; Model; Hospitalisation; Mortality; Burden of disease; Systematic reviews</t>
  </si>
  <si>
    <t xml:space="preserve">SOUTH-AFRICA; HUMAN METAPNEUMOVIRUS; PANDEMIC INFLUENZA; TRACT INFECTIONS; UNITED-STATES; CHILDREN; RSV; ADMISSIONS; ENGLAND; RISK</t>
  </si>
  <si>
    <t xml:space="preserve">BackgroundStatistical modelling studies based on excess morbidity and mortality are important for understanding RSV disease burden for age groups that are less frequently tested for RSV. We aimed to understand the full age spectrum of RSV morbidity and mortality burden based on statistical modelling studies, as well as the value of modelling studies in RSV disease burden estimation.MethodsThe databases Medline, Embase and Global Health were searched to identify studies published between January 1, 1995, and December 31, 2021, reporting RSV-associated excess hospitalisation or mortality rates of any case definitions using a modelling approach. All reported rates were summarised using median, IQR (Interquartile range) and range by age group, outcome and country income group; where applicable, a random-effects meta-analysis was conducted to combine the reported rates. We further estimated the proportion of RSV hospitalisations that could be captured in clinical databases.ResultsA total of 32 studies were included, with 26 studies from high-income countries. RSV-associated hospitalisation and mortality rates both showed a U-shape age pattern. Lowest and highest RSV acute respiratory infection (ARI) hospitalisation rates were found in 5-17 years (median: 1.6/100,000 population, IQR: 1.3-18.5) and &lt; 1 year (2235.7/100,000 population, 1779.1-3552.5), respectively. Lowest and highest RSV mortality rates were found in 18-49 years (0.1/100,000 population, 0.06-0.2) and &amp; GE; 75 years (80.0/100,000 population, 70.0-90.0) for high-income countries, respectively, and in 18-49 years (0.3/100,000 population, 0.1-2.4) and &lt; 1 year (143.4/100,000 population, 143.4-143.4) for upper-middle income countries. More than 70% of RSV hospitalisations in children &lt; 5 years could be captured in clinical databases whereas less than 10% of RSV hospitalisations could be captured in adults, especially for adults &amp; GE; 50 years. Using pneumonia and influenza (P &amp; I) mortality could potentially capture half of all RSV mortality in older adults but only 10-30% of RSV mortality in children.ConclusionsOur study provides insights into the age spectrum of RSV hospitalisation and mortality. RSV disease burden using laboratory records alone could be substantially severely underreported for age groups &amp; GE; 5 years. Our findings confirm infants and older adults should be prioritised for RSV immunisation programmes.</t>
  </si>
  <si>
    <t xml:space="preserve">[Cong, Bingbing; Zhang, Tiantian; Nair, Harish; Li, You] Nanjing Med Univ, Sch Publ Hlth, Dept Epidemiol, Nanjing 211166, Peoples R China; [Dighero, Izzie; Chung, Alexandria; Nair, Harish; Li, You] Univ Edinburgh, Usher Inst, Ctr Global Hlth, Edinburgh, Scotland; [Nair, Harish] Univ Witwatersrand, Fac Hlth Sci, Sch Publ Hlth, MRC Wits Rural Publ Hlth &amp; Hlth Transit Res Unit A, Johannesburg, South Africa</t>
  </si>
  <si>
    <t xml:space="preserve">Nanjing Medical University; University of Edinburgh; University of Witwatersrand</t>
  </si>
  <si>
    <t xml:space="preserve">Li, Y (corresponding author), Nanjing Med Univ, Sch Publ Hlth, Dept Epidemiol, Nanjing 211166, Peoples R China.;Li, Y (corresponding author), Univ Edinburgh, Usher Inst, Ctr Global Hlth, Edinburgh, Scotland.</t>
  </si>
  <si>
    <t xml:space="preserve">you.li@njmu.edu.cn</t>
  </si>
  <si>
    <t xml:space="preserve">Cong, bingbing/ABU-6566-2022; Li, You/GRX-6269-2022; Nair, Harish/E-7431-2010; Chung, Alexandria/KHU-2365-2024</t>
  </si>
  <si>
    <t xml:space="preserve">Li, You/0000-0002-8506-8439; Nair, Harish/0000-0002-9432-9100; cong, bingbing/0000-0002-5929-7721; Chung, Alexandria/0000-0001-5221-5570</t>
  </si>
  <si>
    <t xml:space="preserve">1741-7015</t>
  </si>
  <si>
    <t xml:space="preserve">BMC MED</t>
  </si>
  <si>
    <t xml:space="preserve">BMC Med.</t>
  </si>
  <si>
    <t xml:space="preserve">10.1186/s12916-023-02932-5</t>
  </si>
  <si>
    <t xml:space="preserve">L2LZ7</t>
  </si>
  <si>
    <t xml:space="preserve">WOS:001021638200004</t>
  </si>
  <si>
    <t xml:space="preserve">Bates, JT; Pickens, JA; Schuster, JE; Johnson, M; Tollefson, SJ; Williams, JV; Davis, NL; Johnston, RE; Schultz-Darken, N; Slaughter, JC; Smith-House, F; Crowe, JE</t>
  </si>
  <si>
    <t xml:space="preserve">Bates, John T.; Pickens, Jennifer A.; Schuster, Jennifer E.; Johnson, Monika; Tollefson, Sharon J.; Williams, John V.; Davis, Nancy L.; Johnston, Robert E.; Schultz-Darken, Nancy; Slaughter, James C.; Smith-House, Frances; Crowe, James E., Jr.</t>
  </si>
  <si>
    <t xml:space="preserve">Immunogenicity and efficacy of alphavirus-derived replicon vaccines for respiratory syncytial virus and human metapneumovirus in nonhuman primates</t>
  </si>
  <si>
    <t xml:space="preserve">Respiratory syncytial virus; Metapneumovirus; Vaccine; Replicon particles; Nonhuman primates</t>
  </si>
  <si>
    <t xml:space="preserve">EQUINE ENCEPHALITIS-VIRUS; SURFACE GLYCOPROTEINS; COTTON RATS; INFECTION; FUSION; RSV; MUCOSAL; DISEASE; IMMUNIZATION; ENHANCEMENT</t>
  </si>
  <si>
    <t xml:space="preserve">Human respiratory syncytial virus (hRSV) and human metapneumovirus (hMPV) are major causes of illness among children, the elderly, and the immunocompromised. No vaccine has been licensed for protection against either of these viruses. We tested the ability of two Venezuelan equine encephalitis virus-based viral replicon particle (VEE-VRP) vaccines that express the hRSV or hMPV fusion (F) protein to confer protection against hRSV or hMPV in African green monkeys. Animals immunized with VEE-VRP vaccines developed RSV or MPV F-specific antibodies and serum neutralizing activity. Compared to control animals, immunized animals were better able to control viral load in the respiratory mucosa following challenge and had lower levels of viral genome in nasopharyngeal and bronchoalveolar lavage fluids. The high level of immunogenicity and protective efficacy induced by these vaccine candidates in nonhuman primates suggest that they hold promise for further development. (C) 2016 Elsevier Ltd. All rights reserved.</t>
  </si>
  <si>
    <t xml:space="preserve">[Bates, John T.; Pickens, Jennifer A.; Slaughter, James C.; Smith-House, Frances; Crowe, James E., Jr.] Vanderbilt Univ, Med Ctr, Vanderbilt Vaccine Ctr, Nashville, TN 37232 USA; [Schuster, Jennifer E.; Johnson, Monika; Tollefson, Sharon J.; Williams, John V.; Crowe, James E., Jr.] Vanderbilt Univ, Med Ctr, Nashville, TN 37232 USA; [Williams, John V.; Crowe, James E., Jr.] Vanderbilt Univ, Med Ctr, Dept Pathol Microbiol &amp; Immunol, Nashville, TN 37232 USA; [Slaughter, James C.] Vanderbilt Univ, Med Ctr, Dept Biostat, Nashville, TN 37232 USA; [Davis, Nancy L.] Univ N Carolina, Dept Microbiol &amp; Immunol, Chapel Hill, NC 27599 USA; [Johnston, Robert E.] Global Vaccines, Durham, NC 27709 USA; [Schultz-Darken, Nancy] Univ Wisconsin, Wisconsin Natl Primate Res Ctr, Madison, WI 53715 USA</t>
  </si>
  <si>
    <t xml:space="preserve">Vanderbilt University; Vanderbilt University; Vanderbilt University; Vanderbilt University; University of North Carolina; University of North Carolina Chapel Hill; University of Wisconsin System; University of Wisconsin Madison</t>
  </si>
  <si>
    <t xml:space="preserve">Crowe, JE (corresponding author), Vanderbilt Univ, Med Ctr, Vanderbilt Vaccine Ctr, Dept Pediat,Div Infect Dis, 11475 MRB 4,2213 Garland Ave, Nashville, TN 37232 USA.</t>
  </si>
  <si>
    <t xml:space="preserve">Williams, John/ABE-3227-2020; Slaughter, James/KMY-7489-2024; Bates, John/I-8628-2019; Crowe, James/B-5549-2009; Williams, John/F-6962-2010</t>
  </si>
  <si>
    <t xml:space="preserve">Crowe, James/0000-0002-0049-1079; Slaughter, James/0000-0002-8770-980X; Williams, John/0000-0001-8377-5175; Bates, John/0000-0001-5545-6871</t>
  </si>
  <si>
    <t xml:space="preserve">Wisconsin National Primate Research Center [P51 RR000167/P51 OD011106]; NIAID, NIH [U54 AI 057157]; Region IV Southeast Regional Center of Excellence in Emerging Infections and Biodefense; NIH [R01 AI088250]</t>
  </si>
  <si>
    <t xml:space="preserve">Wisconsin National Primate Research Center; NIAID, NIH(United States Department of Health &amp; Human ServicesNational Institutes of Health (NIH) - USANIH National Institute of Allergy &amp; Infectious Diseases (NIAID)); Region IV Southeast Regional Center of Excellence in Emerging Infections and Biodefense; NIH(United States Department of Health &amp; Human ServicesNational Institutes of Health (NIH) - USA)</t>
  </si>
  <si>
    <t xml:space="preserve">We thank the Wisconsin National Primate Research Center Scientific Protocol Implementation unit for performing the monkey experiments; and the support of the Wisconsin National Primate Research Center, P51 RR000167/P51 OD011106.This study was supported by NIAID, NIH through an ARRA administrative award for supplemental funding to U54 AI 057157, the Region IV Southeast Regional Center of Excellence in Emerging Infections and Biodefense and by NIH grant R01 AI088250.</t>
  </si>
  <si>
    <t xml:space="preserve">FEB 10</t>
  </si>
  <si>
    <t xml:space="preserve">10.1016/j.vaccine.2015.12.045</t>
  </si>
  <si>
    <t xml:space="preserve">DD7EW</t>
  </si>
  <si>
    <t xml:space="preserve">Green Accepted, Green Submitted</t>
  </si>
  <si>
    <t xml:space="preserve">WOS:000370087500011</t>
  </si>
  <si>
    <t xml:space="preserve">Russell, CJ; Simoes, EAF; Hurwitz, JL</t>
  </si>
  <si>
    <t xml:space="preserve">Russell, Charles J.; Simoes, Eric A. F.; Hurwitz, Julia L.</t>
  </si>
  <si>
    <t xml:space="preserve">Vaccines for the Paramyxoviruses and Pneumoviruses: Successes, Candidates, and Hurdles</t>
  </si>
  <si>
    <t xml:space="preserve">VIRAL IMMUNOLOGY</t>
  </si>
  <si>
    <t xml:space="preserve">respiratory syncytial virus; measles virus; human metapneumovirus; parainfluenza virus; Sendai virus</t>
  </si>
  <si>
    <t xml:space="preserve">RESPIRATORY-SYNCYTIAL-VIRUS; RECOMBINANT SENDAI-VIRUS; FUSION-GLYCOPROTEIN VACCINE; AFRICAN-GREEN MONKEYS; F-PROTEIN; RSV VACCINE; HEMAGGLUTININ-NEURAMINIDASE; IMMUNE-RESPONSE; TYPE-3 VACCINE; COTTON RATS</t>
  </si>
  <si>
    <t xml:space="preserve">Human parainfluenza viruses (family Paramyxoviridae), human metapneumovirus, and respiratory syncytial virus (family Pneumoviridae) infect most infants and children within the first few years of life and are the etiologic agents for many serious acute respiratory illnesses. These virus infections are also associated with long-term diseases that impact quality of life, including asthma. Despite over a half-century of vaccine research, development, and clinical trials, no vaccine has been licensed to date for the paramyxoviruses or pneumoviruses for the youngest infants. In this study, we describe the recent reclassification of paramyxoviruses and pneumoviruses into distinct families by the International Committee on the Taxonomy of Viruses. We also discuss some past unsuccessful vaccine trials and some currently preferred vaccine strategies. Finally, we discuss hurdles that must be overcome to support successful respiratory virus vaccine development for the youngest children.</t>
  </si>
  <si>
    <t xml:space="preserve">[Russell, Charles J.; Hurwitz, Julia L.] St Jude Childrens Res Hosp, Dept Infect Dis, 262 Danny Thomas Pl, Memphis, TN 38105 USA; [Russell, Charles J.; Hurwitz, Julia L.] Univ Tennessee, Hlth Sci Ctr, Dept Mol Biol Immunol &amp; Biochem, Memphis, TN USA; [Simoes, Eric A. F.] Univ Colorado, Childrens Hosp Colorado, Colorado Sch Publ Hlth, Sect Infect Dis,Dept Pediat,Sch Med,Dept Epidemio, Aurora, CO USA</t>
  </si>
  <si>
    <t xml:space="preserve">St Jude Children's Research Hospital; University of Tennessee System; University of Tennessee Health Science Center; Colorado School of Public Health; University of Colorado System; University of Colorado Anschutz Medical Campus; Children's Hospital Colorado</t>
  </si>
  <si>
    <t xml:space="preserve">Hurwitz, JL (corresponding author), St Jude Childrens Res Hosp, Dept Infect Dis, 262 Danny Thomas Pl, Memphis, TN 38105 USA.</t>
  </si>
  <si>
    <t xml:space="preserve">julia.hurwitz@stjude.org</t>
  </si>
  <si>
    <t xml:space="preserve">Atwell, Jessica/IVV-7755-2023; Hurwitz, Julia/N-2301-2018; Russell, Charles/K-4824-2013</t>
  </si>
  <si>
    <t xml:space="preserve">NIH NCI [P30 CA21765]; ALSAC</t>
  </si>
  <si>
    <t xml:space="preserve">NIH NCI(United States Department of Health &amp; Human ServicesNational Institutes of Health (NIH) - USANIH National Cancer Institute (NCI)); ALSAC(American Lebanese Syrian Associated Charities (ALSAC))</t>
  </si>
  <si>
    <t xml:space="preserve">Work was supported by NIH NCI P30 CA21765 and ALSAC.</t>
  </si>
  <si>
    <t xml:space="preserve">MARY ANN LIEBERT, INC</t>
  </si>
  <si>
    <t xml:space="preserve">NEW ROCHELLE</t>
  </si>
  <si>
    <t xml:space="preserve">140 HUGUENOT STREET, 3RD FL, NEW ROCHELLE, NY 10801 USA</t>
  </si>
  <si>
    <t xml:space="preserve">0882-8245</t>
  </si>
  <si>
    <t xml:space="preserve">1557-8976</t>
  </si>
  <si>
    <t xml:space="preserve">VIRAL IMMUNOL</t>
  </si>
  <si>
    <t xml:space="preserve">Viral Immunol.</t>
  </si>
  <si>
    <t xml:space="preserve">10.1089/vim.2017.0137</t>
  </si>
  <si>
    <t xml:space="preserve">Immunology; Virology</t>
  </si>
  <si>
    <t xml:space="preserve">GC8TL</t>
  </si>
  <si>
    <t xml:space="preserve">WOS:000430070600010</t>
  </si>
  <si>
    <t xml:space="preserve">González-Parra, G; Dobrovolny, HM</t>
  </si>
  <si>
    <t xml:space="preserve">Gonzalez-Parra, Gilberto; Dobrovolny, Hana M.</t>
  </si>
  <si>
    <t xml:space="preserve">The rate of viral transfer between upper and lower respiratory tracts determines RSV illness duration</t>
  </si>
  <si>
    <t xml:space="preserve">JOURNAL OF MATHEMATICAL BIOLOGY</t>
  </si>
  <si>
    <t xml:space="preserve">Respiratory syncytial virus; Mathematical model; Diffusion; Advection; Lower respiratory infection</t>
  </si>
  <si>
    <t xml:space="preserve">SYNCYTIAL VIRUS-INFECTION; IMMUNE-RESPONSES; INFLUENZA-VIRUS; MUCOCILIARY CLEARANCE; HUMAN METAPNEUMOVIRUS; ADULTS; MODELS; CHILDREN; DYNAMICS; LIFE</t>
  </si>
  <si>
    <t xml:space="preserve">Respiratory syncytial virus can lead to serious lower respiratory infection (LRI), particularly in children and the elderly. LRI can cause longer infections, lingering respiratory problems, and higher incidence of hospitalization. In this paper, we use a simplified ordinary differential equation model of viral dynamics to study the role of transport mechanisms in the occurrence of LRI. Our model uses two compartments to simulate the upper respiratory tract and the lower respiratory tract (LRT) and assumes two distinct types of viral transfer between the two compartments: diffusion and advection. We find that a range of diffusion and advection values lead to long-lasting infections in the LRT, elucidating a possible mechanism for the severe LRI infections observed in humans.</t>
  </si>
  <si>
    <t xml:space="preserve">[Gonzalez-Parra, Gilberto; Dobrovolny, Hana M.] Texas Christian Univ, Ft Worth, TX 76129 USA; [Gonzalez-Parra, Gilberto] New Mexico Inst Min &amp; Technol, Socorro, NM USA</t>
  </si>
  <si>
    <t xml:space="preserve">Texas Christian University; New Mexico Institute of Mining Technology</t>
  </si>
  <si>
    <t xml:space="preserve">Dobrovolny, HM (corresponding author), Texas Christian Univ, Ft Worth, TX 76129 USA.</t>
  </si>
  <si>
    <t xml:space="preserve">gilberto.gonzalezparra@nmt.edu; h.dobrovolny@tcu.edu</t>
  </si>
  <si>
    <t xml:space="preserve">Dobrovolny, Hana/A-2447-2013; Gonzalez-Parra, Gilberto/H-9461-2019</t>
  </si>
  <si>
    <t xml:space="preserve">Dobrovolny, Hana/0000-0003-3592-6770; Gonzalez-Parra, Gilberto/0000-0001-5847-678X</t>
  </si>
  <si>
    <t xml:space="preserve">Janssen RD Belgium</t>
  </si>
  <si>
    <t xml:space="preserve">The authors would like to acknowledge the assistance and helpful advice provided by Gabriela Ispas, Filip De Ridder, Dymphy Huntjens, and Dirk Roymans. Hana M. Dobrovolny received funding from Janssen R&amp;D Belgium, and Gilberto Gonzalez-Parra's salary was paid by a grant from Janssen R&amp;D Belgium. Pediatric patient data was provided by Janssen R&amp;D Belgium.</t>
  </si>
  <si>
    <t xml:space="preserve">0303-6812</t>
  </si>
  <si>
    <t xml:space="preserve">1432-1416</t>
  </si>
  <si>
    <t xml:space="preserve">J MATH BIOL</t>
  </si>
  <si>
    <t xml:space="preserve">J. Math. Biol.</t>
  </si>
  <si>
    <t xml:space="preserve">10.1007/s00285-019-01364-1</t>
  </si>
  <si>
    <t xml:space="preserve">Biology; Mathematical &amp; Computational Biology</t>
  </si>
  <si>
    <t xml:space="preserve">Life Sciences &amp; Biomedicine - Other Topics; Mathematical &amp; Computational Biology</t>
  </si>
  <si>
    <t xml:space="preserve">IK3WI</t>
  </si>
  <si>
    <t xml:space="preserve">WOS:000476518700002</t>
  </si>
  <si>
    <t xml:space="preserve">Gerna, G; Campanini, G; Rognoni, V; Marchi, A; Rovida, F; Piralla, A; Percivalle, E</t>
  </si>
  <si>
    <t xml:space="preserve">Gerna, G.; Campanini, G.; Rognoni, V.; Marchi, A.; Rovida, F.; Piralla, A.; Percivalle, E.</t>
  </si>
  <si>
    <t xml:space="preserve">Correlation of viral load as determined by real-time RT-PCR and clinical characteristics of respiratory syncytial virus lower respiratory tract infections in early infancy</t>
  </si>
  <si>
    <t xml:space="preserve">respiratory syncytial virus; lower respiratory tract infection; real-time RT PCR; nasopharyngeal aspirate; viral load in NPA</t>
  </si>
  <si>
    <t xml:space="preserve">HUMAN METAPNEUMOVIRUS LACKING; GROWTH IN-VITRO; PROTECTIVE IMMUNITY; COTTON RATS; VACCINE; CHILDREN; DISEASE; PROTEIN; TYPE-3; SH</t>
  </si>
  <si>
    <t xml:space="preserve">Background: In infants hospitalized for a lower respiratory tract infection (RTI) caused by respiratory syncytial virus (RSV), the correlation between viral load (VL) and patient clinical characteristics remains to be defined. Objectives: To define this correlation. Study design: prospective study of 47 infants admitted to hospital in the period November 2006-May 2007 with a diagnosis of lower RTI. Nasopharyngeal aspirates (NPAs) were taken at admission, discharge, and at post-discharge control visits. VL was quantified by real-time RT-PCR for RSV subgroups A and B. Results: Patients with bronchiolitis were compared with young patients with lower RTI other than bronchiolitis. Patients with bronchiolitis had a significantly lower age than patients with other syndromes, and a significantly longer duration of symptoms. Duration of hospitalization was not different in the two groups of patients, and was not related to RSV subgroup or viral coinfection. A sustained decrease in VL was observed in the general patient population between admission, discharge and post-discharge follow-up visits. Conclusions: (i) patients with bronchiolitis were significantly younger than patients with other lower RTIs; (ii) symptom duration was significantly longer in patients with bronchiolitis; (iii) RSV VL significantly decreased between admission and discharge. (C) 2007 Elsevier B.V. All rights reserved.</t>
  </si>
  <si>
    <t xml:space="preserve">[Gerna, G.; Campanini, G.; Rognoni, V.; Rovida, F.; Piralla, A.; Percivalle, E.] Fdn IRCCS Policlin San Mattteo, Serv Virol, I-27100 Pavia, Italy; [Marchi, A.] Univ Pavia, Dipartimento Pediat, I-27100 Pavia, Italy</t>
  </si>
  <si>
    <t xml:space="preserve">Gerna, G (corresponding author), Fdn IRCCS Policlin San Mattteo, Serv Virol, I-27100 Pavia, Italy.</t>
  </si>
  <si>
    <t xml:space="preserve">g.gerna@smatteo.pv.it</t>
  </si>
  <si>
    <t xml:space="preserve">Percivalle, Elena/K-7994-2016; Campanini, Giulia/J-4889-2018; Rovida, Francesca/K-7984-2016; Piralla, Antonio/K-4756-2018</t>
  </si>
  <si>
    <t xml:space="preserve">Percivalle, Elena/0000-0002-3355-1410; Campanini, Giulia/0000-0002-3536-2437; Rovida, Francesca/0000-0003-2345-2790; Piralla, Antonio/0000-0002-6062-2579; Gerna, Giuseppe/0000-0001-5956-2786</t>
  </si>
  <si>
    <t xml:space="preserve">10.1016/j.jcv.2007.10.018</t>
  </si>
  <si>
    <t xml:space="preserve">261DX</t>
  </si>
  <si>
    <t xml:space="preserve">WOS:000253060400011</t>
  </si>
  <si>
    <t xml:space="preserve">Hillyer, P; Mane, VP; Chen, A; Dos Santos, MB; Schramm, LM; Shepard, RE; Luongo, C; Le Noueen, C; Huang, L; Yan, L; Buchholz, UJ; Jubin, RG; Collins, PL; Rabin, RL</t>
  </si>
  <si>
    <t xml:space="preserve">Hillyer, Philippa; Mane, Viraj P.; Chen, Aaron; Dos Santos, Maria B.; Schramm, Lynnsie M.; Shepard, Rachel E.; Luongo, Cindy; Le Noueen, Cyril; Huang, Lei; Yan, Lihan; Buchholz, Ursula J.; Jubin, Ronald G.; Collins, Peter L.; Rabin, Ronald L.</t>
  </si>
  <si>
    <t xml:space="preserve">Respiratory syncytial virus infection induces a subset of types I and III interferons in human dendritic cells</t>
  </si>
  <si>
    <t xml:space="preserve">VIROLOGY</t>
  </si>
  <si>
    <t xml:space="preserve">Respiratory syncytial virus; Interferon subtype; Interferon; Interferon stimulated gene; Dendritic cell; Bronchial epithelial cell; Innate immunity</t>
  </si>
  <si>
    <t xml:space="preserve">HUMAN METAPNEUMOVIRUS; ALPHA-INTERFERON; GENE-EXPRESSION; FUSION PROTEIN; IFN; INDUCTION; INFANTS; SOCS-1; IL-4; RSV</t>
  </si>
  <si>
    <t xml:space="preserve">Whether respiratory syncytial virus (RSV) induces severe infantile pulmonary disease may depend on viral strain and expression of types I and III interferons (IFNs). These IFNs impact disease severity by inducing expression of many anti-viral IFN-stimulated genes (ISGs). To investigate the impact of RSV strain on IFN and ISG expression, we stimulated human monocyte-derived DCs (MDDCs) with either RSV A2 or Line 19 and measured expression of types I and III IFNs and ISGs. At 24 h, A2 elicited higher ISG expression than Line 19. Both strains induced MDDCs to express genes for IFN-beta, IFN-alpha l, IFN-alpha 8, and IFN-lambda 1-3, but only A2 induced IFN-alpha 2,-alpha 14 and-alpha 21. We then show that IFN-alpha 8 and IFN-alpha 14 most potently induced MDDCs and bronchial epithelial cells (BECs) to express ISGs. Our findings demonstrate that RSV strain may impact patterns of types I and III IFN expression and the magnitude of the ISG response by DCs and BECs.</t>
  </si>
  <si>
    <t xml:space="preserve">[Hillyer, Philippa; Mane, Viraj P.; Chen, Aaron; Dos Santos, Maria B.; Schramm, Lynnsie M.; Shepard, Rachel E.; Rabin, Ronald L.] US FDA, Ctr Biol Evaluat &amp; ResI, Lab Immunobiochem, Silver Spring, MD USA; [Luongo, Cindy; Le Noueen, Cyril; Buchholz, Ursula J.; Collins, Peter L.] NIAID, NIH, Infect Dis Lab, Bethesda, MD 20892 USA; [Huang, Lei; Yan, Lihan] US FDA, Ctr Biol Evaluat &amp; Res, Off Biostat &amp; Epidemiol, Silver Spring, MD USA; [Buchholz, Ursula J.; Jubin, Ronald G.] PBL Interferon Source, Piscataway, NJ USA</t>
  </si>
  <si>
    <t xml:space="preserve">US Food &amp; Drug Administration (FDA); National Institutes of Health (NIH) - USA; NIH National Institute of Allergy &amp; Infectious Diseases (NIAID); US Food &amp; Drug Administration (FDA)</t>
  </si>
  <si>
    <t xml:space="preserve">Rabin, RL (corresponding author), Ctr Biol Evaluat &amp; Res, Off Vaccines Res &amp; Review, Div Bacterial Parasit &amp; Allergen Prod, Lab Immunobiochem, Bldg 52-72,Room 3332,10903 New Hampshire Ave, Silver Spring, MD 20993 USA.</t>
  </si>
  <si>
    <t xml:space="preserve">ronald.rabin@fda.hhs.gov</t>
  </si>
  <si>
    <t xml:space="preserve">Buchholz, Ursula/AAA-4547-2022</t>
  </si>
  <si>
    <t xml:space="preserve">Rabin, Ronald/0000-0003-3496-0504</t>
  </si>
  <si>
    <t xml:space="preserve">NIH intramural funds; FDA/CBER intramural funds; CBER/FDA-NIAID/NIH Interagency [YI-AI-6153-01]</t>
  </si>
  <si>
    <t xml:space="preserve">NIH intramural funds(United States Department of Health &amp; Human ServicesNational Institutes of Health (NIH) - USA); FDA/CBER intramural funds; CBER/FDA-NIAID/NIH Interagency</t>
  </si>
  <si>
    <t xml:space="preserve">This work was supported by NIH intramural funds, FDA/CBER intramural funds and CBER/FDA-NIAID/NIH Interagency Agreement YI-AI-6153-01. PH, VPM, MBS, LMS, RES were supported by appointment to the Research Participation Program of the Center for Biologics Evaluation and Research administered by the Oak Ridge Institute for Science and Education through an interagency agreement between the U.S. Department of Energy and the U.S. FDA.</t>
  </si>
  <si>
    <t xml:space="preserve">ACADEMIC PRESS INC ELSEVIER SCIENCE</t>
  </si>
  <si>
    <t xml:space="preserve">SAN DIEGO</t>
  </si>
  <si>
    <t xml:space="preserve">525 B ST, STE 1900, SAN DIEGO, CA 92101-4495 USA</t>
  </si>
  <si>
    <t xml:space="preserve">0042-6822</t>
  </si>
  <si>
    <t xml:space="preserve">10.1016/j.virol.2017.01.017</t>
  </si>
  <si>
    <t xml:space="preserve">EO0IO</t>
  </si>
  <si>
    <t xml:space="preserve">WOS:000396381700007</t>
  </si>
  <si>
    <t xml:space="preserve">Le Nouën, C; Hillyer, P; Levenson, E; Martens, C; Rabin, RL; Collins, PL; Buchholz, UJ</t>
  </si>
  <si>
    <t xml:space="preserve">Le Nouen, Cyril; Hillyer, Philippa; Levenson, Eric; Martens, Craig; Rabin, Ronald L.; Collins, Peter L.; Buchholz, Ursula J.</t>
  </si>
  <si>
    <t xml:space="preserve">Lack of Activation Marker Induction and Chemokine Receptor Switch in Human Neonatal Myeloid Dendritic Cells in Response to Human Respiratory Syncytial Virus</t>
  </si>
  <si>
    <t xml:space="preserve">respiratory syncytial virus; influenza; dendritic cells; myeloid; cord blood; adult blood; maturation; chemokine receptor</t>
  </si>
  <si>
    <t xml:space="preserve">HUMAN METAPNEUMOVIRUS; INFLUENZA; EXPRESSION; MATURATION; INFECTION; REGULATOR; IMMUNITY; DISTINCT</t>
  </si>
  <si>
    <t xml:space="preserve">Respiratory syncytial virus (RSV) infects and causes disease in infants and reinfects with reduced disease throughout life without significant antigenic change. In contrast, reinfection by influenza A virus (IAV) largely requires antigenic change. The adaptive immune response depends on antigen presentation by dendritic cells (DC), which may be too immature in young infants to induce a fully protective immune response against RSV reinfections. We therefore compared the ability of RSV and IAV to activate primary human cord blood (CB) and adult blood (AB) myeloid DC (mDC). While RSV and IAV infected with similar efficiencies, RSV poorly induced maturation and cytokine production in CB and AB mDC. This difference between RSV and IAV was more profound in CB mDC. While IAV activated CB mDC to some extent, RSV did not induce CB mDC to increase the maturation markers CD38 and CD86 or CCR7, which directs DC migration to lymphatic tissue. Low CCR7 surface expression was associated with high expression of CCR5, which keeps DC in inflamed peripheral tissues. To evaluate a possible inhibition by RSV, we subjected RSV-inoculated AB mDC to secondary IAV inoculation. While RSV-inoculated AB mDC responded to secondary IAV inoculation by efficiently upregulating activation markers and cytokine production, IAV-induced CCR5 downregulation was slightly inhibited in cells exhibiting robust RSV infection. Thus, suboptimal stimulation and weak and mostly reversible inhibition seem to be responsible for inefficient mDC activation by RSV. The inefficient mDC stimulation and immunological immaturity in young infants may contribute to reduced immune responses and incomplete protection against RSV reinfection. IMPORTANCE Respiratory syncytial virus (RSV) causes disease early in life and can reinfect symptomatically throughout life without undergoing significant antigenic change. In contrast, reinfection by influenza A virus (IAV) requires antigenic change. The adaptive immune response depends on antigen presentation by dendritic cells (DC). We used myeloid DC (mDC) from cord blood and adult blood donors to evaluate whether immunological immaturity contributes to the inability to mount a fully protective immune response to RSV. While IAV induced some activation and chemokine receptor switching in cord blood mDC, RSV did not. This appeared to be due to a lack of activation and a weak and mostly reversible inhibition of DC functions. Both viruses induced a stronger activation of mDC from adults than mDC from cord blood. Thus, inefficient stimulation of mDC by RSV and immunological immaturity may contribute to reduced immune responses and increased susceptibility to RSV disease and reinfection in young infants.</t>
  </si>
  <si>
    <t xml:space="preserve">[Le Nouen, Cyril; Collins, Peter L.; Buchholz, Ursula J.] NIAID, RNA Viruses Sect, LID, NIH, 9000 Rockville Pike, Bethesda, MD 20892 USA; [Hillyer, Philippa; Levenson, Eric; Rabin, Ronald L.] US FDA, Ctr Biol Evaluat &amp; Res, Silver Spring, MD USA; [Levenson, Eric] NIAID, Norovirus Sect, LID, NIH, 9000 Rockville Pike, Bethesda, MD 20892 USA; [Martens, Craig] NIAID, Res Technol Sect, Rocky Mt Labs, NIH, Hamilton, MT USA</t>
  </si>
  <si>
    <t xml:space="preserve">National Institutes of Health (NIH) - USA; NIH National Institute of Allergy &amp; Infectious Diseases (NIAID); US Food &amp; Drug Administration (FDA); National Institutes of Health (NIH) - USA; NIH National Institute of Allergy &amp; Infectious Diseases (NIAID); National Institutes of Health (NIH) - USA; NIH National Institute of Allergy &amp; Infectious Diseases (NIAID)</t>
  </si>
  <si>
    <t xml:space="preserve">Le Nouën, C (corresponding author), NIAID, RNA Viruses Sect, LID, NIH, 9000 Rockville Pike, Bethesda, MD 20892 USA.</t>
  </si>
  <si>
    <t xml:space="preserve">lenouenc@niaid.nih.gov</t>
  </si>
  <si>
    <t xml:space="preserve">Buchholz, Ursula/AAA-4547-2022; Levenson, Eric/A-7963-2008</t>
  </si>
  <si>
    <t xml:space="preserve">Rabin, Ronald/0000-0003-3496-0504; Levenson, Eric/0000-0002-3896-3908</t>
  </si>
  <si>
    <t xml:space="preserve">NIAID, NIH</t>
  </si>
  <si>
    <t xml:space="preserve">This research was supported by the Intramural Research Program of the NIAID, NIH.</t>
  </si>
  <si>
    <t xml:space="preserve">e01216-19</t>
  </si>
  <si>
    <t xml:space="preserve">10.1128/JVI.01216-19</t>
  </si>
  <si>
    <t xml:space="preserve">JI8LI</t>
  </si>
  <si>
    <t xml:space="preserve">WOS:000493714000024</t>
  </si>
  <si>
    <t xml:space="preserve">Santus, P; Radovanovic, D; Gismondo, MR; Rimoldi, SG; Lombardi, A; Danzo, F; Gori, A; Antinori, S; Rizzardini, G</t>
  </si>
  <si>
    <t xml:space="preserve">Santus, Pierachille; Radovanovic, Dejan; Gismondo, Maria Rita; Rimoldi, Sara Giordana; Lombardi, Alessandra; Danzo, Fiammetta; Gori, Andrea; Antinori, Spinello; Rizzardini, Giuliano</t>
  </si>
  <si>
    <t xml:space="preserve">Respiratory syncytial virus burden and risk factors for severe disease in patients presenting to the emergency department with flu-like symptoms or acute respiratory failure</t>
  </si>
  <si>
    <t xml:space="preserve">RESPIRATORY MEDICINE</t>
  </si>
  <si>
    <t xml:space="preserve">Respiratory syncytial virus; Influenza virus; Respiratory failure; Pneumonia; Predictors; Mortality</t>
  </si>
  <si>
    <t xml:space="preserve">HUMAN METAPNEUMOVIRUS; VIRAL-INFECTIONS; RECIPIENTS; MORTALITY; ADULTS; VALIDATION; MORBIDITY</t>
  </si>
  <si>
    <t xml:space="preserve">Background: Predictors of Respiratory Syncytial Virus (RSV) infection and determinants of RSV unfavorable outcomes are still unclear. We assessed RSV burden and investigated the risk factors associated with RSV positive swab and RSV severe disease. Methods: A retrospective, single center, cohort study included all consecutive patients referred to the emergency department of L. Sacco University Hospital (Milan) with flu-like symptoms or acute respiratory failure (aRF) tested per protocol for SARS-CoV-2, RSV, Influenza A (InvA) during the 2022-2023 autumn/winter season. Clinical characteristics and patients' outcomes were registered. Respiratory failure, need for respiratory support, shock, sepsis or in-hospital death defined severe disease. Main findings: The analysis included 717 patients (65.1% negative swab, 14.1% InvA, 8.5% RSV, 8.6% SARS-CoV-2, 3.6% other viruses). Compared with the study cohort, RSV patients had the highest occurrence of aRF (62.7%) and severe disease (70.5%); mortality was similar to InvA (6.6% vs 5.9%, p = 0.874). Compared with InvA patients, RSV patients were older (p = 0.009), had higher Charlson index (p = 0.001), higher prevalence of chronic heart failure (p = 0.001) and were more frequently on ICS (p = 0.026) and immunosuppressants (p = 0.018). Heart failure [OR (95%CI):3.286 (1.031-10.835); p = 0.041], chronic exposure to ICS [OR (95% CI):2.377 (1.254-4.505); p = 0.008] and immunosuppressants [OR (95%CI):3.661 (1.246-10.754); p = 0.018] predicted RSV infection. Glycaemia &gt;= 120 mg/dL [OR (95%CI):5.839 (1.155-29.519); p = 0.033], leucocytes &gt;= 8000 cells/mu L [OR (95%CI):5.929 (1.090-32.268); p = 0.039], and past/active smoking [OR (95%CI):7.347 (1.301-41.500); p = 0.024] predicted severe RSV disease Conclusions: RSV infection is associated with significant mortality and morbidity. Preventive strategies for RSV infection such as vaccination are highly warranted, especially in older patients with cardiovascular and chronic respiratory conditions.</t>
  </si>
  <si>
    <t xml:space="preserve">[Santus, Pierachille; Radovanovic, Dejan; Danzo, Fiammetta] Univ Milan, Dept Biomed &amp; Clin Sci, ASST Fatebenefratelli Sacco, Div Resp Dis,L Sacco Univ Hosp, Via GB Grassi 74, I-20157 Milan, Italy; [Gismondo, Maria Rita; Rimoldi, Sara Giordana; Lombardi, Alessandra] Luigi Sacco Hosp, Clin Microbiol Virol &amp; Bioemergency Diagnost, ASST Fatebenefratelli Sacco, Milan, Italy; [Gori, Andrea] Univ Milan, Ctr Multidisciplinary Res Hlth Sci MACH, L Sacco Univ Hosp, Dept Infect Dis,ASST Fatebenefratelli Sacco, Milan, Italy; [Antinori, Spinello] Univ Milan, Div Infect Dis 3, ASST Fatebenefratelli Sacco, Dept Biomed &amp; Clin Sci, Milan, Italy; [Rizzardini, Giuliano] Luigi Sacco Hosp, Div Infect Dis 1, ASST Fatebenefratelli Sacco, Milan, Italy</t>
  </si>
  <si>
    <t xml:space="preserve">University of Milan; Luigi Sacco Hospital; University of Milan; Luigi Sacco Hospital; University of Milan; Luigi Sacco Hospital; University of Milan; University of Milan; Luigi Sacco Hospital</t>
  </si>
  <si>
    <t xml:space="preserve">Santus, P (corresponding author), Univ Milan, Dept Biomed &amp; Clin Sci DIBIC, Div Resp Dis, Osped L Sacco,ASST Fatebenefratelli Sacco, Via GB Grassi 74, I-20157 Milan, Italy.</t>
  </si>
  <si>
    <t xml:space="preserve">pierachille.santus@unimi.it</t>
  </si>
  <si>
    <t xml:space="preserve">SANTUS, PIERACHILLE/T-4688-2017</t>
  </si>
  <si>
    <t xml:space="preserve">SANTUS, PIERACHILLE/0000-0003-3462-8253</t>
  </si>
  <si>
    <t xml:space="preserve">0954-6111</t>
  </si>
  <si>
    <t xml:space="preserve">1532-3064</t>
  </si>
  <si>
    <t xml:space="preserve">RESP MED</t>
  </si>
  <si>
    <t xml:space="preserve">Respir. Med.</t>
  </si>
  <si>
    <t xml:space="preserve">10.1016/j.rmed.2023.107404</t>
  </si>
  <si>
    <t xml:space="preserve">SEP 2023</t>
  </si>
  <si>
    <t xml:space="preserve">Cardiac &amp; Cardiovascular Systems; Respiratory System</t>
  </si>
  <si>
    <t xml:space="preserve">Cardiovascular System &amp; Cardiology; Respiratory System</t>
  </si>
  <si>
    <t xml:space="preserve">LU2E9</t>
  </si>
  <si>
    <t xml:space="preserve">WOS:001189241200001</t>
  </si>
  <si>
    <t xml:space="preserve">Resch, B; Eibisberger, M; Morris, N; Müller, W</t>
  </si>
  <si>
    <t xml:space="preserve">Resch, Bernhard; Eibisberger, Monika; Morris, Nicholas; Mueller, Wilhelm</t>
  </si>
  <si>
    <t xml:space="preserve">RESPIRATORY SYNCYTIAL VIRUS- AND INFLUENZA VIRUS-ASSOCIATED HOSPITALIZATIONS IN INFANTS LESS THAN 12 MONTHS OF AGE</t>
  </si>
  <si>
    <t xml:space="preserve">respiratory syncytial virus; influenza virus; hospitalization</t>
  </si>
  <si>
    <t xml:space="preserve">YOUNG-CHILDREN; HUMAN METAPNEUMOVIRUS; TRACT INFECTIONS; RISK-FACTORS; BURDEN; SURVEILLANCE; DISEASE</t>
  </si>
  <si>
    <t xml:space="preserve">Infants hospitalized because of respiratory syncytial virus (RSV) infection (n = 388) were significantly younger, had longer hospital stays, had a more severe course of disease, and required supplemental oxygen more often with longer duration of treatment as compared with those with influenza virus (n = 37) infection. Seasonal distribution varied, with RSV-associated hospitalizations peaking in January and influenza virus-associated hospitalizations in February. Congenital heart disease was more commonly a risk factor in infants with RSV infection.</t>
  </si>
  <si>
    <t xml:space="preserve">[Resch, Bernhard] Med Univ Graz, Univ Klin Kinder &amp; Jugendheilkunde, Klin Abt Neonatol, Res Unit Neonatal Infect Dis &amp; Epidemiol, A-8036 Graz, Austria; [Resch, Bernhard; Morris, Nicholas; Mueller, Wilhelm] Med Univ Graz, Dept Pediat, Div Neonatol, A-8036 Graz, Austria</t>
  </si>
  <si>
    <t xml:space="preserve">Medical University of Graz; Medical University of Graz</t>
  </si>
  <si>
    <t xml:space="preserve">Resch, B (corresponding author), Med Univ Graz, Univ Klin Kinder &amp; Jugendheilkunde, Klin Abt Neonatol, Res Unit Neonatal Infect Dis &amp; Epidemiol, Auenbruggerpl 30, A-8036 Graz, Austria.</t>
  </si>
  <si>
    <t xml:space="preserve">bernhard.resch@medunigraz.at</t>
  </si>
  <si>
    <t xml:space="preserve">Resch, Bernhard/V-7331-2017; Morris, Nicholas/B-2448-2014</t>
  </si>
  <si>
    <t xml:space="preserve">10.1097/INF.0b013e318215cf3e</t>
  </si>
  <si>
    <t xml:space="preserve">809IF</t>
  </si>
  <si>
    <t xml:space="preserve">WOS:000294044400020</t>
  </si>
  <si>
    <t xml:space="preserve">Gokce, S; Kurugol, Z; Cerit, Z; Cicek, C</t>
  </si>
  <si>
    <t xml:space="preserve">Gokce, Sule; Kurugol, Zafer; Cerit, Zeynep; Cicek, Candan</t>
  </si>
  <si>
    <t xml:space="preserve">The Effect of Respiratory Syncytial Virus on the Severity of Acute Bronchiolitis in Hospitalized Infants: A Prospective Study from Turkey</t>
  </si>
  <si>
    <t xml:space="preserve">IRANIAN JOURNAL OF PEDIATRICS</t>
  </si>
  <si>
    <t xml:space="preserve">Respiratory Syncytial Virus; Infant; Respiratory Infection; Co-Infection; Respiratory Score; Clinical Significance</t>
  </si>
  <si>
    <t xml:space="preserve">HUMAN METAPNEUMOVIRUS; TRACT INFECTIONS; YOUNG-CHILDREN; DIAGNOSIS</t>
  </si>
  <si>
    <t xml:space="preserve">Objectives: Respiratory syncytial virus (RSV) is a major cause of respiratory infections in infants and children. The aim of this study was to evaluate clinical significance of respiratory infections as single pathogen RSV, respiratory viruses with RSV and those with bronchiolitis caused by other respiratory viruses. Methods: A total of 316 throat swabs were collected from children diagnosed with acute bronchiolitis. Real-time polymerase chain reaction was used to identify the viruses in the samples. The subjects were divided into three groups: single pathogen RSV, agents with RSV and agents without RSV. Binary logistic regression analysis was used to evaluate the corelation between single and multiple RSV infection group and infections without RSV group for parameters including age, wheezing, supplemental oxygen therapy. Results: The overall positivity for viruses in the study was found to be 75% with a co-infection rate of 34.2%. Compared to children with RSV alone, children with any other agents accompanying RSV, were not very likely to have fever, wheezing or supplemental oxygen therapy. Conclusions: The findings of our study suggest that RSV still represents a large burden of bronchiolitis since it is associated with the hospitalization of children, particularly those less than six months old. We can not foresee the clinical presentation of specific agent or agents in connection to being with or without RSV in infants with any level of bronchiolitis. The study agrees with the concept that co infections with or without RSV do not increase the severity of the disease.</t>
  </si>
  <si>
    <t xml:space="preserve">[Gokce, Sule] Ege Univ Childrens Hosp, Dept Pediat, Gen Pediat Unit, Izmir, Turkey; [Kurugol, Zafer] Ege Univ, Dept Pediat, Div Pediat Infect, Izmir, Turkey; [Cerit, Zeynep] Near East Univ, Dept Pediat, Nicosia, Cyprus; [Cicek, Candan] Ege Univ, Fac Med, Dept Microiol, Izmir, Turkey</t>
  </si>
  <si>
    <t xml:space="preserve">Ege University; Ege University; Near East University; Ege University</t>
  </si>
  <si>
    <t xml:space="preserve">Gokce, S (corresponding author), Ege Univ Childrens Hosp, Fac Med, Dept Pediat, Gen Pediat Unit, TR-35040 Izmir, Turkey.</t>
  </si>
  <si>
    <t xml:space="preserve">sule.gokce@ege.edu.tr</t>
  </si>
  <si>
    <t xml:space="preserve">Çiçek, Candan/ABH-1161-2021</t>
  </si>
  <si>
    <t xml:space="preserve">2008-2142</t>
  </si>
  <si>
    <t xml:space="preserve">2008-2150</t>
  </si>
  <si>
    <t xml:space="preserve">IRAN J PEDIATR</t>
  </si>
  <si>
    <t xml:space="preserve">Iran. J. Pediatr.</t>
  </si>
  <si>
    <t xml:space="preserve">e61034</t>
  </si>
  <si>
    <t xml:space="preserve">10.5812/ijp.61034</t>
  </si>
  <si>
    <t xml:space="preserve">GJ3MR</t>
  </si>
  <si>
    <t xml:space="preserve">WOS:000435200100004</t>
  </si>
  <si>
    <t xml:space="preserve">Green, CA; Sande, CJ; de Lara, C; Thompson, AJ; Silva-Reyes, L; Napolitano, F; Pierantoni, A; Capone, S; Vitelli, A; Klenerman, P; Pollard, AJ</t>
  </si>
  <si>
    <t xml:space="preserve">Green, C. A.; Sande, C. J.; de Lara, C.; Thompson, A. J.; Silva-Reyes, L.; Napolitano, F.; Pierantoni, A.; Capone, S.; Vitelli, A.; Klenerman, P.; Pollard, A. J.</t>
  </si>
  <si>
    <t xml:space="preserve">Humoral and cellular immunity to RSV in infants, children and adults</t>
  </si>
  <si>
    <t xml:space="preserve">Respiratory syncytial virus; Immune responses; Healthcare workers; Infants</t>
  </si>
  <si>
    <t xml:space="preserve">RESPIRATORY SYNCYTIAL VIRUS; CYTOTOXIC T-LYMPHOCYTE; ANTIBODY-RESPONSE; UNITED-STATES; HUMAN METAPNEUMOVIRUS; MONOCLONAL-ANTIBODY; PRIMARY INFECTION; ELDERLY PERSONS; YOUNG-CHILDREN; BRONCHIOLITIS</t>
  </si>
  <si>
    <t xml:space="preserve">Background: Respiratory syncytial virus (RSV) causes respiratory disease throughout life. Here we report differences in naturally acquired immunity with age and presumed exposure. Methods: A longitudinal, non-interventional, observational study was performed in healthy adults (20 paediatric healthcare workers and 10 non-healthcare workers), children (10 aged 3-6 years) and infants (5 aged 2-4 months and 20 aged 6-12 months). Blood samples were analysed for RSV-neutralising antibody titre, F/Ga/Gb-specific antibody titres, F-specific IgG/IgA memory B-cell frequencies and T-cell production of IFN gamma, IL-4, IL-13 and IL-17. Results: Serum G-specific antibody titres were significantly lower in infants and children than adults. However, serum titres of F-specific and RSV-neutralising antibody and IFN gamma-producing T-cell frequencies were low or absent in the infants, but comparable between children and adults. Interestingly, F-specific memory IgA B-cells could not be detected in paediatric samples and in samples from non-healthcare workers, but recordable IgA memory B-cells were found in 9/18 paediatric healthcare workers and 2/8 non-healthcare workers at the end of the RSV season. These responses waned 4-6 months later. By contrast, F-specific IgG memory B-cells were detectable in samples from all adults without significant variation across time points. T-cells producing IL-4, IL-13 and IL-17 responses were not detectable in peripheral blood from a subset of volunteers. Conclusions: Repeated RSV exposure in early life generates immune responses that are inversely related to frequency of severe disease. Induction of F-specific antibody and cellular immune responses through infant vaccination might help to accelerate the development of protective immune responses at an early age. (C) 2018 Elsevier Ltd. All rights reserved.</t>
  </si>
  <si>
    <t xml:space="preserve">[Green, C. A.; Sande, C. J.; Thompson, A. J.; Silva-Reyes, L.; Pollard, A. J.] Univ Oxford, Dept Paediat, Oxford Vaccine Grp, Oxford, England; [Green, C. A.; Sande, C. J.; Thompson, A. J.; Silva-Reyes, L.; Pollard, A. J.] Univ Oxford, NIHR Oxford Biomed Res Ctr, Oxford, England; [de Lara, C.; Klenerman, P.] Univ Oxford, Nuffield Dept Med, Expt Med Div, Peter Medawar Bldg, Oxford OX1 3SY, England; [Napolitano, F.; Pierantoni, A.; Capone, S.; Vitelli, A.] ReiThera Srl, Via Castel Romano 100, I-00128 Rome, Italy</t>
  </si>
  <si>
    <t xml:space="preserve">University of Oxford; University of Oxford; University of Oxford</t>
  </si>
  <si>
    <t xml:space="preserve">Green, CA (corresponding author), Churchill Hosp, Ctr Clin Vaccinol &amp; Trop Med, Oxford Vaccine Grp, Oxford OX3 7LE, England.</t>
  </si>
  <si>
    <t xml:space="preserve">christopher.green@paediatrics.ox.uk</t>
  </si>
  <si>
    <t xml:space="preserve">Green, Catherine/D-7528-2014; klenerman, paul/LGZ-0523-2024</t>
  </si>
  <si>
    <t xml:space="preserve">Green, Christopher/0000-0002-1984-4014; klenerman, paul/0000-0003-4307-9161; Silva-Reyes, Laura/0000-0002-3678-1836; Sande, Charles/0000-0002-8364-6063</t>
  </si>
  <si>
    <t xml:space="preserve">University of Oxford; ReiThera Srl; National Institute of Health Research (NIHR); Oxford Biomedical Research Centre</t>
  </si>
  <si>
    <t xml:space="preserve">University of Oxford; ReiThera Srl; National Institute of Health Research (NIHR)(National Institutes of Health Research (NIHR)); Oxford Biomedical Research Centre</t>
  </si>
  <si>
    <t xml:space="preserve">Both studies were sponsored by the University of Oxford and were funded by ReiThera Srl (former Okairos Srl) with additional funding support from the National Institute of Health Research (NIHR) and Oxford Biomedical Research Centre.</t>
  </si>
  <si>
    <t xml:space="preserve">OCT 1</t>
  </si>
  <si>
    <t xml:space="preserve">10.1016/j.vaccine.2018.08.056</t>
  </si>
  <si>
    <t xml:space="preserve">GW6TW</t>
  </si>
  <si>
    <t xml:space="preserve">WOS:000447096400020</t>
  </si>
  <si>
    <t xml:space="preserve">Crim, RL; Kumari, S; Jayanti, P; Audet, S; Kulkarni, A; Beeler, J</t>
  </si>
  <si>
    <t xml:space="preserve">Crim, Roberta Lynne; Kumari, Sangeeta; Jayanti, Priyanka; Audet, Susette; Kulkarni, Ashwin; Beeler, Judy</t>
  </si>
  <si>
    <t xml:space="preserve">Development of Luciferase Immunoprecipitation Systems (LIPS) Assay to Detect IgG Antibodies against Human Respiratory Syncytial Virus G-Glycoprotein</t>
  </si>
  <si>
    <t xml:space="preserve">respiratory syncytial virus; immune responses; G protein</t>
  </si>
  <si>
    <t xml:space="preserve">MONOCLONAL-ANTIBODY; CHILDREN; INFECTION; RESPONSES; PROTEINS; INFANTS; DISEASE; SERUM</t>
  </si>
  <si>
    <t xml:space="preserve">Respiratory syncytial virus (RSV) causes severe lower respiratory tract disease in infants and the elderly. Although there is no licensed vaccine, RSV-F and -G glycoproteins are targets for vaccine development and therapeutics. We developed an assay that can detect anti-RSV-G IgG antibodies, either as a biomarker of natural exposure or immunization. RSV genes encoding native and mutated G (mG) proteins from subgroups A and B strains were cloned, expressed as luciferase-tagged proteins, and tested individually to detect anti-RSV-G specific IgG antibodies using a high-throughput luciferase immunoprecipitation system (LIPS-G). RSV monoclonal antibodies and polyclonal antisera specifically bound in the LIPS-G(A) and/or -G(B) assays; whereas anti-RSV-F and -N, and antisera against measles virus or human metapneumovirus did not bind. Anti-RSV-G(A) and -G(B) IgG responses detected in mice infected intranasally with RSV-A or -B strains were subtype specific. Subtype specific anti-RSV-G(A) or -G(B) IgG responses were also detected using paired serum samples from infants while human adolescent serum samples reacted in both LIPS-G(A) and -G(B) assays, reflecting a broader experience.</t>
  </si>
  <si>
    <t xml:space="preserve">[Crim, Roberta Lynne; Kumari, Sangeeta; Jayanti, Priyanka; Audet, Susette; Kulkarni, Ashwin; Beeler, Judy] US FDA, Off Vaccines Res &amp; Review, CBER, Silver Spring, MD 20993 USA; [Kumari, Sangeeta] ATCC Cell Syst, Gaithersburg, MD 20877 USA; [Jayanti, Priyanka] Syst Planning &amp; Anal, Alexandria, VA 22311 USA; [Audet, Susette] BioHlth Innovat Inc, Rockville, MD 20850 USA</t>
  </si>
  <si>
    <t xml:space="preserve">US Food &amp; Drug Administration (FDA)</t>
  </si>
  <si>
    <t xml:space="preserve">Beeler, J (corresponding author), US FDA, Off Vaccines Res &amp; Review, CBER, Silver Spring, MD 20993 USA.</t>
  </si>
  <si>
    <t xml:space="preserve">roberta.crim@fda.hhs.gov; sk4px@virginia.edu; pjayanti94@gmail.com; susette.audet@fda.hhs.gov; schwinn6@gmail.com; judy.beeler@fda.hhs.gov</t>
  </si>
  <si>
    <t xml:space="preserve">Kulkarni, Ashwin/0000-0001-9816-9127</t>
  </si>
  <si>
    <t xml:space="preserve">10.3390/vaccines7010016</t>
  </si>
  <si>
    <t xml:space="preserve">HS8DC</t>
  </si>
  <si>
    <t xml:space="preserve">gold, Green Published, Green Submitted</t>
  </si>
  <si>
    <t xml:space="preserve">WOS:000464099200001</t>
  </si>
  <si>
    <t xml:space="preserve">Martin, ET; Kuypers, J; Heugel, J; Englund, JA</t>
  </si>
  <si>
    <t xml:space="preserve">Martin, Emily T.; Kuypers, Jane; Heugel, Judson; Englund, Janet A.</t>
  </si>
  <si>
    <t xml:space="preserve">Clinical disease and viral load in children infected with respiratory syncytial virus or human metapneumovirus</t>
  </si>
  <si>
    <t xml:space="preserve">Respiratory syncytial virus; Human metapneumovirus; Viral load; Respiratory disease; Children</t>
  </si>
  <si>
    <t xml:space="preserve">TIME RT-PCR; PEDIATRIC-PATIENTS; INFANTS; CORONAVIRUS; INFLUENZA; SEVERITY; QUANTIFICATION; BRONCHIOLITIS; SPECIMENS; DIAGNOSIS</t>
  </si>
  <si>
    <t xml:space="preserve">The relationship between respiratory syncytial virus (RSV) and human metapneumovirus (hMPV) quantity in respiratory secretions and severity of illness in children remains unclear. Ate assessed the effect of hMPV and RSV viral load as determined by reverse transcriptase polymerise chain reaction on disease characteristics. Data were abstracted from medical records of 418 children with RSV and 81 children with hMPV; associations were evaluated in multivariate analyses, both continuously and comparing lower versus higher viral loads. Increasing viral load in hMPV-infected children was associated with increases in presence of fever, bronchodilator use, obtaining chest radiograph, and length of hospital stay. Increasing viral load in RSV-infected children was associated with decreases in inpatient admissions, use of antibiotics, and respiratory rate. Our study has described a significant relationship between viral load and markers of disease severity for both RSV and hMPV in a large population of children evaluated for respiratory disease. (C) 2008 Elsevier Inc. All rights reserved.</t>
  </si>
  <si>
    <t xml:space="preserve">[Martin, Emily T.; Englund, Janet A.] Childrens Hosp &amp; Reg Med Ctr, Seattle, WA 98105 USA; [Kuypers, Jane; Englund, Janet A.] Univ Washington, Seattle, WA 98195 USA; [Heugel, Judson; Englund, Janet A.] Fred Hutchinson Canc Res Ctr, Seattle, WA 98109 USA</t>
  </si>
  <si>
    <t xml:space="preserve">Seattle Children's Hospital; University of Washington; University of Washington Seattle; Fred Hutchinson Cancer Center</t>
  </si>
  <si>
    <t xml:space="preserve">Martin, ET (corresponding author), Childrens Hosp &amp; Reg Med Ctr, Seattle, WA 98105 USA.</t>
  </si>
  <si>
    <t xml:space="preserve">emily.martin@seattlechildrens.org</t>
  </si>
  <si>
    <t xml:space="preserve">10.1016/j.diagmicrobio.2008.08.002</t>
  </si>
  <si>
    <t xml:space="preserve">381RR</t>
  </si>
  <si>
    <t xml:space="preserve">WOS:000261554100005</t>
  </si>
  <si>
    <t xml:space="preserve">Trinité, B; Durr, E; Pons-Grífols, A; O'Donnell, G; Aguilar-Gurrieri, C; Rodriguez, S; Urrea, V; Tarrés, F; Mane, J; Ortiz, R; Rovirosa, C; Carrillo, J; Clotet, B; Zhang, L; Blanco, J</t>
  </si>
  <si>
    <t xml:space="preserve">Trinite, Benjamin; Durr, Eberhard; Pons-Grifols, Anna; O'Donnell, Gregory; Aguilar-Gurrieri, Carmen; Rodriguez, Silveria; Urrea, Victor; Tarres, Ferran; Mane, Joel; Ortiz, Raquel; Rovirosa, Carla; Carrillo, Jorge; Clotet, Bonaventura; Zhang, Lan; Blanco, Julia</t>
  </si>
  <si>
    <t xml:space="preserve">VLPs generated by the fusion of RSV-F or hMPV-F glycoprotein to HIV-Gag show improved immunogenicity and neutralizing response in mice</t>
  </si>
  <si>
    <t xml:space="preserve">Respiratory syncytial virus; Human metapneumovirus; Vaccine; HIV Gag; Fusion protein; Virus like particles; Immunogenicity; Neutralizing antibodies</t>
  </si>
  <si>
    <t xml:space="preserve">RESPIRATORY-SYNCYTIAL-VIRUS; HUMAN METAPNEUMOVIRUS; MONOCLONAL-ANTIBODY; VACCINE DESIGN; POSTFUSION; INFECTION; PROTEIN; RISK; HOSPITALIZATION; PARTICLES</t>
  </si>
  <si>
    <t xml:space="preserve">Respiratory syncytial virus (RSV) and human metapneumovirus (hMPV) vaccines have been long overdue. Structure-based vaccine design created a new momentum in the last decade, and the first RSV vaccines have finally been approved in older adults and pregnant individuals. These vaccines are based on recombinant stabilized pre-fusion F glycoproteins administered as soluble proteins. Multimeric antigenic display could markedly improve immunogenicity and should be evaluated in the next generations of vaccines. Here we tested a new virus like particles-based vaccine platform which utilizes the direct fusion of an immunogen of interest to the structural human immunodeficient virus (HIV) protein Gag to increase its surface density and immunogenicity. We compared, in mice, the immunogenicity of RSV-F or hMPV-F based immunogens delivered either as soluble proteins or displayed on the surface of our VLPs. VLP associated F-proteins showed better immunogenicity and induced superior neutralizing responses. Moreover, when combining both VLP associated and soluble immunogens in a heterologous regimen, VLP-associated immunogens provided added benefits when administered as the prime immunization.</t>
  </si>
  <si>
    <t xml:space="preserve">[Trinite, Benjamin; Pons-Grifols, Anna; Aguilar-Gurrieri, Carmen; Urrea, Victor; Tarres, Ferran; Ortiz, Raquel; Rovirosa, Carla; Carrillo, Jorge; Clotet, Bonaventura; Blanco, Julia] IrsiCaixa, Badalona, Spain; [Durr, Eberhard; O'Donnell, Gregory; Rodriguez, Silveria; Mane, Joel; Zhang, Lan] Merck &amp; Co Inc, Rahway, NJ 07065 USA; [Clotet, Bonaventura; Blanco, Julia] Univ Vic, Cent Univ Catalonia UVic UCC, Vic, Spain; [Blanco, Julia] Germans Trias &amp; Pujol Res Inst IGTP, Badalona, Spain; [Blanco, Julia] CIBERINFEC, Madrid, Spain</t>
  </si>
  <si>
    <t xml:space="preserve">Institut de Recerca de la Sida - IrsiCaixa; Merck &amp; Company; Merck &amp; Company USA; Universitat de Vic - Universitat Central de Catalunya (UVic-UCC); Fundacio Institut d'Investigacio en Ciencies de la Salut Germans Trias i Pujol (IGTP)</t>
  </si>
  <si>
    <t xml:space="preserve">Trinité, B; Blanco, J (corresponding author), IrsiCaixa, Badalona, Spain.;Zhang, L (corresponding author), Merck &amp; Co Inc, Rahway, NJ 07065 USA.;Blanco, J (corresponding author), UAB, IrsiCaixa AIDS Res Inst, Can Ruti Campus, Badalona, Spain.</t>
  </si>
  <si>
    <t xml:space="preserve">btrinite@irsicaixa.es; lan_zhang2@merck.com; jblanco@irsicaixa.es</t>
  </si>
  <si>
    <t xml:space="preserve">Carrillo, Jorge/AAL-9481-2021; Urrea, Victor/ABF-9634-2021; Clotet, Bonaventura/AET-1838-2022; Blanco, Julia/A-5347-2008</t>
  </si>
  <si>
    <t xml:space="preserve">Durr, Eberhard/0000-0003-0601-1117; Blanco, Julia/0000-0002-2225-0217; Ortiz, Raquel/0000-0002-6919-2026; Aguilar Gurrieri, Carmen/0000-0002-5701-7650</t>
  </si>
  <si>
    <t xml:space="preserve">Merck &amp; Co., Inc. Kenilworth, NJ, USA; Generalitat de Catalunya, Spain; Fons Social Europeu [2022 FI_B 00698]</t>
  </si>
  <si>
    <t xml:space="preserve">Merck &amp; Co., Inc. Kenilworth, NJ, USA; Generalitat de Catalunya, Spain(Generalitat de Catalunya); Fons Social Europeu</t>
  </si>
  <si>
    <t xml:space="preserve">This study was funded by Merck &amp; Co., Inc. Kenilworth, NJ, USA. We would like to thank Jennifer Galli, Scott Cosmi and Gwenny Go for expression and purification of the recombinant VCR4 and hMPV proteins that were used in this study, Zhifeng Chen for providing the anti-bodies used for VLP characterization, and Joseph Osinubi for technical assistance in the virus neutralization assays. Special thanks to Andrew Bett, Kalpit Vora, and Ming-Tang Chen for their expert advice and helpful comments for the study. A.P-G. was supported by a predoctoral grant from Generalitat de Catalunya, Spain and Fons Social Europeu (2022 FI_B 00698) .</t>
  </si>
  <si>
    <t xml:space="preserve">MAY 31</t>
  </si>
  <si>
    <t xml:space="preserve">10.1016/j.vaccine.2024.04.048</t>
  </si>
  <si>
    <t xml:space="preserve">A6H9Q</t>
  </si>
  <si>
    <t xml:space="preserve">WOS:001283537000001</t>
  </si>
  <si>
    <t xml:space="preserve">Pierangeli, A; Piralla, A; Renteria, SU; Giacomel, G; Lunghi, G; Pagani, E; Giacobazzi, E; Vian, E; Biscaro, V; Piccirilli, G; Lazzarotto, T; Menzo, S; Ferreri, ML; Novazzi, F; Petrarca, L; Licari, A; Ferrari, G; Oliveto, G; Antonelli, G; Binda, S; Galli, C; Pellegrinelli, L; Pariani, E; Baldanti, F</t>
  </si>
  <si>
    <t xml:space="preserve">Pierangeli, Alessandra; Piralla, Antonio; Renteria, Sara Uceda; Giacomel, Giovanni; Lunghi, Giovanna; Pagani, Elisabetta; Giacobazzi, Elisabetta; Vian, Elisa; Biscaro, Valeria; Piccirilli, Giulia; Lazzarotto, Tiziana; Menzo, Stefano; Ferreri, Monica Lucia; Novazzi, Federica; Petrarca, Laura; Licari, Amelia; Ferrari, Guglielmo; Oliveto, Giuseppe; Antonelli, Guido; Binda, Sandro; Galli, Cristina; Pellegrinelli, Laura; Pariani, Elena; Baldanti, Fausto</t>
  </si>
  <si>
    <t xml:space="preserve">Multicenter epidemiological investigation and genetic characterization of respiratory syncytial virus and metapneumovirus infections in the pre-pandemic 2018-2019 season in northern and central Italy</t>
  </si>
  <si>
    <t xml:space="preserve">CLINICAL AND EXPERIMENTAL MEDICINE</t>
  </si>
  <si>
    <t xml:space="preserve">Respiratory syncytial virus; Human metapneumovirus; Respiratory viruses; Molecular epidemiology; Bronchiolitis; Pneumonia</t>
  </si>
  <si>
    <t xml:space="preserve">CHILDREN; CIRCULATION; DUPLICATION; PATTERNS; INFANTS; BURDEN</t>
  </si>
  <si>
    <t xml:space="preserve">Respiratory syncytial virus (RSV) and human metapneumovirus (HMPV) cause a high burden of disease, particularly in children and the elderly. With the aim to add knowledge on RSV and HMPV infections in Italy, a prospective, multicenter study was conducted by eight centers of the Working Group on Respiratory Virus Infections (GLIViRe), from December 2018-April 2019. Weekly distribution and patients' demographic and clinical data were compared in 1300 RSV and 222 HMPV-positive cases. Phylogenetic analysis of the G-glycoprotein coding region was performed to characterize circulating strains. RSV positivity ranged from 6.4% in outpatients of all ages to 31.7% in hospitalized children; HMPV positivity was 4-1.2% with no age-association. RSV season peaked in February and ended in mid-April: HMPV circulation was higher when RSV decreased in early spring. RSV was more frequent in infants, whereas HMPV infected comparatively more elderly adults; despite, their clinical course was similar. RSV-B cases were two-thirds of the total and had similar clinical severity compared to RSV-A. Phylogenetic analysis showed the circulation of RSV-A ON1 variants and the predominance of RSV-B genotype BA10. HMPV genotype A2c was the prevalent one and presented insertions of different lengths in G. This first multicenter Italian report on seasonality, age-specific distribution, and clinical presentation of RSV and HMPV demonstrated their substantial disease burden in young patients but also in the elderly. These data may provide the basis for a national respiratory virus surveillance network.</t>
  </si>
  <si>
    <t xml:space="preserve">[Pierangeli, Alessandra; Oliveto, Giuseppe; Antonelli, Guido] Sapienza Univ Rome, Dept Mol Med, Virol Lab, VLe Porta Tiburtina 28, I-00185 Rome, Italy; [Piralla, Antonio; Ferrari, Guglielmo; Baldanti, Fausto] Fdn IRCCS Policlin San Matteo, Microbiol &amp; Virol Unit, Pavia, Italy; [Renteria, Sara Uceda; Giacomel, Giovanni; Lunghi, Giovanna] Fdn IRCCS Ca Granda Osped Maggiore, Virol Unit, Clin Lab, Milan, Italy; [Pagani, Elisabetta; Giacobazzi, Elisabetta] Hosp Bolzano SABES ASDAA, Lab Aziendale Microbiol &amp; Virol, Bolzano, Italy; [Vian, Elisa; Biscaro, Valeria] Hosp Treviso AULSS2, Microbiol Unit, Treviso, Italy; [Piccirilli, Giulia] IRCCS Azienda Osped Univ, Microbiol Unit, Bologna, Italy; [Lazzarotto, Tiziana] Univ Bologna, Dept Expt Diagnost &amp; Specialty Med, Sect Microbiol, Bologna, Italy; [Menzo, Stefano] Univ Politecn Marche, Dept Biomed Sci &amp; Publ Hlth, Ancona, Italy; [Ferreri, Monica Lucia] Azienda Osped Osped Riuniti Ancona, Virol Lab, Ancona, Italy; [Novazzi, Federica] Osped Circolo &amp; Fdn Macchi, ASST Sette Laghi, Varese, Italy; [Petrarca, Laura] Sapienza Univ Rome, Dept Maternal Infantile &amp; Urol Sci, Rome, Italy; [Licari, Amelia; Baldanti, Fausto] Univ Pavia, Dept Clin Surg Diagnost &amp; Pediat Sci, Pavia, Italy; [Binda, Sandro; Galli, Cristina; Pellegrinelli, Laura; Pariani, Elena] Univ Milan, Dept Biomed Sci Hlth, Milan, Italy</t>
  </si>
  <si>
    <t xml:space="preserve">Sapienza University Rome; IRCCS Fondazione San Matteo; IRCCS Ca Granda Ospedale Maggiore Policlinico; IRCCS Azienda Ospedaliero-Universitaria di Bologna; University of Bologna; Marche Polytechnic University; Ospedale Circolo &amp; Fondazione Macchi; Sapienza University Rome; University of Pavia; University of Milan</t>
  </si>
  <si>
    <t xml:space="preserve">Pierangeli, A (corresponding author), Sapienza Univ Rome, Dept Mol Med, Virol Lab, VLe Porta Tiburtina 28, I-00185 Rome, Italy.</t>
  </si>
  <si>
    <t xml:space="preserve">alessandra.pierangeli@uniroma1.it; a.piralla@smatteo.pv.it; sara.ucedarenteria@policlinico.mi.it; giovanni.giacomel@policlinico.mi.it; elisabetta.pagani@sabes.it; elisabetta.giacobazzi@sabes.it; elisa.vian@aulss2.veneto.it; valeria.biscaro@aulss2.veneto.it; giulia.piccirilli@aosp.bo.it; tiziana.lazzarotto@unibo.it; menzo@univpm.it; mluferreri@gmail.com; federica.novazzi@asst-settelaghi.it; laura.petrarca@uniroma1.it; amelia.licari@unipv.it; guglielmo.ferrari01@universitadipavia.it; giuseppe.oliveto@uniroma1.it; guido.antonelli@uniroma1.it; sandro.binda@unimi.it; cristina.galli@unimi.it; laura.pellegrinelli@unimi.it; elena.pariani@unimi.it; f.baldanti@smatteo.pv.it</t>
  </si>
  <si>
    <t xml:space="preserve">Laura, Pellegrinelli/O-2753-2016; menzo, stefano/AAL-2521-2020; Ferrari, Guglilemo/ABG-3452-2021; Galli, Cristina/AAJ-9499-2020; Binda, Sandro/O-2361-2016; Licari, Amelia/J-5898-2016; PICCIRILLI, GIULIA/K-3963-2016; Antonelli, Guido/K-7915-2016; Petrarca, Laura/JKJ-2347-2023; Piralla, Antonio/K-4756-2018; UCEDA RENTERIA, Sara Colonia/AAY-4348-2020; PARIANI, ELENA/M-3491-2016; Baldanti, Fausto/J-4924-2018; Novazzi, Federica/AAA-5716-2019</t>
  </si>
  <si>
    <t xml:space="preserve">Piralla, Antonio/0000-0002-6062-2579; UCEDA RENTERIA, Sara Colonia/0000-0002-2027-8478; PARIANI, ELENA/0000-0001-5681-3455; Baldanti, Fausto/0000-0002-3358-8969; Giacomel, Giovanni/0009-0000-9642-4729; Novazzi, Federica/0000-0002-2741-8840</t>
  </si>
  <si>
    <t xml:space="preserve">Sapienza University; [MA120172B4A32AE4]</t>
  </si>
  <si>
    <t xml:space="preserve">Sapienza University;</t>
  </si>
  <si>
    <t xml:space="preserve">This study was supported by a grant Medie attrezzature from Sapienza University to Alessandra Pierangeli: n. MA120172B4A32AE4. The funding organization had no role in the design and conduct of the study and in writing of the paper.</t>
  </si>
  <si>
    <t xml:space="preserve">SPRINGER-VERLAG ITALIA SRL</t>
  </si>
  <si>
    <t xml:space="preserve">MILAN</t>
  </si>
  <si>
    <t xml:space="preserve">VIA DECEMBRIO, 28, MILAN, 20137, ITALY</t>
  </si>
  <si>
    <t xml:space="preserve">1591-8890</t>
  </si>
  <si>
    <t xml:space="preserve">1591-9528</t>
  </si>
  <si>
    <t xml:space="preserve">CLIN EXP MED</t>
  </si>
  <si>
    <t xml:space="preserve">Clin. Exper. Med.</t>
  </si>
  <si>
    <t xml:space="preserve">10.1007/s10238-022-00973-3</t>
  </si>
  <si>
    <t xml:space="preserve">DEC 2022</t>
  </si>
  <si>
    <t xml:space="preserve">Medicine, Research &amp; Experimental</t>
  </si>
  <si>
    <t xml:space="preserve">Research &amp; Experimental Medicine</t>
  </si>
  <si>
    <t xml:space="preserve">HC9F4</t>
  </si>
  <si>
    <t xml:space="preserve">WOS:000899467700001</t>
  </si>
  <si>
    <t xml:space="preserve">Ivanciuc, T; Sbrana, E; Casola, A; Garofalo, RP</t>
  </si>
  <si>
    <t xml:space="preserve">Ivanciuc, Teodora; Sbrana, Elena; Casola, Antonella; Garofalo, Roberto P.</t>
  </si>
  <si>
    <t xml:space="preserve">Protective role of nuclear Factor erythroid 2-related Factor 2 against respiratory syncytial Virus and human Metapneumovirus infections</t>
  </si>
  <si>
    <t xml:space="preserve">respiratory syncytial virus; human metapneumovirus; nuclear factor erythroid 2 related factor 2; antioxidant enzymes; hydrogen sulfide; lung injury; airway inflammation; airway obstruction</t>
  </si>
  <si>
    <t xml:space="preserve">AIRWAY EPITHELIAL-CELLS; FACTOR-KAPPA-B; HYDROGEN-SULFIDE; LUNG INFLAMMATION; ALVEOLAR MACROPHAGES; CHEMOKINE EXPRESSION; CRITICAL REGULATOR; GENE-EXPRESSION; YOUNG-CHILDREN; ACTIVATION</t>
  </si>
  <si>
    <t xml:space="preserve">The pathogenesis of respiratory syncytial virus (RSV) infections is characterized by lower airway obstruction driven at great extent by the exuberant production of inflammatory cytokines. We have previously shown that RSV infection in vitro and in vivo results in production of reactive oxygen species along with reduction in the expression of antioxidant enzymes (AOEs), which are involved in maintaining the cellular oxidantantioxidant balance. These events were associated with the concomitant reduction in nuclear factor erythroid 2-related factor 2 (Nrf2), a key transcription factor that controls AOE expression. The objective of the current study was to establish the role of Nrf2 in shaping innate immune responses, clinical disease, airway inflammation, and viral replication in established experimental models of intranasal RSV and human metapneumovirus (hMPV) infections, by employing mice genetically deficient for the Nrf2 gene. Compared to control wild type (WT), mice genetically deficient in Nrf2 (Nrf2 KO) developed enhanced clinical disease, airway inflammation and pathology, and significantly greater lung viral titers following experimental infection with either RSV or hMPV. In particular, compared to control mice, RSV-infected Nrf2 KO mice lost more body weight and had increased airway obstruction at time points characterized by a remarkable increase in inflammatory cytokines and airway neutrophilia. Airway levels of AOEs and enzymes that regulate synthesis of the endogenous hydrogen sulfide (H2S) pathway, which we showed to play an important antiviral function, were also decreased in RSV-infected Nrf2 KO compared to WT. In conclusion, these results suggest that Nrf2 is a critical regulator of innate, inflammatory, and disease-associated responses in the airways of mice infected with viruses that are members of the Pneumoviridae family. Importantly, the results of this study suggest that Nrf2-dependent genes, including those controlling the cellular antioxidant and H2S-generating enzymes and cytokines can affect several aspects of the antiviral response, such as airway neutrophilia, clinical disease, airway obstruction, and viral replication.</t>
  </si>
  <si>
    <t xml:space="preserve">[Ivanciuc, Teodora; Casola, Antonella; Garofalo, Roberto P.] Univ Texas Med Branch, Dept Pediat, Galveston, TX 77555 USA; [Sbrana, Elena; Casola, Antonella; Garofalo, Roberto P.] Univ Texas Med Branch, Dept Microbiol &amp; Immunol, Galveston, TX 77555 USA; [Casola, Antonella; Garofalo, Roberto P.] Univ Texas Med Branch, Sealy Ctr Vaccine Dev, Galveston, TX 77555 USA; [Casola, Antonella; Garofalo, Roberto P.] Univ Texas Med Branch, Sealy Ctr Mol Med, Galveston, TX 77555 USA</t>
  </si>
  <si>
    <t xml:space="preserve">University of Texas System; University of Texas Medical Branch Galveston; University of Texas System; University of Texas Medical Branch Galveston; University of Texas System; University of Texas Medical Branch Galveston; University of Texas System; University of Texas Medical Branch Galveston</t>
  </si>
  <si>
    <t xml:space="preserve">Casola, A; Garofalo, RP (corresponding author), Univ Texas Med Branch, Dept Pediat, Galveston, TX 77555 USA.;Casola, A; Garofalo, RP (corresponding author), Univ Texas Med Branch, Dept Microbiol &amp; Immunol, Galveston, TX 77555 USA.;Casola, A; Garofalo, RP (corresponding author), Univ Texas Med Branch, Sealy Ctr Vaccine Dev, Galveston, TX 77555 USA.;Casola, A; Garofalo, RP (corresponding author), Univ Texas Med Branch, Sealy Ctr Mol Med, Galveston, TX 77555 USA.</t>
  </si>
  <si>
    <t xml:space="preserve">ancasola@utmb.edu; rpgarofa@utmb.edu</t>
  </si>
  <si>
    <t xml:space="preserve">NIH [AI122142, AI25434, AI062885, ES026782]</t>
  </si>
  <si>
    <t xml:space="preserve">NIH(United States Department of Health &amp; Human ServicesNational Institutes of Health (NIH) - USA)</t>
  </si>
  <si>
    <t xml:space="preserve">This work was partially supported by NIH grants AI122142, AI25434, AI062885, and ES026782.</t>
  </si>
  <si>
    <t xml:space="preserve">APR 23</t>
  </si>
  <si>
    <t xml:space="preserve">10.3389/fimmu.2018.00854</t>
  </si>
  <si>
    <t xml:space="preserve">GD5TL</t>
  </si>
  <si>
    <t xml:space="preserve">WOS:000430569500001</t>
  </si>
  <si>
    <t xml:space="preserve">Xiao, X; Tang, AM; Cox, KS; Wen, ZY; Callahan, C; Sullivan, NL; Nahas, DD; Cosmi, S; Galli, JD; Minnier, M; Verma, D; Babaoglu, K; Su, H; Bett, AJ; Vora, KA; Chen, ZF; Zhang, L</t>
  </si>
  <si>
    <t xml:space="preserve">Xiao, Xiao; Tang, Aimin; Cox, Kara S.; Wen, Zhiyun; Callahan, Cheryl; Sullivan, Nicole L.; Nahas, Deborah D.; Cosmi, Scott; Galli, Jennifer D.; Minnier, Michael; Verma, Deeptak; Babaoglu, Kerim; Su, Hua; Bett, Andrew J.; Vora, Kalpit A.; Chen, Zhifeng; Zhang, Lan</t>
  </si>
  <si>
    <t xml:space="preserve">Characterization of potent RSV neutralizing antibodies isolated from human memory B cells and identification of diverse RSV/hMPV cross-neutralizing epitopes</t>
  </si>
  <si>
    <t xml:space="preserve">MABS</t>
  </si>
  <si>
    <t xml:space="preserve">Respiratory syncytial virus; human metapneumovirus; neutralizing monoclonal antibodies; human memory B cell cloning; cross-reactivity</t>
  </si>
  <si>
    <t xml:space="preserve">RESPIRATORY SYNCYTIAL VIRUS; METAPNEUMOVIRUS FUSION PROTEIN; HUMAN MONOCLONAL-ANTIBODY; STRUCTURAL BASIS; IN-VITRO; GLYCOPROTEIN; INFECTION; CHILDREN; YOUNG; INFANTS</t>
  </si>
  <si>
    <t xml:space="preserve">Respiratory syncytial virus (RSV) is a leading cause of lower respiratory tract infection in young children and older adults. Currently, no licensed vaccine is available, and therapeutic options are limited. The primary target of neutralizing antibodies to RSV is the surface fusion (F) glycoprotein. Understanding the recognition of antibodies with high neutralization potencies to RSV F antigen will provide critical insights in developing efficacious RSV antibodies and vaccines. In this study, we isolated and characterized a panel of monoclonal antibodies (mAbs) with high binding affinity to RSV prefusion F trimer and neutralization potency to RSV viruses. The mAbs were mapped to previously defined antigenic sites, and some that mapped to the same antigenic sites showed remarkable diversity in specificity, binding, and neutralization potencies. We found that the isolated site III mAbs shared highly conserved germline V-gene usage, but had different cross-reactivities to human metapneumovirus (hMPV), possibly due to the distinct modes/angles of interaction with RSV and hMPV F proteins. Furthermore, we identified a subset of potent RSV/hMPV cross-neutralizing mAbs that target antigenic site IV and the recently defined antigenic site V, while the majority of the mAbs targeting these two sites only neutralize RSV. Additionally, the isolated mAbs targeting site o were mono-specific for RSV and showed a wide range of neutralizing potencies on different RSV subtypes. Our data exemplify the diversity of anti-RSV mAbs and provide new insights into the immune recognition of respiratory viruses in the Pneumoviridae family.</t>
  </si>
  <si>
    <t xml:space="preserve">[Xiao, Xiao; Tang, Aimin; Cox, Kara S.; Wen, Zhiyun; Callahan, Cheryl; Sullivan, Nicole L.; Nahas, Deborah D.; Cosmi, Scott; Galli, Jennifer D.; Minnier, Michael; Bett, Andrew J.; Vora, Kalpit A.; Chen, Zhifeng; Zhang, Lan] Merck &amp; Co Inc, Dept Infect Dis &amp; Vaccines Res, Kenilworth, NJ 07033 USA; [Xiao, Xiao] Merck &amp; Co Inc, MRL Postdoctoral Res Program, Kenilworth, NJ USA; [Cosmi, Scott] Eurofins Lancaster Labs Profess Sci Serv, Lancaster, PA USA; [Minnier, Michael] On Board Serv, East Windsor, NJ USA; [Minnier, Michael] AgileOne, Torrance, CA USA; [Verma, Deeptak; Babaoglu, Kerim; Su, Hua] Merck &amp; Co Inc, Dept Chem Modeling &amp; Informat, Kenilworth, NJ USA</t>
  </si>
  <si>
    <t xml:space="preserve">Merck &amp; Company; Merck &amp; Company USA; Merck &amp; Company; Merck &amp; Company USA; Merck &amp; Company; Merck &amp; Company USA</t>
  </si>
  <si>
    <t xml:space="preserve">Chen, ZF; Zhang, L (corresponding author), Merck &amp; Co Inc, Dept Infect Dis &amp; Vaccines Res, Kenilworth, NJ 07033 USA.</t>
  </si>
  <si>
    <t xml:space="preserve">zhifeng.chen@merck.com; lan_zhang2@merck.com</t>
  </si>
  <si>
    <t xml:space="preserve">; Xiao, Xiao/G-7781-2017</t>
  </si>
  <si>
    <t xml:space="preserve">Galli, Jennifer/0000-0001-8577-4790; Xiao, Xiao/0000-0002-8687-5689; Chen, Zhifeng/0000-0002-9390-6527</t>
  </si>
  <si>
    <t xml:space="preserve">MRL Postdoctoral Research Program</t>
  </si>
  <si>
    <t xml:space="preserve">The authors would like to acknowledge Drs. Barney Graham and Peter Kwong (Vaccine Research Center, National Institute of Allergy and Infectious Diseases) for providing the plasmid encoding RSV-A PreF (DS-Cav1) and RSV-B PreF constructs. We also thank Daniel J. DiStefano, Drs. James C. Cook, Bonnie J. Howell, and MRL Postdoctoral Research Program for their support of this work, and Drs. Amy S. Espeseth and Daria J. Hazuda for helpful discussions and review of this manuscript.</t>
  </si>
  <si>
    <t xml:space="preserve">1942-0862</t>
  </si>
  <si>
    <t xml:space="preserve">1942-0870</t>
  </si>
  <si>
    <t xml:space="preserve">MABS-AUSTIN</t>
  </si>
  <si>
    <t xml:space="preserve">mAbs</t>
  </si>
  <si>
    <t xml:space="preserve">NOV 17</t>
  </si>
  <si>
    <t xml:space="preserve">10.1080/19420862.2019.1654304</t>
  </si>
  <si>
    <t xml:space="preserve">AUG 2019</t>
  </si>
  <si>
    <t xml:space="preserve">JG6OL</t>
  </si>
  <si>
    <t xml:space="preserve">WOS:000483293700001</t>
  </si>
  <si>
    <t xml:space="preserve">Broughton, S; Sylvester, KP; Fox, G; Zuckerman, M; Smith, M; Milner, AD; Rafferty, GF; Greenough, A</t>
  </si>
  <si>
    <t xml:space="preserve">Broughton, Simon; Sylvester, Karl P.; Fox, Grenville; Zuckerman, Mark; Smith, Melvyn; Milner, Anthony D.; Rafferty, Gerrard F.; Greenough, Anne</t>
  </si>
  <si>
    <t xml:space="preserve">Lung function in prematurely born infants after viral lower respiratory tract infections</t>
  </si>
  <si>
    <t xml:space="preserve">respiratory syncytial virus; human metapneumovirus; lung function</t>
  </si>
  <si>
    <t xml:space="preserve">HEALTH-CARE UTILIZATION; SYNCYTIAL VIRUS BRONCHIOLITIS; THORACIC GAS VOLUME; RSV INFECTION; PULMONARY-FUNCTION; FUNCTION ABNORMALITIES; HUMAN METAPNEUMOVIRUS; RESIDUAL CAPACITY; PRETERM INFANTS; FOLLOW-UP</t>
  </si>
  <si>
    <t xml:space="preserve">Background: Chronic respiratory morbidity has been reported in prematurely born infants after respiratory syncytial virus (RSV) and human metapneumovirus (hMPV) lower respiratory tract infections (LRTIs). The aim of this study was to determine the impact of viral LRTI on lung function at follow-up of prematurely born infants. Methods: Fifty-nine infants born before 32 weeks of gestational age were prospectively followed after neonatal unit discharge. Nasopharyngeal aspirates were obtained when the infants developed LRTIs in hospital or the community. RSV was identified by immunofluorescence and/or culture. In addition, RSV and other viral infections were identified by real time reverse transcription polymerase chain reaction. At a corrected age of 1 year, measurements of lung volume [functional residual capacity (FRC)(pleth)] and airway resistance (R-aw) were made by plethysmography, and lung volume was also assessed by helium gas dilution (FRCHe). Before the measurements, parents completed diary cards for I month documenting on a daily basis whether their infant wheezed, coughed, or required bronchodilator therapy. Results: Twenty-five infants had at least 1 proven RSV LRTI (RSV-positive group). The RSV-positive group compared with the rest of the cohort had similar lung volumes, but significantly higher R-aw (P = 0.002), more days of wheeze (P &lt; 0.001). and bronchodilator requirement (P = 0.027). Regression analysis also identified that hMPV LRTI was associated with elevated airways resistance at follow-up. Conclusion: RSV and hMPV LRTIs in prematurely born infants are associated with abnormal lung function at follow-up.</t>
  </si>
  <si>
    <t xml:space="preserve">Kings Coll London, MRC Asthma Ctr, Div Asthma Aller &amp; Lung Biol, London, England; Guys &amp; St Thomas Hosp, Dept Child Hlth, London, England; Kings Coll Hosp, London S Specialist Virol Ctr, London, England</t>
  </si>
  <si>
    <t xml:space="preserve">University of London; King's College London; Guy's &amp; St Thomas' NHS Foundation Trust; King's College Hospital NHS Foundation Trust; King's College Hospital</t>
  </si>
  <si>
    <t xml:space="preserve">Greenough, A (corresponding author), Kings Coll Hosp, Children Nationwide Newborn Ctr, 4th Floor Golden Jubilee Wing, London SE5 9RS, England.</t>
  </si>
  <si>
    <t xml:space="preserve">anne.greenough@kcl.ac.uk</t>
  </si>
  <si>
    <t xml:space="preserve">Rafferty, Gerrard/B-2826-2011; Sylvester, Karl/D-8832-2011</t>
  </si>
  <si>
    <t xml:space="preserve">Rafferty, Gerrard/0000-0001-9520-6500; Greenough, Anne/0000-0002-8672-5349</t>
  </si>
  <si>
    <t xml:space="preserve">10.1097/INF.0b013e318126bbb9</t>
  </si>
  <si>
    <t xml:space="preserve">WOS:000250818300008</t>
  </si>
  <si>
    <t xml:space="preserve">van Woensel, JBM; Bos, AP; Lutter, R; Rossen, JWA; Schumman, R</t>
  </si>
  <si>
    <t xml:space="preserve">van Woensel, J. B. M.; Bos, A. P.; Lutter, R.; Rossen, J. W. A.; Schumman, R.</t>
  </si>
  <si>
    <t xml:space="preserve">Absence of human metapneumovirus co-infection in cases of severe respiratory syncytial virus infection</t>
  </si>
  <si>
    <t xml:space="preserve">respiratory syncytial virus; human metapneumovirus; lower respiratory tract infection</t>
  </si>
  <si>
    <t xml:space="preserve">TRACT INFECTIONS; YOUNG-CHILDREN; PCR ASSAY; DIAGNOSIS; INFANTS</t>
  </si>
  <si>
    <t xml:space="preserve">It has been suggested that co-infection of human metapneurnovirus (hMPV) in severe respiratory syncytial (RSV) virus bronchiolitis is very common. To evaluate the epidemiology of hMPV co-infection in children with severe lower respiratory tract infection caused by RSV virus. This was an observational cohort study in which hMPV and RSV viral load was measured by RT-PCR in tracheal specimens from the target population. hMPV could not be detected in any of the 30 mechanically ventilated children with RSV lower respiratory tract infection. Our study suggests that hMPV co-infection is not very common in severe RSV lower respiratory tract infection.</t>
  </si>
  <si>
    <t xml:space="preserve">Emma Childrens Hosp, Pediat Intens Care Unit, Acad Med Ctr, NL-1100 DD Amsterdam, Netherlands; Acad Med Ctr, Dept Pulmonol &amp; Expt Immunol, NL-1100 DD Amsterdam, Netherlands; Univ Med Ctr Utrecht, Eijkman Winkler Ctr, Dept Virol, Utrecht, Netherlands</t>
  </si>
  <si>
    <t xml:space="preserve">University of Amsterdam; Academic Medical Center Amsterdam; Emma Children's Hospital; University of Amsterdam; Academic Medical Center Amsterdam; Utrecht University; Utrecht University Medical Center</t>
  </si>
  <si>
    <t xml:space="preserve">van Woensel, JBM (corresponding author), Emma Childrens Hosp, Pediat Intens Care Unit, Acad Med Ctr, POB 22660, NL-1100 DD Amsterdam, Netherlands.</t>
  </si>
  <si>
    <t xml:space="preserve">j.b.vanwoensel@amc.nl</t>
  </si>
  <si>
    <t xml:space="preserve">Rossen, John W. A./G-7564-2011</t>
  </si>
  <si>
    <t xml:space="preserve">Rossen, John W. A./0000-0002-7167-8623</t>
  </si>
  <si>
    <t xml:space="preserve">10.1002/ppul.20459</t>
  </si>
  <si>
    <t xml:space="preserve">077NC</t>
  </si>
  <si>
    <t xml:space="preserve">WOS:000240035300010</t>
  </si>
  <si>
    <t xml:space="preserve">Yan, XL; Li, YN; Tang, YJ; Xie, ZP; Gao, HC; Yang, XM; Li, YM; Liu, LJ; Duan, ZJ</t>
  </si>
  <si>
    <t xml:space="preserve">Yan, Xiao-li; Li, Yu-ning; Tang, Yi-jie; Xie, Zhi-ping; Gao, Han-chun; Yang, Xue-mei; Li, Yu-mei; Liu, Li-jun; Duan, Zhao-jun</t>
  </si>
  <si>
    <t xml:space="preserve">Clinical Characteristics and Viral Load of Respiratory Syncytial Virus and Human Metapneumovirus in Children Hospitaled for Acute Lower Respiratory Tract Infection</t>
  </si>
  <si>
    <t xml:space="preserve">respiratory syncytial virus; human metapneumovirus; epidemiology</t>
  </si>
  <si>
    <t xml:space="preserve">CHILDHOOD PNEUMONIA; DISEASE SEVERITY; YOUNG-CHILDREN; EPIDEMIOLOGY; INFANTS; BRONCHIOLITIS; ASSOCIATION; MORTALITY; MULTIPLE; ETIOLOGY</t>
  </si>
  <si>
    <t xml:space="preserve">Respiratory syncytial virus (RSV) and human metapneumovirus (HMPV) are two common viral pathogens in acute lower respiratory tract infections (ALRTI). However, the association of viral load with clinical characteristics is not well-defined in ALRTI. To explore the correlation between viral load and clinical characteristics of RSV and HMPV in children hospitalized for ALRTI in Lanzhou, China. Three hundred and eighty-seven children hospitalized for ALRTI were enrolled. Nasopharyngeal aspirates (NPAs) were sampled from each children. Real-time PCR was used to screen RSV, HMPV, and twelve additional respiratory viruses. Bronchiolitis was the leading diagnoses both in RSV and HMPV positive patients. A significantly greater frequency of wheezing (52% vs. 33.52%, P = 0.000) was noted in RSV positive and negative patients. The RSV viral load was significant higher in children aged &lt; 1 year (P = 0.003), children without fever and wheezing (P = 0.015 and P = 0.000), days of illness &lt; 14 days (P = 0.002), children with bronchiolitis (P = 0.012) and children with RSV single infections (P = 0.000). No difference was found in the clinical features of HMPV positive and negative patients. The HMPV viral load had no correlation with any clinical characteristics. The incidences of severe disease were similar between single infection and coinfection for the two viruses (RSV, P = 0.221; HMPV, P = 0.764) and there has no statistical significance between severity and viral load (P = 0.166 and P = 0.721). Bronchiolitis is the most common disease caused by RSV and HMPV. High viral load or co-infection may be associated with some symptoms but neither has a significant impact on disease severity for the two viruses. J. Med. Virol. 89: 589-597, 2017. (C) 2016 Wiley Periodicals, Inc.</t>
  </si>
  <si>
    <t xml:space="preserve">[Yan, Xiao-li; Li, Yu-ning; Yang, Xue-mei; Li, Yu-mei; Liu, Li-jun] Lanzhou Univ, Dept Pediat, Hosp 2, Lanzhou, Gansu, Peoples R China; [Yan, Xiao-li; Xie, Zhi-ping; Gao, Han-chun; Duan, Zhao-jun] China Ctr Dis Control, Natl Inst Viral Dis Control &amp; Prevent, Key Lab Med Virol, Minist Hlth, Beijing, Peoples R China; [Tang, Yi-jie] North China Grid Co Ltd, Dept Respirat, Beijing Elect Power Hosp, Beijing, Peoples R China</t>
  </si>
  <si>
    <t xml:space="preserve">Lanzhou University; Chinese Center for Disease Control &amp; Prevention; National Institute for Viral Disease Control &amp; Prevention, Chinese Center for Disease Control &amp; Prevention</t>
  </si>
  <si>
    <t xml:space="preserve">Duan, ZJ (corresponding author), China Ctr Dis Control, Natl Inst Viral Dis Control &amp; Prevent, Dept Viral Diarrhea, 100 Ying Xin St, Beijing 100052, Peoples R China.</t>
  </si>
  <si>
    <t xml:space="preserve">zhaojund@126.com</t>
  </si>
  <si>
    <t xml:space="preserve">Special National Project on Research and Development of Key Biosafety Technologies, China [2016YFC1201900]; National Key Scientific Instrument and Equipment Development Project, China [2012YQ030261]</t>
  </si>
  <si>
    <t xml:space="preserve">Special National Project on Research and Development of Key Biosafety Technologies, China; National Key Scientific Instrument and Equipment Development Project, China</t>
  </si>
  <si>
    <t xml:space="preserve">Grant sponsor: Special National Project on Research and Development of Key Biosafety Technologies, China; Grant number: 2016YFC1201900; Grant sponsor: National Key Scientific Instrument and Equipment Development Project, China; Grant number: 2012YQ030261</t>
  </si>
  <si>
    <t xml:space="preserve">10.1002/jmv.24687</t>
  </si>
  <si>
    <t xml:space="preserve">EK4KH</t>
  </si>
  <si>
    <t xml:space="preserve">WOS:000393895000004</t>
  </si>
  <si>
    <t xml:space="preserve">Moattari, A; Aleyasin, S; Emami, A; Fyruzi, M; Pirbonyeh, N</t>
  </si>
  <si>
    <t xml:space="preserve">Moattari, Afagh; Aleyasin, Soheila; Emami, Amir; Fyruzi, Mahzad; Pirbonyeh, Neda</t>
  </si>
  <si>
    <t xml:space="preserve">The Prevalence of Human Metapneumovirus and Respiratory Syncytial Virus and Coinfection With Both in Hospitalized Children With Acute Respiratory Infection in South of Iran</t>
  </si>
  <si>
    <t xml:space="preserve">Respiratory Syncytial Virus; Human Metapneumovirus; Asthma; Wheezing</t>
  </si>
  <si>
    <t xml:space="preserve">YOUNG-CHILDREN; ACUTE BRONCHIOLITIS; TRACT; IMPACT; PCR; ASSOCIATION; SYMPTOMS; INFANTS; DISEASE</t>
  </si>
  <si>
    <t xml:space="preserve">Background: Viral infections are the most frequent causes of morbidity and mortality due to respiratory dysfunction worldwide, especially in children under five years of age. Several studies have reported the association of human metapneumovirus (hMPV) and respiratory syncytial virus (RSV) with acute respiratory infection. Objectives: The present study aimed to investigate the prevalence of hMPV, RSV, and their coinfection in children with respiratory symptoms hospitalized in Shiraz City, Fars Province, Iran. The study also attempted to determine the association between asthma and wheezing with hMPV, RSV, and coinfection with both in studied children. Patients and Methods: The study included 280 younger than five years old children with non-influenza infection that were hospitalized for respiratory infection from 2011 to 2013. Nasopharyngeal swabs were collected from patients and tested for RSV and hMPV with reverse transcriptase polymerase chain reaction. Results: The hMPV and RSV were detected in 44 (15.7%) and 84 (30.0%) samples, respectively. Coinfection with both viruses was found in ten patients (3.57%). The incidence of hMPV and RSV infections were observed in children younger than one year old. Infections occurred predominantly from October to April. The most common clinical symptoms were bronchiolitis, wheezing, and cough. Conclusions: Infection with hMPV and RSV are most frequent infections among pediatric patients with respiratory tract symptoms. Coinfection with these viruses may exacerbate the clinical symptoms and increase hospitalization rates, especially in children younger than one year old.</t>
  </si>
  <si>
    <t xml:space="preserve">[Moattari, Afagh; Emami, Amir; Pirbonyeh, Neda] Shiraz Univ Med Sci, Sch Med, Dept Bacteriol &amp; Virol, Shiraz, Iran; [Aleyasin, Soheila] Shiraz Univ Med Sci, Dept Pediat, Shiraz, Iran; [Emami, Amir; Fyruzi, Mahzad] Shiraz Univ Med Sci, Shiraz Burn Res Ctr, Shiraz, Iran</t>
  </si>
  <si>
    <t xml:space="preserve">Shiraz University of Medical Science; Shiraz University of Medical Science; Shiraz University of Medical Science</t>
  </si>
  <si>
    <t xml:space="preserve">Moattari, A (corresponding author), Shiraz Univ Med Sci, Sch Med, Dept Bacteriol &amp; Virol, Shiraz, Iran.</t>
  </si>
  <si>
    <t xml:space="preserve">moattaria@sums.ac.ir</t>
  </si>
  <si>
    <t xml:space="preserve">Moattari, Afagh/U-8143-2017; Alyasin, soheila/P-9848-2018; Emami, Amir/H-1024-2016</t>
  </si>
  <si>
    <t xml:space="preserve">Moattari, Afagh/0000-0003-4394-9622; Alyasin, soheila/0000-0001-7183-545X; Pirbonyeh, Neda/0000-0001-5700-3913; Emami, Amir/0000-0002-4510-1820</t>
  </si>
  <si>
    <t xml:space="preserve">Shiraz University of Medical Sciences [89-01-01-2353]</t>
  </si>
  <si>
    <t xml:space="preserve">Shiraz University of Medical Sciences(Shiraz University of Medical Science)</t>
  </si>
  <si>
    <t xml:space="preserve">This study was financially supported by Deputy Chancellor of Research, Shiraz University of Medical Sciences (Grant number: 89-01-01-2353).</t>
  </si>
  <si>
    <t xml:space="preserve">e21581</t>
  </si>
  <si>
    <t xml:space="preserve">10.5812/pedinfect.21581v2</t>
  </si>
  <si>
    <t xml:space="preserve">CT1UT</t>
  </si>
  <si>
    <t xml:space="preserve">WOS:000362588200005</t>
  </si>
  <si>
    <t xml:space="preserve">Kuang, L; Xu, TT; Wang, CB; Xie, JH; Zhang, YY; Guo, M; Liang, ZF; Zhu, B</t>
  </si>
  <si>
    <t xml:space="preserve">Kuang, Lu; Xu, Tiantian; Wang, Changbing; Xie, Jiahui; Zhang, Yingying; Guo, Min; Liang, Zhuofu; Zhu, Bing</t>
  </si>
  <si>
    <t xml:space="preserve">Changes in the epidemiological patterns of respiratory syncytial virus and human metapneumovirus infection among pediatric patients and their correlation with severe cases: a long-term retrospective study</t>
  </si>
  <si>
    <t xml:space="preserve">respiratory syncytial virus; human metapneumovirus; acute respiratory tract illness; intensive care; pediatric</t>
  </si>
  <si>
    <t xml:space="preserve">UNITED-STATES; CHILDREN; INFANTS; SEASONALITY</t>
  </si>
  <si>
    <t xml:space="preserve">Objectives: We aim to investigate the prevalence of respiratory syncytial virus (RSV) and human metapneumovirus (hMPV) among pediatric patients with acute respiratory tract illness (ARTI) in southern China both pre- and post-COVID-19 pandemic, as well as identify associated risk factors for severe infections. Methods: The study conducted a real-time PCR analysis on hospitalized children with ARTI from 2012 to 2023, specifically targeting RSV, hMPV, and other respiratory pathogens. Additionally, demographic data was collected during this analysis. Results: The prevalence of RSV occurs triennially, and likewise, the temporal pattern of hMPV outbreaks mirrors that of RSV. The peak infection rates of RSV and hMPV occurred during and following the implementation of COVID-19 epidemic prevention and control measures. The incidence of RSV infection exhibited bimodal peaks in 2022, while hMPV demonstrated seasonal peaks during the spring, fall, and winter periods post-COVID-19 pandemic. After the COVID-19 outbreak, there has been an upward trend in the proportion of female patients and patients aged one year and older presenting with ARTI, RSV infections, and hMPV infections. Infant (OR = 4.767, 95%CI: [3.888-5.846], p &lt; 0.0001), presence of co-infection (OR = 0.540, 95%CI: [0.404-0.722], p &lt; 0.0001), and existence of comorbidities (OR = 1.582, 95%CI: [1.285-1.949], p &lt; 0.0001) was the risk ratio for the severity of RSV infection. Children infected with hMPV under the age of 1 year (OR = 0.322, 95%CI: [0.180 - 0.575], p &lt; 0.0001), as well as those with comorbidities (OR = 8.809, 95%CI: [4.493 - 17.272], p &lt; 0.0001), have a higher risk of developing severe illness. Conclusion: The changing epidemiological patterns have the potential to lead to widespread severe outbreaks among children, particularly those with underlying medical conditions who may experience more severe symptoms. Conducting surveillance for pneumoviridae viruses in children is an imperative measure to establish a robust foundation for future epidemic prevention and treatment strategies.</t>
  </si>
  <si>
    <t xml:space="preserve">[Kuang, Lu; Xu, Tiantian; Wang, Changbing; Xie, Jiahui; Zhang, Yingying; Guo, Min; Zhu, Bing] Guangzhou Med Univ, Ctr Lab, Guangzhou Women &amp; Childrens Med Ctr, Guangzhou, Peoples R China; [Liang, Zhuofu] Guangzhou Med Univ, Guangzhou Women &amp; Childrens Med Ctr, Clin Lab, Guangzhou, Peoples R China</t>
  </si>
  <si>
    <t xml:space="preserve">Guangzhou Medical University; Guangzhou Medical University</t>
  </si>
  <si>
    <t xml:space="preserve">Zhu, B (corresponding author), Guangzhou Med Univ, Ctr Lab, Guangzhou Women &amp; Childrens Med Ctr, Guangzhou, Peoples R China.</t>
  </si>
  <si>
    <t xml:space="preserve">zhubing0327@hotmail.com</t>
  </si>
  <si>
    <t xml:space="preserve">Zhang, Yingying/O-5575-2018</t>
  </si>
  <si>
    <t xml:space="preserve">Technology planning projects of Guangzhou [202102010202, 202201020628]</t>
  </si>
  <si>
    <t xml:space="preserve">Technology planning projects of Guangzhou</t>
  </si>
  <si>
    <t xml:space="preserve">The author(s) declare financial support was received for the research, authorship, and/or publication of this article. This work received support from: The technology planning projects of Guangzhou (Grant numbers: 202102010202 and 202201020628).</t>
  </si>
  <si>
    <t xml:space="preserve">SEP 2</t>
  </si>
  <si>
    <t xml:space="preserve">10.3389/fcimb.2024.1435294</t>
  </si>
  <si>
    <t xml:space="preserve">G0S7W</t>
  </si>
  <si>
    <t xml:space="preserve">WOS:001313827300001</t>
  </si>
  <si>
    <t xml:space="preserve">Musa, AO; Faber, SR; Forrest, K; Smith, KP; Sengupta, S; López, CB</t>
  </si>
  <si>
    <t xml:space="preserve">Musa, Abdulafiz O.; Faber, Sydney R.; Forrest, Kaitlyn; Smith, Kenneth P.; Sengupta, Shaon; Lopez, Carolina B.</t>
  </si>
  <si>
    <t xml:space="preserve">Identification of distinct genotypes in circulating RSV A strains based on variants in the virus replication-associated genes</t>
  </si>
  <si>
    <t xml:space="preserve">respiratory syncytial virus; genotypes; polymerase L; replication-associated genes</t>
  </si>
  <si>
    <t xml:space="preserve">RESPIRATORY SYNCYTIAL VIRUS; VESICULAR STOMATITIS-VIRUS; IMMUNIZATION PRACTICES; ADVISORY-COMMITTEE; UNITED-STATES; M2-2 PROTEIN; INFECTION; RECOMMENDATIONS; PREVENTION; NIRSEVIMAB</t>
  </si>
  <si>
    <t xml:space="preserve">Respiratory syncytial virus (RSV) is a common cause of respiratory infection that often leads to hospitalization of infected younger children and older adults. RSV is classified into two strains, A and B, each with several subgroups or genotypes. One issue with the definition of these subgroups is the lack of a unified method of identification or genotyping. We propose that genotyping strategies based on the genes coding for replication-associated proteins could provide critical information on the replication capacity of the distinct subgroups, while clearly distinguishing genotypes. Here, we analyzed the virus replication-associated genes N, P, M2, and L from de novo assembled RSV A sequences obtained from 31 newly sequenced samples from hospitalized patients in Philadelphia and 78 additional publicly available sequences from different geographic locations within the United States. In-depth analysis and annotation of variants in the replication-associated proteins identified the polymerase protein L as a robust target for genotyping RSV subgroups. Importantly, our analysis revealed non-synonymous variations in L that were consistently accompanied by conserved changes in its co-factor P or the M2-2 protein, suggesting associations and interactions between specific domains of these proteins. Similar associations were seen among sequences of the related human metapneumovirus. These results highlight L as an alternative to other RSV genotyping targets and demonstrate the value of in-depth analyses and annotations of RSV sequences as it can serve as a foundation for subsequent in vitro and clinical studies on the efficiency of the polymerase and fitness of different virus isolates.IMPORTANCEGiven the historical heterogeneity of respiratory syncytial virus (RSV) and the disease it causes, there is a need to understand the properties of the circulating RSV strains each season. This information would benefit from an informative and consensus method of genotyping the virus. Here, we carried out a variant analysis that shows a pattern of specific variations among the replication-associated genes of RSV A across different seasons. Interestingly, these variation patterns, which were also seen in human metapneumovirus sequences, point to previously defined interactions of domains within these genes, suggesting co-variation in the replication-associated genes. Our results also suggest a genotyping strategy that can prove to be particularly important in understanding the genotype-phenotype correlation in the era of RSV vaccination, where selective pressure on the virus to evolve is anticipated. More importantly, the categorization of pneumoviruses based on these patterns may be of prognostic value. Given the historical heterogeneity of respiratory syncytial virus (RSV) and the disease it causes, there is a need to understand the properties of the circulating RSV strains each season. This information would benefit from an informative and consensus method of genotyping the virus. Here, we carried out a variant analysis that shows a pattern of specific variations among the replication-associated genes of RSV A across different seasons. Interestingly, these variation patterns, which were also seen in human metapneumovirus sequences, point to previously defined interactions of domains within these genes, suggesting co-variation in the replication-associated genes. Our results also suggest a genotyping strategy that can prove to be particularly important in understanding the genotype-phenotype correlation in the era of RSV vaccination, where selective pressure on the virus to evolve is anticipated. More importantly, the categorization of pneumoviruses based on these patterns may be of prognostic value.</t>
  </si>
  <si>
    <t xml:space="preserve">[Musa, Abdulafiz O.; Faber, Sydney R.; Lopez, Carolina B.] Washington Univ, Dept Mol Microbiol, Sch Med, St Louis, MO 63130 USA; [Musa, Abdulafiz O.; Faber, Sydney R.; Lopez, Carolina B.] Washington Univ, Ctr Womens Infect Dis Res, Sch Med, St Louis, MO 63130 USA; [Forrest, Kaitlyn; Sengupta, Shaon] Univ Penn, Perelman Sch Med, Dept Pediat, Philadelphia, PA USA; [Forrest, Kaitlyn; Sengupta, Shaon] Childrens Hosp Philadelphia, Div Neonatol, Philadelphia, PA USA; [Smith, Kenneth P.] Univ Penn, Perelman Sch Med, Dept Pathol &amp; Lab Med, Philadelphia, PA USA; [Smith, Kenneth P.] Childrens Hosp Philadelphia, Infect Dis Diagnost Lab, Philadelphia, PA USA</t>
  </si>
  <si>
    <t xml:space="preserve">Washington University (WUSTL); Washington University (WUSTL); University of Pennsylvania; University of Pennsylvania; Pennsylvania Medicine; Childrens Hospital of Philadelphia; University of Pennsylvania; University of Pennsylvania; Pennsylvania Medicine; Childrens Hospital of Philadelphia</t>
  </si>
  <si>
    <t xml:space="preserve">López, CB (corresponding author), Washington Univ, Dept Mol Microbiol, Sch Med, St Louis, MO 63130 USA.;López, CB (corresponding author), Washington Univ, Ctr Womens Infect Dis Res, Sch Med, St Louis, MO 63130 USA.</t>
  </si>
  <si>
    <t xml:space="preserve">Sengupta, Shaon/LOR-4798-2024; Lopez, Carolina/A-8887-2008</t>
  </si>
  <si>
    <t xml:space="preserve">Lopez, Carolina/0000-0002-7669-6572</t>
  </si>
  <si>
    <t xml:space="preserve">HHS | National Institutes of Health (NIH) [R01 AI137062]; U.S. National Institutes of Health National Institute of Allergy and Infectious Diseases</t>
  </si>
  <si>
    <t xml:space="preserve">HHS | National Institutes of Health (NIH)(United States Department of Health &amp; Human ServicesNational Institutes of Health (NIH) - USAOffice of the Administrator (NIH)); U.S. National Institutes of Health National Institute of Allergy and Infectious Diseases(United States Department of Health &amp; Human ServicesNational Institutes of Health (NIH) - USANIH National Institute of Allergy &amp; Infectious Diseases (NIAID))</t>
  </si>
  <si>
    <t xml:space="preserve">This work was supported by the U.S. National Institutes of Health National Institute of Allergy and Infectious Diseases (R01 AI137062 to C.B.L.) and the BJC Investigators Program.</t>
  </si>
  <si>
    <t xml:space="preserve">AUG 20</t>
  </si>
  <si>
    <t xml:space="preserve">10.1128/jvi.00990-24</t>
  </si>
  <si>
    <t xml:space="preserve">D2M1T</t>
  </si>
  <si>
    <t xml:space="preserve">Green Submitted, Green Published, hybrid</t>
  </si>
  <si>
    <t xml:space="preserve">WOS:001272404900001</t>
  </si>
  <si>
    <t xml:space="preserve">Mas, V; Nair, H; Campbell, H; Melero, JA; Williams, TC</t>
  </si>
  <si>
    <t xml:space="preserve">Mas, Vicente; Nair, Harish; Campbell, Harry; Melero, Jose A.; Williams, Thomas C.</t>
  </si>
  <si>
    <t xml:space="preserve">Antigenic and sequence variability of the human respiratory syncytial virus F glycoprotein compared to related viruses in a comprehensive dataset</t>
  </si>
  <si>
    <t xml:space="preserve">Respiratory syncytial virus; Genomic variability; Immunisation; F protein</t>
  </si>
  <si>
    <t xml:space="preserve">FUSION GLYCOPROTEIN; PALIVIZUMAB PROPHYLAXIS; POSTFUSION CONFORMATION; NEUTRALIZATION; PROTEIN; RESISTANT; VACCINATION; PREVENTION; ALIGNMENT; VARIANTS</t>
  </si>
  <si>
    <t xml:space="preserve">A comprehensive analysis of sequence variation was carried out comparing the fusion (F) protein of human respiratory syncytial viruses (hRSV) from antigenic groups A and B with the prototype sequence of the A2 strain, also belonging to antigenic group A. The limited number of full bovine RSV F sequences available were included, as well as an extensive set of F sequences from the related human metapneumovirus (hMPV). The results were analysed in the context of the recently determined three dimensional F protein structures, with antigenic sites mapped to these. Although a high degree of sequence conservation in hRSV F exists, and sequence changes did not correlate with location of antigenic sites, preferential accumulation of amino acid changes in certain antigenic sites was noted. When the analysis was extended to hMPV F, a high number of changes was noticed, in agreement with the limited degree of sequence conservation. However, some conserved regions were noted, which may account for the limited number of cross-reactive monoclonal antibodies described between hRSV F and hMPV F. These results provide information about the degree of sequence and antigenic variation currently found in the F protein of circulating viruses. They highlight the importance of establishing a baseline dataset to monitor for future changes that might evolve should preventative immunological measures be made widely available. (C) 2018 The Authors. Published by Elsevier Ltd.</t>
  </si>
  <si>
    <t xml:space="preserve">[Mas, Vicente; Melero, Jose A.] Inst Salud Carlos III, Ctr Nacl Microbiol, Madrid, Spain; [Mas, Vicente; Melero, Jose A.] Inst Salud Carlos III, CIBER Enfermedades Resp, Madrid, Spain; [Nair, Harish; Campbell, Harry] Univ Edinburgh, Usher Inst Populat Hlth Sci &amp; Informat, Edinburgh, Midlothian, Scotland; [Williams, Thomas C.] Univ Edinburgh, Inst Genet &amp; Mol Med, Human Genet Unit, MRC, Crewe Rd, Edinburgh EH4 2XU, Midlothian, Scotland</t>
  </si>
  <si>
    <t xml:space="preserve">Instituto de Salud Carlos III; Centro Nacional de Microbiologia (CNM); CIBER - Centro de Investigacion Biomedica en Red; CIBERES; Instituto de Salud Carlos III; University of Edinburgh; University of Edinburgh</t>
  </si>
  <si>
    <t xml:space="preserve">Williams, TC (corresponding author), Univ Edinburgh, Inst Genet &amp; Mol Med, Human Genet Unit, MRC, Crewe Rd, Edinburgh EH4 2XU, Midlothian, Scotland.</t>
  </si>
  <si>
    <t xml:space="preserve">Thomas.Christie.Williams@ed.ac.uk</t>
  </si>
  <si>
    <t xml:space="preserve">Campbell, Harry/E-2959-2010; Williams, Thomas/AFM-7862-2022; Mas, Vicente/M-4776-2015; Nair, Harish/E-7431-2010</t>
  </si>
  <si>
    <t xml:space="preserve">Mas, Vicente/0000-0002-0887-0743; Williams, Thomas/0000-0002-3866-1344; Nair, Harish/0000-0002-9432-9100</t>
  </si>
  <si>
    <t xml:space="preserve">Wellcome Trust [204802/Z/16/Z]; Innovative Medicines Initiative 2 Joint Undertaking [116019]; European Union; EFPIA; Wellcome Trust [204802/Z/16/Z] Funding Source: Wellcome Trust</t>
  </si>
  <si>
    <t xml:space="preserve">Wellcome Trust(Wellcome Trust); Innovative Medicines Initiative 2 Joint Undertaking; European Union(European Union (EU)); EFPIA; Wellcome Trust(Wellcome Trust)</t>
  </si>
  <si>
    <t xml:space="preserve">T.C. Williams is the recipient of a Wellcome Trust Award [204802/Z/16/Z]. H. Nair and H. Campbell are members of the Respiratory Syncytial Virus Consortium in Europe (RESCEU). RESCEU has received funding from the Innovative Medicines Initiative 2 Joint Undertaking under grant agreement No. 116019. This Joint Undertaking receives support from the European Union's Horizon 2020 research and innovation programme and EFPIA. This work also aligns with the research of the RESPIRE Unit which was commissioned by the National Institute of Health Research using Official Development Assistance (ODA) funding.</t>
  </si>
  <si>
    <t xml:space="preserve">OCT 29</t>
  </si>
  <si>
    <t xml:space="preserve">10.1016/j.vaccine.2018.09.056</t>
  </si>
  <si>
    <t xml:space="preserve">GZ5FH</t>
  </si>
  <si>
    <t xml:space="preserve">WOS:000449444100013</t>
  </si>
  <si>
    <t xml:space="preserve">Sarna, M; Taye, B; Le, H; Giannini, F; Glass, K; Blyth, CC; Richmond, P; Glauert, R; Levy, A; Moore, HC</t>
  </si>
  <si>
    <t xml:space="preserve">Sarna, Mohinder; Taye, Belaynew; Le, Huong; Giannini, Fiona; Glass, Kathryn; Blyth, Christopher C.; Richmond, Peter; Glauert, Rebecca; Levy, Avram; Moore, Hannah C.</t>
  </si>
  <si>
    <t xml:space="preserve">Cohort profile: A population-based record linkage platform to address critical epidemiological evidence gaps in respiratory syncytial virus and other respiratory infections</t>
  </si>
  <si>
    <t xml:space="preserve">INTERNATIONAL JOURNAL OF POPULATION DATA SCIENCE (IJPDS)</t>
  </si>
  <si>
    <t xml:space="preserve">respiratory syncytial virus; epidemiology; data linkage; respiratory viruses</t>
  </si>
  <si>
    <t xml:space="preserve">HEALTH; RSV; PREVENTION; NIRSEVIMAB; PRETERM; BURDEN; AGE</t>
  </si>
  <si>
    <t xml:space="preserve">Introduction The Western Australia (WA) Respiratory Infections Linked Data Platform is a population-based cohort established to investigate the epidemiology of RSV and other respiratory infections in children aged 0-10 years, incorporating microbiological testing patterns, hospital admissions, emergency department presentations, and socio-demographic data. Methods The cohort was formed through individual linkages between datasets from the WA Department of Health including the Birth and Death Registry, Midwives Notification System (MNS), Hospital Morbidity Data Collection, Emergency Department Data Collection, WA Notifiable Diseases Database, WA Register of Developmental Anomalies, WA Cerebral Palsy Register, WA Antenatal Vaccination Database, WA Family Connections, and PathWest Respiratory Virus Surveillance Data. Hospitalisations and emergency department presentations were temporally linked to routine respiratory viral surveillance data. Results The cohort consists of 368,830 WA births between 1 January 2010 and 31 December 2020 with accompanying perinatal and demographic data, and with secondary care follow-up to 30 June 2022. Of these births, 24,660 (6.7%) identify as Aboriginal. A total of 4,077 (1.1%) children died from all causes during the study period (2010-2020), and 9.2% (33,818) of children were born preterm (&lt;37 weeks). Conclusion The Respiratory Infections Linked Data Platform enables epidemiological investigations, identifying virus-specific risk groups, risk factors, clinical presentation, viral testing patterns, long-term impacts and accurate measures of viral incidence rates in risk and population sub-groups This will not only aid in the calculation of cost-effectiveness estimates of interventions such as immunisations, but also provide guidance for design and implementation of such programs to priority groups. The Respiratory Infections Linked Data Platform will also enable evaluation of the direct and indirect effects of maternal and infant vaccines and new therapeutics. Analyses using this platform will also generate epidemiological data needed for other respiratory viruses on the vaccine pipeline such as parainfluenza virus and human metapneumovirus.</t>
  </si>
  <si>
    <t xml:space="preserve">[Sarna, Mohinder; Taye, Belaynew; Le, Huong; Giannini, Fiona; Glass, Kathryn; Blyth, Christopher C.; Richmond, Peter; Glauert, Rebecca; Moore, Hannah C.] Univ Western Australia, Wesfarmers Ctr Vaccines &amp; Infect Dis, Telethon Kids Inst, Nedlands, WA, Australia; [Sarna, Mohinder; Taye, Belaynew; Le, Huong; Moore, Hannah C.] Curtin Univ, Sch Populat Hlth, Bentley, WA, Australia; [Glass, Kathryn] Australian Natl Univ, ANU Coll Hlth &amp; Med, Natl Ctr Epidemiol &amp; Populat Hlth, Canberra, ACT, Australia; [Blyth, Christopher C.; Richmond, Peter] Univ Western Australia, Sch Med, Nedlands, WA, Australia; [Blyth, Christopher C.; Richmond, Peter] Perth Childrens Hosp, Dept Paediat Infect Dis, Perth, WA, Australia; [Glauert, Rebecca] Univ Western Australia, Sch Populat &amp; Global Hlth, Nedlands, WA, Australia; [Levy, Avram] QEII Med Ctr, Pathogen Genom &amp; Surveillance Unit, PathWest Lab Med, Perth, WA, Australia; [Levy, Avram] Univ Western Australia, Sch Biomed Sci, Perth, WA, Australia</t>
  </si>
  <si>
    <t xml:space="preserve">Wesfarmers Limited; University of Western Australia; The Kids Research Institute Australia; Curtin University; Australian National University; University of Western Australia; Perth Childrens Hospital; University of Western Australia; Pathwest Laboratory Medicine; University of Western Australia</t>
  </si>
  <si>
    <t xml:space="preserve">Sarna, M (corresponding author), Univ Western Australia, Wesfarmers Ctr Vaccines &amp; Infect Dis, Telethon Kids Inst, Nedlands, WA, Australia.;Sarna, M (corresponding author), Curtin Univ, Sch Populat Hlth, Bentley, WA, Australia.</t>
  </si>
  <si>
    <t xml:space="preserve">minda.sarna@telethonkids.org.au</t>
  </si>
  <si>
    <t xml:space="preserve">Huong, Le/JOJ-9777-2023</t>
  </si>
  <si>
    <t xml:space="preserve">Stan Perron Charitable Foundation Fellowship; Future Health Research and Innovation Fund</t>
  </si>
  <si>
    <t xml:space="preserve">HCM is supported by a Stan Perron Charitable Foundation Fellowship and the Future Health Research and Innovation Fund through theWA Near-miss Awards program. The funding bodies had no role in the design, conduct, analysis or interpretation of the study or decision to publish.</t>
  </si>
  <si>
    <t xml:space="preserve">SWANSEA UNIV</t>
  </si>
  <si>
    <t xml:space="preserve">SWANSEA</t>
  </si>
  <si>
    <t xml:space="preserve">SINGLETON PARK, SWANSEA, SA2 8PP, WALES</t>
  </si>
  <si>
    <t xml:space="preserve">2399-4908</t>
  </si>
  <si>
    <t xml:space="preserve">INT J POPUL DATA SCI</t>
  </si>
  <si>
    <t xml:space="preserve">Int. J. Population Data Sci.</t>
  </si>
  <si>
    <t xml:space="preserve">10.23889/ijpds.v6i1.2376</t>
  </si>
  <si>
    <t xml:space="preserve">Health Care Sciences &amp; Services; Public, Environmental &amp; Occupational Health; Social Sciences, Interdisciplinary</t>
  </si>
  <si>
    <t xml:space="preserve">Health Care Sciences &amp; Services; Public, Environmental &amp; Occupational Health; Social Sciences - Other Topics</t>
  </si>
  <si>
    <t xml:space="preserve">L4U7L</t>
  </si>
  <si>
    <t xml:space="preserve">WOS:001350690000001</t>
  </si>
  <si>
    <t xml:space="preserve">Falsey, AR; McElhaney, JE; Beran, J; van Essen, GA; Duval, X; Esen, M; Galtier, F; Gervais, P; Hwang, SJ; Kremsner, P; Launay, O; Leroux-Roels, G; McNeil, SA; Nowakowski, A; Richardus, JH; Ruiz-Palacios, G; St Rose, S; Devaster, JM; Oostvogels, L; Durviaux, S; Taylor, S</t>
  </si>
  <si>
    <t xml:space="preserve">Falsey, Ann R.; McElhaney, Janet E.; Beran, Jiri; van Essen, Gerrit A.; Duval, Xavier; Esen, Meral; Galtier, Florence; Gervais, Pierre; Hwang, Shinn-Jang; Kremsner, Peter; Launay, Odile; Leroux-Roels, Geert; McNeil, Shelly A.; Nowakowski, Andrzej; Richardus, Jan Hendrik; Ruiz-Palacios, Guillermo; St Rose, Suzanne; Devaster, Jeanne-Marie; Oostvogels, Lidia; Durviaux, Serge; Taylor, Sylvia</t>
  </si>
  <si>
    <t xml:space="preserve">Respiratory Syncytial Virus and Other Respiratory Viral Infections in Older Adults With Moderate to Severe Influenza-like Illness</t>
  </si>
  <si>
    <t xml:space="preserve">respiratory syncytial virus; elderly; respiratory infection; influenza; epidemiology; prevalence; polymerase chain reaction</t>
  </si>
  <si>
    <t xml:space="preserve">ELDERLY-PEOPLE; VACCINE</t>
  </si>
  <si>
    <t xml:space="preserve">Background. Few studies have prospectively assessed viral etiologies of acute respiratory infections in community-based elderly individuals. We assessed viral respiratory pathogens in individuals &gt;= 65 years with influenza-like illness (ILI). Methods. Multiplex reverse-transcriptase polymerase chain reaction identified viral pathogens in nasal/throat swabs from 556 episodes of moderate-to-severe ILI, defined as ILI with pneumonia, hospitalization, or maximum daily influenza symptom severity score (ISS) &gt;2. Cases were selected from a randomized trial of an adjuvanted vs non-adjuvanted influenza vaccine conducted in elderly adults from 15 countries. Results. Respiratory syncytial virus (RSV) was detected in 7.4% (41/556) moderate-to-severe ILI episodes in elderly adults. Most (39/41) were single infections. There was a significant association between country and RSV detection (P =.004). RSV prevalence was 7.1% (2/28) in ILI with pneumonia, 12.5% (8/64) in ILI with hospitalization, and 6.7% (32/480) in ILI with maximum ISS &gt; 2. Any virus was detected in 320/556 (57.6%) ILI episodes: influenza A (104/556, 18.7%), rhinovirus/enterovirus (82/556, 14.7%), coronavirus and human metapneumovirus (each 32/556, 5.6%). Conclusions. This first global study providing data on RSV disease in &gt;= 65 year-olds confirms that RSV is an important respiratory pathogen in the elderly. Preventative measures such as vaccination could decrease severe respiratory illnesses and complications in the elderly.</t>
  </si>
  <si>
    <t xml:space="preserve">[Falsey, Ann R.] Univ Rochester, Sch Med, Rochester Gen Hosp, Rochester, NY USA; [McElhaney, Janet E.] Adv Med Res Inst Canada, HSN Volunteer Assoc Chair Geriatr Res, Sudbury, ON, Canada; [Beran, Jiri] Vaccinat &amp; Travel Med Ctr, Hradec Kralove, Czech Republic; [van Essen, Gerrit A.] Univ Med Ctr Utrecht, Julius Ctr Hlth Sci &amp; Primary Care, Utrecht, Netherlands; [Duval, Xavier] Hop Bichat Claude Bernard, Inserm CIC, Paris, France; [Duval, Xavier; Galtier, Florence] Natl Network Clin Invest Vaccinol REIVAC, Paris, France; [Esen, Meral; Kremsner, Peter] Inst Trop Med, Tubingen, Germany; [Galtier, Florence; Launay, Odile] Hop St Eloi, CHRU Montpellier, Inserm CIC, Montpellier, France; [Gervais, Pierre] Q&amp;T Res Sherbrooke, Sherbrooke, PQ, Canada; [Hwang, Shinn-Jang] Taipei Vet Gen Hosp, Dept Family Med, Taipei, Taiwan; [Hwang, Shinn-Jang] Natl Yang Ming Univ, Sch Med, Taipei, Taiwan; [Launay, Odile] INSERM, CIC BT505, Paris, France; [Launay, Odile] Univ Paris 05, AP HP, Grp Hosp Paris Ctr, CIC Vaccinol Cochin Pasteur, Paris, France; [Leroux-Roels, Geert] Univ Ghent, Ctr Vaccinol, B-9000 Ghent, Belgium; [Leroux-Roels, Geert] Univ Hosp, Ghent, Belgium; [McNeil, Shelly A.] Dalhousie Univ, Hlth Sci Ctr, Canadian Ctr Vaccinol &amp; Capital Hlth, Halifax, NS, Canada; [Nowakowski, Andrzej] Family Med Ctr, Lubartow, Poland; [Nowakowski, Andrzej] Mil Inst Med, Dept Gynaecol &amp; Oncol Gynaecol, Warsaw, Poland; [Richardus, Jan Hendrik] GGD Rotterdam Rijnmond, Rotterdam, Netherlands; [Ruiz-Palacios, Guillermo] Inst Nacl Ciencias Med &amp; Nutr Salvador Zubiran, Dept Infect Dis, Mexico City, DF, Mexico; [St Rose, Suzanne; Oostvogels, Lidia; Durviaux, Serge; Taylor, Sylvia] GlaxoSmithKline Vaccines, B-1300 Wavre, Belgium; [Devaster, Jeanne-Marie] GlaxoSmithKline Vaccines, Rixensart, Belgium</t>
  </si>
  <si>
    <t xml:space="preserve">Rochester General Hospital; University of Rochester; Health Sciences North; Utrecht University; Utrecht University Medical Center; Assistance Publique Hopitaux Paris (APHP); Universite Paris Cite; Hopital Universitaire Bichat-Claude Bernard - APHP; Institut National de la Sante et de la Recherche Medicale (Inserm); Eberhard Karls University of Tubingen; Universite de Montpellier; CHU de Montpellier; Institut National de la Sante et de la Recherche Medicale (Inserm); Taipei Veterans General Hospital; National Yang Ming Chiao Tung University; Institut National de la Sante et de la Recherche Medicale (Inserm); Universite Paris Cite; Assistance Publique Hopitaux Paris (APHP); Hopital Universitaire Cochin - APHP; Ghent University; Ghent University; Ghent University Hospital; Dalhousie University; Military Institute of Aviation Medicine; Instituto Nacional de Ciencias Medicas y Nutricion Salvador Zubiran - Mexico; GlaxoSmithKline; GlaxoSmithKline</t>
  </si>
  <si>
    <t xml:space="preserve">Taylor, S (corresponding author), GlaxoSmithKline Vaccines, Ave Fleming 20,Parc Noire Epine, B-1300 Wavre, Belgium.</t>
  </si>
  <si>
    <t xml:space="preserve">sylvia.m.taylor@gsk.com</t>
  </si>
  <si>
    <t xml:space="preserve">Beran, Jiří/AAL-2538-2021; Ruiz-Palacios, Guillermo/GYQ-5462-2022; Richardus, Jan/AAE-1278-2021; Galtier, Florence/AFA-9074-2022</t>
  </si>
  <si>
    <t xml:space="preserve">Nowakowski, Andrzej/0000-0002-5997-7516; Kremsner, Peter Gottfried/0000-0002-3926-4113; Richardus, Jan Hendrik/0000-0003-0564-6313; McNeil, Shelly/0000-0001-5444-4166; Galtier, Florence/0000-0002-0720-6277; Beran, Jiri/0000-0002-5119-4197</t>
  </si>
  <si>
    <t xml:space="preserve">GlaxoSmithKline Biologicals SA</t>
  </si>
  <si>
    <t xml:space="preserve">GlaxoSmithKline Biologicals SA(GlaxoSmithKline)</t>
  </si>
  <si>
    <t xml:space="preserve">This work was supported by GlaxoSmithKline Biologicals SA. GlaxoSmithKline Biologicals SA was involved in all stages of the conduct and analysis of the studies included in this pooled analysis. GlaxoSmithKline Biologicals SA also funded all costs associated with the development and the publishing of the present article. All authors participated in the design or implementation or analysis, and interpretation of the study and in the development of this article. All authors had full access to the data and gave final approval before submission. The corresponding author was responsible for submission of the publication.</t>
  </si>
  <si>
    <t xml:space="preserve">10.1093/infdis/jit839</t>
  </si>
  <si>
    <t xml:space="preserve">AI7JB</t>
  </si>
  <si>
    <t xml:space="preserve">WOS:000337063100004</t>
  </si>
  <si>
    <t xml:space="preserve">Ennadif, B; Alaoúi-Inboui, FZ; Benmoussa, AY; El Kettani, A; Elmdaghri, N; Slaoui, B</t>
  </si>
  <si>
    <t xml:space="preserve">Ennadif, Basma; Alaoui-Inboui, Fatima Zahra; Benmoussa, AbdelHakim Youssef; El Kettani, Assiya; Elmdaghri, Naima; Slaoui, Bouchra</t>
  </si>
  <si>
    <t xml:space="preserve">Virological Profile of Asthma Exacerbation in Children: A Hospital-Based Retrospective Study</t>
  </si>
  <si>
    <t xml:space="preserve">respiratory syncytial virus; coinfections; rhinovirus; asthma exacerbation; virus</t>
  </si>
  <si>
    <t xml:space="preserve">ATYPICAL BACTERIA; RESPIRATORY-INFECTIONS; VIRUSES; PREVALENCE; SYMPTOMS; BETA</t>
  </si>
  <si>
    <t xml:space="preserve">Introduction Viruses are the most common triggering factors for asthma exacerbation during the autumn and winter seasons. Viruses, such as influenza A and rhinovirus, play a major role in the occurrence of severe exacerbation of asthma. This association between viral infection and asthma exacerbation in children is a result of the antiviral response of the immune system and various anti-inflammatory phenomena. In this work, we aimed to identify the virological profile of asthma exacerbation in children and analyze the correlation between viral infection type and the severity of exacerbation. Materials and methods This retrospective study was conducted from January 2016 to January 2024. The study included children hospitalized for asthma exacerbation associated with signs of viral -like respiratory infection with positive virological testing by multiplex real-time polymerase chain reaction or rapid test in the case of influenza A or respiratory syncytial virus (RSV). Data analysis was performed with Microsoft Excel and SPSS software using a previously established data collection sheet Results Thirty cases were collected for the study period. The mean age of the patients was 4 years and 8 months, with a male -to -female ratio of 3.3. Eighteen patients were known to have asthma, of which nine had uncontrolled asthma, and exacerbation was inaugural in 12 patients. Viral shedding was found in 14 patients. A viral agent was found in all patients, with coinfection of two or more viruses in three patients. The viruses found were influenza A (18 cases), coupled rhinovirus/enterovirus (eight cases), RSV (eight cases), human metapneumovirus (three patients), and parainfluenza type IV in only one inaugural patient. Asthma exacerbation was severe in 20 patients, moderate in eight patients, and two patients had severe acute asthma requiring intensive care management. We noted a higher frequency of severe exacerbation among those with an influenza A viral infection. All patients with RSV infection exhibited moderate exacerbation. No other significant correlation between asthma severity and other types of viruses was found. Conclusions Our results demonstrate the major role played by viruses in triggering asthma exacerbation, primarily influenza virus, followed by enterovirus, rhinovirus, RSV, and metapneumovirus. Larger -scale studies should be carried out to establish a more complete virological profile and further investigate the viral factor in the management of asthma in children.</t>
  </si>
  <si>
    <t xml:space="preserve">[Ennadif, Basma; Alaoui-Inboui, Fatima Zahra; Benmoussa, AbdelHakim Youssef; Slaoui, Bouchra] Univ Hassan 2, Fac Med &amp; Pharm, Dept Pediat, Casablanca, Morocco; [Ennadif, Basma; Alaoui-Inboui, Fatima Zahra; Benmoussa, AbdelHakim Youssef; Slaoui, Bouchra] Hop Mere Enfants Abderrahim Harouchi, Ctr Hosp Univ Ibn Rochd, Pediat Dept 2, Pediat Pneumo Allergol Unit, Casablanca, Morocco; [El Kettani, Assiya; Elmdaghri, Naima] Univ Hassan 2, Fac Med &amp; Pharm, Dept Microbiol, Casablanca, Morocco; [El Kettani, Assiya; Elmdaghri, Naima] Ctr Hosp Univ Ibn Rochd, Dept Microbiol, Casablanca, Morocco</t>
  </si>
  <si>
    <t xml:space="preserve">Hassan II University of Casablanca; Hassan II University of Casablanca; Ibn Rochd University Hospital Center of Casablanca; Hassan II University of Casablanca; Hassan II University of Casablanca; Ibn Rochd University Hospital Center of Casablanca</t>
  </si>
  <si>
    <t xml:space="preserve">Ennadif, B (corresponding author), Univ Hassan 2, Fac Med &amp; Pharm, Dept Pediat, Casablanca, Morocco.;Ennadif, B (corresponding author), Hop Mere Enfants Abderrahim Harouchi, Ctr Hosp Univ Ibn Rochd, Pediat Dept 2, Pediat Pneumo Allergol Unit, Casablanca, Morocco.</t>
  </si>
  <si>
    <t xml:space="preserve">basma.ennadif@gmail.com</t>
  </si>
  <si>
    <t xml:space="preserve">MAY 14</t>
  </si>
  <si>
    <t xml:space="preserve">e60261</t>
  </si>
  <si>
    <t xml:space="preserve">10.7759/cureus.60261</t>
  </si>
  <si>
    <t xml:space="preserve">TU2V4</t>
  </si>
  <si>
    <t xml:space="preserve">WOS:001243715600024</t>
  </si>
  <si>
    <t xml:space="preserve">Chu, HY; Kuypers, J; Renaud, C; Wald, A; Martin, E; Fairchok, M; Magaret, A; Sarancino, M; Englund, JA</t>
  </si>
  <si>
    <t xml:space="preserve">Chu, Helen Y.; Kuypers, Jane; Renaud, Christian; Wald, Anna; Martin, Emily; Fairchok, Mary; Magaret, Amalia; Sarancino, Misty; Englund, Janet A.</t>
  </si>
  <si>
    <t xml:space="preserve">Molecular epidemiology of respiratory syncytial virus transmission in childcare</t>
  </si>
  <si>
    <t xml:space="preserve">Respiratory syncytial virus; Childcare; Molecular epidemiology; Infection control</t>
  </si>
  <si>
    <t xml:space="preserve">ATTENDING DAY-CARE; YOUNG-CHILDREN; NOSOCOMIAL TRANSMISSION; HUMAN METAPNEUMOVIRUS; DISEASE SEVERITY; PCR ASSAYS; VIRAL LOAD; INFECTIONS; INFANTS; COMMUNITY</t>
  </si>
  <si>
    <t xml:space="preserve">Background: Respiratory syncytial virus (RSV) is the most important cause of serious respiratory infections in young children. No prior studies using molecular techniques to examine RSV transmission in the community childcare setting have been performed. Objectives: We seek to characterize the molecular epidemiology of RSV transmission in childcare to evaluate the impact of RSV disease in a community-based population. Methods: We sequenced RSV-positive nasopharyngeal samples from a prospective longitudinal study of respiratory illnesses among children enrolled in childcare during three winter seasons. Phylogenetic analysis was performed to identify unique viral strains. Results: RSV was detected in 59 (11%) illnesses. Compared to RSV-negative illnesses, RSV-positive illnesses were associated with longer symptom duration and increased frequency of health care visits. Another respiratory virus was detected in 42 (71%) RSV-positive illnesses. RSV viral load did not differ between RSV-positive illnesses with and without another respiratory virus identified (P = 0.38). In two childcare rooms, 50% of the children had RSV detected within six days of the first case. Five (38%) of 13 illness episodes from one childcare room were sequenced and shown to be the same viral strain, suggesting rapid child-to-child transmission within the room over a 16 day period. Conclusions: RSV is rapidly transmitted within childcare. Childcare facilities may serve as ideal sites for evaluation of new prevention strategies given the high burden of RSV disease in this population and the rapidity of RSV spread between children. (C) 2013 Elsevier B.V. All rights reserved.</t>
  </si>
  <si>
    <t xml:space="preserve">[Chu, Helen Y.; Englund, Janet A.] Univ Washington, Dept Med, Seattle, WA 98195 USA; [Kuypers, Jane; Renaud, Christian; Wald, Anna; Magaret, Amalia; Sarancino, Misty] Univ Washington, Dept Lab Med, Seattle, WA 98195 USA; [Martin, Emily] Ctr Clin &amp; Translat Res, Seattle Childrens Res Inst, Seattle, WA USA; [Fairchok, Mary; Englund, Janet A.] Madigan Army Med Ctr, Dept Pediat, Tacoma, WA 98431 USA</t>
  </si>
  <si>
    <t xml:space="preserve">University of Washington; University of Washington Seattle; University of Washington; University of Washington Seattle; Seattle Children's Hospital; Madigan Army Medical Center</t>
  </si>
  <si>
    <t xml:space="preserve">Chu, HY (corresponding author), Univ Washington, Med Ctr, Div Allergy &amp; Infect Dis, 1959 NE Pacific Ave,Box 356423, Seattle, WA 98195 USA.</t>
  </si>
  <si>
    <t xml:space="preserve">helenchu@uw.edu</t>
  </si>
  <si>
    <t xml:space="preserve">Englund, Janet/ABV-6379-2022; Wald, Anna/B-6272-2012</t>
  </si>
  <si>
    <t xml:space="preserve">Chu, Helen/0000-0001-8502-9600; Wald, Anna/0000-0003-3486-6438</t>
  </si>
  <si>
    <t xml:space="preserve">National Institutes of Health [T32 5T32AI007044-35, K24 AI071113, P30 AI027757]; MedImmune, Inc.; Novartis; NIH Institutes and Center (NIAID); NIH Institutes and Center (NCI); NIH Institutes and Center (NIMH); NIH Institutes and Center (NIDA); NIH Institutes and Center (NICHD); NIH Institutes and Center (NHLBI); NIH Institutes and Center (NIA)</t>
  </si>
  <si>
    <t xml:space="preserve">National Institutes of Health(United States Department of Health &amp; Human ServicesNational Institutes of Health (NIH) - USA); MedImmune, Inc.(AstraZenecaMedimmune); Novartis(Novartis); NIH Institutes and Center (NIAID); NIH Institutes and Center (NCI); NIH Institutes and Center (NIMH); NIH Institutes and Center (NIDA); NIH Institutes and Center (NICHD); NIH Institutes and Center (NHLBI); NIH Institutes and Center (NIA)</t>
  </si>
  <si>
    <t xml:space="preserve">This study was supported by the National Institutes of Health [T32 5T32AI007044-35 (HYC) &amp; K24 AI071113 (AW)] and an investigator-initiated grant from MedImmune, Inc. (JAE).JAE has received research support from MedImmune, Inc. and Novartis, and serves as a consultant for GlaxoSmithKline and Novavax. All other authors declare no conflicts of interest.The phylogenetic analysis for this study was performed with assistance from the University of Washington Center for AIDS Research (CFAR), an NIH funded program (P30 AI027757), which is supported by the following NIH Institutes and Centers (NIAID, NCI, NIMH, NIDA, NICHD, NHLBI, NIA).</t>
  </si>
  <si>
    <t xml:space="preserve">10.1016/j.jcv.2013.04.011</t>
  </si>
  <si>
    <t xml:space="preserve">166XP</t>
  </si>
  <si>
    <t xml:space="preserve">WOS:000320593800010</t>
  </si>
  <si>
    <t xml:space="preserve">Erez, DL; Yarden-Bilavsky, H; Mendelson, E; Yuhas, Y; Ashkenazi, S; Nahum, E; Berent, E; Hindiyeh, M; Bilavsky, E</t>
  </si>
  <si>
    <t xml:space="preserve">Erez, Daniella Levy; Yarden-Bilavsky, Havatzelet; Mendelson, Ella; Yuhas, Yael; Ashkenazi, Shai; Nahum, Elhanan; Berent, Eva; Hindiyeh, Musa; Bilavsky, Efraim</t>
  </si>
  <si>
    <t xml:space="preserve">APNEA INDUCED BY RESPIRATORY SYNCYTIAL VIRUS INFECTION IS NOT ASSOCIATED WITH VIRAL INVASION OF THE CENTRAL NERVOUS SYSTEM</t>
  </si>
  <si>
    <t xml:space="preserve">respiratory syncytial virus; central nervous system; apnea; cerebrospinal fluid</t>
  </si>
  <si>
    <t xml:space="preserve">CHILDREN; PATIENT</t>
  </si>
  <si>
    <t xml:space="preserve">We aimed to study whether direct central nervous system invasion is responsible for the neurologic manifestations seen in hospitalized infants with respiratory syncytial virus (RSV) infection. Cerebrospinal fluid from infants with RSV infection was tested for the detection of the following respiratory RNA viruses: RSV, influenza A and B, pandemic influenza H1N1, Parainfluenza-3, human metapneumovirus, adenovirus, parechovirus and enterovirus. All children tested negative for the presence of viral material in the cerebrospinal fluid. Our results support the notion that the mechanism of RSV-induced neurologic manifestations, including apnea, is not direct central nervous system invasion.</t>
  </si>
  <si>
    <t xml:space="preserve">[Erez, Daniella Levy; Bilavsky, Efraim] Schneider Childrens Med Ctr, Dept Pediat C, IL-49202 Petah Tiqwa, Israel; [Yarden-Bilavsky, Havatzelet; Ashkenazi, Shai] Schneider Childrens Med Ctr, Dept Pediat A, IL-49202 Petah Tiqwa, Israel; [Yarden-Bilavsky, Havatzelet; Ashkenazi, Shai; Nahum, Elhanan; Bilavsky, Efraim] Tel Aviv Univ, Sackler Fac Med, IL-69978 Tel Aviv, Israel; [Mendelson, Ella; Hindiyeh, Musa] Israel Minist Hlth, Cent Virol Lab, Publ Hlth Serv, Tel Hashomer, Israel; [Yuhas, Yael; Berent, Eva] Felsenstein Med Res Ctr, Infect Dis Lab, Petah Tiqwa, Israel; [Nahum, Elhanan] Schneider Childrens Med Ctr, Pediat Intens Care Unit, IL-49202 Petah Tiqwa, Israel</t>
  </si>
  <si>
    <t xml:space="preserve">Tel Aviv University; Tel Aviv University</t>
  </si>
  <si>
    <t xml:space="preserve">Erez, DL (corresponding author), Schneider Childrens Med Ctr, Dept Pediat C, 14 Kaplan St, IL-49202 Petah Tiqwa, Israel.</t>
  </si>
  <si>
    <t xml:space="preserve">levy.erez.daniella@gmail.com</t>
  </si>
  <si>
    <t xml:space="preserve">Levy Erez, Daniella/JXM-9768-2024; Ashkenazi, Shai/V-7996-2019</t>
  </si>
  <si>
    <t xml:space="preserve">Levy Erez, Daniella/0000-0003-1869-3282; Ashkenazi, Shai/0000-0001-7244-0679</t>
  </si>
  <si>
    <t xml:space="preserve">10.1097/INF.0000000000000311</t>
  </si>
  <si>
    <t xml:space="preserve">AL6WY</t>
  </si>
  <si>
    <t xml:space="preserve">WOS:000339275500024</t>
  </si>
  <si>
    <t xml:space="preserve">González-Ortiz, AM; Bernal-Silva, S; Comas-García, A; Vega-Morúa, M; Garrocho-Rangel, ME; Noyola, DE</t>
  </si>
  <si>
    <t xml:space="preserve">Gonzalez-Ortiz, Ana M.; Bernal-Silva, Sofia; Comas-Garcia, Andreu; Vega-Morua, Maria; Garrocho-Rangel, Maria E.; Noyola, Daniel E.</t>
  </si>
  <si>
    <t xml:space="preserve">Severe Respiratory Syncytial Virus Infection in Hospitalized Children</t>
  </si>
  <si>
    <t xml:space="preserve">ARCHIVES OF MEDICAL RESEARCH</t>
  </si>
  <si>
    <t xml:space="preserve">Respiratory syncytial virus; Bronchiolitis; Pneumonia; Acute respiratory infection</t>
  </si>
  <si>
    <t xml:space="preserve">CLINICAL CHARACTERISTICS; HUMAN METAPNEUMOVIRUS; DISEASE SEVERITY; YOUNG-CHILDREN; EPIDEMIOLOGY; BURDEN; COMMUNITY; MORTALITY; GENOTYPE; INFANTS</t>
  </si>
  <si>
    <t xml:space="preserve">Background. Lower respiratory tract infections (LRTI) are one of the most common causes of death worldwide. Respiratory syncytial virus (RSV) is a leading cause of LRTI in children. Despite of its epidemiological importance, there is limited information regarding the impact of this virus in Latin America. Aims of the study. We carried out a prospective study to establish the frequency and characteristics of RSV infections in hospitalized Mexican children. Methods. 1,252 children hospitalized between November, 2012 and December, 2015 because of LRTI were included in the study. A respiratory sample was obtained for RSV detection by RT-PCR and information regarding clinical presentation, hospital course, and outcome was recorded. Results. RSV was detected in 43.7% of children admitted with LRTI, in 43.3% of those admitted to the intensive care unit (ICU), and in 36.4% of those who died. Infants with RSV infection were younger, were diagnosed with bronchiolitis more frequently, and were less likely to have underlying disorders than those with RSV-negative LRTI. Among RSV-positive infants, admission to the ICU was associated with the presence of underlying conditions, pneumonia diagnosis, and young age. Four (0.73%) of the 547 infants with RSV infection died; death was more common in those with underlying disorders than previously healthy infants (3.8 vs. 0.2%, respectively; p = 0.02). Conclusion. RSV contributes to a large proportion of LRTI hospital admissions. Most children admitted with RSV infection do not have underlying conditions. However, severe infection requiring ICU admission and death are more common in those with underlying disorders. (C) 2019 IMSS. Published by Elsevier Inc.</t>
  </si>
  <si>
    <t xml:space="preserve">[Gonzalez-Ortiz, Ana M.; Vega-Morua, Maria] Hosp Nino &amp; Mujer, San Luis Potosi, San Luis Potosi, Mexico; [Bernal-Silva, Sofia; Comas-Garcia, Andreu; Garrocho-Rangel, Maria E.; Noyola, Daniel E.] Univ Autonoma San Luis Potosi, Fac Med, Dept Microbiol, Ave Venustiano Carranza 2405, San Luis Potosi 78210, San Luis Potosi, Mexico; [Bernal-Silva, Sofia; Comas-Garcia, Andreu] Univ Autonoma San Luis Potosi, Fac Med, Ctr Invest Ciencias Salud &amp; Biomed, San Luis Potosi, San Luis Potosi, Mexico</t>
  </si>
  <si>
    <t xml:space="preserve">Universidad Autonoma de San Luis Potosi; Universidad Autonoma de San Luis Potosi</t>
  </si>
  <si>
    <t xml:space="preserve">Noyola, DE (corresponding author), Univ Autonoma San Luis Potosi, Fac Med, Dept Microbiol, Ave Venustiano Carranza 2405, San Luis Potosi 78210, San Luis Potosi, Mexico.</t>
  </si>
  <si>
    <t xml:space="preserve">dnoyola@uaslp.mx</t>
  </si>
  <si>
    <t xml:space="preserve">Noyola, Daniel/AAL-9773-2020; Comas-Garcia, Andreu/ABB-8489-2021; Bernal-Silva, Sofía/HMD-8607-2023</t>
  </si>
  <si>
    <t xml:space="preserve">Noyola, Daniel/0000-0002-4840-6742</t>
  </si>
  <si>
    <t xml:space="preserve">0188-4409</t>
  </si>
  <si>
    <t xml:space="preserve">1873-5487</t>
  </si>
  <si>
    <t xml:space="preserve">ARCH MED RES</t>
  </si>
  <si>
    <t xml:space="preserve">Arch. Med. Res.</t>
  </si>
  <si>
    <t xml:space="preserve">10.1016/j.arcmed.2019.10.005</t>
  </si>
  <si>
    <t xml:space="preserve">JU0SZ</t>
  </si>
  <si>
    <t xml:space="preserve">WOS:000501390800007</t>
  </si>
  <si>
    <t xml:space="preserve">Andries, K; Moeremans, M; Gevers, T; Willebrords, R; Sommen, C; Lacrampe, J; Janssens, F; Wyde, PR</t>
  </si>
  <si>
    <t xml:space="preserve">Substituted benzimidazoles with nanomolar activity against respiratory syncytial virus</t>
  </si>
  <si>
    <t xml:space="preserve">respiratory syncytial virus; benzimidazoles; fusion inhibitor</t>
  </si>
  <si>
    <t xml:space="preserve">FUSION PROTEIN; INFECTION; INFLUENZA; RESPONSES; CYTOKINE; RFI-641; ASSAY; CELLS</t>
  </si>
  <si>
    <t xml:space="preserve">A cell-based assay was used to discover compounds inhibiting respiratory syncytial virus (RSV)-induced fusion in HeLa/M cells. A lead compound was identified and subsequent synthesis of &gt;300 analogues led to the identification of JNJ 2408068 (R170591), a low molecular weight (MW 395) benzimidazole derivative with an EC50 (0.16 nM) against some lab strains almost 100,000 times better than that of ribavirin (15 muM). Antiviral activity was confirmed for subgroup A and B clinical isolates of human RSV and for a bovine RSV isolate. The compound did not inhibit the growth of representative viruses from other Paramyxovirus genera, i.e. HPIV2 and Mumps Virus (genus Rubulavirus), HPIV3 (genus Respirovirus), Measles virus (genus Morbillivirus) and hMPV. Efficacy in cytopathic effect inhibition assays correlated well with efficacy in virus yield reduction assays. A concentration of 10 nM reduced RSV production 1000-fold in multi-cycle experiments, irrespective of the multiplicity of infection. Time of addition studies pointed to a dual mode of action: inhibition of virus-cell fusion early in the infection cycle and inhibition of cell-cell fusion at the end of the replication cycle. Two resistant mutants were raised and shown to have single point mutations in the F-gene (S398L and D486N). JNJ 2408068 was also shown to inhibit the release of proinflammatory cytokines IL-6, IL-8 and Rattles from RSV-infected A549 cells. (C) 2003 Elsevier B.V. All rights reserved.</t>
  </si>
  <si>
    <t xml:space="preserve">Johnson &amp; Johnson Pharmaceut Res &amp; Dev, Beerse, Belgium; Johnson &amp; Johnson Pharmaceut Res &amp; Dev, Val De Reuil, France; Baylor Coll Med, Houston, TX 77030 USA</t>
  </si>
  <si>
    <t xml:space="preserve">Johnson &amp; Johnson; Janssen Pharmaceuticals; Johson &amp; Johnson Belgium; Johnson &amp; Johnson; Baylor College of Medicine</t>
  </si>
  <si>
    <t xml:space="preserve">Andries, K (corresponding author), Johnson &amp; Johnson Pharmaceut Res &amp; Dev, Beerse, Belgium.</t>
  </si>
  <si>
    <t xml:space="preserve">10.1016/j.antiviral.2003.07.004</t>
  </si>
  <si>
    <t xml:space="preserve">751KQ</t>
  </si>
  <si>
    <t xml:space="preserve">WOS:000187066200006</t>
  </si>
  <si>
    <t xml:space="preserve">Groskreutz, DJ; Monick, MM; Babor, EC; Nyunoya, T; Varga, SM; Look, DC; Hunninghake, GW</t>
  </si>
  <si>
    <t xml:space="preserve">Groskreutz, Dayna J.; Monick, Martha M.; Babor, Ellen C.; Nyunoya, Toru; Varga, Steven M.; Look, Dwight C.; Hunninghake, Gary W.</t>
  </si>
  <si>
    <t xml:space="preserve">Cigarette Smoke Alters Respiratory Syncytial Virus-Induced Apoptosis and Replication</t>
  </si>
  <si>
    <t xml:space="preserve">AMERICAN JOURNAL OF RESPIRATORY CELL AND MOLECULAR BIOLOGY</t>
  </si>
  <si>
    <t xml:space="preserve">respiratory syncytial virus; apoptosis; necrosis; cigarette smoke</t>
  </si>
  <si>
    <t xml:space="preserve">AIRWAY EPITHELIAL-CELLS; OBSTRUCTIVE PULMONARY-DISEASE; HUMAN LUNG FIBROBLASTS; HUMAN METAPNEUMOVIRUS; NEUTROPHIL APOPTOSIS; INHIBITION; ACROLEIN; INFECTION; EXTRACT; DEATH</t>
  </si>
  <si>
    <t xml:space="preserve">Individuals exposed to cigarette smoke have a greater number and severity of viral infections, including respiratory syncytial virus (RSV) infections, than do nonsmokers, but the cellular mechanism is unknown. Our objective was to determine the mechanism by which cigarette smoke augments viral infection. We hypothesize that cigarette smoke causes necrosis and prevents virus-induced cellular apoptosis, and that this is associated with increased inflammation and viral replication. Primary airway epithelial cells were exposed to cigarette smoke extract for 2 days, followed by 1 day of RSV exposure. Western blot detection of cleaved caspases 3 and 7 showed less apoptosis when cells were treated with cigarette smoke before viral infection. This finding was confirmed with ELISA and TUNEL detection of apoptosis. Measures of cell viability, including propidium iodide staining, ATP assay, and cell counts, indicated that cigarette smoke causes necrosis rather than virus-induced apoptosis. Using plaque assay and fluorescently-labeled RSV, we showed that although there were less live cells in the cigarette smoke-pretreated group, viral load was increased. The effect was inhibited by pretreatment of cells with N-acetylcysteine and aldehyde dehydrogenase, suggesting that the effect was primarily mediated by reactive aldehydes. Cigarette smoke causes necrosis rather than apoptosis in viral infection, resulting in increased inflammation and enhanced viral replication.</t>
  </si>
  <si>
    <t xml:space="preserve">[Groskreutz, Dayna J.; Monick, Martha M.; Babor, Ellen C.; Nyunoya, Toru; Look, Dwight C.; Hunninghake, Gary W.] Univ Iowa, Roy J &amp; Lucille A Carver Coll Med, Div Pulm Crit Care &amp; Occupat Med, Iowa City, IA 52242 USA; [Varga, Steven M.] Univ Iowa, Dept Microbiol, Roy J &amp; Lucille A Carver Coll Med, Iowa City, IA 52242 USA; [Varga, Steven M.] Univ Iowa, Interdisciplinary Grad Program Immunol, Roy J &amp; Lucille A Carver Coll Med, Iowa City, IA 52242 USA; Vet Adm Med Ctr, Iowa City, IA USA</t>
  </si>
  <si>
    <t xml:space="preserve">University of Iowa; University of Iowa; University of Iowa; US Department of Veterans Affairs; Veterans Health Administration (VHA)</t>
  </si>
  <si>
    <t xml:space="preserve">Groskreutz, DJ (corresponding author), Univ Iowa, Roy J &amp; Lucille A Carver Coll Med, Div Pulm Crit Care &amp; Occupat Med, 100 EMRB, Iowa City, IA 52242 USA.</t>
  </si>
  <si>
    <t xml:space="preserve">Dayna-Groskreutz@uiowa.edu</t>
  </si>
  <si>
    <t xml:space="preserve">Varga, Steven/C-2009-2009; NYUNOYA, TORU/AAX-1482-2021</t>
  </si>
  <si>
    <t xml:space="preserve">Varga, Steven/0000-0001-7332-4290</t>
  </si>
  <si>
    <t xml:space="preserve">NIH [HL089392-02, HL073967-01, HL077431-01, HL075559-04, R01 HL079901-01A1, AI 063520, RR00059]</t>
  </si>
  <si>
    <t xml:space="preserve">This work was supported by a VA Merit Review grant; NIH: HL089392-02, HL073967-01, HL077431-01, HL075559-04, R01 HL079901-01A1, AI 063520, and RR00059 from the General Clinical Research Centers Program, NCRR, NIH.</t>
  </si>
  <si>
    <t xml:space="preserve">1740 BROADWAY, NEW YORK, NY 10019-4374 USA</t>
  </si>
  <si>
    <t xml:space="preserve">1044-1549</t>
  </si>
  <si>
    <t xml:space="preserve">AM J RESP CELL MOL</t>
  </si>
  <si>
    <t xml:space="preserve">Am. J. Respir. Cell Mol. Biol.</t>
  </si>
  <si>
    <t xml:space="preserve">10.1165/rcmb.2008-0131OC</t>
  </si>
  <si>
    <t xml:space="preserve">Biochemistry &amp; Molecular Biology; Cell Biology; Respiratory System</t>
  </si>
  <si>
    <t xml:space="preserve">478SV</t>
  </si>
  <si>
    <t xml:space="preserve">WOS:000268609500010</t>
  </si>
  <si>
    <t xml:space="preserve">Halasa, N; Williams, J; Faouri, S; Shehabi, A; Vermund, SH; Wang, L; Fonnesbeck, C; Khuri-Bulos, N</t>
  </si>
  <si>
    <t xml:space="preserve">Halasa, Natasha; Williams, John; Faouri, Samir; Shehabi, Asem; Vermund, Sten H.; Wang, Li; Fonnesbeck, Christopher; Khuri-Bulos, Najwa</t>
  </si>
  <si>
    <t xml:space="preserve">Natural history and epidemiology of respiratory syncytial virus infection in the Middle East: Hospital surveillance for children under age two in Jordan</t>
  </si>
  <si>
    <t xml:space="preserve">Respiratory syncytial virus; Acute respiratory tract infection; Jordan; Middle East; Child; Infant; Surveillance</t>
  </si>
  <si>
    <t xml:space="preserve">HUMAN-METAPNEUMOVIRUS; DISEASE SEVERITY; RISK-FACTORS; TRACT INFECTIONS; HUMAN BOCAVIRUS; YOUNG-CHILDREN; FAMILY COHORT; PCR ASSAY; BURDEN; PNEUMONIA</t>
  </si>
  <si>
    <t xml:space="preserve">Respiratory syncytial virus (RSV) is the leading cause of bronchiolitis and viral pneumonia in infants and young children worldwide. In the Middle East and Arab countries, the burden of RSV-associated hospitalizations is not well characterized. We sought to determine the burden and clinical/epidemiological characteristics of RSV hospitalization in young children in Amman, Jordan. We investigated risk factors for severity including vitamin D levels. Methods: We conducted viral surveillance with clinical and demographic data in children &lt;2 years admitted with respiratory symptoms and/or fever at the Al-Bashir Government Hospital from March16, 2010 to March 31, 2013. Nasal/throat swabs were obtained and placed into lysis buffer, and frozen at -80 degrees C until testing by real-time RT-PCR for 11 respiratory viruses. Heel stick blood or sera samples for 25-hydroxyvitamin D [25(OH)D] levels were obtained and sent to a central laboratory for mass spectrometry. Results: Of the 3168 children, &gt;80% testing positive for one virus, with RSV the most common virus detected (44%). The RSV-associated hospitalization rate was highest in children &lt;6 months with an annual range of 21.1-25.9 per 1000, compared to 6.0-8.0 in 6-11-month-olds and 1.6-2.5 in 12-23-month-olds. RSV-positive children compared with RSV-negative were more likely to be previously healthy without underlying medical conditions, less likely to be born prematurely, had a higher frequency of supplemental oxygen use, and had lower median vitamin D levels. Risk factors for oxygen use in RSV-positive children included underlying medical conditions, lack of breastfeeding, younger age, and higher viral load. Conclusion: RSV is a major cause of illness in hospitalized Jordanian children and is associated with increased severity compared to other respiratory viruses. Children with RSV in the Middle East would benefit from future RSV vaccines and antiviral therapy. (C) 2015 The Authors. Published by Elsevier Ltd.</t>
  </si>
  <si>
    <t xml:space="preserve">[Halasa, Natasha; Vermund, Sten H.] Vanderbilt Univ, Dept Pediat, Nashville, TN USA; [Wang, Li; Fonnesbeck, Christopher] Vanderbilt Univ, Dept Biostat, Nashville, TN 37235 USA; [Halasa, Natasha; Vermund, Sten H.] Vanderbilt Univ, Inst Global Hlth, Nashville, TN 37235 USA; [Faouri, Samir] Al Bashir Hosp, Dept Pediat, Amman, Jordan; [Shehabi, Asem; Khuri-Bulos, Najwa] Univ Jordan, Dept Pathol Microbiol, Amman, Jordan; [Williams, John] Univ Pittsburgh, Dept Pediat, Pittsburgh, PA 15260 USA</t>
  </si>
  <si>
    <t xml:space="preserve">Vanderbilt University; Vanderbilt University; Vanderbilt University; University of Jordan; Pennsylvania Commonwealth System of Higher Education (PCSHE); University of Pittsburgh</t>
  </si>
  <si>
    <t xml:space="preserve">Khuri-Bulos, N (corresponding author), Univ Jordan, Dept Pathol Microbiol, Amman, Jordan.</t>
  </si>
  <si>
    <t xml:space="preserve">natasha.halasa@vanderbilt.edu; jvw@chp.edu; samirf1952@yahoo.com; ashehabi@go.com.jo; sten.vermund@vanderbilt.edu; Li.wang@vanderbilt.edu; Christopher.fonnebeck@vanderiblt.edu; Najwa.Khuri@gmail.com</t>
  </si>
  <si>
    <t xml:space="preserve">Williams, John/ABE-3227-2020; Vermund, Sten/AAD-3592-2020</t>
  </si>
  <si>
    <t xml:space="preserve">Vermund, Sten/0000-0001-7289-8698</t>
  </si>
  <si>
    <t xml:space="preserve">UBS Optimus Foundation; National Institutes of Health; CTSA award from the National Center for Advancing Translational Sciences [UL1TR000445]</t>
  </si>
  <si>
    <t xml:space="preserve">UBS Optimus Foundation; National Institutes of Health(United States Department of Health &amp; Human ServicesNational Institutes of Health (NIH) - USA); CTSA award from the National Center for Advancing Translational Sciences(United States Department of Health &amp; Human ServicesNational Institutes of Health (NIH) - USANIH National Center for Advancing Translational Sciences (NCATS))</t>
  </si>
  <si>
    <t xml:space="preserve">This work was supported by the UBS Optimus Foundation; National Institutes of Health and the CTSA award UL1TR000445 from the National Center for Advancing Translational Sciences. Its contents are solely the responsibility of the authors and do not necessarily represent official views of the National Center for Advancing Translational Sciences or the National Institutes of Health.</t>
  </si>
  <si>
    <t xml:space="preserve">NOV 25</t>
  </si>
  <si>
    <t xml:space="preserve">10.1016/j.vaccine.2015.08.048</t>
  </si>
  <si>
    <t xml:space="preserve">DA0LT</t>
  </si>
  <si>
    <t xml:space="preserve">WOS:000367489300019</t>
  </si>
  <si>
    <t xml:space="preserve">Sundaram, ME; Meece, JK; Sifakis, F; Gasser, RA; Belongia, EA</t>
  </si>
  <si>
    <t xml:space="preserve">Sundaram, Maria E.; Meece, Jennifer K.; Sifakis, Frangiscos; Gasser, Robert A., Jr.; Belongia, Edward A.</t>
  </si>
  <si>
    <t xml:space="preserve">Medically Attended Respiratory Syncytial Virus Infections in Adults Aged ≥50 Years: Clinical Characteristics and Outcomes</t>
  </si>
  <si>
    <t xml:space="preserve">respiratory syncytial virus; acute respiratory infection; adults</t>
  </si>
  <si>
    <t xml:space="preserve">HIGH-RISK ADULTS; HUMAN METAPNEUMOVIRUS; ELDERLY PERSONS; INFLUENZA-A; HOSPITALIZATIONS; ILLNESS; SEASON</t>
  </si>
  <si>
    <t xml:space="preserve">Background. Few studies have examined respiratory syncytial virus (RSV) infections in adults. We assessed the characteristics and outcomes of RSV relative to other viral infections. Methods. Patients &gt;= 50 years old with acute respiratory illness were recruited for studies of influenza vaccine effectiveness from 2004 through 2010. Nasopharyngeal swabs from enrollees were analyzed for the presence of RSV and other respiratory viruses by multiplex reverse transcription polymerase chain reaction. Clinical data were obtained from interview and medical records. Results. A total of 2225 samples were tested across all seasons. The mean age was 64.2 (SD, 10.7) years; the mean interval from illness onset to sample collection was 4 (SD, 2.2) days. One or more viruses were detected in 1202 (54%) participants. In a multivariable logistic regression model, RSV was associated with ages 65-79 years (vs 50-64 years), symptoms of cough, nasal congestion and wheezing, and longer interval from illness onset to clinical encounter. RSV was not associated with the presence of chronic obstructive pulmonary disease or congestive heart failure in univariate analyses. Hospital admission within 30 days after illness onset was less common among patients with RSV compared to those with influenza (unadjusted odds ratio = 0.54 [95% confidence interval, .29-1.01], P = .06). Conclusions. RSV is a common cause of acute respiratory illness in adults aged &gt;= 50 years; the risk of infection increases with age. Delays in healthcare seeking and reduced risk of hospital admission in patients with RSV suggest a milder course of illness relative to influenza.</t>
  </si>
  <si>
    <t xml:space="preserve">[Sundaram, Maria E.; Meece, Jennifer K.; Belongia, Edward A.] Marshfield Clin Res Fdn, Marshfield, WI 54449 USA; [Sifakis, Frangiscos; Gasser, Robert A., Jr.] MedImmune LLC, Gaithersburg, MD USA</t>
  </si>
  <si>
    <t xml:space="preserve">AstraZeneca; Medimmune</t>
  </si>
  <si>
    <t xml:space="preserve">Belongia, EA (corresponding author), Marshfield Clin Res Fdn, ML2,1000 N Oak Ave, Marshfield, WI 54449 USA.</t>
  </si>
  <si>
    <t xml:space="preserve">belongia.edward@marshfieldclinic.org</t>
  </si>
  <si>
    <t xml:space="preserve">Sundaram, Maria/W-2575-2019</t>
  </si>
  <si>
    <t xml:space="preserve">Belongia, Edward/0000-0001-7478-0415; Sundaram, Maria/0000-0001-8056-3302</t>
  </si>
  <si>
    <t xml:space="preserve">MedImmune, LLC</t>
  </si>
  <si>
    <t xml:space="preserve">MedImmune, LLC(AstraZenecaMedimmune)</t>
  </si>
  <si>
    <t xml:space="preserve">This work was supported by MedImmune, LLC.</t>
  </si>
  <si>
    <t xml:space="preserve">10.1093/cid/cit767</t>
  </si>
  <si>
    <t xml:space="preserve">300AD</t>
  </si>
  <si>
    <t xml:space="preserve">WOS:000330435900007</t>
  </si>
  <si>
    <t xml:space="preserve">Rodriguez, R; Ramilo, O</t>
  </si>
  <si>
    <t xml:space="preserve">Rodriguez, Rosa; Ramilo, Octavio</t>
  </si>
  <si>
    <t xml:space="preserve">Respiratory syncytial virus: How, why and what to do</t>
  </si>
  <si>
    <t xml:space="preserve">Respiratory Syncytial Virus RSV; Viral coinfections; Bronchiolitis; Palivizumab; RNAi</t>
  </si>
  <si>
    <t xml:space="preserve">25-HYDROXYVITAMIN D LEVELS; DISEASE SEVERITY; SEVERE BRONCHIOLITIS; VIRAL LOAD; HUMAN METAPNEUMOVIRUS; HOSPITALIZED INFANTS; INFECTION; CHILDREN; RISK; ANTIBODY</t>
  </si>
  <si>
    <t xml:space="preserve">Bronchiolitis is the leading cause of hospitalization of infants and young children worldwide. Respiratory syncytial virus (RSV) is the most common cause of bronchiolitis in infants. Studies conducted using molecular diagnostic assays confirmed that RSV accounts for over 50% of bronchiolitis in young children requiring hospitalization. Those studies demonstrate that it is common to identify RSV in association with a second viral agent but it is yet unclear whether the simultaneous detection of two or even three viruses is associated with increased disease severity. Despite extensive efforts, a vaccine for prevention of RSV infection is not yet available. Palivizumab a humanized monoclonal antibody directed against the F protein of RSV is the only agent licensed to prevent severe RSV disease in high-risk children. Among the new antivirals being developed for treatment of RSV infections, an RNA-interference based agent has demonstrated promising results for treatment of lung transplant recipients with acute RSV infection. (C) 2013 Published by Elsevier Ltd on behalf of The British Infection Association.</t>
  </si>
  <si>
    <t xml:space="preserve">[Rodriguez, Rosa] Hosp Materno Infantil Gregorio Maranon, Madrid, Spain; [Ramilo, Octavio] Nationwide Childrens Hosp, Columbus, OH 43215 USA; [Ramilo, Octavio] Ohio State Univ, Columbus, OH 43210 USA</t>
  </si>
  <si>
    <t xml:space="preserve">University System of Ohio; Ohio State University; Nationwide Childrens Hospital; University System of Ohio; Ohio State University</t>
  </si>
  <si>
    <t xml:space="preserve">Ramilo, O (corresponding author), Nationwide Childrens Hosp, Infect Dis Sect, Room ED161, Columbus, OH 43215 USA.</t>
  </si>
  <si>
    <t xml:space="preserve">octavio.ramilo@nationwidechildrens.org</t>
  </si>
  <si>
    <t xml:space="preserve">Rodriguez Fernandez, Rosa/GRS-0389-2022</t>
  </si>
  <si>
    <t xml:space="preserve">Rodriguez Fernandez, Rosa/0000-0001-6985-8118</t>
  </si>
  <si>
    <t xml:space="preserve">S115</t>
  </si>
  <si>
    <t xml:space="preserve">S118</t>
  </si>
  <si>
    <t xml:space="preserve">10.1016/j.jinf.2013.09.021</t>
  </si>
  <si>
    <t xml:space="preserve">283CN</t>
  </si>
  <si>
    <t xml:space="preserve">WOS:000329222500016</t>
  </si>
  <si>
    <t xml:space="preserve">Hennus, MP; Bem, RA; Bos, AP; van Vught, AJ</t>
  </si>
  <si>
    <t xml:space="preserve">Hennus, Marije P.; Bem, Reinout A.; Bos, Albert P.; van Vught, Adrianus J.</t>
  </si>
  <si>
    <t xml:space="preserve">Life-Threatening Respiratory Syncytial Virus Disease in Children</t>
  </si>
  <si>
    <t xml:space="preserve">Respiratory syncytial virus infection; mechanical ventilation; life-threatening; intensive care unit; children</t>
  </si>
  <si>
    <t xml:space="preserve">FREQUENCY OSCILLATORY VENTILATION; ACUTE LUNG INJURY; POSITIVE AIRWAY PRESSURE; PEDIATRIC INTENSIVE-CARE; PLACEBO-CONTROLLED TRIAL; MECHANICAL VENTILATION; TRACT INFECTION; VIRAL-INFECTION; HUMAN METAPNEUMOVIRUS; ACUTE BRONCHIOLITIS</t>
  </si>
  <si>
    <t xml:space="preserve">Respiratory syncytial virus (RSV) is the most common viral cause of seasonal acute respiratory tract illness in very young children worldwide. In addition, life-threatening RSV disease accounts for the most frequent cause of nonelective pediatric intensive care unit admission for mechanical ventilatory support in infants during the winter season. This review article discusses factors associated with a life-threatening course of RSV disease as well as available therapeutic options and mortality rates. Pre-existing medical conditions, direct virus-induced cytopathology and host immunopathology, as well as co-factors such as bacterial and/or viral co-infection, apnea and the syndrome of inappropriate antidiuretic hormone are important features associated with turning a trivial community acquired upper respiratory tract illness into life-threatening disease. Although numerous medical therapies for life-threatening RSV have been suggested, the mainstay of therapy is still primarily supportive. Mortality rates of previously healthy children requiring mechanical ventilation for RSV-associated disease are almost zero, whereas mortality rates in infants with a pre-existent medical condition are up to 10%.</t>
  </si>
  <si>
    <t xml:space="preserve">[Hennus, Marije P.; van Vught, Adrianus J.] Univ Med Ctr Utrecht, Wilhelmina Childrens Hosp, Dept Pediat Intens Care, POB 85090, NL-3508 AB Utrecht, Netherlands; [Bem, Reinout A.; Bos, Albert P.] Emma Childrens Hosp, Acad Med Ctr, Dept Pediat Intens Care, NL-1100 DD Amsterdam, Netherlands</t>
  </si>
  <si>
    <t xml:space="preserve">Utrecht University; Utrecht University Medical Center; Wilhelmina Kinderziekenhuis; Emma Children's Hospital; University of Amsterdam; Academic Medical Center Amsterdam</t>
  </si>
  <si>
    <t xml:space="preserve">Hennus, MP (corresponding author), Univ Med Ctr Utrecht, Wilhelmina Childrens Hosp, Dept Pediat Intens Care, POB 85090, NL-3508 AB Utrecht, Netherlands.</t>
  </si>
  <si>
    <t xml:space="preserve">m.p.hennus@umcutrecht.nl</t>
  </si>
  <si>
    <t xml:space="preserve">Hennus, Marije/D-1643-2014; A., Reinout/AAN-1411-2021</t>
  </si>
  <si>
    <t xml:space="preserve">Bem, Reinout Alexander/0000-0002-9454-5321; Hennus, Marije/0000-0003-1508-0456</t>
  </si>
  <si>
    <t xml:space="preserve">10.2174/157339811795589513</t>
  </si>
  <si>
    <t xml:space="preserve">V87PJ</t>
  </si>
  <si>
    <t xml:space="preserve">WOS:000212667400009</t>
  </si>
  <si>
    <t xml:space="preserve">Havdal, LB; Boås, H; Bekkevold, T; Kran, AMB; Rojahn, AE; Stordal, K; Debes, S; Dollner, H; Nordbo, SA; Barstad, B; Haarr, E; Fernández, LV; Nakstad, B; Inchley, C; Flem, E</t>
  </si>
  <si>
    <t xml:space="preserve">Havdal, Lise Beier; Boas, Hakon; Bekkevold, Terese; Kran, Anne-Marte Bakken; Rojahn, Astrid Elisabeth; Stordal, Ketil; Debes, Sara; Dollner, Henrik; Nordbo, Svein Arne; Barstad, Bjorn; Haarr, Elisebet; Fernandez, Liliana Vazquez; Nakstad, Britt; Inchley, Christopher; Flem, Elmira</t>
  </si>
  <si>
    <t xml:space="preserve">Norwegian Enhanced Pediat Immunisa</t>
  </si>
  <si>
    <t xml:space="preserve">Risk factors associated with severe disease in respiratory syncytial virus infected children under 5 years of age</t>
  </si>
  <si>
    <t xml:space="preserve">respiratory syncytial virus (RSV); risk factor (RF); disease severity analysis; pediatric infection; respiratory infection</t>
  </si>
  <si>
    <t xml:space="preserve">HUMAN-METAPNEUMOVIRUS; HOSPITAL ADMISSION; VIRAL COINFECTIONS; YOUNG-CHILDREN; INFANTS; BURDEN; BRONCHIOLITIS; ETIOLOGY; OUTCOMES; RATES</t>
  </si>
  <si>
    <t xml:space="preserve">ObjectiveTo evaluate risk factors for severe disease in children under 59 months of age hospitalized with respiratory syncytial virus (RSV) infection. Study designWe prospectively enrolled 1,096 cases of laboratory confirmed RSV infection during three consecutive RSV seasons in 2015-2018. Potential risk factors for severe disease were retrieved through patient questionnaires and linkage to national health registries. Need for respiratory support (invasive ventilation, bi-level positive airway pressure, or continuous positive airway pressure), and length of stay exceeding 72 h were used as measures of disease severity. Associations were investigated using multivariable logistic regression analyses. Multiple imputation was used to avoid bias and inference induced by missing data. ResultsRisk factors associated with a need for respiratory support included age younger than 3 months of age [aOR: 6.73 (95% CI 2.71-16.7)], having siblings [aOR: 1.65 (95% CI 1.05-2.59)] and comorbidity [aOR: 2.40 (95% CI 1.35-4.24)]. The length of hospital stay &gt;72 h was significantly associated with being younger than 3 months of age [aOR: 3.52 (95% CI 1.65-7.54)], having siblings [aOR: 1.45 (95% CI 1.01-2.08)], and comorbidity [aOR: 2.18 (95% CI 1.31-3.61)]. Sub-group analysis of children younger than 6 months of age confirmed the association between both young age and having siblings and the need for respiratory support. ConclusionIn a large cohort of children &lt;59 months hospitalized with RSV infection, young age, comorbidity, and having siblings were associated with more severe disease.</t>
  </si>
  <si>
    <t xml:space="preserve">[Havdal, Lise Beier; Nakstad, Britt; Inchley, Christopher] Akershus Univ Hosp, Dept Paediat &amp; Adolescent Med, Lorenskog, Norway; [Havdal, Lise Beier; Boas, Hakon; Bekkevold, Terese; Kran, Anne-Marte Bakken; Fernandez, Liliana Vazquez; Flem, Elmira] Norwegian Inst Publ Hlth, Oslo, Norway; [Kran, Anne-Marte Bakken] Oslo Univ Hosp, Dept Microbiol, Oslo, Norway; [Rojahn, Astrid Elisabeth] Oslo Univ Hosp Ulleval, Div Paediat &amp; Adolescent Med, Oslo, Norway; [Stordal, Ketil] Ostfold Hosp Kalnes, Dept Paediat, Gralum, Norway; [Stordal, Ketil; Nakstad, Britt] Univ Oslo, Div Paediat &amp; Adolescent Med, Inst Clin Med, Oslo, Norway; [Debes, Sara] Ostfold Hosp Kalnes, Dept Med Microbiol, Gralum, Norway; [Dollner, Henrik] St Olavs Univ Hosp, Dept Paediat, Trondheim, Norway; [Dollner, Henrik; Nordbo, Svein Arne] Norwegian Univ Sci &amp; Technol, Dept Clin &amp; Mol Med, Trondheim, Norway; [Nordbo, Svein Arne] St Olavs Univ Hosp, Dept Med Microbiol, Trondheim, Norway; [Barstad, Bjorn] Stavanger Univ Hosp, Dept Paediat &amp; Adolescent Med, Stavanger, Norway; [Haarr, Elisebet] Stavanger Univ Hosp, Dept Med Microbiol, Stavanger, Norway</t>
  </si>
  <si>
    <t xml:space="preserve">University of Oslo; Norwegian Institute of Public Health (NIPH); University of Oslo; University of Oslo; University of Oslo; Norwegian University of Science &amp; Technology (NTNU); Norwegian University of Science &amp; Technology (NTNU); Norwegian University of Science &amp; Technology (NTNU); Stavanger University Hospital; Stavanger University Hospital</t>
  </si>
  <si>
    <t xml:space="preserve">Havdal, LB (corresponding author), Akershus Univ Hosp, Dept Paediat &amp; Adolescent Med, Lorenskog, Norway.;Havdal, LB (corresponding author), Norwegian Inst Publ Hlth, Oslo, Norway.</t>
  </si>
  <si>
    <t xml:space="preserve">l.b.havdal@medisin.uio.no</t>
  </si>
  <si>
    <t xml:space="preserve">Stordal, Ketil/LBI-4368-2024; Flem, Elmira/GOG-9451-2022; Bøås, Håkon/LUY-7458-2024</t>
  </si>
  <si>
    <t xml:space="preserve">Boas, Hakon/0000-0002-5917-1563; Flem, Elmira/0000-0002-5099-1960</t>
  </si>
  <si>
    <t xml:space="preserve">AUG 30</t>
  </si>
  <si>
    <t xml:space="preserve">10.3389/fped.2022.1004739</t>
  </si>
  <si>
    <t xml:space="preserve">4M4BM</t>
  </si>
  <si>
    <t xml:space="preserve">WOS:000853269100001</t>
  </si>
  <si>
    <t xml:space="preserve">Nelson, CL; Tang, RS; Stillman, EA</t>
  </si>
  <si>
    <t xml:space="preserve">Nelson, Christine L.; Tang, Roderick S.; Stillman, Elizabeth A.</t>
  </si>
  <si>
    <t xml:space="preserve">Genetic stability of RSV-F expression and the restricted growth phenotype of a live attenuated PIV3 vectored RSV vaccine candidate (MEDI-534) following restrictive growth in human lung cells</t>
  </si>
  <si>
    <t xml:space="preserve">Respiratory syncytial virus (RSV); Parainfluenza virus type 3 (PIV3); Attenuation; Genetic stability; Hamster; MRC-5</t>
  </si>
  <si>
    <t xml:space="preserve">PARAINFLUENZA VIRUS TYPE-3; RESPIRATORY SYNCYTIAL VIRUS; VESICULAR STOMATITIS-VIRUS; TRANSCRIPTION TERMINATION; HUMAN METAPNEUMOVIRUS; FUSION PROTEINS; RHESUS-MONKEYS; IMMUNOGENICITY; REPLICATION; JUNCTIONS</t>
  </si>
  <si>
    <t xml:space="preserve">MEDI-534 is the first live, attenuated and vectored respiratory syncytial virus (RSV) vaccine to be evaluated in seronegative children. It consists of a bovine/human parainfluenza virus type 3 (PIV3) backbone with the RSV fusion glycoprotein (RSV-F) expressed from the second position. The PIV3 fusion and hemaglutinin-neuraminidase proteins are human-derived. No small animal appropriately replicates the restrictive growth of bovine PIV3 (bPIV3) based viruses relative to human PIV3 (hPIV3) observed in the respiratory tract of rhesus monkeys and humans, making analysis of the genetic stability of the attenuation phenotype and maintenance of RSV-F expression difficult. Screening of multiple cell-lines identified MRC-5 cells as supporting permissive growth of hPIV3 while restricting bPIV3 and MEDI-534 growth. In MRC-5 cells, the peak titers of MEDI-534 were more than 20-fold lower compared to hPIV3 peak titers. After more than 10 multicycle passages in MRC-5 cells, genetic alterations were detected in MEDI-534 that contributed to a partial loss in restricted growth in MRC-5 cells and a decrease in RSV-F expression. These adaptive mutations did not occur in the RSV-F gene but were found in the polyA sequence upstream of the transgene. MRC-5 adapted MEDI-534 viruses (1) lost some attenuation but did not replicate to the level of hPIV3 in this cell line, (2) did not completely lose RSV-F expression and (3) were able to elicit a protective anti-RSV immune response in hamsters despite lower levels of RSV-F expression. Interestingly analysis of shed MEDI-534 from a recent clinical trial indicates that in some recipients similar mutations arise by day 7 or day 12 post immunization (in press) suggesting that these mutations can arise rapidly in the human host. The utility and limits of MRC-5 cells for characterizing the attenuation and RSV-F expression of MEDI-534 is discussed. (C) 2013 The Authors. Published by Elsevier Ltd. All rights reserved.</t>
  </si>
  <si>
    <t xml:space="preserve">[Nelson, Christine L.; Tang, Roderick S.; Stillman, Elizabeth A.] MedImmune, Mountain View, CA 94043 USA</t>
  </si>
  <si>
    <t xml:space="preserve">Stillman, EA (corresponding author), MedImmune, 297 North,Bernardo Ave, Mountain View, CA 94043 USA.</t>
  </si>
  <si>
    <t xml:space="preserve">nelsonc@medimmune.com; tangr@medimmune.com; elizabeth_stillman@yahoo.com</t>
  </si>
  <si>
    <t xml:space="preserve">Tang, Roderick/0000-0003-0018-4869</t>
  </si>
  <si>
    <t xml:space="preserve">AUG 12</t>
  </si>
  <si>
    <t xml:space="preserve">10.1016/j.vaccine.2013.04.015</t>
  </si>
  <si>
    <t xml:space="preserve">204YT</t>
  </si>
  <si>
    <t xml:space="preserve">WOS:000323407900020</t>
  </si>
  <si>
    <t xml:space="preserve">Hossain, ME; Rahman, MZ; Islam, MM; Hoque, AF; Sumiya, MK; Begum, N; Alam, MM; Uddin, KMM; Hassan, MZ; Rahman, M; Goswami, DR; Brooks, WA</t>
  </si>
  <si>
    <t xml:space="preserve">Hossain, Mohammad Enayet; Rahman, Mohammed Ziaur; Islam, Md Muzahidul; Hoque, Ananya Ferdous; Sumiya, Mariya Kibtiya; Begum, Noorjahan; Alam, Mohammad Mamun; Uddin, K. M. Main; Hassan, Md. Zakiul; Rahman, Mustafizur; Goswami, Doli Rani; Brooks, W. Abdullah</t>
  </si>
  <si>
    <t xml:space="preserve">Pre COVID-19 molecular epidemiology of respiratory syncytial virus (RSV) among children in Bangladesh</t>
  </si>
  <si>
    <t xml:space="preserve">Respiratory syncytial virus (RSV); Glycoprotein; Phylogenetic analysis; Acute respiratory infection (ARI); Pre COVID-19 period; Bangladesh</t>
  </si>
  <si>
    <t xml:space="preserve">INFECTION; CIRCULATION; GENOTYPES; PATTERNS</t>
  </si>
  <si>
    <t xml:space="preserve">Epidemiological data of specific respiratory pathogens from the pre-COVID-19 period are essential to determine the effects of the COVID-19 pandemic on other respiratory infections. In this study, we revealed the pre-COVID-19 molecular epidemiology of respiratory syncytial virus (RSV) among children in Bangladesh. We tested 3170 samples collected from 2008 to 2012 for a panel of respiratory viruses; RSV, human metapneumovirus (hMPV), human parainfluenza viruses (hPIV) 1, 2, 3, and adenovirus. Five hundred fifty-five samples (17.5 %) were positive for RSV, including 2.5% having co-infections with other viruses. Genotypic characterization of RSV showed that RSV-A (82%) contributed more acute respiratory infections than RSV-B (18%). Clinical features were similar with RSV-A and RSV-B infections. However, children with RSV-B were more likely to have upper respiratory infections (URI) (10% vs. 29%, p = 0.03). Among RSV-A cases, hospitalization was higher for ON1 cases (25%, ON1 vs. 8%, NA1, p = 0.04), whereas the recovery without a disability was higher among the NA1 cases (56%, ON1 vs. 88%, NA1, p = 0.02). The time to the most recent common ancestor (TMRCA) for RSV in Bangladesh was 1949 for RSV-A and 1944 for RSV-B. This study revealed the genotypic diversity and evolutionary relatedness of RSV strains in Bangladesh and provided pre-COVID molecular epidemiology data to understand better the COVID-19 impact on upcoming RSV epidemiology in Bangladesh.</t>
  </si>
  <si>
    <t xml:space="preserve">[Hossain, Mohammad Enayet; Rahman, Mohammed Ziaur; Islam, Md Muzahidul; Hoque, Ananya Ferdous; Sumiya, Mariya Kibtiya; Begum, Noorjahan; Alam, Mohammad Mamun; Uddin, K. M. Main; Hassan, Md. Zakiul; Rahman, Mustafizur; Goswami, Doli Rani; Brooks, W. Abdullah] Icddr B, Infect Dis Div, Dhaka, Bangladesh; [Brooks, W. Abdullah] Johns Hopkins Univ, Bloomberg Sch Publ, Dept Int Hlth, Baltimore, MD 21218 USA</t>
  </si>
  <si>
    <t xml:space="preserve">International Centre for Diarrhoeal Disease Research (ICDDR); Johns Hopkins University; Johns Hopkins Bloomberg School of Public Health</t>
  </si>
  <si>
    <t xml:space="preserve">Rahman, MZ (corresponding author), Icddr B, Infect Dis Div, Dhaka, Bangladesh.</t>
  </si>
  <si>
    <t xml:space="preserve">mzrahman@icddrb.org</t>
  </si>
  <si>
    <t xml:space="preserve">Hossain, Mohammad/IUN-2105-2023; Brooks, W./AAD-3876-2021; Mohi Uddin, Khandaker Mohammad/LTE-0239-2024</t>
  </si>
  <si>
    <t xml:space="preserve">Hoque, Ananya/0000-0002-0964-4414; Hassan, Md. Zakiul/0000-0001-5888-1558; Alam, Mohammad Mamun/0000-0003-0064-1812; Rahman, Mohammed Ziaur/0000-0002-4103-4835</t>
  </si>
  <si>
    <t xml:space="preserve">Centers for Disease Control and Prevention (CDC) [GR00720, PR: 2003-030, 5U01CI000628]</t>
  </si>
  <si>
    <t xml:space="preserve">Centers for Disease Control and Prevention (CDC)(United States Department of Health &amp; Human ServicesCenters for Disease Control &amp; Prevention - USA)</t>
  </si>
  <si>
    <t xml:space="preserve">The work was funded by the Centers for Disease Control and Prevention (CDC) (PI: Abdullah Brooks, GR00720, PR: 2003-030, CoAg No. 5U01CI000628).</t>
  </si>
  <si>
    <t xml:space="preserve">e11043</t>
  </si>
  <si>
    <t xml:space="preserve">10.1016/j.heliyon.2022.e11043</t>
  </si>
  <si>
    <t xml:space="preserve">7S1NF</t>
  </si>
  <si>
    <t xml:space="preserve">WOS:000910527200021</t>
  </si>
  <si>
    <t xml:space="preserve">Chidlow, GR; Harnett, GB; Shellam, GR; Smith, DW</t>
  </si>
  <si>
    <t xml:space="preserve">Chidlow, Glenys R.; Harnett, Gerry B.; Shellam, Geoffrey R.; Smith, David W.</t>
  </si>
  <si>
    <t xml:space="preserve">An Economical Tandem Multiplex Real-Time PCR Technique for the Detection of a Comprehensive Range of Respiratory Pathogens</t>
  </si>
  <si>
    <t xml:space="preserve">respiratory pathogens; tandem multiplex real-time PCR; mixed infections</t>
  </si>
  <si>
    <t xml:space="preserve">POLYMERASE-CHAIN-REACTION; REVERSE TRANSCRIPTION-PCR; COMMUNITY-ACQUIRED PNEUMONIA; TRACT INFECTIONS; SYNCYTIAL-VIRUS; NESTED-PCR; NASOPHARYNGEAL SAMPLES; ACUTE BRONCHIOLITIS; HUMAN RHINOVIRUSES; CLINICAL-SAMPLES</t>
  </si>
  <si>
    <t xml:space="preserve">This study used real-time PCR assays to screen small sample volumes for a comprehensive range of 35 respiratory pathogens. Initial thermocycling was limited to 20 cycles to avoid competition for reagents, followed by a secondary real-time multiplex PCR. Supplementary semi-nested human metapneumovirus and picornavirus PCR assays were required to complete the acute respiratory pathogen profile. Potential pathogens were detected in 85 (70%) of pernasal aspirates collected from 121 children with acute respiratory symptoms. Multiple pathogens were detected in 29 (24%) of those samples. The tandem multiplex real-time PCR was an efficient method for the rapid detection of multiple pathogens.</t>
  </si>
  <si>
    <t xml:space="preserve">[Chidlow, Glenys R.; Harnett, Gerry B.; Smith, David W.] Univ Western Australia, Queen Elizabeth II Med Ctr, Dept Microbiol, Pathwest Lab Med WA, Nedlands, WA 6009, Australia; [Chidlow, Glenys R.; Shellam, Geoffrey R.; Smith, David W.] Univ Western Australia, Sch Biomed Biomol &amp; Chem Sci M502, Nedlands, WA 6009, Australia</t>
  </si>
  <si>
    <t xml:space="preserve">Queen Elizabeth II Medical Centre; University of Western Australia; University of Western Australia</t>
  </si>
  <si>
    <t xml:space="preserve">Chidlow, GR (corresponding author), Univ Western Australia, Queen Elizabeth II Med Ctr, Dept Microbiol, Pathwest Lab Med WA, Nedlands, WA 6009, Australia.</t>
  </si>
  <si>
    <t xml:space="preserve">glenys.chidlow@health.wa.gov.au; gerry.harnett@health.wa.gov.au; gshellam@cyllene.uwa.edu.au; david.smith@health.wa.gov.au</t>
  </si>
  <si>
    <t xml:space="preserve">Smith, David/0000-0002-3107-5182</t>
  </si>
  <si>
    <t xml:space="preserve">MDPI AG</t>
  </si>
  <si>
    <t xml:space="preserve">KANDERERSTRASSE 25, CH-4057 BASEL, SWITZERLAND</t>
  </si>
  <si>
    <t xml:space="preserve">10.3390/v1010042</t>
  </si>
  <si>
    <t xml:space="preserve">631HH</t>
  </si>
  <si>
    <t xml:space="preserve">WOS:000280336800005</t>
  </si>
  <si>
    <t xml:space="preserve">Zhang, X; Knoth, C; Pham, A; Lima, A; Dominguez, R; Ibarra-Flores, I; Lopez, JC; Uy, D; Silbert, S; Patel, A; Aye, M; Tang, YW; Bard, JD</t>
  </si>
  <si>
    <t xml:space="preserve">Zhang, Xin; Knoth, Colleen; Pham, Anh; Lima, Amorce; Dominguez, Rosario; Ibarra-Flores, Irvin; Lopez, Juan C.; Uy, Dominic; Silbert, Suzane; Patel, Anami; Aye, Michael; Tang, Yi-Wei; Dien Bard, Jennifer</t>
  </si>
  <si>
    <t xml:space="preserve">The Clinical Performance of the BioCode Respiratory Pathogen Panel for the Detection of Viruses and Bacteria from Nasopharyngeal Swabs</t>
  </si>
  <si>
    <t xml:space="preserve">respiratory pathogens; syndromic testing; multiplex PCR; scalable throughput</t>
  </si>
  <si>
    <t xml:space="preserve">INFECTIONS; DISEASE; SINGLE; IMPACT</t>
  </si>
  <si>
    <t xml:space="preserve">Early detection of microbial pathogens causing respiratory tract infection plays a crucial role in clinical management. The BioCode Respiratory Pathogen Panel (BioCode RPP) utilizes reverse transcriptase PCR (RT-PCR) in combination with barcoded magnetic beads to amplify, detect, and identify respiratory pathogens. This panel qualitatively detects and identifies 14 viruses, including influenza virus A with H1 pdm09, H1, and H3 subtyping; influenza B; respiratory syncytial virus (RSV); human metapneumovirus; parainfluenza virus 1; parainfluenza virus 2; parainfluenza virus 3; parainfluenza virus 4; coronavirus (229E, NL63, OC43, and HKU1); adenovirus; and human rhinovirus/enterovirus, and 3 bacteria, including Chlamydia pneumoniae, Mycoplasma pneumoniae, and Bordetella pertussis. Reproducibility, which was assessed with contrived specimens containing 12 targets at 3 clinical sites, with 2 operators at each site for 5 days, was 99.4% for Flu A H3 and Flu B, 98.9% for RSV, and 100% for the remaining 9 targets assayed. A multicenter clinical trial evaluated the performance of the BioCode RPP with 2,647 nasopharyngeal swab specimens from 5 geographically distinct sites and revealed comparable performance between the BioCode RPP and FilmArray Respiratory Panel (FA-RP). Specifically, the positive percent agreements (PPAs) for various pathogens ranged between 80.8% and 100% compared with the FA-RP (1.7 and 2.0). Negative percent agreement ranged from 98.4% to 100% for BioCode RPP. The BioCode RPP also offers scalable automated testing capability of up to 96 specimens in a single run with total sample-to-result time under 5 h. The invalid rate of the BioCode RPP on initial testing was 1.0% (26/2,649).IMPORTANCE Early detection of microbial pathogens causing respiratory tract infection plays a crucial role in clinical management. The BioCode Respiratory Pathogen Panel (BioCode RPP) is a high-throughput test that utilizes RT-PCR in combination with barcoded magnetic beads to amplify, detect, and identify 17 respiratory pathogens, including 14 viruses and 3 bacteria. This study summarizes data generated from a multicenter clinical trial evaluating the performance of the BioCode RPP on 2,647 nasopharyngeal swab specimens from five geographically distinct sites.</t>
  </si>
  <si>
    <t xml:space="preserve">[Zhang, Xin; Lopez, Juan C.; Tang, Yi-Wei] Mem Sloan Kettering Canc Ctr, New York, NY USA; [Zhang, Xin] Sichuan Acad Med, Chengdu, Peoples R China; [Zhang, Xin] Sichuan Prov Peoples Hosp, Chengdu, Peoples R China; [Knoth, Colleen; Pham, Anh; Aye, Michael] Appl BioCode Inc, Santa Fe Springs, CA USA; [Lima, Amorce; Uy, Dominic; Silbert, Suzane] Tampa Gen Hosp, Tampa, FL USA; [Dominguez, Rosario; Ibarra-Flores, Irvin; Dien Bard, Jennifer] Childrens Hosp Angeles, Dept Pathol &amp; Lab Med, Los Angeles, CA 90027 USA; [Dien Bard, Jennifer] Univ Southern Calif, Keck Sch Med, Los Angeles, CA 90007 USA; [Patel, Anami] PathAI Diagnost, Memphis, TN USA; [Knoth, Colleen] Thermo Fisher Sci, San Diego, CA USA; [Tang, Yi-Wei] Danaher Diagnost Platform Cepheid China, Shanghai, Peoples R China</t>
  </si>
  <si>
    <t xml:space="preserve">Memorial Sloan Kettering Cancer Center; Sichuan Provincial People's Hospital; Tampa General Hospital; Children's Hospital Los Angeles; University of Southern California; Thermo Fisher Scientific</t>
  </si>
  <si>
    <t xml:space="preserve">Bard, JD (corresponding author), Childrens Hosp Angeles, Dept Pathol &amp; Lab Med, Los Angeles, CA 90027 USA.;Bard, JD (corresponding author), Univ Southern Calif, Keck Sch Med, Los Angeles, CA 90007 USA.</t>
  </si>
  <si>
    <t xml:space="preserve">jdienbard@chla.usc.edu</t>
  </si>
  <si>
    <t xml:space="preserve">Applied BioCode</t>
  </si>
  <si>
    <t xml:space="preserve">We acknowledge Sheema Mir, Jackson Uriu, Oliver Soller, Roger Wang, and Kristen Haag for their contributions to the clinical study and analytical validation of BioCode RPP. This study was designed and funded by Applied BioCode. A.P. and M.A. are employees of Applied BioCode. C.K. was an employee of Applied BioCode. J.D.B., R.D., I.I.-F., J.C.L., S.S., A.L., and Y.-W.T. received research support to their respective institutions from Applied BioCode.</t>
  </si>
  <si>
    <t xml:space="preserve">10.1128/spectrum.04044-22</t>
  </si>
  <si>
    <t xml:space="preserve">APR 2023</t>
  </si>
  <si>
    <t xml:space="preserve">L4IY3</t>
  </si>
  <si>
    <t xml:space="preserve">WOS:000969394500001</t>
  </si>
  <si>
    <t xml:space="preserve">Huang, HT; Huang, KS; Sun, Y; Luo, DS; Wang, M; Chen, TL; Li, MZ; Duan, JW; Huang, LQ; Dong, C</t>
  </si>
  <si>
    <t xml:space="preserve">Huang, Huitao; Huang, Kaisong; Sun, Yun; Luo, Dasheng; Wang, Min; Chen, Tianlan; Li, Mingzhong; Duan, Junwei; Huang, Liqun; Dong, Cheng</t>
  </si>
  <si>
    <t xml:space="preserve">A Digital Microfluidic RT-qPCR Platform for Multiple Detections of Respiratory Pathogens</t>
  </si>
  <si>
    <t xml:space="preserve">MICROMACHINES</t>
  </si>
  <si>
    <t xml:space="preserve">respiratory pathogens; RT-qPCR; digital microfluidic; on-chip</t>
  </si>
  <si>
    <t xml:space="preserve">PCR ASSAY; VIRUSES; DIAGNOSIS; DISEASE; IMPACT</t>
  </si>
  <si>
    <t xml:space="preserve">The coronavirus disease 2019 pandemic has spread worldwide and caused more than six million deaths globally. Therefore, a timely and accurate diagnosis method is of pivotal importance for controlling the dissemination and expansions. Nucleic acid detection by the reverse transcription-polymerase chain reaction (RT-PCR) method generally requires centralized diagnosis laboratories and skilled operators, significantly restricting its use in rural areas and field settings. The digital microfluidic (DMF) technique provides a better option for simultaneous detections of multiple pathogens with fewer specimens and easy operation. In this study, we developed a novel digital microfluidic RT-qPCR platform for multiple detections of respiratory pathogens. This method can simultaneously detect eleven respiratory pathogens, namely, mycoplasma pneumoniae (MP), chlamydophila pneumoniae (CP), streptococcus pneumoniae (SP), human respiratory syncytial virus A (RSVA), human adenovirus (ADV), human coronavirus (HKU1), human coronavirus 229E (HCoV-229E), human metapneumovirus (HMPV), severe acute respiratory syndrome coronavirus 2 (SARS-CoV-2), influenza A virus (FLUA) and influenza B virus (FLUB). The diagnostic performance was evaluated using positive plasmids samples and clinical specimens compared with off-chip individual RT-PCR testing. The results showed that the limit of detections was around 12 to 150 copies per test. The true positive rate, true negative rate, positive predictive value, negative predictive value, and accuracy of DMF on-chip method were 93.33%, 100%, 100%, 99.56%, and 99.85%, respectively, as validated by the off-chip RT-qPCR counterpart. Collectively, this study reported a cost-effective, high sensitivity and specificity on-chip DMF RT-qPCR system for detecting multiple respiratory pathogens, which will greatly contribute to timely and effective clinical management of respiratory infections in medical resource-limited settings.</t>
  </si>
  <si>
    <t xml:space="preserve">[Huang, Huitao; Huang, Kaisong; Huang, Liqun] Zhuhai Ctr Dis Control &amp; Prevent, Zhuhai 519087, Peoples R China; [Sun, Yun; Luo, Dasheng; Wang, Min; Chen, Tianlan] Digifluid Biotech Ltd, Zhuhai 519000, Peoples R China; [Chen, Tianlan] Guangzhou Nansha IT Pk Postdoctoral Programme, Guangzhou 511466, Peoples R China; [Li, Mingzhong] Univ Macau, State Key Lab Analog &amp; Mixed Signal VLSI, Macau 999078, Peoples R China; [Duan, Junwei] Jinan Univ, Coll Informat Sci &amp; Technol, Guangzhou 510632, Peoples R China; [Dong, Cheng] Jinan Univ, Sch Intelligent Syst Sci &amp; Engn, JNU Ind Sch Artificial Intelligence, Zhuhai 519000, Peoples R China</t>
  </si>
  <si>
    <t xml:space="preserve">University of Macau; Jinan University; Jinan University</t>
  </si>
  <si>
    <t xml:space="preserve">Dong, C (corresponding author), Jinan Univ, Sch Intelligent Syst Sci &amp; Engn, JNU Ind Sch Artificial Intelligence, Zhuhai 519000, Peoples R China.</t>
  </si>
  <si>
    <t xml:space="preserve">dongcheng@jnu.edu.cn</t>
  </si>
  <si>
    <t xml:space="preserve">Duan, Junwei/KIJ-0405-2024; huang, kaisong/HKF-0785-2023; Wang, Min/C-1584-2009</t>
  </si>
  <si>
    <t xml:space="preserve">Duan, Junwei/0000-0002-2388-0149; Huang, Kaisong/0009-0001-1529-0480</t>
  </si>
  <si>
    <t xml:space="preserve">Zhuhai COVID-19 infection prevention Emergency Science and Technology Research Project; Guangdong Basic and Applied Basic Research Foundation [2021A1515110623, 2021A1515011999]; Zhuhai Industry-university-research Cooperation Project [ZH22017002200012PWC]; National Key Research and Development Program of China [2018YFC2002500]; Guangdong Provincial Key Laboratory of Traditional Chinese Medicine Informatization [2021B1212040007]</t>
  </si>
  <si>
    <t xml:space="preserve">Zhuhai COVID-19 infection prevention Emergency Science and Technology Research Project; Guangdong Basic and Applied Basic Research Foundation; Zhuhai Industry-university-research Cooperation Project; National Key Research and Development Program of China(National Key Research &amp; Development Program of China); Guangdong Provincial Key Laboratory of Traditional Chinese Medicine Informatization</t>
  </si>
  <si>
    <t xml:space="preserve">This work is supported by Zhuhai COVID-19 infection prevention Emergency Science and Technology Research Project under Grant No. ZH22036302200052PWC, Guangdong Basic and Applied Basic Research Foundation under Grant No. 2021A1515110623 and 2021A1515011999, Zhuhai Industry-university-research Cooperation Project under Grant ZH22017002200012PWC, National Key Research and Development Program of China under Grant No. 2018YFC2002500 and Guangdong Provincial Key Laboratory of Traditional Chinese Medicine Informatization under Grant No. 2021B1212040007.</t>
  </si>
  <si>
    <t xml:space="preserve">2072-666X</t>
  </si>
  <si>
    <t xml:space="preserve">MICROMACHINES-BASEL</t>
  </si>
  <si>
    <t xml:space="preserve">Micromachines</t>
  </si>
  <si>
    <t xml:space="preserve">10.3390/mi13101650</t>
  </si>
  <si>
    <t xml:space="preserve">Chemistry, Analytical; Nanoscience &amp; Nanotechnology; Instruments &amp; Instrumentation; Physics, Applied</t>
  </si>
  <si>
    <t xml:space="preserve">Chemistry; Science &amp; Technology - Other Topics; Instruments &amp; Instrumentation; Physics</t>
  </si>
  <si>
    <t xml:space="preserve">5P6OT</t>
  </si>
  <si>
    <t xml:space="preserve">WOS:000873269000001</t>
  </si>
  <si>
    <t xml:space="preserve">Zhao, MC; Jiang, Y; Li, GX; Tie, YQ; Zheng, YH; Li, JF; Zhang, WC; Duan, SX; Zhai, Y; Li, YL; Zhang, DJ; Zeng, XP; Wu, Y; Guo, YH; Feng, ZS</t>
  </si>
  <si>
    <t xml:space="preserve">Zhao, Meng-chuan; Jiang, Yue; Li, Gui-xia; Tie, Yan-qing; Zheng, Ye-huan; Li, Jin-fu; Zhang, Wen-chao; Duan, Su-xia; Zhai, Yu; Li, Yuan -long; Zhang, Di-jun; Zeng, Xian-ping; Wu, Yong; Guo, Ying-hui; Feng, Zhi-shan</t>
  </si>
  <si>
    <t xml:space="preserve">Simultaneous detection of 9 respiratory pathogens using a newly developed multiplex real-time PCR panel based on an automatic molecular detection and analysis system</t>
  </si>
  <si>
    <t xml:space="preserve">Respiratory pathogens; Multiplex real-time PCR; Automatic molecular detection and analysis system</t>
  </si>
  <si>
    <t xml:space="preserve">FAST ASSAY; INFECTIONS; VIRUSES</t>
  </si>
  <si>
    <t xml:space="preserve">Timely identification of respiratory pathogens guides specific treatment, reduces hospital costs and minimizes the excessive use of antibiotics. A new multiplex real-time PCR panel was developed based on an automatic molecular detection and analysis system (AutoMolec system), consisting of three separate internally controlled assays. Mycoplasma pneumoniae, Chlamydia pneumoniae, adenovirus, human metapneumovirus, influenza B virus, respiratory syncytial virus and human parainfluenza virus 1-3 may be directly detected in original samples. The system's clinical performance was evaluated by comparison with an approved commercial kit, using 517 clinical samples. The limit of detection of the AutoMolec mRT-PCR panel ranged from 4 x 10(-4) similar to 3.3 TCID50/mL and no cross-reaction with common respiratory pathogens was observed. The AutoMolec mRT-PCR panel had 99.09% sensitivity and 100.0% specificity and overall detection consistency was 99.61%, making it comparable to that of the commercial kit. Therefore, the AutoMolec mRT-PCR panel has great potential for routine screening of respiratory infection in China. (C) 2022 Elsevier Inc. All rights reserved.</t>
  </si>
  <si>
    <t xml:space="preserve">[Zhao, Meng-chuan; Feng, Zhi-shan] Hebei Med Univ, Dept Lab Diag, Shijiazhuang, Hebei, Peoples R China; [Zhao, Meng-chuan; Li, Gui-xia; Zhang, Wen-chao; Duan, Su-xia; Zhai, Yu; Li, Yuan -long; Guo, Ying-hui] Childrens Hosp Hebei Prov, Dept Lab Med, Shijiazhuang, Hebei, Peoples R China; [Tie, Yan-qing; Feng, Zhi-shan] Peoples Hosp Hebei Prov, Dept Lab Med, Shijiazhuang, Hebei, Peoples R China; [Jiang, Yue] Hebei Med Univ, Publ Hlth Div, Hosp 3, Shijiazhuang, Hebei, Peoples R China; [Zheng, Ye-huan; Li, Jin-fu] Zhengzhou Autubio Diagnost Co Ltd, Zhengzou, Henan, Peoples R China; [Zhang, Di-jun; Zeng, Xian-ping; Wu, Yong] Ningbo Hlth Gene Technol Co Ltd, Ningbo, Zhejiang, Peoples R China</t>
  </si>
  <si>
    <t xml:space="preserve">Hebei Medical University; Hebei Medical University</t>
  </si>
  <si>
    <t xml:space="preserve">Feng, ZS (corresponding author), Hebei Med Univ, Dept Lab Diag, Shijiazhuang, Hebei, Peoples R China.;Guo, YH (corresponding author), Childrens Hosp Hebei Prov, Dept Lab Med, Shijiazhuang, Hebei, Peoples R China.;Feng, ZS (corresponding author), Peoples Hosp Hebei Prov, Dept Lab Med, Shijiazhuang, Hebei, Peoples R China.</t>
  </si>
  <si>
    <t xml:space="preserve">18503292337@139.com; 1173791762@qq.com</t>
  </si>
  <si>
    <t xml:space="preserve">Zeng, Xianping/JTV-4845-2023; Zhang, Wenchao/JCE-0609-2023; zhang, dijun/GQP-8906-2022</t>
  </si>
  <si>
    <t xml:space="preserve">Zhang, Dijun/0000-0003-3417-9849; Feng, Zhishan/0009-0000-0898-1382</t>
  </si>
  <si>
    <t xml:space="preserve">Hebei Project Plan for Medical Science Research [20210776]; Central Guidance on Local Science and Technology Development Fund of Hebei Province [216Z7713G]</t>
  </si>
  <si>
    <t xml:space="preserve">Hebei Project Plan for Medical Science Research; Central Guidance on Local Science and Technology Development Fund of Hebei Province</t>
  </si>
  <si>
    <t xml:space="preserve">Funding This work was supported by grants from the Hebei Project Plan for Medical Science Research (20210776) and the Central Guidance on Local Science and Technology Development Fund of Hebei Province (216Z7713G) . The funding body had no role in the design of the study and collection, analysis, and interpretation of data and in writing the manuscript.</t>
  </si>
  <si>
    <t xml:space="preserve">10.1016/j.diagmicrobio.2022.115801</t>
  </si>
  <si>
    <t xml:space="preserve">SEP 2022</t>
  </si>
  <si>
    <t xml:space="preserve">4Z5RD</t>
  </si>
  <si>
    <t xml:space="preserve">WOS:000862264700009</t>
  </si>
  <si>
    <t xml:space="preserve">Vandendriessche, S; Padalko, E; Wollants, E; Verfaillie, C; Verhasselt, B; Coorevits, L</t>
  </si>
  <si>
    <t xml:space="preserve">Vandendriessche, Stien; Padalko, Elizaveta; Wollants, Elke; Verfaillie, Charlotte; Verhasselt, Bruno; Coorevits, Liselotte</t>
  </si>
  <si>
    <t xml:space="preserve">Evaluation of the Seegene Allplex? Respiratory Panel for diagnosis of acute respiratory tract infections</t>
  </si>
  <si>
    <t xml:space="preserve">ACTA CLINICA BELGICA</t>
  </si>
  <si>
    <t xml:space="preserve">Respiratory pathogens; molecular detection; multiplex PCR; real-time PCR</t>
  </si>
  <si>
    <t xml:space="preserve">VIRUSES; EPIDEMIOLOGY</t>
  </si>
  <si>
    <t xml:space="preserve">Objectives: The Seegene Allplex Respiratory panel was retrospectively challenged using a collection of quality control samples (QCMD) and clinical samples previously analysed with validated routine methods. Methods: A collection of 111 samples [43 QCMD samples, 13 bronchoalveolar lavage fluids and 55 nasopharyngeal aspirates/swabs] was tested with Seegene Allplex. The clinical samples were tested previously using either FTD? Respiratory Pathogens 21 qPCR assay (Fast Track Diagnostics), an in-house multiplex PCR for Bordetella, or BioGX Sample-Ready(TM) Atypical pneumo panel (Becton Dickinson). Samples were stored at ?80?C prior to analysis with Seegene Allplex?, nucleic acids were automatically extracted with NucliSENS Easymag (bioM?rieux). Samples returning discordant results were subjected to repeat testing and/or additional testing by reference laboratories. Results: Seegene correctly identified 41/43 QCMD samples (95.4%); two samples positive for respiratory syncytial virus (RSV) and human metapneumovirus, respectively, were only correctly identified following repeat testing. In the 56 clinical samples, overall, 97 pathogens were identified: 65 pathogens (67.0%) were detected both by routine methods and Seegene, 24 pathogens (24.7%) only by routine methods, and 8 pathogens (8.2%) only by Seegene. The majority of discordant results was detected in samples with low pathogen load (22/32, 68.8%) and in samples containing multiple pathogens (25/32, 78.1%). Full agreement between methods was observed for influenza, RSV, adenovirus, Bordetella (para)pertussis and Chlamydia pneumoniae. Discordance was observed for human metapneumovirus, coronavirus OC43,?bocavirus?and parainfluenza virus, mainly type 4. Conclusion: Overall, the Seegene Allplex(TM) assay performed well for routine detection of important respiratory targets. Acceptable agreement was observed between Seegene and other routine assays.</t>
  </si>
  <si>
    <t xml:space="preserve">[Vandendriessche, Stien; Padalko, Elizaveta; Verhasselt, Bruno; Coorevits, Liselotte] Ghent Univ Hosp, Dept Lab Med, Med Microbiol, Corneel Heymanslaan 10, B-9000 Ghent, Belgium; [Wollants, Elke] Katholieke Univ Leuven, Rega Inst, Dept Microbiol &amp; Immunol, Lab Clin &amp; Epidemiol Virol, Leuven, Belgium; [Verfaillie, Charlotte] AZ Sint Lucas Ghent, Dept Lab Med, Med Microbiol, Ghent, Belgium</t>
  </si>
  <si>
    <t xml:space="preserve">Ghent University; Ghent University Hospital; KU Leuven</t>
  </si>
  <si>
    <t xml:space="preserve">Vandendriessche, S (corresponding author), Ghent Univ Hosp, Dept Lab Med, Med Microbiol, Corneel Heymanslaan 10, B-9000 Ghent, Belgium.</t>
  </si>
  <si>
    <t xml:space="preserve">stien.vandendriessche@ugent.be</t>
  </si>
  <si>
    <t xml:space="preserve">Wollants, Elke/0000-0002-4057-2236</t>
  </si>
  <si>
    <t xml:space="preserve">1784-3286</t>
  </si>
  <si>
    <t xml:space="preserve">2295-3337</t>
  </si>
  <si>
    <t xml:space="preserve">ACTA CLIN BELG</t>
  </si>
  <si>
    <t xml:space="preserve">Acta Clin. Belg.</t>
  </si>
  <si>
    <t xml:space="preserve">NOV 2</t>
  </si>
  <si>
    <t xml:space="preserve">10.1080/17843286.2018.1531605</t>
  </si>
  <si>
    <t xml:space="preserve">JH6BC</t>
  </si>
  <si>
    <t xml:space="preserve">WOS:000492852100001</t>
  </si>
  <si>
    <t xml:space="preserve">Telles, JN; Richard, N; Gillet, Y; Hartwig, S; Pouzol, S; Dollet, S; Messaoudi, M; Paredes, E; Ploton, C; Lina, G; Vernet, G; Floret, D; Javouhey, E; Paranhos-Baccalà, G</t>
  </si>
  <si>
    <t xml:space="preserve">Telles, Jean-Noel; Richard, Nathalie; Gillet, Yves; Hartwig, Susanne; Pouzol, Stephane; Dollet, Sandra; Messaoudi, Melina; Paredes, Elodie; Ploton, Christine; Lina, Gerard; Vernet, Guy; Floret, Daniel; Javouhey, Etienne; Paranhos-Baccala, Glaucia</t>
  </si>
  <si>
    <t xml:space="preserve">Viral and bacterial pathogens identification in children hospitalised for severe pneumonia and parapneumonic empyema</t>
  </si>
  <si>
    <t xml:space="preserve">PNEUMONIA</t>
  </si>
  <si>
    <t xml:space="preserve">Respiratory pathogens; aetiology; Real-time multiplex PCR; S. pneumoniae serotyping</t>
  </si>
  <si>
    <t xml:space="preserve">INVASIVE PNEUMOCOCCAL DISEASE; COMMUNITY-ACQUIRED PNEUMONIA; STREPTOCOCCUS-PNEUMONIAE; CLINICAL CHARACTERISTICS; NONVACCINE SEROTYPES; RESPIRATORY VIRUSES; CONJUGATE VACCINE; ETIOLOGY; EMERGENCE; EPIDEMIOLOGY</t>
  </si>
  <si>
    <t xml:space="preserve">Pneumonia is caused by respiratory bacteria and/or viruses. Little is known if co-infections are an aggravating factor in hospitalised children with severe pneumonia. We studied the impact of respiratory pathogens on the severity of pneumonia. Between 2007 and 2009, 52 children hospitalised with a well-documented diagnosis of communityacquired pneumonia (CAP), with or without parapneumonic empyema (PPE), were enrolled in the study. The patients were classified into 2 groups: CAP + PPE (n = 28) and CAP (n = 24). The identification of respiratory viruses and bacteria in nasopharyngeal aspirates and pleural effusion samples were performed using conventional bacterial techniques and molecular assays. Using real-time multiplex PCR and antigen detection, Streptococcus pneumoniae was the main agent identified in 76% of the cases by molecular tests and BinaxNOW((R)) in pleural fluid. A total of 8% of pleural fluid samples remained undiagnosed. In nasopharyngeal aspirates, rhinovirus, parainfluenza viruses, human metapneumovirus, and respiratory syncytial virus were detected in both CAP and CAP + PPE populations; however, the percentage of viral co-detection was significantly higher in nasopharyngeal aspirates from CAP + PPE patients (35%) compared with CAP patients (5%). In conclusion, viral co-detection was observed mainly in patients with more severe pneumonia. Molecular biology assays improved the pathogens detection in pneumonia and confirmed the S. pneumoniae detection by BinaxNOW r in pleural effusion samples. Interestingly, the main S. pneumoniae serotypes found in PPE are not the ones targeted by the heptavalent pneumococcal conjugate vaccine.</t>
  </si>
  <si>
    <t xml:space="preserve">[Telles, Jean-Noel; Hartwig, Susanne; Pouzol, Stephane; Dollet, Sandra; Messaoudi, Melina; Paredes, Elodie; Vernet, Guy; Paranhos-Baccala, Glaucia] Fondat Merieux, Emerging Pathogens Lab, IFR128 BioSci Lyon Gerland, Lyon, France; [Richard, Nathalie; Gillet, Yves] Grp Hosp Est, HFME, Serv Reanimat Pediat Med Chirurg, Bron, France; [Ploton, Christine; Lina, Gerard; Floret, Daniel; Javouhey, Etienne] Grp Hosp Est, Serv Bacteriol, Bron, France</t>
  </si>
  <si>
    <t xml:space="preserve">CHU Lyon; CHU Lyon</t>
  </si>
  <si>
    <t xml:space="preserve">Paranhos-Baccalà, G (corresponding author), Fondat Merieux, Emerging Pathogens Lab, IFR128 BioSci Lyon Gerland, Lyon, France.</t>
  </si>
  <si>
    <t xml:space="preserve">Glaucia.baccala@fondation-merieux.org</t>
  </si>
  <si>
    <t xml:space="preserve">Carlet-Dollet, Sandra/X-8945-2019; gillet, yves/C-6307-2012; Lina, Gerard/L-9352-2014; Javouhey, Etienne/G-3651-2013</t>
  </si>
  <si>
    <t xml:space="preserve">Gillet, Yves/0000-0003-1791-1639; Lina, Gerard/0000-0002-9236-7998; vernet, guy/0000-0002-5120-1297; Pouzol, Stephane/0000-0002-7875-2291; dollet, sandra/0000-0003-3908-6051</t>
  </si>
  <si>
    <t xml:space="preserve">2200-6133</t>
  </si>
  <si>
    <t xml:space="preserve">Pneumonia</t>
  </si>
  <si>
    <t xml:space="preserve">10.15172/pneu.2012.1/228</t>
  </si>
  <si>
    <t xml:space="preserve">V19AG</t>
  </si>
  <si>
    <t xml:space="preserve">WOS:000214791300004</t>
  </si>
  <si>
    <t xml:space="preserve">Broughton, S; Zuckerman, M; Auburn, H; Smith, M; Fox, G; Greenough, A</t>
  </si>
  <si>
    <t xml:space="preserve">Broughton, Simon; Zuckerman, Mark; Auburn, Helen; Smith, Melvyn; Fox, Grenville; Greenough, Anne</t>
  </si>
  <si>
    <t xml:space="preserve">Chronic respiratory morbidity following viral lower respiratory tract infections in prematurely born infants</t>
  </si>
  <si>
    <t xml:space="preserve">Respiratory morbidity; viral infections; preterm delivery</t>
  </si>
  <si>
    <t xml:space="preserve">Human meta-pneumovirus (hMPV) and rhinovirus (RV) lower respiratory tract infections (LRTIs) may result in acute symptoms similar to those of respiratory syncytial virus (RSV) LRTI. We, therefore, tested the hypothesis that other viral LRTI, as RSV LRTI, will increase healthcare utilization and chronic respiratory morbidity in prematurely born infants. One hundred and twelve prematurely born infants were followed prospectively. Hospital admissions and general practitioner (GP) attendances were recorded and cough and wheeze documented by diary card. Nasopharyngeal aspirates (NPA) were obtained for every LRTI and analyzed to identify RSV (A and B), hMPV, RV, parainfluenza (1 and 2) and influenza (A and B) viruses. Eighty-four infants suffered 126 LRTIs; 94 viruses [41 RSV, 36 RV, seven hMPV, five parainfluenza (1, 2 or 3) and five influenza (A or B) viruses] were identified from 82 of the 126 NPAs. Compared to the no viral LRTI group, infants with only RSV infection had more (P = 0.038) and longer (P = 0.045) hospital admissions, more GP attendances (P = 0.024), more cough (P = 0.030) and wheeze at follow up (P = 0.018). If infants with dual infections are also considered, however, infants with a hMPV LRTI, with or without other viral RNA being detected, compared to the no viral group, had more hospital admissions (P = 0.005), longer admissions (P &lt; 0.001), more GP visits (P = 0.029), more days of cough (P = 0.008) and more days of wheeze (P = 0.004). RSV and possibly hMPV, but not RV, LRTI increase healthcare utilization and respiratory morbidity in prematurely born infants.</t>
  </si>
  <si>
    <t xml:space="preserve">[Broughton, Simon; Greenough, Anne] Kings Coll London Sch Med, Guys Kings &amp; St Thomas Hosp, Div Asthma Allergy &amp; Lung Biol, London, England; [Zuckerman, Mark; Auburn, Helen; Smith, Melvyn] Kings Coll Hosp London, London South Specialist Virol Ctr, London, England; [Fox, Grenville] Guys &amp; St Thomas Hosp, Dept Child Hlth, London, England</t>
  </si>
  <si>
    <t xml:space="preserve">University of London; King's College London; King's College Hospital NHS Foundation Trust; King's College Hospital; Guy's &amp; St Thomas' NHS Foundation Trust</t>
  </si>
  <si>
    <t xml:space="preserve">Greenough, A (corresponding author), Kings Coll Hosp London, Neonatal Intens Care Ctr, 4th Floor Golden Jubilee Wing,Denmark Hill, London SE5 9RS, England.</t>
  </si>
  <si>
    <t xml:space="preserve">Abbott Laboratories/MedImmune; Abbott Laboratories; Well Child</t>
  </si>
  <si>
    <t xml:space="preserve">Abbott Laboratories/MedImmune; Abbott Laboratories(Abbott Laboratories); Well Child</t>
  </si>
  <si>
    <t xml:space="preserve">AG has had grant funding from Abbott Laboratories/MedImmune to support her work on the impact of viral infections on respiratory morbidity. Abbott Laboratories provide the funding for an annual neonatal conference organized by AG and have given her travel expenses to lecture at international conferences. Financial support: Dr. Simon Broughton is supported by a peer reviewed grant from Well Child, who received funding from Abbott Laboratories.</t>
  </si>
  <si>
    <t xml:space="preserve">J PEDIAT INFECT DISE</t>
  </si>
  <si>
    <t xml:space="preserve">V17DZ</t>
  </si>
  <si>
    <t xml:space="preserve">WOS:000214665800004</t>
  </si>
  <si>
    <t xml:space="preserve">Aykaç, K; Karadag-Öncel, E; Bayhan, C; Tanir-Basaranoglu, S; Akin, MS; Özsürekci, Y; Alp, A; Cengiz, AB; Kara, A; Ceyhan, M</t>
  </si>
  <si>
    <t xml:space="preserve">Aykac, Kubra; Karadag-Oncel, Eda; Bayhan, Cihangul; Tanir-Basaranoglu, Sevgen; Akin, Mustafa Senol; Ozsurekci, Yasemin; Alp, Alpaslan; Cengiz, Ali Bulent; Kara, Ates; Ceyhan, Mehmet</t>
  </si>
  <si>
    <t xml:space="preserve">Prevalence and seasonal distribution of viral etiology of respiratory tract infections in inpatients and outpatients of the pediatric population: 10 year follow-up</t>
  </si>
  <si>
    <t xml:space="preserve">respiratory infections; viruses; children</t>
  </si>
  <si>
    <t xml:space="preserve">SYNCYTIAL VIRUS-INFECTION; INFLUENZA-LIKE ILLNESSES; HUMAN METAPNEUMOVIRUS; CHILDREN; EPIDEMIOLOGY; CARE; INFANTS</t>
  </si>
  <si>
    <t xml:space="preserve">The aim of this study was to investigate the prevalence and seasonal distribution of respiratory viruses in pediatric patients. Nasopharyngeal swab specimens, demographic and clinical information were collected from 1240 pediatric patients aged &lt;18 years between 2006 and 2015 in Hacettepe University Children's Hospital. Multiplex RT-PCR (multiplex reverse transcriptase polymerase chain reaction) was performed to detect viral pathogens. A total of 1240 pediatric outpatients and inpatients who had been admitted to the hospital with symptoms of upper and lower respiratory tract infections (RTIs) were enrolled. Viruses were identified in 339 (27.3%) of cases, with the leading three viruses being respiratory syncytial virus (RSV, 74/339; 21.8%), human rhinovirus (62/339; 18.3%), and multiple viruses (56/339; 16.5%). Most of the patients were diagnosed with lower RTI (264/339; 77.8%) and antibiotics were administered to three quarters of positive patients (254/339; 74.9%). With an overall viral agent detection rate of 27.3%, the findings of the present study suggest that other respiratory pathogens, whether viral or bacterial, may also lead to hospital visits due to respiratory tract symptoms in children.</t>
  </si>
  <si>
    <t xml:space="preserve">[Aykac, Kubra; Karadag-Oncel, Eda; Bayhan, Cihangul; Tanir-Basaranoglu, Sevgen; Ozsurekci, Yasemin; Cengiz, Ali Bulent; Kara, Ates; Ceyhan, Mehmet] Hacettepe Univ, Fac Med, Div Pediat Infect Dis, Ankara, Turkey; [Akin, Mustafa Senol] Hacettepe Univ, Fac Med, Dept Pediat, Ankara, Turkey; [Alp, Alpaslan] Hacettepe Univ, Fac Med, Dept Microbiol &amp; Clin Microbiol, Ankara, Turkey</t>
  </si>
  <si>
    <t xml:space="preserve">Hacettepe University; Hacettepe University; Hacettepe University</t>
  </si>
  <si>
    <t xml:space="preserve">Aykaç, K (corresponding author), Hacettepe Univ, Fac Med, Div Pediat Infect Dis, Ankara, Turkey.</t>
  </si>
  <si>
    <t xml:space="preserve">kubraklnc.kk@gmail.com</t>
  </si>
  <si>
    <t xml:space="preserve">bayhan, cihangül/JHV-0491-2023; CENGIZ, ALI/I-9080-2013; Aykac, Kubra/ABA-1959-2020; Basaranoglu, Sevgen/U-2921-2017; KARA, ATES/I-9081-2013; Ozsurekci, Yasemin/D-5918-2014; Karadag Oncel, Eda/JHU-8000-2023; Akin, Mustafa Senol/F-5143-2017; ALP, ALPASLAN/I-8366-2013</t>
  </si>
  <si>
    <t xml:space="preserve">Kara, Ates/0000-0002-1654-3232; Karadag Oncel, Eda/0000-0001-6488-8641; Cengiz, Ali Bulent/0000-0002-2628-6954; Akin, Mustafa Senol/0000-0003-0055-8277; ALP, ALPASLAN/0000-0001-7856-7590; Bayhan, Cihangul/0000-0002-4982-1542</t>
  </si>
  <si>
    <t xml:space="preserve">10.24953/turkjped.2018.06.004</t>
  </si>
  <si>
    <t xml:space="preserve">IK8ZG</t>
  </si>
  <si>
    <t xml:space="preserve">WOS:000476883700004</t>
  </si>
  <si>
    <t xml:space="preserve">Martins, RB; Carney, S; Goldemberg, D; Bonine, L; Spano, LC; Siqueira, M; Checon, RE</t>
  </si>
  <si>
    <t xml:space="preserve">Martins Junior, Ronaldo Braganca; Carney, Sharon; Goldemberg, Daniel; Bonine, Lucas; Spano, Liliana Cruz; Siqueira, Marilda; Checon, Rita Elizabeth</t>
  </si>
  <si>
    <t xml:space="preserve">Detection of respiratory viruses by real-time polymerase chain reaction in outpatients with acute respiratory infection</t>
  </si>
  <si>
    <t xml:space="preserve">respiratory infections; real-time PCR; multiplex; viruses</t>
  </si>
  <si>
    <t xml:space="preserve">VIRAL-INFECTIONS; RAPID DETECTION; HUMAN BOCAVIRUS; MULTIPLEX PCR; TRACT; CHILDREN; ASSAY; CORONAVIRUS; PNEUMONIA; PATHOGENS</t>
  </si>
  <si>
    <t xml:space="preserve">Viruses are the major contributors to the morbidity and mortality of upper and lower acute respiratory infections (ARIs) for all age groups. The aim of this study was to determine the frequencies for a large range of respiratory viruses using a sensitive molecular detection technique in specimens from outpatients of all ages with ARIs. Nasopharyngeal aspirates were obtained from 162 individuals between August 2007-August 2009. Twenty-three pathogenic respiratory agents, 18 respiratory viruses and five bacteria were investigated using multiplex real-time reverse transcriptase polymerase chain reaction (RT-PCR) and indirect immunofluorescence assay (IIF). Through IIF, 33 (20.4%) specimens with respiratory virus were recognised, with influenza virus representing over half of the positive samples. Through a multiplex real-time RT-PCR assay, 88 (54.3%) positive samples were detected; the most prevalent respiratory viral pathogens were influenza, human rhinovirus and respiratory syncytial virus (RSV). Six cases of viral co-detection were observed, mainly involving RSV. The use of multiplex real-time RT-PCR increased the viral detection by 33.9% and revealed a larger number of respiratory viruses implicated in ARI cases, including the most recently described respiratory viruses [human bocavirus, human metapneumovirus, influenza A (H1N1) pdm09 virus, human coronavirus (HCoV) NL63 and HCoV HKU1].</t>
  </si>
  <si>
    <t xml:space="preserve">[Martins Junior, Ronaldo Braganca; Spano, Liliana Cruz; Checon, Rita Elizabeth] Univ Fed Espirito Santo, Lab Virus Resp, Nucl Doencas Infecc, Vitoria, ES, Brazil; [Carney, Sharon; Goldemberg, Daniel; Siqueira, Marilda] Inst Oswaldo Cruz, FIOCRUZ, Lab Virus Resp, BR-20001 Rio De Janeiro, RJ, Brazil; [Bonine, Lucas] Lab Cent Saude Publ Espirito Santo, Vitoria, ES, Brazil</t>
  </si>
  <si>
    <t xml:space="preserve">Universidade Federal do Espirito Santo; Fundacao Oswaldo Cruz</t>
  </si>
  <si>
    <t xml:space="preserve">Martins, RB (corresponding author), Univ Fed Espirito Santo, Lab Virus Resp, Nucl Doencas Infecc, Vitoria, ES, Brazil.</t>
  </si>
  <si>
    <t xml:space="preserve">rb.mj@hotmail.com</t>
  </si>
  <si>
    <t xml:space="preserve">Goldemberg, Daniel/N-5484-2018; Martins, Ronaldo/U-1118-2017</t>
  </si>
  <si>
    <t xml:space="preserve">Cohen Goldemberg, Daniel/0000-0002-0089-1910; Martins, Ronaldo/0000-0002-8902-5962</t>
  </si>
  <si>
    <t xml:space="preserve">FAPES; FACITEC-Vitoria-ES; DECIT-MS, Brasil</t>
  </si>
  <si>
    <t xml:space="preserve">FAPES(Fundacao de Amparo a Pesquisa do Estado de Espiritu Santo (FAPES)); FACITEC-Vitoria-ES; DECIT-MS, Brasil</t>
  </si>
  <si>
    <t xml:space="preserve">FAPES, FACITEC-Vitoria-ES, DECIT-MS, Brasil</t>
  </si>
  <si>
    <t xml:space="preserve">10.1590/0074-0276140046</t>
  </si>
  <si>
    <t xml:space="preserve">AR5CZ</t>
  </si>
  <si>
    <t xml:space="preserve">Green Published, Green Submitted, gold</t>
  </si>
  <si>
    <t xml:space="preserve">WOS:000343604100003</t>
  </si>
  <si>
    <t xml:space="preserve">Suryadevara, M; Cummings, E; Bonville, CA; Bartholoma, N; Riddell, S; Kiska, D; Rosenberg, HF; Domachowske, JB</t>
  </si>
  <si>
    <t xml:space="preserve">Suryadevara, Manika; Cummings, Erin; Bonville, Cynthia A.; Bartholoma, Nadine; Riddell, Scott; Kiska, Deanna; Rosenberg, Helene F.; Domachowske, Joseph B.</t>
  </si>
  <si>
    <t xml:space="preserve">Viral Etiology of Acute Febrile Respiratory Illnesses in Hospitalized Children Younger Than 24 Months</t>
  </si>
  <si>
    <t xml:space="preserve">CLINICAL PEDIATRICS</t>
  </si>
  <si>
    <t xml:space="preserve">respiratory infections; multiplex PCR; respiratory viral pathogens</t>
  </si>
  <si>
    <t xml:space="preserve">SYNCYTIAL VIRUS; HUMAN METAPNEUMOVIRUS; TRACT INFECTIONS; INFANTS; SEVERITY; DISEASE; SINGLE; IMPACT</t>
  </si>
  <si>
    <t xml:space="preserve">Background: Respiratory infections are a leading cause of pediatric hospitalizations. This study investigated whether virus-virus or virus-Bordetella co-infections are more frequent or more severe than previously recognized. Methods: This is a 3-year prospective study of children younger than 24 months hospitalized with a febrile respiratory illness. Viral pathogens were detected using multiplex polymerase chain reaction (PCR), enzyme-linked immunoassays, and/or viral cultures from nasopharyngeal samples. Bordetella infections were detected by PCR. Results: A total of 201 patients were enrolled. Respiratory viruses were detected in 187 (93%) patients, with 52 (28%) multipathogen infections. The most common viruses detected were respiratory syncytial virus and rhinovirus/enterovirus. There were no differences in illness severity when comparing patients infected with one pathogen and those with multipathogen infection. Conclusion: Virus co-infection in young children hospitalized with an acute febrile respiratory infection is common but does not appear to be associated with illness severity.</t>
  </si>
  <si>
    <t xml:space="preserve">[Domachowske, Joseph B.] SUNY Upstate Med Univ, Dept Pediat, Syracuse, NY 13210 USA; [Rosenberg, Helene F.] NIAID, NIH, Bethesda, MD 20892 USA</t>
  </si>
  <si>
    <t xml:space="preserve">State University of New York (SUNY) System; State University of New York (SUNY) Upstate Medical Center; National Institutes of Health (NIH) - USA; NIH National Institute of Allergy &amp; Infectious Diseases (NIAID)</t>
  </si>
  <si>
    <t xml:space="preserve">Domachowske, JB (corresponding author), SUNY Upstate Med Univ, Dept Pediat, 750 E Adams St, Syracuse, NY 13210 USA.</t>
  </si>
  <si>
    <t xml:space="preserve">domachoj@upstate.edu</t>
  </si>
  <si>
    <t xml:space="preserve">Domachowske, Joseph/AAI-1797-2020</t>
  </si>
  <si>
    <t xml:space="preserve">Domachowske, Joseph/0000-0003-1510-1309</t>
  </si>
  <si>
    <t xml:space="preserve">Central New York Children's Miracle Network [5553]; NIAID Division of Intramural Research [Z01-AI000943]</t>
  </si>
  <si>
    <t xml:space="preserve">Central New York Children's Miracle Network; NIAID Division of Intramural Research(United States Department of Health &amp; Human ServicesNational Institutes of Health (NIH) - USANIH National Institute of Allergy &amp; Infectious Diseases (NIAID))</t>
  </si>
  <si>
    <t xml:space="preserve">The authors disclosed receipt of the following financial support for the research and/or authorship of this article: Funding of this project was provided by Central New York Children's Miracle Network (IRB# 5553 to JBD) and NIAID Division of Intramural Research (Grant No. Z01-AI000943 to HFR).</t>
  </si>
  <si>
    <t xml:space="preserve">0009-9228</t>
  </si>
  <si>
    <t xml:space="preserve">1938-2707</t>
  </si>
  <si>
    <t xml:space="preserve">CLIN PEDIATR</t>
  </si>
  <si>
    <t xml:space="preserve">Clin. Pediatr.</t>
  </si>
  <si>
    <t xml:space="preserve">10.1177/0009922810394834</t>
  </si>
  <si>
    <t xml:space="preserve">763US</t>
  </si>
  <si>
    <t xml:space="preserve">WOS:000290585800006</t>
  </si>
  <si>
    <t xml:space="preserve">Broor, S; Dawood, FS; Pandey, BG; Saha, S; Gupta, V; Krishnan, A; Rai, S; Singh, P; Erdman, D; Lal, RB</t>
  </si>
  <si>
    <t xml:space="preserve">Broor, Shobha; Dawood, Fatimah S.; Pandey, Bharti G.; Saha, Siddhartha; Gupta, Vivek; Krishnan, Anand; Rai, Sanjay; Singh, Pratibha; Erdman, Dean; Lal, Renu B.</t>
  </si>
  <si>
    <t xml:space="preserve">Rates of respiratory virus-associated hospitalization in children aged &lt; 5 years in rural northern India</t>
  </si>
  <si>
    <t xml:space="preserve">Respiratory infections; Hospitalization; Respiratory syncytial viruses; Influenza; Parainfluenza; Adenovirus; Coronavirus; Human metapneumovirus</t>
  </si>
  <si>
    <t xml:space="preserve">LABORATORY-CONFIRMED INFLUENZA; VACCINE EFFECTIVENESS; SYNCYTIAL VIRUS; YOUNG-CHILDREN; VIRAL ETIOLOGY; GLOBAL BURDEN; INFECTIONS; SAFETY; PNEUMONIA; EFFICACY</t>
  </si>
  <si>
    <t xml:space="preserve">Objectives: Though respiratory viruses are thought to cause substantial morbidity globally in children aged &lt;5 years, the incidence of severe respiratory virus infections in children is unknown in India where 20% of the world's children live. Methods: During August 2009-July 2011, prospective population-based surveillance was conducted for hospitalizations of children aged &lt;5 years in a rural community in Haryana State. Clinical data and respiratory specimens were collected. Swabs were tested by RT-PCR for influenza and parainfluenza viruses, respiratory syncytial virus (RSV), human metapneumovirus, coronaviruses, and adenovirus. Average annual hospitalization incidence was calculated using census data and adjusted for hospitalizations reported to occur at non-study hospitals according to a comunity healthcare utilization survey. Results: Of 245 hospitalized children, respiratory viruses were detected among 98 (40%), of whom 92 (94%) had fever or respiratory symptoms. RSV accounted for the highest virus-associated hospitalization incidence (34.6/10,000, 95% CI 26.3-44.7) and 20% of hospitalizations. There were 11.8/10,000 (95% CI 7.9-18.4) influenza-associated hospitalizations (7% of hospitalizations). RSV and influenza virus detection peaked in winter (November-February) and rainy seasons (July), respectively. Conclusion: Respiratory viruses were associated with a substantial proportion of hospitalizations among young children in a rural Indian community. Public health research and prevention in India should consider targeting RSV and influenza in young children. Published by Elsevier Ltd on behalf of The British Infection Association.</t>
  </si>
  <si>
    <t xml:space="preserve">[Broor, Shobha; Pandey, Bharti G.; Gupta, Vivek; Krishnan, Anand; Rai, Sanjay] All India Inst Med Sci, Delhi, India; [Dawood, Fatimah S.; Saha, Siddhartha; Lal, Renu B.] Ctr Dis Control &amp; Prevent CDC, Influenza Div, Atlanta, GA USA; [Singh, Pratibha] Manav Rachna Int Univ, Faridabad, India; [Erdman, Dean] CDC, Div Viral Dis, Atlanta, GA 30333 USA</t>
  </si>
  <si>
    <t xml:space="preserve">All India Institute of Medical Sciences (AIIMS) New Delhi; Centers for Disease Control &amp; Prevention - USA; Manav Rachna International Institute of Research &amp; Studies; Centers for Disease Control &amp; Prevention - USA</t>
  </si>
  <si>
    <t xml:space="preserve">Broor, S (corresponding author), All India Inst Med Sci, Dept Microbiol, New Delhi 110029, India.</t>
  </si>
  <si>
    <t xml:space="preserve">shobha.broor@gmail.com; fdawood@cdc.gov</t>
  </si>
  <si>
    <t xml:space="preserve">Gupta, Vivek/JXX-4707-2024; Broor, Shobha/AAX-4163-2021; Krishnan, Anand/D-8537-2012</t>
  </si>
  <si>
    <t xml:space="preserve">Gupta, Vivek/0000-0002-6157-3705; Saha, Siddhartha/0000-0002-7494-267X; Krishnan, Anand/0000-0002-9173-7811</t>
  </si>
  <si>
    <t xml:space="preserve">Centers for Disease Control and Prevention, Atlanta, US [U01 IP000206]</t>
  </si>
  <si>
    <t xml:space="preserve">Centers for Disease Control and Prevention, Atlanta, US(United States Department of Health &amp; Human ServicesCenters for Disease Control &amp; Prevention - USA)</t>
  </si>
  <si>
    <t xml:space="preserve">This study was supported in part by cooperative agreements U01 IP000206 from the Centers for Disease Control and Prevention, Atlanta, US. The authors do not have any relevant conflicts of interest to declare.</t>
  </si>
  <si>
    <t xml:space="preserve">10.1016/j.jinf.2013.11.005</t>
  </si>
  <si>
    <t xml:space="preserve">AB3TC</t>
  </si>
  <si>
    <t xml:space="preserve">WOS:000331712100010</t>
  </si>
  <si>
    <t xml:space="preserve">Weary, TE; Pappas, T; Tusiime, P; Tuhaise, S; Otali, E; Thompson, ME; Ross, E; Gern, JE; Goldberg, TL</t>
  </si>
  <si>
    <t xml:space="preserve">Weary, Taylor E.; Pappas, Tressa; Tusiime, Patrick; Tuhaise, Shamilah; Otali, Emily; Thompson, Melissa Emery; Ross, Elizabeth; Gern, James E.; Goldberg, Tony L.</t>
  </si>
  <si>
    <t xml:space="preserve">Common cold viruses circulating in children threaten wild chimpanzees through asymptomatic adult carriers</t>
  </si>
  <si>
    <t xml:space="preserve">SCIENTIFIC REPORTS</t>
  </si>
  <si>
    <t xml:space="preserve">Respiratory infections; COVID-19; Reverse zoonosis; Uganda; Paediatrics; One Health</t>
  </si>
  <si>
    <t xml:space="preserve">RESPIRATORY SYNCYTIAL VIRUS; STREPTOCOCCUS-PNEUMONIAE; HUMAN METAPNEUMOVIRUS; PAN-TROGLODYTES; MODEL SELECTION; NATIONAL-PARK; RHINOVIRUS-C; DISEASE; INFECTION; HUMANS</t>
  </si>
  <si>
    <t xml:space="preserve">Reverse zoonotic respiratory diseases threaten great apes across Sub-Saharan Africa. Studies of wild chimpanzees have identified the causative agents of most respiratory disease outbreaks as common cold paediatric human pathogens, but reverse zoonotic transmission pathways have remained unclear. Between May 2019 and August 2021, we conducted a prospective cohort study of 234 children aged 3-11 years in communities bordering Kibale National Park, Uganda, and 30 adults who were forest workers and regularly entered the park. We collected 2047 respiratory symptoms surveys to quantify clinical severity and simultaneously collected 1989 nasopharyngeal swabs approximately monthly for multiplex viral diagnostics. Throughout the course of the study, we also collected 445 faecal samples from 55 wild chimpanzees living nearby in Kibale in social groups that have experienced repeated, and sometimes lethal, epidemics of human-origin respiratory viral disease. We characterized respiratory pathogens in each cohort and examined statistical associations between PCR positivity for detected pathogens and potential risk factors. Children exhibited high incidence rates of respiratory infections, whereas incidence rates in adults were far lower. COVID-19 lockdown in 2020-2021 significantly decreased respiratory disease incidence in both people and chimpanzees. Human respiratory infections peaked in June and September, corresponding to when children returned to school. Rhinovirus, which caused a 2013 outbreak that killed 10% of chimpanzees in a Kibale community, was the most prevalent human pathogen throughout the study and the only pathogen present at each monthly sampling, even during COVID-19 lockdown. Rhinovirus was also most likely to be carried asymptomatically by adults. Although we did not detect human respiratory pathogens in the chimpanzees during the cohort study, we detected human metapneumovirus in two chimpanzees from a February 2023 outbreak that were genetically similar to viruses detected in study participants in 2019. Our data suggest that respiratory pathogens circulate in children and that adults become asymptomatically infected during high-transmission times of year. These asymptomatic adults may then unknowingly carry the pathogens into forest and infect chimpanzees. This conclusion, in turn, implies that intervention strategies based on respiratory symptoms in adults are unlikely to be effective for reducing reverse zoonotic transmission of respiratory viruses to chimpanzees.</t>
  </si>
  <si>
    <t xml:space="preserve">[Weary, Taylor E.; Goldberg, Tony L.] Univ Wisconsin, Sch Vet Med, Dept Pathobiol Sci, Madison, WI 53706 USA; [Pappas, Tressa; Gern, James E.] Univ Wisconsin, Dept Paediat, Sch Med &amp; Publ Hlth, Madison, WI USA; [Tusiime, Patrick; Tuhaise, Shamilah; Otali, Emily; Ross, Elizabeth] Kasiisi Project, Ft Portal, Uganda; [Otali, Emily; Thompson, Melissa Emery] Kibale Chimpanzee Project, Ft Portal, Uganda; [Thompson, Melissa Emery] Univ New Mexico, Dept Anthropol, Albuquerque, NM USA</t>
  </si>
  <si>
    <t xml:space="preserve">University of Wisconsin System; University of Wisconsin Madison; University of Wisconsin System; University of Wisconsin Madison; University of New Mexico</t>
  </si>
  <si>
    <t xml:space="preserve">Goldberg, TL (corresponding author), Univ Wisconsin, Sch Vet Med, Dept Pathobiol Sci, Madison, WI 53706 USA.</t>
  </si>
  <si>
    <t xml:space="preserve">tony.goldberg@wisc.edu</t>
  </si>
  <si>
    <t xml:space="preserve">Gern, James/AGR-3937-2022; Weary, Taylor/KHE-3781-2024</t>
  </si>
  <si>
    <t xml:space="preserve">Weary, Taylor/0000-0002-0871-6682</t>
  </si>
  <si>
    <t xml:space="preserve">NATURE PORTFOLIO</t>
  </si>
  <si>
    <t xml:space="preserve">BERLIN</t>
  </si>
  <si>
    <t xml:space="preserve">HEIDELBERGER PLATZ 3, BERLIN, 14197, GERMANY</t>
  </si>
  <si>
    <t xml:space="preserve">2045-2322</t>
  </si>
  <si>
    <t xml:space="preserve">SCI REP-UK</t>
  </si>
  <si>
    <t xml:space="preserve">Sci Rep</t>
  </si>
  <si>
    <t xml:space="preserve">MAY 7</t>
  </si>
  <si>
    <t xml:space="preserve">10.1038/s41598-024-61236-7</t>
  </si>
  <si>
    <t xml:space="preserve">PR5H4</t>
  </si>
  <si>
    <t xml:space="preserve">WOS:001215817800065</t>
  </si>
  <si>
    <t xml:space="preserve">Fairchok, MP; Martin, ET; Chambers, S; Kuypers, J; Behrens, M; Braun, LE; Englund, JA</t>
  </si>
  <si>
    <t xml:space="preserve">Fairchok, Mary P.; Martin, Emily T.; Chambers, Susan; Kuypers, Jane; Behrens, Melinda; Braun, LoRanee E.; Englund, Janet A.</t>
  </si>
  <si>
    <t xml:space="preserve">Epidemiology of viral respiratory tract infections in a prospective cohort of infants and toddlers attending daycare</t>
  </si>
  <si>
    <t xml:space="preserve">Respiratory infection; Viral; Daycare; Epidemiology; PCR</t>
  </si>
  <si>
    <t xml:space="preserve">HUMAN METAPNEUMOVIRUS; HOSPITALIZED INFANTS; VIRUS-INFECTIONS; PCR ASSAYS; 1ST YEAR; CHILDREN; RHINOVIRUS; SPECIMENS; PATHOGENS; ILLNESSES</t>
  </si>
  <si>
    <t xml:space="preserve">Background: The epidemiology of respiratory tract infections (RTIs) in a daycare cohort has not been explored using molecular techniques. Objectives: (1) Determine the overall incidence of RTIs in a daycare cohort using real-time reverse transcriptase polymerase chain reaction (RT-PCR). (2) Determine the relative incidence and impact of specific respiratory viruses, and characterize and compare clinical features associated with these pathogens. Study design: In this prospective cohort study conducted from February 2006 to April 2008, nasal swabs were obtained from symptomatic children ages 0-30 months enrolled in fulltime daycare. RT-PCR was performed to detect respiratory syncytial virus (RSV), human metapneumovirus (MPV), influenza (Flu) viruses A and B, parainfluenza (PIV), adenovirus (AdV), human coronaviruses (CoV) and rhinovirus (RhV). Symptom diaries were completed for each illness. Results: We followed 119 children (mean age 10 months; range 2-24 months) for 115 child years. The mean annual incidence of RTI per child was 4.2 the first year and 1.2 the second year of the study. At least 1 virus was identified in 67% RTIs. Co-infections were common (27% RTIs), with RhV, CoV, and AdV the most common co-pathogens. PIV was identified in 12% of RTIs with a high incidence of PIV4. The viruses with the greatest impact on our population were RSV, RhV and AdV. Conclusions: Using molecular techniques, viruses were identified in approximately twice as many RTIs as previously reported in a daycare cohort. Infections with newly identified viruses, such as HMPV and CoV subtypes were less frequent and severe than infections with RSV, AdV and RhV. Published by Elsevier B. V.</t>
  </si>
  <si>
    <t xml:space="preserve">[Fairchok, Mary P.; Chambers, Susan; Behrens, Melinda; Braun, LoRanee E.] Madigan Army Med Ctr, Dept Pediat, Tacoma, WA 98431 USA; [Fairchok, Mary P.; Martin, Emily T.; Englund, Janet A.] Childrens Hosp &amp; Reg Med Ctr, Seattle, WA 98105 USA; [Kuypers, Jane] Univ Washington, Dept Lab Med, Seattle, WA 98195 USA</t>
  </si>
  <si>
    <t xml:space="preserve">Madigan Army Medical Center; Seattle Children's Hospital; University of Washington; University of Washington Seattle</t>
  </si>
  <si>
    <t xml:space="preserve">Fairchok, MP (corresponding author), Madigan Army Med Ctr, Dept Pediat, BLDG 9040 Fitzsimmons Dr, Tacoma, WA 98431 USA.</t>
  </si>
  <si>
    <t xml:space="preserve">fairchokmp@hotmail.com</t>
  </si>
  <si>
    <t xml:space="preserve">MedImmune, Inc. [SYN104-05D]; Sanofi Pasteur; Vioguard, LLC</t>
  </si>
  <si>
    <t xml:space="preserve">MedImmune, Inc.(AstraZenecaMedimmune); Sanofi Pasteur; Vioguard, LLC</t>
  </si>
  <si>
    <t xml:space="preserve">This work was supported by Grant Number SYN104-05D from the MedImmune, Inc. Investigator Initiated Research Program (PI: Englund).JE has received research support from Sanofi Pasteur. EM has received research support from Vioguard, LLC. None of the other authors of this manuscript have any conflicts of interest to report.</t>
  </si>
  <si>
    <t xml:space="preserve">10.1016/j.jcv.2010.06.013</t>
  </si>
  <si>
    <t xml:space="preserve">638KO</t>
  </si>
  <si>
    <t xml:space="preserve">WOS:000280893900004</t>
  </si>
  <si>
    <t xml:space="preserve">da Silva, RC; Mendes, GD; Rojas, MA; Amorim, AR; Couceiro, JN; Lupi, O; Elabras, J; Pires, G; Valle, S; Santos, N</t>
  </si>
  <si>
    <t xml:space="preserve">da Silva, Raquel Cirlene; Mendes, Gabriella da Silva; Rojas, Miguel Angel; Amorim, Ariane Ribeiro; Couceiro, Jose Nelson; Lupi, Omar; Elabras, Jose; Pires, Gisele; Valle, Solange; Santos, Norma</t>
  </si>
  <si>
    <t xml:space="preserve">Frequency of viral etiology in symptomatic adult upper respiratory tract infections</t>
  </si>
  <si>
    <t xml:space="preserve">Respiratory infection; Viral infection; Viral diagnosis; Epidemiology</t>
  </si>
  <si>
    <t xml:space="preserve">REAL-TIME PCR; SYNCYTIAL VIRUS; BRONCHOALVEOLAR LAVAGE; INFLUENZA; SAMPLES; EPIDEMIOLOGY; CHILDREN</t>
  </si>
  <si>
    <t xml:space="preserve">Aims: To determine the frequency of viral pathogens causing upper respiratory tract infections in non-hospitalized, symptomatic adults in the city of Rio de Janeiro. Methods: Respiratory samples (nasal/throat swabs) were collected between August 2010 and November 2012 and real time PCR was used to detect different viral pathogens. Results: Viruses were detected in 32.1% (43/134) of samples from 101 patients. Specifically, 9% (12/134) were positive for HBoV, 8.2% (11/134) were positive for HAdV, 5.2% (7/134) were positive for HRV, and 1.5% (2/134) were positive for FLUBV or HMPV, as single infections. HRSV-A, HPIV-3, and HCoV-HKU1 were detected in one (0.75%) sample each. Co-infections were detected in 4.8% (6/134) of the samples. Peaks of viral infections were observed in March, April, May, August, and October. However, positive samples were detected all year round. Only 23.3% (10/43) of the positive samples were collected from patients with febrile illness. Conclusion: Results presented in this report suggest that respiratory viral infections are largely under diagnosed in immunocompetent adults. Although the majority of young adult infections are not life-threatening they may impose a significant burden, especially in developing countries since these individuals represent a large fraction of the working force. (C) 2014 Elsevier Editora Ltda. Este e um artigo Open Access sob a licenca de CC BY-NC-ND</t>
  </si>
  <si>
    <t xml:space="preserve">[da Silva, Raquel Cirlene; Mendes, Gabriella da Silva; Rojas, Miguel Angel; Amorim, Ariane Ribeiro; Couceiro, Jose Nelson; Santos, Norma] Univ Fed Rio de Janeiro, Inst Microbiol Paulo Goes, BR-21941972 Rio De Janeiro, RJ, Brazil; [Lupi, Omar; Elabras, Jose; Pires, Gisele; Valle, Solange] Univ Fed Rio de Janeiro, Fac Med, BR-21941972 Rio De Janeiro, RJ, Brazil</t>
  </si>
  <si>
    <t xml:space="preserve">Universidade Federal do Rio de Janeiro; Universidade Federal do Rio de Janeiro</t>
  </si>
  <si>
    <t xml:space="preserve">Santos, N (corresponding author), Univ Fed Rio de Janeiro, Inst Microbiol Paulo Goes, Dept Virol, Ilha Fundao, CCS Bl Cidade Univ 1, BR-21941972 Rio De Janeiro, RJ, Brazil.</t>
  </si>
  <si>
    <t xml:space="preserve">nsantos@micro.ufrj.br</t>
  </si>
  <si>
    <t xml:space="preserve">Lupi, Omar/AAA-3653-2019; Mendes, Gabriella/CAG-0780-2022; dos Santos Silva Couceiro, Jose Nelson/J-3933-2016; Santos, Norma/H-6986-2015; Rojas, Miguel/G-7654-2016</t>
  </si>
  <si>
    <t xml:space="preserve">dos Santos Silva Couceiro, Jose Nelson/0000-0001-8712-4847; Santos, Norma/0000-0002-5123-9172; Rojas, Miguel/0000-0001-5029-3874; Mendes, Gabriella/0000-0003-1978-9569</t>
  </si>
  <si>
    <t xml:space="preserve">Conselho Nacional de Desenvolvimento Cientifico e Tecnologico (CNPq) [471063/2012-6]; Coordenacao de Aperfeicoamento de Pessoal de Nivel Superior (CAPES); Fundacao Carlos Chagas de Amparo a Pesquisa do Estado do Rio de Janeiro (FAPERJ), Brazil [E-26/103.113/2011]</t>
  </si>
  <si>
    <t xml:space="preserve">Conselho Nacional de Desenvolvimento Cientifico e Tecnologico (CNPq)(Conselho Nacional de Desenvolvimento Cientifico e Tecnologico (CNPQ)); Coordenacao de Aperfeicoamento de Pessoal de Nivel Superior (CAPES)(Coordenacao de Aperfeicoamento de Pessoal de Nivel Superior (CAPES)); Fundacao Carlos Chagas de Amparo a Pesquisa do Estado do Rio de Janeiro (FAPERJ), Brazil(Fundacao Carlos Chagas Filho de Amparo a Pesquisa do Estado do Rio De Janeiro (FAPERJ))</t>
  </si>
  <si>
    <t xml:space="preserve">This study was supported in part by the Conselho Nacional de Desenvolvimento Cientifico e Tecnologico (CNPq) grant number 471063/2012-6, Coordenacao de Aperfeicoamento de Pessoal de Nivel Superior (CAPES), and the Fundacao Carlos Chagas de Amparo a Pesquisa do Estado do Rio de Janeiro (FAPERJ) grant number E-26/103.113/2011, Brazil.</t>
  </si>
  <si>
    <t xml:space="preserve">10.1016/j.bjid.2014.08.005</t>
  </si>
  <si>
    <t xml:space="preserve">CE9MS</t>
  </si>
  <si>
    <t xml:space="preserve">WOS:000352168700005</t>
  </si>
  <si>
    <t xml:space="preserve">Albuquerque, MCM; Varella, RB; Santos, N</t>
  </si>
  <si>
    <t xml:space="preserve">Albuquerque, Maria Carolina M.; Varella, Rafael B.; Santos, Norma</t>
  </si>
  <si>
    <t xml:space="preserve">ACUTE RESPIRATORY VIRAL INFECTIONS IN CHILDREN IN RIO DE JANEIRO AND TERESOPOLIS, BRAZIL</t>
  </si>
  <si>
    <t xml:space="preserve">REVISTA DO INSTITUTO DE MEDICINA TROPICAL DE SAO PAULO</t>
  </si>
  <si>
    <t xml:space="preserve">Respiratory infection; Viral infection; Viral diagnosis</t>
  </si>
  <si>
    <t xml:space="preserve">HUMAN METAPNEUMOVIRUS INFECTION; ATTENDING DAY-CARE; SYNCYTIAL-VIRUS; CORONAVIRUS HKU1; HUMAN BOCAVIRUS; PEDIATRIC-PATIENTS; TRACT INFECTIONS; CLINICAL-SAMPLES; INFLUENZA; RHINOVIRUS</t>
  </si>
  <si>
    <t xml:space="preserve">The frequency of viral pathogens causing respiratory infections in children in the cities of Rio de Janeiro and Teresopolis was investigated. Nasal swabs from children with acute respiratory illnesses were collected between March 2006 and October 2007. Specimens were tested for viral detection by conventional (RT)-PCR and/or real time PCR. Of the 205 nasal swabs tested, 64 (31.2%) were positive for at least one of the viral pathogens. Single infections were detected in 56 samples, 50 of those were caused by RNA viruses: 33 samples tested positive for rhinovirus, five for influenza A, five for metapneumovirus, four for coronavirus and, three for respiratory syncytial virus. For the DNA viruses, five samples were positive for bocavirus and one for adenovirus. Co-infections with these viruses were detected in eight samples. Our data demonstrate a high frequency of viral respiratory infections, emphasizing the need for a more accurate diagnosis particularly for the emerging respiratory viruses. The fact that the emerging respiratory viruses were present in 9.2% of the tested samples suggests that these viruses could be important respiratory pathogens in the country.</t>
  </si>
  <si>
    <t xml:space="preserve">[Albuquerque, Maria Carolina M.; Santos, Norma] Univ Fed Rio de Janeiro, Dept Virol, Inst Microbiol Paulo de Goes, BR-21941972 Rio De Janeiro, RJ, Brazil; [Varella, Rafael B.] Univ Fed Fluminense, Dept Microbiol &amp; Parasitol, Inst Biomed, BR-24210130 Rio De Janeiro, RJ, Brazil</t>
  </si>
  <si>
    <t xml:space="preserve">Universidade Federal do Rio de Janeiro; Universidade Federal Fluminense</t>
  </si>
  <si>
    <t xml:space="preserve">Santos, N (corresponding author), Univ Fed Rio de Janeiro, Dept Virol, Inst Microbiol, Ilha Fundao, Cidade Univ,CCS-Bl 1, BR-21941590 Rio De Janeiro, RJ, Brazil.</t>
  </si>
  <si>
    <t xml:space="preserve">mcmalbuquerque@gmail.com; rvarella@id.uff.br; nsantos@micro.ufrj.br</t>
  </si>
  <si>
    <t xml:space="preserve">Varella, Rafael/Y-1194-2019; Santos, Norma/H-6986-2015</t>
  </si>
  <si>
    <t xml:space="preserve">Santos, Norma/0000-0002-5123-9172</t>
  </si>
  <si>
    <t xml:space="preserve">Conselho Nacional de Desenvolvimento Cientifico e Tenologico (CNPq); Coordenacao de Aperfeicoamento de Pessoal de Nivel Superior (CAPES); Fundacao Carlos Chagas de Amparo a Pesquisa do Estado do Rio de Janeiro (FAPERJ)</t>
  </si>
  <si>
    <t xml:space="preserve">Conselho Nacional de Desenvolvimento Cientifico e Tenologico (CNPq)(Conselho Nacional de Desenvolvimento Cientifico e Tecnologico (CNPQ)); Coordenacao de Aperfeicoamento de Pessoal de Nivel Superior (CAPES)(Coordenacao de Aperfeicoamento de Pessoal de Nivel Superior (CAPES)); Fundacao Carlos Chagas de Amparo a Pesquisa do Estado do Rio de Janeiro (FAPERJ)(Fundacao Carlos Chagas Filho de Amparo a Pesquisa do Estado do Rio De Janeiro (FAPERJ))</t>
  </si>
  <si>
    <t xml:space="preserve">This study was supported in part by Conselho Nacional de Desenvolvimento Cientifico e Tenologico (CNPq), Coordenacao de Aperfeicoamento de Pessoal de Nivel Superior (CAPES) and by Fundacao Carlos Chagas de Amparo a Pesquisa do Estado do Rio de Janeiro (FAPERJ).</t>
  </si>
  <si>
    <t xml:space="preserve">INST MEDICINA TROPICAL SAO PAULO</t>
  </si>
  <si>
    <t xml:space="preserve">SAO PAULO</t>
  </si>
  <si>
    <t xml:space="preserve">AV DR ENEAS CARVALHO DE AGUIAR, 470, C CESAR, SAO PAULO, 05403-000, BRAZIL</t>
  </si>
  <si>
    <t xml:space="preserve">0036-4665</t>
  </si>
  <si>
    <t xml:space="preserve">1678-9946</t>
  </si>
  <si>
    <t xml:space="preserve">REV INST MED TROP SP</t>
  </si>
  <si>
    <t xml:space="preserve">Rev. Inst. Med. Trop. Sao Paulo</t>
  </si>
  <si>
    <t xml:space="preserve">10.1590/S0036-46652012000500003</t>
  </si>
  <si>
    <t xml:space="preserve">Infectious Diseases; Parasitology; Tropical Medicine</t>
  </si>
  <si>
    <t xml:space="preserve">005NE</t>
  </si>
  <si>
    <t xml:space="preserve">WOS:000308756300003</t>
  </si>
  <si>
    <t xml:space="preserve">Krishnan, JM; Jayaraman, D; Kancharla, A; Thangam, A; Venkatramanan, P; Scott, JX</t>
  </si>
  <si>
    <t xml:space="preserve">Krishnan, Janani Madhuravasal; Jayaraman, Dhaarani; Kancharla, Adarsh; Thangam, Aishwarya; Venkatramanan, Padmasani; Scott, Julius Xavier</t>
  </si>
  <si>
    <t xml:space="preserve">Role of Polymerase Chain Reaction-Based Diagnosis of Respiratory Viruses in Febrile Neutropenic Patients</t>
  </si>
  <si>
    <t xml:space="preserve">respiratory infection; sars-cov-2 (severe acute respiratory syndrome coronavirus-2); polymerase chain reaction; respiratory viruses; febrile neutropenia</t>
  </si>
  <si>
    <t xml:space="preserve">CELL TRANSPLANT RECIPIENTS; VIRAL-INFECTIONS; CHILDREN; CANCER; MANAGEMENT; FEVER; GUIDELINE; PCR</t>
  </si>
  <si>
    <t xml:space="preserve">Background Neutropenic patients are commonly affected by respiratory infections, whereas respiratory viral infections causing high morbidity and mortality are routinely diagnosed in developing countries like India. Our study aimed to investigate the prevalence of respiratory viral infections in pediatric cancer patients with febrile neutropenia. Methods This prospective study was performed on 45 neutropenia patients with hematological malignancies. Nasal swabs were collected and analyzed by real-time multiplex polymerase chain reaction (PCR), covering the following viruses: influenza A virus, influenza B virus, human parainfluenza virus (subtypes 1-4), human respiratory syncytial virus A and B, enterovirus, human-coronavirus (HCoV: HKU1, NL63, 229E, and OC43), human bocavirus, adenovirus, human rhinovirus, human-metapneumovirus A and B, human paraechovirus, and a bacterium Mycoplasma pneumoniae. Patients enrolled in the study since the COVID-19 pandemic was also detected for the presence of severe acute respiratory syndrome coronavirus 2 (SARS-CoV-2). Results Of the 45 cases included in our study, 26 cases showed the presence of at least one positivity by PCR (57.7%): 23 patients had monoinfection with only one virus, two patients were found positive for coinfection with two viruses, and one patient was found positive for three viruses. The most detected viruses were human rhinovirus (26.9%, n=7) and coronavirus 19 (19.2%, n=5). A total of 11.5% of the patients had multiple viral infections. About 19 (42.2%) of the patients enrolled in our study had no viral pathogen detected. Conclusion We found that respiratory viruses contribute significantly to the development of neutropenic fever, as evidenced by the results of our prospective study. Individualizing infection treatment can reduce antibiotic use in immunocompromised patients. Thus, routine screening for viremia may be warranted in this clinical setting.</t>
  </si>
  <si>
    <t xml:space="preserve">[Krishnan, Janani Madhuravasal; Thangam, Aishwarya] Med Res Fdn, Microbiol, Chennai, India; [Jayaraman, Dhaarani; Kancharla, Adarsh; Venkatramanan, Padmasani; Scott, Julius Xavier] Sri Ramachandra Inst Higher Educ &amp; Res, Pediat, Chennai, India</t>
  </si>
  <si>
    <t xml:space="preserve">Sri Ramachandra Institute of Higher Education &amp; Research</t>
  </si>
  <si>
    <t xml:space="preserve">Jayaraman, D (corresponding author), Sri Ramachandra Inst Higher Educ &amp; Res, Pediat, Chennai, India.</t>
  </si>
  <si>
    <t xml:space="preserve">dhaaranij@yahoo.com</t>
  </si>
  <si>
    <t xml:space="preserve">Tiara Haemophilia and Cancer Foundation</t>
  </si>
  <si>
    <t xml:space="preserve">Acknowledgements We would like to acknowledge Aparna Guhan for the funding support from Tiara Haemophilia and Cancer Foundation.</t>
  </si>
  <si>
    <t xml:space="preserve">JAN 3</t>
  </si>
  <si>
    <t xml:space="preserve">e33314</t>
  </si>
  <si>
    <t xml:space="preserve">10.7759/cureus.33314</t>
  </si>
  <si>
    <t xml:space="preserve">AP4L0</t>
  </si>
  <si>
    <t xml:space="preserve">WOS:001119651800017</t>
  </si>
  <si>
    <t xml:space="preserve">Korsun, NS; Angelova, SG; Trifonova, IT; Voleva, SE; Grigorova, IG; Tzotcheva, IS; Mileva, SD; Perenovska, PI</t>
  </si>
  <si>
    <t xml:space="preserve">Korsun, Neli S.; Angelova, Svetla G.; Trifonova, Ivelina T.; Voleva, Silvia E.; Grigorova, Iliana G.; Tzotcheva, Iren S.; Mileva, Sirma D.; Perenovska, Penka, I</t>
  </si>
  <si>
    <t xml:space="preserve">The Prevalence and Genetic Characterization of Human Metapneumovirus in Bulgaria, 2016-2019</t>
  </si>
  <si>
    <t xml:space="preserve">Respiratory infection; Respiratory virus; Human metapneumovirus; Genetic diversity; Genotype; Amino acid substitution</t>
  </si>
  <si>
    <t xml:space="preserve">ACUTE RESPIRATORY-INFECTIONS; HOSPITALIZED CHILDREN; TRACT INFECTIONS; VARIABILITY; CIRCULATION; DIVERSITY; YOUNGER; PROTEIN; BURDEN; AGE</t>
  </si>
  <si>
    <t xml:space="preserve">Introduction: We investigated the prevalence of human metapneumovirus (hMPV) among patients with acute respiratory infections in Bulgaria, and performed genetic characterization of the F gene of these strains. Methods: Nasopharyngeal swabs collected from patients of a range of ages were tested by using real-time PCR for 12 respiratory viruses. The F gene was sequenced, and phylogenetic and amino acid analyses of the F gene/protein were performed. Results: A total of 1,842 patients were examined during a 3-year period; 1,229 patients (66.7%) were positive for at least one respiratory virus. hMPV was identified in 83 (4.5%) patient samples. Eleven (13%) of hMPV-positive patients were coinfected with another respiratory virus. The hMPV incidence rate in the 2016/2017, 2017/2018, and 2018/2019 winter seasons was 5.4, 5.4, and 3.1%, respectively. hMPV was mainly detected in specimens collected between January and May (89.2% of cases). The incidence of hMPV infection was highest (5.1%) among the youngest age-group (0-4 years), where hMPV was a causative agent in 8.1 and 4.8% of bronchiolitis and pneumonia cases, respectively. Among the patients aged &gt;= 5 years, hMPV was detected in 2.2 and 3.2% of cases of pneumonia and central nervous system infections, respectively. Phylogenetic analysis of the F gene showed that the sequenced hMPV strains belonged to the A2b, B1, and B2 genotypes. Numerous amino acid substitutions were identified compared with the NL00/1 prototype strain. Conclusion: This study revealed the significant role of hMPV as a causative agent of serious respiratory illnesses in early childhood, and also demonstrated year-to-year changes in hMPV prevalence and genetic diversity in circulating strains.</t>
  </si>
  <si>
    <t xml:space="preserve">[Korsun, Neli S.; Angelova, Svetla G.; Trifonova, Ivelina T.; Voleva, Silvia E.; Grigorova, Iliana G.] Natl Ctr Infect &amp; Parasit Dis, Dept Virol, Sofia, Bulgaria; [Tzotcheva, Iren S.; Mileva, Sirma D.; Perenovska, Penka, I] Med Univ, Univ Hosp Alexandrovska, Pediat Clin, Sofia, Bulgaria</t>
  </si>
  <si>
    <t xml:space="preserve">Ministry of Health Bulgaria; National Centre of Infectious &amp; Parasitic Diseases; Medical University Sofia</t>
  </si>
  <si>
    <t xml:space="preserve">Korsun, NS (corresponding author), Natl Ctr Infect &amp; Parasit Dis, Dept Virol, Sofia, Bulgaria.</t>
  </si>
  <si>
    <t xml:space="preserve">neli_korsun@abv.bg</t>
  </si>
  <si>
    <t xml:space="preserve">Tifonova, Ivelina/JTV-1761-2023; Mileva, Sirma/HNP-5506-2023</t>
  </si>
  <si>
    <t xml:space="preserve">Mileva, Sirma/0000-0002-5576-5225; Tifonova, Ivelina/0000-0002-4543-6831; ANGELOVA, SVETLA/0000-0002-9119-6373</t>
  </si>
  <si>
    <t xml:space="preserve">National Science Foundation of Bulgaria [DH 13-15]</t>
  </si>
  <si>
    <t xml:space="preserve">National Science Foundation of Bulgaria(National Science Fund of Bulgaria)</t>
  </si>
  <si>
    <t xml:space="preserve">This work was supported by financial grant from the National Science Foundation of Bulgaria (Project DH 13-15/December 20, 2017).</t>
  </si>
  <si>
    <t xml:space="preserve">10.1159/000516821</t>
  </si>
  <si>
    <t xml:space="preserve">WM3YP</t>
  </si>
  <si>
    <t xml:space="preserve">WOS:000678757300001</t>
  </si>
  <si>
    <t xml:space="preserve">Takayama, N; Sakaki, H; Shirai, M; Toyoda, A; Takayanagi, H; Takagi, K; Fujita, K; Endo, E</t>
  </si>
  <si>
    <t xml:space="preserve">Takayama, Naoki; Sakaki, Haruyo; Shirai, Masahiro; Toyoda, Atsushi; Takayanagi, Hiroko; Takagi, Kazuya; Fujita, Kaoru; Endo, Eiko</t>
  </si>
  <si>
    <t xml:space="preserve">Healthcare workers' presenteeism causing an outbreak of respiratory infections in a facility for patients with severe motor and intellectual disabilities</t>
  </si>
  <si>
    <t xml:space="preserve">AMERICAN JOURNAL OF INFECTION CONTROL</t>
  </si>
  <si>
    <t xml:space="preserve">Respiratory infection; Outbreak; Presenteeism; Medical costs; Long-term care facility</t>
  </si>
  <si>
    <t xml:space="preserve">HUMAN METAPNEUMOVIRUS</t>
  </si>
  <si>
    <t xml:space="preserve">Background: This study aimed to identify the source of infection and medical costs for a respiratory infection outbreak in a facility for patients with severe motor and intellectual disabilities (SMID). Presenteeism refers to a situation wherein a person continues going to work despite being ill. Methods: The cohort included 1 healthcare worker and 17 patients who developed a fever of &gt;= 37.5 degrees C with respiratory symptoms for nearly a month. An outbreak investigation was conducted, which determined the initial case of the outbreak to be a single healthcare worker. We performed a univariate analysis to determine the association of the healthcare worker. From the medical records, we evaluated the costs of addition treat-ment and laboratory tests for the respiratory infection. Results: The source of infection was a healthcare worker at the facility (Odds ratio, 17.5; 95% confidential interval, 3.0-101.8). The total medical cost for hospitalized patients due to this outbreak was $12,324. Discussion: The source of a respiratory infection outbreak in a facility for SMID was suggested to be a health-care worker's presenteeism. Conclusions: The cause of this outbreak was healthcare workers' presenteeism. To prevent outbreaks, such facilities should address the causative factors. (c) 2022 Association for Professionals in Infection Control and Epidemiology, Inc. Published by Elsevier Inc. All rights reserved.</t>
  </si>
  <si>
    <t xml:space="preserve">[Takayama, Naoki] Natl Hosp Org Tenryuu Hosp, Dept Infect Control &amp; Prevent, 4201-2 Oro,Hamakita Ku, Hamamatsu, Shizuoka 4340015, Japan; [Sakaki, Haruyo; Endo, Eiko] Int Univ Hlth &amp; Welf, Grad Sch, Minato, Tokyo, Japan; [Shirai, Masahiro; Fujita, Kaoru] Natl Hosp Org Tenryuu Hosp, Dept Resp Med, Hamamatsu, Shizuoka, Japan; [Toyoda, Atsushi] Natl Hosp Org Tenryuu Hosp, Dept Pediat, Hamamatsu, Shizuoka, Japan; [Takayanagi, Hiroko; Takagi, Kazuya] Natl Hosp Org Tenryuu Hosp, Dept Nursing, Hamamatsu, Shizuoka, Japan</t>
  </si>
  <si>
    <t xml:space="preserve">International University of Health &amp; Welfare</t>
  </si>
  <si>
    <t xml:space="preserve">Takayama, N (corresponding author), Natl Hosp Org Tenryuu Hosp, Dept Infect Control &amp; Prevent, 4201-2 Oro,Hamakita Ku, Hamamatsu, Shizuoka 4340015, Japan.</t>
  </si>
  <si>
    <t xml:space="preserve">takayama.naoki.vw@mail.hosp.go.jp</t>
  </si>
  <si>
    <t xml:space="preserve">Takayama, Naoki/0000-0002-3559-3294</t>
  </si>
  <si>
    <t xml:space="preserve">0196-6553</t>
  </si>
  <si>
    <t xml:space="preserve">1527-3296</t>
  </si>
  <si>
    <t xml:space="preserve">AM J INFECT CONTROL</t>
  </si>
  <si>
    <t xml:space="preserve">Am. J. Infect. Control</t>
  </si>
  <si>
    <t xml:space="preserve">10.1016/j.ajic.2022.07.016</t>
  </si>
  <si>
    <t xml:space="preserve">H2KC1</t>
  </si>
  <si>
    <t xml:space="preserve">WOS:000994295000001</t>
  </si>
  <si>
    <t xml:space="preserve">Reckziegel, M; Weber-Osel, C; Egerer, R; Gruhn, B; Kubek, F; Walther, M; Wilhelm, S; Zell, R; Krumbholz, A</t>
  </si>
  <si>
    <t xml:space="preserve">Reckziegel, Maria; Weber-Osel, Claudia; Egerer, Renate; Gruhn, Bernd; Kubek, Florian; Walther, Mario; Wilhelm, Stefanie; Zell, Roland; Krumbholz, Andi</t>
  </si>
  <si>
    <t xml:space="preserve">Viruses and atypical bacteria in the respiratory tract of immunocompromised and immunocompetent patients with airway infection</t>
  </si>
  <si>
    <t xml:space="preserve">Respiratory infection; Immunosuppression; Multiplex PCR; Pathogen spectrum</t>
  </si>
  <si>
    <t xml:space="preserve">HEMATOPOIETIC STEM-CELL; POLYMERASE-CHAIN-REACTION; VARICELLA-ZOSTER VIRUS; EPSTEIN-BARR-VIRUS; REAL-TIME PCR; VIRAL-INFECTIONS; SOLID-ORGAN; HERPESVIRUS INFECTIONS; LABORATORY DIAGNOSIS; SYNCYTIAL VIRUS</t>
  </si>
  <si>
    <t xml:space="preserve">Respiratory tract infections (RTI) can take a serious course under immunosuppression. Data on the impact of the underlying pathogens are still controversial. Samples from the upper (n = 322) and lower RT (n = 169) were collected from 136 children and 355 adults; 225 among them have been immunocompromised patients. Exclusion criteria were presence of relevant cultivable microorganisms, C-reactive protein &gt; 20 mg/dl, or procalcitonin &gt; 2.0 ng/ml. Samples were tested by PCR for the presence of herpesviruses (HSV-1/-2; VZV; CMV; HHV6; EBV), adenoviruses, bocaviruses, entero-/rhinoviruses (HRV), parechoviruses, coronaviruses, influenza viruses (IV), parainfluenza viruses as well as for pneumoviruses (HMPV and RSV), and atypical bacteria (Mycoplasma pneumoniae, M.p.; Chlamydia pneumoniae, C.p.). Viral/bacterial genome equivalents were detected in more than two-thirds of specimens. Under immunosuppression, herpesviruses (EBV 30.9%/14.6%, p &lt; 0.001; CMV 19.6%/7.9%, p &lt; 0.001; HSV-1: 14.2%/7.1%, p = 0.012) were frequently observed, mainly through their reactivation in adults. Immunocompromised adults tended to present a higher RSV prevalence (6.4%/2.4%, p = 0.078). Immunocompetent patients were more frequently tested positive for IV (15.0%/5.8%, p = 0.001) and M.p. (6.4%/0.4%, p &lt; 0.001), probably biased due to the influenza pandemic of 2009 and an M.p. epidemic in 2011. About 41.8% of samples were positive for a single pathogen, and among them EBV (19.9%) was most prevalent followed by HRV (18.2%) and IV (16.6%). HSV-2 and C.p. were not found. Marked seasonal effects were observed for HRV, IV, and RSV. Differences in pathogen prevalence were demonstrated between immunocompetent and immunocompromised patients. The exact contribution of some herpesviruses to the development of RTI remains unclear.</t>
  </si>
  <si>
    <t xml:space="preserve">[Reckziegel, Maria; Weber-Osel, Claudia; Kubek, Florian; Wilhelm, Stefanie; Zell, Roland] Jena Univ Hosp, Inst Med Microbiol, Sect Expt Virol, Jena, Germany; [Reckziegel, Maria] Jena Univ Hosp, Dept Hematol Oncol, Clin Internal Med 2, Jena, Germany; [Weber-Osel, Claudia] Catholic Hosp St Johann Nepomuk, Present Address Dept Med 2, Erfurt, Germany; [Egerer, Renate] Jena Univ Hosp, Inst Med Microbiol, Jena, Germany; [Gruhn, Bernd] Jena Univ Hosp, Dept Pediat, Jena, Germany; [Walther, Mario] Jena Univ Appl Sci, Dept Fundamental Sci, Jena, Germany; [Krumbholz, Andi] Christian Albrechts Univ Kiel, Inst Infect Med, Brunswiker Str 4, D-24105 Kiel, Germany; [Krumbholz, Andi] Univ Med Ctr Schleswig Holstein, Brunswiker Str 4, D-24105 Kiel, Germany</t>
  </si>
  <si>
    <t xml:space="preserve">Friedrich Schiller University of Jena; Friedrich Schiller University of Jena; Friedrich Schiller University of Jena; Friedrich Schiller University of Jena; University of Kiel; University of Kiel; Schleswig Holstein University Hospital</t>
  </si>
  <si>
    <t xml:space="preserve">Krumbholz, A (corresponding author), Christian Albrechts Univ Kiel, Inst Infect Med, Brunswiker Str 4, D-24105 Kiel, Germany.;Krumbholz, A (corresponding author), Univ Med Ctr Schleswig Holstein, Brunswiker Str 4, D-24105 Kiel, Germany.</t>
  </si>
  <si>
    <t xml:space="preserve">krumbholz@infmed.uni-kiel.de</t>
  </si>
  <si>
    <t xml:space="preserve">Zell, Roland/J-4676-2019; Krumbholz, Andi/ABB-8634-2020</t>
  </si>
  <si>
    <t xml:space="preserve">Zell, Roland/0000-0002-8317-2152</t>
  </si>
  <si>
    <t xml:space="preserve">10.1007/s10096-020-03878-9</t>
  </si>
  <si>
    <t xml:space="preserve">MAY 2020</t>
  </si>
  <si>
    <t xml:space="preserve">MH4LJ</t>
  </si>
  <si>
    <t xml:space="preserve">WOS:000535873200001</t>
  </si>
  <si>
    <t xml:space="preserve">Sojati, J; Zhang, Y; Williams, JV</t>
  </si>
  <si>
    <t xml:space="preserve">Sojati, Jorna; Zhang, Yu; Williams, John V.</t>
  </si>
  <si>
    <t xml:space="preserve">Clinical human metapneumovirus isolates show distinct pathogenesis and inflammatory profiles but similar CD8+ T cell impairment</t>
  </si>
  <si>
    <t xml:space="preserve">MSPHERE</t>
  </si>
  <si>
    <t xml:space="preserve">respiratory infection; human metapneumovirus; airway immunity</t>
  </si>
  <si>
    <t xml:space="preserve">GENETIC-VARIABILITY; DISEASE SEVERITY; INFECTION; GENOTYPE; CHILDREN; YOUNG</t>
  </si>
  <si>
    <t xml:space="preserve">Human metapneumovirus (HMPV) is a negative-sense single-stranded RNA virus in the Pneumoviridae family and a leading cause of acute upper and lower respiratory infections, particularly in children, immunocompromised patients, and the elderly. Although nearly every person is infected with HMPV during early childhood, re-infections occur often, highlighting difficulty in building long-term immunity. Inflammatory responses, including PD-1-mediated impairment of virus-specific CD8(+) T cells (T-CD8), contribute to HMPV disease severity. HMPV strains are divided into four lineages: A1, A2, B1, and B2. However, little is known about immune responses to different viral subtypes. Here, we characterize responses to four HMPV clinical isolates-TN/94-344 (A1), TN/94-49 (A2), C2-202 (B1), and TN/96-35 (B2)-in vivo in C57BL/6 (B6) mice. TN/94-49 was avirulent, while TN/94-344, C2-202, and TN/96-35 showed varying degrees of weight loss and clinical disease. Differences in disease did not correlate to virus burden in upper or lower tracts. TN/94-49 HMPV exhibited highest nose titers and delayed lung clearance. Cytokine profiles differed between HMPV isolates, with TN/96-35 inducing the broadest lung inflammatory cytokines. TN/96-35 also showed lower HMPV burden and less weight loss than other virulent isolates, suggesting a more efficient antiviral response. Interestingly, disease correlated with higher expression of T-cell chemoattractant CXCL9. All isolates elicited PD-1 upregulation and decreased IFN gamma and CD107a expression in virus-specific T-CD8, with little difference between HMPV subtypes. This work uncovers previously uncharacterized variations in immune responses to clinical HMPV isolates of different lineages.IMPORTANCE This study extensively explored differences in T-cell-mediated immunity between human metapneumovirus (HMPV) clinical isolates. Much existing HMPV research has been done with strains passaged extensively in cell lines, likely acquiring mutations advantageous to in vitro replication. Clinical isolates are collected directly from human patients and have undergone &lt;10 passages, serving as more physiologically relevant models of HMPV infection. Additionally, existing animal studies of HMPV disease mainly focus on lung pathogenesis, while HMPV infects both upper and lower airways of humans. This work highlights distinct differences in HMPV burden in upper and lower tracts between clinical isolates. Lastly, this study uniquely explores differences in host immunity between all four HMPV genetic lineages. The predominant HMPV subtype in circulation varies seasonally; thus, understanding host responses to all subgroups is critical for developing effective HMPV vaccines.</t>
  </si>
  <si>
    <t xml:space="preserve">[Sojati, Jorna; Zhang, Yu; Williams, John V.] Univ Pittsburgh, Sch Med, Dept Pediat, Pittsburgh, PA USA; [Sojati, Jorna] Univ Pittsburgh, Sch Med, Program Microbiol &amp; Immunol, Pittsburgh, PA USA; [Williams, John V.] Univ Pittsburgh, Sch Med, Dept Microbiol &amp; Mol Genet, Pittsburgh, PA USA; [Williams, John V.] Childrens Hosp Pittsburgh, Inst Infect Immun &amp; Inflammat Children, Pittsburgh, PA USA</t>
  </si>
  <si>
    <t xml:space="preserve">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t>
  </si>
  <si>
    <t xml:space="preserve">Williams, JV (corresponding author), Univ Pittsburgh, Sch Med, Dept Pediat, Pittsburgh, PA USA.;Williams, JV (corresponding author), Univ Pittsburgh, Sch Med, Dept Microbiol &amp; Mol Genet, Pittsburgh, PA USA.;Williams, JV (corresponding author), Childrens Hosp Pittsburgh, Inst Infect Immun &amp; Inflammat Children, Pittsburgh, PA USA.</t>
  </si>
  <si>
    <t xml:space="preserve">jvw@pitt.edu</t>
  </si>
  <si>
    <t xml:space="preserve">Williams, John/0000-0001-8377-5175; Sojati, Jorna/0000-0002-3908-6126</t>
  </si>
  <si>
    <t xml:space="preserve">HHS | National Institutes of Health (NIH) [75N93020D00005]; NIH Tetramer Core Facility</t>
  </si>
  <si>
    <t xml:space="preserve">HHS | National Institutes of Health (NIH)(United States Department of Health &amp; Human ServicesNational Institutes of Health (NIH) - USAOffice of the Administrator (NIH)); NIH Tetramer Core Facility(United States Department of Health &amp; Human ServicesNational Institutes of Health (NIH) - USA)</t>
  </si>
  <si>
    <t xml:space="preserve">We thank the NIH Tetramer Core Facility (contract number 75N93020D00005) for providing tetramers used in experiments. We thank the University of Pittsburgh Department of Pediatrics Flow Cytometry Core for guidance with flow cytometry.</t>
  </si>
  <si>
    <t xml:space="preserve">2379-5042</t>
  </si>
  <si>
    <t xml:space="preserve">mSphere</t>
  </si>
  <si>
    <t xml:space="preserve">JAN 30</t>
  </si>
  <si>
    <t xml:space="preserve">10.1128/msphere.00570-23</t>
  </si>
  <si>
    <t xml:space="preserve">GC5N8</t>
  </si>
  <si>
    <t xml:space="preserve">WOS:001139901500001</t>
  </si>
  <si>
    <t xml:space="preserve">Bouvet, D; Gaudy-Graffin, C; Garot, D; Sunder, S; De Gialluly, C; Goudeau, A</t>
  </si>
  <si>
    <t xml:space="preserve">Bouvet, D.; Gaudy-Graffin, C.; Garot, D.; Sunder, S.; De Gialluly, C.; Goudeau, A.</t>
  </si>
  <si>
    <t xml:space="preserve">Diagnosis of community-acquired acute respiratory illness: From conventional microbiological methods to molecular detection (multiplex)</t>
  </si>
  <si>
    <t xml:space="preserve">PATHOLOGIE BIOLOGIE</t>
  </si>
  <si>
    <t xml:space="preserve">Respiratory infection; Etiology; Diagnostic methods; Indirect immunofluorescence; Serology</t>
  </si>
  <si>
    <t xml:space="preserve">POLYMERASE-CHAIN-REACTION; REAL-TIME PCR; HOSPITALIZED CHILDREN; HUMAN BOCAVIRUS; INFECTIONS; PNEUMONIAE; RHINOVIRUS; VIRUSES; DISEASE</t>
  </si>
  <si>
    <t xml:space="preserve">Investigations of the etiologic agents of community-acquired acute respiratory illness may lead to better treatment decisions and patient outcomes. In a routine care setting, we assessed the diagnostic performance of a multiplex PCR assay with respect to conventional microbiological methods, in a continuous series of adult cases of community-acquired acute respiratory illness. We enrolled 279 adult patients hospitalised for community-acquired acute respiratory illness at Tours University Hospital during the winter of 2011-2012. Respiratory samples (mostly nasopharyngeal aspirates) were studied prospectively by indirect immunofluorescence assay and multiplex PCR, that enable detection of 8 viruses and 21 respiratory pathogens respectively. In total, 255 of the 279 (91.4%) samples had interpretable results by both methods. At least one respiratory pathogen was detected by multiplex PCR in 171 specimens (65%). Overall, 130 (76%) of the 171 positive samples were positive for only one respiratory pathogen, 37 (22%) samples were positive for two pathogens and four (2%) were positive for three pathogens. With indirect immunofluorescence assay, a respiratory virus was detected in 27 of the 255 (11%) specimens. Indirect immunofluorescence assay detected some of the influenza virus A (15/51, 29%) infections identified by multiplex PCR and some (7/15, 47%) human metapneumovirus and (5/12, 42%) respiratory syncytial virus infections, but it did not detect all the adenovirus infections. Thus, access to multiplex molecular assays improves the diagnostic spectrum and accuracy over conventional methods, increasing the frequency of identification of the respiratory pathogens involved in community acquired acute respiratory illness. (C) 2014 Elsevier Masson SAS. All rights reserved.</t>
  </si>
  <si>
    <t xml:space="preserve">[Bouvet, D.; Gaudy-Graffin, C.; Goudeau, A.] CHRU, Hop Bretonneau, Serv Bacteriol &amp; Virol, F-37044 Tours, France; [Bouvet, D.; Gaudy-Graffin, C.; Goudeau, A.] Univ Tours, Fac Med, F-37000 Tours, France; [Garot, D.] CHRU, Hop Bretonneau, Serv Reanimat Med, F-37000 Tours, France; [Sunder, S.] CHRU, Hop Bretonneau, Serv Med Interne &amp; Malad Infect, F-37000 Tours, France; [De Gialluly, C.] CHRU, Hop Trousseau, Lab Bacteriol &amp; Hyg Hosp, F-37000 Tours, France</t>
  </si>
  <si>
    <t xml:space="preserve">CHU Tours; Universite de Tours; CHU Tours; CHU Tours; CHU Tours</t>
  </si>
  <si>
    <t xml:space="preserve">Gaudy-Graffin, C (corresponding author), CHRU, Hop Bretonneau, Serv Bacteriol &amp; Virol, 2 Blvd Tonnelle, F-37044 Tours, France.</t>
  </si>
  <si>
    <t xml:space="preserve">catherine.gaudy-graffin@univ-tours.fr</t>
  </si>
  <si>
    <t xml:space="preserve">ELSEVIER FRANCE-EDITIONS SCIENTIFIQUES MEDICALES ELSEVIER</t>
  </si>
  <si>
    <t xml:space="preserve">PARIS</t>
  </si>
  <si>
    <t xml:space="preserve">23 RUE LINOIS, 75724 PARIS, FRANCE</t>
  </si>
  <si>
    <t xml:space="preserve">0369-8114</t>
  </si>
  <si>
    <t xml:space="preserve">PATHOL BIOL</t>
  </si>
  <si>
    <t xml:space="preserve">Pathol. Biol.</t>
  </si>
  <si>
    <t xml:space="preserve">10.1016/j.patbio.2014.12.003</t>
  </si>
  <si>
    <t xml:space="preserve">Pathology</t>
  </si>
  <si>
    <t xml:space="preserve">CH6KC</t>
  </si>
  <si>
    <t xml:space="preserve">WOS:000354144500002</t>
  </si>
  <si>
    <t xml:space="preserve">van der Gugten, AC; van der Zalm, MM; Uiterwaal, CSPM; Wilbrink, B; Rossen, JWA; van der Ent, CK</t>
  </si>
  <si>
    <t xml:space="preserve">van der Gugten, Anne C.; van der Zalm, Marieke M.; Uiterwaal, Cuno S. P. M.; Wilbrink, Berry; Rossen, John W. A.; van der Ent, Cornelis K.</t>
  </si>
  <si>
    <t xml:space="preserve">Human Rhinovirus and Wheezing: Short and Long-term Associations in Children</t>
  </si>
  <si>
    <t xml:space="preserve">respiratory function tests; respiratory viruses; asthma; wheezing</t>
  </si>
  <si>
    <t xml:space="preserve">RESPIRATORY-SYNCYTIAL-VIRUS; REDUCED LUNG-FUNCTION; REAL-TIME PCR; VIRAL-INFECTIONS; BIRTH-COHORT; HUMAN METAPNEUMOVIRUS; TRACT INFECTION; YOUNG-CHILDREN; EARLY-LIFE; CHILDHOOD ASTHMA</t>
  </si>
  <si>
    <t xml:space="preserve">Objectives: Human rhinoviruses (HRVs) have been suggested to play a role in the development of childhood wheezing. However, whether HRV is causally related to the development of wheezing or HRV-associated wheeze is merely an indicator of disease susceptibility is unclear. Our aim was to study the role of HRV during infancy in the development of lower respiratory disease during infancy and childhood. Methods: In a population-based birth cohort, during the 1st year of life, nose and throat swabs were collected on a monthly basis, regardless of any symptoms. Polymerase chain reaction was used to detect an extensive panel of respiratory pathogens. Lung function was measured before 2 months of age. Information on respiratory symptoms was collected by daily questionnaires and electronic patient files. Results: 1425 samples were collected in 140 infants. Both the presence of (single or multiple) pathogens (HRV equal to other pathogens) and increased respiratory system resistance were significantly associated with lower respiratory symptoms during infancy. HRV presence during infancy was not associated with the risk of wheezing at age 4, but every HRV episode with wheezing increased the risk of wheezing at age 4 (odds ratio 1.9, 1.1-3.5). This association weakened after adjustment for lung function (odds ratio 1.4, 0.7-2.9). Conclusions: HRV and other viruses are associated with lower respiratory symptoms during infancy, as well as a high presymptomatic respiratory system resistance. HRV presence during infancy is not associated with childhood wheezing, but wheeze during a HRV episode is an indicator of children at high risk for childhood wheeze, partly because of a reduced neonatal lung function.</t>
  </si>
  <si>
    <t xml:space="preserve">[van der Gugten, Anne C.; van der Zalm, Marieke M.; van der Ent, Cornelis K.] Univ Med Ctr Utrecht, Wilhelmina Childrens Hosp, Dept Pediat Pulmonol, NL-3508 AB Utrecht, Netherlands; [Uiterwaal, Cuno S. P. M.] Univ Med Ctr Utrecht, Julius Ctr Hlth Sci &amp; Primary Care, NL-3508 AB Utrecht, Netherlands; [Wilbrink, Berry] Natl Inst Publ Hlth &amp; Environm RIVM, Lab Infect Dis &amp; Perinatal Screening, Bilthoven, Netherlands; [Rossen, John W. A.] St Elizabeth Hosp, Lab Med Microbiol &amp; Immunol, Tilburg, Netherlands; [Rossen, John W. A.] Univ Groningen, Univ Med Ctr Groningen, Dept Med Microbiol, Groningen, Netherlands</t>
  </si>
  <si>
    <t xml:space="preserve">Wilhelmina Kinderziekenhuis; Utrecht University; Utrecht University Medical Center; Utrecht University; Utrecht University Medical Center; Netherlands National Institute for Public Health &amp; the Environment; Elisabeth-TweeSteden Ziekenhuis (ETZ); University of Groningen</t>
  </si>
  <si>
    <t xml:space="preserve">van der Gugten, AC (corresponding author), Univ Med Ctr Utrecht, Wilhelmina Childrens Hosp, Dept Pediat Pulmonol, Off KH 01-419-0,POB 85090, NL-3508 AB Utrecht, Netherlands.</t>
  </si>
  <si>
    <t xml:space="preserve">a.c.vandergugten@umcutrecht.nl</t>
  </si>
  <si>
    <t xml:space="preserve">; Rossen, John W. A./G-7564-2011</t>
  </si>
  <si>
    <t xml:space="preserve">van der Zalm, Marieke M/0000-0002-8787-9139; Van der Ent, Cornelis/0000-0002-2501-4121; Rossen, John W. A./0000-0002-7167-8623</t>
  </si>
  <si>
    <t xml:space="preserve">The Netherlands Organization for Health Research and Development (ZON-MW); University Medical Center Utrecht; Glaxo Smith Kline, The Netherlands; Grunenthal; Glaxo Smith Kline</t>
  </si>
  <si>
    <t xml:space="preserve">The Netherlands Organization for Health Research and Development (ZON-MW)(Netherlands Organization for Health Research and Development); University Medical Center Utrecht; Glaxo Smith Kline, The Netherlands(Netherlands GovernmentGlaxoSmithKline); Grunenthal(HAL Allergy Group); Glaxo Smith Kline(GlaxoSmithKline)</t>
  </si>
  <si>
    <t xml:space="preserve">C.K.v.d.E. received grants for this study from The Netherlands Organization for Health Research and Development (ZON-MW), from the University Medical Center Utrecht and an unrestricted research grant from Glaxo Smith Kline, The Netherlands. C.K.v.d.E. has received unrestricted research grants from Grunenthal and Glaxo Smith Kline. C. S. P. M. U. received grants for this study from The Netherlands Organization for Health Research and Development (ZON-MW) and from the University Medical Center Utrecht. The authors have no other funding or conflicts of interest to disclose.</t>
  </si>
  <si>
    <t xml:space="preserve">10.1097/INF.0b013e318290620e</t>
  </si>
  <si>
    <t xml:space="preserve">301HT</t>
  </si>
  <si>
    <t xml:space="preserve">WOS:000330524100010</t>
  </si>
  <si>
    <t xml:space="preserve">Hillyer, P; Shepard, R; Uehling, M; Krenz, M; Sheikh, F; Thayer, KR; Huang, L; Yan, LH; Panda, D; Luongo, C; Buchholz, UJ; Collins, PL; Donnelly, RP; Rabin, RL</t>
  </si>
  <si>
    <t xml:space="preserve">Hillyer, Philippa; Shepard, Rachel; Uehling, Megan; Krenz, Mina; Sheikh, Faruk; Thayer, Kalyn R.; Huang, Lei; Yan, Lihan; Panda, Debasis; Luongo, Cindy; Buchholz, Ursula J.; Collins, Peter L.; Donnelly, Raymond P.; Rabin, Ronald L.</t>
  </si>
  <si>
    <t xml:space="preserve">Differential Responses by Human Respiratory Epithelial Cell Lines to Respiratory Syncytial Virus Reflect Distinct Patterns of Infection Control</t>
  </si>
  <si>
    <t xml:space="preserve">respiratory epithelial cells; interferon; interferon regulatory factor (IRF); respiratory syncytial virus; interferon-stimulated genes; cytokine; cytokines; interferons</t>
  </si>
  <si>
    <t xml:space="preserve">NF-KAPPA-B; INTERFERON REGULATORY FACTOR-3; IN-VITRO; HUMAN METAPNEUMOVIRUS; STIMULATED GENES; EXPRESSION; RECEPTOR; ALPHA; ACTIVATION; MATURATION</t>
  </si>
  <si>
    <t xml:space="preserve">Respiratory syncytial virus (RSV) infects small foci of respiratory epithelial cells via infected droplets. Infection induces expression of type I and III interferons (IFNs) and proinflammatory cytokines, the balance of which may restrict viral replication and affect disease severity. We explored this balance by infecting two respiratory epithelial cell lines with low doses of recombinant RSV expressing green fluorescent protein (rgRSV). A549 cells were highly permissive, whereas BEAS-2B cells restricted infection to individual cells or small foci. After infection, A549 cells expressed higher levels of IFN-beta-, IFN-lambda-, and NF-kB-inducible proinflammatory cytokines. In contrast, BEAS-2B cells expressed higher levels of antiviral interferon-stimulated genes, pattern recognition receptors, and other signaling intermediaries constitutively and after infection. Transcriptome analysis revealed that constitutive expression of antiviral and proinflammatory genes predicted responses by each cell line. These two cell lines provide a model for elucidating critical mediators of local control of viral infection in respiratory epithelial cells. IMPORTANCE Airway epithelium is both the primary target of and the first defense against respiratory syncytial virus (RSV). Whether RSV replicates and spreads to adjacent epithelial cells depends on the quality of their innate immune responses. A549 and BEAS-2B are alveolar and bronchial epithelial cell lines, respectively, that are often used to study RSV infection. We show that A549 cells are permissive to RSV infection and express genes characteristic of a proinflammatory response. In contrast, BEAS-2B cells restrict infection and express genes characteristic of an antiviral response associated with expression of type I and III interferons. Transcriptome analysis of constitutive gene expression revealed patterns that may predict the response of each cell line to infection. This study suggests that restrictive and permissive cell lines may provide a model for identifying critical mediators of local control of infection and stresses the importance of the constitutive antiviral state for the response to viral challenge.</t>
  </si>
  <si>
    <t xml:space="preserve">[Hillyer, Philippa; Shepard, Rachel; Uehling, Megan; Krenz, Mina; Thayer, Kalyn R.; Panda, Debasis; Rabin, Ronald L.] US FDA, Lab Immunobiochem, Off Vaccines Rech &amp; Review, Ctr Biol Evaluat &amp; Res, Silver Spring, MD 20993 USA; [Sheikh, Faruk; Donnelly, Raymond P.] US FDA, Div Biotechnol Res &amp; Review 2, Off Biotechnol Prod, Ctr Drug Evaluat &amp; Res, Silver Spring, MD USA; [Huang, Lei; Yan, Lihan] US FDA, Div Biostat, Off Biostat &amp; Epidemiol, Ctr Biol Evaluat &amp; Res, Silver Spring, MD USA; [Luongo, Cindy; Buchholz, Ursula J.; Collins, Peter L.] NIAID, Infect Dis Lab, NIH, Bethesda, MD 20892 USA</t>
  </si>
  <si>
    <t xml:space="preserve">US Food &amp; Drug Administration (FDA); US Food &amp; Drug Administration (FDA); US Food &amp; Drug Administration (FDA); National Institutes of Health (NIH) - USA; NIH National Institute of Allergy &amp; Infectious Diseases (NIAID)</t>
  </si>
  <si>
    <t xml:space="preserve">Hillyer, P (corresponding author), US FDA, Lab Immunobiochem, Off Vaccines Rech &amp; Review, Ctr Biol Evaluat &amp; Res, Silver Spring, MD 20993 USA.</t>
  </si>
  <si>
    <t xml:space="preserve">philippa.hillyer@fda.hhs.gov</t>
  </si>
  <si>
    <t xml:space="preserve">Buchholz, Ursula/AAA-4547-2022; Donnelly, Raymond/HNC-0227-2023</t>
  </si>
  <si>
    <t xml:space="preserve">Donnelly, Raymond/0000-0002-0695-5276; Rabin, Ronald/0000-0003-3496-0504</t>
  </si>
  <si>
    <t xml:space="preserve">CBER intramural funds</t>
  </si>
  <si>
    <t xml:space="preserve">This project was supported by CBER intramural funds and in part by appointments to the Research Fellowship Program of the Center for Biologics Evaluation and Research, U.S. Food and Drug Administration, administered by the Oak Ridge Institute for Science and Engineering through an interagency agreement between the U.S. Department of Energy and the FDA.</t>
  </si>
  <si>
    <t xml:space="preserve">e02202-17</t>
  </si>
  <si>
    <t xml:space="preserve">10.1128/JVI.02202-17</t>
  </si>
  <si>
    <t xml:space="preserve">GN4DY</t>
  </si>
  <si>
    <t xml:space="preserve">WOS:000438967900040</t>
  </si>
  <si>
    <t xml:space="preserve">Shahin, WA; Alamri, K; Omar, E; Elmahmoud, Y; Ahmed, HH; Al Enezi, F; Alshaman, G; Alodayani, A; Alahmari, H</t>
  </si>
  <si>
    <t xml:space="preserve">Shahin, Walaa A.; Alamri, Khaled; Omar, Eshraq; Elmahmoud, Yousef; Ahmed, Hayam H.; Al Enezi, Faisal; Alshaman, Ghada; Alodayani, Abdulrahman; Alahmari, Hassan</t>
  </si>
  <si>
    <t xml:space="preserve">Pediatric Respiratory Infections after the COVID-19 Pandemic: A Single-Center Experience</t>
  </si>
  <si>
    <t xml:space="preserve">respiratory distress; flu; pediatric infections; influenza; rsv; bronchiolitis; covid-19; lower respiratory tract infection; infants; kingdom of saudi arabia (ksa)</t>
  </si>
  <si>
    <t xml:space="preserve">CHILDREN; BRONCHIOLITIS</t>
  </si>
  <si>
    <t xml:space="preserve">Background Pediatric respiratory infections, mainly bronchiolitis, are a substantial clinical burden. The most common etiology is respiratory syncytial virus (RSV). Other viruses include human rhinovirus, human metapneumovirus, influenza, adenovirus, coronavirus, and parainfluenza viruses. Objective We aimed to study the epidemiology and clinical characteristics of children with confirmed viral bronchiolitis and flu after the COVID-19 pandemic season and compare the behavior of each virus. Methods This retrospective observation study was done over seven months, from October 2022 to April 2023. All children (0-14) were included in the study if they met the clinical diagnosis of bronchiolitis or flu. Viral etiology is confirmed by PCR, using the respiratory panel available in our center which included the detection of four viruses: COVID-19, RSV, influenza A, and B. Clinical data, lab results, and X-rays were collected and correlated with each viral infection for all admitted patients. Results We recruited 237 children with bronchiolitis and flu symptoms from October 2022 to April 2023. The peak of infections (41%) was in November. Seasonal variations for each virus showed distinct patterns across the year. RSV peaked at the beginning of the season, gradually declining after that. In contrast, influenza A and B maintained a relatively consistent presence throughout the season. Meanwhile, COVID-19 reached its peak during March and April. One hundred forty-four (60%) of the patients were under two years of age. RSV was predominant in 150 patients (63.3%). COVID-19 was only detected in 25 patients (10%), whereas influenza A and B were equally isolated in 31 (13%) patients each. Fifty-one children (21%) were initially sick and required pediatric intensive care unit (PICU) admission, with no deaths reported. Notably, COVID-19 had a milder disease course, a shorter length of stay (LOS) in the hospital (two days) and a shorter duration of illness (five days) compared to other viruses. RSV infection was linked to more profound hypoxia and more sick children with more extended hospital stays. Conclusion Our study showed that, following the pandemic and the release of lockdown measures, there was another peak of upper respiratory tract infections (URTI) and flu, which was more aggressive, primarily due to other viruses, especially RSV. This resurgence was associated with more severe respiratory symptoms and an increased need for hospitalization. Notably, children with COVID-19 were in better condition compared to those with RSV.</t>
  </si>
  <si>
    <t xml:space="preserve">[Shahin, Walaa A.] Cairo Univ, Pediat Hosp, Pediat Pulmonol, Cairo, Egypt; [Shahin, Walaa A.; Alamri, Khaled; Omar, Eshraq; Elmahmoud, Yousef; Ahmed, Hayam H.; Al Enezi, Faisal; Alshaman, Ghada; Alahmari, Hassan] Prince Sultan Mil Med City, Adv Gen Pediat, Riyadh, Saudi Arabia; [Alodayani, Abdulrahman] Prince Sultan Mil Med City, Pediat Infect Dis, Riyadh, Saudi Arabia</t>
  </si>
  <si>
    <t xml:space="preserve">Egyptian Knowledge Bank (EKB); Cairo University; Prince Sultan Military Medical City; Prince Sultan Military Medical City</t>
  </si>
  <si>
    <t xml:space="preserve">Shahin, WA (corresponding author), Cairo Univ, Pediat Hosp, Pediat Pulmonol, Cairo, Egypt.;Shahin, WA (corresponding author), Prince Sultan Mil Med City, Adv Gen Pediat, Riyadh, Saudi Arabia.</t>
  </si>
  <si>
    <t xml:space="preserve">walaashahin76@gmail.com</t>
  </si>
  <si>
    <t xml:space="preserve">The authors would like to thank Dr. Mohammed Ali Eshra (Ass. Professor of Physiology Cairo Univ. Egypt) for his contribution to the statistics part.</t>
  </si>
  <si>
    <t xml:space="preserve">JUL 30</t>
  </si>
  <si>
    <t xml:space="preserve">e65779</t>
  </si>
  <si>
    <t xml:space="preserve">10.7759/cureus.65779</t>
  </si>
  <si>
    <t xml:space="preserve">A5P9A</t>
  </si>
  <si>
    <t xml:space="preserve">WOS:001283058000020</t>
  </si>
  <si>
    <t xml:space="preserve">Grützmacher, KS; Köndgen, S; Keil, V; Todd, A; Feistner, A; Herbinger, I; Petrzelkova, K; Fuh, T; Leendertz, SA; Calvignac-Spencer, S; Leendertz, FH</t>
  </si>
  <si>
    <t xml:space="preserve">Gruetzmacher, Kim S.; Koendgen, Sophie; Keil, Verena; Todd, Angelique; Feistner, Anna; Herbinger, Ilka; Petrzelkova, Klara; Fuh, Terrence; Leendertz, Siv Aina; Calvignac-Spencer, Sebastien; Leendertz, Fabian H.</t>
  </si>
  <si>
    <t xml:space="preserve">Codetection of Respiratory Syncytial Virus in Habituated Wild Western Lowland Gorillas and Humans During a Respiratory Disease Outbreak</t>
  </si>
  <si>
    <t xml:space="preserve">ECOHEALTH</t>
  </si>
  <si>
    <t xml:space="preserve">respiratory disease; respiratory syncytial virus; enterovirus; western lowland gorillas; great apes; noninvasive detection</t>
  </si>
  <si>
    <t xml:space="preserve">HUMAN METAPNEUMOVIRUS INFECTION; STREPTOCOCCUS-PNEUMONIAE; SEQUENCE ALIGNMENT; PAN-TROGLODYTES; NATIONAL-PARK; CHIMPANZEE; ENTEROVIRUSES; PHYLOGENIES; EPIDEMIOLOGY; PRIMATES</t>
  </si>
  <si>
    <t xml:space="preserve">Pneumoviruses have been identified as causative agents in several respiratory disease outbreaks in habituated wild great apes. Based on phylogenetic evidence, transmission from humans is likely. However, the pathogens have never been detected in the local human population prior to or at the same time as an outbreak. Here, we report the first simultaneous detection of a human respiratory syncytial virus (HRSV) infection in western lowland gorillas (Gorilla gorilla gorilla) and in the local human population at a field program in the Central African Republic. A total of 15 gorilla and 15 human fecal samples and 80 human throat swabs were tested for HRSV, human metapneumovirus, and other respiratory viruses. We were able to obtain identical sequences for HRSV A from four gorillas and four humans. In contrast, we did not detect HRSV or any other classic human respiratory virus in gorilla fecal samples in two other outbreaks in the same field program. Enterovirus sequences were detected but the implication of these viruses in the etiology of these outbreaks remains speculative. Our findings of HRSV in wild but human-habituated gorillas underline, once again, the risk of interspecies transmission from humans to endangered great apes.</t>
  </si>
  <si>
    <t xml:space="preserve">[Gruetzmacher, Kim S.; Koendgen, Sophie; Keil, Verena; Leendertz, Siv Aina; Calvignac-Spencer, Sebastien; Leendertz, Fabian H.] Robert Koch Inst, Project Grp Epidemiol Highly Pathogen Microorgani, Seestr 10, D-13353 Berlin, Germany; [Herbinger, Ilka] World Wildlife Fund WWF Germany, Berlin, Germany; [Todd, Angelique; Feistner, Anna; Fuh, Terrence] WWF, Dzanga Sangha Protected Areas, Bayanga, Cent Afr Republ; [Petrzelkova, Klara] Acad Sci, Inst Vertebrate Biol, Brno 60365, Czech Republic; [Petrzelkova, Klara] Acad Sci Czech Republ, Inst Parasitol, Ctr Biol, Ceske Budejovice, Czech Republic</t>
  </si>
  <si>
    <t xml:space="preserve">Robert Koch Institute; World Wildlife Fund; Czech Academy of Sciences; Institute of Vertebrate Biology of the Czech Academy of Sciences; Czech Academy of Sciences; Biology Centre of the Czech Academy of Sciences</t>
  </si>
  <si>
    <t xml:space="preserve">Leendertz, FH (corresponding author), Robert Koch Inst, Project Grp Epidemiol Highly Pathogen Microorgani, Seestr 10, D-13353 Berlin, Germany.</t>
  </si>
  <si>
    <t xml:space="preserve">LeendertzF@rki.de</t>
  </si>
  <si>
    <t xml:space="preserve">Petrzelkova, Klara/G-7111-2014; Calvignac-Spencer, Sebastien/D-2313-2010; Neba, Terence/AAO-2753-2020; Todd, Angelique/AAR-3087-2021; Leendertz, Fabian/H-8902-2019</t>
  </si>
  <si>
    <t xml:space="preserve">Calvignac-Spencer, Sebastien/0000-0003-4834-0509; Petrzelkova, Klara/0000-0001-9693-7567; Todd, Angelique/0000-0002-9207-4925</t>
  </si>
  <si>
    <t xml:space="preserve">WWF at DSPA; Institute of Vertebrate Biology Academy of Sciences of the Czech Republic [RVO: 68081766]</t>
  </si>
  <si>
    <t xml:space="preserve">WWF at DSPA; Institute of Vertebrate Biology Academy of Sciences of the Czech Republic</t>
  </si>
  <si>
    <t xml:space="preserve">We would like to thank the government of the Central African Republic for long-term support, especially the Ministere d'Eaux et Foret, Chasse et Peche and the Ministere de l'Education Nationale, de l'Alphabetisation, de l'Enseignement Superieur, et de la Recherche. In particular, we thank Jean-Baptiste Mamang-Kanga, Guian Zokoe, and Christian Ndadet. We thank the staff of DSPA and especially of the Primate Habituation Programme, for logistical support in the field, and WWF for their support at DSPA and in Bangui. We would also like to thank the Hans Bockler Stiftung, the EAZA Ape Conservation Fund, Zoo Leipzig, and WWF Germany for support and funding. KJP worked under institutional support of the Institute of Vertebrate Biology Academy of Sciences of the Czech Republic (RVO: 68081766).</t>
  </si>
  <si>
    <t xml:space="preserve">1612-9202</t>
  </si>
  <si>
    <t xml:space="preserve">1612-9210</t>
  </si>
  <si>
    <t xml:space="preserve">EcoHealth</t>
  </si>
  <si>
    <t xml:space="preserve">10.1007/s10393-016-1144-6</t>
  </si>
  <si>
    <t xml:space="preserve">Biodiversity Conservation; Ecology; Environmental Sciences</t>
  </si>
  <si>
    <t xml:space="preserve">Biodiversity &amp; Conservation; Environmental Sciences &amp; Ecology</t>
  </si>
  <si>
    <t xml:space="preserve">EA1PD</t>
  </si>
  <si>
    <t xml:space="preserve">WOS:000386363400009</t>
  </si>
  <si>
    <t xml:space="preserve">Köndgen, S; Schenk, S; Pauli, G; Boesch, C; Leendertz, FH</t>
  </si>
  <si>
    <t xml:space="preserve">Koendgen, Sophie; Schenk, Svenja; Pauli, Georg; Boesch, Christophe; Leendertz, Fabian H.</t>
  </si>
  <si>
    <t xml:space="preserve">Noninvasive Monitoring of Respiratory Viruses in Wild Chimpanzees</t>
  </si>
  <si>
    <t xml:space="preserve">respiratory disease; chimpanzees; great apes; noninvasive detection; PCR; feces</t>
  </si>
  <si>
    <t xml:space="preserve">TAI-NATIONAL-PARK; SYNCYTIAL VIRUS; HUMAN METAPNEUMOVIRUS; GROUP-A; MOLECULAR EPIDEMIOLOGY; PAN-TROGLODYTES; CIRCULATION PATTERNS; GENETIC DIVERSITY; GREAT APES; INFECTION</t>
  </si>
  <si>
    <t xml:space="preserve">To diagnose respiratory disease among wild great apes, there is a need for noninvasive diagnostic methods. Therefore, we analyzed fecal samples from habituated chimpanzees from Ta &lt; National Park, Cte d'Ivoire. Samples had been collected during four distinct outbreaks: two with known aetiology (March 2004 and February 2006) and two with unknown aetiology (October 2004 and August 2005). Fecal samples were screened by polymerase chain reaction (PCR) for the presence of human metapneumovirus (HMPV) and human respiratory syncytial virus (HRSV), two paramyxoviruses previously found in lung tissue of chimpanzees that died due to respiratory disease. In the March 2004 outbreak, 72% of the tested individuals were positive for HMPV, and during the 2006 epidemic, 25% tested HRSV-positive. In the outbreaks where no causative pathogen was previously known, fecal samples tested positive for either HRSV or HMPV, showing that reinfection occurred. Virus sequences were generated and compared with sequences previously found in tissue; nearly identical virus sequences in both tissue and fecal samples were found. These results demonstrate that fecal samples collected during outbreak times can be used for the diagnostic and phylogenetic analysis of HMPV and HRSV. Using such diagnostic tools, systematic noninvasive disease investigation of respiratory outbreaks in wild great apes becomes possible. The methods presented here may also be applied for the investigation of further acute diseases in great apes and other species.</t>
  </si>
  <si>
    <t xml:space="preserve">[Koendgen, Sophie; Schenk, Svenja; Pauli, Georg; Leendertz, Fabian H.] Robert Koch Inst, D-13353 Berlin, Germany; [Schenk, Svenja; Boesch, Christophe] Max Planck Inst Evolutionary Anthropol, Dept Primatol, D-04103 Leipzig, Germany</t>
  </si>
  <si>
    <t xml:space="preserve">Robert Koch Institute; Max Planck Society</t>
  </si>
  <si>
    <t xml:space="preserve">Leendertz, FH (corresponding author), Robert Koch Inst, Nordufer 20, D-13353 Berlin, Germany.</t>
  </si>
  <si>
    <t xml:space="preserve">Leendertz, Fabian/H-8902-2019</t>
  </si>
  <si>
    <t xml:space="preserve">Robert Koch-Institut; Max-Planck-Society</t>
  </si>
  <si>
    <t xml:space="preserve">Robert Koch-Institut; Max-Planck-Society(Max Planck SocietyFoundation CELLEX)</t>
  </si>
  <si>
    <t xml:space="preserve">We thank the Ivorian authorities for long-term support, especially the Ministry of the Environment and Forests as well as the Ministry of Research, the directorship of the Tai National Park, and the Swiss Research Centre in Abidjan. For support during field observations and sample collection we would like to thank the assistants of the Tai chimpanzee project. We are also grateful to B. Schweiger, B. Biere and J. Reichel for providing diagnostic assays and J. Tesch for technical support. We thank R. Mundry for statistical advice. For helpful discussion and copyediting, we gratefully acknowledge T. Gillespie, S. A. Leendertz and A. Goffe. This work was supported by the Robert Koch-Institut and the Max-Planck-Society.</t>
  </si>
  <si>
    <t xml:space="preserve">10.1007/s10393-010-0340-z</t>
  </si>
  <si>
    <t xml:space="preserve">752IT</t>
  </si>
  <si>
    <t xml:space="preserve">WOS:000289685500007</t>
  </si>
  <si>
    <t xml:space="preserve">Chen, WW; Xu, W; Xie, YX; Zhang, YH; Wu, D; Wang, FS; Zhao, M</t>
  </si>
  <si>
    <t xml:space="preserve">Chen, Wei-Wei; Xu, Wen; Xie, Yang-Xin; Zhang, Yun-Hui; Wu, Dan; Wang, Fu-Sheng; Zhao, Min</t>
  </si>
  <si>
    <t xml:space="preserve">Surveillance for respiratory infectious diseases caused by 6 common viruses in a recruit training site in the Northern region of China</t>
  </si>
  <si>
    <t xml:space="preserve">MILITARY MEDICAL RESEARCH</t>
  </si>
  <si>
    <t xml:space="preserve">Recruit; Surveillance; Respiratory infectious diseases</t>
  </si>
  <si>
    <t xml:space="preserve">US MILITARY; RISK-FACTORS; ILLNESS; OUTBREAK</t>
  </si>
  <si>
    <t xml:space="preserve">Background: Recruit training sites are places with a high incidence of respiratory infectious diseases. Effective surveillance for acute respiratory infectious diseases in a recruit training site is an important way to prevent disease outbreaks. Methods: Eight hundred recruits (722 males and 78 females) enlisted in autumn 2015 received a background survey within 24 h of settlement at the recruit training site, including their general personal information, vaccination history, mental status and clinical symptoms. Then, nasopharyngeal swabs of these recruits were collected to detect common respiratory pathogens [influenza virus type A, influenza virus type B, adenovirus (Adv), human respiratory syncytial virus, human bocavirus and human metapneumovirus] by PCR. In addition, fasting venous blood was collected in the morning for adenovirus IgG antibody detection. During the three months of training, the recruits were monitored for symptoms of respiratory infection, and nasopharyngeal swabs were collected from those with an axillary temperature &gt;= 38 degrees C and other respiratory symptoms within 4 h of symptom onset. Samples were further examined by PCR. Results: Among the 795 effective nasopharyngeal swab samples collected during survey, two cases of group C type 1 adenovirus were identified by PCR. During the 3 months of training, fever and respiratory symptoms occurred in 39 recruits (incidence rate of 4.9%) and 5 cases of adenovirus were detected (positive rate of 12.8%). Genotyping showed 3 cases of type 4 adenovirus and 2 of type 3 adenovirus. No type 7, 14 or 55 adenovirus was detected. The Adv-IgG positive rate of recruits was 48.2%. Among the 5 Adv positive cases with fever and respiratory symptoms, 4 were Adv-IgG positive. Conclusion: The pathogen carrier rate in recruits was low, and only group C adenovirus, which causes mild infection in humans, was detected. No respiratory outbreak was observed at the recruit training site, and sporadic cases were mainly caused by type 3 and type 4 adenoviruses.</t>
  </si>
  <si>
    <t xml:space="preserve">[Chen, Wei-Wei; Xu, Wen; Xie, Yang-Xin; Wu, Dan; Wang, Fu-Sheng; Zhao, Min] 302 Hosp PLA, Treatment &amp; Res Ctr Infect Dis, Beijing 100039, Peoples R China; [Zhang, Yun-Hui] 302 Hosp PLA, Med Informat Ctr, Beijing 100039, Peoples R China</t>
  </si>
  <si>
    <t xml:space="preserve">Fifth Medical Center of Chinese PLA General Hospital; Fifth Medical Center of Chinese PLA General Hospital</t>
  </si>
  <si>
    <t xml:space="preserve">Wang, FS; Zhao, M (corresponding author), 302 Hosp PLA, Treatment &amp; Res Ctr Infect Dis, Beijing 100039, Peoples R China.</t>
  </si>
  <si>
    <t xml:space="preserve">fswang302@163.com; drzhaomin@sina.com</t>
  </si>
  <si>
    <t xml:space="preserve">Military Medical Healthcare Program [CWS14BJ34]</t>
  </si>
  <si>
    <t xml:space="preserve">Military Medical Healthcare Program</t>
  </si>
  <si>
    <t xml:space="preserve">This work was supported by the grants from the Military Medical Healthcare Program (CWS14BJ34).</t>
  </si>
  <si>
    <t xml:space="preserve">2095-7467</t>
  </si>
  <si>
    <t xml:space="preserve">2054-9369</t>
  </si>
  <si>
    <t xml:space="preserve">MILITARY MED RES</t>
  </si>
  <si>
    <t xml:space="preserve">MILITARY MED. RES.</t>
  </si>
  <si>
    <t xml:space="preserve">APR 1</t>
  </si>
  <si>
    <t xml:space="preserve">10.1186/s40779-017-0120-y</t>
  </si>
  <si>
    <t xml:space="preserve">EQ2OL</t>
  </si>
  <si>
    <t xml:space="preserve">WOS:000397909300001</t>
  </si>
  <si>
    <t xml:space="preserve">Biacchesi, S; Skiadopoulos, MH; Yang, LJ; Murphy, BR; Collins, PL; Buchholz, UJ</t>
  </si>
  <si>
    <t xml:space="preserve">Rapid human metapneumovirus microneutralization assay based on green fluorescent protein expression</t>
  </si>
  <si>
    <t xml:space="preserve">recombinant HMPV; microneutralization assay; GFP</t>
  </si>
  <si>
    <t xml:space="preserve">RESPIRATORY SYNCYTIAL VIRUS; INFLUENZA-A VIRUS; YOUNG-CHILDREN; TRACT DISEASE; IN-VITRO; SERUM; INFECTION; IDENTIFICATION; GLYCOPROTEIN; INHIBITION</t>
  </si>
  <si>
    <t xml:space="preserve">We describe a simple and expedited microneutralization assay for human metapneumovirus virus (HMPV) based on a recombinant HMPV expressing the enhanced green fluorescent protein (rHMPV-GFP). Test serum dilutions were incubated with fixed amounts of rHMPV-GFP and inoculated onto Vero cells, and the growth of non-neutralized rHMPV-GFP was visualized by fluorescent microscopy of living cells. A preliminary titer could be determined following 3 days of incubation. GFP expression was sufficient to be read by an automated scanner after 4-5 days of incubation, which also provided a permanent record. In comparison, the conventional serum neutralization assay requires a longer incubation time plus the additional steps of fixation and staining or immunostaining. rHMPV-GFP-based titers could be determined by the 50% infectivity endpoint method of Reed and Muench [Reed, L.J., Muench, H., 1938. A simple method of estimating fifty per cent endpoint. Am. J. Hyg. 27, 493-497], or by automated scanning and non-linear regression to determine the 50% endpoint of GFP fluorescence. The latter method was two- to three-fold more sensitive. This assay also permits automation and up-scaling, making it suitable for broad HMPV seroepidemiology studies and experiments that require large scale serology, such as vaccine studies. (c) 2005 Elsevier B.V. All rights reserved.</t>
  </si>
  <si>
    <t xml:space="preserve">NIAID, Infect Dis Lab, Bethesda, MD 20892 USA</t>
  </si>
  <si>
    <t xml:space="preserve">National Institutes of Health (NIH) - USA; NIH National Institute of Allergy &amp; Infectious Diseases (NIAID)</t>
  </si>
  <si>
    <t xml:space="preserve">NIAID, Infect Dis Lab, Bldg 50,Room 6505,50 South Dr,MSC 8007, Bethesda, MD 20892 USA.</t>
  </si>
  <si>
    <t xml:space="preserve">ubuchholz@niaid.nih.gov</t>
  </si>
  <si>
    <t xml:space="preserve">Buchholz, Ursula/AAA-4547-2022; BIACCHESI, STEPHANE/A-6924-2010</t>
  </si>
  <si>
    <t xml:space="preserve">BIACCHESI, STEPHANE/0000-0002-7020-2391</t>
  </si>
  <si>
    <t xml:space="preserve">10.1016/j.jviromet.2005.05.005</t>
  </si>
  <si>
    <t xml:space="preserve">953DA</t>
  </si>
  <si>
    <t xml:space="preserve">WOS:000231055200027</t>
  </si>
  <si>
    <t xml:space="preserve">Cseke, G; Maginnis, MS; Cox, RG; Tollefson, SJ; Podsiad, AB; Wright, DW; Dermody, TS; Williams, JV</t>
  </si>
  <si>
    <t xml:space="preserve">Cseke, Gabriella; Maginnis, Melissa S.; Cox, Reagan G.; Tollefson, Sharon J.; Podsiad, Amy B.; Wright, David W.; Dermody, Terence S.; Williams, John V.</t>
  </si>
  <si>
    <t xml:space="preserve">Integrin αvβ1 promotes infection by human metapneumovirus</t>
  </si>
  <si>
    <t xml:space="preserve">receptor; paramyxovirus; fusion protein; viral entry</t>
  </si>
  <si>
    <t xml:space="preserve">RESPIRATORY SYNCYTIAL VIRUS; MOUTH-DISEASE VIRUS; PARAINFLUENZA VIRUS; MEMBRANE-FUSION; MEASLES-VIRUS; FIBRONECTIN RECEPTOR; PROTECTIVE IMMUNITY; ADHESION MOLECULE; GENETIC DIVERSITY; CELLULAR RECEPTOR</t>
  </si>
  <si>
    <t xml:space="preserve">Human metapneumovirus (hMPV) is a recently described paramyxovirus that causes lower respiratory infections in children and adults worldwide. The hMPV fusion (F) protein is a membrane-anchored glycoprotein and major protective antigen. All hMPV F protein sequences determined to date contain an Arg-Gly-Asp (RGD) sequence, suggesting that F engages RGD-binding integrins to mediate cell entry. The divalent cation chelator EDTA, which disrupts heterodimeric integrin interactions, inhibits infectivity of hMPV but not the closely related respiratory syncytial virus (RSV), which lacks an RGD motif. Function-blocking antibodies specific for alpha v beta 1 integrin inhibit infectivity of hMPV but not RSV. Transfection of nonpermissive cells with alpha v or beta 1 cDNAs confers hMPV infectivity, whereas reduction of alpha v and beta 1 integrin expression by siRNA inhibits hMPV infection. Recombinant hMPV F protein binds to cells, whereas Arg-Gly-Glu (RGE)-mutant F protein does not. These data suggest that alpha v beta 1 integrin is a functional receptor for hMPV.</t>
  </si>
  <si>
    <t xml:space="preserve">[Maginnis, Melissa S.; Cox, Reagan G.; Dermody, Terence S.; Williams, John V.] Vanderbilt Univ, Sch Med, Dept Microbiol &amp; Immunol, Nashville, TN 37232 USA; [Maginnis, Melissa S.; Tollefson, Sharon J.; Podsiad, Amy B.; Wright, David W.; Dermody, Terence S.; Williams, John V.] Vanderbilt Univ, Sch Med, Dept Pediat, Nashville, TN 37232 USA; [Maginnis, Melissa S.; Dermody, Terence S.] Vanderbilt Univ, Sch Med, Elizabeth B Lamb Ctr Pediat Res, Nashville, TN 37232 USA; [Cseke, Gabriella; Wright, David W.] Vanderbilt Univ, Coll Arts &amp; Sci, Dept Chem, Nashville, TN 37232 USA</t>
  </si>
  <si>
    <t xml:space="preserve">Williams, JV (corresponding author), Vanderbilt Univ, Sch Med, Dept Microbiol &amp; Immunol, Nashville, TN 37232 USA.</t>
  </si>
  <si>
    <t xml:space="preserve">john.williams@vanderbilt.edu</t>
  </si>
  <si>
    <t xml:space="preserve">Public Health Service [K08 AI56170, R21 AI073697, T32 AI007281, T32 AI007611, R01 AI32539]; Elizabeth B. Lamb Center for Pediatric Research; Vanderbilt-Ingram Cancer Center [P30 CA68485]; Vanderbilt Digestive Disease Research Center [DK058404]</t>
  </si>
  <si>
    <t xml:space="preserve">Public Health Service(United States Department of Health &amp; Human ServicesUnited States Public Health Service); Elizabeth B. Lamb Center for Pediatric Research; Vanderbilt-Ingram Cancer Center; Vanderbilt Digestive Disease Research Center</t>
  </si>
  <si>
    <t xml:space="preserve">We thank members of the Williams and Dermody laboratories for input and advice. We thank Richard Bankert for the alpha 2-specific mAb 6F1, Charles Parkos for mAb J10.4 (JAM-A), and David K. Flaherty for assistance with flow cytometry. This research was supported by Public Health Service Awards K08 AI56170 (to J.V.W.), R21 AI073697 (to J.V.W.), T32 AI007281 (to M. S. M), T32 AI007611 (to R. G. C.), and R01 AI32539 (to T. S. D.), and by the Elizabeth B. Lamb Center for Pediatric Research. The Vanderbilt University Medical Center Flow Cytometry Shared Resource is supported by the Vanderbilt-Ingram Cancer Center (P30 CA68485) and the Vanderbilt Digestive Disease Research Center (DK058404).</t>
  </si>
  <si>
    <t xml:space="preserve">FEB 3</t>
  </si>
  <si>
    <t xml:space="preserve">10.1073/pnas.0801433106</t>
  </si>
  <si>
    <t xml:space="preserve">403HV</t>
  </si>
  <si>
    <t xml:space="preserve">WOS:000263074600051</t>
  </si>
  <si>
    <t xml:space="preserve">Molenkamp, R; van der Ham, A; Schinkel, J; Beld, M</t>
  </si>
  <si>
    <t xml:space="preserve">Molenkamp, Richard; van der Ham, Alwin; Schinkel, Janke; Beld, Marcel</t>
  </si>
  <si>
    <t xml:space="preserve">Simultaneous detection of five different DNA targets by real-time Taqman PCR using the Roche LightCycler480: Application in viral molecular diagnostics</t>
  </si>
  <si>
    <t xml:space="preserve">real-time; multiplex; quantitative; PCR; respiratory; virus</t>
  </si>
  <si>
    <t xml:space="preserve">RESPIRATORY-SYNCYTIAL-VIRUS; HUMAN METAPNEUMOVIRUS; CLINICAL SPECIMENS; INFLUENZA-B; INFECTIONS; ASSAY</t>
  </si>
  <si>
    <t xml:space="preserve">One of the most interesting aspects of real-time PCR based on the detection of fluorophoric labeled oligonucleotides is the possibility the LightCycler480 (LC480), which should be well suited for multiplex real-time PCR analysis. In this paper the performance of the LC480 and accompanying software for the detection of five different targets was analyzed. Target DNAs mixed at equimolar concentrations were detected reproducibly and quantitatively. In addition, mixing different concentrations of the five targets demonstrated that the LC480 is capable of providing quantitative results for a mixture of DNA sequences without losing sensitivity. When applied to the practice of molecular diagnosis of four respiratory viral infections the multiplex assay showed almost complete concordance with corresponding single-target PCRs. The application of multiplex PCR for the detection of multiple pathogens within the same sample will provide a major contribution to the efficiency, logistics and cost-effectiveness of molecular diagnostics. (c) 2006 Elsevier B.V. All rights reserved.</t>
  </si>
  <si>
    <t xml:space="preserve">Univ Amsterdam, Acad Med Ctr, Dept Med Microbiol, Lab Clin Virol, NL-1100 DD Amsterdam, Netherlands</t>
  </si>
  <si>
    <t xml:space="preserve">University of Amsterdam; Academic Medical Center Amsterdam</t>
  </si>
  <si>
    <t xml:space="preserve">Molenkamp, R (corresponding author), Univ Amsterdam, Acad Med Ctr, Dept Med Microbiol, Lab Clin Virol, POB 22600, NL-1100 DD Amsterdam, Netherlands.</t>
  </si>
  <si>
    <t xml:space="preserve">r.molenkamp@amc.uva.nl</t>
  </si>
  <si>
    <t xml:space="preserve">Schinkel, Janke/I-3099-2012; van der Ham, Alwin/V-5466-2018</t>
  </si>
  <si>
    <t xml:space="preserve">van der Ham, Alwin/0000-0002-4532-9120; Molenkamp, Richard/0000-0002-9004-3850; Schinkel, Janke/0000-0002-1112-0644</t>
  </si>
  <si>
    <t xml:space="preserve">10.1016/j.jviromet.2006.12.007</t>
  </si>
  <si>
    <t xml:space="preserve">162JN</t>
  </si>
  <si>
    <t xml:space="preserve">WOS:000246083200012</t>
  </si>
  <si>
    <t xml:space="preserve">Scheltinga, SA; Templeton, KE; Beersma, MFC; Claas, ECJ</t>
  </si>
  <si>
    <t xml:space="preserve">Diagnosis of human metapneumovirus and rhinovirus in patients with respiratory tract infections by an internally controlled multiplex real-time RNA PCR</t>
  </si>
  <si>
    <t xml:space="preserve">real-time RNA PCR; respiratory viruses; rhinoviruses; metapneumoviruses; multiplex PCR; internal control</t>
  </si>
  <si>
    <t xml:space="preserve">SYNCYTIAL-VIRUS; ENTEROVIRUS</t>
  </si>
  <si>
    <t xml:space="preserve">Background: Adequate laboratory diagnosis of human rhinoviruses (hRV) and human metapneumoviruses (hMPV) requires molecular methods as viral culture lacks sensitivity. However, setting up individual PCRs for all respiratory viruses is not practical so preferentially multiplex PCRs are used. Objectives: To develop for routine diagnosis a rapid real-time PCR assay for detection of hRV and hMPV including an internal control in a single tube multiplex reaction using probes carrying different fluorophores to discriminate targets. Study design: The multiplex real-time RNA PCR was optimized to include the internal control virus and a total of 358 respiratory samples from 239 patients taken over a one-year period were analyzed by the multiplex assay. Results: The multiplex assay with co-amplification of the internal control was as sensitive and specific as the individual assays. Application of this assay on clinical samples from 239 patients in a one-year period resulted in an incidence of hRV and hMPV of 41/239 (17.1%) and 6/239 (2.5%), respectively. Inhibition, defined as poor internal control amplification, was detected in 8 (2.2%) samples. Culture was performed on these samples and only four hRV were detected. Conclusions: This real-time PCR method enables sensitive diagnosis of these two respiratory pathogens with the potential to expand the assay as part of a full molecular respiratory viral screen. (C) 2005 Elsevier B.V. All rights reserved.</t>
  </si>
  <si>
    <t xml:space="preserve">Leiden Univ, Med Ctr, Ctr Infect Dis, Dept Med Microbiol, NL-2300 RC Leiden, Netherlands</t>
  </si>
  <si>
    <t xml:space="preserve">Leiden University - Excl LUMC; Leiden University; Leiden University Medical Center (LUMC)</t>
  </si>
  <si>
    <t xml:space="preserve">Leiden Univ, Med Ctr, Ctr Infect Dis, Dept Med Microbiol, POB 9600, NL-2300 RC Leiden, Netherlands.</t>
  </si>
  <si>
    <t xml:space="preserve">E.Claas@lumc.nl</t>
  </si>
  <si>
    <t xml:space="preserve">Templeton, Kate/0000-0001-7414-1277</t>
  </si>
  <si>
    <t xml:space="preserve">10.1016/j.jcv.2004.08.021</t>
  </si>
  <si>
    <t xml:space="preserve">954EE</t>
  </si>
  <si>
    <t xml:space="preserve">WOS:000231136100008</t>
  </si>
  <si>
    <t xml:space="preserve">Al-Ouqaili, MTS; Al-Hayani, NN; Saadoon, IH</t>
  </si>
  <si>
    <t xml:space="preserve">Al-Ouqaili, Mushtak T. S.; Al-Hayani, Noor N.; Saadoon, Israa H.</t>
  </si>
  <si>
    <t xml:space="preserve">DETECTION OF RHINOVIRUS AND SOME DNA/RNA VIRUSES BY REVERSE TRANSCRIPTASE REAL-TIME PCR AND THEIR IMMUNOLOGICAL PARAMETERS IN PATIENTS WITH ACUTE RESPIRATORY TRACT INFECTION IN IRAQ: MOLECULAR AND IMMUNOLOGICAL STUDY</t>
  </si>
  <si>
    <t xml:space="preserve">INTERNATIONAL JOURNAL OF PHARMACEUTICAL SCIENCES AND RESEARCH</t>
  </si>
  <si>
    <t xml:space="preserve">Real-Time PCR; Human rhinovirus; Common Cold</t>
  </si>
  <si>
    <t xml:space="preserve">PSEUDOMONAS-AERUGINOSA</t>
  </si>
  <si>
    <t xml:space="preserve">Background and Objectives: Acute upper respiratory tract infections are the most frequent acute illnesses worldwide. This study has been undertaken for determining the diagnostic importance of Human Rhinovirus and other associated DNA/RNA viruses including human Respiratory Syncytial virus; Human Metapneumovirus; Human parainfluenza virus 1-4; human coronavirus; Human B, C, and E Adenovirus; and Human Bocavirus in common cold disease. Further, to detect the role of some immunological parameters including complement three and rhinovirus Ag (RhV-Ag) in rhinovirus infection. Patients and methods: The samples of 84 individuals infected with common cold were collected and studied. Viral nucleic acids either DNA or RNA were extracted and amplified using real-time multiplex PCR. Results: The most common type causative agent was hRv which accounted for 56.1% followed by hRv+IIRSV-IIMpv, 12.19% and hRv+hAdv-hBov, 9.75% respectively. Also, the most rarely infection was hRSV-hMpv which found only in one case. On the other hand, complement three was used as a potent immuno-parameter to detect the level in a sample of 80 tested individuals infected with human rhinovirus at which it was found that there is a simple linear correlation coefficient matrix of the variables C3 and RIN-Ag. Conclusion: The study suggested that multiplex RT-PCR is a rapid, cost-effective, specific and highly sensitive method for detection of respiratory viruses including rhinovirus. Further, this study has focused a highlight on the critical roles of C3 in the pathogenesis of rhinovirus infection. Furthermore, RhV-Ag was found to be significantly correlated with the complement C3 at p&lt;0.05 and RIN-Ag cannot be predicted using complement C3.</t>
  </si>
  <si>
    <t xml:space="preserve">[Al-Ouqaili, Mushtak T. S.; Al-Hayani, Noor N.] Univ Anbar, Coll Med, Ramadi, Iraq; [Saadoon, Israa H.] Univ Tikrit, Coll Med, Tikrit, Iraq</t>
  </si>
  <si>
    <t xml:space="preserve">University of Anbar; University of Tikrit</t>
  </si>
  <si>
    <t xml:space="preserve">Al-Ouqaili, MTS (corresponding author), Univ Anbar, Coll Med, Ramadi, Iraq.</t>
  </si>
  <si>
    <t xml:space="preserve">dr.mushtak_72@yahoo.com</t>
  </si>
  <si>
    <t xml:space="preserve">T.S. Al-Ouqaili, Mushtak/G-2533-2018</t>
  </si>
  <si>
    <t xml:space="preserve">T.S. Al-Ouqaili, Mushtak/0000-0002-0454-8351</t>
  </si>
  <si>
    <t xml:space="preserve">INT JOURNAL PHARMACEUTICAL SCIENCES &amp; RESEARCH</t>
  </si>
  <si>
    <t xml:space="preserve">HARYANA</t>
  </si>
  <si>
    <t xml:space="preserve">1117, SECTOR 12 A, PANCHKULA, HARYANA, 00000, INDIA</t>
  </si>
  <si>
    <t xml:space="preserve">0975-8232</t>
  </si>
  <si>
    <t xml:space="preserve">INT J PHARM SCI RES</t>
  </si>
  <si>
    <t xml:space="preserve">Int. J. Pharm.l Sci. Res.</t>
  </si>
  <si>
    <t xml:space="preserve">10.13040/IJPSR.0975-8232.10(5).2189-99</t>
  </si>
  <si>
    <t xml:space="preserve">HW2KB</t>
  </si>
  <si>
    <t xml:space="preserve">WOS:000466511600011</t>
  </si>
  <si>
    <t xml:space="preserve">Wishaupt, JO; Versteegh, FGA; Hartwig, NG</t>
  </si>
  <si>
    <t xml:space="preserve">Wishaupt, Jerome O.; Versteegh, Florens G. A.; Hartwig, Nico G.</t>
  </si>
  <si>
    <t xml:space="preserve">PCR testing for Paediatric Acute Respiratory Tract Infections</t>
  </si>
  <si>
    <t xml:space="preserve">PAEDIATRIC RESPIRATORY REVIEWS</t>
  </si>
  <si>
    <t xml:space="preserve">Real time PCR; Child; Acute respiratory tract infection; Virus; Pathogen</t>
  </si>
  <si>
    <t xml:space="preserve">SYNCYTIAL VIRUS-INFECTION; RAPID ANTIGEN TESTS; HUMAN METAPNEUMOVIRUS; VIRAL LOAD; DISEASE SEVERITY; YOUNG-CHILDREN; RT-PCR; INFANTS; CORONAVIRUS; BRONCHIOLITIS</t>
  </si>
  <si>
    <t xml:space="preserve">Acute respiratory tract infection (ARI) is a frequently occurring disease in children. It is a clinical diagnosis for which no internationally accepted diagnostic test is available. The majority of ARI is viral in origin, though diagnostic tests for viruses were rarely performed in the past. In the past 2 decades, new molecular techniques have been introduced in many hospitals. They are capable of generating a high yield of viral and bacterial diagnoses, but their impact upon clinical practices is still questionable. In this paper, we discuss the difficulties of diagnosing ARI in children, the indications for conventional and new diagnostics and their implications. (C) 2014 Elsevier Ltd. All rights reserved.</t>
  </si>
  <si>
    <t xml:space="preserve">[Wishaupt, Jerome O.] Reinier Graaf Hosp, Dept Paediat, NL-2600 GA Delft, Netherlands; [Versteegh, Florens G. A.] Groene Hart Ziekenhuis, Dept Paediat, Gouda, Netherlands; [Versteegh, Florens G. A.] Ghent Univ Hosp, Dept Paediat, Ghent, Belgium; [Hartwig, Nico G.] St Franciscus Gasthuis, Dept Paediat, Rotterdam, Netherlands; [Hartwig, Nico G.] Erasmus MC Sophia, Dept Paediat Infect Dis &amp; Immunol, Rotterdam, Netherlands</t>
  </si>
  <si>
    <t xml:space="preserve">Reinier de Graaf Hospital; Ghent University; Ghent University Hospital; Franciscus Gasthuis; Erasmus University Rotterdam; Erasmus MC</t>
  </si>
  <si>
    <t xml:space="preserve">Wishaupt, JO (corresponding author), Reinier Graaf Hosp, Dept Paediat, POB 5011, NL-2600 GA Delft, Netherlands.</t>
  </si>
  <si>
    <t xml:space="preserve">wishaupt@rdgg.nl; florens.versteegh@ghz.nl; n.hartwig@sfg.nl</t>
  </si>
  <si>
    <t xml:space="preserve">Versteegh, Florens G.A./0000-0003-4773-5592</t>
  </si>
  <si>
    <t xml:space="preserve">1526-0542</t>
  </si>
  <si>
    <t xml:space="preserve">1526-0550</t>
  </si>
  <si>
    <t xml:space="preserve">PAEDIATR RESPIR REV</t>
  </si>
  <si>
    <t xml:space="preserve">Paediatr. Respir. Rev.</t>
  </si>
  <si>
    <t xml:space="preserve">10.1016/j.prrv.2014.07.002</t>
  </si>
  <si>
    <t xml:space="preserve">CA0QQ</t>
  </si>
  <si>
    <t xml:space="preserve">WOS:000348622200008</t>
  </si>
  <si>
    <t xml:space="preserve">Brotons, P; Launes, C; Iñigo, M; Penis, N; Selva, L; Muñoz-Almagro, C</t>
  </si>
  <si>
    <t xml:space="preserve">Brotons, Pedro; Launes, Cristian; Inigo, Melania; Penis, Natalia; Selva, Laura; Munoz-Almagro, Carmen</t>
  </si>
  <si>
    <t xml:space="preserve">Performance of a rapid multi-analyte 2-photon excitation assay in children with acute respiratory infection</t>
  </si>
  <si>
    <t xml:space="preserve">Rapid testing; Respiratory infection; Antigen detection; Point-of-care; Children</t>
  </si>
  <si>
    <t xml:space="preserve">INFLUENZA-A; HUMAN METAPNEUMOVIRUS; SYNCYTIAL VIRUS; DIAGNOSIS; IMMUNOCHROMATOGRAPHY; TESTS; H1N1; PCR</t>
  </si>
  <si>
    <t xml:space="preserve">The purpose of this study is to evaluate the diagnostic performance of the novel 2-photon excitation-based mariPOC (c) Assay (ArcDia Laboratories, Turku, Finland) for antigen detection of respiratory viruses versus real-time polymerase chain reaction (PCR). The mariPOC Assay and 2 multiplex real-time PCR techniques were performed on nasopharyngeal samples from pediatric patients with suspicion of acute respiratory infection admitted to a children's hospital in Spain during October 2011 to January 2013. A total of 233 samples were studied. Sensitivities and specificities (95% confidence interval) of the mariPOC Assay were for respiratory syncytial virus (RSV), 78.4% (69.7-85.6) and 99.2% (96.3-100.0); influenza virus (IFV) A, 66.7% (26.2-94.0) and 99.6% (97.9-100.0); IFV-B, 63.6% (33.6-87.2) and 100.0% (98.7-100.0); human metapneumovirus (hMPV), 60.0% (34.5-81.9) and 100.0% (98.6-100.0); adenovirus (ADV), 12.5% (0.6-48.0) and 100.0% (98.7-100.0), respectively. The mariPOC Assay is a highly specific method for simultaneous detection of 8 respiratory viruses but has sensitivities that range from moderately high for RSV to moderate for LW and hMPV and low for ADV. (C) 2014 Elsevier Inc. All rights reserved.</t>
  </si>
  <si>
    <t xml:space="preserve">[Brotons, Pedro; Inigo, Melania; Penis, Natalia; Selva, Laura; Munoz-Almagro, Carmen] Hosp St Joan Deu, Dept Microbiol, Barcelona 08950, Spain; [Brotons, Pedro; Launes, Cristian; Inigo, Melania; Penis, Natalia; Selva, Laura; Munoz-Almagro, Carmen] Univ Barcelona, Barcelona 08950, Spain; [Launes, Cristian] Hosp St Joan Deu, Dept Paediat, Barcelona 08950, Spain</t>
  </si>
  <si>
    <t xml:space="preserve">University of Barcelona; University of Barcelona; University of Barcelona</t>
  </si>
  <si>
    <t xml:space="preserve">Muñoz-Almagro, C (corresponding author), Hosp St Joan Deu, Dept Microbiol, Barcelona 08950, Spain.</t>
  </si>
  <si>
    <t xml:space="preserve">cma@hsjdbcn.org</t>
  </si>
  <si>
    <t xml:space="preserve">; Launes, Cristian/ABD-8312-2020; Munoz-Almagro, Carmen/N-7248-2015</t>
  </si>
  <si>
    <t xml:space="preserve">Brotons de los Reyes, Pedro/0000-0002-2399-7320; Launes, Cristian/0000-0002-0913-9303; Munoz-Almagro, Carmen/0000-0001-5586-404X</t>
  </si>
  <si>
    <t xml:space="preserve">Leti Laboratories, Spain; Agenda de Gestio d'Ajuts Universitaris i de Recerca (AGAUR) [SGRO0136]; AGAUR (FI-ICIP)</t>
  </si>
  <si>
    <t xml:space="preserve">Leti Laboratories, Spain; Agenda de Gestio d'Ajuts Universitaris i de Recerca (AGAUR); AGAUR (FI-ICIP)</t>
  </si>
  <si>
    <t xml:space="preserve">This work was supported by a grant of Leti Laboratories, Spain, and Agenda de Gestio d'Ajuts Universitaris i de Recerca (AGAUR) (SGRO0136). LS. was a recipient of a fellowship from AGAUR (FI-ICIP 2012).</t>
  </si>
  <si>
    <t xml:space="preserve">10.1016/j.diagmicrobio.2014.02.005</t>
  </si>
  <si>
    <t xml:space="preserve">AI1TQ</t>
  </si>
  <si>
    <t xml:space="preserve">WOS:000336638200016</t>
  </si>
  <si>
    <t xml:space="preserve">Hamada, N; Hara, K; Matsuo, Y; Imamura, Y; Kashiwagi, T; Nakazono, Y; Gotoh, K; Ohtsu, Y; Ohtaki, E; Motohiro, T; Watanabe, H</t>
  </si>
  <si>
    <t xml:space="preserve">Hamada, N.; Hara, K.; Matsuo, Y.; Imamura, Y.; Kashiwagi, T.; Nakazono, Y.; Gotoh, K.; Ohtsu, Y.; Ohtaki, E.; Motohiro, T.; Watanabe, H.</t>
  </si>
  <si>
    <t xml:space="preserve">Performance of a rapid human metapneumovirus antigen test during an outbreak in a long-term care facility</t>
  </si>
  <si>
    <t xml:space="preserve">EPIDEMIOLOGY AND INFECTION</t>
  </si>
  <si>
    <t xml:space="preserve">rapid HMPV antigen test; long-term care facility; Human metapneumovirus</t>
  </si>
  <si>
    <t xml:space="preserve">RESPIRATORY-TRACT INFECTION; JAPAN</t>
  </si>
  <si>
    <t xml:space="preserve">Using a newly developed rapid test, an outbreak of human metapneumovirus (HMPV) infection in a long-term care facility was detected within only 2 days after the onset of symptoms in a putative index case. The outbreak was almost under control within 8 days mainly by zoning patients, with the exception of two cases of HMPV that were diagnosed 16 and 17 days after the onset of the outbreak. According to an immunological diagnosis as well as the rapid test, it was eventually proven that 18 patients had HMPV infections. We suspected that even asymptomatic residents, who had not been completely separated from the facility population, were a source of infection. That suggested that all asymptomatic residents should be tested and that the separation of the infected patients should be absolute, if an outbreak of HMPV infection is suspected in such a facility.</t>
  </si>
  <si>
    <t xml:space="preserve">[Hamada, N.; Hara, K.; Imamura, Y.; Kashiwagi, T.; Nakazono, Y.; Watanabe, H.] Kurume Univ, Sch Med, Dept Infect Med, Div Infect Dis, Kurume, Fukuoka 8300011, Japan; [Matsuo, Y.; Ohtaki, E.; Motohiro, T.] Yuukari Gakuen Inst Handicapped Children, Div Pediat, Kurume, Fukuoka, Japan; [Gotoh, K.; Ohtsu, Y.] Kurume Univ, Sch Med, Dept Pediat, Kurume, Fukuoka 830, Japan</t>
  </si>
  <si>
    <t xml:space="preserve">Kurume University; Kurume University</t>
  </si>
  <si>
    <t xml:space="preserve">Hamada, N (corresponding author), Kurume Univ, Sch Med, Dept Infect Med, Div Infect Dis, 67 Asahimachi, Kurume, Fukuoka 8300011, Japan.</t>
  </si>
  <si>
    <t xml:space="preserve">nhamada@med.kurume-u.ac.jp</t>
  </si>
  <si>
    <t xml:space="preserve">Ohkura Pharmaceutical Co. Ltd, Kyoto, Japan; Grants-in-Aid for Scientific Research [24591495, 24591590] Funding Source: KAKEN</t>
  </si>
  <si>
    <t xml:space="preserve">Ohkura Pharmaceutical Co. Ltd, Kyoto, Japan; Grants-in-Aid for Scientific Research(Ministry of Education, Culture, Sports, Science and Technology, Japan (MEXT)Japan Society for the Promotion of ScienceGrants-in-Aid for Scientific Research (KAKENHI))</t>
  </si>
  <si>
    <t xml:space="preserve">This work was supported in part by the Ohkura Pharmaceutical Co. Ltd, Kyoto, Japan.</t>
  </si>
  <si>
    <t xml:space="preserve">CAMBRIDGE UNIV PRESS</t>
  </si>
  <si>
    <t xml:space="preserve">32 AVENUE OF THE AMERICAS, NEW YORK, NY 10013-2473 USA</t>
  </si>
  <si>
    <t xml:space="preserve">0950-2688</t>
  </si>
  <si>
    <t xml:space="preserve">1469-4409</t>
  </si>
  <si>
    <t xml:space="preserve">EPIDEMIOL INFECT</t>
  </si>
  <si>
    <t xml:space="preserve">Epidemiol. Infect.</t>
  </si>
  <si>
    <t xml:space="preserve">10.1017/S0950268813001246</t>
  </si>
  <si>
    <t xml:space="preserve">AC4XJ</t>
  </si>
  <si>
    <t xml:space="preserve">WOS:000332524300024</t>
  </si>
  <si>
    <t xml:space="preserve">Martin, LJ; Lee, BE; Yasui, Y</t>
  </si>
  <si>
    <t xml:space="preserve">Martin, L. J.; Lee, B. E.; Yasui, Y.</t>
  </si>
  <si>
    <t xml:space="preserve">Google Flu Trends in Canada: a comparison of digital disease surveillance data with physician consultations and respiratory virus surveillance data, 2010-2014</t>
  </si>
  <si>
    <t xml:space="preserve">EPIDEMIOLOGY &amp; INFECTION</t>
  </si>
  <si>
    <t xml:space="preserve">Public health; respiratory infections; surveillance</t>
  </si>
  <si>
    <t xml:space="preserve">EMERGENCY-DEPARTMENT; SYNDROMIC SURVEILLANCE</t>
  </si>
  <si>
    <t xml:space="preserve">The value of Google Flu Trends (GFT) remains unclear after it overestimated the proportion of physician visits related to influenza-like illness (ILI) in the United States in 2012-2013. However, GFT estimates (%GFT) have not been examined nationally in Canada nor compared with positivity for respiratory viruses other than influenza. For 2010-2014, we compared %GFT for Canada to Public Health Agency of Canada ILI consultation rates (%PHAC) and to positivity for influenza A and B, respiratory syncytial virus (RSV), human metapneumovirus (hMPV), and rhinoviruses. %GFT correlated well with %PHAC (rho = 0.77-0.90) and influenza A positivity (rho = 0.64-0.96) and overestimated the 2012-2013 %PHAC peak by 0.99 percentage points. %GFT peaks corresponded temporally with peaks in positivity for influenza A and rhinoviruses (all seasons) and RSV and hMPV when their peaks preceded influenza peaks. In Canada, %GFT represented traditional surveillance data and corresponded temporally with patterns in circulating respiratory viruses.</t>
  </si>
  <si>
    <t xml:space="preserve">[Martin, L. J.; Lee, B. E.; Yasui, Y.] Univ Alberta, Edmonton, AB T6G 1C9, Canada</t>
  </si>
  <si>
    <t xml:space="preserve">Martin, LJ; Yasui, Y (corresponding author), Univ Alberta, Edmonton, AB T6G 1C9, Canada.;Martin, LJ (corresponding author), Univ Alberta, Sch Publ Hlth, 4-057A Edmonton Clin Hlth Acad,11405 87th Ave, Edmonton, AB T6G 1C9, Canada.</t>
  </si>
  <si>
    <t xml:space="preserve">leah.martin@ualberta.ca; yyasui@ualberta.ca</t>
  </si>
  <si>
    <t xml:space="preserve">Yasui, Yutaka/E-2564-2015</t>
  </si>
  <si>
    <t xml:space="preserve">Alberta Innovates - Health Solutions Postdoctoral Fellowship; Alberta Innovates Centre for Machine Learning (AICML); AICML (Alberta Innovates - Technology Futures); Canada Research Chair Program</t>
  </si>
  <si>
    <t xml:space="preserve">Alberta Innovates - Health Solutions Postdoctoral Fellowship; Alberta Innovates Centre for Machine Learning (AICML); AICML (Alberta Innovates - Technology Futures); Canada Research Chair Program(Canada Research Chairs)</t>
  </si>
  <si>
    <t xml:space="preserve">Dr L. J. Martin is supported by an Alberta Innovates - Health Solutions Postdoctoral Fellowship and funding from the Alberta Innovates Centre for Machine Learning (AICML). Dr Y. Yasui is supported by AICML (Alberta Innovates - Technology Futures) and the Canada Research Chair Program.</t>
  </si>
  <si>
    <t xml:space="preserve">EDINBURGH BLDG, SHAFTESBURY RD, CB2 8RU CAMBRIDGE, ENGLAND</t>
  </si>
  <si>
    <t xml:space="preserve">10.1017/S0950268815001478</t>
  </si>
  <si>
    <t xml:space="preserve">DB6PW</t>
  </si>
  <si>
    <t xml:space="preserve">WOS:000368638100014</t>
  </si>
  <si>
    <t xml:space="preserve">Esneau, C; Raynal, B; Roblin, P; Brûlé, S; Richard, CA; Fix, J; Eléouët, JF; Galloux, M</t>
  </si>
  <si>
    <t xml:space="preserve">Esneau, Camille; Raynal, Bertrand; Roblin, Pierre; Brule, Sebastien; Richard, Charles-Adrien; Fix, Jenna; Eleouet, Jean-Francois; Galloux, Marie</t>
  </si>
  <si>
    <t xml:space="preserve">Biochemical characterization of the respiratory syncytial virus N0-P complex in solution</t>
  </si>
  <si>
    <t xml:space="preserve">JOURNAL OF BIOLOGICAL CHEMISTRY</t>
  </si>
  <si>
    <t xml:space="preserve">protein folding; structural model; small-angle X-ray scattering (SAXS); mutagenesis; analytical ultracentrifugation; N-0-P complex; nucleoprotein N; respiratory syncytial virus; structure-function; viral replication</t>
  </si>
  <si>
    <t xml:space="preserve">NUCLEOPROTEIN-RNA COMPLEX; CRYSTAL-STRUCTURE; BINDING-SITE; PHOSPHOPROTEIN; IDENTIFICATION; PROTEINS; INSIGHTS; REGION; FORMS</t>
  </si>
  <si>
    <t xml:space="preserve">As all the viruses belonging to the Mononegavirales order, the nonsegmented negative-strand RNA genome of respiratory syncytial virus (RSV) is encapsidated by the viral nucleoprotein N. N protein polymerizes along the genomic and anti-genomic RNAs during replication. This requires the maintenance of the neosynthesized N protein in a monomeric and RNA-free form by the viral phosphoprotein P that plays the role of a chaperone protein, forming a soluble N-0-P complex. We have previously demonstrated that residues 1-30 of P specifically bind to N-0. Here, to isolate a stable N-0-P complex suitable for structural studies, we used the N-terminal peptide of P (P40) to purify truncated forms of the N protein. We show that to purify a stable N-0-P-like complex, a deletion of the first 30 N-terminal residues of N (N-30) is required to impair N oligomerization, whereas the presence of a full-length C-arm of N is required to inhibit RNA binding. We generated structural models of the RSV N-0-P with biophysical approaches, including hydrodynamic measurements and small-angle X-ray scattering (SAXS), coupled with biochemical and functional analyses of human RSV (hRSV) N-30 mutants. These models suggest a strong structural homology between the hRSV and the human metapneumovirus (hMPV) N-0-P complexes. In both complexes, the P40-binding sites on N-0 appear to be similar, and the C-arm of N provides a high flexibility and a propensity to interact with the N RNA groove. These findings reveal two potential sites to target on N-0-P for the development of RSV antivirals.</t>
  </si>
  <si>
    <t xml:space="preserve">[Esneau, Camille; Richard, Charles-Adrien; Fix, Jenna; Eleouet, Jean-Francois; Galloux, Marie] Univ Paris Saclay, Untie Virol &amp; Immunol Mol, INRA, F-78350 Jouy En Josas, France; [Raynal, Bertrand; Brule, Sebastien] Inst Pasteur, Plate Forme Biophys Mol, C2RT, 25 Rue Docteur Roux, F-75015 Paris, France; [Roblin, Pierre] Synchrotron SOLEIL, F-91410 Lorme Des Merisiers, Saint Aubin, France; [Roblin, Pierre] Univ Paul Sabatier, Lab Genie Chim, UMR 5503, Toulouse, France; [Esneau, Camille] Hunter Med Res Inst, New Lambton Hts, NSW 2305, Australia</t>
  </si>
  <si>
    <t xml:space="preserve">Universite Paris Saclay; INRAE; Pasteur Network; Universite Paris Cite; Institut Pasteur Paris; SOLEIL Synchrotron; Centre National de la Recherche Scientifique (CNRS); CNRS - Institute for Engineering &amp; Systems Sciences (INSIS); Universite de Toulouse; Universite Federale Toulouse Midi-Pyrenees (ComUE); Universite Toulouse III - Paul Sabatier; Institut National Polytechnique de Toulouse; Hunter Medical Research Institute; University of Newcastle</t>
  </si>
  <si>
    <t xml:space="preserve">Eléouët, JF; Galloux, M (corresponding author), Univ Paris Saclay, Untie Virol &amp; Immunol Mol, INRA, F-78350 Jouy En Josas, France.</t>
  </si>
  <si>
    <t xml:space="preserve">jean-francois.eleouet@inra.fr; marie.galloux@inra.fr</t>
  </si>
  <si>
    <t xml:space="preserve">Eléouët, Jean-François/AAD-1994-2019; Esneau, Camille/IQW-3632-2023</t>
  </si>
  <si>
    <t xml:space="preserve">raynal, Bertrand/0000-0001-5634-0408; Esneau, Camille/0000-0002-5479-1851; ELeouet, Jean-Francois/0000-0002-7361-4885; RICHARD, Charles-Adrien/0000-0001-5306-2297; pierre, roblin/0000-0002-5165-9564; Brule, Sebastien/0000-0002-8797-6748</t>
  </si>
  <si>
    <t xml:space="preserve">French Agence Nationale de la Recherche, specific program ANR Blanc [ANR-13-IVS3-0007]</t>
  </si>
  <si>
    <t xml:space="preserve">French Agence Nationale de la Recherche, specific program ANR Blanc(Agence Nationale de la Recherche (ANR))</t>
  </si>
  <si>
    <t xml:space="preserve">This work was supported by the French Agence Nationale de la Recherche, specific program ANR Blanc 2013 Respisyncycell ANR-13-IVS3-0007. The authors declare that they have no conflicts of interest with the contents of this article.</t>
  </si>
  <si>
    <t xml:space="preserve">AMER SOC BIOCHEMISTRY MOLECULAR BIOLOGY INC</t>
  </si>
  <si>
    <t xml:space="preserve">ROCKVILLE</t>
  </si>
  <si>
    <t xml:space="preserve">11200 ROCKVILLE PIKE, SUITE 302, ROCKVILLE, MD, UNITED STATES</t>
  </si>
  <si>
    <t xml:space="preserve">0021-9258</t>
  </si>
  <si>
    <t xml:space="preserve">1083-351X</t>
  </si>
  <si>
    <t xml:space="preserve">J BIOL CHEM</t>
  </si>
  <si>
    <t xml:space="preserve">J. Biol. Chem.</t>
  </si>
  <si>
    <t xml:space="preserve">MAR 8</t>
  </si>
  <si>
    <t xml:space="preserve">10.1074/jbc.RA118.006453</t>
  </si>
  <si>
    <t xml:space="preserve">HP7FU</t>
  </si>
  <si>
    <t xml:space="preserve">Green Published, Green Submitted, Green Accepted</t>
  </si>
  <si>
    <t xml:space="preserve">WOS:000461853900027</t>
  </si>
  <si>
    <t xml:space="preserve">Dubin, G; Koziel, J; Pyrc, K; Wladyka, B; Potempa, J</t>
  </si>
  <si>
    <t xml:space="preserve">Dubin, Grzegorz; Koziel, Joanna; Pyrc, Krzysztof; Wladyka, Benedykt; Potempa, Jan</t>
  </si>
  <si>
    <t xml:space="preserve">Bacterial Proteases in Disease - Role in Intracellular Survival, Evasion of Coagulation/Fibrinolysis Innate Defenses, Toxicoses and Viral Infections</t>
  </si>
  <si>
    <t xml:space="preserve">CURRENT PHARMACEUTICAL DESIGN</t>
  </si>
  <si>
    <t xml:space="preserve">Protease; proteinase; bacteria; intracellular survival; coagulation; fibrinolysis; toxins; viral infection; pathogenesis</t>
  </si>
  <si>
    <t xml:space="preserve">STAPHYLOCOCCAL EXFOLIATIVE TOXIN; ANTHRAX LETHAL FACTOR; INFLUENZA-A VIRUS; NF-KAPPA-B; CORONAVIRUS SPIKE PROTEIN; STRESS-RESPONSE PROTEASE; LOWER DIGESTIVE-TRACT; HUMAN METAPNEUMOVIRUS; MYCOBACTERIUM-TUBERCULOSIS; SERINE-PROTEASE</t>
  </si>
  <si>
    <t xml:space="preserve">Pathogenic bacteria have evolved multiple mechanisms aimed to evade host defenses. This review summarizes selected examples of how bacteria utilize proteolytic enzymes to efficiently establish and spread infection systemically. First, the role of proteases in intracellular survival and persistence - the primary means used by bacteria to endure phagocytosis and/or avoid the vigilance of the immune system - is discussed. Second, it is demonstrated how some bacteria escape entanglement in fibrin(ogen) meshes, by inducing their proteolytic dissolution while other species modify the proteolytic cascade of mesh formation to divert this important innate immune defense for their own benefit. Third, bacterial proteolytic toxins are introduced, which allow microorganisms to exert and take advantage of systemic effects already during primary, localized infection. Finally, it is discussed how viruses utilize bacterial proteases by taking advantage of concurrent infection, and how pathogens may even mutually benefit from the joint presence of other pathogens. The reviewed adaptations are often essential for pathogen survival in the hostile environment of a host organism. As such, the potential benefits of pharmacological interference in relevant pathways for the struggle against bacterial pathogens are also discussed.</t>
  </si>
  <si>
    <t xml:space="preserve">[Dubin, Grzegorz; Koziel, Joanna; Pyrc, Krzysztof; Potempa, Jan] Jagiellonian Univ, Fac Biochem Biophys &amp; Biotechnol, Dept Microbiol, PL-30387 Krakow, Poland; [Wladyka, Benedykt] Jagiellonian Univ, Fac Biochem Biophys &amp; Biotechnol, Dept Analyt Biochem, PL-30387 Krakow, Poland; [Dubin, Grzegorz; Pyrc, Krzysztof] Malopolska Ctr Biotechnol, Krakow, Poland; [Potempa, Jan] Univ Louisville, Sch Dent, Oral Hlth &amp; Syst Dis Res Grp, Louisville, KY 40292 USA</t>
  </si>
  <si>
    <t xml:space="preserve">Jagiellonian University; Jagiellonian University; Jagiellonian University; University of Louisville</t>
  </si>
  <si>
    <t xml:space="preserve">Dubin, G (corresponding author), Jagiellonian Univ, Fac Biochem Biophys &amp; Biotechnol, Ul Gronostajowa 7, PL-30387 Krakow, Poland.</t>
  </si>
  <si>
    <t xml:space="preserve">grzegorz.dubin@uj.edu.pl</t>
  </si>
  <si>
    <t xml:space="preserve">Pyrc, Krzysztof/JAC-4599-2023; Koziel, Joanna/KCJ-6480-2024; Potempa, Jan/AAA-6850-2021; Władyka, Benedykt/T-7039-2019; Dubin, Grzegorz/J-8168-2014</t>
  </si>
  <si>
    <t xml:space="preserve">Dubin, Grzegorz/0000-0002-5535-5760; Wladyka, Benedykt/0000-0002-9075-3529; Pyrc, Krzysztof/0000-0002-3867-7688; Potempa, Jan/0000-0002-3600-7461</t>
  </si>
  <si>
    <t xml:space="preserve">National Science Centre [N N303 813340, UMO-2011/01/D/NZ6/00269, NZ1/01169]; Ministry of Science and Higher Education [N N301 050439, IP2010 033870, 0095/B/P01/2009/37, IP2011 010871]; Foundation for Polish Science [HOM/2008/12]; European Union [POIG.02.01.00-12-064/08, POIG.02.01.00-12-167/08]</t>
  </si>
  <si>
    <t xml:space="preserve">National Science Centre(National Science Centre, Poland); Ministry of Science and Higher Education; Foundation for Polish Science(Foundation for Polish Science); European Union(European Union (EU))</t>
  </si>
  <si>
    <t xml:space="preserve">This work was supported in part from grants N N303 813340 (to BW), UMO-2011/01/D/NZ6/00269 (to KP), and NZ1/01169 (to GD) from the National Science Centre; N N301 050439 (to JK), IP2010 033870 and 0095/B/P01/2009/37 (both to KP), and IP2011 010871 (to GD) from the Ministry of Science and Higher Education; and HOM/2008/12 from the Foundation for Polish Science (to KP). We acknowledge the financial support of European Union structural funds (grants POIG.02.01.00-12-064/08 and POIG.02.01.00-12-167/08).</t>
  </si>
  <si>
    <t xml:space="preserve">1381-6128</t>
  </si>
  <si>
    <t xml:space="preserve">1873-4286</t>
  </si>
  <si>
    <t xml:space="preserve">CURR PHARM DESIGN</t>
  </si>
  <si>
    <t xml:space="preserve">Curr. Pharm. Design</t>
  </si>
  <si>
    <t xml:space="preserve">110NL</t>
  </si>
  <si>
    <t xml:space="preserve">WOS:000316450700011</t>
  </si>
  <si>
    <t xml:space="preserve">Piñana, J; Montoro, J; Aznar, C; Lorenzo, I; Gómez, MD; Guerreiro, M; Carretero, C; González-Barberá, EM; Balaguer-Roselló, A; Sanz, R; Salavert, M; Navarro, D; Sanz, MA; Sanz, G; Sanz, J</t>
  </si>
  <si>
    <t xml:space="preserve">Pinana, JoseLuis; Montoro, Juan; Aznar, Carla; Lorenzo, Ignacio; Dolores Gomez, Maria; Guerreiro, Manuel; Carretero, Carlos; Maria Gonzalez-Barbera, Eva; Balaguer-Rosello, Aitana; Sanz, Rosa; Salavert, Miguel; Navarro, David; Sanz, Miguel A.; Sanz, Guillermo; Sanz, Jaime</t>
  </si>
  <si>
    <t xml:space="preserve">The clinical benefit of instituting a prospective clinical community-acquired respiratory virus surveillance program in allogeneic hematopoietic stem cell transplantation</t>
  </si>
  <si>
    <t xml:space="preserve">Prospective respiratory virus surveillance program; Community-acquired respiratory virus; Allogeneic hematopoietic stem cell transplantation; Respiratory virus infection; Immunodeficiency score index; Influenza; Respiratory syncytial virus; Parainfluenza virus</t>
  </si>
  <si>
    <t xml:space="preserve">BONE-MARROW TRANSPLANTS; SYNCYTIAL VIRUS; PARAINFLUENZA VIRUS; AEROSOLIZED RIBAVIRIN; HUMAN METAPNEUMOVIRUS; STATISTICAL-METHODS; VIRAL-INFECTIONS; TRACT DISEASE; RECIPIENTS; IMPACT</t>
  </si>
  <si>
    <t xml:space="preserve">Background: There is a lack of studies comparing clinical outcomes among retrospective versus prospective cohorts of allogeneic stem cell transplant (allo-HCT) recipients with community acquired respiratory virus (CARV) infections. Methods: We compare outcomes in two consecutive cohorts of allo-HCT recipients with CARV infections. The retrospective cohort included 63 allo-HCT recipients with 108 CARV infections from January 2013 to April 2016 who were screened and managed following standard clinical practice based on influenza and respiratory syncytial virus rapid antigen detection methods. The prospective cohort was comprised of 144 consecutive recipients with 297 CARV episodes included in a prospective interventional clinical surveillance program (ProClinCarvSur-P) based on syndromic multiplex PCR as first-line test from May 2016 to December 2018 at a single transplant center. Results: CARV infections in the retrospective cohort showed more severe clinical features at the time of diagnosis compared to the prospective cohort (fever 83% vs. 57%, hospital admission 69% vs. 28% and lower respiratory tract 58% vs. 31%, respectively, p &lt;= 0.002 for all comparisons). Antiviral therapy was more commonly prescribed in the prospective cohort (69 vs. 43 treated CARV episodes), particularly at the upper respiratory tract disease stage (34 vs. 12 treated CARV episodes). Three-month all-cause mortality was significantly higher in the retrospective cohort (n = 23, 37% vs. n = 10, 7%, p &lt; 0.0001). Multivariate logistic regression analysis showed that recipients included in ProClinCarvSur-P had lower mortality rate [odds ratio 0.31, 95% confidence interval 0.12-0.7, p = 0.01]. Conclusion: This study report on outcome differences when reporting retrospective vs. prospective CARV infections after allo-HCT. Recipients included in a ProClinCarvSur-P had lower mortality. (C) 2020 The British Infection Association. Published by Elsevier Ltd. All rights reserved.</t>
  </si>
  <si>
    <t xml:space="preserve">[Pinana, JoseLuis; Montoro, Juan; Lorenzo, Ignacio; Guerreiro, Manuel; Carretero, Carlos; Balaguer-Rosello, Aitana; Sanz, Miguel A.; Sanz, Guillermo; Sanz, Jaime] Hosp Univ &amp; Politecn La Fe, Hematol Dept, Valencia, Spain; [Pinana, JoseLuis; Sanz, Miguel A.; Sanz, Guillermo; Sanz, Jaime] Inst Carlos III, CIBERONC, Madrid, Spain; [Aznar, Carla; Sanz, Rosa] Hosp Univ &amp; Politecn La Fe, Outpatient Hematol Oncol Nursing Unit, Valencia, Spain; [Dolores Gomez, Maria; Maria Gonzalez-Barbera, Eva] Hosp Univ &amp; Politecn La Fe, Microbiol Dept, Valencia, Spain; [Salavert, Miguel] Hosp Univ &amp; Politecn La Fe, Dept Infect Dis, Valencia, Spain; [Navarro, David] Hosp Clin Univ, INCLIVA Res Inst, Microbiol Dept, Valencia, Spain; [Navarro, David; Sanz, Miguel A.; Sanz, Guillermo; Sanz, Jaime] Univ Valencia, Sch Med, Dept Med, Valencia, Spain</t>
  </si>
  <si>
    <t xml:space="preserve">Hospital Universitari i Politecnic La Fe; CIBER - Centro de Investigacion Biomedica en Red; CIBERONC; Hospital Universitari i Politecnic La Fe; Hospital Universitari i Politecnic La Fe; Hospital Universitari i Politecnic La Fe; University of Valencia</t>
  </si>
  <si>
    <t xml:space="preserve">Piñana, J (corresponding author), Hosp Univ La Fe Valencia, Div Clin Hematol, Avda Fernando Abril Martorell 106, Valencia 46026, Spain.</t>
  </si>
  <si>
    <t xml:space="preserve">Sanz, Miguel/ISU-9543-2023; Piñana, Jose-Luis/J-9996-2015; Sanz, Jaime/K-7141-2019; Sanz, Miguel/F-7485-2018</t>
  </si>
  <si>
    <t xml:space="preserve">Salavert Lleti, Miguel/0000-0002-8571-2124; Sanz, Jaime/0000-0001-6934-4619; Sanz, Miguel/0000-0003-1489-1177; Balaguer Rosello, Aitana/0000-0003-1633-2918; Pinana, Jose Luis/0000-0001-8533-2562; Direito de Morais Guerreiro, Manuel Nuno/0000-0001-5978-2578; SANZ, GUILLERMO/0000-0002-2767-8191; Montoro, Juan/0000-0003-0024-8068</t>
  </si>
  <si>
    <t xml:space="preserve">10.1016/j.jinf.2019.12.022</t>
  </si>
  <si>
    <t xml:space="preserve">KQ0FU</t>
  </si>
  <si>
    <t xml:space="preserve">WOS:000516606700012</t>
  </si>
  <si>
    <t xml:space="preserve">Ogawa, T; Kan-o, K; Shiota, A; Fujita, A; Ishii, Y; Fukuyama, S; Matsumoto, K</t>
  </si>
  <si>
    <t xml:space="preserve">Ogawa, Tomohiro; Kan-o, Keiko; Shiota, Ayaka; Fujita, Akitaka; Ishii, Yumiko; Fukuyama, Satoru; Matsumoto, Koichiro</t>
  </si>
  <si>
    <t xml:space="preserve">Inhibition of PI3Kδ Differentially Regulates Poly I:C- and Human Metapneumovirus-Induced PD-L1 and PD-L2 Expression in Human Bronchial Epithelial Cells</t>
  </si>
  <si>
    <t xml:space="preserve">programmed cell death 1 ligand 1; programmed cell death 1 ligand 2; interferon; phosphoinositide 3-kinase delta; bronchial epithelial cells; human metapneumovirus</t>
  </si>
  <si>
    <t xml:space="preserve">DOUBLE-STRANDED-RNA; INDUCED UP-REGULATION; RIG-I; INTERFERON; B7-H1; RECOGNITION; ACTIVATION; LIGAND; VIRUS</t>
  </si>
  <si>
    <t xml:space="preserve">Bronchial epithelial cells are front sentinels eliciting innate and adaptive immunity to respiratory viral pathogens. Recognition of viral double-stranded RNA induces antiviral interferon (IFN) responses in bronchial epithelial cells. Co-inhibitory molecules programmed cell death 1 ligand 1 (PD-L1) and ligand 2 (PD-L2) were also induced on bronchial epithelial cells, which bind programmed cell death 1 on T cell and inhibit the function of virus-specific cytotoxic T lymphocyte. A previous study showed that antiviral type I IFN increased PD-L1 and PD-L2 expression in cultured melanoma cells. However, it remains unknown whether antiviral IFNs affect PD-L1 and PD-L2 expression in bronchial epithelial cells. In addition, we previously reported that inhibition of PI3K delta signaling enhanced antiviral IFN responses in human primary bronchial epithelial cells (PBECs). Here we assessed the effect of exogenous IFNs or a selective PI3K delta inhibitor IC87114 on PD-L1 and PD-L2 in PBECs stimulated with a synthetic double-stranded RNA poly I:C or human metapneumovirus. Treatment with IFN beta or IFN lambda increased PD-L1 and PD-L2, and IFN beta or IFN lambda treatment plus poly I:C further increased both expressions. Treatment with IC87114 or transfection with siRNA targeting PI3K p110 delta enhanced poly I:C-induced gene and protein expression of PD-L2, whereas IC87114 suppressed poly I:C-induced PD-L1. IC87114 enhanced poly I:C-induced gene expression of IFN beta, IFN lambda, and IFN-regulated genes via increased TBK1 and IRF3 phosphorylation. Transfection with siIRF3 counteracted the enhancement of poly I:C-induced PD-L2 by IC87114, whereas IC87114 suppressed poly I:C-induced PD-L1 regardless of transfection with siNC or siIRF3. Similar effects of IC87114 on PD-L1 and PD-L2 expression were observed in human metapneumovirus-infected PBECs. We showed for the first time that type I and type III IFNs induced the expression of PD-L1 and PD-L2 in PBECs. Our findings suggest that during viral infections, inhibition of PI3K delta differentially regulates PD-L1 and PD-L2 expression in bronchial epithelial cells.</t>
  </si>
  <si>
    <t xml:space="preserve">[Ogawa, Tomohiro; Kan-o, Keiko; Shiota, Ayaka; Fujita, Akitaka; Ishii, Yumiko; Fukuyama, Satoru; Matsumoto, Koichiro] Kyushu Univ, Grad Sch Med Sci, Res Inst Dis Chest, Fukuoka, Japan; [Kan-o, Keiko] Kyushu Univ Hosp, Dept Endoscop Diagnost &amp; Therapeut, Fukuoka, Japan</t>
  </si>
  <si>
    <t xml:space="preserve">Kyushu University; Kyushu University</t>
  </si>
  <si>
    <t xml:space="preserve">Kan-o, K (corresponding author), Kyushu Univ, Grad Sch Med Sci, Res Inst Dis Chest, Fukuoka, Japan.;Kan-o, K (corresponding author), Kyushu Univ Hosp, Dept Endoscop Diagnost &amp; Therapeut, Fukuoka, Japan.</t>
  </si>
  <si>
    <t xml:space="preserve">kan-o.keiko.641@m.kyushu-u.ac.jp</t>
  </si>
  <si>
    <t xml:space="preserve">Ogawa, Tomohiro/AAG-7257-2020; Kan-o, Keiko/ABF-7827-2021</t>
  </si>
  <si>
    <t xml:space="preserve">Ishii, Yumiko/0000-0002-7438-3695</t>
  </si>
  <si>
    <t xml:space="preserve">Grants-in-Aid for Scientific Research [21K15471] Funding Source: KAKEN</t>
  </si>
  <si>
    <t xml:space="preserve">Grants-in-Aid for Scientific Research(Ministry of Education, Culture, Sports, Science and Technology, Japan (MEXT)Japan Society for the Promotion of ScienceGrants-in-Aid for Scientific Research (KAKENHI))</t>
  </si>
  <si>
    <t xml:space="preserve">10.3389/fimmu.2021.767666</t>
  </si>
  <si>
    <t xml:space="preserve">XM4GV</t>
  </si>
  <si>
    <t xml:space="preserve">WOS:000728788700001</t>
  </si>
  <si>
    <t xml:space="preserve">Moradi, T; Bennett, N; Shemanski, S; Kennedy, K; Schlachter, A; Boyd, S</t>
  </si>
  <si>
    <t xml:space="preserve">Moradi, Tony; Bennett, Nicholas; Shemanski, Shelby; Kennedy, Kevin; Schlachter, Andrew; Boyd, Sarah</t>
  </si>
  <si>
    <t xml:space="preserve">Use of Procalcitonin and a Respiratory Polymerase Chain Reaction Panel to Reduce Antibiotic Use via an Electronic Medical Record Alert</t>
  </si>
  <si>
    <t xml:space="preserve">procalcitonin; PCR; rapid diagnostics; EMR</t>
  </si>
  <si>
    <t xml:space="preserve">ANTIMICROBIAL STEWARDSHIP; HUMAN METAPNEUMOVIRUS; SERUM PROCALCITONIN; INFECTION; VIRUS; RATES</t>
  </si>
  <si>
    <t xml:space="preserve">Background. Respiratory tract infections are often viral and but are frequently treated with antibiotics, providing a significant opportunity for antibiotic de-escalation in patients. We sought to determine whether an automated electronic medical record best practice alert (BPA) based on procalcitonin and respiratory polymerase chain reaction (PCR) results could help reduce inappropriate antibiotic use in patients with likely viral respiratory illness. Methods. This multisite, pre-post, quasi-experimental study included patients 18 years and older with a procalcitonin level &lt;0.25 ng/mL and a virus identified on respiratory PCR within 48 hours of each other, and 1 or more systemic antibiotics ordered. In the study group, a BPA alerted providers of the diagnostic results suggesting viral infection and prompted them to reassess the need for antibiotics. The primary outcome measured was total antibiotic-days of therapy. Results. The BPA reduced inpatient antibiotic-days of therapy by a mean of 2.2 days compared with patients who met criteria but did not have the alert fire (8.0 vs 5.8 days, respectively, P &lt; .001). The BPA also reduced the percentage of patients prescribed antibiotics on discharge (20% vs 47.8%, P &lt; .001), whereas there was no difference in need for antibiotic escalation after initial discontinuation (7.6% vs 4.3%, P = .198). Conclusions. The automated antimicrobial stewardship BPA effectively reduced antibiotic use and discharge prescribing rates when diagnostics suggested viral respiratory tract infection, without a higher rate for reinitiation of antibiotics after discontinuation.</t>
  </si>
  <si>
    <t xml:space="preserve">[Moradi, Tony] Univ Kansas Hlth Syst, Dept Pharm, Kansas City, MO 66160 USA; [Bennett, Nicholas] St Lukes Hlth Syst, Antimicrobial Stewardship Program, Kansas City, MO USA; [Shemanski, Shelby] St Lukes Hosp, Dept Pharm, Kansas City, MO USA; [Kennedy, Kevin] St Lukes Hosp, Dept Biostat, Kansas City, MO USA; [Schlachter, Andrew] St Lukes Hosp, Dept Pulm &amp; Crit Care Med, Kansas City, MO USA; [Boyd, Sarah] St Lukes Hlth Syst, Dept Infect Dis, Kansas City, MO USA</t>
  </si>
  <si>
    <t xml:space="preserve">Saint Luke's Hospital - Missouri; Saint Luke's Hospital - Missouri; Saint Luke's Hospital - Missouri</t>
  </si>
  <si>
    <t xml:space="preserve">Moradi, T (corresponding author), Univ Kansas Hlth Syst, 4000 Cambridge St, Kansas City, MO 66160 USA.</t>
  </si>
  <si>
    <t xml:space="preserve">tmoradi@kumc.edu</t>
  </si>
  <si>
    <t xml:space="preserve">10.1093/cid/ciz1042</t>
  </si>
  <si>
    <t xml:space="preserve">OW6NW</t>
  </si>
  <si>
    <t xml:space="preserve">WOS:000593002000038</t>
  </si>
  <si>
    <t xml:space="preserve">Lin, JS; Chiu, YH; Lin, NT; Chu, CH; Huang, KC; Liao, KW; Peng, KC</t>
  </si>
  <si>
    <t xml:space="preserve">Lin, Jun-Song; Chiu, Yi-Han; Lin, Nien-Tsung; Chu, Chia-Hsiang; Huang, Kuo-Chin; Liao, Kuang-Wen; Peng, Kou-Cheng</t>
  </si>
  <si>
    <t xml:space="preserve">Different effects of probiotic species/strains on infections in preschool children: A double-blind, randomized, controlled study</t>
  </si>
  <si>
    <t xml:space="preserve">Probiotics; Preschooler; Infections</t>
  </si>
  <si>
    <t xml:space="preserve">RESPIRATORY SYNCYTIAL VIRUS; COMMON COLD EPISODES; DAY-CARE; LACTOBACILLUS STRAINS; CLOSTRIDIUM-DIFFICILE; HUMAN METAPNEUMOVIRUS; DIARRHEA; BACTERIA; CELL; SUPPLEMENTATION</t>
  </si>
  <si>
    <t xml:space="preserve">Treatment and prevention of pediatric infectious diseases of three commercial probiotic products were evaluated by a double-blind, randomized, controlled trial. Test subjects under age 5,1062 in total, were distributed randomly into four groups. This investigation showed that L. casei rhamnosus can control bacterial, viral and respiratory infections; a multi-species probiotic reduced gastrointestinal disease significantly. Long-term consumption of L. rhamnosus T cell-1 decreased the incidence of bacterial infection. (C) 2008 Elsevier Ltd. All rights reserved.</t>
  </si>
  <si>
    <t xml:space="preserve">[Lin, Jun-Song; Chu, Chia-Hsiang] Buddhist Tzu Chi Gen Hosp, Dept Pediat, Hualien 97002, Taiwan; [Chiu, Yi-Han; Huang, Kuo-Chin; Liao, Kuang-Wen] Natl Chiao Tung Univ, Dept Biol Sci &amp; Technol, Hsinchu 30068, Taiwan; [Lin, Nien-Tsung] Tzu Chi Univ, Dept Microbiol, Hualien 97004, Taiwan; [Chiu, Yi-Han; Peng, Kou-Cheng] Natl Dong Hwa Univ, Inst Biotechnol, Hualien 97401, Taiwan</t>
  </si>
  <si>
    <t xml:space="preserve">Buddhist Tzu Chi General Hospital; Hualien Tzu Chi Hospital; National Yang Ming Chiao Tung University; Tzu Chi University; National Dong Hwa University</t>
  </si>
  <si>
    <t xml:space="preserve">Peng, KC (corresponding author), Buddhist Tzu Chi Gen Hosp, Dept Pediat, Hualien 97002, Taiwan.</t>
  </si>
  <si>
    <t xml:space="preserve">liaonms@pchome.com.tw; kcpeng@mail.ndhu.edu.tw</t>
  </si>
  <si>
    <t xml:space="preserve">HUANG, Kuo-Chin/S-7371-2019; Chiu, Yi-Han/AAL-8783-2021; Chung, Chi-Hsiang/AAY-3386-2021</t>
  </si>
  <si>
    <t xml:space="preserve">Chiu, Yi-Han/0000-0001-6209-7897</t>
  </si>
  <si>
    <t xml:space="preserve">Success Medical Corporation, Ltd., Taipei, Taiwan; Chang Gung Biotechnology Corporation, Taipei, Taiwan; Multipower Enterprise Corporation, Taipei, Taiwan</t>
  </si>
  <si>
    <t xml:space="preserve">We thank the preschool staff, the children, and their parents for making this study possible.JSL contributed to the design of the study and the questionnaires, and participated in creating the database and execution of data analysis. YHC performed the experimental assays and analysis, data analysis, prepared and wrote the manuscript and contributed to the discussion. NTL, CHC and KCH participated in the planning of the study and revised the manuscript. KCP and KWL conceived the study and contributed to its design, coordination, and supervision, and to the manuscript discussion and conclusions.Competing interests: The authors declare that they have no competing interests. Funding: This work was supported and funded by Success Medical Corporation, Ltd., Taipei, Taiwan; Chang Gung Biotechnology Corporation, Taipei, Taiwan; and Multipower Enterprise Corporation, Taipei, Taiwan.</t>
  </si>
  <si>
    <t xml:space="preserve">FEB 11</t>
  </si>
  <si>
    <t xml:space="preserve">10.1016/j.vaccine.2008.11.114</t>
  </si>
  <si>
    <t xml:space="preserve">412GG</t>
  </si>
  <si>
    <t xml:space="preserve">WOS:000263712100017</t>
  </si>
  <si>
    <t xml:space="preserve">Bergeron, HC; Crabtree, J; Nagy, T; Martin, DE; Tripp, RA</t>
  </si>
  <si>
    <t xml:space="preserve">Bergeron, Harrison C.; Crabtree, Jackelyn; Nagy, Tamas; Martin, David E.; Tripp, Ralph A.</t>
  </si>
  <si>
    <t xml:space="preserve">Probenecid Inhibits Human Metapneumovirus (HMPV) Replication In Vitro and in BALB/c Mice</t>
  </si>
  <si>
    <t xml:space="preserve">probenecid; HMPV; antiviral; host directed; repurposed</t>
  </si>
  <si>
    <t xml:space="preserve">FUSION PROTEIN; ANIMAL-MODELS; INFECTION; CHILDREN</t>
  </si>
  <si>
    <t xml:space="preserve">Human metapneumovirus (HMPV) is an important cause of acute respiratory tract infection and causes significant morbidity and mortality. There is no specific antiviral drug to treat HMPV or vaccine to prevent HMPV. This study determined if probenecid, a host-targeting antiviral drug, had prophylactic (pre-virus) or therapeutic (post-virus) efficacy to inhibit HMPV replication in LLC-MK2 cells in vitro and in the lungs of BALB/c mice. This study showed that &gt;= 0.5 mu M probenecid significantly inhibited HMPV replication in vitro, and 2-200 mg/kg probenecid prophylaxis or treatment reduced HMPV replication in BALB/c mice.</t>
  </si>
  <si>
    <t xml:space="preserve">[Bergeron, Harrison C.; Crabtree, Jackelyn; Tripp, Ralph A.] Univ Georgia, Dept Infect Dis, Athens, GA 30605 USA; [Nagy, Tamas] Univ Georgia, Dept Pathol, Athens, GA 30605 USA; [Martin, David E.; Tripp, Ralph A.] TrippBio Inc, Jacksonville, FL 32256 USA</t>
  </si>
  <si>
    <t xml:space="preserve">University System of Georgia; University of Georgia; University System of Georgia; University of Georgia</t>
  </si>
  <si>
    <t xml:space="preserve">Tripp, RA (corresponding author), Univ Georgia, Dept Infect Dis, Athens, GA 30605 USA.;Tripp, RA (corresponding author), TrippBio Inc, Jacksonville, FL 32256 USA.</t>
  </si>
  <si>
    <t xml:space="preserve">h.c.bergeron@uga.edu; davidmartin@trippbio.com; ratripp@uga.edu</t>
  </si>
  <si>
    <t xml:space="preserve">Martin, David/AGM-5841-2022; Tripp, Ralph/F-5218-2011</t>
  </si>
  <si>
    <t xml:space="preserve">Tripp, Ralph/0000-0002-2924-9956; Martin, David/0000-0003-2820-5983</t>
  </si>
  <si>
    <t xml:space="preserve">Tripp Laboratory through the Georgia Research Alliance</t>
  </si>
  <si>
    <t xml:space="preserve">This research was funded by the Tripp Laboratory through the Georgia Research Alliance.</t>
  </si>
  <si>
    <t xml:space="preserve">10.3390/v16071087</t>
  </si>
  <si>
    <t xml:space="preserve">ZT8X9</t>
  </si>
  <si>
    <t xml:space="preserve">WOS:001277643900001</t>
  </si>
  <si>
    <t xml:space="preserve">Inma, P; Suntronwong, N; Sinsulpsiri, S; Srimaneewiroon, S; Poovorawan, Y</t>
  </si>
  <si>
    <t xml:space="preserve">Inma, Phattharaporn; Suntronwong, Nungruthai; Sinsulpsiri, Silpsiri; Srimaneewiroon, Suriya; Poovorawan, Yong</t>
  </si>
  <si>
    <t xml:space="preserve">Viral Etiology Associated With Acute Respiratory Tract Infection Patients in Bangkok, Thailand</t>
  </si>
  <si>
    <t xml:space="preserve">prevalence; respiratory tract infection; thailand; etiology; virus; epidemiology</t>
  </si>
  <si>
    <t xml:space="preserve">EPIDEMIOLOGY; INFLUENZA; VIRUSES</t>
  </si>
  <si>
    <t xml:space="preserve">Background Acute respiratory infections (ARIs) are a significant public health concern globally. After the relaxation of COVID-19 containment measures, there has been an increase in respiratory tract infections. However, the epidemiological data on circulating respiratory pathogens after the COVID-19 pandemic in Bangkok, Thailand are interesting. We conducted a study on the respiratory pathogens detected in patients with ARIs in 2023. Methodology This retrospective study utilizes archived nasopharyngeal swab samples from patients with ARIs of all ages at Bangpakok 9 Hospital between January and December 2023. These samples were collected when physicians ordered multiplex polymerase chain reaction testing as part of the diagnostic investigation. All samples were tested for 23 types of respiratory viruses and bacteria using multiplex reverse transcription-polymerase chain reaction (QIAstat-Dx, Qiagen) testing. Results Of 321 patients, viral pathogens were found in 78.5% of cases, with 21.5% remaining unidentified. Most patients (47%) were aged between two months to five years. The most common pathogen identified was rhino/enterovirus (28.0%), followed by human parainfluenza virus (15.1%), influenza virus (12.0%), respiratory syncytial virus (9.9%), human metapneumovirus (9.5%), adenovirus (9.2%), bocavirus (8.0%), and coronavirus (5.5%). Interestingly, the prevalence of SARS-CoV-2 infection was relatively low at 2.8%. Moreover, viral co-infection was observed in 25% of cases. Monthly distribution revealed the fluctuating prevalence of detected respiratory pathogens co-circulation throughout the year. In addition, the proportion of identified pathogens varied among patients across all age groups. Conclusions Our study reported the high prevalence of respiratory pathogens in ARI patients of all ages after the COVID19 pandemic. The most prevalent respiratory pathogens among ARI cases were viruses, particularly rhino/enterovirus. The data hold significance for physician awareness regarding diagnosis, treatment, and the implementation of infection control strategies in cases of ARIs.</t>
  </si>
  <si>
    <t xml:space="preserve">[Inma, Phattharaporn; Suntronwong, Nungruthai; Poovorawan, Yong] Chulalongkorn Univ, Fac Med, Ctr Excellence Clin Virol, Bangkok, Thailand; [Sinsulpsiri, Silpsiri] Chulalongkorn Univ, Fac Med, Ctr Excellence Clin Virol, Bangkok, Thailand; [Srimaneewiroon, Suriya] Bangpakok 9 Int Hosp, Bangpakok 9 Int Lab, Bangkok, Thailand</t>
  </si>
  <si>
    <t xml:space="preserve">Chulalongkorn University; Chulalongkorn University</t>
  </si>
  <si>
    <t xml:space="preserve">Poovorawan, Y (corresponding author), Chulalongkorn Univ, Fac Med, Ctr Excellence Clin Virol, Bangkok, Thailand.</t>
  </si>
  <si>
    <t xml:space="preserve">yong.p@chula.ac.th</t>
  </si>
  <si>
    <t xml:space="preserve">ภู่วรวรรณ, ศนพ.ยง/GZK-8615-2022</t>
  </si>
  <si>
    <t xml:space="preserve">Center of Excellence in Clinical Virology, Chulalongkorn University, King Chulalongkorn Memorial Hospital</t>
  </si>
  <si>
    <t xml:space="preserve">This work was supported by the Center of Excellence in Clinical Virology, Chulalongkorn University, King Chulalongkorn Memorial Hospital.</t>
  </si>
  <si>
    <t xml:space="preserve">AUG 14</t>
  </si>
  <si>
    <t xml:space="preserve">e66897</t>
  </si>
  <si>
    <t xml:space="preserve">10.7759/cureus.66897</t>
  </si>
  <si>
    <t xml:space="preserve">D3X7M</t>
  </si>
  <si>
    <t xml:space="preserve">WOS:001295554800009</t>
  </si>
  <si>
    <t xml:space="preserve">García-Garcia, ML; González-Carrasco, E; Quevedo, S; Muñoz, C; Sánchez-Escudero, V; Pozo, F; Casas, I; Calvo, C</t>
  </si>
  <si>
    <t xml:space="preserve">Luz Garcia-Garcia, Maria; Gonzalez-Carrasco, Ersilia; Quevedo, Sergio; Munoz, Cristina; Sanchez-Escudero, Veronica; Pozo, Francisco; Casas, Inmaculada; Calvo, Cristina</t>
  </si>
  <si>
    <t xml:space="preserve">Clinical and Virological Characteristics of Early and Moderate Preterm Infants Readmitted With Viral Respiratory Infections</t>
  </si>
  <si>
    <t xml:space="preserve">preterm; respiratory viral infection; human bocavirus; human metapneumovirus; rhinovirus; respiratory syncytial virus; parainfluenza virus</t>
  </si>
  <si>
    <t xml:space="preserve">SYNCYTIAL VIRUS-INFECTION; INVESTIGATORS COLLABORATIVE NETWORK; HUMAN METAPNEUMOVIRUS; HIGH-RISK; HOSPITALIZED INFANTS; CHILDREN; BRONCHIOLITIS; ASTHMA; PREDICTORS; DISEASE</t>
  </si>
  <si>
    <t xml:space="preserve">Background: Rehospitalization of children born prematurely (referred to as preterm children) caused by severe respiratory infections is common. Most studies have focused on respiratory syncytial virus infection. We designed a study to determine the virological and clinical characteristics of severe respiratory infections of children born early (&lt;32 weeks) and moderate preterm (32 to 36 weeks), and compared them with full term (FT; &gt;= 37 weeks) children who were subsequently admitted with respiratory illness. Methods: A 7-year observational prospective study was conducted on preterm and FT children, less than 14 years old hospitalized with respiratory infection. The presence of 16 respiratory viruses in nasopharyngeal aspirates was sought. Clinical and virological characteristics of subjects were compared among term and preterm children. Results: We studied 411 respiratory hospital admissions of 262 preterm children who were compared with 2057 respiratory hospital admissions of term children. In 78.6% of preterm episodes, at least 1 respiratory virus was identified. The most frequent viruses were respiratory syncytial virus (29%), rhinovirus (25%) and human bocavirus (13%). Human metapneumovirus and parainfluenza virus were significantly more frequent in preterm than in term children (P &lt; 0.001 and P = 0.017, respectively). Early preterm (EPT) infants admitted with bronchiolitis presented more hypoxia (P = 0.08), longer hospital stay (P = 0.05), more infiltrate on chest radiograph (P = 0.02) and more antibiotic treatment (P = 0.02) than moderate preterm (MPT) infants. Moreover, MPT needed more intensive care unit admission than FT infants (P &lt; 0.001). Regarding wheezing episodes, EPT patients showed significantly more infiltrate/atelectasis (P &lt; 0.001), longer oxygen therapy (P = 0.039) and longer hospital stay (P = 0.07) than MPT children, although similar percentage of intensive care unit admission was seen in both groups. MPT-wheezy children needed longer hospital stay than FT (P = 0.05). Previous bronchiolitis and EPT were independent factors associated with multiple wheezing admissions. Conclusion: Our results demonstrate that besides respiratory syncytial virus, other viruses mainly rhinovirus and human bocavirus are important pathogens in severe respiratory infections in preterm children. Human metapneumovirus and parainfluenza virus seem also to play a significant role in this group of children. There is increased medical resource utilization, not only among EPT but also in MPT hospitalized children with respiratory infections as many of them require more medical support than FT children.</t>
  </si>
  <si>
    <t xml:space="preserve">[Luz Garcia-Garcia, Maria; Gonzalez-Carrasco, Ersilia; Quevedo, Sergio; Munoz, Cristina; Sanchez-Escudero, Veronica; Calvo, Cristina] Severo Ochoa Hosp, Dept Pediat, Leganes, Spain; [Pozo, Francisco; Casas, Inmaculada] ISCIII, Ctr Nacl Microbiol, Resp Viruses &amp; Influenza Lab, Madrid, Spain</t>
  </si>
  <si>
    <t xml:space="preserve">García-Garcia, ML (corresponding author), Severo Ochoa Hosp, Dept Pediat, Avenida Orellana S-N, Madrid 28911, Spain.</t>
  </si>
  <si>
    <t xml:space="preserve">marialuz.hso@gmail.com</t>
  </si>
  <si>
    <t xml:space="preserve">Casas, Inmaculada/H-9442-2015; Pozo, Francisco/F-4426-2012; Calvo, Cristina/T-5028-2018</t>
  </si>
  <si>
    <t xml:space="preserve">Pozo, Francisco/0000-0003-1828-733X; GONZALEZ CARRASCO, ERSILIA/0000-0003-3661-973X; Casas, Inmaculada/0000-0003-1840-1198; GARCIA-GARCIA, MARIA LUZ/0000-0003-4906-4227; Calvo, Cristina/0000-0002-6503-3423</t>
  </si>
  <si>
    <t xml:space="preserve">FIS (Fondo de Investigaciones Sanitarias - Spanish Health Research Fund) [PI06/0532, PS09/0024, PI12/0129]</t>
  </si>
  <si>
    <t xml:space="preserve">FIS (Fondo de Investigaciones Sanitarias - Spanish Health Research Fund)</t>
  </si>
  <si>
    <t xml:space="preserve">Partially supported by FIS (Fondo de Investigaciones Sanitarias - Spanish Health Research Fund) Grants No: PI06/0532, PS09/0024, and PI12/0129.</t>
  </si>
  <si>
    <t xml:space="preserve">10.1097/INF.0000000000000718</t>
  </si>
  <si>
    <t xml:space="preserve">DD0CC</t>
  </si>
  <si>
    <t xml:space="preserve">WOS:000369586900006</t>
  </si>
  <si>
    <t xml:space="preserve">Perez, GF; Jain, A; Kurdi, B; Megalaa, R; Pancham, K; Huseni, S; Isaza, N; Rodriguez-Martinez, CE; Rose, MC; Pillai, D; Nino, G</t>
  </si>
  <si>
    <t xml:space="preserve">Perez, Geovanny F.; Jain, Amisha; Kurdi, Bassem; Megalaa, Rosemary; Pancham, Krishna; Huseni, Shehlanoor; Isaza, Natalia; Rodriguez-Martinez, Carlos E.; Rose, Mary C.; Pillai, Dinesh; Nino, Gustavo</t>
  </si>
  <si>
    <t xml:space="preserve">Age-Related Effect of Viral-Induced Wheezing in Severe Prematurity</t>
  </si>
  <si>
    <t xml:space="preserve">prematurity; rhinovirus; respiratory syncytial virus</t>
  </si>
  <si>
    <t xml:space="preserve">RESPIRATORY SYNCYTIAL VIRUS; HUMAN METAPNEUMOVIRUS; RHINOVIRUS INFECTION; PRETERM INFANTS; YOUNG-CHILDREN; LUNG-FUNCTION; BORN INFANTS; BIRTH; ASTHMA; CHILDHOOD</t>
  </si>
  <si>
    <t xml:space="preserve">Premature children are prone to severe viral respiratory infections in early life, but the age at which susceptibility peaks and disappears for each pathogen is unclear. Methods: A retrospective analysis was performed of the age distribution and clinical features of acute viral respiratory infections in full-term and premature children, aged zero to seven years. Results: The study comprised of a total of 630 hospitalizations (n = 580 children). Sixty-seven percent of these hospitalizations occurred in children born full-term (&gt; 37 weeks), 12% in preterm (32-37 weeks) and 21% in severely premature children (&lt; 32 weeks). The most common viruses identified were rhinovirus (RV; 60%) and respiratory syncytial virus (RSV; 17%). Age-distribution analysis of each virus identified that severely premature children had a higher relative frequency of RV and RSV in their first three years, relative to preterm or full-term children. Additionally, the probability of RV- or RSV-induced wheezing was higher overall in severely premature children less than three years old. Conclusions: Our results indicate that the vulnerability to viral infections in children born severely premature is more specific for RV and RSV and persists during the first three years of age. Further studies are needed to elucidate the age-dependent molecular mechanisms that underlie why premature infants develop RV-and RSV-induced wheezing in early life.</t>
  </si>
  <si>
    <t xml:space="preserve">[Perez, Geovanny F.; Jain, Amisha; Megalaa, Rosemary; Huseni, Shehlanoor; Rose, Mary C.; Pillai, Dinesh; Nino, Gustavo] Childrens Natl Med Ctr, Div Pulm &amp; Sleep Med, Washington, DC 20010 USA; [Perez, Geovanny F.; Kurdi, Bassem; Rose, Mary C.; Pillai, Dinesh; Nino, Gustavo] George Washington Univ, Sch Med &amp; Hlth Sci, Dept Pediat, Washington, DC 20010 USA; [Perez, Geovanny F.; Rose, Mary C.; Pillai, Dinesh; Nino, Gustavo] George Washington Univ, Dept Integrat Syst Biol, Washington, DC 20010 USA; [Perez, Geovanny F.; Rose, Mary C.; Pillai, Dinesh; Nino, Gustavo] George Washington Univ, Med Genet Res Ctr, Washington, DC 20010 USA; [Perez, Geovanny F.; Rose, Mary C.; Pillai, Dinesh; Nino, Gustavo] Childrens Natl Med Ctr, Med Genet Res Ctr, Washington, DC 20010 USA; [Pancham, Krishna] Univ Kentucky, Div Pediat Pulmonol, Lexington, KY 40536 USA; [Isaza, Natalia] Div Neonatol, Childrens Natl Med Ctr, Washington, DC 20010 USA; [Rodriguez-Martinez, Carlos E.] Univ Nacl Colombia, Sch Med, Dept Pediat, Bogota 111321, Colombia; [Rodriguez-Martinez, Carlos E.] Univ El Bosque, Sch Med, Dept Pediat Pulmonol &amp; Pediat Crit Care Med, Bogota 111321, Colombia; [Rodriguez-Martinez, Carlos E.] Mil Hosp Colombia, Res Unit, Bogota 111321, Colombia</t>
  </si>
  <si>
    <t xml:space="preserve">Children's National Health System; George Washington University; George Washington University; George Washington University; Children's National Health System; University of Kentucky; Children's National Health System; Universidad Nacional de Colombia; Universidad El Bosque</t>
  </si>
  <si>
    <t xml:space="preserve">Perez, GF (corresponding author), Childrens Natl Med Ctr, Div Pulm &amp; Sleep Med, Washington, DC 20010 USA.;Perez, GF (corresponding author), George Washington Univ, Sch Med &amp; Hlth Sci, Dept Pediat, Washington, DC 20010 USA.;Perez, GF (corresponding author), George Washington Univ, Dept Integrat Syst Biol, Washington, DC 20010 USA.;Perez, GF (corresponding author), George Washington Univ, Med Genet Res Ctr, Washington, DC 20010 USA.;Perez, GF (corresponding author), Childrens Natl Med Ctr, Med Genet Res Ctr, Washington, DC 20010 USA.</t>
  </si>
  <si>
    <t xml:space="preserve">gperez@childrensnational.org; ajain@childrensnational.org; Rmegalaa@childrensnational.org; Pancham@zoho.com; shuseni@chlildrensnational.org; nisaza@childrensnational.org; carlos2671@gmail.com; mrose@childrensnational.org; dpillai@childrensnational.org; gnino@childrensnational.org</t>
  </si>
  <si>
    <t xml:space="preserve">Kurdi, Bassem/AAP-9563-2020</t>
  </si>
  <si>
    <t xml:space="preserve">Kurdi, Bassem/0000-0002-7169-2337; Perez, Geovanny/0000-0003-2843-6837</t>
  </si>
  <si>
    <t xml:space="preserve">10.3390/children3040019</t>
  </si>
  <si>
    <t xml:space="preserve">EC4RI</t>
  </si>
  <si>
    <t xml:space="preserve">WOS:000388120700003</t>
  </si>
  <si>
    <t xml:space="preserve">Ofman, G; Pradarelli, B; Caballero, MT; Bianchi, A; Grimaldi, LA; Sancilio, A; Duenas, K; Rodriguez, A; Ferrero, F; Ferretti, A; Coviello, S; Ferolla, FM; Acosta, PL; Bergel, E; Libster, R; Polack, FP</t>
  </si>
  <si>
    <t xml:space="preserve">Ofman, Gaston; Pradarelli, Brad; Caballero, Mauricio T.; Bianchi, Alejandra; Grimaldi, Luciano Alva; Sancilio, Andrea; Duenas, Karina; Rodriguez, Andrea; Ferrero, Fernando; Ferretti, Adrian; Coviello, Silvina; Ferolla, Fausto M.; Acosta, Patricio L.; Bergel, Eduardo; Libster, Romina; Polack, Fernando P.</t>
  </si>
  <si>
    <t xml:space="preserve">Respiratory Failure and Death in Vulnerable Premature Children With Lower Respiratory Tract Illness</t>
  </si>
  <si>
    <t xml:space="preserve">prematurity; respiratory failure; respiratory infection</t>
  </si>
  <si>
    <t xml:space="preserve">SYNCYTIAL VIRUS-INFECTION; BIRTH-WEIGHT; INFANTS BORN; PRETERM INFANTS; RISK-FACTORS; REQUIRING HOSPITALIZATION; SYSTEMATIC ANALYSIS; GESTATIONAL-AGE; COMPLETED WEEKS; YOUNG-CHILDREN</t>
  </si>
  <si>
    <t xml:space="preserve">Background. Efforts to better understand the risk factors associated with respiratory failure (RF) and fatal lower respiratory tract infection (LRTI) in premature children in developing countries are necessary to elaborate evidenced-based preventive interventions. We aim to characterize the burden of respiratory syncytial virus (RSV) and human metapneumovirus (hMPV) LRTI in premature children and determine risk factors for RF and fatal illness in a vulnerable population. Methods. This is a prospective, population-based, cross-sectional study. Subjects with severe LRTI were enrolled during respiratory season. Risk factors for RF and death in premature infants were investigated. Results. A total of 664 premature children participated. Infant's hospitalization rate due to LRTI was 82.6/1000 (95% confidence interval [CI], 68.6-96.7/1000). Infant's RSV and hMPV rates were 40.9/1000 (95% CI, 36.3-45.6/1000) and 6.6/1000 (95% CI, 3.9-9.2/1000), respectively. The RF rate was 8.2/1000 (95% CI, 4.9-11.5/1000). The LRTI mortality was 2.2/1000 (95% CI, 0.7-3.7/1000); for RSV, the rate was 0.8/1000 (95% CI, 0-1.7/1000) with a case-fatality ratio of 1.8%. Never breastfeeding, malnutrition, younger than 6 months, congenital heart disease, and lower hematocrit were risk factors for RF. Experiencing pneumonia, pneumothorax, sepsis, or apnea were clinical determinants of poor outcomes. Conclusions. Premature children under 2 years old in vulnerable environments experience RF and death more often than term counterparts. Modifiable risk factors associated with poor outcomes should prompt evidence-based interventions.</t>
  </si>
  <si>
    <t xml:space="preserve">[Ofman, Gaston; Pradarelli, Brad; Caballero, Mauricio T.; Bianchi, Alejandra; Ferretti, Adrian; Coviello, Silvina; Ferolla, Fausto M.; Acosta, Patricio L.; Bergel, Eduardo; Libster, Romina; Polack, Fernando P.] Fdn INFANT, Buenos Aires, DF, Argentina; [Caballero, Mauricio T.; Libster, Romina] Consejo Nacl Invest Cient &amp; Tecn CONICET, Buenos Aires, DF, Argentina; [Grimaldi, Luciano Alva] Hosp Zonal Gen Agudos Lucio Melendez, Buenos Aires, DF, Argentina; [Sancilio, Andrea; Duenas, Karina] Hosp Interzonal Gen Agudos Evita Lanus, Buenos Aires, DF, Argentina; [Rodriguez, Andrea] Hosp Zonal Gen Agudos Descentralizado Evita Puebl, Buenos Aires, DF, Argentina; [Ferrero, Fernando] Hosp Gen Ninos Pedro Elizalde, Buenos Aires, DF, Argentina</t>
  </si>
  <si>
    <t xml:space="preserve">Consejo Nacional de Investigaciones Cientificas y Tecnicas (CONICET)</t>
  </si>
  <si>
    <t xml:space="preserve">Ofman, G (corresponding author), Fdn INFANT, Perinatal Hlth Div, Gavilan 94, Buenos Aires, DF, Argentina.</t>
  </si>
  <si>
    <t xml:space="preserve">gofman@infant.org.ar</t>
  </si>
  <si>
    <t xml:space="preserve">Caballero, Mauricio/AEY-7039-2022; Ferrero, Fernando/AAE-1886-2020</t>
  </si>
  <si>
    <t xml:space="preserve">Acosta, Patricio/0000-0002-4164-7674; Ferrero, Fernando/0000-0001-6335-0102</t>
  </si>
  <si>
    <t xml:space="preserve">Bill &amp; Melinda Gates Foundation [OPP1018614]; Bill and Melinda Gates Foundation [OPP1018614] Funding Source: Bill and Melinda Gates Foundation</t>
  </si>
  <si>
    <t xml:space="preserve">Bill &amp; Melinda Gates Foundation(Bill &amp; Melinda Gates FoundationBill &amp; Melinda Gates Foundation Grand Challenges Explorations InitiativeCGIAR); Bill and Melinda Gates Foundation(Bill &amp; Melinda Gates Foundation)</t>
  </si>
  <si>
    <t xml:space="preserve">This work was funded by a grant from the Bill &amp; Melinda Gates Foundation (OPP1018614).</t>
  </si>
  <si>
    <t xml:space="preserve">10.1093/infdis/jiaa046</t>
  </si>
  <si>
    <t xml:space="preserve">NZ5WI</t>
  </si>
  <si>
    <t xml:space="preserve">WOS:000577175500012</t>
  </si>
  <si>
    <t xml:space="preserve">Miller, EK; Bugna, J; Libster, R; Shepherd, BE; Scalzo, PM; Acosta, PL; Hijano, D; Reynoso, N; Batalle, JP; Coviello, S; Klein, MI; Bauer, G; Benitez, A; Kleeberger, SR; Polack, FP</t>
  </si>
  <si>
    <t xml:space="preserve">Miller, E. Kathryn; Bugna, Jimena; Libster, Romina; Shepherd, Bryan E.; Scalzo, Paula M.; Acosta, Patricio L.; Hijano, Diego; Reynoso, Natalia; Batalle, Juan P.; Coviello, Silvina; Ines Klein, M.; Bauer, Gabriela; Benitez, Alicia; Kleeberger, Steven R.; Polack, Fernando P.</t>
  </si>
  <si>
    <t xml:space="preserve">Human Rhinoviruses in Severe Respiratory Disease in Very Low Birth Weight Infants</t>
  </si>
  <si>
    <t xml:space="preserve">PEDIATRICS</t>
  </si>
  <si>
    <t xml:space="preserve">premature infants; rhinovirus; very low birth weight</t>
  </si>
  <si>
    <t xml:space="preserve">SYNCYTIAL VIRUS-DISEASE; PALIVIZUMAB PROPHYLAXIS; HUMAN METAPNEUMOVIRUS; HIGH-RISK; ASTHMA EXACERBATIONS; PREMATURE-INFANTS; VIRAL-INFECTIONS; IMMUNE GLOBULIN; PRETERM INFANTS; YOUNG-CHILDREN</t>
  </si>
  <si>
    <t xml:space="preserve">OBJECTIVES: To assess incidence, burden of illness, and risk factors for human rhinoviruses (HRVs) in a cohort of very low birth weight (VLBW) infants. METHODS: A 2-year prospective cohort study was conducted among VLBW premature infants in Buenos Aires, Argentina. Infants were enrolled in the NICU from June 1, 2003, to May 31, 2005, and managed monthly and with every acute respiratory illness (ARI) during the first year of life. Nasal wash samples were obtained during every respiratory episode and tested for HRV, respiratory syncytial virus (RSV), human parainfluenza viruses, influenza viruses, and human metapneumovirus using reverse transcriptase-polymerase chain reaction. RESULTS: Of 119 patients, 66 (55%) had HRV-associated ARIs. The incidence of HRV-associated ARI was 123 events per 100 child-years of follow-up. Of those infants experiencing an episode of bronchiolitis, 40% had HRV versus 7% with RSV. The incidence of HRV-associated bronchiolitis was 75 per 100 infant-years of follow-up. HRV was associated with 12 of 36 hospitalizations (33%), and RSV was associated with 9 of 36 hospitalizations (25%). The incidence of HRV-associated hospitalization was 12 per 100 infant-years of follow-up. The risk of HRV-associated hospitalization was higher for infants with bronchopulmonary dysplasia and those who were not breastfed. CONCLUSIONS: HRV is an important and frequent pathogen associated with severe respiratory infections in VLBW infants. Bronchopulmonary dysplasia and the absence of breastfeeding are risk factors for hospitalization. The results of our study reveal that HRV is the predominant pathogen of respiratory infections in premature infants. Pediatrics 2012; 129: e60-e67</t>
  </si>
  <si>
    <t xml:space="preserve">[Miller, E. Kathryn; Libster, Romina; Hijano, Diego; Polack, Fernando P.] Vanderbilt Univ, Dept Pediat, Nashville, TN 37232 USA; [Shepherd, Bryan E.] Vanderbilt Univ, Dept Biostat, Nashville, TN 37232 USA; [Bugna, Jimena; Libster, Romina; Scalzo, Paula M.; Acosta, Patricio L.; Hijano, Diego; Reynoso, Natalia; Batalle, Juan P.; Coviello, Silvina; Ines Klein, M.; Polack, Fernando P.] Fdn INFANT, Buenos Aires, DF, Argentina; [Ines Klein, M.; Bauer, Gabriela] Hosp Juan P Garrahan, Buenos Aires, DF, Argentina; [Ines Klein, M.; Benitez, Alicia] Maternidad Sarda, Buenos Aires, DF, Argentina; [Kleeberger, Steven R.] Natl Inst Environm Hlth Sci, Raleigh, NC USA</t>
  </si>
  <si>
    <t xml:space="preserve">Vanderbilt University; Vanderbilt University; Hospital de Pediatria Doctor Juan Garrahan</t>
  </si>
  <si>
    <t xml:space="preserve">Polack, FP (corresponding author), Vanderbilt Univ, Dept Pediat, 1161 21st Ave S,MCN B3307, Nashville, TN 37232 USA.</t>
  </si>
  <si>
    <t xml:space="preserve">fernando.p.polack@vanderbilt.edu</t>
  </si>
  <si>
    <t xml:space="preserve">; Kleeberger, Steven/F-1807-2019; Hijano, Diego/N-2665-2018</t>
  </si>
  <si>
    <t xml:space="preserve">Acosta, Patricio/0000-0002-4164-7674; Kleeberger, Steven/0000-0003-2948-8452; Hijano, Diego/0000-0002-2903-666X</t>
  </si>
  <si>
    <t xml:space="preserve">National Institutes of Health (NIH) [KL2 RR24977-03, 1K23AI091691-01]; National Institute of Environmental Health Sciences; Thrasher Research Fund; National Institutes of Health, Office of the Director, Fogarty International Center [R24 TW007988]</t>
  </si>
  <si>
    <t xml:space="preserve">National Institutes of Health (NIH)(United States Department of Health &amp; Human ServicesNational Institutes of Health (NIH) - USA); National Institute of Environmental Health Sciences(United States Department of Health &amp; Human ServicesNational Institutes of Health (NIH) - USANIH National Institute of Environmental Health Sciences (NIEHS)); Thrasher Research Fund; National Institutes of Health, Office of the Director, Fogarty International Center(United States Department of Health &amp; Human ServicesNational Institutes of Health (NIH) - USANIH Fogarty International Center (FIC))</t>
  </si>
  <si>
    <t xml:space="preserve">Funded by the National Institutes of Health (NIH).This study was funded by the Director's Challenge Award from the National Institute of Environmental Health Sciences (Drs Kleeberger and Polack) and the Thrasher Research Fund (Dr Polack). Dr Bugna was supported by the National Institutes of Health, Office of the Director, Fogarty International Center through the International Clinical Research Scholars and Fellows Program at Vanderbilt University (R24 TW007988). Dr Miller received support from NIH KL2 RR24977-03 and NIH 1K23AI091691-01.</t>
  </si>
  <si>
    <t xml:space="preserve">AMER ACAD PEDIATRICS</t>
  </si>
  <si>
    <t xml:space="preserve">ELK GROVE VILLAGE</t>
  </si>
  <si>
    <t xml:space="preserve">141 NORTH-WEST POINT BLVD,, ELK GROVE VILLAGE, IL 60007-1098 USA</t>
  </si>
  <si>
    <t xml:space="preserve">0031-4005</t>
  </si>
  <si>
    <t xml:space="preserve">E60</t>
  </si>
  <si>
    <t xml:space="preserve">E67</t>
  </si>
  <si>
    <t xml:space="preserve">10.1542/peds.2011-0583</t>
  </si>
  <si>
    <t xml:space="preserve">870BT</t>
  </si>
  <si>
    <t xml:space="preserve">WOS:000298644800009</t>
  </si>
  <si>
    <t xml:space="preserve">Fujita, A; Kan-o, K; Tonai, K; Yamamoto, N; Ogawa, T; Fukuyama, S; Nakanishi, Y; Matsumoto, K</t>
  </si>
  <si>
    <t xml:space="preserve">Fujita, Akitaka; Kan-o, Keiko; Tonai, Ken; Yamamoto, Norio; Ogawa, Tomohiro; Fukuyama, Satoru; Nakanishi, Yoichi; Matsumoto, Koichiro</t>
  </si>
  <si>
    <t xml:space="preserve">Inhibition of PI3Kδ Enhances Poly I:C-Induced Antiviral Responses and Inhibits Replication of Human Metapneumovirus in Murine Lungs and Human Bronchial Epithelial Cells</t>
  </si>
  <si>
    <t xml:space="preserve">poly I; C; phosphoinositide 3-kinase delta; IC87114; programmed death 1 ligand 1; interferon; bronchial epithelial cells; human metapneumovirus</t>
  </si>
  <si>
    <t xml:space="preserve">DOUBLE-STRANDED-RNA; PHOSPHOINOSITIDE 3-KINASE DELTA; INDUCED UP-REGULATION; NF-KAPPA-B; RIG-I; PD-L1 EXPRESSION; IMMUNE-RESPONSE; SMOOTH-MUSCLE; T-CELLS; INFECTION</t>
  </si>
  <si>
    <t xml:space="preserve">Viral infections of the airway can exacerbate respiratory diseases, such as asthma or chronic obstructive pulmonary disease (COPD), and accelerate disease progression. Phosphoinositide 3-kinase (PI3K)delta, a class 1A PI3K, has been studied as a potential target for achieving anti-oncogenic and anti-inflammatory effects. However, the role of PI3K delta in antiviral responses is poorly understood. Using a synthetic double-stranded RNA poly I:C and a selective PI3K delta inhibitor IC87114, we investigated the role of PI3K delta signaling in poly I:C-induced expression of the T lymphocyte-inhibitory molecule programmed death 1 ligand 1 (PD-L1), inflammatory responses and antiviral interferon (IFN) responses. C57BL/6N mice were treated with IC87114 or vehicle by intratracheal (i.t.) instillation followed by i.t. administration of poly I:C. Poly I:C increased PD-L1 expression on epithelial cells, lymphocytes, macrophages, and neutrophils in the lungs and IC87114 suppressed poly I:C-induced PD-L1 expression on epithelial cells and neutrophils possibly via inhibition of the Akt/mTOR signaling pathway. IC87114 also attenuated poly I:C-induced increases in numbers of total cells, macrophages, neutrophils and lymphocytes, as well as levels of KC, IL-6 and MIP-1 beta in bronchoalveolar lavage fluid. Gene expression of IFN beta, IFN lambda(2) and IFN-stimulated genes (ISGs) were upregulated in response to poly I:C and a further increase in gene expression was observed following IC87114 treatment. In addition, IC87114 enhanced poly I:C-induced phosphorylation of IRF3. We assessed the effects of IC87114 on human primary bronchial epithelial cells (PBECs). IC87114 decreased poly I:C-induced PD-L1 expression on PBECs and secretion of IL-6 and IL-8 into culture supernatants. IC87114 further enhanced poly I:C- induced increases in the concentrations of IFN beta and IFN lambda(1/3) in culture supernatants as well as upregulated gene expression of ISGs in PBECs. Similar results were obtained in PBECs transfected with siRNA targeting the PIK3CD gene encoding PI3K p110 delta, and stimulated with poly I:C. In human metapneumovirus (hMPV) infection of PBECs, IC87114 suppressed hMPV-induced PD-L1 expression and reduced viral replication without changing the production levels of IFN beta and IFN lambda(1/3) in culture supernatants. These data suggest that IC87114 may promote virus elimination and clearance through PD-L1 downregulation and enhanced antiviral IFN responses, preventing prolonged lung inflammation, which exacerbates asthma and COPD.</t>
  </si>
  <si>
    <t xml:space="preserve">[Fujita, Akitaka; Kan-o, Keiko; Tonai, Ken; Yamamoto, Norio; Ogawa, Tomohiro; Fukuyama, Satoru; Nakanishi, Yoichi; Matsumoto, Koichiro] Kyushu Univ, Grad Sch Med Sci, Res Inst Dis Chest, Fukuoka, Japan; [Kan-o, Keiko] Kyushu Univ Hosp, Dept Endoscop Diagnost &amp; Therapeut, Fukuoka, Japan; [Tonai, Ken] Jichi Med Univ, Sch Med, Dept Anesthesiol &amp; Intens Care Med, Div Intens Care, Shimotsuke, Tochigi, Japan</t>
  </si>
  <si>
    <t xml:space="preserve">Kyushu University; Kyushu University; Jichi Medical University</t>
  </si>
  <si>
    <t xml:space="preserve">hanamura@kokyu.med.kyushu-u.ac.jp</t>
  </si>
  <si>
    <t xml:space="preserve">Ogawa, Tomohiro/AAG-7257-2020; Kan-o, Keiko/AAF-8581-2019</t>
  </si>
  <si>
    <t xml:space="preserve">JSPS KAKENHI [JP24591132, JP15K09222, JP18K15953]; Center for Clinical and Translational Research of Kyushu University</t>
  </si>
  <si>
    <t xml:space="preserve">JSPS KAKENHI(Ministry of Education, Culture, Sports, Science and Technology, Japan (MEXT)Japan Society for the Promotion of ScienceGrants-in-Aid for Scientific Research (KAKENHI)); Center for Clinical and Translational Research of Kyushu University</t>
  </si>
  <si>
    <t xml:space="preserve">This work was supported by JSPS KAKENHI Grant Numbers JP24591132, JP15K09222, and JP18K15953. This work was supported (in part) by Center for Clinical and Translational Research of Kyushu University.</t>
  </si>
  <si>
    <t xml:space="preserve">MAR 11</t>
  </si>
  <si>
    <t xml:space="preserve">10.3389/fimmu.2020.00432</t>
  </si>
  <si>
    <t xml:space="preserve">LE6QB</t>
  </si>
  <si>
    <t xml:space="preserve">WOS:000526847000001</t>
  </si>
  <si>
    <t xml:space="preserve">El Najjar, F; Castillo, SR; Moncman, CL; Wu, CY; Isla, E; Ortega, ACV; Frolenkov, GI; Cifuentes-Munoz, N; Dutch, RE</t>
  </si>
  <si>
    <t xml:space="preserve">El Najjar, Farah; Castillo, Santiago Restrepo; Moncman, Carole L.; Wu, Cheng-Yu; Isla, Eduardo; Ortega, A. Catalina Velez; Frolenkov, Gregory I.; Cifuentes-Munoz, Nicolas; Dutch, Rebecca Ellis</t>
  </si>
  <si>
    <t xml:space="preserve">Imaging analysis reveals budding of filamentous human metapneumovirus and direct transfer of inclusion bodies through intercellular extensions</t>
  </si>
  <si>
    <t xml:space="preserve">MBIO</t>
  </si>
  <si>
    <t xml:space="preserve">pneumovirus; HMPV; viral spread; respiratory viruses</t>
  </si>
  <si>
    <t xml:space="preserve">RESPIRATORY SYNCYTIAL VIRUS; CELLS; INFECTION; PHOSPHOPROTEIN; NUCLEOPROTEIN; MORPHOGENESIS; NANOTUBES; PATHOLOGY; SPREAD</t>
  </si>
  <si>
    <t xml:space="preserve">Human metapneumovirus (HMPV) can spread between cells through budding of virus particles or direct cell-to-cell spread. A network of budding filaments and intercellular extensions forms in HMPV-infected cells; however, the involvement of these structures in direct cell-to- cell spread of infection remains to be investigated. Utilizing advanced imaging techniques, we show that budding filaments contain the viral RNA genome, and not the antigenome, and become enriched with HMPV F protein as infection progresses. Multiple filaments containing the F protein on their surface were seen emanating from one cell to contact a neighboring cell, strongly suggesting that these are budding filamentous HMPV virions. In addition, changes in the morphology and properties of intercellular extensions following HMPV infection were detected. We show that intercellular extensions allow the transfer of a cytosolic dye only in HMPV-infected cells. In addition, using live imaging, we provide novel evidence of the direct passage of inclusion bodies from cell-to-cell across intercellular extensions. These results provide novel insights into the direct cell-to-cell spread of HMPV and suggest that this mode of transmission can occur through different mechanisms. IMPORTANCE Human metapneumovirus is an important respiratory pathogen that causes significant morbidity and mortality, particularly in the very young, the elderly, and the immunosuppressed. However, the molecular details of how this virus spreads to new target cells are unclear. This work provides important new information on the formation of filamentous structures that are consistent with virus particles and adds critical new insight into the structure of extensions between cells that form during infection. In addition, it demonstrates for the first time the movement of viral replication centers through these intercellular extensions, representing a new mode of direct cell-to-cell spread that may be applicable to other viral systems.</t>
  </si>
  <si>
    <t xml:space="preserve">[El Najjar, Farah; Castillo, Santiago Restrepo; Moncman, Carole L.; Wu, Cheng-Yu; Dutch, Rebecca Ellis] Univ Kentucky, Dept Mol &amp; Cellular Biochem, Coll Med, Lexington, KY USA; [Isla, Eduardo; Cifuentes-Munoz, Nicolas] Univ Autonoma Chile, Inst Ciencias Biomed, Fac Ciencias Salud, Santiago, Chile; [Ortega, A. Catalina Velez; Frolenkov, Gregory I.] Univ Kentucky, Dept Physiol, Coll Med, Lexington, KY USA; [Cifuentes-Munoz, Nicolas; Dutch, Rebecca Ellis] Mayo Clin, Santiago Restrepo Castillo, Dept Virol &amp; Gene Therapy, Rochester, MN USA</t>
  </si>
  <si>
    <t xml:space="preserve">University of Kentucky; Universidad Autonoma de Chile; University of Kentucky; Mayo Clinic</t>
  </si>
  <si>
    <t xml:space="preserve">Cifuentes-Munoz, N; Dutch, RE (corresponding author), Mayo Clin, Santiago Restrepo Castillo, Dept Virol &amp; Gene Therapy, Rochester, MN USA.</t>
  </si>
  <si>
    <t xml:space="preserve">nicolas.cifuentes01@uautonoma.ci; rebecca.dutch@uky.edu</t>
  </si>
  <si>
    <t xml:space="preserve">Restrepo Castillo, Santiago/0000-0001-7881-1813; Velez-Ortega, A. Catalina/0000-0001-9157-8390; Dutch, Rebecca/0000-0002-5220-8247</t>
  </si>
  <si>
    <t xml:space="preserve">HHS \ NIH \ National Institute of Allergy and Infectious Diseases (NIAID) [R01 AI140758]; Fondecyt Iniciacion [11180269]</t>
  </si>
  <si>
    <t xml:space="preserve">HHS \ NIH \ National Institute of Allergy and Infectious Diseases (NIAID); Fondecyt Iniciacion(Comision Nacional de Investigacion Cientifica y Tecnologica (CONICYT)CONICYT FONDECYT)</t>
  </si>
  <si>
    <t xml:space="preserve">HHS vertical bar NIH vertical bar National Institute of Allergy and Infectious Diseases (NIAID) R01 AI140758 Rebecca Ellis Dutch Fondecyt Iniciacion 11180269 Nicolas Cifuentes-Munoz</t>
  </si>
  <si>
    <t xml:space="preserve">2150-7511</t>
  </si>
  <si>
    <t xml:space="preserve">mBio</t>
  </si>
  <si>
    <t xml:space="preserve">10.1128/mbio.01589-23</t>
  </si>
  <si>
    <t xml:space="preserve">MB6H2</t>
  </si>
  <si>
    <t xml:space="preserve">WOS:001191200600016</t>
  </si>
  <si>
    <t xml:space="preserve">Negrey, JD; Reddy, RB; Scully, EJ; Phillips-Garcia, S; Owens, LA; Langergraber, KE; Mitani, JC; Thompson, ME; Wrangham, RW; Muller, MN; Otali, E; Machanda, Z; Hyeroba, D; Grindle, KA; Pappas, TE; Palmenberg, AC; Gern, JE; Goldberg, TL</t>
  </si>
  <si>
    <t xml:space="preserve">Negrey, Jacob D.; Reddy, Rachna B.; Scully, Erik J.; Phillips-Garcia, Sarah; Owens, Leah A.; Langergraber, Kevin E.; Mitani, John C.; Thompson, Melissa Emery; Wrangham, Richard W.; Muller, Martin N.; Otali, Emily; Machanda, Zarin; Hyeroba, David; Grindle, Kristine A.; Pappas, Tressa E.; Palmenberg, Ann C.; Gern, James E.; Goldberg, Tony L.</t>
  </si>
  <si>
    <t xml:space="preserve">Simultaneous outbreaks of respiratory disease in wild chimpanzees caused by distinct viruses of human origin</t>
  </si>
  <si>
    <t xml:space="preserve">EMERGING MICROBES &amp; INFECTIONS</t>
  </si>
  <si>
    <t xml:space="preserve">Pneumoviridae; Metapneumovirus; Paramyxoviridae; Respirovirus; Human respirovirus 3; Parainfluenza virus 3; Anthroponoses; Zoonoses; chimpanzee; Africa; Uganda; respiratory disease; Epidemiology; outbreak</t>
  </si>
  <si>
    <t xml:space="preserve">HUMAN METAPNEUMOVIRUS INFECTION; WESTERN LOWLAND GORILLAS; GOMBE NATIONAL-PARK; NONHUMAN-PRIMATES; GENETIC DIVERSITY; PAN-TROGLODYTES; SYNCYTIAL VIRUS; GREAT APES; TYPE-3; EPIDEMIOLOGY</t>
  </si>
  <si>
    <t xml:space="preserve">Respiratory viruses of human origin infect wild apes across Africa, sometimes lethally. Here we report simultaneous outbreaks of two distinct human respiratory viruses, human metapneumovirus (MPV; Pneumoviridae: Metapneumovirus) and human respirovirus 3 (HRV3; Paramyxoviridae; Respirovirus, formerly known as parainfluenza virus 3), in two chimpanzee (Pan troglodytes schweinfurthii) communities in the same forest in Uganda in December 2016 and January 2017. The viruses were absent before the outbreaks, but each was present in ill chimpanzees from one community during the outbreak period. Clinical signs and gross pathologic changes in affected chimpanzees closely mirrored symptoms and pathology commonly observed in humans for each virus. Epidemiologic modelling showed that MPV and HRV3 were similarly transmissible (R-0 of 1.27 and 1.48, respectively), but MPV caused 12.2% mortality mainly in infants and older chimpanzees, whereas HRV3 caused no direct mortality. These results are consistent with the higher virulence of MPV than HRV3 in humans, although both MPV and HRV3 cause a significant global disease burden. Both viruses clustered phylogenetically within groups of known human variants, with MPV closely related to a lethal 2009 variant from mountain gorillas (Gorilla beringei beringei), suggesting two independent and simultaneous reverse zoonotic origins, either directly from humans or via intermediary hosts. These findings expand our knowledge of human origin viruses threatening wild chimpanzees and suggest that such viruses might be differentiated by their comparative epidemiological dynamics and pathogenicity in wild apes. Our results also caution against assuming common causation in coincident outbreaks.</t>
  </si>
  <si>
    <t xml:space="preserve">[Negrey, Jacob D.] Boston Univ, Boston, MA 02215 USA; [Reddy, Rachna B.; Mitani, John C.] Univ Michigan, Ann Arbor, MI 48109 USA; [Scully, Erik J.; Wrangham, Richard W.] Harvard Univ, Cambridge, MA 02138 USA; [Phillips-Garcia, Sarah; Thompson, Melissa Emery; Muller, Martin N.] Univ New Mexico, Albuquerque, NM 87131 USA; [Owens, Leah A.; Grindle, Kristine A.; Pappas, Tressa E.; Palmenberg, Ann C.; Gern, James E.; Goldberg, Tony L.] Univ Wisconsin Madison, Madison, WI 53706 USA; [Langergraber, Kevin E.] Arizona State Univ, Tempe, AZ USA; [Otali, Emily; Hyeroba, David] Makerere Univ, Kampala, Uganda; [Machanda, Zarin] Tufts Univ, Medford, MA 02155 USA</t>
  </si>
  <si>
    <t xml:space="preserve">Boston University; University of Michigan System; University of Michigan; Harvard University; University of New Mexico; University of Wisconsin System; University of Wisconsin Madison; Arizona State University; Arizona State University-Tempe; Makerere University; Tufts University</t>
  </si>
  <si>
    <t xml:space="preserve">Goldberg, TL (corresponding author), Univ Wisconsin Madison, Madison, WI 53706 USA.</t>
  </si>
  <si>
    <t xml:space="preserve">Gern, James/AGR-3937-2022; Thompson, Melissa/ABF-1790-2020; Emery Thompson, Melissa/A-1450-2008</t>
  </si>
  <si>
    <t xml:space="preserve">Owens, Leah/0000-0002-4232-3516; Reddy, Rachna/0000-0003-3338-2052; Emery Thompson, Melissa/0000-0003-2451-6397; Wrangham, Richard/0000-0003-0435-2209; Phillips, Sarah Renee/0000-0001-6857-5888; Negrey, Jacob/0000-0001-7355-0319</t>
  </si>
  <si>
    <t xml:space="preserve">Boston University; Horace H. Rackham School of Graduate Studies, University of Michigan; Leakey Foundation; Nacey Maggioncalda Foundation; National Geographic Society [982415]; National Institute on Aging [5R01AG049395]; National Science Foundation [0416125, 0849380, 1355014, 1521528, 9807448, BCS-1540259, BCS-1613393, DGE-1256260]; University of New Mexico; University of Wisconsin-Madison; Wenner-Gren Foundation; Direct For Social, Behav &amp; Economic Scie; Division Of Behavioral and Cognitive Sci [1521528, 9807448] Funding Source: National Science Foundation</t>
  </si>
  <si>
    <t xml:space="preserve">Boston University; Horace H. Rackham School of Graduate Studies, University of Michigan(University of Michigan System); Leakey Foundation; Nacey Maggioncalda Foundation(ACEV Foundation); National Geographic Society(National Geographic Society); National Institute on Aging(United States Department of Health &amp; Human ServicesNational Institutes of Health (NIH) - USANIH National Institute on Aging (NIA)); National Science Foundation(National Science Foundation (NSF)); University of New Mexico; University of Wisconsin-Madison; Wenner-Gren Foundation; Direct For Social, Behav &amp; Economic Scie; Division Of Behavioral and Cognitive Sci(National Science Foundation (NSF)NSF - Directorate for Social, Behavioral &amp; Economic Sciences (SBE))</t>
  </si>
  <si>
    <t xml:space="preserve">This work was supported by Boston University; Horace H. Rackham School of Graduate Studies, University of Michigan; Leakey Foundation; Nacey Maggioncalda Foundation; National Geographic Society: [Grant Number 982415]; National Institute on Aging: [Grant Number 5R01AG049395]; National Science Foundation: [Grant Number 0416125,0849380,1355014,1521528,9807448, BCS-1540259, BCS-1613393, DGE-1256260]; University of New Mexico; University of Wisconsin-Madison (John D. MacArthur Fellowship Program); Wenner-Gren Foundation.</t>
  </si>
  <si>
    <t xml:space="preserve">2222-1751</t>
  </si>
  <si>
    <t xml:space="preserve">EMERG MICROBES INFEC</t>
  </si>
  <si>
    <t xml:space="preserve">Emerg. Microbes Infect.</t>
  </si>
  <si>
    <t xml:space="preserve">JAN 21</t>
  </si>
  <si>
    <t xml:space="preserve">10.1080/22221751.2018.1563456</t>
  </si>
  <si>
    <t xml:space="preserve">HK6EC</t>
  </si>
  <si>
    <t xml:space="preserve">WOS:000458063000003</t>
  </si>
  <si>
    <t xml:space="preserve">Rima, B; Collins, P; Easton, A; Fouchier, R; Kurath, G; Lamb, RA; Lee, B; Maisner, A; Rota, P; Wang, LF</t>
  </si>
  <si>
    <t xml:space="preserve">Rima, Bert; Collins, Peter; Easton, Andrew; Fouchier, Ron; Kurath, Gael; Lamb, Robert A.; Lee, Benhur; Maisner, Andrea; Rota, Paul; Wang, Linfa</t>
  </si>
  <si>
    <t xml:space="preserve">ICTV Report Consortium</t>
  </si>
  <si>
    <t xml:space="preserve">ICTV Virus Taxonomy Profile: Pneumoviridae</t>
  </si>
  <si>
    <t xml:space="preserve">JOURNAL OF GENERAL VIROLOGY</t>
  </si>
  <si>
    <t xml:space="preserve">Pneumoviridae; ICTV; taxonomy; human respiratory syncytial virus; human metapneumovirus</t>
  </si>
  <si>
    <t xml:space="preserve">RESPIRATORY SYNCYTIAL VIRUS; NUCLEOPROTEIN-RNA COMPLEX</t>
  </si>
  <si>
    <t xml:space="preserve">The family Pneumoviridae comprises large enveloped negative-sense RNA viruses. This taxon was formerly a subfamily within the Paramyxoviridae, but was reclassified in 2016 as a family with two genera, Orthopneumovirus and Metapneumovirus. Pneumoviruses infect a range of mammalian species, while some members of the Metapneumovirus genus may also infect birds. Some viruses are specific and pathogenic for humans, such as human respiratory syncytial virus and human metapneumovirus. There are no known vectors for pneumoviruses and transmission is thought to be primarily by aerosol droplets and contact. This is a summary of the International Committee on Taxonomy of Viruses (ICTV) Report on the taxonomy of the Pneumoviridae, which is available at www.ictv.global/report/pneumoviridae.</t>
  </si>
  <si>
    <t xml:space="preserve">[Rima, Bert] Queens Univ Belfast, Sch Med Dent &amp; Biomed Sci, Ctr Expt Med, Belfast, Antrim, North Ireland; [Collins, Peter] NIAID, RNA Viruses Sect, Lab Infect Dis, NIH, 9000 Rockville Pike, Bethesda, MD 20892 USA; [Easton, Andrew] Univ Warwick, Sch Life Sci, Coventry, W Midlands, England; [Fouchier, Ron] Erasmus MC, Dept Virosci, Rotterdam, Netherlands; [Kurath, Gael] US Geol Survey, Western Fisheries Res Ctr, Seattle, WA USA; [Lamb, Robert A.] Northwestern Univ, Dept Mol Biosci, Howard Hughes Med Inst, Evanston, IL USA; [Lee, Benhur] Icahn Sch Med Mt Sinai, New York, NY 10029 USA; [Maisner, Andrea] Philipps Univ Marburg, Inst Virol, Marburg, Germany; [Rota, Paul] Ctr Dis Control &amp; Prevent, Natl Ctr Immunizat &amp; Resp Dis, Atlanta, GA USA; [Wang, Linfa] Duke NUS Grad Med Sch, Program Emerging Infect Dis, Singapore, Singapore</t>
  </si>
  <si>
    <t xml:space="preserve">Queens University Belfast; National Institutes of Health (NIH) - USA; NIH National Institute of Allergy &amp; Infectious Diseases (NIAID); University of Warwick; Erasmus University Rotterdam; Erasmus MC; United States Department of the Interior; United States Geological Survey; Howard Hughes Medical Institute; Northwestern University; Icahn School of Medicine at Mount Sinai; Philipps University Marburg; Centers for Disease Control &amp; Prevention - USA; National University of Singapore</t>
  </si>
  <si>
    <t xml:space="preserve">Rima, B (corresponding author), Queens Univ Belfast, Sch Med Dent &amp; Biomed Sci, Ctr Expt Med, Belfast, Antrim, North Ireland.</t>
  </si>
  <si>
    <t xml:space="preserve">b.rima@qub.ac.uk</t>
  </si>
  <si>
    <t xml:space="preserve">Wang, Linfa/ACW-3768-2022; Fouchier, Ron/A-1911-2014</t>
  </si>
  <si>
    <t xml:space="preserve">Fouchier, Ron/0000-0001-8095-2869</t>
  </si>
  <si>
    <t xml:space="preserve">Wellcome Trust [WT108418AIA]</t>
  </si>
  <si>
    <t xml:space="preserve">Wellcome Trust(Wellcome Trust)</t>
  </si>
  <si>
    <t xml:space="preserve">Production of this summary, the online chapter and associated resources was funded by a grant from the Wellcome Trust (WT108418AIA).</t>
  </si>
  <si>
    <t xml:space="preserve">0022-1317</t>
  </si>
  <si>
    <t xml:space="preserve">1465-2099</t>
  </si>
  <si>
    <t xml:space="preserve">J GEN VIROL</t>
  </si>
  <si>
    <t xml:space="preserve">J. Gen. Virol.</t>
  </si>
  <si>
    <t xml:space="preserve">10.1099/jgv.0.000959</t>
  </si>
  <si>
    <t xml:space="preserve">Biotechnology &amp; Applied Microbiology; Virology</t>
  </si>
  <si>
    <t xml:space="preserve">FP0RR</t>
  </si>
  <si>
    <t xml:space="preserve">WOS:000417312300002</t>
  </si>
  <si>
    <t xml:space="preserve">Diab, M; Schmiedel, D; Seidel, E; Bacharach, E; Mandelboim, O</t>
  </si>
  <si>
    <t xml:space="preserve">Diab, Mohammad; Schmiedel, Dominik; Seidel, Einat; Bacharach, Eran; Mandelboim, Ofer</t>
  </si>
  <si>
    <t xml:space="preserve">Human Metapneumovirus Escapes NK Cell Recognition through the Downregulation of Stress-Induced Ligands for NKG2D</t>
  </si>
  <si>
    <t xml:space="preserve">Pneumoviridae family; human metapneumovirus (HMPV); natural killer (NK); natural killer group 2D (NKG2D); stress-induced ligands</t>
  </si>
  <si>
    <t xml:space="preserve">NATURAL-KILLER-CELLS; YOUNG-CHILDREN; INFECTION; HOST; BRONCHIOLITIS; PATHOGENESIS; CONTRIBUTE; CLEARANCE; RECEPTORS; IMMUNITY</t>
  </si>
  <si>
    <t xml:space="preserve">The Pneumoviridae family includes human metapneumovirus (HMPV) and human orthopneumovirus, which is also known as a respiratory syncytial virus (HRSV). These are large enveloped, negative single-strand RNA viruses. HMPV and HRSV are the human members, which commonly infect children. HMPV, which was discovered in 2001, infects most children until the age of five, which causes an influenza-like illness. The interaction of this virus with immune cells is poorly understood. In this study, we show that HMPV evades natural killer (NK) cell attack by downregulating stress-induced ligands for the activating receptor NKG2D including: Major histocompatibility complex (MHC) class I polypeptide-related sequences A and B (MICA, MICB), UL16 binding proteins ULBP2, and ULBP3, but not ULBP1. Mechanistically, we show that the viral protein G is involved in the downregulation of ULBP2 and that the viral protein M2.2 is required for MICA and MICB downregulation. These findings emphasize the importance of NK cells, in general, and NKG2D, in particular, in controlling HMPV infection, which opens new avenues for treating HMPV.</t>
  </si>
  <si>
    <t xml:space="preserve">[Diab, Mohammad; Schmiedel, Dominik; Seidel, Einat; Mandelboim, Ofer] Hebrew Univ Jerusalem, Concern Fdn Labs, Fac Med,Lautenberg Ctr Immunol &amp; Canc Res, Inst Med Res Israel Canada IMRIC,Hadassah Med Sch, IL-91120 Jerusalem, Israel; [Bacharach, Eran] Tel Aviv Univ, Fac Life Sci, Dept Cell Res &amp; Immunol, IL-69978 Tel Aviv, Israel</t>
  </si>
  <si>
    <t xml:space="preserve">Hebrew University of Jerusalem; Tel Aviv University</t>
  </si>
  <si>
    <t xml:space="preserve">Mandelboim, O (corresponding author), Hebrew Univ Jerusalem, Concern Fdn Labs, Fac Med,Lautenberg Ctr Immunol &amp; Canc Res, Inst Med Res Israel Canada IMRIC,Hadassah Med Sch, IL-91120 Jerusalem, Israel.</t>
  </si>
  <si>
    <t xml:space="preserve">mohammad.diab@mail.huji.ac.il; dominik.schmiedel@weizmann.ac.il; einat.seidel@mail.huji.ac.il; EranBa@tauex.tau.ac.il; oferm@ekmd.huji.ac.il</t>
  </si>
  <si>
    <t xml:space="preserve">Seidel, Einat/JVN-4018-2024; Bacharach, Eran/JPL-0522-2023</t>
  </si>
  <si>
    <t xml:space="preserve">Mandelboim, Ofer/0000-0002-9354-1855; Schmiedel, Dominik/0000-0003-3384-5651; Bacharach, Eran/0000-0001-8341-2833</t>
  </si>
  <si>
    <t xml:space="preserve">Israel Science Foundation (Moked grant); GIF Foundation; ICRF; ISF Israel-China; Ministry of Science and Technology; DKFZ-MOST</t>
  </si>
  <si>
    <t xml:space="preserve">Israel Science Foundation (Moked grant); GIF Foundation(German-Israeli Foundation for Scientific Research and Development); ICRF; ISF Israel-China(Israel Science Foundation); Ministry of Science and Technology(Spanish Government); DKFZ-MOST</t>
  </si>
  <si>
    <t xml:space="preserve">The Israel Science Foundation (Moked grant), DKFZ-MOST grant, the GIF Foundation, the ICRF professorship grant, the ISF Israel-China grant, and the Ministry of Science and Technology grant (all to O.M.) supported this work.</t>
  </si>
  <si>
    <t xml:space="preserve">10.3390/v12070781</t>
  </si>
  <si>
    <t xml:space="preserve">MS4PL</t>
  </si>
  <si>
    <t xml:space="preserve">WOS:000554260000001</t>
  </si>
  <si>
    <t xml:space="preserve">Guerrier, G; Goyet, S; Chheng, ET; Rammaert, B; Borand, L; Te, V; Try, PL; Sareth, R; Cavailler, P; Mayaud, C; Guillard, B; Vong, S; Buchy, P; Tarantola, A</t>
  </si>
  <si>
    <t xml:space="preserve">Guerrier, Gilles; Goyet, Sophie; Chheng, Eak Tep; Rammaert, Blandine; Borand, Laurence; Te, Vantha; Try, Patrich Lorn; Sareth, Rith; Cavailler, Philippe; Mayaud, Charles; Guillard, Bertrand; Vong, Sirenda; Buchy, Philippe; Tarantola, Arnaud</t>
  </si>
  <si>
    <t xml:space="preserve">Acute Viral Lower Respiratory Tract Infections in Cambodian Children: Clinical and Epidemiologic Characteristics</t>
  </si>
  <si>
    <t xml:space="preserve">pneumonia; virus; respiratory pathogens; multiplex polymerase chain reaction; pediatric; Cambodia</t>
  </si>
  <si>
    <t xml:space="preserve">COMMUNITY-ACQUIRED PNEUMONIA; SYNCYTIAL VIRUS; RHINOVIRUS INFECTION; INFANTS; SURVEILLANCE; ASSOCIATION; CORONAVIRUS; PATHOGENS; ETIOLOGY; OLD</t>
  </si>
  <si>
    <t xml:space="preserve">Background: Viruses are detected in most hospitalized children admitted for acute respiratory infections. Etiologic understanding is needed to improve clinical management and prevention, particularly in resource-limited tropical countries. Methods: A 3-year prospective descriptive study was conducted among Cambodian children admitted to 2 provincial hospitals for acute lower respiratory tract infection. Molecular detection for 18 viral pathogens using multiplex polymerase chain reaction/reverse transcription polymerase chain reactions was performed. Results: We enrolled 1006 children less than 5 years of age of whom 423 (42%), 428 (42%) and 155 (16%) had pneumonia, bronchiolitis and unclassified lower respiratory tract infections, respectively. Of the 551 (55%) with documented viral infection, a single virus was detected in 491 (89%), including rhinovirus (n = 169; 34%), respiratory syncytial virus (n = 167; 34%), parainfluenza virus (n = 40; 8%), human metapneumovirus (n = 39; 8%), influenza virus (n = 31; 6%), bocavirus (n = 16; 3%), adenovirus (n = 15; 3%), coronavirus (n = 9; 2%) and enterovirus (n = 5; 1%). Coinfections with multiple viruses were detected in 6% (2 viruses detected in 59 cases; 3 viruses detected in 1 case). Conclusion: Similar to other tropical countries, rhinovirus and respiratory syncytial virus were the principal viral pathogens detected among children hospitalized for lower tract respiratory infection in Cambodia.</t>
  </si>
  <si>
    <t xml:space="preserve">[Guerrier, Gilles; Goyet, Sophie; Rammaert, Blandine; Borand, Laurence; Sareth, Rith; Cavailler, Philippe; Guillard, Bertrand; Vong, Sirenda; Buchy, Philippe; Tarantola, Arnaud] Inst Pasteur Cambodia, Phnom Penh 1200, Cambodia; [Chheng, Eak Tep] Natl Pediat Hosp, Phnom Penh, Cambodia; [Rammaert, Blandine] Univ Paris 05, Hop Necker Enfants Malad, APHP,Ctr Infectiol Necker Pasteur, Inst Hosp Univ Imagine,Serv Malad Infect &amp; Trop, Paris, France; [Te, Vantha] Takeo Prov Hosp, Takeo, Cambodia; [Try, Patrich Lorn; Mayaud, Charles] Kampong Cham Prov Hosp, Kampong Cham, Cambodia; [Try, Patrich Lorn; Mayaud, Charles] Hop Tenon, F-75970 Paris, France</t>
  </si>
  <si>
    <t xml:space="preserve">Pasteur Network; Institut Pasteur Cambodia; Assistance Publique Hopitaux Paris (APHP); Hopital Universitaire Ambroise-Pare - APHP; Universite Paris Cite; Hopital Universitaire Hotel-Dieu - APHP; Hopital Universitaire Necker-Enfants Malades - APHP; Assistance Publique Hopitaux Paris (APHP); Sorbonne Universite; Hopital Universitaire Tenon - APHP</t>
  </si>
  <si>
    <t xml:space="preserve">Guerrier, G (corresponding author), Inst Pasteur Cambodia, Phnom Penh 1200, Cambodia.</t>
  </si>
  <si>
    <t xml:space="preserve">guerriergilles@gmail.com</t>
  </si>
  <si>
    <t xml:space="preserve">Cavailler, Philippe/G-4138-2017; Buchy, Philippe/JNS-0960-2023; Tarantola, Arnaud/D-2149-2015</t>
  </si>
  <si>
    <t xml:space="preserve">Goyet, Sophie/0000-0002-1835-4478; BUCHY, Philippe/0000-0003-1372-3008; Rammaert, Blandine/0000-0002-9346-5848; Tarantola, Arnaud/0000-0002-6946-7958</t>
  </si>
  <si>
    <t xml:space="preserve">Surveillance and Investigation of Epidemic Situations in Southeast Asia (SISEA) project</t>
  </si>
  <si>
    <t xml:space="preserve">This study was supported by Surveillance and Investigation of Epidemic Situations in Southeast Asia (SISEA) project.</t>
  </si>
  <si>
    <t xml:space="preserve">E8</t>
  </si>
  <si>
    <t xml:space="preserve">E13</t>
  </si>
  <si>
    <t xml:space="preserve">10.1097/INF.0b013e31826fd40d</t>
  </si>
  <si>
    <t xml:space="preserve">062FC</t>
  </si>
  <si>
    <t xml:space="preserve">WOS:000312903600002</t>
  </si>
  <si>
    <t xml:space="preserve">ElBasha, N; El Rifai, N; Draz, I; El Kholy, A</t>
  </si>
  <si>
    <t xml:space="preserve">ElBasha, N.; El Rifai, N.; Draz, I.; El Kholy, A.</t>
  </si>
  <si>
    <t xml:space="preserve">Contribution of viruses to severe pneumonia in children</t>
  </si>
  <si>
    <t xml:space="preserve">EGYPTIAN PEDIATRIC ASSOCIATION GAZETTE</t>
  </si>
  <si>
    <t xml:space="preserve">Pneumonia; Viral; Prevalence; Children; Outcome</t>
  </si>
  <si>
    <t xml:space="preserve">Objective: Community acquired pneumonia (CAP) accounts for more than two million deaths per year in children less than 5 years of age, mostly in developing countries. Viruses causing CAP have been identified in up to 50% of patients in studies using the real-time polymerase chain reaction (PCR). This study aimed at screening of viral etiology among hospitalized children with severe pneumonia. Methods: In this prospective study conducted at Cairo University Children's Hospital from 31st March 2010 to 1st April 2011 on 733 children admitted with a clinical and radiological diagnosis of pneumonia, nasopharyngeal or throat swabs were analyzed for common respiratory viruses, including respiratory syncytial virus (RSV), human metapneumovirus (hMPV), influenza B (Flu B), human parainfluenza virus (hPIV), influenza A (H1N1) and adenovirus (ADV) using the real time PCR technique. Results: One or more respiratory viruses were detected in 311 patients. RSV was the most commonly detected virus isolated in 197(63.3%) followed by hPIV in 38(12.2%), hMPV in 34(10.9%) and ADV in 26(8.4%) patients. Six cases were positive for H1N1 making the virus the second least common, after Flu B, identified in a single patient in our study. Mixed infection with more than one respiratory virus was detected in 156(45%) cases. Conclusion: RSV was the most predominantly isolated virus from all patients in addition to being the most common single virus to cause pneumonia in children with chronic diseases. Although the most commonly isolated virus in our study, RSV came third in causing complications following hPIV &amp; H1N1, but this observation cannot be applied to the community. (C) 2013 Production and hosting by Elsevier B.V. on behalf of The Egyptian Pediatric Association.</t>
  </si>
  <si>
    <t xml:space="preserve">[ElBasha, N.; El Rifai, N.; Draz, I.] Cairo Univ, Fac Med, Dept Pediat, Cairo, Egypt; [El Kholy, A.] Cairo Univ, Fac Med, Dept Clin Pathol, Cairo, Egypt</t>
  </si>
  <si>
    <t xml:space="preserve">Egyptian Knowledge Bank (EKB); Cairo University; Egyptian Knowledge Bank (EKB); Cairo University</t>
  </si>
  <si>
    <t xml:space="preserve">ElBasha, N (corresponding author), New Univ Childrens Hosp Abu El Reish, 4 Gamal Salem St, Cairo, Egypt.</t>
  </si>
  <si>
    <t xml:space="preserve">nihal-r@hotmail.com</t>
  </si>
  <si>
    <t xml:space="preserve">NAMRU.3</t>
  </si>
  <si>
    <t xml:space="preserve">Special thanks to the NAMRU.3 that funded the research and to all patients who took part in this study.</t>
  </si>
  <si>
    <t xml:space="preserve">1110-6638</t>
  </si>
  <si>
    <t xml:space="preserve">2090-9942</t>
  </si>
  <si>
    <t xml:space="preserve">EGYPT PEDIATR ASSO</t>
  </si>
  <si>
    <t xml:space="preserve">EGYPT. PEDIATR. ASSOC. GAZ.</t>
  </si>
  <si>
    <t xml:space="preserve">10.1016/j.epag.2013.07.001</t>
  </si>
  <si>
    <t xml:space="preserve">V0V7V</t>
  </si>
  <si>
    <t xml:space="preserve">WOS:000216603800004</t>
  </si>
  <si>
    <t xml:space="preserve">Choi, SH; Hong, SB; Ko, GB; Lee, Y; Park, HJ; Park, SY; Moon, SM; Cho, OH; Park, KH; Chong, YP; Kim, SH; Huh, JW; Sung, H; Do, KH; Lee, SO; Kim, MN; Jeong, JY; Lim, CM; Kim, YS; Woo, JH; Koh, Y</t>
  </si>
  <si>
    <t xml:space="preserve">Choi, Sang-Ho; Hong, Sang-Bum; Ko, Gwang-Beom; Lee, Yumi; Park, Hyun Jung; Park, So-Youn; Moon, Song Mi; Cho, Oh-Hyun; Park, Ki-Ho; Chong, Yong Pil; Kim, Sung-Han; Huh, Jin Won; Sung, Heungsup; Do, Kyung-Hyun; Lee, Sang-Oh; Kim, Mi-Na; Jeong, Jin-Yong; Lim, Chae-Man; Kim, Yang Soo; Woo, Jun Hee; Koh, Younsuck</t>
  </si>
  <si>
    <t xml:space="preserve">Viral Infection in Patients with Severe Pneumonia Requiring Intensive Care Unit Admission</t>
  </si>
  <si>
    <t xml:space="preserve">pneumonia; viral pneumonia; bronchoalveolar lavage; intensive care units; rhinovirus</t>
  </si>
  <si>
    <t xml:space="preserve">COMMUNITY-ACQUIRED PNEUMONIA; RESPIRATORY VIRUSES; STREPTOCOCCUS-PNEUMONIAE; HOSPITALIZED-PATIENTS; BACTERIAL PNEUMONIA; ETIOLOGY; TIME; PATHOGENS; RHINOVIRUSES</t>
  </si>
  <si>
    <t xml:space="preserve">Rationale: The role of viruses in pneumonia in adults and the impact of viral infection on mortality have not been elucidated. Previous studies have significant limitations in that they relied predominantly on upper respiratory specimens. Objectives: To investigate the role of viral infection in adult patients with pneumonia requiring intensive care unit (ICU) admission. Methods: A retrospective analysis of a prospective cohort was conducted in a 28-bed medical ICU. Patients with severe community-acquired pneumonia (CAP) or healthcare-associated pneumonia (HCAP) were included in the study. Measurements and Main Results: A total of 198 patients (64 with CAP, 134 with HCAP) were included for analysis. Of these, 115 patients (58.1%) underwent bronchoscopic bronchoalveolar lavage (BAL), 104 of whom were tested for respiratory viruses by BAL fluid reverse-transcription polymerase chain reaction (RT-PCR). Nasopharyngeal specimen RT-PCR was performed in 159 patients (84.1%). Seventy-one patients (35.9%) had a bacterial infection, and 72 patients (36.4%) had a viral infection. Rhinovirus was the most common identified virus (23.6%), followed by parainfluenza virus (20.8%), human metapneumovirus (18.1%), influenza virus (16.7%), and respiratory syncytial virus (13.9%). Respiratory syncytial virus was significantly more common in the CAP group (CAP, 10.9%; HCAP, 2.2%; P = 0.01). The mortalities of patients with bacterial infections, viral infections, and bacterial-viral coinfections were not significantly different (25.5, 26.5, and 33.3%, respectively; P = 0.82). Conclusions: Viruses are frequently found in the airway of patients with pneumonia requiring ICU admission and may cause severe forms of pneumonia. Patients with viral infection and bacterial infection had comparable mortality rates.</t>
  </si>
  <si>
    <t xml:space="preserve">[Hong, Sang-Bum; Huh, Jin Won; Lim, Chae-Man; Koh, Younsuck] Univ Ulsan, Coll Med, Asan Med Ctr, Dept Pulm &amp; Crit Care Med, Seoul, South Korea; [Choi, Sang-Ho; Ko, Gwang-Beom; Lee, Yumi; Park, Hyun Jung; Park, So-Youn; Moon, Song Mi; Cho, Oh-Hyun; Park, Ki-Ho; Chong, Yong Pil; Kim, Sung-Han; Lee, Sang-Oh; Jeong, Jin-Yong; Kim, Yang Soo; Woo, Jun Hee] Univ Ulsan, Coll Med, Asan Med Ctr, Dept Infect Dis, Seoul, South Korea; [Sung, Heungsup; Kim, Mi-Na] Univ Ulsan, Coll Med, Asan Med Ctr, Dept Lab Med, Seoul, South Korea; [Do, Kyung-Hyun] Univ Ulsan, Coll Med, Asan Med Ctr, Dept Radiol, Seoul, South Korea; [Jeong, Jin-Yong] Univ Ulsan, Coll Med, Asan Med Ctr, Asan Inst Life Sci, Seoul, South Korea</t>
  </si>
  <si>
    <t xml:space="preserve">University of Ulsan; Asan Medical Center; University of Ulsan; Asan Medical Center; University of Ulsan; Asan Medical Center; University of Ulsan; Asan Medical Center; University of Ulsan; Asan Medical Center</t>
  </si>
  <si>
    <t xml:space="preserve">Koh, Y (corresponding author), Univ Ulsan, Coll Med, Asan Med Ctr, Dept Pulm &amp; Crit Care Med, Seoul, South Korea.</t>
  </si>
  <si>
    <t xml:space="preserve">yskoh@amc.seoul.kr</t>
  </si>
  <si>
    <t xml:space="preserve">Chong, Yong/AAB-2623-2021; Kim, yang-soo/HSC-8295-2023; choi, su/AAD-7186-2020; Huh, Jin/AAN-5652-2020; Lee, Sang-Oh/AGV-5413-2022</t>
  </si>
  <si>
    <t xml:space="preserve">Choi, Sang-Ho/0000-0002-4972-4531</t>
  </si>
  <si>
    <t xml:space="preserve">Asan Institute of Life Sciences [2012-389]</t>
  </si>
  <si>
    <t xml:space="preserve">Asan Institute of Life Sciences</t>
  </si>
  <si>
    <t xml:space="preserve">Supported by Asan Institute of Life Sciences grant 2012-389.</t>
  </si>
  <si>
    <t xml:space="preserve">AUG 15</t>
  </si>
  <si>
    <t xml:space="preserve">10.1164/rccm.201112-2240OC</t>
  </si>
  <si>
    <t xml:space="preserve">989ZG</t>
  </si>
  <si>
    <t xml:space="preserve">WOS:000307600200007</t>
  </si>
  <si>
    <t xml:space="preserve">Mandelia, Y; Procop, GW; Richter, SS; Worley, S; Liu, W; Esper, F</t>
  </si>
  <si>
    <t xml:space="preserve">Mandelia, Y.; Procop, G. W.; Richter, S. S.; Worley, S.; Liu, W.; Esper, F.</t>
  </si>
  <si>
    <t xml:space="preserve">Dynamics and predisposition of respiratory viral co-infections in children and adults</t>
  </si>
  <si>
    <t xml:space="preserve">CLINICAL MICROBIOLOGY AND INFECTION</t>
  </si>
  <si>
    <t xml:space="preserve">Pneumonia; Respiratory virus; Viral co-infection; Virus circulation; Virus dynamics; Virus epidemiology</t>
  </si>
  <si>
    <t xml:space="preserve">HOSPITALIZED CHILDREN; SYNCYTIAL VIRUS; INFLUENZA; INTERFERENCE; INFECTIONS</t>
  </si>
  <si>
    <t xml:space="preserve">Objectives: The epidemiology of respiratory co-infection pairings is poorly understood. Here we assess the dynamics of respiratory viral co-infections in children and adults and determine predisposition for or against specific viral pairings. Methods: Over five respiratory seasons from 30 November 2013 through 6 June 2018, the mono-infection and co-infection prevalence of 13 viral pathogens was tabulated at The Cleveland Clinic. Employing a model to proportionally distribute viral pairs using individual virus co-infection rate with prevalence patterns of concurrent co-circulating viruses, we compared predicted occurrence with observed occurrence of 132 viral pairing permutations using binomial analysis. Results: Of 30 535 respiratory samples, 9843 (32.2%) were positive for at least one virus and 1018 (10.8%) of these were co-infected. Co-infected samples predominantly originated from children. Co-infection rate in paediatric population was 35.0% (2068/5906), compared with only 5.8% (270/4591) in adults. Adenovirus C (ADVC) had the highest co-infection rate (426/623, 68.3%) while influenza virus B had the lowest (55/546, 10.0%). ADVC-rhinovirus (HRV), respiratory syncytial virus A (RSVA)-HRV and RSVB -HRV pairings occurred at significantly higher frequencies than predicted by the proportional distribution model (p &lt;0.05). Additionally, several viral pairings had fewer co-infections than predicted by our model: notably metapneumovirus (hMPV)-parainfluenza virus 3, hMPV-RSVA and RSVA-RSVB. Conclusions: This is one of the largest studies on respiratory viral co-infections in children and adults. Coinfections are substantially more common in children, especially under 5 years of age, and the most frequent pairings occurred at a higher frequency than would be expected by random. Specific pairings occur at altered rates compared with those predicted by proportional distribution, suggesting either direct or indirect interactions result between specific viral pathogens. (C) 2020 European Society of Clinical Microbiology and Infectious Diseases. Published by Elsevier Ltd. All rights reserved.</t>
  </si>
  <si>
    <t xml:space="preserve">[Mandelia, Y.; Esper, F.] Cleveland Clin, Ctr Pediat Infect Dis, Cleveland, OH 44106 USA; [Procop, G. W.] Cleveland Clin, Dept Lab Med, Cleveland, OH 44106 USA; [Richter, S. S.] BioMerieux, 100 Rodolphe St, Durham, NC USA; [Worley, S.; Liu, W.] Cleveland Clin, Dept Quantitat Hlth Sci, Cleveland, OH 44106 USA</t>
  </si>
  <si>
    <t xml:space="preserve">Cleveland Clinic Foundation; Cleveland Clinic Foundation; Cleveland Clinic Foundation</t>
  </si>
  <si>
    <t xml:space="preserve">Esper, F (corresponding author), R3,9500 Euclid Ave, Cleveland, OH 44195 USA.</t>
  </si>
  <si>
    <t xml:space="preserve">esperf@ccf.org</t>
  </si>
  <si>
    <t xml:space="preserve">1198-743X</t>
  </si>
  <si>
    <t xml:space="preserve">1469-0691</t>
  </si>
  <si>
    <t xml:space="preserve">CLIN MICROBIOL INFEC</t>
  </si>
  <si>
    <t xml:space="preserve">Clin. Microbiol. Infect.</t>
  </si>
  <si>
    <t xml:space="preserve">10.1016/j.cmi.2020.05.042</t>
  </si>
  <si>
    <t xml:space="preserve">APR 2021</t>
  </si>
  <si>
    <t xml:space="preserve">SO7CK</t>
  </si>
  <si>
    <t xml:space="preserve">WOS:000659131600023</t>
  </si>
  <si>
    <t xml:space="preserve">O'Callaghan-Gordo, C; Bassat, Q; Morais, L; Díez-Padrisa, N; Machevo, S; Nhampossa, T; Nhalungo, D; Sanz, S; Quintó, L; Alonso, PL; Roca, A</t>
  </si>
  <si>
    <t xml:space="preserve">O'Callaghan-Gordo, Cristina; Bassat, Quique; Morais, Luis; Diez-Padrisa, Nuria; Machevo, Sonia; Nhampossa, Tacilta; Nhalungo, Delino; Sanz, Sergi; Quinto, Llorenc; Alonso, Pedro L.; Roca, Anna</t>
  </si>
  <si>
    <t xml:space="preserve">Etiology and Epidemiology of Viral Pneumonia Among Hospitalized Children in Rural Mozambique A Malaria Endemic Area With High Prevalence of Human Immunodeficiency Virus</t>
  </si>
  <si>
    <t xml:space="preserve">pneumonia; respiratory virus; epidemiology; HIV; developing countries</t>
  </si>
  <si>
    <t xml:space="preserve">RESPIRATORY-SYNCYTIAL-VIRUS; COMMUNITY-ACQUIRED PNEUMONIA; TRACT INFECTIONS; HUMAN METAPNEUMOVIRUS; TYPE-1 INFECTION; INFLUENZA-B; DETERMINANTS; DISEASE; IMPACT; COHORT</t>
  </si>
  <si>
    <t xml:space="preserve">Background: The role of viruses in pediatric pneumonia remains poorly studied in sub-Saharan Africa, where pneumonia-associated mortality is high. Methods: During a 1-year hospital-based surveillance, a nasopharyngeal aspirate (NPA) was collected from children aged &lt;5 years admitted to hospital in rural Mozambique with clinically severe pneumonia. Identification of 12 respiratory viruses was performed by polymerase chain reactions (PCR). Study children were also tested for invasive bacterial infection (IBI), Plasmodium falciparum parasitemia, and HIV. Results: Almost half (394/807) of the children hospitalized with clinically severe pneumonia had at least one respiratory virus detected. A total of 475 viruses were detected among these 394 children, the most prevalent ones were rhinovirus (41%), adenovirus (21%), and respiratory syncytial virus (11%). Eleven percent of viral infected children had concomitant IBI, 15% had malaria parasites, and 25% had HIV coinfection. Viral infection was 5.5 to 16 times more prevalent among HIV-infected children and incidence rate ratios varied according to virus. Inhospital mortality of viral cases was 9%, being highest among cases with IBI coinfection (odds ratio = 7) or HIV infection (odds ratio = 7). Conclusions: Study results highlight the high prevalence of respiratory viruses among hospitalized pneumonia cases in Mozambique. HIV infection is an important contributor to the high burden of disease and associated mortality of viral pneumonia. IBI also contributes to a worse prognosis of viral cases. Strategies to prevent mother-to-child transmission of HIV as well as introduction of Hib and pneumococcal vaccines could have a substantial impact on reduction of viral pneumonia and associated mortality among children in rural Africa.</t>
  </si>
  <si>
    <t xml:space="preserve">[O'Callaghan-Gordo, Cristina; Bassat, Quique; Diez-Padrisa, Nuria; Sanz, Sergi; Quinto, Llorenc; Alonso, Pedro L.; Roca, Anna] Univ Barcelona, IDIBAPS, Hosp Clin, Barcelona Ctr Int Hlth Res CRESIB, E-08036 Barcelona, Spain; [O'Callaghan-Gordo, Cristina; Bassat, Quique; Morais, Luis; Machevo, Sonia; Nhampossa, Tacilta; Nhalungo, Delino; Alonso, Pedro L.; Roca, Anna] CISM, Maputo, Mozambique; [Bassat, Quique] CIBERESP, Barcelona, Spain; [Machevo, Sonia] Univ Eduardo Mondlane, Maputo, Mozambique; [Nhampossa, Tacilta] Minist Saude, Inst Nacl Saude, Maputo, Mozambique</t>
  </si>
  <si>
    <t xml:space="preserve">University of Barcelona; Hospital Clinic de Barcelona; IDIBAPS; ISGlobal; CRESIB; Centro de Investigacao em Saude de Manhica; CIBER - Centro de Investigacion Biomedica en Red; CIBERESP; Eduardo Mondlane University</t>
  </si>
  <si>
    <t xml:space="preserve">Roca, A (corresponding author), Univ Barcelona, IDIBAPS, Hosp Clin, Barcelona Ctr Int Hlth Res CRESIB, C Villarroel 170, E-08036 Barcelona, Spain.</t>
  </si>
  <si>
    <t xml:space="preserve">aroca@clinic.ub.es</t>
  </si>
  <si>
    <t xml:space="preserve">Sanz, Sergi/AAY-7211-2020; O'Callaghan-Gordo, Cristina/JXL-5368-2024; Diez-Padrisa, Nuria/AAE-1000-2020; Alonso, Pedro Luis/AAZ-3645-2020; Bassat, Quique/P-2341-2016</t>
  </si>
  <si>
    <t xml:space="preserve">Alonso, Pedro Luis/0000-0003-3292-3443; O'Callaghan-Gordo, Cristina/0000-0002-4229-2991; Quinto, Llorenc/0000-0001-9992-6951; Sanz Bravo, Sergi/0000-0001-5010-4527; Bassat, Quique/0000-0003-0875-7596</t>
  </si>
  <si>
    <t xml:space="preserve">Health Research Found of the Spanish Ministry of Science and Innovation [FIS: 05/0172]; World Health Organization [C6-181-489]; Bill and Melinda Gates Foundation [45 452]; Spanish Agency of International Cooperation; Spanish Ministry of Science and Innovation [FIS: CM05/00134]; Ramon y Cajal [RYC-2008-02777]</t>
  </si>
  <si>
    <t xml:space="preserve">Health Research Found of the Spanish Ministry of Science and Innovation(Ministry of Science and Innovation, Spain (MICINN)); World Health Organization(World Health Organization); Bill and Melinda Gates Foundation(Bill &amp; Melinda Gates Foundation); Spanish Agency of International Cooperation(Spanish Government); Spanish Ministry of Science and Innovation(Ministry of Science and Innovation, Spain (MICINN)Spanish Government); Ramon y Cajal(Spanish Government)</t>
  </si>
  <si>
    <t xml:space="preserve">Supported by grants from the Health Research Found of the Spanish Ministry of Science and Innovation (FIS: 05/0172), the World Health Organization (C6-181-489), and Bill and Melinda Gates Foundation (45 452). The Centro de Investigacao em Saude da Manhic, a receives major core funding from the Spanish Agency of International Cooperation. In addition, supported, during the time of the study, by grants from the Spanish Ministry of Science and Innovation FIS: CM05/00134 (to Q. B.) and Ramon y Cajal: RYC-2008-02777 (to A.R.).</t>
  </si>
  <si>
    <t xml:space="preserve">10.1097/INF.0b013e3181f232fe</t>
  </si>
  <si>
    <t xml:space="preserve">697FU</t>
  </si>
  <si>
    <t xml:space="preserve">WOS:000285498800011</t>
  </si>
  <si>
    <t xml:space="preserve">Bulkow, LR; Singleton, RJ; DeByle, C; Miernyk, K; Redding, G; Hummel, KB; Chikoyak, L; Hennessy, TW</t>
  </si>
  <si>
    <t xml:space="preserve">Bulkow, Lisa R.; Singleton, Rosalyn J.; DeByle, Carolynn; Miernyk, Karen; Redding, Gregory; Hummel, Kimberlee Boyd; Chikoyak, Lori; Hennessy, Thomas W.</t>
  </si>
  <si>
    <t xml:space="preserve">Risk Factors for Hospitalization With Lower Respiratory Tract Infections in Children in Rural Alaska</t>
  </si>
  <si>
    <t xml:space="preserve">pneumonia; respiratory infectious diseases; case-control study; risk factors; Alaska Native</t>
  </si>
  <si>
    <t xml:space="preserve">SYNCYTIAL VIRUS-INFECTION; HUMAN METAPNEUMOVIRUS; HEALTHY INFANTS; DISEASE; POPULATION; BURDEN; INUIT; ASPIRATION; IMPACT</t>
  </si>
  <si>
    <t xml:space="preserve">WHAT'S KNOWN ON THIS SUBJECT: Rural Alaska children have high rates of hospitalization with lower respiratory tract infections from a variety of pathogens. Past studies of risk factors for respiratory syncytial virus infection associated medically high-risk status, household crowding, and infant feeding practices with hospitalization. WHAT THIS STUDY ADDS: This study reveals the importance of medically high-risk status and infant feeding practices as important factors in respiratory hospitalization. In addition, we identified woodstove use and the absence of 2 or more sinks in household as risk factors for hospitalization.</t>
  </si>
  <si>
    <t xml:space="preserve">[Bulkow, Lisa R.; DeByle, Carolynn; Miernyk, Karen; Hummel, Kimberlee Boyd; Hennessy, Thomas W.] Ctr Dis Control &amp; Prevent, Arctic Invest Program, Div Preparedness &amp; Emerging Infect, Natl Ctr Emerging &amp; Zoonot Infect Dis, Anchorage, AK 99508 USA; [Singleton, Rosalyn J.] Alaska Native Tribal Hlth Consortium, Anchorage, AK USA; [Redding, Gregory] Univ Washington, Sch Med, Dept Pediat, Seattle, WA 98195 USA; [Chikoyak, Lori] Yukon Kuskokwim Hlth Corp, Bethel, AK USA</t>
  </si>
  <si>
    <t xml:space="preserve">Centers for Disease Control &amp; Prevention - USA; Alaska Native Tribal Health Consortium; University of Washington; University of Washington Seattle</t>
  </si>
  <si>
    <t xml:space="preserve">Bulkow, LR (corresponding author), Ctr Dis Control &amp; Prevent, Arctic Invest Program, Div Preparedness &amp; Emerging Infect, Natl Ctr Emerging &amp; Zoonot Infect Dis, 4055 Tudor Ctr Dr, Anchorage, AK 99508 USA.</t>
  </si>
  <si>
    <t xml:space="preserve">lrb2@cdc.gov</t>
  </si>
  <si>
    <t xml:space="preserve">Pfizer; Medimmune</t>
  </si>
  <si>
    <t xml:space="preserve">Pfizer(Pfizer); Medimmune(AstraZenecaMedimmune)</t>
  </si>
  <si>
    <t xml:space="preserve">Dr Singleton received grant funding from Pfizer; the other authors have indicated they have no financial relationships relevant to this article to disclose.This study was supported in part by a grant from Medimmune to Dr Singleton.</t>
  </si>
  <si>
    <t xml:space="preserve">1098-4275</t>
  </si>
  <si>
    <t xml:space="preserve">E1220</t>
  </si>
  <si>
    <t xml:space="preserve">E1227</t>
  </si>
  <si>
    <t xml:space="preserve">10.1542/peds.2011-1943</t>
  </si>
  <si>
    <t xml:space="preserve">951GT</t>
  </si>
  <si>
    <t xml:space="preserve">WOS:000304709600003</t>
  </si>
  <si>
    <t xml:space="preserve">Jullien, S; Pradhan, D; Tshering, T; Sharma, R; Dema, K; Garcia-Garcia, S; Ribó, JL; Muñoz-Almagro, C; Bassat, Q</t>
  </si>
  <si>
    <t xml:space="preserve">Jullien, Sophie; Pradhan, Dinesh; Tshering, Tashi; Sharma, Ragunath; Dema, Kumbu; Garcia-Garcia, Selene; Luis Ribo, Jose; Munoz-Almagro, Carmen; Bassat, Quique</t>
  </si>
  <si>
    <t xml:space="preserve">Pneumonia in children admitted to the national referral hospital in Bhutan: A prospective cohort study</t>
  </si>
  <si>
    <t xml:space="preserve">Pneumonia; Respiratory infection; Viruses; Epidemiology; Bhutan; Child preschool</t>
  </si>
  <si>
    <t xml:space="preserve">HUMAN METAPNEUMOVIRUS INFECTION; RESPIRATORY-TRACT INFECTIONS; DEVELOPING-COUNTRIES; CHILDHOOD PNEUMONIA; YOUNG-CHILDREN; RISK-FACTORS; EPIDEMIOLOGY; HYPOXEMIA; DIAGNOSIS; DISEASE</t>
  </si>
  <si>
    <t xml:space="preserve">Objectives: The study aim was to describe the etiological profile and clinical characteristics of pneumonia among children hospitalized in Thimphu, Bhutan. Methods: This prospective study enrolled children aged 2-59 months admitted to the Jigme Dorji Wangchuck National Referral Hospital with World Health Organization (WHO)-defined clinical pneumonia. Demographic and clinico-radiological data were collected through questionnaires, physical examination, and chest radiography. Blood samples and nasopharyngeal washing were collected for microbiological analysis including culture and molecular methods. Results: From July 2017 to June 2018,189 children were enrolled, of which 53.4% were infants. Pneumoniarelated admissions were less frequent over the winter. Chest radiographies were obtained in 149 children; endpoints included pneumonia in 39 cases (26.2%), other infiltrates in 31 (20.8%), and were normal in 79 children (53.0%). Non-contaminated bacterial growth was detected in 8/152 (5.3%) blood cultures, with only two cases of Streptococcus pneumoniae. Viral detection in upper respiratory secretions was common, with at least one virus detected in 103/115 (89.6%). The three most-commonly isolated viruses were respiratory syncytial virus (52/115; 45.2%), rhinovirus (42/115; 36.5%), and human parainfluenza virus (19/115; 16.5%). A third of patients with viral infections showed mixed infections. Case fatality rate was 3.2% (6/189). Conclusion: Respiratory viral infections predominated among this cohort of WHO-defined clinical pneumonia cases, whereas bacterial aetiologies were uncommon, highlighting the epidemiologic transition that Bhutan seems to have reached. (C) 2020 The Authors. Published by Elsevier Ltd on behalf of International Society for Infectious Diseases.</t>
  </si>
  <si>
    <t xml:space="preserve">[Jullien, Sophie; Bassat, Quique] Univ Barcelona, ISGlobal, Hosp Clin, Carrer Rossello 132, Barcelona 08036, Spain; [Jullien, Sophie; Sharma, Ragunath; Dema, Kumbu] Jigme Dorji Wangchuck Natl Referral Hosp JDWNRH, Gongphel Lam, Thimphu, Bhutan; [Pradhan, Dinesh; Tshering, Tashi] Khesar Gyalpo Univ Med Sci Bhutan KGUMSB, JDWNRH, POB 446,Old Med Block, Menkhang Lam, Thimphu, Bhutan; [Garcia-Garcia, Selene; Munoz-Almagro, Carmen; Bassat, Quique] Univ Barcelona, Hosp St Joan de Deu, Pg St Joan de Deu 2, Barcelona 08950, Spain; [Luis Ribo, Jose] Hosp Univ Gen Catalunya, Carrer Pedro &amp; Pons 1, Barcelona 08195, Spain; [Munoz-Almagro, Carmen; Bassat, Quique] Consorcio Invest Biomed Red Epidemiol &amp; Salud Pub, Ave Monforte de Lemos 3-5, Madrid 28029, Spain; [Munoz-Almagro, Carmen] Univ Int Catalunya, Dept Med, Barcelona 08195, Spain; [Bassat, Quique] Ctr Invest Saude Manhica CISM, Rua 12,CP 1929, Maputo, Mozambique; [Bassat, Quique] Catalan Inst Res &amp; Adv Studies ICREA, Pg Lluis Co 23, Barcelona 08010, Spain</t>
  </si>
  <si>
    <t xml:space="preserve">University of Barcelona; Hospital Clinic de Barcelona; ISGlobal; University of Barcelona; quironsalud Group; CIBER - Centro de Investigacion Biomedica en Red; CIBERESP; Universitat Internacional de Catalunya (UIC); Centro de Investigacao em Saude de Manhica; ICREA</t>
  </si>
  <si>
    <t xml:space="preserve">Jullien, S (corresponding author), Univ Barcelona, ISGlobal, Hosp Clin, Carrer Rossello 132, Barcelona 08036, Spain.</t>
  </si>
  <si>
    <t xml:space="preserve">sophie.jullien@isglobal.org; dinesh.bhutan@gmail.com; ttshering@mrrh.gov.bt; ragunathsharma959@yahoo.com; kdematnor1979@gmail.com; selenegarciagg@gmail.com; joseluisribo@gmail.com; cma@sjdhospitalbarcelona.org; quique.bassat@isglobal.org</t>
  </si>
  <si>
    <t xml:space="preserve">Muñoz-Almagro, Carmen/HNR-8695-2023; Jullien, Sophie/JTZ-5888-2023; Bassat, Quique/P-2341-2016</t>
  </si>
  <si>
    <t xml:space="preserve">Jullien, Sophie/0000-0001-5587-626X; Pradhan, Dinesh/0000-0003-4344-9599; Bassat, Quique/0000-0003-0875-7596</t>
  </si>
  <si>
    <t xml:space="preserve">Secretariat of Universities and Research, Ministry of Enterprise and Knowledge of the Government of Catalonia; European Social Fund; Spanish Society of Paediatric Infectology (Sociedad Espanola de Infectologia Pediatrica, SEIP)</t>
  </si>
  <si>
    <t xml:space="preserve">Secretariat of Universities and Research, Ministry of Enterprise and Knowledge of the Government of Catalonia; European Social Fund(European Social Fund (ESF)); Spanish Society of Paediatric Infectology (Sociedad Espanola de Infectologia Pediatrica, SEIP)</t>
  </si>
  <si>
    <t xml:space="preserve">SJ received a pre-doctoral fellowship from the Secretariat of Universities and Research, Ministry of Enterprise and Knowledge of the Government of Catalonia and co-funded by European Social Fund. This work was supported by a scholarship from the Spanish Society of Paediatric Infectology (Sociedad Espanola de Infectologia Pediatrica, SEIP). None of the funding sources were involved in the study design, data collection, analysis, interpretation of the data, and writing of the manuscript.</t>
  </si>
  <si>
    <t xml:space="preserve">10.1016/j.ijid.2020.04.017</t>
  </si>
  <si>
    <t xml:space="preserve">LY7VW</t>
  </si>
  <si>
    <t xml:space="preserve">WOS:000540737100013</t>
  </si>
  <si>
    <t xml:space="preserve">Bhuiyan, MU; Snelling, T; Sikazwe, C; Lang, J; Borland, M; Martin, A; Richmond, P; Jaffe, A; Smith, D; Blyth, C</t>
  </si>
  <si>
    <t xml:space="preserve">Bhuiyan, Mejbah Uddin; Snelling, Tom; Sikazwe, Chisha; Lang, Jurissa; Borland, Meredith; Martin, Andrew; Richmond, Peter; Jaffe, Adam; Smith, David; Blyth, Christopher</t>
  </si>
  <si>
    <t xml:space="preserve">Nasopharyngeal density of respiratory viruses in childhood pneumonia in a highly vaccinated setting: findings from a case-control study</t>
  </si>
  <si>
    <t xml:space="preserve">BMJ OPEN RESPIRATORY RESEARCH</t>
  </si>
  <si>
    <t xml:space="preserve">pneumonia; respiratory infection; viral infection</t>
  </si>
  <si>
    <t xml:space="preserve">COMMUNITY-ACQUIRED PNEUMONIA; REAL-TIME PCR; DISEASE SEVERITY; SYNCYTIAL VIRUS; VIRAL LOAD; HAEMOPHILUS-INFLUENZAE; CHILDREN; TRACT; COLONIZATION; EPIDEMIOLOGY</t>
  </si>
  <si>
    <t xml:space="preserve">Background Detection of pneumonia-causing respiratory viruses in the nasopharynx of asymptomatic children has made their actual contribution to pneumonia unclear. We compared nasopharyngeal viral density between children with and without pneumonia to understand if viral density could be used to diagnose pneumonia. Methods Nasopharyngeal swabs (NPS) were collected from hospitalised pneumonia cases at Princess Margaret Hospital (PMH) and contemporaneous age-matched controls at PMH outpatient clinics and a local immunisation clinic in Perth, Australia. The density (copies/mL) of respiratory syncytial virus (RSV), influenza A virus (InfA), human metapneumovirus (HMPV) and rhinovirus in NPS was determined using quantitative PCR. Linear regression analysis was done to assess the trend between viral density and age in months. The association between viral density and disease status was examined using logistic regression. Area under receiver operating characteristic (AUROC) curves were assessed to determine optimal discriminatory viral density cut-offs. Results Through May 2015 to October 2017, 230 pneumonia cases and 230 controls were enrolled. Median nasopharyngeal density for any respiratory virus was not substantially higher in cases than controls (p&gt;0.05 for each). A decreasing density trend with increasing age was observed-the trend was statistically significant for RSV (regression coefficient -0.04, p=0.004) but not for other viruses. After adjusting for demographics and other viral densities, for every log(10) copies/mL density increase, the odds of being a case increased by six times for RSV, three times for HMPV and two times for InfA. The AUROC curves were &lt;0.70 for each virus, suggesting poor case-control discrimination based on viral density. Conclusion The nasopharyngeal density of respiratory viruses was not significantly higher in children with pneumonia than those without; however, the odds of being a case increased with increased density for some viruses. The utility of viral density, alone, in defining pneumonia was limited.</t>
  </si>
  <si>
    <t xml:space="preserve">[Bhuiyan, Mejbah Uddin; Snelling, Tom] Telethon Kids Inst, Wesfarmers Ctr Vaccines &amp; Infect Dis, Nedlands, WA, Australia; [Bhuiyan, Mejbah Uddin; Borland, Meredith; Richmond, Peter; Blyth, Christopher] Univ Western Australia, Sch Med, Fac Hlth &amp; Med Sci, Perth, WA, Australia; [Snelling, Tom; Blyth, Christopher] Perth Childrens Hosp, Dept Infect Dis, Nedlands, WA, Australia; [Sikazwe, Chisha; Lang, Jurissa; Smith, David] PathWest Lab Med WA, Nedlands, WA, Australia; [Borland, Meredith] Perth Childrens Hosp, Emergency Dept, Nedlands, WA, Australia; [Martin, Andrew; Richmond, Peter] Perth Childrens Hosp, Dept Gen Paediat, Nedlands, WA, Australia; [Jaffe, Adam] Univ New South Wales, Sch Womens &amp; Childrens Hlth, Fac Med, Sydney, NSW, Australia; [Smith, David] Univ Western Australia, Sch Biomed Sci, Fac Hlth &amp; Med Sci, Perth, WA, Australia</t>
  </si>
  <si>
    <t xml:space="preserve">The Kids Research Institute Australia; University of Western Australia; Wesfarmers Limited; University of Western Australia; Perth Childrens Hospital; Perth Childrens Hospital; Perth Childrens Hospital; University of New South Wales Sydney; University of Western Australia</t>
  </si>
  <si>
    <t xml:space="preserve">Bhuiyan, MU (corresponding author), Telethon Kids Inst, Wesfarmers Ctr Vaccines &amp; Infect Dis, Nedlands, WA, Australia.;Bhuiyan, MU (corresponding author), Univ Western Australia, Sch Med, Fac Hlth &amp; Med Sci, Perth, WA, Australia.</t>
  </si>
  <si>
    <t xml:space="preserve">mejbah.bhuiyan@telethonkids.org.au</t>
  </si>
  <si>
    <t xml:space="preserve">Snelling, Tom/Y-2162-2019; Richmond, Peter/G-3379-2012; Bhuiyan, Mejbah/AAY-1238-2020; Blyth, Christopher/ABG-8231-2020</t>
  </si>
  <si>
    <t xml:space="preserve">Sikazwe, Chisha/0000-0002-1052-9018; Blyth, Christopher Charles/0000-0003-2017-0683; Smith, David/0000-0002-3107-5182; Jaffe, Adam/0000-0002-1963-5415; Bhuiyan, Mejbah/0000-0002-8274-6265; Snelling, Thomas/0000-0003-4670-0638; Richmond, Peter/0000-0001-7562-7228</t>
  </si>
  <si>
    <t xml:space="preserve">Telethon--Perth Children's Hospital Research Fund, Perth Children's Hospital Foundation; Telethon Kids Institute; NHMRC Career Development Fellowships</t>
  </si>
  <si>
    <t xml:space="preserve">Telethon--Perth Children's Hospital Research Fund, Perth Children's Hospital Foundation; Telethon Kids Institute; NHMRC Career Development Fellowships(National Health &amp; Medical Research Council (NHMRC) of Australia)</t>
  </si>
  <si>
    <t xml:space="preserve">This work was supported by the Telethon--Perth Children's Hospital Research Fund, Perth Children's Hospital Foundation and Telethon Kids Institute. TS and CB are supported by NHMRC Career Development Fellowships.</t>
  </si>
  <si>
    <t xml:space="preserve">2052-4439</t>
  </si>
  <si>
    <t xml:space="preserve">BMJ OPEN RESPIR RES</t>
  </si>
  <si>
    <t xml:space="preserve">BMJ Open Respir. Res.</t>
  </si>
  <si>
    <t xml:space="preserve">e000593</t>
  </si>
  <si>
    <t xml:space="preserve">10.1136/bmjresp-2020-000593</t>
  </si>
  <si>
    <t xml:space="preserve">OD4QA</t>
  </si>
  <si>
    <t xml:space="preserve">WOS:000579836000001</t>
  </si>
  <si>
    <t xml:space="preserve">Hasan, R; Rhodes, J; Thamthitiwat, S; Olsen, SJ; Prapasiri, P; Naorat, S; Chittaganpitch, M; Henchaichon, S; Dejsirilert, S; Srisaengchai, P; Sawatwong, P; Jorakate, P; Kaewpwan, A; Fry, AM; Erdman, D; Chuananon, S; Amornintapichet, T; Maloney, SA; Baggett, HC</t>
  </si>
  <si>
    <t xml:space="preserve">Hasan, Reem; Rhodes, Julia; Thamthitiwat, Somsak; Olsen, Sonja J.; Prapasiri, Prabda; Naorat, Sathapana; Chittaganpitch, Malinee; Henchaichon, Sununta; Dejsirilert, Surang; Srisaengchai, Prasong; Sawatwong, Pongpun; Jorakate, Possawat; Kaewpwan, Anek; Fry, Alicia M.; Erdman, Dean; Chuananon, Somchai; Amornintapichet, Tussanee; Maloney, Susan A.; Baggett, Henry C.</t>
  </si>
  <si>
    <t xml:space="preserve">Incidence and Etiology of Acute Lower Respiratory Tract Infections in Hospitalized Children Younger Than 5 Years in Rural Thailand</t>
  </si>
  <si>
    <t xml:space="preserve">pneumonia; respiratory illness; Thailand; pediatric</t>
  </si>
  <si>
    <t xml:space="preserve">CHILDHOOD PNEUMONIA; REQUIRING HOSPITALIZATION; EPIDEMIOLOGY; BACTEREMIA; MANAGEMENT; ASTHMA; IMPACT</t>
  </si>
  <si>
    <t xml:space="preserve">Background: Pneumonia remains a leading cause of under-five morbidity and mortality globally. Comprehensive incidence, epidemiologic and etiologic data are needed to update prevention and control strategies. Methods: We conducted active, population-based surveillance for hospitalized cases of acute lower respiratory tract infections (ALRI) among children &lt;5 years of age in rural Thailand. ALRI cases were systematically sampled for an etiology study that tested nasopharyngeal specimens by polymerase chain reaction; children without ALRI were enrolled as controls from outpatient clinics. Results: We identified 28,543 hospitalized ALRI cases from 2005 to 2010. Among the 49% with chest radiographs, 76% had findings consistent with pneumonia as identified by 2 study radiologists. The hospitalized ALRI incidence rate was 5772 per 100,000 child-years (95% confidence interval: 5707, 5837) and was higher in boys versus girls (incidence rate ratio 1.38, 95% confidence interval: 1.35-1.41) and in children 6-23 months of age versus other age groups (incidence rate ratio 1.76, 95% confidence interval: 1.69-1.84). Viruses most commonly detected in ALRI cases were respiratory syncytial virus (19.5%), rhinoviruses (18.7%), bocavirus (12.8%) and influenza viruses (8%). Compared with controls, ALRI cases were more likely to test positive for respiratory syncytial virus, influenza, adenovirus, human metapneumovirus and parainfluenza viruses 1 and 3 (P 0.01 for all). Bloodstream infections, most commonly Streptococcus pneumoniae and nontyphoidal Salmonella, accounted for 1.8% of cases. Conclusions: Our findings underscore the high burden of hospitalization for ALRI and the importance of viral pathogens among children in Thailand. Interventions targeting viral pathogens coupled with improved diagnostic approaches, especially for bacteria, are critical for better understanding of ALRI etiology, prevention and control.</t>
  </si>
  <si>
    <t xml:space="preserve">[Hasan, Reem] Ctr Dis Control &amp; Prevent, CDC Hubert Global Hlth, Atlanta, GA USA; [Hasan, Reem; Rhodes, Julia; Thamthitiwat, Somsak; Olsen, Sonja J.; Prapasiri, Prabda; Naorat, Sathapana; Henchaichon, Sununta; Srisaengchai, Prasong; Sawatwong, Pongpun; Jorakate, Possawat; Kaewpwan, Anek; Maloney, Susan A.; Baggett, Henry C.] US Ctr Dis Control &amp; Prevent Collaborat, Global Dis Detect Reg Ctr, Int Emerging Infect Program, Thailand Minist Publ Hlth, Nonthaburi, Thailand; [Olsen, Sonja J.; Fry, Alicia M.] Ctr Dis Control &amp; Prevent, Influenza Div, Atlanta, GA USA; [Chittaganpitch, Malinee; Dejsirilert, Surang] Thailand Minist Publ Hlth, Natl Inst Hlth, Nonthaburi, Thailand; [Erdman, Dean] Ctr Dis Control &amp; Prevent, Div Viral Dis, Atlanta, GA USA; [Chuananon, Somchai] Nakhon Phanom Prov Hosp, Nakhon Phanom, Thailand; [Amornintapichet, Tussanee] Crown Prince Hosp, Sa Kaeo, Thailand; [Maloney, Susan A.; Baggett, Henry C.] Ctr Dis Control &amp; Prevent, Div Global Dis Detect &amp; Emergency Response, Atlanta, GA USA</t>
  </si>
  <si>
    <t xml:space="preserve">Centers for Disease Control &amp; Prevention - USA; Ministry of Public Health - Thailand; Centers for Disease Control &amp; Prevention - USA; Ministry of Public Health - Thailand; Centers for Disease Control &amp; Prevention - USA; Centers for Disease Control &amp; Prevention - USA</t>
  </si>
  <si>
    <t xml:space="preserve">Hasan, R (corresponding author), Dept Internal Med, 1500 E Med Ctr Dr SPC 5368, Ann Arbor, MI 48109 USA.</t>
  </si>
  <si>
    <t xml:space="preserve">rhasan@umich.edu</t>
  </si>
  <si>
    <t xml:space="preserve">Hasan, Reem/0000-0002-8557-0656</t>
  </si>
  <si>
    <t xml:space="preserve">CDC Foundation; Pneumococcal Vaccines Accelerated Development and Introduction Plan; GAVI Alliance; Johns Hopkins Bloomberg School of Public Health; CDC; International Emerging Infections Program (Global Disease Detection Program); Thailand Ministry of Public Health</t>
  </si>
  <si>
    <t xml:space="preserve">CDC Foundation(United States Department of Health &amp; Human ServicesCenters for Disease Control &amp; Prevention - USA); Pneumococcal Vaccines Accelerated Development and Introduction Plan; GAVI Alliance; Johns Hopkins Bloomberg School of Public Health(Johns Hopkins University); CDC(United States Department of Health &amp; Human ServicesCenters for Disease Control &amp; Prevention - USA); International Emerging Infections Program (Global Disease Detection Program); Thailand Ministry of Public Health</t>
  </si>
  <si>
    <t xml:space="preserve">R. H. was supported by the CDC Foundation for the completion of this work. Support for this project was also provided by Pneumococcal Vaccines Accelerated Development and Introduction Plan, which was funded by the GAVI Alliance and is based at the Johns Hopkins Bloomberg School of Public Health. Support for this project was also provided by the CDC and the International Emerging Infections Program (Global Disease Detection Program) and the Thailand Ministry of Public Health. The authors have no other funding or conflicts of interest to disclose.</t>
  </si>
  <si>
    <t xml:space="preserve">E45</t>
  </si>
  <si>
    <t xml:space="preserve">E52</t>
  </si>
  <si>
    <t xml:space="preserve">10.1097/INF.0000000000000062</t>
  </si>
  <si>
    <t xml:space="preserve">AA5KZ</t>
  </si>
  <si>
    <t xml:space="preserve">WOS:000331139100004</t>
  </si>
  <si>
    <t xml:space="preserve">Turner, P; Turner, C; Watthanaworawit, W; Carrara, V; Cicelia, N; Deglise, C; Phares, C; Ortega, L; Nosten, F</t>
  </si>
  <si>
    <t xml:space="preserve">Turner, Paul; Turner, Claudia; Watthanaworawit, Wanitda; Carrara, Verena; Cicelia, Naw; Deglise, Carole; Phares, Christina; Ortega, Luis; Nosten, Francois</t>
  </si>
  <si>
    <t xml:space="preserve">Respiratory virus surveillance in hospitalised pneumonia patients on the Thailand-Myanmar border</t>
  </si>
  <si>
    <t xml:space="preserve">Pneumonia; Refugee; Influenza; Respiratory; Virus</t>
  </si>
  <si>
    <t xml:space="preserve">AGED 2-59 MONTHS; CHILDHOOD PNEUMONIA; DEVELOPING-COUNTRIES; TRACT INFECTIONS; ORAL AMOXICILLIN; CONTROLLED-TRIAL; KILIFI DISTRICT; YOUNG-CHILDREN; ETIOLOGY; KENYA</t>
  </si>
  <si>
    <t xml:space="preserve">Background: Pneumonia is a significant cause of morbidity and mortality in the developing world. Viruses contribute significantly to pneumonia burden, although data for low-income and tropical countries are scarce. The aim of this laboratory-enhanced, hospital-based surveillance was to characterise the epidemiology of respiratory virus infections among refugees living on the Thailand-Myanmar border. Methods: Maela camp provides shelter for similar to 45,000 refugees. Inside the camp, a humanitarian organisation provides free hospital care in a 158-bed inpatient department (IPD). Between 1st April 2009 and 30th September 2011, all patients admitted to the IPD with a clinical diagnosis of pneumonia were invited to participate. Clinical symptoms and signs were recorded and a nasopharyngeal aspirate (NPA) collected. NPAs were tested for adenoviruses, human metapneumovirus (hMPV), influenza A &amp; B, and RSV by PCR. Results: Seven hundred eight patient episodes (698 patients) diagnosed as pneumonia during the enhanced surveillance period were included in this analysis. The median patient age was 1 year (range: &lt; 1-70), and 90.4% were aged &lt; 5 years. At least one virus was detected in 53.7% (380/708) of episodes. Virus detection was more common in children aged &lt; 5 years old (&lt; 1 year: OR 2.0, 95% CI 1.2-3.4, p = 0.01; 1-4 years: OR 1.4, 95% CI 0.8-2.3, p = 0.2). RSV was detected in 176/708 (24.9%); an adenovirus in 133/708 (18.8%); an influenza virus in 68/708 (9.6%); and hMPV in 33/708 (4.7%). Twenty-eight episodes of multiple viral infections were identified, most commonly adenovirus plus another virus. RSV was more likely to be detected in children &lt;5 years (OR 12.3, 95% CI 3.0-50.8, p = 0.001) and influenza viruses in patients &gt;= 5 years (OR 2.8, 95% CI 1.5-5.4, p = 0.002). IPD treatment was documented in 702/708 cases; all but one patient received antimicrobials, most commonly a beta-lactam (amoxicillin/ampicillin +/-gentamicin in 664/701, 94.7%). Conclusions: Viral nucleic acid was identified in the nasopharynx in half the patients admitted with clinically diagnosed pneumonia. Development of immunisations targeting common respiratory viruses is likely to reduce the incidence of pneumonia in children living refugee camps and similar settings.</t>
  </si>
  <si>
    <t xml:space="preserve">[Turner, Paul; Turner, Claudia; Watthanaworawit, Wanitda; Carrara, Verena; Cicelia, Naw; Nosten, Francois] Shoklo Malaria Res Unit, Mae Sot, Thailand; [Turner, Paul; Turner, Claudia; Watthanaworawit, Wanitda; Carrara, Verena; Nosten, Francois] Mahidol Oxford Trop Med Res Unit, Bangkok, Thailand; [Turner, Paul; Turner, Claudia; Nosten, Francois] Univ Oxford, Ctr Trop Med, Oxford, England; [Deglise, Carole] Premiere Urgence Aide Med Int, Mae Sot, Thailand; [Phares, Christina; Ortega, Luis] Ctr Dis Control &amp; Prevent Collaborat, Atlanta, GA USA</t>
  </si>
  <si>
    <t xml:space="preserve">Mahidol University; Mahidol Oxford Tropical Medicine Research Unit (MORU); University of Oxford; Centers for Disease Control &amp; Prevention - USA</t>
  </si>
  <si>
    <t xml:space="preserve">Turner, P (corresponding author), Shoklo Malaria Res Unit, Mae Sot, Thailand.</t>
  </si>
  <si>
    <t xml:space="preserve">pault@tropmedres.ac</t>
  </si>
  <si>
    <t xml:space="preserve">Carrara, Verena/R-6492-2019; Nosten, Francois/AAC-5509-2019</t>
  </si>
  <si>
    <t xml:space="preserve">carrara, verena/0000-0002-2758-0872; Nosten, Francois/0000-0002-7951-0745; Turner, Paul/0000-0002-1013-7815</t>
  </si>
  <si>
    <t xml:space="preserve">US-CDC [5U50CI000473]; Wellcome Trust of Great Britain</t>
  </si>
  <si>
    <t xml:space="preserve">US-CDC(United States Department of Health &amp; Human ServicesCenters for Disease Control &amp; Prevention - USA); Wellcome Trust of Great Britain(Wellcome Trust)</t>
  </si>
  <si>
    <t xml:space="preserve">We are grateful for the hard work of Say Paw and Mallika (SMRU clinic, Maela) and for the support of the clinical staff at the PU-AMI hospital in Maela. This work was supported by a US-CDC cooperative agreement (5U50CI000473). SMRU is part of the Mahidol Oxford University Tropical Medicine Research Unit, supported by the Wellcome Trust of Great Britain.</t>
  </si>
  <si>
    <t xml:space="preserve">SEP 16</t>
  </si>
  <si>
    <t xml:space="preserve">10.1186/1471-2334-13-434</t>
  </si>
  <si>
    <t xml:space="preserve">219RA</t>
  </si>
  <si>
    <t xml:space="preserve">WOS:000324525000001</t>
  </si>
  <si>
    <t xml:space="preserve">Evashuk, KMA; Forgie, SE; Gilmour, S; Huynh, H; Lee, BE; Robinson, JL</t>
  </si>
  <si>
    <t xml:space="preserve">Evashuk, K. M. A.; Forgie, S. E.; Gilmour, S.; Huynh, H.; Lee, B. E.; Robinson, J. L.</t>
  </si>
  <si>
    <t xml:space="preserve">Respiratory failure associated with human metapneumovirus infection in an infant posthepatic transplant</t>
  </si>
  <si>
    <t xml:space="preserve">AMERICAN JOURNAL OF TRANSPLANTATION</t>
  </si>
  <si>
    <t xml:space="preserve">pneumonia; posttransplant infection; transplant hepatology; viral infection</t>
  </si>
  <si>
    <t xml:space="preserve">TRACT INFECTIONS; SYNCYTIAL VIRUS; CHILDREN; RECIPIENTS; DIAGNOSIS; HMPV</t>
  </si>
  <si>
    <t xml:space="preserve">This is the first reported case of respiratory failure associated with human metapneumovirus (hMPV) infection in a liver transplant recipient or in a pediatric solid transplant recipient. A 9-month-old female developed respiratory distress 8 days following a liver transplant. hMPV was detected and she required intubation followed by extracorporeal membrane oxygenation for 26 days. Immunosuppressive medications were stopped during the acute infection except for methylprednisolone as treatment for acute respiratory distress. Serial Doppler ultrasounds were used to monitor for hepatic vessel thromboses and serum liver function tests to assess for hepatic dysfunction and there was no evidence of allograft rejection. The patient recovered from the nosocomial hMPV infection with satisfactory pulmonary function and possible mild developmental delay.</t>
  </si>
  <si>
    <t xml:space="preserve">[Evashuk, K. M. A.; Forgie, S. E.; Gilmour, S.; Huynh, H.; Lee, B. E.; Robinson, J. L.] Stollery Childrens Hosp, Dept Pediat, Edmonton, AB, Canada</t>
  </si>
  <si>
    <t xml:space="preserve">Stollery Children's Hospital</t>
  </si>
  <si>
    <t xml:space="preserve">Robinson, JL (corresponding author), Stollery Childrens Hosp, Dept Pediat, Edmonton, AB, Canada.</t>
  </si>
  <si>
    <t xml:space="preserve">jr3@ualberta.ca</t>
  </si>
  <si>
    <t xml:space="preserve">Forgie, Sarah/AAI-5540-2021; Huynh, Hien/Q-8543-2019</t>
  </si>
  <si>
    <t xml:space="preserve">, Susan/0000-0003-2432-1549; Forgie, Sarah/0000-0001-8073-5389</t>
  </si>
  <si>
    <t xml:space="preserve">1600-6135</t>
  </si>
  <si>
    <t xml:space="preserve">1600-6143</t>
  </si>
  <si>
    <t xml:space="preserve">AM J TRANSPLANT</t>
  </si>
  <si>
    <t xml:space="preserve">Am. J. Transplant.</t>
  </si>
  <si>
    <t xml:space="preserve">10.1111/j.1600-6143.2008.02278.x</t>
  </si>
  <si>
    <t xml:space="preserve">Surgery; Transplantation</t>
  </si>
  <si>
    <t xml:space="preserve">324WJ</t>
  </si>
  <si>
    <t xml:space="preserve">WOS:000257549800030</t>
  </si>
  <si>
    <t xml:space="preserve">del Rosal, T; Bote-Gascón, P; Falces-Romero, I; Sainz, T; Baquero-Artigao, F; Rodríguez-Molino, P; Méndez-Echevarría, A; Bravo-Queipo-de-Llano, B; Alonso, LA; Calvo, C</t>
  </si>
  <si>
    <t xml:space="preserve">del Rosal, Teresa; Bote-Gascon, Patricia; Falces-Romero, Iker; Sainz, Talia; Baquero-Artigao, Fernando; Rodriguez-Molino, Paula; Mendez-Echevarria, Ana; Bravo-Queipo-de-Llano, Blanca; Alonso, Luis A.; Calvo, Cristina</t>
  </si>
  <si>
    <t xml:space="preserve">Multiplex PCR and Antibiotic Use in Children with Community-Acquired Pneumonia</t>
  </si>
  <si>
    <t xml:space="preserve">pneumonia; multiplex polymerase chain reaction; viruses; anti-bacterial agents</t>
  </si>
  <si>
    <t xml:space="preserve">RESPIRATORY PATHOGENS; IMPACT</t>
  </si>
  <si>
    <t xml:space="preserve">Antibiotics are frequently prescribed to children with pneumonia, although viruses are responsible for most cases. We aimed to evaluate the impact of multiplex polymerase chain reaction (mPCR) on antibiotic use. We conducted a prospective study of children under 14 years of age admitted for suspected viral pneumonia, from October 2019 to June 2022 (except March-November 2020). A mPCR respiratory panel (FilmArray (R) 2plus, bioMerieux, Marcy-l'etoile, France) was performed within 72 h of admission. Patients with positive reverse transcription PCR for respiratory syncytial virus, influenza, or SARS-CoV-2 were excluded. We compared the patients with historical controls (2017-2018) who had suspected viral pneumonia but did not undergo an aetiological study. We included 64 patients and 50 controls, with a median age of 26 months. The respiratory panel detected viral pathogens in 55 patients (88%), including 17 (31%) with co-infections. Rhinovirus/enterovirus (n = 26) and human metapneumovirus (n = 22) were the most common pathogens, followed by adenovirus and parainfluenza (n = 10). There were no statistically significant differences in the total antibiotic consumption (83% of cases and 86% of controls) or antibiotics given for &gt;= 72 h (58% vs. 66%). Antibiotics were prescribed in 41% of the cases and 72% of the controls at discharge (p = 0.001). Ampicillin was the most commonly prescribed antibiotic among the patients (44% vs. 18% for controls, p = 0.004), while azithromycin was the most commonly prescribed among the controls (19% vs. 48% for patients and controls, respectively; p = 0.001). Our findings underscore the need for additional interventions alongside molecular diagnosis to reduce antibiotic usage in paediatric community-acquired pneumonia.</t>
  </si>
  <si>
    <t xml:space="preserve">[del Rosal, Teresa; Bote-Gascon, Patricia; Sainz, Talia; Baquero-Artigao, Fernando; Rodriguez-Molino, Paula; Mendez-Echevarria, Ana; Bravo-Queipo-de-Llano, Blanca; Alonso, Luis A.; Calvo, Cristina] Hosp Univ La Paz, Inst Hlth Res IdiPAZ, Pediat &amp; Infect Dis Dept, Paseo Castellana 261, Madrid 28046, Spain; [del Rosal, Teresa; Bote-Gascon, Patricia; Sainz, Talia; Baquero-Artigao, Fernando; Rodriguez-Molino, Paula; Mendez-Echevarria, Ana; Bravo-Queipo-de-Llano, Blanca; Alonso, Luis A.; Calvo, Cristina] Translat Res Network Pediat Infect Dis RITIP, Madrid 28046, Spain; [del Rosal, Teresa] Inst Salud Carlos III, Ctr Biomed Network Res Rare Dis CIBERER U767, Madrid 28029, Spain; [Bote-Gascon, Patricia] Hosp Univ La Paz, Pediat Emergency Dept, Madrid 28046, Spain; [Falces-Romero, Iker] Hosp Univ La Paz, Microbiol Dept, Madrid 28046, Spain; [Falces-Romero, Iker; Sainz, Talia; Baquero-Artigao, Fernando; Rodriguez-Molino, Paula; Mendez-Echevarria, Ana; Calvo, Cristina] Inst Salud Carlos III, Ctr Biomed Res Infect Dis Network CIBERINFEC, Madrid 28029, Spain; [Sainz, Talia; Mendez-Echevarria, Ana; Calvo, Cristina] Univ Autonoma Madrid, Fac Med, Dept Pediat, E-28029 Madrid, Spain</t>
  </si>
  <si>
    <t xml:space="preserve">Hospital Universitario La Paz; Instituto de Salud Carlos III; Hospital Universitario La Paz; Hospital Universitario La Paz; Instituto de Salud Carlos III; Autonomous University of Madrid</t>
  </si>
  <si>
    <t xml:space="preserve">del Rosal, T (corresponding author), Hosp Univ La Paz, Inst Hlth Res IdiPAZ, Pediat &amp; Infect Dis Dept, Paseo Castellana 261, Madrid 28046, Spain.;del Rosal, T (corresponding author), Translat Res Network Pediat Infect Dis RITIP, Madrid 28046, Spain.;del Rosal, T (corresponding author), Inst Salud Carlos III, Ctr Biomed Network Res Rare Dis CIBERER U767, Madrid 28029, Spain.</t>
  </si>
  <si>
    <t xml:space="preserve">teredelrosal@yahoo.es; patricia.bote@salud.madrid.org; falces88@gmail.com; talia.sainz@salud.madrid.org; fernando.baquero@salud.madrid.org; prmolino@salud.madrid.org; ana.mendez@salud.madrid.org; luisalfonso.alonso@salud.madrid.org; ccalvor@salud.madrid.org</t>
  </si>
  <si>
    <t xml:space="preserve">Sainz, Talia/AFL-6140-2022; Calvo, Cristina/T-5028-2018; Del Rosal, Teresa/ABC-9764-2022</t>
  </si>
  <si>
    <t xml:space="preserve">Bravo-Queipo-de-Llano, Blanca/0000-0001-8432-0703; Falces-Romero, Iker/0000-0001-5888-7706; Sainz, Talia/0000-0002-5301-0945; del Rosal, Teresa/0000-0002-8756-7020</t>
  </si>
  <si>
    <t xml:space="preserve">Spanish Association of Pediatrics awarded to Teresa del Rosal</t>
  </si>
  <si>
    <t xml:space="preserve">10.3390/children11020245</t>
  </si>
  <si>
    <t xml:space="preserve">JH9Z6</t>
  </si>
  <si>
    <t xml:space="preserve">WOS:001172405100001</t>
  </si>
  <si>
    <t xml:space="preserve">Tapia, MD; Sylla, M; Driscoll, AJ; Touré, A; Kourouma, N; Sissoko, S; Tamboura, B; Diakité, AA; Panchalingam, S; Keïta, AM; Tennant, S; Onwuchekwa, U; Roose, A; Knoll, MD; Higdon, MM; Prosperi, C; Hammitt, LL; Feikin, DR; Murdoch, DR; O'Brien, KL; Sow, SO; Kotloff, KL</t>
  </si>
  <si>
    <t xml:space="preserve">Tapia, Milagritos D.; Sylla, Mamadou; Driscoll, Amanda J.; Toure, Aliou; Kourouma, Nana; Sissoko, Seydou; Tamboura, Boubou; Diakite, Abdoul Aziz; Panchalingam, Sandra; Keita, Adama M.; Tennant, Sharon; Onwuchekwa, Uma; Roose, Anna; Knoll, Maria Deloria; Higdon, Melissa M.; Prosperi, Christine; Hammitt, Laura L.; Feikin, Daniel R.; Murdoch, David R.; O'Brien, Katherine L.; Sow, Samba O.; Kotloff, Karen L.</t>
  </si>
  <si>
    <t xml:space="preserve">The Etiology of Childhood Pneumonia in Mali Findings From the Pneumonia Etiology Research for Child Health (PERCH) Study</t>
  </si>
  <si>
    <t xml:space="preserve">pneumonia; mortality; low-income countries; Mali; etiology</t>
  </si>
  <si>
    <t xml:space="preserve">STANDARDIZED INTERPRETATION; PNEUMOCOCCAL PNEUMONIA; HAEMOPHILUS-INFLUENZAE; CHEST RADIOGRAPHS; DIAGNOSIS; COLONIZATION; VACCINE; INFANTS; DENSITY; BURDEN</t>
  </si>
  <si>
    <t xml:space="preserve">Background: We present findings from the Pneumonia Etiology Research for Child Health (PERCH) site in Bamako, Mali. Methods: Cases were patients 28 days to 59 months of age, admitted to hospital with severe or very severe pneumonia (2005 World Health Organization definition). Community controls were frequency matched by age. Both provided nasopharyngeal and oropharyngeal swabs for multiplex polymerase chain reaction and Streptococcus pneumoniae culture. Cases underwent blood culture and induced sputum culture for Mycobacterium tuberculosis. A subset had pleural fluid and lung aspirates collected for culture and polymerase chain reaction. Primary analyses included participants with negative or unknown HIV status (HIV-) and cases with abnormal chest radiographs (CXR+). Cases and controls were compared using logistic regression adjusting for age. Etiologic fractions were calculated by a Bayesian nested partially latent class analysis, the PERCH integrated analysis. Results: Between January 1, 2012, and January 14, 2014, we enrolled 241 CXR+/HIV- cases and 725 HIV- controls. Compared with controls, cases were more likely to have moderate-to-severe wasting (43.1% vs. 14.1%, P &lt; 0.001) and stunting (26.6% vs. 9.4%, P &lt; 0.001). Predominant etiologies were respiratory syncytial virus [24.0%; 95% credible interval (CrI): 18.3%-31.1%], S. pneumoniae (15.2%; 95% CrI: 9.5-21.6), human metapneumovirus (11.8%; 95% CrI: 8.3%-16.2%) and parainfluenza virus type 3 (9.0%; 95% CrI: 5.8%-13.3%). Case fatality was 13.3%, with Staphylococcus aureus, Pneumocystis jirovecii and Haemophilus influenzae type b predominating (40% of fatal cases). Conclusions: PERCH uncovered high case fatality among children with severe pneumonia in Mali, highlighting a role for new interventions (eg, respiratory syncytial virus vaccines) and a need to improve vaccine coverage and strengthen healthcare delivery.</t>
  </si>
  <si>
    <t xml:space="preserve">[Tapia, Milagritos D.; Roose, Anna; Kotloff, Karen L.] Univ Maryland, Sch Med, Dept Pediat, Ctr Vaccine Dev &amp; Global Hlth, 685 W Baltimore St,Rm 480, Baltimore, MD 21201 USA; [Sylla, Mamadou; Toure, Aliou; Kourouma, Nana; Sissoko, Seydou; Tamboura, Boubou; Keita, Adama M.; Onwuchekwa, Uma; Sow, Samba O.] Ctr Dev Vaccins Mali, Bamako, Mali; [Driscoll, Amanda J.; Knoll, Maria Deloria; Higdon, Melissa M.; Prosperi, Christine; Hammitt, Laura L.; Feikin, Daniel R.; O'Brien, Katherine L.] Johns Hopkins Bloomberg Sch Publ Hlth, Int Vaccine Access Ctr, Dept Int Hlth, Baltimore, MD USA; [Diakite, Abdoul Aziz] Hop Gabriel Toure, Dept Pediat, Bamako, Mali; [Panchalingam, Sandra; Tennant, Sharon] Univ Maryland, Sch Med, Dept Med, Ctr Vaccine Dev &amp; Global Hlth, Baltimore, MD 21201 USA; [Murdoch, David R.] Univ Otago, Dept Pathol, Christchurch, New Zealand; [Murdoch, David R.] Canterbury Hlth Labs, Microbiol Unit, Christchurch, New Zealand</t>
  </si>
  <si>
    <t xml:space="preserve">University System of Maryland; University of Maryland Baltimore; Johns Hopkins University; Johns Hopkins Bloomberg School of Public Health; University System of Maryland; University of Maryland Baltimore; University of Otago; Canterbury Health Laboratories</t>
  </si>
  <si>
    <t xml:space="preserve">Tapia, MD (corresponding author), Univ Maryland, Sch Med, Dept Pediat, Ctr Vaccine Dev &amp; Global Hlth, 685 W Baltimore St,Rm 480, Baltimore, MD 21201 USA.</t>
  </si>
  <si>
    <t xml:space="preserve">mtapia@som.umaryland.edu</t>
  </si>
  <si>
    <t xml:space="preserve">PANCHALINGAM, SANDRA/W-2663-2019; kotloff, karen/E-7768-2012; Murdoch, David/A-2012-2009</t>
  </si>
  <si>
    <t xml:space="preserve">Higdon, Melissa/0000-0002-1932-9442; Panchalingam, Sandra/0000-0003-3526-1457</t>
  </si>
  <si>
    <t xml:space="preserve">l'Hopital Gabriel Toure (HGT) administration; Ministry of Health of Mali</t>
  </si>
  <si>
    <t xml:space="preserve">The authors thank the participants and their families for their time and cooperation. We also acknowledge the support of the l'Hopital Gabriel Toure (HGT) administration and the Ministry of Health of Mali. We recognize the efforts of the following groups during the study development, conduct and analysis phases: Pneumonia Methods Working Group, Pneumonia Etiology Research for Child Health (PERCH) Expert Group, PERCH contributors and the PERCH Chest Radiograph Reading Panel. We also acknowledge the substantial contributions of all members of the PERCH Study Group. Members of the PERCH Study Group: Johns Hopkins Bloomberg School of Public Health, Baltimore, Maryland: Orin S. Levine (Former PI, current affiliation Bill &amp; Melinda Gates Foundation, Seattle, Washington), Andrea N. DeLuca, Amanda J. Driscoll, Nicholas Fancourt, Wei Fu, E. Wangeci Kagucia, Ruth A. Karron, Mengying Li, Daniel E. Park, Qiyuan Shi, Zhenke Wu, Scott L. Zeger; The Emmes Corporation, Rockville, Maryland: Nora L. Watson; Nuffield Department of Clinical Medicine, University of Oxford, United Kingdom: Jane Crawley; Medical Research Council, Basse, The Gambia: Stephen R. C. Howie (site PI); KEMRIWellcome Trust Research Programme, Kilifi, Kenya: J. Anthony G. Scott (site PI and PERCH co-PI, joint affiliation with London School of Hygiene and Tropical Medicine, London, UK); Medical Research Council: Respiratory and Meningeal Pathogens Research Unit and Department of Science and Technology/National Research Foundation: Vaccine Preventable Diseases, University of the Witwatersrand, Johannesburg, South Africa: Shabir A. Madhi (site PI); International Centre for Diarrhoeal Disease Research, Bangladesh (icddr,b): W. Abdullah Brooks (site PI); Boston University School of Public Health, Boston, Massachusetts and University Teaching Hospital, Lusaka, Zambia: Donald M. Thea (site PI); Thailand Ministry of Public Health-U.S. CDC Collaboration, Nonthaburi, Thailand: Henry C. Baggett (site PI), Susan A. Maloney (former site PI); Canterbury Health Laboratories, Christchurch, New Zealand: Trevor P. Anderson, Joanne Mitchell, Shalika Jayawardena, Rose Watt.</t>
  </si>
  <si>
    <t xml:space="preserve">S18</t>
  </si>
  <si>
    <t xml:space="preserve">S28</t>
  </si>
  <si>
    <t xml:space="preserve">10.1097/INF.0000000000002767</t>
  </si>
  <si>
    <t xml:space="preserve">WOS:000756515300003</t>
  </si>
  <si>
    <t xml:space="preserve">Choi, SH; Hong, SB; Huh, JW; Jung, J; Kim, MJ; Chong, YP; Kim, SH; Sung, H; Koo, HJ; Do, KH; Lee, SO; Lim, CM; Kim, YS; Woo, JH; Koh, Y</t>
  </si>
  <si>
    <t xml:space="preserve">Choi, Sang-Ho; Hong, Sang-Bum; Huh, Jin Won; Jung, Jiwon; Kim, Mm Jae; Chong, Yong Pil; Kim, Sung-Han; Sung, Heungsup; Koo, Hyun Jung; Do, Kyung-Hyun; Lee, Sang-Oh; Lim, Chae-Man; Kim, Yang Soo; Woo, Jun Hee; Koh, Younsuck</t>
  </si>
  <si>
    <t xml:space="preserve">Outcomes of severe human metapneumovirus-associated community-acquired pneumonia in adults</t>
  </si>
  <si>
    <t xml:space="preserve">Pneumonia; Metapneumovirus; Influenza; Intensive care unit; Mortality</t>
  </si>
  <si>
    <t xml:space="preserve">VIRAL-INFECTION; RHINOVIRUS; VIRUS</t>
  </si>
  <si>
    <t xml:space="preserve">Background: The outcomes of severe human metapneumovirus (HMPV)-associated pneumonia have not been adequately evaluated. Objectives: We aimed to investigate the incidence and outcomes of severe HMPV-associated CAP and to compare them with those of severe IFV associated CAP. Study design: From March 2010 to August 2017, all consecutive adult patients with severe HMPV-associated CAP and severe influenza virus (IFV)-associated CAP who required intensive care unit admission were prospectively identified and followed in a 2,700-bed tertiary care hospital. The characteristics and outcomes of severe HMPV-associated CAP patients were compared with those of severe IFV-associated CAP patients. Results: HMPV and IFV were identified in 3.2% (50) and 7.0% (109) of the 1559 patients with severe CAP, respectively. The mortality rates were not significantly different between the HMPV and IFV groups (30-day mortality: 24.0% vs. 32.1%, p = 0.30; 60-day mortality: 32.0% vs. 38.5%, p = 0.43). Oral ribavirin therapy was not associated with improved outcome (60-day mortality: ribavirin therapy group 35.0% [7/20] vs. no ribavirin therapy group 30.0% [9/30], p = 0.71). Subgroup analyses showed no significant differences in mortality among non-immunocompromised (60-day mortality: HMPV 25.6% vs. IFV 31.1%, p = 0.55) and immunocompromised patients (60-day mortality; HMPV 54.5% vs. 54.3%, p = 0.99). The length of ICU and hospital stay did not differ between groups. Conclusions: The incidence of HMPV infection was approximately half that of IFV infection in a cohort of patients with severe CAP. The mortality rate of severe HMPV-associated CAP was similar to that of severe IFV associated CAP.</t>
  </si>
  <si>
    <t xml:space="preserve">[Choi, Sang-Ho; Jung, Jiwon; Kim, Mm Jae; Chong, Yong Pil; Kim, Sung-Han; Lee, Sang-Oh; Kim, Yang Soo; Woo, Jun Hee] Univ Ulsan, Asan Med Ctr, Dept Infect Dis, Coll Med, Seoul, South Korea; [Hong, Sang-Bum; Huh, Jin Won; Lim, Chae-Man; Koh, Younsuck] Univ Ulsan, Asan Med Ctr, Dept Pulm &amp; Crit Care Med, Coll Med, 88,Olymp Ro 43 Gil, Seoul 138736, South Korea; [Sung, Heungsup] Univ Ulsan, Asan Med Ctr, Coll Med, Seoul, South Korea; [Koo, Hyun Jung; Do, Kyung-Hyun] Univ Ulsan, Asan Med Ctr, Dept Radiol, Coll Med, Seoul, South Korea</t>
  </si>
  <si>
    <t xml:space="preserve">University of Ulsan; Asan Medical Center; University of Ulsan; Asan Medical Center; University of Ulsan; Asan Medical Center; University of Ulsan; Asan Medical Center</t>
  </si>
  <si>
    <t xml:space="preserve">Koh, Y (corresponding author), Univ Ulsan, Asan Med Ctr, Dept Pulm &amp; Crit Care Med, Coll Med, 88,Olymp Ro 43 Gil, Seoul 138736, South Korea.</t>
  </si>
  <si>
    <t xml:space="preserve">Huh, Jin/AAN-5652-2020; choi, su/AAD-7186-2020; Chong, Yong/AAB-2623-2021; Kim, Seung/J-5413-2012; Kim, yang-soo/HSC-8295-2023; Lee, Sang-Oh/AGV-5413-2022</t>
  </si>
  <si>
    <t xml:space="preserve">Kim, Sung-Han/0000-0002-6596-8253; Sung, Heungsup/0000-0002-6062-4451; Choi, Sang-Ho/0000-0002-4972-4531</t>
  </si>
  <si>
    <t xml:space="preserve">Asan Institute of Life Sciences [2010-0079]</t>
  </si>
  <si>
    <t xml:space="preserve">This study was supported by Asan Institute of Life Sciences (grant 2010-0079) and generous gifts from Mr. Sam Won Song.</t>
  </si>
  <si>
    <t xml:space="preserve">10.1016/j.jcv.2019.05.007</t>
  </si>
  <si>
    <t xml:space="preserve">WOS:000475867400001</t>
  </si>
  <si>
    <t xml:space="preserve">Havers, FP; Fry, AM; Goswami, D; Nahar, K; Sharmin, AT; Rahman, M; Brooks, WA</t>
  </si>
  <si>
    <t xml:space="preserve">Havers, Fiona P.; Fry, Alicia M.; Goswami, Doli; Nahar, Kamrun; Sharmin, Amina Tahia; Rahman, Mustafizur; Brooks, W. Abdullah</t>
  </si>
  <si>
    <t xml:space="preserve">Population-based Incidence of Childhood Pneumonia Associated With Viral Infections in Bangladesh</t>
  </si>
  <si>
    <t xml:space="preserve">pneumonia; low income countries; pediatric respiratory infections; respiratory viruses</t>
  </si>
  <si>
    <t xml:space="preserve">LOWER RESPIRATORY-INFECTIONS; THAN 5 YEARS; CHILDREN YOUNGER; HOSPITALIZED CHILDREN; SYNCYTIAL-VIRUS; NATIONAL CAUSES; AIR-POLLUTION; ETIOLOGY; BURDEN; URBAN</t>
  </si>
  <si>
    <t xml:space="preserve">Background: The contribution of respiratory viruses to childhood pneumonia in tropical low-and middle-income countries is poorly understood. We used population-based respiratory illness surveillance in children 5 years of age or younger in Dhaka, Bangladesh, to characterize these illnesses. Methods: We conducted weekly home visits to children who were referred to clinic for fever or respiratory symptoms. Standardized clinical data were collected. Nasopharyngeal washes were collected for one fifth of children diagnosed with a febrile or respiratory syndrome, with virus isolation testing for influenza and reverse transcription polymerase chain reaction testing for other viruses. Pneumonia was defined as age-specific tachypnea and crepitations on chest auscultation by study physicians. Results: From April 2004 to February 2008, 17,584 children were followed for 17,644 child-years; 6335 children had 12,499 clinic visits with eligible illnesses, including 6345 pneumonia episodes (incidence of 36 episodes/100 child-years). Annual incidence of pneumonia/100 child-years ranged from 88.3 for children 0-6 months of age to 13.1 for those 36-60 months of age. Of 1248 pneumonia visits with laboratory testing, 803 (64%) had detection of viral pathogens, including 274 respiratory syncytial virus (22% of pneumonia visits with laboratory testing; incidence 7.9/100 child-years), 244 adenovirus (19%; 7.0/100 child-years), 198 human metapneumovirus (16%; 5.7/100 child-years), 174 parainfluenza (14.0%; 5.0/100 child-years), and 81 influenza (6.5%; 2.3/100 child years). Conclusions: Viral pathogens contribute to a majority of childhood pneumonia episodes in Bangladesh, a setting with high pneumonia rates, especially in children 2 years of age or younger. Developing effective prevention strategies targeting these children is a high priority. Given less sensitive laboratory method used for influenza detection, influenza rates may be underestimated.</t>
  </si>
  <si>
    <t xml:space="preserve">[Havers, Fiona P.; Fry, Alicia M.] Ctr Dis Control &amp; Prevent, Influenza Div, 1600 Clifton Rd NE,Mail Stop A-32, Atlanta, GA 30333 USA; [Goswami, Doli; Nahar, Kamrun; Sharmin, Amina Tahia; Rahman, Mustafizur] ICDDR B, Dhaka, Bangladesh; [Brooks, W. Abdullah] Johns Hopkins Bloomberg Sch Publ Hlth, Dept Int Hlth, Baltimore, MD USA</t>
  </si>
  <si>
    <t xml:space="preserve">Centers for Disease Control &amp; Prevention - USA; International Centre for Diarrhoeal Disease Research (ICDDR); Johns Hopkins University; Johns Hopkins Bloomberg School of Public Health</t>
  </si>
  <si>
    <t xml:space="preserve">Havers, FP (corresponding author), Ctr Dis Control &amp; Prevent, Influenza Div, 1600 Clifton Rd NE,Mail Stop A-32, Atlanta, GA 30333 USA.</t>
  </si>
  <si>
    <t xml:space="preserve">fhavers@cdc.gov</t>
  </si>
  <si>
    <t xml:space="preserve">Brooks, W./AAD-3876-2021; Nahar, Dr.Kamrun/JFS-9212-2023</t>
  </si>
  <si>
    <t xml:space="preserve">Nahar, Dr.Kamrun/0000-0003-3867-9920</t>
  </si>
  <si>
    <t xml:space="preserve">US Centers for Disease Control and Prevention National Center for Immunization and Respiratory Diseases; US Department of Health and Human Services; PneumoADIP Project at the Johns Hopkins Bloomberg School of Public Health; Thrasher Research Fund; Bill and Melinda Gates Foundation; International Centre for Diarrheal Disease Research, Bangladesh (ICDDRB)</t>
  </si>
  <si>
    <t xml:space="preserve">US Centers for Disease Control and Prevention National Center for Immunization and Respiratory Diseases; US Department of Health and Human Services; PneumoADIP Project at the Johns Hopkins Bloomberg School of Public Health; Thrasher Research Fund; Bill and Melinda Gates Foundation(Bill &amp; Melinda Gates Foundation); International Centre for Diarrheal Disease Research, Bangladesh (ICDDRB)</t>
  </si>
  <si>
    <t xml:space="preserve">Supported by the US Centers for Disease Control and Prevention National Center for Immunization and Respiratory Diseases Cooperative Agreement with the International Centre for Diarrheal Disease Research, Bangladesh (ICDDRB) and by grants from the US Department of Health and Human Services, the PneumoADIP Project at the Johns Hopkins Bloomberg School of Public Health, the Thrasher Research Fund, and the Bill and Melinda Gates Foundation and core donors to ICDDR,B.</t>
  </si>
  <si>
    <t xml:space="preserve">10.1097/INF.0000000000002155</t>
  </si>
  <si>
    <t xml:space="preserve">IQ4IT</t>
  </si>
  <si>
    <t xml:space="preserve">WOS:000480715000010</t>
  </si>
  <si>
    <t xml:space="preserve">Cohen, C; Walaza, S; Moyes, J; Groome, M; Tempia, S; Pretorius, M; Hellferscee, O; Dawood, H; Chhagan, M; Naby, F; Haffejee, S; Variava, E; Kahn, K; Nzenze, S; Tshangela, A; von Gottberg, A; Wolter, N; Cohen, AL; Kgokong, B; Venter, M; Madhi, SA</t>
  </si>
  <si>
    <t xml:space="preserve">Cohen, Cheryl; Walaza, Sibongile; Moyes, Jocelyn; Groome, Michelle; Tempia, Stefano; Pretorius, Marthi; Hellferscee, Orienka; Dawood, Halima; Chhagan, Meera; Naby, Fathima; Haffejee, Summaya; Variava, Ebrahim; Kahn, Kathleen; Nzenze, Susan; Tshangela, Akhona; von Gottberg, Anne; Wolter, Nicole; Cohen, Adam L.; Kgokong, Babatyi; Venter, Marietjie; Madhi, Shabir A.</t>
  </si>
  <si>
    <t xml:space="preserve">Epidemiology of Viral-associated Acute Lower Respiratory Tract Infection Among Children &lt; 5 Years of Age in a High HIV Prevalence Setting, South Africa, 2009-2012</t>
  </si>
  <si>
    <t xml:space="preserve">pneumonia; HIV; AIDS; children; lower respiratory tract infection; South Africa</t>
  </si>
  <si>
    <t xml:space="preserve">PNEUMOCOCCAL CONJUGATE VACCINE; STREPTOCOCCUS-PNEUMONIAE; ANTIRETROVIRAL TREATMENT; HOSPITALIZED CHILDREN; DISEASE; ETIOLOGY; BURDEN; CHALLENGES; MORTALITY; PATTERNS</t>
  </si>
  <si>
    <t xml:space="preserve">Background: Data on the epidemiology of viral-associated acute lower respiratory tract infection (LRTI) from high HIV prevalence settings are limited. We aimed to describe LRTI hospitalizations among South African children aged &lt; 5 years. Methods: We prospectively enrolled hospitalized children with physician-diagnosed LRTI from 5 sites in 4 provinces from 2009 to 2012. Using polymerase chain reaction (PCR), nasopharyngeal aspirates were tested for 10 viruses and blood for pneumococcal DNA. Incidence was estimated at 1 site with available population denominators. Results: We enrolled 8723 children aged &lt; 5 years with LRTI, including 64% &lt; 12 months. The case-fatality ratio was 2% (150/8512). HIV prevalence among tested children was 12% (705/5964). The overall prevalence of respiratory viruses identified was 78% (6517/8393), including 37% rhinovirus, 26% respiratory syncytial virus (RSV), 7% influenza and 5% human metapneumovirus. Four percent (253/6612) tested positive for pneumococcus. The annual incidence of LRTI hospitalization ranged from 2530 to 3173/100,000 population and was highest in infants (8446-10532/100,000). LRTI incidence was 1.1 to 3.0-fold greater in HIV-infected than HIV-uninfected children. In multivariable analysis, compared to HIV-uninfected children, HIV-infected children were more likely to require supplemental-oxygen [odds ratio (OR): 1.3, 95% confidence interval (CI): 1.1-1.7)], be hospitalized &gt; 7 days (OR: 3.8, 95% CI: 2.8-5.0) and had a higher case-fatality ratio (OR: 4.2, 95% CI: 2.6-6.8). In multivariable analysis, HIV-infection (OR: 3.7, 95% CI: 2.2-6.1), pneumococcal coinfection (OR: 2.4, 95% CI: 1.1-5.6), mechanical ventilation (OR: 6.9, 95% CI: 2.7-17.6) and receipt of supplemental-oxygen (OR: 27.3, 95% CI: 13.2-55.9) were associated with death. Conclusions: HIV-infection was associated with an increased risk of LRTI hospitalization and death. A viral pathogen, commonly RSV, was identified in a high proportion of LRTI cases.</t>
  </si>
  <si>
    <t xml:space="preserve">[Cohen, Cheryl; Walaza, Sibongile; Moyes, Jocelyn; Pretorius, Marthi; Hellferscee, Orienka; Tshangela, Akhona; von Gottberg, Anne; Wolter, Nicole; Kgokong, Babatyi; Venter, Marietjie; Madhi, Shabir A.] Natl Hlth Lab Serv, Natl Inst Communicable Dis, Ctr Resp Dis &amp; Meningitis, Johannesburg, South Africa; [Cohen, Cheryl; Walaza, Sibongile; Moyes, Jocelyn] Univ Witwatersrand, Fac Hlth Sci, Sch Publ Hlth, Johannesburg, South Africa; [Groome, Michelle; Nzenze, Susan; von Gottberg, Anne; Wolter, Nicole; Madhi, Shabir A.] Univ Witwatersrand, Fac Hlth Sci, MRC, Resp &amp; Meningeal Pathogens Res Unit, Johannesburg, South Africa; [Groome, Michelle; Nzenze, Susan; Madhi, Shabir A.] Univ Witwatersrand, Natl Res Fdn, Dept Sci &amp; Technol, Johannesburg, South Africa; [Tempia, Stefano; Cohen, Adam L.] Ctr Dis Control &amp; Prevent, Influenza Div, Atlanta, GA USA; [Tempia, Stefano; Cohen, Adam L.] Ctr Dis Control &amp; Prevent South Africa, Influenza Programme, Pretoria, South Africa; [Dawood, Halima] Pietermaritzburg Metropolitan Hosp, Dept Med, Pietermaritzburg, South Africa; [Dawood, Halima] Univ KwaZulu Natal, Dept Med, Pietermaritzburg, South Africa; [Chhagan, Meera; Naby, Fathima] Pietermaritzburg Metropolitan Hosp, Dept Paediat, Pietermaritzburg, South Africa; [Haffejee, Summaya] Univ KwaZulu Natal, Sch Pathol, Pietermaritzburg, South Africa; [Variava, Ebrahim] Klerksdorp Tshepong Hosp, Dept Med, Klerksdorp, South Africa; [Variava, Ebrahim] Univ Witwatersrand, Fac Hlth Sci, Dept Med, Johannesburg, South Africa; [Kahn, Kathleen] Univ Witwatersrand, Fac Hlth Sci, Sch Publ Hlth, MRC Wits Rural Publ Hlth &amp; Hlth Transit Res Unit, Johannesburg, South Africa; [Kahn, Kathleen] Umea Univ, Ctr Global Hlth Res, Umea, Sweden; [Kahn, Kathleen] INDEPTH Network, Accra, Ghana; [Venter, Marietjie] Univ Pretoria, Dept Med Virol, Zoonoses Res Unit, Gauteng, South Africa</t>
  </si>
  <si>
    <t xml:space="preserve">National Institute for Communicable Diseases (NICD); National Health Laboratory Service; University of Witwatersrand; University of Witwatersrand; University of Witwatersrand; National Research Foundation - South Africa; Centers for Disease Control &amp; Prevention - USA; University of Kwazulu Natal; University of Kwazulu Natal; University of Witwatersrand; University of Witwatersrand; Umea University; INDEPTH Network; University of Pretoria</t>
  </si>
  <si>
    <t xml:space="preserve">Cohen, C (corresponding author), Natl Inst Communicable Dis, Ctr Resp Dis &amp; Meningitis, Private Bag X4, ZA-2131 Johannesburg, Gauteng, South Africa.</t>
  </si>
  <si>
    <t xml:space="preserve">cherylc@nicd.ac.za</t>
  </si>
  <si>
    <t xml:space="preserve">Groome, Michelle/AAI-9967-2021; Moyes, Jocelyn/AAF-7882-2019; Walaza, Sibongile/HKP-0810-2023; Hellferscee, Orienka/AAN-6202-2020; Dawood, Halima/AAF-6045-2020; Variava, Ebrahim/AAO-5717-2020; Cohen, Cheryl/HKV-1000-2023; Venter, Marietjie/P-9604-2016</t>
  </si>
  <si>
    <t xml:space="preserve">von Gottberg, Anne/0000-0002-0243-7455; Cohen, Cheryl/0000-0003-0376-2302; Kahn, Kathleen/0000-0003-3339-3931; Madhi, Shabir/0000-0002-7629-0636; Variava, Ebrahim/0000-0003-2888-789X; Pretorius, Marthi/0000-0003-2163-6158; Wolter, Nicole/0000-0002-9526-0133; Nzenze, Susan Audrey/0000-0003-3906-133X; Venter, Marietjie/0000-0003-2696-824X; Walaza, Sibongile/0000-0001-7588-2480; Groome, Michelle/0000-0001-5893-3725; Malope-Kgokong, Babatyi/0000-0001-7446-7664</t>
  </si>
  <si>
    <t xml:space="preserve">National Institute for Communicable Diseases of the National Health Laboratory Service; United States Centers for Disease Control and Prevention (CDC), Atlanta, Georgia Preparedness and Response to Avian and Pandemic Influenza in South Africa [U51/IP000155-04]</t>
  </si>
  <si>
    <t xml:space="preserve">National Institute for Communicable Diseases of the National Health Laboratory Service; United States Centers for Disease Control and Prevention (CDC), Atlanta, Georgia Preparedness and Response to Avian and Pandemic Influenza in South Africa</t>
  </si>
  <si>
    <t xml:space="preserve">This study received funding from the National Institute for Communicable Diseases of the National Health Laboratory Service and was supported in part by funds from the United States Centers for Disease Control and Prevention (CDC), Atlanta, Georgia Preparedness and Response to Avian and Pandemic Influenza in South Africa (Cooperative Agreement Number: U51/IP000155-04). The contents are solely the responsibility of the authors and do not necessarily represent the official views of the CDC. The funders had no role in study design, implementation, manuscript writing or the decision to submit for publication. The corresponding author had full access to all the data in the study and takes final responsibility for the decision to submit for publication.</t>
  </si>
  <si>
    <t xml:space="preserve">10.1097/INF.0000000000000478</t>
  </si>
  <si>
    <t xml:space="preserve">AW8GH</t>
  </si>
  <si>
    <t xml:space="preserve">WOS:000346498800015</t>
  </si>
  <si>
    <t xml:space="preserve">Self, WH; Williams, DJ; Zhu, YW; Ampoto, K; Pavia, AT; Chappell, JD; Hymas, WC; Stockmann, C; Bramley, AM; Schneider, E; Erdman, D; Finelli, L; Jain, S; Edwards, KM; Grijalva, CG</t>
  </si>
  <si>
    <t xml:space="preserve">Self, Wesley H.; Williams, Derek J.; Zhu, Yuwei; Ampoto, Krow; Pavia, Andrew T.; Chappell, James D.; Hymas, Weston C.; Stockmann, Chris; Bramley, Anna M.; Schneider, Eileen; Erdman, Dean; Finelli, Lyn; Jain, Seema; Edwards, Kathryn M.; Grijalva, Carlos G.</t>
  </si>
  <si>
    <t xml:space="preserve">Respiratory Viral Detection in Children and Adults: Comparing Asymptomatic Controls and Patients With Community-Acquired Pneumonia</t>
  </si>
  <si>
    <t xml:space="preserve">pneumonia; etiology; virus; asymptomatic infection; attributable fraction</t>
  </si>
  <si>
    <t xml:space="preserve">POLYMERASE-CHAIN-REACTION; HOSPITALIZED CHILDREN; HUMAN CORONAVIRUS; INFECTIONS; ETIOLOGY; VIRUSES; ILLNESS; IDENTIFICATION; RHINOVIRUSES; DIAGNOSTICS</t>
  </si>
  <si>
    <t xml:space="preserve">Background. The clinical significance of viruses detected in patients with community-acquired pneumonia (CAP) is often unclear. Methods. We conducted a prospective study to identify the prevalence of 13 viruses in the upper respiratory tract of patients with CAP and concurrently enrolled asymptomatic controls with real-time reverse-transcriptase polymerase chain reaction. We compared age-stratified prevalence of each virus between patients with CAP and controls and used multivariable logistic regression to calculate attributable fractions (AFs). Results. We enrolled 1024 patients with CAP and 759 controls. Detections of influenza, respiratory syncytial virus, and human metapneumovirus were substantially more common in patients with CAP of all ages than in controls (AFs near 1.0). Parainfluenza and coronaviruses were also more common among patients with CAP (AF, 0.5-0.75). Rhinovirus was associated with CAP among adults (AF, 0.93) but not children (AF, 0.02). Adenovirus was associated with CAP only among children &lt;2 years old (AF, 0.77). Conclusions. The probability that a virus detected with real-time reverse-transcriptase polymerase chain reaction in patients with CAP contributed to symptomatic disease varied by age group and specific virus. Detections of influenza, respiratory syncytial virus, and human metapneumovirus among patients with CAP of all ages probably indicate an etiologic role, whereas detections of parainfluenza, coronaviruses, rhinovirus, and adenovirus, especially in children, require further scrutiny.</t>
  </si>
  <si>
    <t xml:space="preserve">[Self, Wesley H.] Vanderbilt Univ, Sch Med, Dept Emergency Med, Nashville, TN 37212 USA; [Williams, Derek J.] Vanderbilt Univ, Sch Med, Dept Pediat, Nashville, TN 37212 USA; [Zhu, Yuwei] Vanderbilt Univ, Sch Med, Dept Biostat, Nashville, TN 37212 USA; [Chappell, James D.] Vanderbilt Univ, Sch Med, Dept Pathol Microbiol &amp; Immunol, Nashville, TN 37212 USA; [Edwards, Kathryn M.] Vanderbilt Univ, Sch Med, Dept Hlth Policy, Nashville, TN 37212 USA; [Grijalva, Carlos G.] Univ Utah Hlth Sci Ctr, Dept Pediat, Salt Lake City, UT USA; [Ampoto, Krow] Univ Utah Hlth Sci Ctr, Dept Pediat, Salt Lake City, UT USA; [Pavia, Andrew T.] Univ Utah Hlth Sci Ctr, Dept Internal Med, Salt Lake City, UT USA; [Hymas, Weston C.] Univ Utah Hlth Sci Ctr, ARUP Inst Clin &amp; Expt Pathol, Salt Lake City, UT USA; [Stockmann, Chris] Univ Utah Hlth Sci Ctr, Dept Pediat, Salt Lake City, UT USA; [Bramley, Anna M.; Schneider, Eileen; Erdman, Dean; Finelli, Lyn; Jain, Seema] Ctr Dis Control &amp; Prevent, Atlanta, GA USA</t>
  </si>
  <si>
    <t xml:space="preserve">Vanderbilt University; Vanderbilt University; Vanderbilt University; Vanderbilt University; Vanderbilt University; Utah System of Higher Education; University of Utah; University of Utah Hospital; Utah System of Higher Education; University of Utah; University of Utah Hospital; Utah System of Higher Education; University of Utah; University of Utah Hospital; Utah System of Higher Education; University of Utah; ARUP Laboratories; University of Utah Hospital; Utah System of Higher Education; University of Utah; University of Utah Hospital; Centers for Disease Control &amp; Prevention - USA</t>
  </si>
  <si>
    <t xml:space="preserve">Self, WH (corresponding author), 1313 21st Ave S,703 Oxford House, Nashville, TN 37232 USA.</t>
  </si>
  <si>
    <t xml:space="preserve">wesley.self@vanderbilt.edu</t>
  </si>
  <si>
    <t xml:space="preserve">Williams, Derek/KRP-6083-2024; Stockmann, Chris/P-1996-2014; Finelli, Lyn/AAK-2360-2020; Self, Wesley/KTI-1352-2024; Grijalva, Carlos/HRA-9217-2023</t>
  </si>
  <si>
    <t xml:space="preserve">Self, Wesley/0000-0002-9300-3045; Grijalva, Carlos/0000-0002-2329-7797</t>
  </si>
  <si>
    <t xml:space="preserve">CDC [U18 IP000299]; Vanderbilt Institute for Clinical and Translational Research from the National Institute for Advancing Translational Sciences [UL1TR000445]; National Institute of General Medical Sciences [1K23GM110469]; National Institute for Advancing Translational Sciences [KL2TR000446]; National Institute of Allergy and Infectious Diseases [K23AI104779]; Agency for HealthCare Research and Quality [1R03HS022342]</t>
  </si>
  <si>
    <t xml:space="preserve">CDC(Centre National de la Recherche Scientifique (CNRS)United States Department of Health &amp; Human ServicesCenters for Disease Control &amp; Prevention - USA); Vanderbilt Institute for Clinical and Translational Research from the National Institute for Advancing Translational Sciences; National Institute of General Medical Sciences(United States Department of Health &amp; Human ServicesNational Institutes of Health (NIH) - USANIH National Institute of General Medical Sciences (NIGMS)); National Institute for Advancing Translational Sciences; National Institute of Allergy and Infectious Diseases(United States Department of Health &amp; Human ServicesNational Institutes of Health (NIH) - USANIH National Institute of Allergy &amp; Infectious Diseases (NIAID)); Agency for HealthCare Research and Quality(United States Department of Health &amp; Human ServicesAgency for Healthcare Research &amp; Quality)</t>
  </si>
  <si>
    <t xml:space="preserve">This work was supported by a cooperative agreement with the CDC (grant U18 IP000299) and a research grant through the Vanderbilt Institute for Clinical and Translational Research (grant UL1TR000445) from the National Institute for Advancing Translational Sciences. W. H. S. was supported in part by career development grants from the National Institute of General Medical Sciences (grant 1K23GM110469) and National Institute for Advancing Translational Sciences (grant KL2TR000446). D. J. W. was supported in part by a career development grant from the National Institute of Allergy and Infectious Diseases (grant K23AI104779). C. G. G. was supported in part by the Agency for HealthCare Research and Quality (grant 1R03HS022342).</t>
  </si>
  <si>
    <t xml:space="preserve">10.1093/infdis/jiv323</t>
  </si>
  <si>
    <t xml:space="preserve">DG9XS</t>
  </si>
  <si>
    <t xml:space="preserve">WOS:000372437700014</t>
  </si>
  <si>
    <t xml:space="preserve">Smyrnaios, A; Risnes, K; Krokstad, S; Nordbo, SA; Heimdal, I; Christensen, A; Dollner, H</t>
  </si>
  <si>
    <t xml:space="preserve">Smyrnaios, Anastasios; Risnes, Kari; Krokstad, Sidsel; Nordbo, Svein Arne; Heimdal, Inger; Christensen, Andreas; Dollner, Henrik</t>
  </si>
  <si>
    <t xml:space="preserve">The Contribution of Viruses and Bacteria to Childhood Community-acquired Pneumonia: 11-Year Observational Study From Norway</t>
  </si>
  <si>
    <t xml:space="preserve">pneumonia; etiology; children; virus; bacteria</t>
  </si>
  <si>
    <t xml:space="preserve">DISEASE SEVERITY; CHILDREN; INFECTIONS; ETIOLOGY</t>
  </si>
  <si>
    <t xml:space="preserve">Background:Viruses are associated with pediatric community-acquired pneumonia (CAP) but are also common in the upper airways of healthy children. We have determined the contribution of respiratory viruses and bacteria by comparing children with CAP and hospital controls. Methods:Children less than 16 years old with radiologically confirmed CAP (n = 715) were enrolled over an 11-year period. Children admitted for elective surgery during the same period served as controls (n = 673). Nasopharyngeal aspirates were tested for 20 respiratory pathogens by semiquantitative polymerase chain reaction tests and cultivated for bacteria and viruses. We used logistic regression to calculate adjusted odds ratios [aOR; 95% confidence intervals (CIs)], and estimated population-attributable fractions (95% CI). Results:At least 1 virus was detected in 85% of cases and 76% of controls, and greater than or equal to 1 bacterium was detected in 70% of cases and controls. The presence of respiratory syncytial virus (RSV) (aOR, 16.6; 95% CI: 9.81-28.2), human metapneumovirus (HMPV) (13.0; 6.17-27.5) and Mycoplasma pneumoniae (27.7; 8.37-91.6) were most strongly associated with CAP. For RSV and HMPV, there were significant trends between lower cycle-threshold values indicating higher viral genomic loads, and higher aORs for CAP. The population-attributable fraction estimates of RSV, HMPV, human parainfluenza virus, influenza virus and M. pneumoniae were 33.3% (32.2-34.5), 11.2% (10.5-11.9), 3.7% (1.0-6.3), 2.3% (1.0-3.6) and 4.2% (4.1-4.4), respectively. Conclusions:RSV, HMPV and M. pneumoniae were most strongly related to pediatric CAP and accounted for half of all cases. There were positive trends between increasing viral genomic loads of RSV and HMPV, and higher odds for CAP.</t>
  </si>
  <si>
    <t xml:space="preserve">[Smyrnaios, Anastasios; Risnes, Kari; Nordbo, Svein Arne; Heimdal, Inger; Christensen, Andreas; Dollner, Henrik] Norwegian Univ Sci &amp; Technol NTNU, Dept Clin &amp; Mol Med, Trondheim, Norway; [Smyrnaios, Anastasios; Risnes, Kari; Dollner, Henrik] Trondheim Reg &amp; Univ Hosp, St Olavs Hosp, Childrens Clin, Trondheim, Norway; [Krokstad, Sidsel; Nordbo, Svein Arne; Christensen, Andreas] Trondheim Reg &amp; Univ Hosp, St Olavs Hosp, Dept Med Microbiol, Trondheim, Norway; [Heimdal, Inger] Trondheim Reg &amp; Univ Hosp, St Olavs Hosp, Trondheim, Norway; [Smyrnaios, Anastasios] Norwegian Univ Sci &amp; Technol NTNU, St Olavs Hosp, Dept Clin &amp; Mol Med, Childrens Clin, Postboks 3250 Torgarden, N-7006 Trondheim, Norway</t>
  </si>
  <si>
    <t xml:space="preserve">Norwegian University of Science &amp; Technology (NTNU); Norwegian University of Science &amp; Technology (NTNU); Norwegian University of Science &amp; Technology (NTNU); Norwegian University of Science &amp; Technology (NTNU); Norwegian University of Science &amp; Technology (NTNU)</t>
  </si>
  <si>
    <t xml:space="preserve">Smyrnaios, A (corresponding author), Norwegian Univ Sci &amp; Technol NTNU, St Olavs Hosp, Dept Clin &amp; Mol Med, Childrens Clin, Postboks 3250 Torgarden, N-7006 Trondheim, Norway.</t>
  </si>
  <si>
    <t xml:space="preserve">anastasios.smyrnaios@ntnu.no; kari.risnes@ntnu.no; sidsel.krokstad@stolav.no; svein.nordbo@stolav.no; Inger.Heimdal.Stenseng@stolav.no; andreas.christensen@stolav.no; henrik.dollner@ntnu.no</t>
  </si>
  <si>
    <t xml:space="preserve">Risnes, Kari/0000-0001-6599-0146</t>
  </si>
  <si>
    <t xml:space="preserve">Central Norway Regional Health Authority [96987/2008]</t>
  </si>
  <si>
    <t xml:space="preserve">Central Norway Regional Health Authority</t>
  </si>
  <si>
    <t xml:space="preserve">This study was supported by Central Norway Regional Health Authority (grant number 96987/2008). The Central Norway Regional Health Authority had no role in the design or conduct of the study.</t>
  </si>
  <si>
    <t xml:space="preserve">10.1097/INF.0000000000003867</t>
  </si>
  <si>
    <t xml:space="preserve">WOS:000991916200013</t>
  </si>
  <si>
    <t xml:space="preserve">Bénet, T; Picot, VS; Messaoudi, M; Chou, M; Eap, T; Wang, JW; Shen, KL; Pape, JW; Rouzier, V; Awasthi, S; Pandey, N; Bavdekar, A; Sanghavi, S; Robinson, A; Rakoto-Andrianarivelo, M; Sylla, M; Diallo, S; Nymadawa, P; Naranbat, N; Russomando, G; Basualdo, W; Komurian-Pradel, F; Endtz, H; Vanhems, P; Paranhos-Baccalà, G</t>
  </si>
  <si>
    <t xml:space="preserve">Benet, Thomas; Picot, Valentina Sanchez; Messaoudi, Melina; Chou, Monidarin; Eap, Tekchheng; Wang, Jianwei; Shen, Kunling; Pape, Jean-William; Rouzier, Vanessa; Awasthi, Shally; Pandey, Nitin; Bavdekar, Ashish; Sanghavi, Sonali; Robinson, Annick; Rakoto-Andrianarivelo, Mala; Sylla, Maryam; Diallo, Souleymane; Nymadawa, Pagbajabyn; Naranbat, Nymadawaagiin; Russomando, Graciela; Basualdo, Wilma; Komurian-Pradel, Florence; Endtz, Hubert; Vanhems, Philippe; Paranhos-Baccala, Glaucia</t>
  </si>
  <si>
    <t xml:space="preserve">Global Approach Biological Res</t>
  </si>
  <si>
    <t xml:space="preserve">Microorganisms Associated With Pneumonia in Children &lt;5 Years of Age in Developing and Emerging Countries: The GABRIEL Pneumonia Multicenter, Prospective, Case-Control Study</t>
  </si>
  <si>
    <t xml:space="preserve">pneumonia; child; case-control studies; etiology; developing countries</t>
  </si>
  <si>
    <t xml:space="preserve">RESPIRATORY-TRACT INFECTIONS; COMMUNITY-ACQUIRED PNEUMONIA; INFLUENZAE TYPE-B; CHILDHOOD PNEUMONIA; STREPTOCOCCUS-PNEUMONIAE; BURDEN; DISEASE; EFFICIENCY; ETIOLOGY; YOUNGER</t>
  </si>
  <si>
    <t xml:space="preserve">Background. Pneumonia, the leading infectious cause of child mortality globally, mainly afflicts developing countries. This prospective observational study aimed to assess the microorganisms associated with pneumonia in children aged &lt;5 years in developing and emerging countries. Methods. A multicenter, case-control study by the GABRIEL (Global Approach to Biological Research, Infectious diseases and Epidemics in Low-income countries) network was conducted between 2010 and 2014 in Cambodia, China, Haiti, India (2 sites), Madagascar, Mali, Mongolia, and Paraguay. Cases were hospitalized children with radiologically confirmed pneumonia; controls were children from the same setting without any features suggestive of pneumonia. Nasopharyngeal swabs were collected from all subjects; 19 viruses and 5 bacteria were identified by reverse-transcription polymerase chain reaction. Associations between microorganisms and pneumonia were quantified by calculating the adjusted population attributable fraction (aPAF) after multivariate logistic regression analysis adjusted for sex, age, time period, other pathogens, and site. Results. Overall, 888 cases and 870 controls were analyzed; &gt;= 1 microorganism was detected in respiratory samples in 93.0% of cases and 74.4% of controls (P &lt; .001). Streptococcus pneumoniae, Mycoplasma pneumoniae, human metapneumovirus, rhinovirus, respiratory syncytial virus (RSV), parainfluenza virus 1, 3, and 4, and influenza virus A and B were independently associated with pneumonia; aPAF was 42.2% (95% confidence interval [CI], 35.5%-48.2%) for S. pneumoniae, 18.2% (95% CI, 17.4%-19.0%) for RSV, and 11.2% (95% CI, 7.5%-14.7%) for rhinovirus. Conclusions. Streptococcus pneumoniae, RSV, and rhinovirus may be the major microorganisms associated with pneumonia infections in children &lt;5 years of age from developing and emerging countries. Increasing S. pneumoniae vaccination coverage may substantially reduce the burden of pneumonia among children in developing countries.</t>
  </si>
  <si>
    <t xml:space="preserve">[Benet, Thomas; Picot, Valentina Sanchez; Messaoudi, Melina; Komurian-Pradel, Florence; Endtz, Hubert; Vanhems, Philippe; Paranhos-Baccala, Glaucia] INSERM, CNRS, ENS Lyon,U1111,UMR 5308,UCBL1, Emerging Pathogens Lab,Fdn Merieux,Ctr Int Rech I, Lyon, France; [Benet, Thomas; Vanhems, Philippe] Hosp Civils Lyon, Edouard Herriot Hosp, Infect Control &amp; Epidemiol Unit, Lyon, France; [Chou, Monidarin] Univ Hlth Sci, Fac Pharm, Phnom Penh, Cambodia; [Eap, Tekchheng] Natl Pediat Hosp, Dept Pneumol, Phnom Penh, Cambodia; [Wang, Jianwei] Chinese Acad Med Sci, Inst Pathogen Biol, Fdn Merieux, MOH Key Lab Syst Biol Pathogens, Beijing, Peoples R China; [Wang, Jianwei] Chinese Acad Med Sci, Inst Pathogen Biol, Fdn Merieux, Dr Christophe Merieux Lab, Beijing, Peoples R China; [Wang, Jianwei] Peking Union Med Coll, Beijing, Peoples R China; [Shen, Kunling] Capital Med Univ, Beijing Childrens Hosp, Key Lab Major Dis Children &amp; Natl Key Discipline, Minist Educ,Beijing Pediat Res Inst, Beijing, Peoples R China; [Pape, Jean-William; Rouzier, Vanessa] Ctr GHESKIO, Grp Haitien Etude Sarcome Kaposi &amp; Infect Opportu, Port Au Prince, Haiti; [Awasthi, Shally; Pandey, Nitin] Chatrapati Shahu Ji Maharaj Med Univ, Lucknow, Uttar Pradesh, India; [Bavdekar, Ashish; Sanghavi, Sonali] KEM Hosp, Res Ctr, Pune, Maharashtra, India; [Robinson, Annick] Hop Femme Mere Enfant, Antananarivo, Madagascar; [Rakoto-Andrianarivelo, Mala] Ctr Infectiol Charles Merieux, Fdn Merieux, Antananarivo, Madagascar; [Sylla, Maryam] Gabriel Toure Hosp, Bamako, Mali; [Diallo, Souleymane] Ctr Infectiol Charles Merieux, Bamako, Mali; [Nymadawa, Pagbajabyn; Naranbat, Nymadawaagiin] Mongolian Acad Med Sci, Ulaanbaatar, Mongolia; [Naranbat, Nymadawaagiin] Gyals Med Ctr, Ulaanbaatar, Mongolia; [Russomando, Graciela] Res Inst Hlth, Asuncion, Paraguay; [Basualdo, Wilma] Hosp Pediat Ninos Acosta Nu, San Lorenzo, Paraguay; [Endtz, Hubert] Erasmus MC, Dept Med Microbiol &amp; Infect Dis, Rotterdam, Netherlands</t>
  </si>
  <si>
    <t xml:space="preserve">Centre National de la Recherche Scientifique (CNRS); CNRS - National Institute for Biology (INSB); Ecole Normale Superieure de Lyon (ENS de LYON); Institut National de la Sante et de la Recherche Medicale (Inserm); Universite Claude Bernard Lyon 1; CHU Lyon; Chinese Academy of Medical Sciences - Peking Union Medical College; Institute of Pathogen Biology - CAMS; Chinese Academy of Medical Sciences - Peking Union Medical College; Institute of Pathogen Biology - CAMS; Chinese Academy of Medical Sciences - Peking Union Medical College; Peking Union Medical College; Capital Medical University; King George's Medical University; Mongolian Academy of Sciences; Erasmus University Rotterdam; Erasmus MC</t>
  </si>
  <si>
    <t xml:space="preserve">Paranhos-Baccalà, G (corresponding author), INSERM, CNRS, ENS Lyon,U1111,UMR 5308,UCBL1, Emerging Pathogens Lab,Fdn Merieux,Ctr Int Rech I, Lyon, France.</t>
  </si>
  <si>
    <t xml:space="preserve">glaucia.baccala@biomerieux.com</t>
  </si>
  <si>
    <t xml:space="preserve">Bénet, Thomas/G-8128-2012; Diallo, Souleymane/AAG-8133-2019; Wang, Jianwei/AAW-9499-2020; li, yukun/AIB-3253-2022; Nymadawa, Pagbajab/AAE-7344-2019</t>
  </si>
  <si>
    <t xml:space="preserve">Maeder, Muriel Nirina/0000-0002-8070-212X; Russomando, Graciela/0000-0003-4107-2038; Nymadawa, Pagbajabyn/0000-0002-3189-2772; HOFFMANN, JONATHAN/0000-0002-2400-8862; Nyamdavaa, Naranbat/0000-0002-1761-1655; Wang, Jianwei/0000-0002-1116-4559; Benet, Thomas/0000-0002-3143-6582; Rakoto Andrianarivelo, Mala/0000-0001-6767-9554; GUILLEN FRETES, ROSA MARIA/0000-0002-4778-4960; Goletti, Delia/0000-0001-8360-4376; MESSAOUDI, Melina/0000-0002-7049-7206; Pradel, Florence/0000-0002-1023-0796</t>
  </si>
  <si>
    <t xml:space="preserve">GABRIEL Network of Fondation Merieux</t>
  </si>
  <si>
    <t xml:space="preserve">This study was supported by the GABRIEL Network of Fondation Merieux.</t>
  </si>
  <si>
    <t xml:space="preserve">10.1093/cid/cix378</t>
  </si>
  <si>
    <t xml:space="preserve">FC2MB</t>
  </si>
  <si>
    <t xml:space="preserve">WOS:000406670800012</t>
  </si>
  <si>
    <t xml:space="preserve">Puligandla, PS; Laberge, JM</t>
  </si>
  <si>
    <t xml:space="preserve">Puligandla, Pramod S.; Laberge, Jean-Martin</t>
  </si>
  <si>
    <t xml:space="preserve">Respiratory infections: Pneumonia, lung abscess, and empyema</t>
  </si>
  <si>
    <t xml:space="preserve">SEMINARS IN PEDIATRIC SURGERY</t>
  </si>
  <si>
    <t xml:space="preserve">Pneumonia in children; Lung abscess; Empyema; Opportunistic lung infection; Immunocompromised patients</t>
  </si>
  <si>
    <t xml:space="preserve">NONTUBERCULOUS MYCOBACTERIA; HUMAN METAPNEUMOVIRUS; CHLAMYDIA-PNEUMONIAE; FUNGAL-INFECTIONS; THORACIC-SURGERY; SYNCYTIAL VIRUS; CANCER-PATIENTS; CHILDREN; DIAGNOSIS; THERAPY</t>
  </si>
  <si>
    <t xml:space="preserve">Pneumonia is an important clinical problem that affects children of all ages. Although effectively treated on an outpatient basis in the majority of cases, some children with respiratory infections still require hospitalization. This may be particularly true for patients with immunocompromise, for whom the lung represents the most common site of infection. Furthermore. respiratory infections represent a significant source of morbidity and mortality in this patient population. This article focuses on the clinical presentation, etiology, and treatment of childhood pneumonia, with special consideration given to the immunocompromised child. Two specific complications of pneumonia, lung abscess and empyema, are discussed. (c) 2008 Elsevier Inc. All rights reserved.</t>
  </si>
  <si>
    <t xml:space="preserve">[Puligandla, Pramod S.] McGill Univ, Montreal Childrens Hosp, Ctr Hlth, Div Pediat Surg, Montreal, PQ H3H 1P3, Canada; McGill Univ, Montreal Childrens Hosp, Ctr Hlth, Div Pediat Crit Care Med, Montreal, PQ H3H 1P3, Canada</t>
  </si>
  <si>
    <t xml:space="preserve">McGill University; McGill University</t>
  </si>
  <si>
    <t xml:space="preserve">Puligandla, PS (corresponding author), McGill Univ, Montreal Childrens Hosp, Ctr Hlth, Div Pediat Surg, Room C1129,2300 Tupper St, Montreal, PQ H3H 1P3, Canada.</t>
  </si>
  <si>
    <t xml:space="preserve">pramod.puligandla@muhc.mcgill.ca</t>
  </si>
  <si>
    <t xml:space="preserve">Puligandla, Pramod/AGU-9252-2022</t>
  </si>
  <si>
    <t xml:space="preserve">1055-8586</t>
  </si>
  <si>
    <t xml:space="preserve">1532-9453</t>
  </si>
  <si>
    <t xml:space="preserve">SEMIN PEDIATR SURG</t>
  </si>
  <si>
    <t xml:space="preserve">Semin. Pediatr. Surg.</t>
  </si>
  <si>
    <t xml:space="preserve">10.1053/j.sempedsurg.2007.10.007</t>
  </si>
  <si>
    <t xml:space="preserve">Pediatrics; Surgery</t>
  </si>
  <si>
    <t xml:space="preserve">406WG</t>
  </si>
  <si>
    <t xml:space="preserve">WOS:000263325000007</t>
  </si>
  <si>
    <t xml:space="preserve">Murray, AF; Englund, JA; Kuypers, J; Tielsch, JM; Katz, J; Khatry, SK; Leclerq, SC; Chu, HY</t>
  </si>
  <si>
    <t xml:space="preserve">Murray, Alastair F.; Englund, Janet A.; Kuypers, Jane; Tielsch, James M.; Katz, Joanne; Khatry, Subarna K.; Leclerq, Steven C.; Chu, Helen Y.</t>
  </si>
  <si>
    <t xml:space="preserve">Infant Pneumococcal Carriage During Influenza, RSV, and hMPV Respiratory Illness Within a Maternal Influenza Immunization Trial</t>
  </si>
  <si>
    <t xml:space="preserve">pneumococcus; influenza; vaccine; RSV; hMPV; maternal immunization</t>
  </si>
  <si>
    <t xml:space="preserve">YOUNG-CHILDREN; PNEUMONIA</t>
  </si>
  <si>
    <t xml:space="preserve">In this post-hoc analysis of midnasal pneumococcal carriage in a community-based, randomized prenatal influenza vaccination trial in Nepal with weekly infant respiratory illness surveillance, 457 of 605 (75.5%) infants with influenza, respiratory syncytial virus (RSV), or human metapneumovirus (hMPV) illness had pneumococcus detected. Pneumococcal carriage did not impact rates of lower respiratory tract disease for these 3 viruses. Influenza-positive infants born to mothers given influenza vaccine had lower pneumococcal carriage rates compared to influenza-positive infants born to mothers receiving placebo (58.1% versus 71.6%, P = 0.03). Maternal influenza immunization may impact infant acquisition of pneumococcus during influenza infection.</t>
  </si>
  <si>
    <t xml:space="preserve">[Murray, Alastair F.] George Washington Univ, Sch Med &amp; Hlth Sci, Washington, DC USA; [Tielsch, James M.] George Washington Univ, Sch Publ Hlth, Global Hlth Milken Inst, Washington, DC USA; [Englund, Janet A.] Seattle Childrens Hosp, Washington, DC USA; [Englund, Janet A.] Univ Washington, Dept Pediat, Seattle, WA 98195 USA; [Kuypers, Jane] Univ Washington, Dept Lab Med, Seattle, WA 98195 USA; [Chu, Helen Y.] Univ Washington, Div Allergy &amp; Infect Dis, 325 9th Ave,MS 359779, Seattle, WA 98104 USA; [Katz, Joanne] Johns Hopkins Bloomberg Sch Publ Hlth, Int Hlth, Baltimore, MD USA; [Khatry, Subarna K.; Leclerq, Steven C.] Nepal Nutr Intervent Project Sarlahi, Kathmandu, Nepal</t>
  </si>
  <si>
    <t xml:space="preserve">George Washington University; George Washington University; University of Washington; University of Washington Seattle; University of Washington; University of Washington Seattle; University of Washington; University of Washington Seattle; Johns Hopkins University; Johns Hopkins Bloomberg School of Public Health</t>
  </si>
  <si>
    <t xml:space="preserve">Chu, HY (corresponding author), Univ Washington, Div Allergy &amp; Infect Dis, 325 9th Ave,MS 359779, Seattle, WA 98104 USA.</t>
  </si>
  <si>
    <t xml:space="preserve">Chu, Helen/0000-0001-8502-9600; Katz, Joanne/0000-0002-5997-7823</t>
  </si>
  <si>
    <t xml:space="preserve">National Institutes of Health [K23-AI103105]; Bill and Melinda Gates Foundation [50274]; PATH</t>
  </si>
  <si>
    <t xml:space="preserve">National Institutes of Health(United States Department of Health &amp; Human ServicesNational Institutes of Health (NIH) - USA); Bill and Melinda Gates Foundation(Bill &amp; Melinda Gates Foundation); PATH</t>
  </si>
  <si>
    <t xml:space="preserve">This work was supported by National Institutes of Health (grant number K23-AI103105 to H.Y. C.); PATH (H. Y. C. and J. A. E.); and Bill and Melinda Gates Foundation (grant number 50274).</t>
  </si>
  <si>
    <t xml:space="preserve">10.1093/infdis/jiz212</t>
  </si>
  <si>
    <t xml:space="preserve">JE9CF</t>
  </si>
  <si>
    <t xml:space="preserve">Green Published, hybrid, Green Submitted</t>
  </si>
  <si>
    <t xml:space="preserve">WOS:000490985400006</t>
  </si>
  <si>
    <t xml:space="preserve">Danino, D; Ben-Shimol, S; Van der Beek, BA; Givon-Lavi, N; Avni, YS; Greenberg, D; Weinberger, DM; Dagan, R</t>
  </si>
  <si>
    <t xml:space="preserve">Danino, Dana; Ben-Shimol, Shalom; Van der Beek, Bart Adriaan; Givon-Lavi, Noga; Avni, Yonat Shemer; Greenberg, David; Weinberger, Daniel M.; Dagan, Ron</t>
  </si>
  <si>
    <t xml:space="preserve">Decline in Pneumococcal Disease in Young Children During the Coronavirus Disease 2019 (COVID-19) Pandemic in Israel Associated With Suppression of Seasonal Respiratory Viruses, Despite Persistent Pneumococcal Carriage: A Prospective Cohort Study</t>
  </si>
  <si>
    <t xml:space="preserve">pneumococcal pneumoniae; respiratory viruses; COVID-19; lower respiratory infections</t>
  </si>
  <si>
    <t xml:space="preserve">ACQUIRED ALVEOLAR PNEUMONIA; STREPTOCOCCUS-PNEUMONIAE; SYNCYTIAL VIRUS; INFLUENZA-VIRUS; TRACT; CHILDHOOD; SEROTYPES; IMPACT; RHINOVIRUS</t>
  </si>
  <si>
    <t xml:space="preserve">During the COVID-19 pandemic, pneumococcal pneumonia and invasive infections were strongly reduced coinciding with reduced activity of respiratory syncytial virus, influenza, and human metapneumovirus. Notably, prevalence, serotype distribution, and density of pneumococcal carriage were similar to previous seasons. Background The incidence of invasive pneumococcal disease (IPD) declined during the COVID-19 pandemic. Previous studies hypothesized that this was due to reduced pneumococcal transmission resulting from nonpharmaceutical interventions. We used multiple ongoing cohort surveillance projects in children Methods The first SARS-CoV-2 cases were detected in February 2020, resulting in a full lockdown, followed by several partial restrictions. Data from ongoing surveillance projects captured the incidence dynamics of community-acquired alveolar pneumonia (CAAP), nonalveolar lower respiratory infections necessitating chest X-rays (NA-LRIs), nasopharyngeal pneumococcal carriage in nonrespiratory visits, nasopharyngeal respiratory virus detection (by polymerase chain reaction), and nationwide IPD. Monthly rates (January 2020 through February 2021 vs mean monthly rates 2016-2019 [expected rates]) adjusted for age and ethnicity were compared. Results CAAP and bacteremic pneumococcal pneumonia were strongly reduced (incidence rate ratios [IRRs]: .07 and .19, respectively); NA-LRIs and nonpneumonia IPD were also reduced by a lesser magnitude (IRRs: .46 and .42, respectively). In contrast, pneumococcal carriage prevalence was only slightly reduced, and density of colonization and pneumococcal serotype distributions were similar to previous years. The decline in pneumococcus-associated disease was temporally associated with a full suppression of respiratory syncytial virus, influenza viruses, and human metapneumovirus, often implicated as co-pathogens with pneumococcus. In contrast, adenovirus, rhinovirus, and parainfluenza activities were within or above expected levels. Conclusions Reductions in pneumococcal and pneumococcus-associated diseases occurring during the COVID-19 pandemic in Israel were not predominantly related to reduced pneumococcal carriage and density but were strongly associated with the disappearance of specific respiratory viruses.</t>
  </si>
  <si>
    <t xml:space="preserve">[Danino, Dana; Ben-Shimol, Shalom; Van der Beek, Bart Adriaan; Givon-Lavi, Noga; Avni, Yonat Shemer; Greenberg, David; Dagan, Ron] Ben Gurion Univ Negev, Fac Hlth Sci, Beer Sheva, Israel; [Danino, Dana; Ben-Shimol, Shalom; Givon-Lavi, Noga; Greenberg, David] Soroka Univ Med Ctr, Pediat Infect Dis Unit, Itzchak Rager Ave, IL-8410501 Beer Sheva, Israel; [Avni, Yonat Shemer] Soroka Univ Med Ctr, Clin Virol Lab, Beer Sheva, Israel; [Weinberger, Daniel M.] Yale Sch Publ Hlth, Dept Epidemiol Microbial Dis, New Haven, CT USA</t>
  </si>
  <si>
    <t xml:space="preserve">Ben Gurion University; Ben Gurion University; Soroka Medical Center; Ben Gurion University; Soroka Medical Center; Yale University</t>
  </si>
  <si>
    <t xml:space="preserve">Dagan, R (corresponding author), Soroka Univ Med Ctr, Pediat Infect Dis Unit, Itzchak Rager Ave, IL-8410501 Beer Sheva, Israel.</t>
  </si>
  <si>
    <t xml:space="preserve">rdagan@bgu.ac.il</t>
  </si>
  <si>
    <t xml:space="preserve">Ben-Shimol, Shalom/G-3368-2015; van der Beek, Bart/AAA-6486-2021; Givon-Lavi, Noga/AHD-9772-2022</t>
  </si>
  <si>
    <t xml:space="preserve">Dagan, Ron/0000-0002-8888-1046</t>
  </si>
  <si>
    <t xml:space="preserve">Pfizer, Inc [0887X1-4603]</t>
  </si>
  <si>
    <t xml:space="preserve">Pfizer, Inc(Pfizer)</t>
  </si>
  <si>
    <t xml:space="preserve">The work was partially supported by Pfizer, Inc (grant number 0887X1-4603).</t>
  </si>
  <si>
    <t xml:space="preserve">AUG 24</t>
  </si>
  <si>
    <t xml:space="preserve">E1154</t>
  </si>
  <si>
    <t xml:space="preserve">E1164</t>
  </si>
  <si>
    <t xml:space="preserve">10.1093/cid/ciab1014</t>
  </si>
  <si>
    <t xml:space="preserve">3Z6FV</t>
  </si>
  <si>
    <t xml:space="preserve">Bronze, Green Submitted, Green Published</t>
  </si>
  <si>
    <t xml:space="preserve">WOS:000789351200001</t>
  </si>
  <si>
    <t xml:space="preserve">Lewnard, JA; Bruxvoort, KJ; Hong, VX; Grant, LR; Jódar, L; Cané, A; Gessner, BD; Tartof, SY</t>
  </si>
  <si>
    <t xml:space="preserve">Lewnard, Joseph A.; Bruxvoort, Katia J.; Hong, Vennis X.; Grant, Lindsay R.; Jodar, Luis; Cane, Alejandro; Gessner, Bradford D.; Tartof, Sara Y.</t>
  </si>
  <si>
    <t xml:space="preserve">Effectiveness of Pneumococcal Conjugate Vaccination Against Virus-Associated Lower Respiratory Tract Infection Among Adults: A Case-Control Study</t>
  </si>
  <si>
    <t xml:space="preserve">pneumococcal conjugate vaccine; influenza; respiratory syncytial virus; parainfluenza virus; human metapneumovirus; pneumonia</t>
  </si>
  <si>
    <t xml:space="preserve">COMMUNITY-ACQUIRED PNEUMONIA; STREPTOCOCCUS-PNEUMONIAE; ADVISORY-COMMITTEE; UPDATED RECOMMENDATIONS; DOUBLE-BLIND; CHILDREN; INFLUENZA; HOSPITALIZATION; DENSITY; TRANSMISSION</t>
  </si>
  <si>
    <t xml:space="preserve">Background Interactions of Streptococcus pneumoniae with viruses feature in the pathogenesis of numerous respiratory illnesses. Methods We undertook a case-control study among adults at Kaiser Permanente Southern California between 2015 and 2019. Case patients had diagnoses of lower respiratory tract infection (LRTI; including pneumonia or nonpneumonia LRTI diagnoses), with viral infections detected by multiplex polymerase chain reaction testing. Controls without LRTI diagnoses were matched to case patients by demographic and clinical attributes. We measured vaccine effectiveness (VE) for 13-valent (PCV13) against virus-associated LRTI by determining the adjusted odds ratio for PCV13 receipt, comparing case patients and controls. Results Primary analyses included 13 856 case patients with virus-associated LRTI and 227 887 matched controls. Receipt of PCV13 was associated with a VE of 24.9% (95% confidence interval, 18.4%-30.9%) against virus-associated pneumonia and 21.5% (10.9%-30.9%) against other (nonpneumonia) virus-associated LRTIs. We estimated VEs of 26.8% (95% confidence interval, 19.9%-33.1%) and 18.6% (9.3%-27.0%) against all virus-associated LRTI episodes diagnosed in inpatient and outpatient settings, respectively. We identified statistically significant protection against LRTI episodes associated with influenza A and B viruses, endemic human coronaviruses, parainfluenza viruses, human metapneumovirus, and enteroviruses but not respiratory syncytial virus or adenoviruses. Conclusions Among adults, PCV13 conferred moderate protection against virus-associated LRTI. The impacts of pneumococcal conjugate vaccines may be mediated, in part, by effects on polymicrobial interactions between pneumococci and respiratory viruses. Adults receiving 13-valent pneumococcal conjugate vaccine experienced 24.9% protection against virus-associated pneumonia and 21.5% protection against other virus-associated lower respiratory tract infections. Interactions with Streptococcus pneumoniaelikely contribute to the pathogenesis of viral infections in the respiratory tract.</t>
  </si>
  <si>
    <t xml:space="preserve">[Lewnard, Joseph A.] Univ Calif Berkeley, Sch Publ Hlth, Div Epidemiol, Berkeley, CA 94720 USA; [Lewnard, Joseph A.] Univ Calif Berkeley, Sch Publ Hlth, Div Infect Dis &amp; Vaccinol, Berkeley, CA 94720 USA; [Lewnard, Joseph A.] Univ Calif Berkeley, Coll Engn, Ctr Computat Biol, Berkeley, CA 94720 USA; [Bruxvoort, Katia J.] Univ Alabama Birmingham, Sch Publ Hlth, Dept Epidemiol, Birmingham, AL 35294 USA; [Bruxvoort, Katia J.; Hong, Vennis X.; Tartof, Sara Y.] Kaiser Permanente Southern Calif, Dept Res &amp; Evaluat, Pasadena, CA USA; [Grant, Lindsay R.; Jodar, Luis; Cane, Alejandro; Gessner, Bradford D.] Pfizer Vaccines, Collegeville, PA USA; [Tartof, Sara Y.] Kaiser Permanente Bernard J Tyson Sch Med, Dept Hlth Syst Sci, Pasadena, CA USA</t>
  </si>
  <si>
    <t xml:space="preserve">University of California System; University of California Berkeley; University of California System; University of California Berkeley; University of California System; University of California Berkeley; University of Alabama System; University of Alabama Birmingham; Kaiser Permanente; Pfizer; Kaiser Permanente</t>
  </si>
  <si>
    <t xml:space="preserve">Lewnard, JA (corresponding author), 2121 Berkeley Way,Room 5410, Berkeley, CA 94720 USA.</t>
  </si>
  <si>
    <t xml:space="preserve">joelewnard@gmail.com</t>
  </si>
  <si>
    <t xml:space="preserve">Grant, Lindsay/0000-0002-4538-6424; Bruxvoort, Katia/0000-0001-8277-2431</t>
  </si>
  <si>
    <t xml:space="preserve">Pfizer; National Institute of Allergy and Infectious Diseases [R01-AI14812701A1]</t>
  </si>
  <si>
    <t xml:space="preserve">Pfizer(Pfizer); National Institute of Allergy and Infectious Diseases(United States Department of Health &amp; Human ServicesNational Institutes of Health (NIH) - USANIH National Institute of Allergy &amp; Infectious Diseases (NIAID))</t>
  </si>
  <si>
    <t xml:space="preserve">This work was supported by Pfizer. J. A. L. was supported by grant R01-AI14812701A1 from the National Institute of Allergy and Infectious Diseases.</t>
  </si>
  <si>
    <t xml:space="preserve">FEB 14</t>
  </si>
  <si>
    <t xml:space="preserve">10.1093/infdis/jiac098</t>
  </si>
  <si>
    <t xml:space="preserve">X4LP3</t>
  </si>
  <si>
    <t xml:space="preserve">WOS:000791812400001</t>
  </si>
  <si>
    <t xml:space="preserve">Tang, RS; Mahmood, K; MacPhail, M; Guzzetta, JM; Haller, AA; Liu, H; Kaur, J; Lawlor, HA; Stillman, EA; Schickli, JH; Fouchier, RAM; Osterhaus, ADME; Spaete, RR</t>
  </si>
  <si>
    <t xml:space="preserve">A host-range restricted parainfluenza virus type 3 (PIV3) expressing the human metapneumovirus (hMPV) fusion protein elicits protective immunity in African green monkeys</t>
  </si>
  <si>
    <t xml:space="preserve">PIV3 vectored-vaccines; primates; human metapneumovirus</t>
  </si>
  <si>
    <t xml:space="preserve">RESPIRATORY SYNCYTIAL VIRUS; F-PROTEIN; MUCOSAL IMMUNIZATION; TRACT INFECTIONS; RHESUS-MONKEYS; VACCINE; LIVE; REPLICATION; CHILDREN; INFANTS</t>
  </si>
  <si>
    <t xml:space="preserve">Human metapneumovirus (hMPV) infection causes respiratory tract disease similar to that observed during human respiratory syncytial virus infection (hRSV). hMPV infections have been reported across the entire age spectrum although the most severe disease occurs in young children. No vaccines, chemotherapeutics or antibodies are presently available for preventing or treating hMPV infections. In this study, a bovine/human chimeric parainfluenza virus type 3 (b/h PIV3) expressing the human parainfluenza type 3 (hPIV3) fusion (F) and hemagglutinin-neuraminidase (HN) proteins was engineered to express hMPV fusion (F) protein from the second genome position (b/h PIV3/hMPV F2) with the goal of generating a novel hMPV vaccine. b/h PIV3/hMPV F2 was previously shown to protect hamsters from challenge with wt hMPV (Tang RS, Schickli JH, Macphail M, Fernandes F, Bicha L, Spaete J, et al. Effects of human metapneumovirus and respiratory syncytial virus antigen insertion in two 3' proximal genome positions of bovine/human parainfluenza virus type 3 on virus replication and immunogenicity. J Virol 2003;77:10819-28) and is here further evaluated for efficacy and immunogenicity in African green monkeys (AGMs). AGMs immunized intranasally and intratracheally with b/h PIV3/hMPV F2 generated hMPV- and hPIV3-specific Immoral and cellular immune responses and were protected from wt hMPV infection. In a separate study, the host-range restriction of b/h PIV3/hMPV F2 replication relative to wt hPIV3 was performed in rhesus monkeys to demonstrate attenuation. These studies showed that b/h PIV3/hMPV F2 was immunogenic. protective and attenuated in non-human primates and warrants further evaluation in humans as a vaccine candidate for prevention of hMPV-associated respiratory tract diseases. (C) 2004 Elsevier Ltd. All rights reserved.</t>
  </si>
  <si>
    <t xml:space="preserve">MedImmune Vaccines Inc, Mountain View, CA 94043 USA; Erasmus MC, Dept Virol, Rotterdam, Netherlands</t>
  </si>
  <si>
    <t xml:space="preserve">AstraZeneca; Medimmune; Erasmus University Rotterdam; Erasmus MC</t>
  </si>
  <si>
    <t xml:space="preserve">MedImmune Vaccines Inc, 297 N Bernardo Ave, Mountain View, CA 94043 USA.</t>
  </si>
  <si>
    <t xml:space="preserve">tangr@medimmune.com</t>
  </si>
  <si>
    <t xml:space="preserve">; Fouchier, Ron/A-1911-2014</t>
  </si>
  <si>
    <t xml:space="preserve">Tang, Roderick/0000-0003-0018-4869; Osterhaus, Albert/0000-0002-6074-1172; Fouchier, Ron/0000-0001-8095-2869</t>
  </si>
  <si>
    <t xml:space="preserve">FEB 25</t>
  </si>
  <si>
    <t xml:space="preserve">10.1016/j.vaccine.2004.10.009</t>
  </si>
  <si>
    <t xml:space="preserve">902AR</t>
  </si>
  <si>
    <t xml:space="preserve">WOS:000227324100004</t>
  </si>
  <si>
    <t xml:space="preserve">Tong, ASW; Hon, KL; Tsang, YCK; Chan, RWY; Chan, CC; Leung, TF; Chan, PKS</t>
  </si>
  <si>
    <t xml:space="preserve">Tong, Alice S. W.; Hon, Kam Lun; Tsang, Yin Ching K.; Chan, Renee Wan Yi; Chan, Ching Ching; Leung, Ting Fan; Chan, Paul K. S.</t>
  </si>
  <si>
    <t xml:space="preserve">Paramyxovirus Infection: Mortality and Morbidity in a Pediatric Intensive Care Unit</t>
  </si>
  <si>
    <t xml:space="preserve">JOURNAL OF TROPICAL PEDIATRICS</t>
  </si>
  <si>
    <t xml:space="preserve">PICU; respiratory syncytial virus (RSV); pediatric intensive care; seasonality; bacterial co-infection; paramyxovirus; parainfluenza virus (PIV); human metapneumovirus (hMPV)</t>
  </si>
  <si>
    <t xml:space="preserve">RESPIRATORY SYNCYTIAL VIRUS; HUMAN METAPNEUMOVIRUS; PREMORBID FACTORS; TRACT INFECTION; YOUNG-CHILDREN; HONG-KONG; INFANTS; EPIDEMIOLOGY; SEASONALITY; PALIVIZUMAB</t>
  </si>
  <si>
    <t xml:space="preserve">Methods: A retrospective study between October 2002 and March 2015 of children with a laboratory-confirmed paramyxovirus infection was included. Results: In all, 98 (5%) PICU admissions were tested positive to have paramyxovirus infection (respiratory syncytial virus = 66, parainfluenza = 27 and metapneumovirus = 5). The majority of admissions were young patients (median age 1.05 years). Bacteremia and bacterial isolation in any site were present in 10% and 28%, respectively; 41% were mechanically ventilated, and 20% received inotropes. The three respiratory viruses caused similar mortality and morbidity in the PICU. Fatality (seven patients) was associated with malignancy, positive bacterial culture in blood, the use of mechanical ventilation, inotrope use, lower blood white cell count and higher C reactive protein (p = 0.02-0.0005). Backward binary logistic regression for these variables showed bacteremia (odds ratio [OR]: 31.7; 95% CI: 2.3-427.8; p = 0.009), malignancy (OR: 45.5; 95% CI: 1.4-1467.7; p = 0.031) and use of inotropes (OR: 15.0; 95% CI: 1.1-196.1; p = 0.039) were independently associated with non-survival. March and July appeared to be the two peak months for PICU hospitalizations with paramyxovirus infection. Conclusions: Infections with paramyxoviruses account for 5% of PICU admissions and significant morbidity. Patient with premorbid history of malignancy and co-morbidity of bacteremia are associated with non-survival. March and July appeared to be the two peak months for PICU admissions with paramyxoviruses.</t>
  </si>
  <si>
    <t xml:space="preserve">[Tong, Alice S. W.] Tseung Kwan O Hosp, Dept Paediat, Tseung Kwan O, Hong Kong, Peoples R China; [Hon, Kam Lun; Tsang, Yin Ching K.; Chan, Renee Wan Yi; Chan, Ching Ching; Leung, Ting Fan] Prince Wales Hosp, Dept Paediat, Shatin, Hong Kong, Peoples R China; [Chan, Paul K. S.] Chinese Univ Hong Kong, Prince Wales Hosp, Dept Microbiol, Shatin, Hong Kong, Peoples R China</t>
  </si>
  <si>
    <t xml:space="preserve">Chinese University of Hong Kong; Prince of Wales Hospital; Chinese University of Hong Kong; Prince of Wales Hospital</t>
  </si>
  <si>
    <t xml:space="preserve">Hon, KL (corresponding author), Chinese Univ Hong Kong, Prince Wales Hosp, Dept Paediat, 6-F Clin Sci Bldg, Shatin, Hong Kong, Peoples R China.</t>
  </si>
  <si>
    <t xml:space="preserve">ehon@hotmail.com</t>
  </si>
  <si>
    <t xml:space="preserve">Chan, Paul/J-9360-2013; LEUNG, Ting/E-7728-2013; Chan, Renee/AAA-6598-2020; Chan, Ching Ching/P-2947-2018</t>
  </si>
  <si>
    <t xml:space="preserve">Chan, Wan Yi/0000-0001-6485-0926; Chan, Ching Ching/0000-0001-7272-8285</t>
  </si>
  <si>
    <t xml:space="preserve">OXFORD UNIV PRESS</t>
  </si>
  <si>
    <t xml:space="preserve">GREAT CLARENDON ST, OXFORD OX2 6DP, ENGLAND</t>
  </si>
  <si>
    <t xml:space="preserve">0142-6338</t>
  </si>
  <si>
    <t xml:space="preserve">1465-3664</t>
  </si>
  <si>
    <t xml:space="preserve">J TROP PEDIATRICS</t>
  </si>
  <si>
    <t xml:space="preserve">J. Trop. Pediatr.</t>
  </si>
  <si>
    <t xml:space="preserve">10.1093/tropej/fmw016</t>
  </si>
  <si>
    <t xml:space="preserve">Pediatrics; Tropical Medicine</t>
  </si>
  <si>
    <t xml:space="preserve">EC1YE</t>
  </si>
  <si>
    <t xml:space="preserve">WOS:000387904500002</t>
  </si>
  <si>
    <t xml:space="preserve">Jacques, J; Bouscambert-Duchamp, M; Moret, H; Carquin, J; Brodard, V; Lina, B; Motte, J; Andréoletti, L</t>
  </si>
  <si>
    <t xml:space="preserve">Jacques, Jerome; Bouscambert-Duchamp, Maude; Moret, Helene; Carquin, Jocelyne; Brodard, Veronique; Lina, Bruno; Motte, Jacques; Andreoletti, Laurent</t>
  </si>
  <si>
    <t xml:space="preserve">Association of respiratory picornaviruses with acute bronchiolitis in French infants</t>
  </si>
  <si>
    <t xml:space="preserve">picornavirus; rhinovirus; enterovirus; bronchiolitis; mutiple viral respiratory infection; infants</t>
  </si>
  <si>
    <t xml:space="preserve">SYNCYTIAL VIRUS; RNA SEQUENCES; RHINOVIRUS; CHILDREN; EXACERBATIONS; ASTHMA</t>
  </si>
  <si>
    <t xml:space="preserve">Background: Human rhinoviruses and enteroviruses (Picornaviridae) are suspected to be major viral etiological causes of bronchiolitis in infants. Objectives: In the present study, we assessed the potential role of the respiratory picornaviruses as causative agents of bronchiolitis in French infants. Study design: From September 2001 to June 2002, we prospectively selected 192 infants &lt;= 36 months of age and hospitalized for acute bronchiolitis. The detection of common respiratory viruses (respiratory syncytial virus, influenza virus A and B, parainfluenza virus 1, 2, 3 and adenovirus) was performed using classical immunofluorescence antigen and cell-culture detection assays on nasopharyngeal aspirates whereas the detection of human metapneumovirus (HMPV) was performed by a real-time RT-PCR assay. The presence of rhinovirus and/or enterovirus was assessed in respiratory samples by a picornavirus RT-PCR detection assay followed by a differential Southern blotting procedure. Results: A potential causative virus was detected in 72.5% of the 192 study infants. RSV (30%), rhinovirus (21%), enterovirus (9%), infuenza virus A (6%) and human metapneumovirus (4%) were the most frequent causative agents detected. Rhinoviruses or enteroviruses were detected as the only evidence of respiratory viral tract infection in 57 (30%) of 192 infants, whereas rhinovirus or enterovirus occurred in mixed viral infection detected in 25 (13%) of 192 study cases (30% versus 13%, p &lt; 10(-3)). Conclusions: Our data suggest that respiratory picornaviruses are one of the leading etiological causes of bronchiolitis in French infants. These findings highlight the need to implement a rapid picornavirus RT-PCR detection assay for the clinical diagnosis of respiratory infections in pediatric patients with bronchiolitis. (C) 2005 Elsevier B.V. All rights reserved.</t>
  </si>
  <si>
    <t xml:space="preserve">Hop Robert Debre, Microbiol Serv, Virol Lab, F-51092 Reims, France; Fac Med Reims, PPCIDH, DAT, IFR 53,EA 3798, Reims, France; Hospices Civils Lyon, Virol Lab, CNRS, UMR 5537, Lyon, France; Serv Urgences Medicochirurg Pediat, Reims, France</t>
  </si>
  <si>
    <t xml:space="preserve">Universite de Reims Champagne-Ardenne; CHU de Reims; Universite de Reims Champagne-Ardenne; Centre National de la Recherche Scientifique (CNRS); CHU Lyon</t>
  </si>
  <si>
    <t xml:space="preserve">Andréoletti, L (corresponding author), Hop Robert Debre, Microbiol Serv, Virol Lab, Ave Gen Koenig, F-51092 Reims, France.</t>
  </si>
  <si>
    <t xml:space="preserve">landreoletti@chu-reims.fr</t>
  </si>
  <si>
    <t xml:space="preserve">lina, bruno/N-3663-2019; Andreoletti, Laurent/AAQ-2756-2020</t>
  </si>
  <si>
    <t xml:space="preserve">lina, bruno/0000-0002-8959-2123; ANDREOLETTI, LAURENT/0000-0002-7440-8880</t>
  </si>
  <si>
    <t xml:space="preserve">10.1016/j.jcv.2005.11.009</t>
  </si>
  <si>
    <t xml:space="preserve">070SW</t>
  </si>
  <si>
    <t xml:space="preserve">WOS:000239545300018</t>
  </si>
  <si>
    <t xml:space="preserve">Lamson, DM; Griesemer, S; Fuschino, M; St George, K</t>
  </si>
  <si>
    <t xml:space="preserve">Lamson, Daryl M.; Griesemer, Sara; Fuschino, Meghan; St George, Kirsten</t>
  </si>
  <si>
    <t xml:space="preserve">Phylogenetic analysis of human metapneumovirus from New York State patients during February through April 2010</t>
  </si>
  <si>
    <t xml:space="preserve">Phylogeny; Human metapnumovirus; Influenza-like illness; Respiratory swabs</t>
  </si>
  <si>
    <t xml:space="preserve">GENETIC DIVERSITY; INFECTION; CHILDREN</t>
  </si>
  <si>
    <t xml:space="preserve">Background: Human metapneumovirus (hMPV) is the second leading cause of lower respiratory infection (LRI) in children around the world and has been linked to LRI in multiple studies. Currently, hMPV is classified into 2 major subtypes (A and B), each with 2 subgroups (1 and 2). Objective: To determine which hMPV genotypes were present in NYS patients with influenza-like illness (ILI) from February through April 2010, during a period of unusually heightened activity. Study design: Specimens were collected from February through April of 2010 from patients presenting with ILI who were previously confirmed as positive for hMPV by real-time RT-PCR. A 700 base pair region of the hMPV fusion (F) gene was amplified, sequenced and resulting sequences aligned. A phylogenic tree was constructed based on prototype strains, and the partial F gene sequences obtained in this study. Results: Bi-directional sequence was obtained from 30 patient samples and included in the phylogenic analysis. Specimen sequences grouped into hMPV genotype A2a (16), A2b (9), B2 (4) and B1 (1). No A1 genotypes were found. Conclusion: Previously, reports have demonstrated that genotypes A1, A2, B1 and B2 circulate every season, usually with one dominant strain. In contrast, late in the 2009-2010 respiratory season, 4 of the 5 recognized genotypes of hMPV were isolated from NYS ILI patients, and by sequencing a larger portion of the fusion gene, we were able to identify the A2a and A2b genotypes. (C) 2011 Elsevier B.V. All rights reserved.</t>
  </si>
  <si>
    <t xml:space="preserve">[Lamson, Daryl M.] Wadsworth Ctr, Viral Dis Lab, David Axelrod Inst, NYS Dept Hlth, Albany, NY 12201 USA</t>
  </si>
  <si>
    <t xml:space="preserve">Wadsworth Center</t>
  </si>
  <si>
    <t xml:space="preserve">Lamson, DM (corresponding author), Wadsworth Ctr, Viral Dis Lab, David Axelrod Inst, NYS Dept Hlth, POB 22002, Albany, NY 12201 USA.</t>
  </si>
  <si>
    <t xml:space="preserve">dml20@health.state.ny.us</t>
  </si>
  <si>
    <t xml:space="preserve">Lamson, Daryl/0000-0002-6497-917X</t>
  </si>
  <si>
    <t xml:space="preserve">Funding was provided from within the Wadsworth Center to perform this study.</t>
  </si>
  <si>
    <t xml:space="preserve">10.1016/j.jcv.2011.12.001</t>
  </si>
  <si>
    <t xml:space="preserve">896PX</t>
  </si>
  <si>
    <t xml:space="preserve">WOS:000300583000014</t>
  </si>
  <si>
    <t xml:space="preserve">Essa, SS; Chehadeh, W; Al-Nakib, W</t>
  </si>
  <si>
    <t xml:space="preserve">Essa, Sahar Sultan; Chehadeh, Wassim; Al-Nakib, Widad</t>
  </si>
  <si>
    <t xml:space="preserve">Human Washington University Polyomavirus in Patients with Respiratory Tract Infection in Kuwait</t>
  </si>
  <si>
    <t xml:space="preserve">Phylogenetic analysis; Respiratory tract infections; Washington University polyomavirus</t>
  </si>
  <si>
    <t xml:space="preserve">WU POLYOMAVIRUS; HUMAN METAPNEUMOVIRUS; KI; CHILDREN; IDENTIFICATION; PREVALENCE; PHYLOGENIES; DISEASE</t>
  </si>
  <si>
    <t xml:space="preserve">Objective: To determine Washington University (WU) polyomavirus strains circulating among hospitalized patients with respiratory tract infections (RTI) in Kuwait. Materials and Methods: Samples from 459 hospitalized children and adult RTI patients were screened for respiratory viruses by polymerase chain reaction from April 2013 to April 2016. The VP2 gene from WU virus (WUV)-positive samples was sequenced and subjected to phylogenetic analysis. Results: Of the 459 hospitalized RTI patients, 18 (3.9%) patients were positive for WUV infection. WUV infection was common among children aged &lt;= 11 years (9 patients, 50%). Among the 18 WUV-infected hospitalized patients, viral co-infection was detected in 9 patients (50%). The most common viruses associated with mixed infection were respiratory syncytial virus and human rhinovirus (2 patients, 11.1% each). Of the 18 WUV-infected patients, 4 were sequenced and subjected to phylogenetic analysis. The circulating strains belong to type Ia and IIIb. Conclusion: This study enabled us to detect WUV among hospitalized RTI patients. Co-infection with other respiratory viruses was notable. Two circulating WUV genotypes (Ia and IIIb) were identified among hospitalized RTI patients in Kuwait. (C) 2017 The Author(s) Published by S. Karger AG, Basel</t>
  </si>
  <si>
    <t xml:space="preserve">[Essa, Sahar Sultan; Chehadeh, Wassim; Al-Nakib, Widad] Kuwait Univ, Dept Microbiol, Fac Med, POB 24923, Safat 13110, Kuwait</t>
  </si>
  <si>
    <t xml:space="preserve">Essa, SS (corresponding author), Kuwait Univ, Dept Microbiol, Fac Med, POB 24923, Safat 13110, Kuwait.</t>
  </si>
  <si>
    <t xml:space="preserve">Kuwait University [ZM 03/13]</t>
  </si>
  <si>
    <t xml:space="preserve">We are thankful for the continuous support (research grant ZM 03/13) of the Research Sector, Kuwait University.</t>
  </si>
  <si>
    <t xml:space="preserve">10.1159/000485036</t>
  </si>
  <si>
    <t xml:space="preserve">FX3ZH</t>
  </si>
  <si>
    <t xml:space="preserve">WOS:000426011000007</t>
  </si>
  <si>
    <t xml:space="preserve">Mendes, G; Aspesi, GH; Arruda, ALA; Romanos, MTV; Andrade, CKZ</t>
  </si>
  <si>
    <t xml:space="preserve">Mendes, Gabriella; Aspesi, Geisa H.; Arruda, Ana L. A.; Romanos, Maria T. V.; Andrade, Carlos K. Z.</t>
  </si>
  <si>
    <t xml:space="preserve">In vitro Anti-HMPV Activity of New Synthetic Phenytoin Derivatives</t>
  </si>
  <si>
    <t xml:space="preserve">JOURNAL OF THE BRAZILIAN CHEMICAL SOCIETY</t>
  </si>
  <si>
    <t xml:space="preserve">phenytoin; 1,2,3-triazoles; metapneumovirus; antiviral assay; real-time RT-PCR</t>
  </si>
  <si>
    <t xml:space="preserve">HUMAN METAPNEUMOVIRUS INFECTION; REAL-TIME PCR; RESPIRATORY-TRACT INFECTIONS; LUNG-TRANSPLANT RECIPIENTS; ANTIVIRAL ACTIVITY; HOSPITALIZED-PATIENTS; SULFATED GALACTANS; VIRUS-INFECTIONS; SOUTHERN BRAZIL; SYNCYTIAL VIRUS</t>
  </si>
  <si>
    <t xml:space="preserve">New derivatives of synthetic 5,5-diphenylhydantoin (phenytoin) were prepared by N-alkylation with 1,3-dibromopropane. Subsequent treatment with sodium azide led to the respective azide. Reaction of the azide with phenylacetylene and 2-hydroxy-3-butyne and oxidation of the resulting alcohol with MnO2 resulted in three triazolic compounds that were evaluated in vitro for their antiviral activity against human metapneumovirus (HMPV). 5,5-Diphenyl-3-[3-(4-phenyl-1H-1,2,3-triazol-1-yl) propyl] imidazolidine-2,4-dione was the most active of the three compounds tested, with selectivity index of 129.87, even higher than ribavirin, the control substance. The three compounds showed activity in the early stages of viral replication presenting virucidal activity and binding to cellular receptors, preventing the adsorption of viral particles. These compounds showed higher activity in both experiments, inhibiting 98.3% of infection as virucidal and 98.9% when interacting with cellular receptors. Furthermore, they showed 73.8% of activity during the penetration of HMPV particles into cells. The derivative 3-{3-[4-(1-hydroxyethyl)-1H-1,2,3-triazol-1-yl] propyl}-5,5-diphenylimidazolidine-2,4-dione presented a mild anti-HMPV activity, with selectivity index of 2.74. 3-[3-(4-acetyl-1H-1,2,3-triazol-1-yl) propyl]-5,5-diphenylimidazolidine2,4- dione inhibited less than 50% of HMPV replication.</t>
  </si>
  <si>
    <t xml:space="preserve">[Mendes, Gabriella; Romanos, Maria T. V.] Univ Fed Rio de Janeiro, LEDAC, Inst Microbiol Paulo Goes, Dept Virol, CP 6804, BR-21941590 Rio de Janeiro, RJ, Brazil; [Aspesi, Geisa H.; Arruda, Ana L. A.] Univ Catolica Dom Bosco, Dept Ciencias Biol &amp; Saude, Ave Tamandare 6000, BR-79117900 Campo Grande, MS, Brazil; [Andrade, Carlos K. Z.] Univ Brasilia, Inst Quim, LaQMOS, Lab Quim Metodol &amp; Organ Sintet, CP 4478, BR-70910970 Brasilia, DF, Brazil</t>
  </si>
  <si>
    <t xml:space="preserve">Universidade Federal do Rio de Janeiro; Universidade Catolica Dom Bosco (UCDB); Universidade de Brasilia</t>
  </si>
  <si>
    <t xml:space="preserve">Romanos, MTV (corresponding author), Univ Fed Rio de Janeiro, LEDAC, Inst Microbiol Paulo Goes, Dept Virol, CP 6804, BR-21941590 Rio de Janeiro, RJ, Brazil.;Andrade, CKZ (corresponding author), Univ Brasilia, Inst Quim, LaQMOS, Lab Quim Metodol &amp; Organ Sintet, CP 4478, BR-70910970 Brasilia, DF, Brazil.</t>
  </si>
  <si>
    <t xml:space="preserve">teresa.romanos@micro.ufrj.br; ckleber@unb.br</t>
  </si>
  <si>
    <t xml:space="preserve">Andrade, Carlos/A-3133-2008; Mendes, Gabriella/CAG-0780-2022; Aspesi, Geisa/AAK-9673-2020</t>
  </si>
  <si>
    <t xml:space="preserve">Zago de Andrade, Carlos Kleber/0000-0003-0798-9133</t>
  </si>
  <si>
    <t xml:space="preserve">Universidade de Brasilia; Universidade Catolica Dom Bosco; Universidade Federal do Rio de Janeiro; Conselho Nacional de Desenvolvimento Cientifico e Tecnologico (CNPq); Coordenacao de Aperfeicoamento de Pessoal de Nivel Superior (CAPES); Fundacao Carlos Chagas de Amparo a Pesquisa do Estado do Rio de Janeiro (FAPERJ)</t>
  </si>
  <si>
    <t xml:space="preserve">Universidade de Brasilia; Universidade Catolica Dom Bosco; Universidade Federal do Rio de Janeiro; Conselho Nacional de Desenvolvimento Cientifico e Tecnologico (CNPq)(Conselho Nacional de Desenvolvimento Cientifico e Tecnologico (CNPQ)); Coordenacao de Aperfeicoamento de Pessoal de Nivel Superior (CAPES)(Coordenacao de Aperfeicoamento de Pessoal de Nivel Superior (CAPES)); Fundacao Carlos Chagas de Amparo a Pesquisa do Estado do Rio de Janeiro (FAPERJ)(Fundacao Carlos Chagas Filho de Amparo a Pesquisa do Estado do Rio De Janeiro (FAPERJ))</t>
  </si>
  <si>
    <t xml:space="preserve">The authors thank Universidade de Brasilia, Universidade Catolica Dom Bosco, Universidade Federal do Rio de Janeiro, Conselho Nacional de Desenvolvimento Cientifico e Tecnologico (CNPq), Coordenacao de Aperfeicoamento de Pessoal de Nivel Superior (CAPES) and Fundacao Carlos Chagas de Amparo a Pesquisa do Estado do Rio de Janeiro (FAPERJ) for financial support.</t>
  </si>
  <si>
    <t xml:space="preserve">SOC BRASILEIRA QUIMICA</t>
  </si>
  <si>
    <t xml:space="preserve">CAIXA POSTAL 26037, 05599-970 SAO PAULO, BRAZIL</t>
  </si>
  <si>
    <t xml:space="preserve">0103-5053</t>
  </si>
  <si>
    <t xml:space="preserve">1678-4790</t>
  </si>
  <si>
    <t xml:space="preserve">J BRAZIL CHEM SOC</t>
  </si>
  <si>
    <t xml:space="preserve">J. Braz. Chem. Soc.</t>
  </si>
  <si>
    <t xml:space="preserve">10.5935/0103-5053.20150234</t>
  </si>
  <si>
    <t xml:space="preserve">Chemistry, Multidisciplinary</t>
  </si>
  <si>
    <t xml:space="preserve">Science Citation Index Expanded (SCI-EXPANDED); Index Chemicus (IC)</t>
  </si>
  <si>
    <t xml:space="preserve">Chemistry</t>
  </si>
  <si>
    <t xml:space="preserve">DC3XS</t>
  </si>
  <si>
    <t xml:space="preserve">WOS:000369153700002</t>
  </si>
  <si>
    <t xml:space="preserve">Zhang, LB; Hu, P</t>
  </si>
  <si>
    <t xml:space="preserve">Zhang, Libin; Hu, Ping</t>
  </si>
  <si>
    <t xml:space="preserve">Cost-effectiveness analysis of oral versus intravenous drip infusion of levofloxacin in the treatment of acute lower respiratory tract infection in Chinese elderly patients</t>
  </si>
  <si>
    <t xml:space="preserve">CLINICAL INTERVENTIONS IN AGING</t>
  </si>
  <si>
    <t xml:space="preserve">Pharmacoeconomic; cost-effectiveness; dosage; elderly patient; treatment cost; Chinese</t>
  </si>
  <si>
    <t xml:space="preserve">HUMAN METAPNEUMOVIRUS; SEQUENTIAL THERAPY; SYNCYTIAL VIRUS; PHARMACOKINETICS; ERADICATION</t>
  </si>
  <si>
    <t xml:space="preserve">Aim: Pharmacoeconomic cost-effectiveness analysis of two different dosage regimens of levofloxacin in the treatment of acute lower respiratory tract infection in elderly patients. Methods: A total of 108 elderly patients with acute lower respiratory tract infection who visited by our hospital between September 2013 and September 2014 were randomly divided into Group A and Group B, with 54 patients in each group. In Group A, levofloxacin injection was given for continuous intravenous infusion treatment, whereas in Group B, levofloxacin injection and levofloxacin capsule were given as sequential therapy (ST). The period of treatment for both the groups was 10 days, and minimum cost analysis was used to analyze the treatment. Results: Groups A and B had cure rates of 61.1% and 59.3% (P &gt; 0.05), effective rates of 88.9% and 83.3% (P &gt; 0.05), bacterial clearance rates of 96.3% and 92.6% (P &gt; 0.05), and incidence rates of adverse reactions of 7.4% and 3.7% (P &gt; 0.05), respectively. Treatment costs of Groups A and B were 1,588 RMB and 1,150 RMB, respectively, whereas the cost-effectiveness of the two groups was at 17.86 and 13.81, respectively (P &lt; 0.05). Conclusion: Levofloxacin ST had relatively higher cost-effectiveness ratio for the treatment of acute lower respiratory tract infection in elderly patients, especially Chinese.</t>
  </si>
  <si>
    <t xml:space="preserve">[Zhang, Libin; Hu, Ping] Tongji Univ, Sch Med, Shanghai Pulm Hosp, Dept Pharmaceut, Rd Zheng Min 507, Shanghai 200433, Peoples R China</t>
  </si>
  <si>
    <t xml:space="preserve">Tongji University</t>
  </si>
  <si>
    <t xml:space="preserve">Hu, P (corresponding author), Tongji Univ, Sch Med, Shanghai Pulm Hosp, Dept Pharmaceut, Rd Zheng Min 507, Shanghai 200433, Peoples R China.</t>
  </si>
  <si>
    <t xml:space="preserve">mkedud@163.com</t>
  </si>
  <si>
    <t xml:space="preserve">1178-1998</t>
  </si>
  <si>
    <t xml:space="preserve">CLIN INTERV AGING</t>
  </si>
  <si>
    <t xml:space="preserve">Clin. Interv. Aging</t>
  </si>
  <si>
    <t xml:space="preserve">10.2147/CIA.S127009</t>
  </si>
  <si>
    <t xml:space="preserve">ES1NN</t>
  </si>
  <si>
    <t xml:space="preserve">WOS:000399294400002</t>
  </si>
  <si>
    <t xml:space="preserve">Elsayed, AA; Rabea, HM; Salman, SA; Wahsh, EA</t>
  </si>
  <si>
    <t xml:space="preserve">Elsayed, Asmaa A.; Rabea, Hoda M.; Salman, Salman Ahmed; Wahsh, Engy A.</t>
  </si>
  <si>
    <t xml:space="preserve">The preparedness and knowledge of pharmacists and general practitioners in managing human monkeypox: a highly spreading infectious disease</t>
  </si>
  <si>
    <t xml:space="preserve">JOURNAL OF PHARMACEUTICAL POLICY AND PRACTICE</t>
  </si>
  <si>
    <t xml:space="preserve">Pharmacist; Monkeypox; Epidemic; Questionnaire; Awareness</t>
  </si>
  <si>
    <t xml:space="preserve">VIRUS</t>
  </si>
  <si>
    <t xml:space="preserve">BackgroundAfter the era of the COVID-19 pandemic, the role of pharmacists was emphasized in the battle against highly spreading and infectious diseases like human Monkeypox (hMPV).AimAssess the hMPV knowledge of the community, clinical pharmacists, and general practitioners (GPs) and raise their awareness about hMPV.MethodsA web-based questionnaire was distributed randomly to Egyptian community pharmacists, clinical pharmacists, and GPs from all governorates. The questionnaire was divided into two sections: one for demographic information and the other for hMPV knowledge (nature of the disease, incubation period, transmission, symptoms, Prophylaxis, Prevention, and management). The evidence-based answers were provided after completing the submission. Data were descriptively analyzed using IBM SPSS software.ResultsFrom a total of 753 respondents, only 710 participants were included in the final data analysis. The % of respondents who presented good total knowledge scores about hMPV was comparable between study groups (P = 0.826). There were no differences between groups identifying different disease clinical characteristics (P = 0.689) and hMPV management (P = 0.324). Community pharmacists had better knowledge scores than GPs in the prevention and prophylaxis domain (P = 0.037).ConclusionPharmacists and GPs have good and similar knowledge levels of hMPV. However, a gap exists in recognizing the right hMPV incubation period, prophylaxis, and omitting antibiotics from hMPV management. Pharmacists and GPs are the frontline health care providers (HCPs), so they would require more knowledge enhancement about such contagious diseases to offer the best possible patient care.</t>
  </si>
  <si>
    <t xml:space="preserve">[Elsayed, Asmaa A.] Sohag Univ, Fac Pharm, Clin Pharm Dept, Sohag, Egypt; [Rabea, Hoda M.] Beni Suef Univ, Fac Pharm, Clin Pharm Dept, Bani Suwayf, Egypt; [Salman, Salman Ahmed] Sohag Univ, Fac Pharm, Sohag, Egypt; [Wahsh, Engy A.] October 6 Univ, Fac Pharm, Clin Pharm Dept, Giza, Egypt</t>
  </si>
  <si>
    <t xml:space="preserve">Egyptian Knowledge Bank (EKB); Sohag University; Egyptian Knowledge Bank (EKB); Beni Suef University; Egyptian Knowledge Bank (EKB); Sohag University; Egyptian Knowledge Bank (EKB); October 6 University (O6U)</t>
  </si>
  <si>
    <t xml:space="preserve">Elsayed, AA (corresponding author), Sohag Univ, Fac Pharm, Clin Pharm Dept, Sohag, Egypt.</t>
  </si>
  <si>
    <t xml:space="preserve">asmaa.abdelfattah@pharm.sohag.edu.eg</t>
  </si>
  <si>
    <t xml:space="preserve">Salman, Salman/JPX-6125-2023; Wahsh, Engy/AGR-4693-2022; Elsayed, Asmaa/AEU-5303-2022</t>
  </si>
  <si>
    <t xml:space="preserve">Rabea, Hoda/0000-0003-0432-8970; Abdelfattah, Asmaa/0000-0002-2862-5382</t>
  </si>
  <si>
    <t xml:space="preserve">None.</t>
  </si>
  <si>
    <t xml:space="preserve">2052-3211</t>
  </si>
  <si>
    <t xml:space="preserve">J PHARM POLICY PRACT</t>
  </si>
  <si>
    <t xml:space="preserve">J. Pharm. Policy Pract.</t>
  </si>
  <si>
    <t xml:space="preserve">OCT 23</t>
  </si>
  <si>
    <t xml:space="preserve">10.1186/s40545-023-00636-y</t>
  </si>
  <si>
    <t xml:space="preserve">Health Policy &amp; Services; Pharmacology &amp; Pharmacy</t>
  </si>
  <si>
    <t xml:space="preserve">Health Care Sciences &amp; Services; Pharmacology &amp; Pharmacy</t>
  </si>
  <si>
    <t xml:space="preserve">X0ZZ3</t>
  </si>
  <si>
    <t xml:space="preserve">WOS:001095831200001</t>
  </si>
  <si>
    <t xml:space="preserve">Schneider, H; Adams, O; Weiss, C; Merz, U; Schroten, H; Tenenbaum, T</t>
  </si>
  <si>
    <t xml:space="preserve">Schneider, Henriette; Adams, Ortwin; Weiss, Christel; Merz, Ulrich; Schroten, Horst; Tenenbaum, Tobias</t>
  </si>
  <si>
    <t xml:space="preserve">Clinical Characteristics of Children With Viral Single- and Co-infections and a Petechial Rash</t>
  </si>
  <si>
    <t xml:space="preserve">petechiae; fever; viral infections; management; polymerase chain reaction</t>
  </si>
  <si>
    <t xml:space="preserve">RESPIRATORY VIRUSES; FREQUENT DETECTION; YOUNG-CHILDREN; FEVER; PREVALENCE; PARVOVIRUS; INFECTION; DISEASE; IMPACT</t>
  </si>
  <si>
    <t xml:space="preserve">Background: Children with petechial rash are more likely to undergo invasive diagnostics, to be treated with antibiotics for potential bacterial infection and to be hospitalized. However, viruses have also been associated with petechial rash. Nonetheless, a systematic analysis of viral infections with modern available techniques as quantitative real-time polymerase chain reaction in the context of petechial rash is lacking. The purpose of this pediatric study was to prospectively uncover viral pathogens that may promote the emergence of petechiae and to analyze the correlation with the clinical characteristics and course. Methods: We conducted a prospective study in children (0 to 18 years) presenting with petechiae and signs or symptoms of infection at the emergency department between November 2009 and March 2012. In nasopharyngeal aspirates the following viruses were analyzed by quantitative real-time polymerase chain reaction: cytomegalovirus, Epstein-Barr virus, parvovirus B19, influenza A and B, parainfluenza viruses, human respiratory syncytial virus A and B, human metapneumovirus, rhinovirus, enterovirus, adenovirus, human coronavirus OC43, 229E, NL63 and human bocavirus. Results: A viral pathogen was identified in 67% of the analyzed 58 cases with petechial rash. Virus positive patients showed a significantly higher incidence of lower respiratory tract infections. Forty-one percent were viral coinfections, which were significantly younger than virus negative patients, had a higher leukocyte count and were hospitalized for a longer time. Conclusions: A petechial rash is frequently associated viral single- and coinfections and can rapidly be identified via quantitative real-time polymerase chain reaction.</t>
  </si>
  <si>
    <t xml:space="preserve">[Schneider, Henriette; Schroten, Horst; Tenenbaum, Tobias] Heidelberg Univ, Univ Childrens Hosp Mannheim, D-68167 Mannheim, Germany; [Adams, Ortwin] Univ Dusseldorf, Univ Childrens Hosp, Inst Virol, D-40225 Dusseldorf, Germany; [Weiss, Christel] Heidelberg Univ, Med Fac Mannheim, Dept Stat, D-68167 Mannheim, Germany; [Merz, Ulrich] Childrens Hosp St Annastiftkrankenhaus, Ludwigshafen, Germany</t>
  </si>
  <si>
    <t xml:space="preserve">Ruprecht Karls University Heidelberg; Heinrich Heine University Dusseldorf; Ruprecht Karls University Heidelberg</t>
  </si>
  <si>
    <t xml:space="preserve">Schneider, H (corresponding author), Heidelberg Univ, Univ Childrens Hosp Mannheim, Theodor Kutzer Ufer 1-3, D-68167 Mannheim, Germany.</t>
  </si>
  <si>
    <t xml:space="preserve">henriette.schneider@medma.uni-heidelberg.de</t>
  </si>
  <si>
    <t xml:space="preserve">Rudolph, Henriette/0000-0002-3809-4861</t>
  </si>
  <si>
    <t xml:space="preserve">E186</t>
  </si>
  <si>
    <t xml:space="preserve">E191</t>
  </si>
  <si>
    <t xml:space="preserve">10.1097/INF.0b013e318280618d</t>
  </si>
  <si>
    <t xml:space="preserve">140VN</t>
  </si>
  <si>
    <t xml:space="preserve">WOS:000318684400002</t>
  </si>
  <si>
    <t xml:space="preserve">Stein, RT; Marostica, PJC</t>
  </si>
  <si>
    <t xml:space="preserve">Stein, Renato T.; Cauduro Marostica, Paulo Jose</t>
  </si>
  <si>
    <t xml:space="preserve">Community-acquired pneumonia: A review and recent advances</t>
  </si>
  <si>
    <t xml:space="preserve">pediatrics; pneumonia; community-acquired; CAP</t>
  </si>
  <si>
    <t xml:space="preserve">PNEUMOCOCCAL CONJUGATE VACCINE; INFLUENZAE TYPE-B; HUMAN METAPNEUMOVIRUS INFECTION; RESPIRATORY-TRACT INFECTIONS; STREPTOCOCCUS-PNEUMONIAE; MYCOPLASMA-PNEUMONIAE; CLINICAL CHARACTERISTICS; CHILDHOOD PNEUMONIA; STANDARDIZED INTERPRETATION; DEVELOPING-COUNTRIES</t>
  </si>
  <si>
    <t xml:space="preserve">In the beginning of this 21st century, comm unity-acquired pneumonias (CAP) are still responsible for a significant number of deaths among young children in many developing countries. Public health initiatives such as those proposed by the World Health Organization (WHO) for the management of CAP by means of identifying highly predictable signs and symptoms have had great positive impact in some communities. Still, this approach induces an overdiagnosis and overtreatment of CAP in children below the age of 5 years due to the misclassification of pneumonia in children with fast breathing associated with viral bronchiolitis. Even among children of developed countries, CAP is an important public health problem and many aspects of current diagnostic and management measures are discussed here. In this article, we review the epidemiology and basic concepts of CAP and update current information on clinical evaluation and management of the disease.</t>
  </si>
  <si>
    <t xml:space="preserve">Pontificia Univ Catolica Rio Grande do Sul, Dept Pediat, Porto Alegre, RS, Brazil; Univ Fed Rio Grande do Sul, Dept Pediat, Porto Alegre, RS, Brazil</t>
  </si>
  <si>
    <t xml:space="preserve">Pontificia Universidade Catolica Do Rio Grande Do Sul; Universidade Federal do Rio Grande do Sul</t>
  </si>
  <si>
    <t xml:space="preserve">Stein, RT (corresponding author), R Barao Uba 708-401, BR-90450090 Porto Alegre, RS, Brazil.</t>
  </si>
  <si>
    <t xml:space="preserve">Stein, Renato/K-2568-2014</t>
  </si>
  <si>
    <t xml:space="preserve">STEIN, RENATO/0000-0003-0269-0757</t>
  </si>
  <si>
    <t xml:space="preserve">10.1002/ppul.20652</t>
  </si>
  <si>
    <t xml:space="preserve">239DD</t>
  </si>
  <si>
    <t xml:space="preserve">WOS:000251497900004</t>
  </si>
  <si>
    <t xml:space="preserve">Culebras, E; Betriu, C; Vázquez-Cid, E; López-Varela, E; Rueda, S; Picazo, JJ</t>
  </si>
  <si>
    <t xml:space="preserve">Culebras, Esther; Betriu, Carmen; Vazquez-Cid, Emilia; Lopez-Varela, Elisa; Rueda, Santiago; Picazo, Juan J.</t>
  </si>
  <si>
    <t xml:space="preserve">Detection and genotyping of human respiratory viruses in clinical specimens from children with acute respiratory tract infections</t>
  </si>
  <si>
    <t xml:space="preserve">REVISTA ESPANOLA DE QUIMIOTERAPIA</t>
  </si>
  <si>
    <t xml:space="preserve">Pediatric; ARTI; Respiratory viruses</t>
  </si>
  <si>
    <t xml:space="preserve">HUMAN BOCAVIRUS INFECTION; HUMAN METAPNEUMOVIRUS; MULTIPLEX PCR; DIAGNOSIS; PANEL</t>
  </si>
  <si>
    <t xml:space="preserve">Respiratory virus infections are a major health concern and represent the primary cause of testing consultation and hospitalization for young children. The application of nucleic acid amplification technology, particularly multiplex PCR coupled with fluidic or fixed microarrays, provides an important new approach for the detection of multiple respiratory viruses in a single test. The aim of this study was to analyze respiratory samples from children with acute respiratory tract infection (ARTI) using a commercial array-based method (CLART (R) PneumoVir Genomica, Coslada, Spain). These tests were used to identify viruses in 281 nasopharyngeal samples obtained from children affected by ARTI. Samples were obtained form October 2008 to April 2009. Viruses were identified in 80% of the studied ARTI providing useful information on clinical features and epidemiology of specific agents affecting children in cold months. Multiple viral infections were found in 33.45% of the specimens.</t>
  </si>
  <si>
    <t xml:space="preserve">[Culebras, Esther; Betriu, Carmen; Vazquez-Cid, Emilia; Picazo, Juan J.] Hosp Clin San Carlos, Dept Microbiol, Madrid 28040, Spain; [Lopez-Varela, Elisa; Rueda, Santiago] Hosp Clin San Carlos, Dept Paediat, Madrid 28040, Spain</t>
  </si>
  <si>
    <t xml:space="preserve">Hospital Clinico San Carlos; Hospital Clinico San Carlos</t>
  </si>
  <si>
    <t xml:space="preserve">Culebras, E (corresponding author), Hosp Clin San Carlos, Dept Clin Microbiol, C Martin Lago S-N, Madrid 28040, Spain.</t>
  </si>
  <si>
    <t xml:space="preserve">eculebras.hcsc@salud.madrid.org</t>
  </si>
  <si>
    <t xml:space="preserve">Culebras, ESTHER/AAA-3865-2019; varela, elisa/ABE-4092-2020</t>
  </si>
  <si>
    <t xml:space="preserve">lopez varela, elisa/0000-0002-6725-5687; Culebras, Esther/0000-0001-7395-2684</t>
  </si>
  <si>
    <t xml:space="preserve">SOCIEDAD ESPANOLA QUIMIOTERAPIA</t>
  </si>
  <si>
    <t xml:space="preserve">MADRID</t>
  </si>
  <si>
    <t xml:space="preserve">UNIV COMPLUTENSE MADRID, MICROBIOLOGY DEPT, SCHOOL MEDICINE, AVDA COMPLUTENSE S/N, MADRID, 28040, SPAIN</t>
  </si>
  <si>
    <t xml:space="preserve">0214-3429</t>
  </si>
  <si>
    <t xml:space="preserve">REV ESP QUIM</t>
  </si>
  <si>
    <t xml:space="preserve">Rev. Esp. Quim.</t>
  </si>
  <si>
    <t xml:space="preserve">Microbiology; Pharmacology &amp; Pharmacy</t>
  </si>
  <si>
    <t xml:space="preserve">117BI</t>
  </si>
  <si>
    <t xml:space="preserve">WOS:000316926700009</t>
  </si>
  <si>
    <t xml:space="preserve">Zappa, A; Canuti, M; Frati, E; Pariani, E; Perin, S; Ruzza, ML; Farina, C; Podestà, A; Zanetti, A; Amendola, A; Tanzi, E</t>
  </si>
  <si>
    <t xml:space="preserve">Zappa, Alessandra; Canuti, Marta; Frati, Elena; Pariani, Elena; Perin, Silvana; Ruzza, Maria Lorena; Farina, Claudio; Podesta, Alberto; Zanetti, Alessandro; Amendola, Antonella; Tanzi, Elisabetta</t>
  </si>
  <si>
    <t xml:space="preserve">Co-Circulation of Genetically Distinct Human Metapneumovirus and Human Bocavirus Strains in Young Children With Respiratory Tract Infections in Italy</t>
  </si>
  <si>
    <t xml:space="preserve">pediatric respiratory infections; phylogenetic analysis; human Metapneumovirus; human Bocavirus; pediatric hospitalization; viral recombination</t>
  </si>
  <si>
    <t xml:space="preserve">PARAINFLUENZA VIRUSES 1; CLINICAL-SAMPLES; RECOMBINATION; IDENTIFICATION; PARVOVIRUS</t>
  </si>
  <si>
    <t xml:space="preserve">The discovery of human Metapneumovirus (hMPV) and human Bocavirus (hBoV) identified the etiological causes of several cases of acute respiratory tract infections in children. This report describes the molecular epidemiology of hMPV and hBoV infections observed following viral surveillance of children hospitalized for acute respiratory tract infections in Milan, Italy. Pharyngeal swabs were collected from 240 children &lt;= 3 years of age (130 males, 110 females; median age, 5.0 months; IQR, 2.0-12.5 months) and tested for respiratory viruses, including hMPV and hBoV, by molecular methods. hMPV-RNA and hBoV-DNA positive samples were characterized molecularly and a phylogenetical analysis was performed. PCR analysis identified 131/240 (54.6%) samples positive for at least one virus. The frequency of hMPV and hBoV infections was similar (8.3% and 12.1%, respectively). Both infections were associated with lower respiratory tract infections: hMPV was present as a single infectious agent in 7.2% of children with bronchiolitis, hBoV was associated with 18.5% of pediatric pneumonias and identified frequently as a single etiological agent. Genetically distinct hMPV and hBoV strains were identified in children examined with respiratory tract infections. Phylogenetic analysis showed an increased prevalence of hMPV genotype A (A2b sublineage) compared to genotype B (80% vs. 20%, respectively) and of the hBoV genotype St2 compared to genotype St1 (71.4% vs. 28.6%, respectively). Interestingly, a shift in hMPV infections resulting from A2 strains has been observed in recent years. In addition, the occurrence of recombination events between two hBoV strains with a breakpoint located in the VP1/VP2 region was identified. J. Med. Virol. 83:156-164, 2011. (C) 2010 Wiley-Liss, Inc.</t>
  </si>
  <si>
    <t xml:space="preserve">[Zappa, Alessandra; Canuti, Marta; Frati, Elena; Pariani, Elena; Zanetti, Alessandro; Amendola, Antonella; Tanzi, Elisabetta] Univ Milan, Dipartimento Sanita Pubbl Microbiol Virol, I-20133 Milan, Italy; [Perin, Silvana; Farina, Claudio] San Carlo Borromeo Hosp, Microbiol Unit, Milan, Italy; [Ruzza, Maria Lorena; Podesta, Alberto] San Carlo Borromeo Hosp, Pediat Unit, Milan, Italy; [Zanetti, Alessandro; Amendola, Antonella; Tanzi, Elisabetta] Univ Genoa, Dept Hlth Sci, Genoa, Italy</t>
  </si>
  <si>
    <t xml:space="preserve">University of Milan; San Carlo Borromeo Hospital; San Carlo Borromeo Hospital; University of Genoa</t>
  </si>
  <si>
    <t xml:space="preserve">Tanzi, E (corresponding author), Univ Milan, Dipartimento Sanita Pubbl Microbiol Virol, Via Pascal 36-38, I-20133 Milan, Italy.</t>
  </si>
  <si>
    <t xml:space="preserve">elisabetta.tanzi@unimi.it</t>
  </si>
  <si>
    <t xml:space="preserve">Frati, Elena/C-2951-2012; Canuti, Marta/I-3145-2019; Farina, Claudio/U-7175-2017; Amendola, Antonella/M-8980-2016; PARIANI, ELENA/M-3491-2016; Tanzi, Elisabetta/M-9066-2016</t>
  </si>
  <si>
    <t xml:space="preserve">Farina, Claudio/0000-0003-2298-4293; Frati, Elena/0000-0001-7021-2525; Amendola, Antonella/0000-0002-0499-8977; PARIANI, ELENA/0000-0001-5681-3455; Tanzi, Elisabetta/0000-0002-4119-701X; Canuti, Marta/0000-0002-9959-128X</t>
  </si>
  <si>
    <t xml:space="preserve">MIUR (Ministry of Education, University and Research) [2005067255_003, 2007LPAF42_003]</t>
  </si>
  <si>
    <t xml:space="preserve">MIUR (Ministry of Education, University and Research)(Ministry of Education, Universities and Research (MIUR))</t>
  </si>
  <si>
    <t xml:space="preserve">Grant sponsor: MIUR (Ministry of Education, University and Research); Grant numbers: 2005067255_003 and 2007LPAF42_003.</t>
  </si>
  <si>
    <t xml:space="preserve">10.1002/jmv.21940</t>
  </si>
  <si>
    <t xml:space="preserve">686YL</t>
  </si>
  <si>
    <t xml:space="preserve">WOS:000284738100023</t>
  </si>
  <si>
    <t xml:space="preserve">Wang, L; Sun, SZ; You, DP; Chen, F; Guo, YH; Zeng, XP; Wang, WJ; Yang, S</t>
  </si>
  <si>
    <t xml:space="preserve">Wang, Le; Sun, Suzhen; You, Dianping; Chen, Fang; Guo, Yinghui; Zeng, Xianping; Wang, Weijian; Yang, Shuo</t>
  </si>
  <si>
    <t xml:space="preserve">Comparison of two multiplex PCR tests for common pathogen detection in hospitalized children with acute respiratory infection</t>
  </si>
  <si>
    <t xml:space="preserve">Pediatric acute respiratory infections; pathogens; multiplex PCR; virus.</t>
  </si>
  <si>
    <t xml:space="preserve">Introduction: Multiplex PCR methods have significantly improved the diagnosis of acute respiratory tract infections (ARTIs) in children. The ResP-CE System coupled with capillary electrophoresis is a highly specialized, automated, and expensive technology for detecting common pathogens in ARTIs. The XYRes-MCA System, a remarkably less expensive multiplex PCR instrument, employs hybridization for the detection of ARTI pathogens. Both methods detect 9 common microorganisms in ARTIs, i.e., RSV, FLUAV, FLUBV, ADV, PIV, HMPV, HBOV, HCOV, and MP. In this study, we aimed to compare the performance of these two methods in the detection of pathogens from sputum specimens collected from children with ARTIs. Methodology: Sputum specimens were collected from 237 hospitalized children with ARTIs. Nucleic acid was extracted on an automated workstation. The ResP-CE and XYres-MCA systems were applied to detect pathogens from the samples, and the test result agreement between the two methods was evaluated using Kappa statistics. Results: The ResP-CE and XYres-MCA identified pathogens, single or in combination, in 151 (63.7%) and 171 (72.1%) of 237 samples, respectively. Approximately 85% of positive samples identified by either method contained a single pathogen. Moderate to almost perfect concordance between the two methods was found in detecting the following 7 pathogens: RSV, FLUAV, FLUBV, PIV, HMPV, HBOV, and MP Conclusions: These two methods are comparable in detecting common pathogens of ARTIs in children. As XYres-MCA analysis is more costeffective, it could play an important role in diagnosing ARTIs in children in less economically developed regions.</t>
  </si>
  <si>
    <t xml:space="preserve">[Wang, Le; Sun, Suzhen; You, Dianping; Chen, Fang; Guo, Yinghui; Yang, Shuo] Childrens Hosp Hebei Prov, Inst Pediat Res, Shijiazhuang 050031, Peoples R China; [Zeng, Xianping; Wang, Weijian] Ningbo Hlth Gene Tech Co Ltd, Ningbo 315040, Peoples R China; [Yang, Shuo] Childrens Hosp Hebei Prov, Inst Pediat Res, 133 Zhonghua South St, Shijiazhuang 050031, Hebei, Peoples R China</t>
  </si>
  <si>
    <t xml:space="preserve">Yang, S (corresponding author), Childrens Hosp Hebei Prov, Inst Pediat Res, 133 Zhonghua South St, Shijiazhuang 050031, Hebei, Peoples R China.</t>
  </si>
  <si>
    <t xml:space="preserve">hbcheysys@163.com</t>
  </si>
  <si>
    <t xml:space="preserve">Wang, Wei Jan/GVU-4206-2022; Zeng, Xianping/JTV-4845-2023</t>
  </si>
  <si>
    <t xml:space="preserve">Key Medical Science Research Project of Hebei Province, China [20211225]</t>
  </si>
  <si>
    <t xml:space="preserve">Key Medical Science Research Project of Hebei Province, China</t>
  </si>
  <si>
    <t xml:space="preserve">Funding This study was supported by the Key Medical Science Research Project of Hebei Province, China (grant number: 20211225) .</t>
  </si>
  <si>
    <t xml:space="preserve">10.3855/jidc.17999</t>
  </si>
  <si>
    <t xml:space="preserve">Y3YX2</t>
  </si>
  <si>
    <t xml:space="preserve">WOS:001104666000008</t>
  </si>
  <si>
    <t xml:space="preserve">Sawada, S; Okutani, F; Kobayashi, T</t>
  </si>
  <si>
    <t xml:space="preserve">Sawada, Shoichi; Okutani, Fumino; Kobayashi, Taisuke</t>
  </si>
  <si>
    <t xml:space="preserve">Comprehensive Detection of Respiratory Bacterial and Viral Pathogens in the Middle Ear Fluid and Nasopharynx of Pediatric Patients With Acute Otitis Media</t>
  </si>
  <si>
    <t xml:space="preserve">pediatric acute otitis media; real-time multiplex PCR; respiratory viruses; middle ear fluid; nasopharynx</t>
  </si>
  <si>
    <t xml:space="preserve">REAL-TIME PCR; TRACT INFECTION; SYNCYTIAL VIRUS; CHILDREN; MICROBIOLOGY; COMPLICATION; RISK</t>
  </si>
  <si>
    <t xml:space="preserve">Background: Acute otitis media (AOM) is a common ear infection caused by respiratory viruses and bacteria of the nasopharynx. The present study aimed to detect various respiratory viruses and bacteria in middle ear fluid (MEF) and nasopharyngeal aspirates (NPA) using polymerase chain reaction (PCR). Methods: We collected MEF and NPA samples from 122 pediatric patients with AOM. Real-time PCR detected 11 types of respiratory viruses (respiratory syncytial virus A/B, parainfluenza virus 1/2/3, human metapneumovirus, influenza virus A/B, adenovirus, human bocavirus and rhino virus) and 7 types of bacteria (Streptococcus pneumoniae, Haemophilus influenzae, Mycoplasma pneumoniae, Chlamydia pneumoniae, Streptococcus pyogenes, Legionella pneumophila and Moraxella catarrhalis). MEF specimens were also examined using bacterial culture. Results: At least 1 respiratory viral or bacterial pathogen was detected in MEF of 120 cases (98%) by viral and bacterial PCR and of 93 cases (76%) by viral PCR and bacterial culture. Respiratory viruses were detected in NPA of 84 cases (69%) and MEF of 67 cases (55%). The most common virus detected in MEF was respiratory syncytial virus (21%), followed by parainfluenza virus (15%). All the viruses present in MEF were also detected in NPA specimens. Bacteria were detected by PCR in MEF of 109 cases (89%); H. influenzae was the most frequently detected (65%). Conclusions: In many cases, pediatric AOM was found to constitute a respiratory polymicrobial infection. Multiplex PCR was useful to detect multiple respiratory viruses and bacteria in AOM. To understand intractable AOM, further studies regarding the clinical features of each viral and bacterial coinfection are required.</t>
  </si>
  <si>
    <t xml:space="preserve">[Sawada, Shoichi] Sawada Eye &amp; Ear Clin, 1734-5 Fukuicho, Kochi, Kochi 7800965, Japan; [Okutani, Fumino] Kochi Univ, Grad Sch Hlth &amp; Nursing Sci, Nankoku, Kochi, Japan; [Kobayashi, Taisuke] Kochi Univ, Dept Otolaryngol, Kochi Med Sch, Nankoku, Kochi, Japan</t>
  </si>
  <si>
    <t xml:space="preserve">Kochi University; Kochi University</t>
  </si>
  <si>
    <t xml:space="preserve">Sawada, S (corresponding author), Sawada Eye &amp; Ear Clin, 1734-5 Fukuicho, Kochi, Kochi 7800965, Japan.</t>
  </si>
  <si>
    <t xml:space="preserve">sawadas@abeam.ocn.ne.jp</t>
  </si>
  <si>
    <t xml:space="preserve">Sawada, Shoichi/0000-0002-5468-3092</t>
  </si>
  <si>
    <t xml:space="preserve">10.1097/INF.0000000000002486</t>
  </si>
  <si>
    <t xml:space="preserve">JR2NZ</t>
  </si>
  <si>
    <t xml:space="preserve">WOS:000499469600018</t>
  </si>
  <si>
    <t xml:space="preserve">Leber, AL; Lisby, JG; Hansen, G; Relich, RF; Schneider, UV; Granato, P; Young, S; Pareja, J; Hannet, I</t>
  </si>
  <si>
    <t xml:space="preserve">Leber, Amy L.; Lisby, Jan Gorm; Hansen, Glen; Relich, Ryan F.; Schneider, Uffe Vest; Granato, Paul; Young, Stephen; Pareja, Josep; Hannet, Irene</t>
  </si>
  <si>
    <t xml:space="preserve">Multicenter Evaluation of the QIAstat-Dx Respiratory Panel for Detection of Viruses and Bacteria in Nasopharyngeal Swab Specimens</t>
  </si>
  <si>
    <t xml:space="preserve">PCR; respiratory; multiplex</t>
  </si>
  <si>
    <t xml:space="preserve">MYCOPLASMA-PNEUMONIAE; INFLUENZA; IMPACT; INFECTION; ADENOVIRUS; DIAGNOSIS; CHILDREN; BURDEN</t>
  </si>
  <si>
    <t xml:space="preserve">The QIAstat-Dx Respiratory Panel (QIAstat-Dx RP) is a multiplex in vitro diagnostic test for the qualitative detection of 20 pathogens directly from nasopharyngeal swab (NPS) specimens. The assay is performed using a simple sample-to-answer platform with results available in approximately 69 min. The pathogens identified are adenovirus, coronavirus 229E, coronavirus HKU1, coronavirus NL63, coronavirus OC43, human metapneumovirus A and B, influenza A, influenza A H1, influenza A H3, influenza A H1N1/2009, influenza B, parainfluenza virus 1, parainfluenza virus 2, parainfluenza virus 3, parainfluenza virus 4, rhinovirus/enterovirus, respiratory syncytial virus A and B, Bordetella pertussis, Chlamydophila pneumoniae, and Mycoplasma pneumoniae. This multicenter evaluation provides data obtained from 1,994 prospectively collected and 310 retrospectively collected (archived) NPS specimens with performance compared to that of the BioFire FilmArray Respiratory Panel, version 1.7. The overall percent agreement between QIAstat-Dx RP and the comparator testing was 99.5%. In the prospective cohort, the QIAstat-Dx RP demonstrated a positive percent agreement of 94.0% or greater for the detection of all but four analytes: coronaviruses 229E, NL63, and OC43 and rhinovirus/enterovirus. The test also demonstrated a negative percent agreement of &gt;= 97.9% for all analytes. The QIAstat-Dx RP is a robust and accurate assay for rapid, comprehensive testing for respiratory pathogens.</t>
  </si>
  <si>
    <t xml:space="preserve">[Leber, Amy L.] Nationwide Childrens Hosp, Columbus, OH 43205 USA; [Lisby, Jan Gorm; Schneider, Uffe Vest] Univ Copenhagen, Hvidovre Hosp, Hvidovre, Denmark; [Hansen, Glen] Hennepin Cty Med Ctr, Minneapolis, MN 55415 USA; [Relich, Ryan F.] Indiana Univ Sch Med, Indianapolis, IN 46202 USA; [Granato, Paul] Lab Alliance Cent New York, Liverpool, NY USA; [Young, Stephen] TriCore Reference Labs, Albuquerque, NM USA; [Pareja, Josep; Hannet, Irene] STAT DX Life Qiagen Co, Barcelona, Spain</t>
  </si>
  <si>
    <t xml:space="preserve">University System of Ohio; Ohio State University; Nationwide Childrens Hospital; University of Copenhagen; Hennepin County Medical Center; Indiana University System; Indiana University Bloomington</t>
  </si>
  <si>
    <t xml:space="preserve">Leber, AL (corresponding author), Nationwide Childrens Hosp, Columbus, OH 43205 USA.</t>
  </si>
  <si>
    <t xml:space="preserve">amy.leber@nationwidechildrens.org</t>
  </si>
  <si>
    <t xml:space="preserve">Lisby, Gorm/GMX-0386-2022; Schneider, Uffe Vest/GPT-3115-2022</t>
  </si>
  <si>
    <t xml:space="preserve">Schneider, Uffe Vest/0000-0003-1372-7885</t>
  </si>
  <si>
    <t xml:space="preserve">Qiagen company; STAT-DX Life (Qiagen)</t>
  </si>
  <si>
    <t xml:space="preserve">This study was designed and funded by STAT-DX Life (now a Qiagen company). All authors have received research funding from STAT-DX Life (Qiagen) for this study.</t>
  </si>
  <si>
    <t xml:space="preserve">e00155-20</t>
  </si>
  <si>
    <t xml:space="preserve">10.1128/JCM.00155-20</t>
  </si>
  <si>
    <t xml:space="preserve">LR6IY</t>
  </si>
  <si>
    <t xml:space="preserve">WOS:000535797600005</t>
  </si>
  <si>
    <t xml:space="preserve">Malekshahi, SS; Azad, TM; Yavarian, J; Shahmahmoodi, S; Naseri, M; Rezaei, F</t>
  </si>
  <si>
    <t xml:space="preserve">Malekshahi, Somayeh Shatizadeh; Azad, Talat Mokhtari; Yavarian, Jila; Shahmahmoodi, Shohreh; Naseri, Maryam; Rezaei, Farhad</t>
  </si>
  <si>
    <t xml:space="preserve">Molecular Detection of Respiratory Viruses in Clinical Specimens From Children With Acute Respiratory Disease in Iran</t>
  </si>
  <si>
    <t xml:space="preserve">PCR; respiratory viruses; children; Iran</t>
  </si>
  <si>
    <t xml:space="preserve">REVERSE TRANSCRIPTION-PCR; SYNCYTIAL-VIRUS; TRACT INFECTIONS; ADENOVIRUS INFECTIONS; HUMAN METAPNEUMOVIRUS; ENZYME-IMMUNOASSAY; YOUNG-CHILDREN; RNA VIRUSES; RT-PCR; IDENTIFICATION</t>
  </si>
  <si>
    <t xml:space="preserve">Background: Viruses are the most common causes of respiratory tract infections in children. The implementation of rapid virology assays can identify the most common pathogens involved. This study was undertaken on Iranian children less than 6 years old with respiratory infection. Methods: A total of 202 specimens were tested for the presence of 9 respiratory viruses by developing 3 multiplex reverse transcription-polymerase chain reaction and 1 uniplex polymerase chain reaction assays. Results: Viral pathogens were detected in 92 samples (45.5%) with 5.4% having dual infections. Overall, respiratory syncytial virus was the most frequently identified virus (16.8%), followed by adenovirus (14.4%), influenza A virus (4.9%), parainfluenza virus-3 (4.4%), parainfluenza virus-1 (2.9%), and both influenza B virus and hMPV (0.49). Conclusions: Respiratory tract infection is a frequent cause of pediatric morbidity and mortality and a common reason for admission in acute care hospitals and outpatients visits. Appropriate diagnostic testing is important for specific diagnosis at an early stage of the illness because of the similarity in clinical presentation of patients with different viral infections caused by several respiratory pathogens.</t>
  </si>
  <si>
    <t xml:space="preserve">[Malekshahi, Somayeh Shatizadeh; Azad, Talat Mokhtari; Yavarian, Jila; Shahmahmoodi, Shohreh; Naseri, Maryam; Rezaei, Farhad] Univ Tehran Med Sci, Dept Virol, Sch Publ Hlth, Tehran, Iran</t>
  </si>
  <si>
    <t xml:space="preserve">Azad, TM (corresponding author), Porsina Ave,Keshavarz Blvd,POB 6446, Tehran, Iran.</t>
  </si>
  <si>
    <t xml:space="preserve">malekshahi, Somayeh/N-1987-2019; Rezaei, Farhad/H-6264-2016; Shahmahmoodi, Shohreh/R-9102-2019; Yavarian, Jila/A-3212-2019</t>
  </si>
  <si>
    <t xml:space="preserve">Yavarian, Jila/0000-0003-3239-9397; shahmahmoodi, shohre/0000-0001-5362-2282; Shatizadeh Malekshahi, Somayeh/0000-0003-2741-2745</t>
  </si>
  <si>
    <t xml:space="preserve">Tehran University of Medical Sciences [88-04-27-9670]</t>
  </si>
  <si>
    <t xml:space="preserve">Supported by the Tehran University of Medical Sciences (Number: 88-04-27-9670).</t>
  </si>
  <si>
    <t xml:space="preserve">10.1097/INF.0b013e3181e2062e</t>
  </si>
  <si>
    <t xml:space="preserve">653EC</t>
  </si>
  <si>
    <t xml:space="preserve">WOS:000282069700007</t>
  </si>
  <si>
    <t xml:space="preserve">Leber, AL; Everhart, K; Daly, JA; Hopper, A; Harrington, A; Schreckenberger, P; McKinley, K; Jones, M; Holmberg, K; Kensinger, B</t>
  </si>
  <si>
    <t xml:space="preserve">Leber, Amy L.; Everhart, Kathy; Daly, Judy A.; Hopper, Aubrey; Harrington, Amanda; Schreckenberger, Paul; McKinley, Kathleen; Jones, Matthew; Holmberg, Kristen; Kensinger, Bart</t>
  </si>
  <si>
    <t xml:space="preserve">Multicenter Evaluation of BioFire FilmArray Respiratory Panel 2 for Detection of Viruses and Bacteria in Nasopharyngeal Swab Samples</t>
  </si>
  <si>
    <t xml:space="preserve">PCR; respiratory pathogens; syndromic testing</t>
  </si>
  <si>
    <t xml:space="preserve">BORDETELLA-PERTUSSIS; MYCOPLASMA-PNEUMONIAE; ADENOVIRUS; CHILDREN; INFECTIONS; IMPACT; PCR; EPIDEMIOLOGY; PREVALENCE; INFLUENZA</t>
  </si>
  <si>
    <t xml:space="preserve">The FilmArray Respiratory Panel 2 (RP2) is a multiplex in vitro diagnostic test for the simultaneous and rapid (similar to 45-min) detection of 22 pathogens directly from nasopharyngeal swab (NPS) samples. It contains updated (and in some instances redesigned) assays that improve upon the FilmArray Respiratory Panel (RP; version 1.7), with a faster run time. The organisms identified are adenovirus, coronavirus 229E, coronavirus HKU1, coronavirus NL63, coronavirus OC43, human metapneumovirus, human rhinovirus/enterovirus, influenza virus A, influenza virus A H1, influenza virus A H1-2009, influenza virus A H3, influenza virus B, parainfluenza virus 1, parainfluenza virus 2, parainfluenza virus 3, parainfluenza virus 4, respiratory syncytial virus, Bordetella pertussis, Chlamydia pneumoniae, and Mycoplasma pneumoniae. Two new targets are included in the FilmArray RP2: Middle East respiratory syndrome coronavirus and Bordetella parapertussis. This study provides data from a multicenter evaluation of 1,612 prospectively collected NPS samples, with performance compared to that of the FilmArray RP or PCR and sequencing. The overall percent agreement between the FilmArray RP2 and the comparator testing was 99.2%. The RP2 demonstrated a positive percent agreement of 91.7% or greater for detection of all but three analytes: coronavirus OC43, B. parapertussis, and B. pertussis. The FilmArray RP2 also demonstrated a negative percent agreement of &gt;= 93.8% for all analytes. Of note, the adenovirus assay detects all genotypes, with a demonstrated increase in sensitivity. The FilmArray RP2 represents a significant improvement over the FilmArray RP, with a substantially shorter run time that could aid in the diagnosis of respiratory infections in a variety of clinical scenarios.</t>
  </si>
  <si>
    <t xml:space="preserve">[Leber, Amy L.; Everhart, Kathy] Nationwide Childrens Hosp, Columbus, OH 43205 USA; [Daly, Judy A.; Hopper, Aubrey] Primary Childrens Med Ctr, Salt Lake City, UT 84103 USA; [Harrington, Amanda; Schreckenberger, Paul; McKinley, Kathleen] Loyola Univ Med Ctr, Chicago, IL USA; [Jones, Matthew; Holmberg, Kristen; Kensinger, Bart] BioFire Diagnost LLC, Salt Lake City, UT USA</t>
  </si>
  <si>
    <t xml:space="preserve">University System of Ohio; Ohio State University; Nationwide Childrens Hospital</t>
  </si>
  <si>
    <t xml:space="preserve">BioFire Diagnostics; BioFire</t>
  </si>
  <si>
    <t xml:space="preserve">This study was designed and funded by BioFire Diagnostics.All authors received research funding from BioFire for this study. Additionally, A.L.L. has served on a BioFire advisory panel.</t>
  </si>
  <si>
    <t xml:space="preserve">e01945-17</t>
  </si>
  <si>
    <t xml:space="preserve">10.1128/JCM.01945-17</t>
  </si>
  <si>
    <t xml:space="preserve">GH5WD</t>
  </si>
  <si>
    <t xml:space="preserve">WOS:000433507300029</t>
  </si>
  <si>
    <t xml:space="preserve">Gray, GC; Robie, ER; Studstill, CJ; Nunn, CL</t>
  </si>
  <si>
    <t xml:space="preserve">Gray, Gregory C.; Robie, Emily R.; Studstill, Caleb J.; Nunn, Charles L.</t>
  </si>
  <si>
    <t xml:space="preserve">Mitigating Future Respiratory Virus Pandemics: New Threats and Approaches to Consider</t>
  </si>
  <si>
    <t xml:space="preserve">pathogen discovery; molecular detection; respiratory viruses; emerging viruses</t>
  </si>
  <si>
    <t xml:space="preserve">ANIMAL-HUMAN INTERFACE; ONE HEALTH APPROACH; HUMAN METAPNEUMOVIRUS; INFECTIOUS-DISEASE; WILD CHIMPANZEES; TRACT INFECTIONS; INFLUENZA-VIRUS; UNITED-STATES; EVOLUTION; RISK</t>
  </si>
  <si>
    <t xml:space="preserve">Despite many recent efforts to predict and control emerging infectious disease threats to humans, we failed to anticipate the zoonotic viruses which led to pandemics in 2009 and 2020. The morbidity, mortality, and economic costs of these pandemics have been staggering. We desperately need a more targeted, cost-efficient, and sustainable strategy to detect and mitigate future zoonotic respiratory virus threats. Evidence suggests that the transition from an animal virus to a human pathogen is incremental and requires a considerable number of spillover events and considerable time before a pandemic variant emerges. This evolutionary view argues for the refocusing of public health resources on novel respiratory virus surveillance at human-animal interfaces in geographical hotspots for emerging infectious diseases. Where human-animal interface surveillance is not possible, a secondary high-yield, cost-efficient strategy is to conduct novel respiratory virus surveillance among pneumonia patients in these same hotspots. When novel pathogens are discovered, they must be quickly assessed for their human risk and, if indicated, mitigation strategies initiated. In this review, we discuss the most common respiratory virus threats, current efforts at early emerging pathogen detection, and propose and defend new molecular pathogen discovery strategies with the goal of preempting future pandemics.</t>
  </si>
  <si>
    <t xml:space="preserve">[Gray, Gregory C.; Robie, Emily R.; Studstill, Caleb J.] Duke Univ, Div Infect Dis, Sch Med, Durham, NC 27710 USA; [Gray, Gregory C.; Robie, Emily R.; Studstill, Caleb J.; Nunn, Charles L.] Duke Univ, Duke Global Hlth Inst, Durham, NC 27710 USA; [Gray, Gregory C.] Duke NUS Med Sch, Emerging Infect Dis Program, Singapore 169856, Singapore; [Gray, Gregory C.] Duke Kunshan Univ, Global Hlth Ctr, Kunshan 215316, Peoples R China; [Nunn, Charles L.] Duke Univ, Dept Evolutionary Anthropol, Durham, NC 27708 USA</t>
  </si>
  <si>
    <t xml:space="preserve">Duke University; Duke University; National University of Singapore; Duke Kunshan University; Duke University</t>
  </si>
  <si>
    <t xml:space="preserve">Gray, GC (corresponding author), Duke Univ, Div Infect Dis, Sch Med, Durham, NC 27710 USA.;Gray, GC (corresponding author), Duke Univ, Duke Global Hlth Inst, Durham, NC 27710 USA.;Gray, GC (corresponding author), Duke NUS Med Sch, Emerging Infect Dis Program, Singapore 169856, Singapore.;Gray, GC (corresponding author), Duke Kunshan Univ, Global Hlth Ctr, Kunshan 215316, Peoples R China.</t>
  </si>
  <si>
    <t xml:space="preserve">Gregory.gray@duke.edu; emily.robie@duke.edu; calebjstudstill@gmail.com; clnunn@duke.edu</t>
  </si>
  <si>
    <t xml:space="preserve">Gray, Gregory/ABF-1298-2020</t>
  </si>
  <si>
    <t xml:space="preserve">Studstill, Caleb J./0000-0003-3795-0774; Gray, Gregory/0000-0002-4628-5908</t>
  </si>
  <si>
    <t xml:space="preserve">US Naval Medical Research Center-Asia; Vysnova Partners [SC-2016-SABER-003-002, SC-2017-SABER-010-001]; Duke University</t>
  </si>
  <si>
    <t xml:space="preserve">US Naval Medical Research Center-Asia; Vysnova Partners; Duke University</t>
  </si>
  <si>
    <t xml:space="preserve">This work was funded by the US Naval Medical Research Center-Asia and Vysnova Partners (SC-2016-SABER-003-002, SC-2017-SABER-010-001), and Gregory Gray's discretionary funds from Duke University.</t>
  </si>
  <si>
    <t xml:space="preserve">10.3390/v13040637</t>
  </si>
  <si>
    <t xml:space="preserve">RS4UF</t>
  </si>
  <si>
    <t xml:space="preserve">WOS:000643775400001</t>
  </si>
  <si>
    <t xml:space="preserve">Lazana, I; Mangion, SA; Babiker, S; Large, J; Trikha, R; Zuckerman, M; Gandhi, S; Kulasekararaj, AG</t>
  </si>
  <si>
    <t xml:space="preserve">Lazana, Ioanna; Mangion, Sean Apap; Babiker, Selma; Large, Joanna; Trikha, Roochi; Zuckerman, Mark; Gandhi, Shreyans; Kulasekararaj, Austin G.</t>
  </si>
  <si>
    <t xml:space="preserve">The Effect of Respiratory Viral Infections on Breakthrough Hemolysis in Patients with Paroxysmal Nocturnal Hemoglobinuria</t>
  </si>
  <si>
    <t xml:space="preserve">INTERNATIONAL JOURNAL OF MOLECULAR SCIENCES</t>
  </si>
  <si>
    <t xml:space="preserve">paroxysmal nocturnal hemoglobinuria; breakthrough hemolysis; respiratory virus infections</t>
  </si>
  <si>
    <t xml:space="preserve">ECULIZUMAB; PNH; TRANSFUSION; MECHANISM; DISEASE; BLOOD; RISK</t>
  </si>
  <si>
    <t xml:space="preserve">Paroxysmal nocturnal hemoglobinuria (PNH) is characterized by hemolysis and thrombosis and is associated with significant morbidity and mortality. Although complement inhibitors have significantly changed the outcomes in PNH patients, breakthrough hemolysis (BTH) may still occur as a response to stress factors such as pregnancy, surgery, and infections. Despite the well-described association between bacterial infections and hemolysis in PNH patients, little is known about the effect of respiratory viruses on triggering hemolytic episodes. This is the first study, to our knowledge, addressing this question. We retrospectively analyzed 34 patients with PNH disease between 2016 and 2018, who were on eculizumab treatment and who presented with respiratory symptoms and were subsequently tested for 10 respiratory viruses (influenza A, influenza B, parainfluenza, respiratory syncytial virus, adenovirus, rhinovirus, and human metapneumovirus). NTS+ patients had higher inflammatory markers, with the majority requiring antibiotics. Acute hemolysis, along with a significant drop in hemoglobin, was noted in the NTS+ group, with three of them requiring a top-up transfusion and two requiring an extra dose of eculizumab. Furthermore, the time from the last eculizumab dose was longer in the NTS+ patients who had BTH, than those who did not. Our data indicate that respiratory virus infections pose a significant risk for BTH in PNH patients on complement inhibitor treatment, underlining the need for regular screening and close monitoring of patients with respiratory symptoms. Furthermore, it implies a higher risk for patients who are not established on complement inhibitors, suggesting the necessity for greater vigilance in these patients.</t>
  </si>
  <si>
    <t xml:space="preserve">[Lazana, Ioanna; Mangion, Sean Apap; Babiker, Selma; Large, Joanna; Trikha, Roochi; Gandhi, Shreyans; Kulasekararaj, Austin G.] Kings Coll Hosp NHS Fdn Trust, Dept Hematol Med, London SE5 9RS, England; [Lazana, Ioanna] Acad Athens, Cell &amp; Gene Therapy Lab, Biomed Res Fdn, Athens 11527, Greece; [Zuckerman, Mark] Kings Coll NHS Fdn Trust, Dept Virol, London SE5 9RS, England; [Gandhi, Shreyans; Kulasekararaj, Austin G.] Kings Coll London, Fac Life Sci &amp; Med, London WC2R 2LS, England</t>
  </si>
  <si>
    <t xml:space="preserve">King's College Hospital NHS Foundation Trust; Academy of Athens; King's College Hospital NHS Foundation Trust; King's College Hospital; University of London; King's College London</t>
  </si>
  <si>
    <t xml:space="preserve">Kulasekararaj, AG (corresponding author), Kings Coll Hosp NHS Fdn Trust, Dept Hematol Med, London SE5 9RS, England.;Kulasekararaj, AG (corresponding author), Kings Coll London, Fac Life Sci &amp; Med, London WC2R 2LS, England.</t>
  </si>
  <si>
    <t xml:space="preserve">austin.kulasekararaj@nhs.net</t>
  </si>
  <si>
    <t xml:space="preserve">Lazana, Ioanna/0000-0002-5162-1304</t>
  </si>
  <si>
    <t xml:space="preserve">1661-6596</t>
  </si>
  <si>
    <t xml:space="preserve">1422-0067</t>
  </si>
  <si>
    <t xml:space="preserve">INT J MOL SCI</t>
  </si>
  <si>
    <t xml:space="preserve">Int. J. Mol. Sci.</t>
  </si>
  <si>
    <t xml:space="preserve">MAY 27</t>
  </si>
  <si>
    <t xml:space="preserve">10.3390/ijms24119358</t>
  </si>
  <si>
    <t xml:space="preserve">Biochemistry &amp; Molecular Biology; Chemistry, Multidisciplinary</t>
  </si>
  <si>
    <t xml:space="preserve">Biochemistry &amp; Molecular Biology; Chemistry</t>
  </si>
  <si>
    <t xml:space="preserve">I8TB3</t>
  </si>
  <si>
    <t xml:space="preserve">WOS:001005442300001</t>
  </si>
  <si>
    <t xml:space="preserve">Bhattacharyya, S; Gesteland, PH; Korgenski, K; Bjornstad, ON; Adler, FR</t>
  </si>
  <si>
    <t xml:space="preserve">Bhattacharyya, Samit; Gesteland, Per H.; Korgenski, Kent; Bjornstad, Ottar N.; Adler, Frederick R.</t>
  </si>
  <si>
    <t xml:space="preserve">Cross-immunity between strains explains the dynamical pattern of paramyxoviruses</t>
  </si>
  <si>
    <t xml:space="preserve">paramyxoviruses; respiratory syncytial viruses; human parainfluenza; pathogen interactions; cross-immunity</t>
  </si>
  <si>
    <t xml:space="preserve">RESPIRATORY SYNCYTIAL VIRUS; TRANSMISSION DYNAMICS; PARAINFLUENZA VIRUSES; HOSPITAL ADMISSIONS; VIRAL-INFECTIONS; AIR-POLLUTION; RSV INFECTION; GROUP-A; INFLUENZA; SEASONALITY</t>
  </si>
  <si>
    <t xml:space="preserve">Viral respiratory tract diseases pose serious public health problems. Our ability to predict and thus, be able to prepare for outbreaks is strained by the complex factors driving the prevalence and severity of these diseases. The abundance of diseases and transmission dynamics of strains are not only affected by external factors, such as weather, but also driven by interactions among viruses mediated by human behavior and immunity. To untangle the complex out-of-phase annual and biennial pattern of three common paramyxoviruses, Respiratory Syncytial Virus (RSV), Human Parainfluenza Virus (HPIV), and Human Metapneumovirus (hMPV), we adopt a theoretical approach that integrates ecological and immunological mechanisms of disease interactions. By estimating parameters from multiyear time series of laboratory-confirmed cases from the intermountain west region of the United States and using statistical inference, we show that models of immune-mediated interactions better explain the data than those based on ecological competition by convalescence. The strength of cross-protective immunity among viruses is correlated with their genetic distance in the phylogenetic tree of the paramyxovirus family.</t>
  </si>
  <si>
    <t xml:space="preserve">[Bhattacharyya, Samit; Bjornstad, Ottar N.] Penn State Univ, Ctr Infect Dis Dynam, University Pk, PA 16802 USA; [Bhattacharyya, Samit; Adler, Frederick R.] Univ Utah, Dept Biol, Salt Lake City, UT 84112 USA; [Gesteland, Per H.; Korgenski, Kent] Univ Utah, Sch Med, Dept Pediat, Salt Lake City, UT 84112 USA; [Gesteland, Per H.] Univ Utah, Dept Biomed Informat, Salt Lake City, UT 84112 USA; [Korgenski, Kent] Intermt Healthcare, Pediat Clin Program, Salt Lake City, UT 84111 USA; [Bjornstad, Ottar N.] NIH, Fogarty Int Ctr, Bethesda, MD 20892 USA; [Adler, Frederick R.] Univ Utah, Dept Math, Salt Lake City, UT 84112 USA</t>
  </si>
  <si>
    <t xml:space="preserve">Pennsylvania Commonwealth System of Higher Education (PCSHE); Pennsylvania State University; Pennsylvania State University - University Park; Utah System of Higher Education; University of Utah; Utah System of Higher Education; University of Utah; Utah System of Higher Education; University of Utah; Intermountain Healthcare; Intermountain Medical Center; National Institutes of Health (NIH) - USA; NIH Fogarty International Center (FIC); Utah System of Higher Education; University of Utah</t>
  </si>
  <si>
    <t xml:space="preserve">Bhattacharyya, S (corresponding author), Penn State Univ, Ctr Infect Dis Dynam, University Pk, PA 16802 USA.</t>
  </si>
  <si>
    <t xml:space="preserve">szb16@psu.edu</t>
  </si>
  <si>
    <t xml:space="preserve">Bjornstad, Ottar/I-4518-2012</t>
  </si>
  <si>
    <t xml:space="preserve">Bhattacharyya, Samit/0000-0002-7357-7949</t>
  </si>
  <si>
    <t xml:space="preserve">University of Utah Funding Incentive SEED Grant; Agency for Healthcare Research and Quality Grant [K08 HS018538]; Bill and Melinda Gates Foundation; Research and Policy for Infectious Disease Dynamics (RAPIDD) Program of the Science and Technology Directorate; Department of Homeland Security; Fogarty International Center, National Institutes of Health; James S. McDonnell Foundation 21st Century Science Initiative Grant</t>
  </si>
  <si>
    <t xml:space="preserve">University of Utah Funding Incentive SEED Grant; Agency for Healthcare Research and Quality Grant(United States Department of Health &amp; Human ServicesAgency for Healthcare Research &amp; Quality); Bill and Melinda Gates Foundation(Bill &amp; Melinda Gates Foundation); Research and Policy for Infectious Disease Dynamics (RAPIDD) Program of the Science and Technology Directorate; Department of Homeland Security(United States Department of Homeland Security (DHS)); Fogarty International Center, National Institutes of Health(United States Department of Health &amp; Human ServicesNational Institutes of Health (NIH) - USANIH Fogarty International Center (FIC)); James S. McDonnell Foundation 21st Century Science Initiative Grant</t>
  </si>
  <si>
    <t xml:space="preserve">We thank Pejman Rohani and Sourya Shrestha (University of Michigan) for fruitful discussion about the work and two anonymous reviewers for useful comments to improve the analysis in the paper. This work was supported by a University of Utah Funding Incentive SEED Grant; Agency for Healthcare Research and Quality Grant K08 HS018538 (to P.H.G.); the Bill and Melinda Gates Foundation (O.N.B.); the Research and Policy for Infectious Disease Dynamics (RAPIDD) Program of the Science and Technology Directorate; the Department of Homeland Security; the Fogarty International Center, National Institutes of Health (O.N.B.); and James S. McDonnell Foundation 21st Century Science Initiative Grant (to F.R.A.).</t>
  </si>
  <si>
    <t xml:space="preserve">10.1073/pnas.1516698112</t>
  </si>
  <si>
    <t xml:space="preserve">CU3WY</t>
  </si>
  <si>
    <t xml:space="preserve">WOS:000363458100073</t>
  </si>
  <si>
    <t xml:space="preserve">Slovic, A; Kosutic-Gulija, T; Santak, M; Ivancic-Jelecki, J; Jagusic, M; Ljubin-Sternak, S; Mlinaric-Galinovic, G; Vilibic-Cavlek, T; Tabain, I; Forcic, D</t>
  </si>
  <si>
    <t xml:space="preserve">Slovic, Anamarija; Kosutic-Gulija, Tanja; Santak, Maja; Ivancic-Jelecki, Jelena; Jagusic, Maja; Ljubin-Sternak, Suncanica; Mlinaric-Galinovic, Gordana; Vilibic-Cavlek, Tatjana; Tabain, Irena; Forcic, Dubravko</t>
  </si>
  <si>
    <t xml:space="preserve">Genetic Variability and Sequence Relatedness of Matrix Protein in Viruses of the Families Paramyxoviridae and Pneumoviridae</t>
  </si>
  <si>
    <t xml:space="preserve">Paramyxoviruses; Pneumoviruses; Matrix protein; Genetic variability</t>
  </si>
  <si>
    <t xml:space="preserve">RESPIRATORY SYNCYTIAL VIRUS; HUMAN METAPNEUMOVIRUS; MEASLES-VIRUS; MOLECULAR EVOLUTION; CYTOPLASMIC DOMAIN; FUSION; PARTICLES; TYPE-3; EXPRESSION; IDENTIFICATION</t>
  </si>
  <si>
    <t xml:space="preserve">Background: The families Paramyxoviridae and Pneumoviridae comprise a broad spectrum of viral pathogens that affect human health. The matrix (M) protein of these viruses has a central role in their life cycle. In line with this, molecular characteristics of the M proteins from variable viruses that circulated in Croatia were investigated. Methods: Sequences of the M proteins of human parainfluenza virus (HPIV) 1-3 within the family Paramyxoviridae, human metapneumovirus (HMPV), and human respiratory syncytial virus from the family Pneumoviridae were obtained and analyzed. Results: M proteins were very diverse among HPIVs, but highly conserved within each virus. More variability was seen in nucleotide sequences of M proteins from the Pneumoviridae family. An insertion of 8 nucleotides in the 3' untranslated region in 1 HMPV M gene sequence was discovered (HR347-12). As there are no samples with such an insertion in the database, this insertion is of interest and requires further research. Conclusion: While we have confirmed that M proteins were conserved among individual viruses, any changes that are observed should be given attention and further researched. Of special interest is inclusion of HPIV2 M proteins in this analysis, as these proteins have not been studied to the same extent as other paramyxoviruses. (C) 2018 S. Karger AG, Basel</t>
  </si>
  <si>
    <t xml:space="preserve">[Slovic, Anamarija; Kosutic-Gulija, Tanja; Santak, Maja; Ivancic-Jelecki, Jelena; Jagusic, Maja; Forcic, Dubravko] Univ Zagreb, Ctr Res &amp; Knowledge Transfer Biotechnol, Rockefellerova 10, HR-10000 Zagreb, Croatia; [Slovic, Anamarija; Kosutic-Gulija, Tanja; Santak, Maja; Ivancic-Jelecki, Jelena; Jagusic, Maja; Forcic, Dubravko] CERVirVac, Ctr Excellence Viral Immunol &amp; Vaccines, Zagreb, Croatia; [Ljubin-Sternak, Suncanica] Teaching Inst Publ Hlth Dr Andrija Stampar, Zagreb, Croatia; [Ljubin-Sternak, Suncanica; Mlinaric-Galinovic, Gordana; Vilibic-Cavlek, Tatjana] Univ Zagreb, Sch Med, Zagreb, Croatia; [Vilibic-Cavlek, Tatjana; Tabain, Irena] Croatian Natl Inst Publ Hlth, Zagreb, Croatia</t>
  </si>
  <si>
    <t xml:space="preserve">University of Zagreb; University of Zagreb; University of Zagreb</t>
  </si>
  <si>
    <t xml:space="preserve">Slovic, A (corresponding author), Univ Zagreb, Ctr Res &amp; Knowledge Transfer Biotechnol, Rockefellerova 10, HR-10000 Zagreb, Croatia.</t>
  </si>
  <si>
    <t xml:space="preserve">aslovic@unizg.hr</t>
  </si>
  <si>
    <t xml:space="preserve">KosuticGulija, Tanja/KHT-3930-2024; Šantak, Maja/AAY-5654-2020; Vilibić-Čavlek, Tatjana/AAI-2010-2019</t>
  </si>
  <si>
    <t xml:space="preserve">Santak, Maja/0000-0003-1489-1003; Slovic, Anamarija/0000-0003-3137-0576; Ljubin-Sternak, Suncanica/0000-0002-6405-6922; Jagusic (nee Markusic), Maja/0000-0003-4952-9776; Ivancic-Jelecki, Jelena/0000-0002-7338-5007</t>
  </si>
  <si>
    <t xml:space="preserve">Croatian Science Foundation [6255]; Strengthening the capacity of CerVirVac for research in virus immunology and vaccinology [KK.01.1.1.01.0006]; European Regional Development Fund</t>
  </si>
  <si>
    <t xml:space="preserve">Croatian Science Foundation; Strengthening the capacity of CerVirVac for research in virus immunology and vaccinology; European Regional Development Fund(European Union (EU))</t>
  </si>
  <si>
    <t xml:space="preserve">This work was supported in part by the Croatian Science Foundation under the project number 6255 (to D.F.) and in part by the grant Strengthening the capacity of CerVirVac for research in virus immunology and vaccinology, KK.01.1.1.01.0006, awarded to the Scientific Centre of Excellence for Virus Immunology and Vaccines and co-financed by the European Regional Development Fund.</t>
  </si>
  <si>
    <t xml:space="preserve">10.1159/000487049</t>
  </si>
  <si>
    <t xml:space="preserve">GD0PM</t>
  </si>
  <si>
    <t xml:space="preserve">WOS:000430202700002</t>
  </si>
  <si>
    <t xml:space="preserve">Chen, L; Han, XD; Li, YL; Zhang, CX; Xing, XQ</t>
  </si>
  <si>
    <t xml:space="preserve">Chen, Liang; Han, Xiudi; Li, YanLi; Zhang, Chunxiao; Xing, Xiqian</t>
  </si>
  <si>
    <t xml:space="preserve">The Clinical Characteristics and Outcomes of Adult Patients With Pneumonia Related to Three Paramyxoviruses</t>
  </si>
  <si>
    <t xml:space="preserve">paramyxovirus; pneumonia; clinical characteritic; disease severity; adult</t>
  </si>
  <si>
    <t xml:space="preserve">RESPIRATORY SYNCYTIAL VIRUS; COMMUNITY-ACQUIRED PNEUMONIA; THORACIC SOCIETY; INFECTION; DIAGNOSIS; MORTALITY; BURDEN</t>
  </si>
  <si>
    <t xml:space="preserve">Background: Respiratory syncytial virus (RSV), human metapneumovirus (hMPV), and human parainfluenza virus (hPIV) are paramyxoviruses (PMVs) that are important etiologies of community-acquired pneumonia. However, current knowledge about the clinical features and outcomes of PMV-related pneumonia (PMV-p) is limited. We aimed to investigate the clinical characteristics and disease severity in immunocompetent adults hospitalized with hMPV-related pneumonia (hMPV-p), hPIV-related pneumonia (hPIV-p), or RSV-related pneumonia (RSV-p). Methods: We retrospectively recruited 488 patients with PMV-p (153 with RSV-p, 137 with hMPV-p, and 198 with hPIV-p) from five teaching hospitals in China during 2011-2019. Univariate and multivariate analyses were performed to identify predictors to distinguish hMPV-p/hPIV-p from RSV-p and evaluate the effects of virus types on the clinical outcomes. Results: Compared with RSV-p, sputum production [odds ratio (OR) 5.029, 95% confidence interval (CI) 2.452-10.312, P &lt; 0.001] was positively associated with hMPV-p, while solid malignant tumor (OR 0.346, 95% CI 0.126-0.945, P = 0.038), nasal congestion (OR 0.102, 95% CI 0.041-0.251, P &lt; 0.001), and respiratory rate &gt;= 30 breaths/min (OR 0.296, 95% CI 0.136-0.640, P = 0.002) were negatively related to hMPV-p. Sputum production (OR 13.418, 95% CI 6.769-26.598, P &lt; 0.001) was positively associated with hPIV-p, while nasal congestion (OR 0.194, 95% CI 0.098-0.387, P &lt; 0.001), dyspnea (OR 0.469, 95% CI 0.272-0.809, P &lt; 0.001), and respiratory rate &gt;= 30 breaths/min (OR 0.090, 95% CI 0.032-0.257, P &lt; 0.001) on admission were negatively related to hPIV-p. After adjustment for confounders, multivariate logistic regression analysis suggested that hMPV-p (OR 0.355, 95% CI 0.135-0.932, P = 0.035) and hPIV-p (OR 0.311, 95% CI 0.121-0.784, P = 0.013) were associated with decreased 30-day mortality compared with RSV-p. RSV infection (OR 4.183, 95% CI 1.709-10.236, P = 0.002) was identified as an independent predictor of 30-day mortality in patients with PMV-p. Conclusion: RSV-p caused more severe disease than hMPV-p and hPIV-p. Although some clinical features are helpful for distinguishing the diseases, etiologic diagnosis is critical in the management of the PMV-p.</t>
  </si>
  <si>
    <t xml:space="preserve">[Chen, Liang] Peking Univ, Dept Infect Dis, Beijing Jishuitan Hosp, Med Coll 4, Beijing, Peoples R China; [Han, Xiudi] Qingdao Municipal Hosp, Dept Pulm &amp; Crit Care Med, Qingdao, Peoples R China; [Li, YanLi] Capital Med Univ, Beijing Chao Yang Hosp, Dept Infect Dis &amp; Clin Microbiol, Beijing, Peoples R China; [Zhang, Chunxiao] Beijing Huimin Hosp, Dept Pulm &amp; Crit Care Med, Beijing, Peoples R China; [Xing, Xiqian] 2nd Peoples Hosp Yunnan Prov, Dept Pulm &amp; Crit Care Med, Kunming, Yunnan, Peoples R China</t>
  </si>
  <si>
    <t xml:space="preserve">Peking University; Qingdao Municipal Hospital; Capital Medical University</t>
  </si>
  <si>
    <t xml:space="preserve">Chen, L (corresponding author), Peking Univ, Dept Infect Dis, Beijing Jishuitan Hosp, Med Coll 4, Beijing, Peoples R China.</t>
  </si>
  <si>
    <t xml:space="preserve">chenliang1995@sina.com</t>
  </si>
  <si>
    <t xml:space="preserve">Han, Xiudi/ABA-4624-2020</t>
  </si>
  <si>
    <t xml:space="preserve">Xing, Xiqian/0000-0002-5359-1778</t>
  </si>
  <si>
    <t xml:space="preserve">Beijing JST research [ZR-201921]</t>
  </si>
  <si>
    <t xml:space="preserve">Beijing JST research</t>
  </si>
  <si>
    <t xml:space="preserve">This study is funded by Beijing JST research (ZR-201921).</t>
  </si>
  <si>
    <t xml:space="preserve">10.3389/fmed.2020.574128</t>
  </si>
  <si>
    <t xml:space="preserve">QA2LP</t>
  </si>
  <si>
    <t xml:space="preserve">WOS:000613280200001</t>
  </si>
  <si>
    <t xml:space="preserve">Ryder, AB; Tollefson, SJ; Podsiad, AB; Johnson, JE; Williams, JV</t>
  </si>
  <si>
    <t xml:space="preserve">Ryder, Alex B.; Tollefson, Sharon J.; Podsiad, Amy B.; Johnson, Joyce E.; Williams, John V.</t>
  </si>
  <si>
    <t xml:space="preserve">Soluble recombinant human metapneumovirus G protein is immunogenic but not protective</t>
  </si>
  <si>
    <t xml:space="preserve">Paramyxovirus; Metapneumovirus; Vaccine; Glycoprotein</t>
  </si>
  <si>
    <t xml:space="preserve">OBSTRUCTIVE PULMONARY-DISEASE; RESPIRATORY-TRACT INFECTIONS; FUSION PROTEIN; TRANSPLANT RECIPIENTS; G-GLYCOPROTEIN; COTTON RATS; CHILDREN; VACCINE; ADULTS; MICE</t>
  </si>
  <si>
    <t xml:space="preserve">Human metapneumovirus (HMPV) expresses the major surface glycoproteins F and G. We evaluated the protective efficacy of immunization with G. We generated a recombinant form of G ectodomain (G Delta TM) that was secreted from mammalian cells and purified by affinity chromatography. We tested the immunogenicity of G Delta TM in cotton rats. Animals were immunized with PBS, G Delta TM alone or adjuvanted, or were infected once with HMPV, and challenged with live HMPV at 28 days. Animals vaccinated with adjuvanted and non-adjuvanted G Delta TM developed high levels of serum antibodies to both recombinant and native G protein; however, vaccinated animals did not develop neutralizing antibodies and were not protected against virus challenge. Unlike the analogous non-fusion glycoproteins of other human paramyxoviruses, HMPV G does not appear to be a protective antigen. This represents an unusual feature of HMPV. (C) 2010 Elsevier Ltd. All rights reserved.</t>
  </si>
  <si>
    <t xml:space="preserve">[Ryder, Alex B.; Williams, John V.] Vanderbilt Univ, Med Ctr, Sch Med, Nashville, TN 37232 USA; [Tollefson, Sharon J.; Podsiad, Amy B.; Williams, John V.] Vanderbilt Univ, Dept Pediat, Nashville, TN 37232 USA; [Johnson, Joyce E.] Vanderbilt Univ, Dept Pathol, Nashville, TN 37232 USA; [Williams, John V.] Dept Microbiol &amp; Immunol, Nashville, TN USA</t>
  </si>
  <si>
    <t xml:space="preserve">Williams, JV (corresponding author), Vanderbilt Univ, Med Ctr, Sch Med, D-7235 Med Ctr N,1161 21st Ave S, Nashville, TN 37232 USA.</t>
  </si>
  <si>
    <t xml:space="preserve">Johnson, Joyce/KQY-6623-2024; Williams, John/ABE-3227-2020; Williams, John/F-6962-2010</t>
  </si>
  <si>
    <t xml:space="preserve">Johnson, Joyce/0000-0002-3680-4372; Williams, John/0000-0001-8377-5175</t>
  </si>
  <si>
    <t xml:space="preserve">National Institute of Allergy and Infectious Diseases, National Institutes of Health [K08 AI-56170]; Vanderbilt Department of Pediatrics Hazinski-Turner Award; Infectious Diseases Society of America Summer Scholarship for Medical Students Award</t>
  </si>
  <si>
    <t xml:space="preserve">National Institute of Allergy and Infectious Diseases, National Institutes of Health(United States Department of Health &amp; Human ServicesNational Institutes of Health (NIH) - USANIH National Institute of Allergy &amp; Infectious Diseases (NIAID)); Vanderbilt Department of Pediatrics Hazinski-Turner Award; Infectious Diseases Society of America Summer Scholarship for Medical Students Award</t>
  </si>
  <si>
    <t xml:space="preserve">Supported by grants from the National Institute of Allergy and Infectious Diseases, National Institutes of Health, K08 AI-56170 (JVW), a Vanderbilt Department of Pediatrics Hazinski-Turner Award (JVW) and an Infectious Diseases Society of America Summer Scholarship for Medical Students Award (ABR).</t>
  </si>
  <si>
    <t xml:space="preserve">10.1016/j.vaccine.2010.04.007</t>
  </si>
  <si>
    <t xml:space="preserve">614EZ</t>
  </si>
  <si>
    <t xml:space="preserve">WOS:000279039500005</t>
  </si>
  <si>
    <t xml:space="preserve">Lwamba, HCM; Alvarez, R; Wise, MG; Yu, QZ; Halvorson, D; Njenga, MK; Seal, BS</t>
  </si>
  <si>
    <t xml:space="preserve">Comparison of the full-length genome sequence of Avian metapneumovirus subtype C with other paramyxoviruses</t>
  </si>
  <si>
    <t xml:space="preserve">Paramyxovirus; Metapneumovirus; subtype; intergenic region</t>
  </si>
  <si>
    <t xml:space="preserve">RESPIRATORY SYNCYTIAL VIRUS; TURKEY RHINOTRACHEITIS VIRUS; AMINO-ACID-SEQUENCE; COMPLETE NUCLEOTIDE-SEQUENCE; NEWCASTLE-DISEASE VIRUS; GENE ORDER DIFFERENT; STRAND RNA VIRUSES; MOLECULAR EPIDEMIOLOGY; GREATER IDENTITY; YOUNG-CHILDREN</t>
  </si>
  <si>
    <t xml:space="preserve">We determined the nucleotide (nt) sequence of the small hydrophobic (SH). attachment glycoprotein (G). and RNA polymerase (L) genes, plus the leader and trailer regions of the Colorado strain of Avian metapneumovirus subtype C (aMPV/C) in order to complete the genome sequencing. The complete genome comprised of 13,134 nucleotides, with a 40 nt leader at its 3' end and a 45 nt trailer at its 5' end. The aMPV/C L gene was the largest with 6173 nt and consisting of a single open reading frame encoding a 2005 amino acids (aa) protein. Comparison of the aMPV/C SH. G. and L nt and predicted aa sequences with those of Human metapneumoviruses (hMPV) revealed higher nt and aa sequence identities than the sequence identities between the aMPV subtypes A, B, C, and D, supporting earlier finding that aMPV/C was closer evolutionary to hMPV than the other aMPV subtypes. (C) 2004 Elsevier B.V. All rights reserved.</t>
  </si>
  <si>
    <t xml:space="preserve">Univ Minnesota, Dept Vet &amp; Biomed Sci, St Paul, MN 55108 USA; Ctr Dis Control &amp; Prevent, Resp Dis Branch, Atlanta, GA 30333 USA; USDA ARS, SE Poultry Res Lab, Athens, GA 30605 USA</t>
  </si>
  <si>
    <t xml:space="preserve">University of Minnesota System; University of Minnesota Twin Cities; Centers for Disease Control &amp; Prevention - USA; United States Department of Agriculture (USDA)</t>
  </si>
  <si>
    <t xml:space="preserve">Univ Minnesota, Dept Vet &amp; Biomed Sci, 1971 Commonwealth Ave, St Paul, MN 55108 USA.</t>
  </si>
  <si>
    <t xml:space="preserve">Njeng001@umn.edu</t>
  </si>
  <si>
    <t xml:space="preserve">Yu, Qingzhong/0000-0003-0386-793X; Wise, Mark/0000-0001-7356-1851</t>
  </si>
  <si>
    <t xml:space="preserve">10.1016/j.virusres.2004.07.002</t>
  </si>
  <si>
    <t xml:space="preserve">885QW</t>
  </si>
  <si>
    <t xml:space="preserve">WOS:000226173000011</t>
  </si>
  <si>
    <t xml:space="preserve">Williams, JV; Tollefson, SJ; Nair, S; Chonmaitree, T</t>
  </si>
  <si>
    <t xml:space="preserve">Association of human metapneumovirus with acute otitis media</t>
  </si>
  <si>
    <t xml:space="preserve">INTERNATIONAL JOURNAL OF PEDIATRIC OTORHINOLARYNGOLOGY</t>
  </si>
  <si>
    <t xml:space="preserve">paramyxovirus; metapneumovirus; otitis media</t>
  </si>
  <si>
    <t xml:space="preserve">RESPIRATORY-TRACT DISEASE; MIDDLE-EAR; YOUNG-CHILDREN; VIRUSES; PREVALENCE; INFECTION; BACTERIAL; SYMPTOMS</t>
  </si>
  <si>
    <t xml:space="preserve">Objective: Human metapneumovirus (hMPV) is a recently described paramyxovirus that has been associated with acute upper and lower respiratory infection (LRI) in infants and children worldwide. We previously observed that one-third of the children with hMPV-associated LRI had been diagnosed with a concomitant acute otitis media (AOM). In the current study, we sought to investigate an association between hMPV and children presenting with AOM as a primary diagnosis. Methods: We used realtime RT-PCR for hMPV to retrospectively test 144 paired nasal wash (NW) and middle ear fluid (MEF) specimens that had been prospectively collected from children with AOM during a 3-year period from 1990-1992. RNA was extracted from archived, frozen samples and realtime RT-PCR for hMPV was performed. Results: We detected hMPV in 8/144 (6%) NW and 1/144 MEF Several of the children still tested positive for hMPV in NW 3 days later, showing persistent virus shedding. All were detected from November-May and six had bacterial co-pathogens. Two of the eight (25%) hMPV-infected children had no bacterial pathogen isolated, suggesting that hMPV may be associated with AOM as a sole pathogen. Conclusions: These data show that hMPV is associated with a proportion of AOM and thus has additional morbidity and healthcare impact related to these illnesses. (C) 2005 Elsevier Ireland Ltd. All rights reserved.</t>
  </si>
  <si>
    <t xml:space="preserve">Vanderbilt Univ, Med Ctr, Dept Pediat, Nashville, TN 37232 USA; Univ Texas, Med Branch, Dept Pediat, Galveston, TX 77550 USA; Univ Texas, Med Branch, Dept Pathol, Galveston, TX 77550 USA</t>
  </si>
  <si>
    <t xml:space="preserve">Vanderbilt University; University of Texas System; University of Texas Medical Branch Galveston; University of Texas System; University of Texas Medical Branch Galveston</t>
  </si>
  <si>
    <t xml:space="preserve">Williams, JV (corresponding author), Vanderbilt Univ, Med Ctr, Dept Pediat, D-7235 Med Ctr N,1161 21st Ave S, Nashville, TN 37232 USA.</t>
  </si>
  <si>
    <t xml:space="preserve">NIAID NIH HHS [R03 AI54790, R03 AI054790] Funding Source: Medline</t>
  </si>
  <si>
    <t xml:space="preserve">0165-5876</t>
  </si>
  <si>
    <t xml:space="preserve">INT J PEDIATR OTORHI</t>
  </si>
  <si>
    <t xml:space="preserve">Int. J. Pediatr. Otorhinolaryngol.</t>
  </si>
  <si>
    <t xml:space="preserve">10.1016/j.ijporl.2005.12.007</t>
  </si>
  <si>
    <t xml:space="preserve">Otorhinolaryngology; Pediatrics</t>
  </si>
  <si>
    <t xml:space="preserve">055NJ</t>
  </si>
  <si>
    <t xml:space="preserve">WOS:000238457100008</t>
  </si>
  <si>
    <t xml:space="preserve">Hammond, S; Chenever, E; Durbin, JE</t>
  </si>
  <si>
    <t xml:space="preserve">Hammond, Sue; Chenever, Emily; Durbin, Joan E.</t>
  </si>
  <si>
    <t xml:space="preserve">Respiratory virus infection in infants and children</t>
  </si>
  <si>
    <t xml:space="preserve">PEDIATRIC AND DEVELOPMENTAL PATHOLOGY</t>
  </si>
  <si>
    <t xml:space="preserve">paramyxovirus; influenza; adenovirus; pneumonia; bronchiolitis</t>
  </si>
  <si>
    <t xml:space="preserve">GIANT-CELL PNEUMONIA; HUMAN METAPNEUMOVIRUS INFECTION; COMMUNITY-ACQUIRED PNEUMONIA; PARA-INFLUENZA VIRUS; SYNCYTIAL VIRUS; CYSTIC-FIBROSIS; PARAINFLUENZA VIRUS; UNITED-STATES; TRANSPLANT RECIPIENTS; SIGMODON-HISPIDUS</t>
  </si>
  <si>
    <t xml:space="preserve">The recent availability of diagnostic polymerase chain reaction-based assays for the detection of viral pathogens has allowed us to identify the infectious agents present in a large percentage of culture-negative specimens. The information gained by these studies has led to a reassessment of the prevalence of individual viruses in lower respiratory tract infections in both normal and immunocompromised children. Pathologic examination of less severe cases identified by more sensitive methodologies in immunocompetent children is now possible and has prompted the realization that many of the classic features of particular viral infections in the lung are in fact hallmarks of fulminant disease. In this article we review the body of literature discussing these anatomic findings, the approaches taken by those investigators, and the types of reagents that are commercially available.</t>
  </si>
  <si>
    <t xml:space="preserve">Columbus Childrens Hosp, Dept Pathol &amp; Lab Med, Columbus, OH USA; Columbus Childrens Res Inst, Columbus, OH USA; Ohio State Univ, Coll Med, Dept Pediat, Columbus, OH 43205 USA; Ohio State Univ, Coll Med, Dept Pathol, Columbus, OH 43205 USA</t>
  </si>
  <si>
    <t xml:space="preserve">University System of Ohio; Ohio State University; Nationwide Childrens Hospital; University System of Ohio; Ohio State University; University System of Ohio; Ohio State University; University System of Ohio; Ohio State University</t>
  </si>
  <si>
    <t xml:space="preserve">Durbin, JE (corresponding author), Columbus Childrens Hosp, Dept Pathol &amp; Lab Med, Columbus, OH USA.</t>
  </si>
  <si>
    <t xml:space="preserve">durbinj@ccri.net</t>
  </si>
  <si>
    <t xml:space="preserve">1093-5266</t>
  </si>
  <si>
    <t xml:space="preserve">1615-5742</t>
  </si>
  <si>
    <t xml:space="preserve">PEDIATR DEVEL PATHOL</t>
  </si>
  <si>
    <t xml:space="preserve">Pediatr. Dev. Pathol.</t>
  </si>
  <si>
    <t xml:space="preserve">10.2350/07-02-0238.1</t>
  </si>
  <si>
    <t xml:space="preserve">Pathology; Pediatrics</t>
  </si>
  <si>
    <t xml:space="preserve">188WO</t>
  </si>
  <si>
    <t xml:space="preserve">WOS:000247950200002</t>
  </si>
  <si>
    <t xml:space="preserve">van den Hoogen, BG; Bestebroer, TM; Osterhaus, ADME; Fouchier, RAM</t>
  </si>
  <si>
    <t xml:space="preserve">Analysis of the genomic sequence of a human metapneumovirus</t>
  </si>
  <si>
    <t xml:space="preserve">paramyxovirus; human meta pneumovirus; genomic sequence; respiratory tract disease</t>
  </si>
  <si>
    <t xml:space="preserve">RESPIRATORY SYNCYTIAL VIRUS; TURKEY RHINOTRACHEITIS VIRUS; NUCLEOCAPSID PROTEIN GENE; DICISTRONIC MESSENGER-RNA; AMINO-ACID-SEQUENCE; NUCLEOTIDE-SEQUENCE; AVIAN PNEUMOVIRUS; FUSION GLYCOPROTEIN; SUBGROUP-A; PARAMYXOVIRUS FUSION</t>
  </si>
  <si>
    <t xml:space="preserve">We recently described the isolation of a novel paramyxovirus from children with respiratory tract disease in The Netherlands, Based on biological properties and limited sequence information the virus was provisionally classified as the first nonavian member of the Metapneumovirus genus and named human metapneumovirus (hMPV). This report describes the analysis of the sequences of all hMPV open reading frames (ORFs) and intergenic sequences as well as partial sequences of the genomic termini. The overall percentage of amino acid sequence identity between APV and hMPV N, P, M, F, M2-1, M2-2, and L ORFs was 56 to 88%. Some nucleotide sequence identity was also found between the noncoding regions of the APV and hMPV genomes. Although no discernible amino acid sequence identity was found between two of the ORFs of hMPV and ORFs of other paramyxoviruses, the amino acid content, hydrophilicity profiles, and location of these ORFs in the viral genome suggest that they represent SH and G proteins. The high percentage of sequence identity between APV and hMPV, their similar genomic organization (3'-N-P-M-F-M2-SH-G-L-5'), and phylogenetic analyses provide evidence for the proposed classification of hMPV as the first mammalian metapneumovirus. (C) 2002 Elsevier Science (USA).</t>
  </si>
  <si>
    <t xml:space="preserve">Erasmus MC, Dept Virol, NL-3015 GE Rotterdam, Netherlands</t>
  </si>
  <si>
    <t xml:space="preserve">Erasmus University Rotterdam; Erasmus MC</t>
  </si>
  <si>
    <t xml:space="preserve">Erasmus MC, Dept Virol, POB 1738, NL-3000 DR Rotterdam, Netherlands.</t>
  </si>
  <si>
    <t xml:space="preserve">fouchier@viro.igg.eur.nl</t>
  </si>
  <si>
    <t xml:space="preserve">van den Hoogen, Bernadette/J-5461-2013; Fouchier, Ron/A-1911-2014</t>
  </si>
  <si>
    <t xml:space="preserve">Osterhaus, Albert/0000-0002-6074-1172; Fouchier, Ron/0000-0001-8095-2869</t>
  </si>
  <si>
    <t xml:space="preserve">MAR 30</t>
  </si>
  <si>
    <t xml:space="preserve">10.1006/viro.2001.1355</t>
  </si>
  <si>
    <t xml:space="preserve">551HY</t>
  </si>
  <si>
    <t xml:space="preserve">WOS:000175555800012</t>
  </si>
  <si>
    <t xml:space="preserve">Pelet, T; Miazza, V; Mottet, G; Roux, L</t>
  </si>
  <si>
    <t xml:space="preserve">High throughput screening assay for negative single stranded RNA virus polymerase inhibitors</t>
  </si>
  <si>
    <t xml:space="preserve">Paramyxoviridae; RNA-dependent RNA polymerase; in vitro assay</t>
  </si>
  <si>
    <t xml:space="preserve">VESICULAR STOMATITIS-VIRUS; RESPIRATORY-TRACT DISEASE; SENDAI-VIRUS; HUMAN METAPNEUMOVIRUS; PROTEIN-SYNTHESIS; GENOME LENGTH; REPLICATION; TRANSCRIPTION; PARAMYXOVIRUS; TRANSLATION</t>
  </si>
  <si>
    <t xml:space="preserve">The Paramyoviridae form a large family of viruses containing many human and veterinary pathogens for which a need for antiviral treatment is emphasized, particularly following the recent emergence of new viruses. The viral RNA-dependent RNA polymerase constitutes an obvious target for antiviral compounds. An in vitro assay was developed that allows high throughput screening of compounds potentially inhibiting the Sendai virus RNA-dependent RNA polymerase. Screening relies on the detection of the Photinus pyralis luciferase produced in a transcription/translation coupled assay using a mini-replicon virus. It contains an internal control for possible adverse effects of the tested compounds on translation or on luciferase activity. It is estimated that the mini-replicon template produced in one fertilized egg is sufficient to run 5000-10,000 reactions. This assay constitutes a simple, sensitive and easily automated method to perform high throughput screening of Paramyxoviridae RNA-dependent RNA polymerase inhibitors. (c) 2005 Elsevier B.V. All rights reserved.</t>
  </si>
  <si>
    <t xml:space="preserve">Univ Geneva, Sch Med, Dept Microbiol &amp; Mol Med, CMU, CH-1211 Geneva, Switzerland</t>
  </si>
  <si>
    <t xml:space="preserve">University of Geneva</t>
  </si>
  <si>
    <t xml:space="preserve">Univ Geneva, Sch Med, Dept Microbiol &amp; Mol Med, CMU, 1 Rue Michel Servet, CH-1211 Geneva, Switzerland.</t>
  </si>
  <si>
    <t xml:space="preserve">Laurent.Roux@medecine.unige.ch</t>
  </si>
  <si>
    <t xml:space="preserve">10.1016/j.jviromet.2005.03.012</t>
  </si>
  <si>
    <t xml:space="preserve">WOS:000231055200005</t>
  </si>
  <si>
    <t xml:space="preserve">Aguilar, HC; Henderson, BA; Zamora, JL; Johnston, GP</t>
  </si>
  <si>
    <t xml:space="preserve">Aguilar, Hector C.; Henderson, Bryce A.; Zamora, J. Lizbeth; Johnston, Gunner P.</t>
  </si>
  <si>
    <t xml:space="preserve">Paramyxovirus Glycoproteins and the Membrane Fusion Process</t>
  </si>
  <si>
    <t xml:space="preserve">CURRENT CLINICAL MICROBIOLOGY REPORTS</t>
  </si>
  <si>
    <t xml:space="preserve">Paramyxoviridae; Paramyxovirus; Attachment glycoprotein; Fusion glycoprotein; Viral receptors; Viral entry; F-triggering; Fusion cascade; Membrane fusion; Association model; Dissociation model; Fusion; Attachment; Fusion model; Syncytia; Pre-fusion; Post-fusion; Pre-hairpin intermediate; Hexamer of trimers; Fusion pore formation; Nipah; Hendra; Measles; RSV; NDV; Mumps; hMPV; Hemifusion</t>
  </si>
  <si>
    <t xml:space="preserve">The family Paramyxoviridae includes many viruses that significantly affect human and animal health. An essential step in the paramyxovirus life cycle is viral entry into host cells, mediated by virus-cell membrane fusion. Upon viral entry, infection results in expression of the paramyxoviral glycoproteins on the infected cell surface. This can lead to cell-cell fusion (syncytia formation), often linked to pathogenesis. Thus, membrane fusion is essential for both viral entry and cell-cell fusion and an attractive target for therapeutic development. While there are important differences between viral-cell and cell-cell membrane fusion, many aspects are conserved. The paramyxoviruses generally utilize two envelope glycoproteins to orchestrate membrane fusion. Here, we discuss the roles of these glycoproteins in distinct steps of the membrane fusion process. These findings can offer insights into evolutionary relationships among Paramyxoviridae genera and offer future targets for prophylactic and therapeutic development.</t>
  </si>
  <si>
    <t xml:space="preserve">[Aguilar, Hector C.; Henderson, Bryce A.; Zamora, J. Lizbeth] Washington State Univ, Paul G Allen Sch Global Anim Hlth, 240 Ott Rd, Pullman, WA 99164 USA; [Aguilar, Hector C.] Washington State Univ, Dept Vet Microbiol &amp; Pathol, Pullman, WA 99164 USA; [Aguilar, Hector C.; Henderson, Bryce A.; Johnston, Gunner P.] Washington State Univ, Sch Mol Biosci, Pullman, WA 99164 USA</t>
  </si>
  <si>
    <t xml:space="preserve">Washington State University; Washington State University; Washington State University</t>
  </si>
  <si>
    <t xml:space="preserve">Aguilar, HC (corresponding author), Washington State Univ, Paul G Allen Sch Global Anim Hlth, 240 Ott Rd, Pullman, WA 99164 USA.;Aguilar, HC (corresponding author), Washington State Univ, Dept Vet Microbiol &amp; Pathol, Pullman, WA 99164 USA.;Aguilar, HC (corresponding author), Washington State Univ, Sch Mol Biosci, Pullman, WA 99164 USA.</t>
  </si>
  <si>
    <t xml:space="preserve">haguilar@vetmed.wsu.edu</t>
  </si>
  <si>
    <t xml:space="preserve">Aguilar, Hector/AAD-6663-2022</t>
  </si>
  <si>
    <t xml:space="preserve">Zamora-Reyes, J. Lizbeth/0000-0003-3000-817X</t>
  </si>
  <si>
    <t xml:space="preserve">NIAID NIH HHS [R01 AI109022] Funding Source: Medline</t>
  </si>
  <si>
    <t xml:space="preserve">2196-5471</t>
  </si>
  <si>
    <t xml:space="preserve">CURR CLIN MICROBIOL</t>
  </si>
  <si>
    <t xml:space="preserve">Curr. Clin. Microbiol.</t>
  </si>
  <si>
    <t xml:space="preserve">10.1007/s40588-016-0040-8</t>
  </si>
  <si>
    <t xml:space="preserve">VH8EA</t>
  </si>
  <si>
    <t xml:space="preserve">WOS:000455393800004</t>
  </si>
  <si>
    <t xml:space="preserve">Pecchini, R; Berezin, EN; Souza, MC; Vaz-de-Lima, LD; Sato, N; Salgado, M; Ueda, M; Passos, SD; Rangel, R; Catebelota, A</t>
  </si>
  <si>
    <t xml:space="preserve">Pecchini, Rogerio; Berezin, Eitan Naaman; Souza, Maria Candida; Vaz-de-Lima, Lourdes de Andrade; Sato, Neuza; Salgado, Maristela; Ueda, Mirthes; Passos, Saulo Duarte; Rangel, Raphael; Catebelota, Ana</t>
  </si>
  <si>
    <t xml:space="preserve">Parainfluenza virus as a cause of acute respiratory infection in hospitalized children</t>
  </si>
  <si>
    <t xml:space="preserve">Parainfluenza; Paramyxoviridae infections; Respiratory tract infections; Respiratory virus</t>
  </si>
  <si>
    <t xml:space="preserve">SYNCYTIAL VIRUS; HUMAN METAPNEUMOVIRUS; PCR; INFLUENZA; ANTIBODY</t>
  </si>
  <si>
    <t xml:space="preserve">Background: Human parainfluenza viruses account for a significant proportion of lower respiratory tract infections in children. Objective: To assess the prevalence of Human parainfluenz a viruses as a cause of acute respiratory infection and to compare clinical data for this infection against those of the human respiratory syncytial virus. Methods: A prospective study in children younger than five years with acute respiratory infection was conducted. Detection of respiratory viruses in nasopharyngeal aspirate samples was performed using the indirect immunofluorescence reaction. Length of hospital stay, age, clinical history and physical exam, clinical diagnoses, and evolution (admission to Intensive Care Unit or general ward, discharge or death) were assessed. Past personal (premature birth and cardiopathy) as well as family (smoking and atopy) medical factors were also assessed. Results: A total of 585 patients were included with a median age of 7.9 months and median hospital stay of six days. No difference between the HRSV+ and HPIV+ groups was found in terms of age, gender or length of hospital stay. The HRSV+ group had more fever and cough. Need for admission to the Intensive Care Unit was similar for both groups but more deaths were recorded in the HPIV+ group. The occurrence of parainfluenza peaked during the autumn in the first two years of the study. Conclusion: Parainfluenz a was responsible for significant morbidity, proving to be the secondmost prevalent viral agent in this population after respiratory syncytial virus. No difference in clinical presentation was found between the two groups, but mortality was higher in the HPIV+ group. (C) 2015 Published by Elsevier Editora Ltda.</t>
  </si>
  <si>
    <t xml:space="preserve">[Pecchini, Rogerio; Berezin, Eitan Naaman] Santa Casa Sao Paulo, Med Shool, Sao Paulo, SP, Brazil; [Souza, Maria Candida; Vaz-de-Lima, Lourdes de Andrade; Sato, Neuza; Salgado, Maristela; Ueda, Mirthes] Adolfo Lutz Inst, Ctr Immunol, Sao Paulo, SP, Brazil; [Passos, Saulo Duarte] Fac Med Jundiai, Jundiai, SP, Brazil; [Rangel, Raphael; Catebelota, Ana] Irmandade Santa Casa Misericordia Sao Paulo, Sao Paulo, SP, Brazil</t>
  </si>
  <si>
    <t xml:space="preserve">Instituto Adolfo Lutz; Faculdade de Medicina de Jundiai</t>
  </si>
  <si>
    <t xml:space="preserve">Berezin, EN (corresponding author), Santa Casa Sao Paulo, Med Shool, Sao Paulo, SP, Brazil.</t>
  </si>
  <si>
    <t xml:space="preserve">eberezin2003@yahoo.com</t>
  </si>
  <si>
    <t xml:space="preserve">; Passos, Saulo/C-5166-2012</t>
  </si>
  <si>
    <t xml:space="preserve">/0000-0002-9608-5736; Passos, Saulo/0000-0002-0908-2677</t>
  </si>
  <si>
    <t xml:space="preserve">FAPESP - Fundacao de Amparo a Pesquisa do Estado de Sao Paulo</t>
  </si>
  <si>
    <t xml:space="preserve">FAPESP - Fundacao de Amparo a Pesquisa do Estado de Sao Paulo(Fundacao de Amparo a Pesquisa do Estado de Sao Paulo (FAPESP))</t>
  </si>
  <si>
    <t xml:space="preserve">This study was funded by FAPESP - Fundacao de Amparo a Pesquisa do Estado de Sao Paulo.</t>
  </si>
  <si>
    <t xml:space="preserve">10.1016/j.bjid.2015.03.002</t>
  </si>
  <si>
    <t xml:space="preserve">CN9XG</t>
  </si>
  <si>
    <t xml:space="preserve">WOS:000358803200003</t>
  </si>
  <si>
    <t xml:space="preserve">Sam, SS; Caliendo, AM; Ingersoll, J; Abdul-Ali, D; Hill, CE; Kraft, CS</t>
  </si>
  <si>
    <t xml:space="preserve">Sam, Soya S.; Caliendo, Angela M.; Ingersoll, Jessica; Abdul-Ali, Deborah; Hill, Charles E.; Kraft, Colleen S.</t>
  </si>
  <si>
    <t xml:space="preserve">Evaluation of Performance Characteristics of Panther Fusion Assays for Detection of Respiratory Viruses from Nasopharyngeal and Lower Respiratory Tract Specimens</t>
  </si>
  <si>
    <t xml:space="preserve">Panther Fusion; respiratory virus; performance evaluation; automation; nasopharyngeal swabs; lower respiratory tract specimens</t>
  </si>
  <si>
    <t xml:space="preserve">INFLUENZA; ADULTS; IMPACT</t>
  </si>
  <si>
    <t xml:space="preserve">Accurate and rapid diagnosis is needed for timely intervention and clinical management of acute respiratory infections. This study evaluated performance characteristics of the Panther Fusion assay for the detection of influenza A virus (Flu A), influenza B virus (Flu B), respiratory syncytial virus (RSV), parainfluenza viruses 1 to 3 (Para 1 to 3), human metapneumovirus (hMPV), rhinovirus (RV), and adenovirus (Adeno) targets in comparison to those of the eSensor and Lyra assays using 395 nasopharyngeal (NP) and 104 lower respiratory tract (LRT) specimens. Based on the consensus positive result established (positive result in 2 of the 3 assays), the NP specimens for the Fusion and eSensor assays had 100% positive percent agreement (PPA) for all the analytes and the Lyra assays had 100% PPA for Flu A and Adeno analytes. A 100% negative percent agreement (NPA) was observed for all the Lyra analytes, whereas those for the Fusion targets ranged from 98.4 to 100% and those for the eSensor ranged from 99.4 to 100% for all the analytes except RV. For the LRT specimens, Fusion had 100% PPA and 100% NPA for all the targets except hMPV. There was a 100% PPA for eSensor analytes; the NPA ranged from 98 to 100%, except for RV. For the Lyra assays, the PPA ranged between 50 and 100%, while the NPA was 100% for all the targets except Adeno. The Fusion assay performed similarly to the eSensor assay for majority of the targets tested and provides laboratories with a fully automated random-access system to test for a broad array of viral respiratory pathogens.</t>
  </si>
  <si>
    <t xml:space="preserve">[Sam, Soya S.] Miriam Hosp, Div Infect Dis, Providence, RI 02906 USA; [Caliendo, Angela M.] Brown Univ, Dept Med, Warren Alpert Sch Med, Providence, RI 02912 USA; [Ingersoll, Jessica; Abdul-Ali, Deborah; Hill, Charles E.; Kraft, Colleen S.] Emory Univ, Sch Med, Dept Pathol &amp; Lab Med, Atlanta, GA 30322 USA</t>
  </si>
  <si>
    <t xml:space="preserve">Lifespan Health Rhode Island; Miriam Hospital; Brown University; Emory University</t>
  </si>
  <si>
    <t xml:space="preserve">Sam, SS (corresponding author), Miriam Hosp, Div Infect Dis, Providence, RI 02906 USA.</t>
  </si>
  <si>
    <t xml:space="preserve">ssam2@lifespan.org</t>
  </si>
  <si>
    <t xml:space="preserve">Kraft, Colleen/M-2347-2013; Sam, Sing-Sin/ABH-1546-2021</t>
  </si>
  <si>
    <t xml:space="preserve">Hologic Inc. (San Diego, CA); Lifespan/Tufts/Brown Center for AIDS Research [P30AI042853]; Emory Center for AIDS Research [P30AI050409]</t>
  </si>
  <si>
    <t xml:space="preserve">Hologic Inc. (San Diego, CA); Lifespan/Tufts/Brown Center for AIDS Research; Emory Center for AIDS Research</t>
  </si>
  <si>
    <t xml:space="preserve">This work was supported by Hologic Inc. (San Diego, CA) and in part by the Lifespan/Tufts/Brown Center for AIDS Research (P30AI042853) and Emory Center for AIDS Research (P30AI050409).</t>
  </si>
  <si>
    <t xml:space="preserve">e00787-18</t>
  </si>
  <si>
    <t xml:space="preserve">10.1128/JCM.00787-18</t>
  </si>
  <si>
    <t xml:space="preserve">GO3GM</t>
  </si>
  <si>
    <t xml:space="preserve">WOS:000439877600031</t>
  </si>
  <si>
    <t xml:space="preserve">Boerger, AC; Binnicker, MJ</t>
  </si>
  <si>
    <t xml:space="preserve">Boerger, Aimee C.; Binnicker, Matthew J.</t>
  </si>
  <si>
    <t xml:space="preserve">Comparison of the Panther Fusion respiratory panels to routine methods for detection of viruses in upper and lower respiratory tract specimens</t>
  </si>
  <si>
    <t xml:space="preserve">Panther Fusion; Respiratory panel; Virus culture; Nasopharyngeal swabs; Lower respiratory tract specimens</t>
  </si>
  <si>
    <t xml:space="preserve">INFECTION; PCR</t>
  </si>
  <si>
    <t xml:space="preserve">Viral respiratory infections remain a significant cause of morbidity and mortality in pediatric, elderly, and immunocompromised patients. The Panther Fusion respiratory panels consist of 3 separate multiplex assays that test for 1) influenza A, influenza B, and RSV; 2) parainfluenza virus types 1-4; or 3) adenovirus, human metapneumovirus, and rhinovirus. This study evaluated the performance of the Fusion assays for both upper and lower respiratory tract specimens in comparison to routine methods, including viral culture and targeted real-time polymerise chain reaction assays. Following discordant resolution, the Fusion assays demonstrated high overall correlation (98.6% [648/657]) with routine methods. In addition, prospective testing of respiratory specimens (n = 146) submitted for viral culture showed a similar to 10-fold increase in detection by the Fusion panels compared to viral culture (28.1% versus 2.7% positivity). The Fusion respiratory panels offer a flexible, more targeted approach to respiratory virus testing with a turnaround time comparable to other molecular assays. (C) 2020 Elsevier Inc. All rights reserved.</t>
  </si>
  <si>
    <t xml:space="preserve">[Boerger, Aimee C.; Binnicker, Matthew J.] Mayo Clin, Div Clin Microbiol, Dept Lab Med &amp; Pathol, Rochester, MN 55905 USA</t>
  </si>
  <si>
    <t xml:space="preserve">Mayo Clinic</t>
  </si>
  <si>
    <t xml:space="preserve">Binnicker, MJ (corresponding author), Mayo Clin, Div Clin Microbiol, Dept Lab Med &amp; Pathol, Rochester, MN 55905 USA.</t>
  </si>
  <si>
    <t xml:space="preserve">binnicker.matthew@mayo.edu</t>
  </si>
  <si>
    <t xml:space="preserve">Boerger, Aimee/0000-0001-5846-5140</t>
  </si>
  <si>
    <t xml:space="preserve">10.1016/j.diagmicrobio.2020.115014</t>
  </si>
  <si>
    <t xml:space="preserve">LO4PJ</t>
  </si>
  <si>
    <t xml:space="preserve">WOS:000533611400004</t>
  </si>
  <si>
    <t xml:space="preserve">Voermans, JJC; Mulders, DGJC; Pas, SD; Koopmans, MPG; van der Eijk, AA; Molenkamp, R</t>
  </si>
  <si>
    <t xml:space="preserve">Voermans, Jolanda J. C.; Mulders, Daphne G. J. C.; Pas, Suzan D.; Koopmans, Marion P. G.; van der Eijk, Annemiek A.; Molenkamp, Richard</t>
  </si>
  <si>
    <t xml:space="preserve">Performance evaluation of the Panther Fusion® respiratory tract panel</t>
  </si>
  <si>
    <t xml:space="preserve">Panther fusion (R); Respiratory viruses; Real-time PCR; Rapid diagnostics; Sample-to-answer</t>
  </si>
  <si>
    <t xml:space="preserve">INFLUENZA-A; SYNCYTIAL-VIRUS; PCR</t>
  </si>
  <si>
    <t xml:space="preserve">Background: Respiratory tract infections are among the most common infections during winter season. Rapid diagnostics is required for clinical decision making regarding isolation of patients and appropriate therapy. Objectives: The aim of this study was to evaluate the analytical and clinical performance characteristics of the Panther Fusion (R) respiratory panel using published laboratory-developed real-time PCR assays (LDT). Study design: Analytical sensitivity of Panther Fusion (R) Flu A/B/RSV was assessed by testing dilutions of cell culture isolates. Clinical performance assessment included the complete Panther Fusion (R) respiratory panel (Flu-A/B/RSV, PIV 1-4 and AdV/hMPV/RV) and consisted of a retrospective and a prospective study-arm. The retrospective evaluation included 201, stored (-80 degrees C) samples collected between February 2006 and January 2017. Prospective evaluation was performed on 1045 unselected pretreated respiratory tract samples from patients presented to our hospital between November 2017 and May 2018. Results: Analytical sensitivity was generally slightly lower for the Panther Fusion (R) assays. Clinical specificity and sensitivity was between 96 %-100 % and 71.9 %-100 %, respectively. Discrepant results were found in 146 samples of which 88 samples tested LDT positive / Panther Fusion (R) negative and 58 samples were LDT negative / Panther Fusion (R) positive. A total of ten discrepant samples with Ct-values &lt; 30 were sequenced to confirm the presence of 7 RV-C not-detected by LDT and 1 RV-A and 2 ADV-2 not detected by Panther Fusion (R). Conclusions: The Panther Fusion (R) provides a random-access system with continuous loading and much shorter sample-to-answer times compared to LDT, albeit with a slightly less clinical sensitivity compared to the LDT.</t>
  </si>
  <si>
    <t xml:space="preserve">[Voermans, Jolanda J. C.; Mulders, Daphne G. J. C.; Pas, Suzan D.; Koopmans, Marion P. G.; van der Eijk, Annemiek A.; Molenkamp, Richard] Erasmus MC, Dept Virosci, Rotterdam, Netherlands; [Pas, Suzan D.] Microvida, Roosendaal, Netherlands</t>
  </si>
  <si>
    <t xml:space="preserve">Voermans, JJC (corresponding author), POB 2040, NL-3000 CA Rotterdam, Netherlands.</t>
  </si>
  <si>
    <t xml:space="preserve">j.voermans@erasmusmc.nl</t>
  </si>
  <si>
    <t xml:space="preserve">Koopmans, Marion/Y-9170-2019; Pas, Suzan/M-9863-2013</t>
  </si>
  <si>
    <t xml:space="preserve">Mulders, Daphne/0000-0002-0904-0418; Molenkamp, Richard/0000-0002-9004-3850; Voermans, Jolanda/0000-0002-5607-7395</t>
  </si>
  <si>
    <t xml:space="preserve">Hologic Deutschland GmbH</t>
  </si>
  <si>
    <t xml:space="preserve">This study was supported by a research grant from Hologic Deutschland GmbH.</t>
  </si>
  <si>
    <t xml:space="preserve">10.1016/j.jcv.2019.104232</t>
  </si>
  <si>
    <t xml:space="preserve">KD5TT</t>
  </si>
  <si>
    <t xml:space="preserve">WOS:000507929100004</t>
  </si>
  <si>
    <t xml:space="preserve">Canela, LNP; de Magalhaes-Barbosa, MC; Raymundo, CE; Carney, S; Siqueira, MM; Prata-Barbosa, A; da Cunha, AJLA</t>
  </si>
  <si>
    <t xml:space="preserve">Pinto Canela, Luciana Nascimento; de Magalhaes-Barbosa, Maria Clara; Raymundo, Carlos Eduardo; Carney, Sharon; Siqueira, Marilda Mendonca; Prata-Barbosa, Arnaldo; Ledo Alves da Cunha, Antonio Jose</t>
  </si>
  <si>
    <t xml:space="preserve">Viral detection profile in children with severe acute respiratory infection</t>
  </si>
  <si>
    <t xml:space="preserve">Pandemic H1N1 Influenza; Co-detection; Pediatric intensive care unit; Severe acute respiratory infection (SARI); Child</t>
  </si>
  <si>
    <t xml:space="preserve">PANDEMIC INFLUENZA-A; H1N1 INFLUENZA; MECHANICAL VENTILATION; HOSPITALIZED-PATIENTS; SYNCYTIAL VIRUS; UNITED-STATES; RISK-FACTORS; COINFECTION; INFANTS</t>
  </si>
  <si>
    <t xml:space="preserve">Objectives: The role of viral co-detection in children with severe acute respiratory infection is not clear. We described the viral detection profile and its association with clinical characteristics in children admitted to the Pediatric Intensive Care Unit (PICU) during the 2009 influenza A(H1N1) pandemic. Method: Longitudinal observational retrospective study, with patients aged 0-18 years, admitted to 11 PICUs in Rio de Janeiro, with suspected H1N1 infection, from June to November, 2009. The results of respiratory samples which were sent to the Laboratory of Fiocruz/RJ and clinical data extracted from specific forms were analyzed. Results: Of 71 samples, 38% tested positive for H1N1 virus. Of the 63 samples tested for other viruses, 58 were positive: influenza H1N1 (43.1% of positive samples), rhinovirus/enterovirus (41.4%), respiratory syncytial virus (12.1%), human metapneumovirus (12.1%), adenovirus (6.9%), and bocavirus (3.5%). Viral codetection occured in 22.4% of the cases. H1N1-positive patients were of a higher median age, had higher frequency of fever, cough and tachypnea, and decreased leukometry when compared to H1N1-negative patients. There was no difference in relation to severity outcomes (number of organic dysfunctions, use of mechanical ventilation or amines, hospital/PICU length of stay or death). Comparing the groups with mono-detection and co-dection of any virus, no difference was found regarding the association with any clinical variable. Conclusions: Other viruses can be implicated in SARI in children. The role of viral codetection has not yet been completely elucidated. (C) 2018 Sociedade Brasileira de Infectologia. Published by Elsevier Espana, S.L.U.</t>
  </si>
  <si>
    <t xml:space="preserve">[Pinto Canela, Luciana Nascimento] Univ Fed Rio de Janeiro, Fac Med, Rio De Janeiro, RJ, Brazil; [de Magalhaes-Barbosa, Maria Clara; Raymundo, Carlos Eduardo; Prata-Barbosa, Arnaldo] Inst DOr Pesquisa &amp; Ensino IDOR, Rio De Janeiro, RJ, Brazil; [Carney, Sharon; Siqueira, Marilda Mendonca] Fundacao Oswaldo Cruz Fiocruz, Lab Virus Resp &amp; Sarampo, Rio De Janeiro, RJ, Brazil; [Prata-Barbosa, Arnaldo; Ledo Alves da Cunha, Antonio Jose] Univ Fed Rio de Janeiro UFRJ, Dept Pediat, Fac Med, Rio De Janeiro, RJ, Brazil</t>
  </si>
  <si>
    <t xml:space="preserve">Universidade Federal do Rio de Janeiro; IDOR - Instituto D'Or de Ensino e Pesquisa; Fundacao Oswaldo Cruz; Universidade Federal do Rio de Janeiro</t>
  </si>
  <si>
    <t xml:space="preserve">Canela, LNP (corresponding author), Univ Fed Rio de Janeiro, Fac Med, Rio De Janeiro, RJ, Brazil.</t>
  </si>
  <si>
    <t xml:space="preserve">lucanela2010@hotmail.com</t>
  </si>
  <si>
    <t xml:space="preserve">da Cunha, Antonio/O-5914-2019; de Magalhães Barbosa, Maria Clara/GRJ-5641-2022; de Magalhaes-Barbosa, Maria Clara/AAF-2979-2021; Prata-Barbosa, Arnaldo/B-2212-2009</t>
  </si>
  <si>
    <t xml:space="preserve">de Magalhaes-Barbosa, Maria Clara/0000-0003-0959-0775; Prata-Barbosa, Arnaldo/0000-0002-4726-9782</t>
  </si>
  <si>
    <t xml:space="preserve">Fundacao Carlos Chagas Filho de Amparo a Pesquisa do Estado do Rio de Janeiro (FAPERJ) [E-26/110.753/2010]</t>
  </si>
  <si>
    <t xml:space="preserve">Fundacao Carlos Chagas Filho de Amparo a Pesquisa do Estado do Rio de Janeiro (FAPERJ)(Fundacao Carlos Chagas Filho de Amparo a Pesquisa do Estado do Rio De Janeiro (FAPERJ))</t>
  </si>
  <si>
    <t xml:space="preserve">Fundacao Carlos Chagas Filho de Amparo a Pesquisa do Estado do Rio de Janeiro (FAPERJ), Grant Number E-26/110.753/2010.</t>
  </si>
  <si>
    <t xml:space="preserve">10.1016/j.bjid.2018.09.001</t>
  </si>
  <si>
    <t xml:space="preserve">HH6QB</t>
  </si>
  <si>
    <t xml:space="preserve">WOS:000455855000007</t>
  </si>
  <si>
    <t xml:space="preserve">Chang, ML; Jordan-Villegas, A; Evans, A; Bhore, R; Brock, E; Mejias, A; Siegel, JD</t>
  </si>
  <si>
    <t xml:space="preserve">Chang, Michael Lee; Jordan-Villegas, Alejandro; Evans, Amanda; Bhore, Rafia; Brock, Evangeline; Mejias, Asuncion; Siegel, Jane D.</t>
  </si>
  <si>
    <t xml:space="preserve">Respiratory Viruses Identified in an Urban Children's Hospital Emergency Department During the 2009 Influenza A(H1N1) Pandemic</t>
  </si>
  <si>
    <t xml:space="preserve">PEDIATRIC EMERGENCY CARE</t>
  </si>
  <si>
    <t xml:space="preserve">pandemic 2009 H1N1; rhinovirus; molecular testing; viral interference</t>
  </si>
  <si>
    <t xml:space="preserve">A H1N1 VIRUS; SEASONAL INFLUENZA; INFECTION; OUTBREAK; PATHOGENS; DIAGNOSIS; SCHOOL; TESTS; PCR</t>
  </si>
  <si>
    <t xml:space="preserve">Objectives: Two surges in influenza-like illness (ILI) visits to Children's Medical Center Emergency Departments, Dallas and Legacy, occurred in late spring (wave 1) and late summer 2009 (wave 2). This study describes respiratory viruses identified during the first weeks of waves 1 and 2 of the 2009 influenza A(H1N1) pandemic (pH1N1) and compares patients infected with pH1N1 with those infected with other respiratory viruses during wave 1. Methods: From April 27 to May 7 and August 23 to September 7, 2009, nasopharyngeal swab specimens from all patients with temperature 38.2 degrees C or higher plus 2 or more symptoms of ILI were tested by rapid antigen, direct fluorescent antibody, or multiplex polymerase chain reaction assays. Patients with pH1N1 during wave 1 were classified as cases and 3 age- and sex-matched controls were randomly selected from patients with 1 respiratory virus other than pH1N1. Odds ratios (ORs) and associated 95% confidence intervals (95% CIs) of characteristics associated with patients with pH1N1 were estimated using conditional logistic regression models. Results: During wave 1, single viruses identified in 1023 symptomatic children were confirmed pH1N1 (55, 5.4%), rhinovirus (505, 49.4%), parainfluenza 3 (199, 19.5%), and human metapneumovirus (169, 16.5%). By multivariable analysis, duration of fever (OR, 1.49; 95% CI, 1.02-2.20) andmyalgia at presentation (OR, 3.09; 95% CI, 1.09-8.76) were independent predictors associated with pH1N1. During wave 2, 114 (59.7%) of single viruses were pH1N1. Conclusions: During the epidemic of ILI in Spring 2009, other respiratory viruses were identified more frequently than pH1N1 influenza in children with ILIs. Clinical presentation was similar for all respiratory viruses. Molecular diagnostic testing can define the prevalent viruses during community outbreaks and provide guidance to physicians making treatment decisions in emergency departments.</t>
  </si>
  <si>
    <t xml:space="preserve">[Siegel, Jane D.] Univ Texas SW Med Ctr Dallas, Div Pediat Infect Dis, Dept Pediat, Dallas, TX 75390 USA; [Chang, Michael Lee] Childrens Hosp St Francis, Warren Clin, Tulsa, OK USA; [Mejias, Asuncion] Nationwide Childrens Hosp, Res Inst, Div Infect Dis, Columbus, OH USA; [Brock, Evangeline] Childrens Med Ctr, Dept Pathol, Dallas, TX 75235 USA; [Jordan-Villegas, Alejandro; Evans, Amanda; Siegel, Jane D.] Childrens Med Ctr, Div Pediat Infect Dis, Dallas, TX 75235 USA; [Bhore, Rafia] Univ Texas SW Med Ctr Dallas, Div Biostat, Dept Clin Sci, Dallas, TX 75390 USA</t>
  </si>
  <si>
    <t xml:space="preserve">University of Texas System; University of Texas Southwestern Medical Center Dallas; University System of Ohio; Ohio State University; Nationwide Childrens Hospital; Research Institute at Nationwide Children's Hospital; University of Texas System; University of Texas Southwestern Medical Center Dallas</t>
  </si>
  <si>
    <t xml:space="preserve">Siegel, JD (corresponding author), Univ Texas SW Med Ctr Dallas, Div Pediat Infect Dis, Dept Pediat, 5323 Harry Hines Blvd, Dallas, TX 75390 USA.</t>
  </si>
  <si>
    <t xml:space="preserve">Jane.Siegel@UTSouthwestern.edu</t>
  </si>
  <si>
    <t xml:space="preserve">Chang, Michael/ABE-3124-2021; Evans, Amanda/AAM-5568-2021; Mejias, Asuncion/AAC-5998-2019</t>
  </si>
  <si>
    <t xml:space="preserve">Chang, Michael/0000-0002-5153-3697; MEJIAS, ASUNCION/0000-0002-5983-8006</t>
  </si>
  <si>
    <t xml:space="preserve">0749-5161</t>
  </si>
  <si>
    <t xml:space="preserve">1535-1815</t>
  </si>
  <si>
    <t xml:space="preserve">PEDIATR EMERG CARE</t>
  </si>
  <si>
    <t xml:space="preserve">Pediatr. Emerg. Care</t>
  </si>
  <si>
    <t xml:space="preserve">10.1097/PEC.0b013e31826ca980</t>
  </si>
  <si>
    <t xml:space="preserve">Emergency Medicine; Pediatrics</t>
  </si>
  <si>
    <t xml:space="preserve">018JR</t>
  </si>
  <si>
    <t xml:space="preserve">WOS:000309656900008</t>
  </si>
  <si>
    <t xml:space="preserve">Çelebi, Ö; Çelebi, D</t>
  </si>
  <si>
    <t xml:space="preserve">Celebi, Ozgur; Celebi, Demet</t>
  </si>
  <si>
    <t xml:space="preserve">Viral Respiratory Tract Pathogens During the COVID-19 Pandemic</t>
  </si>
  <si>
    <t xml:space="preserve">EURASIAN JOURNAL OF MEDICINE</t>
  </si>
  <si>
    <t xml:space="preserve">Pandemia; Covid 19; Viral Respiratory Tract Pathogens</t>
  </si>
  <si>
    <t xml:space="preserve">CLINICAL-PRACTICE GUIDELINE; INFECTIONS; MANAGEMENT; CHILDREN; RISK; CORONAVIRUS; DIAGNOSIS; VIRUSES</t>
  </si>
  <si>
    <t xml:space="preserve">Objective: This study aimed to report viral respiratory pathogens during the coronavirus disease 2019 (COVID-19) pandemic. Materials and Methods: Other viral pathogens were identified. COVID-19 immunoglobulin M and immunoglobulin G were detected. Results: Of the 56 samples collected from women, 2 (3.5%) were positive for severe acute respiratory syndrome coronavirus 2 (SARS-CoV-2), whereas 8 (10%) of the 80 samples from men were positive for SARS-CoV-2. The number of respiratory syncytial virus-A-positive cases was 6 (10.7%) in women and 14 (17.5%) in men. Two (3.5%) of the women were positive for parainfluenza-3, and 6 of the men were positive for influenza-B. The number of human metapneumovirus (HMPV)-positive women and men was 6 (10.7%) and 6 (7.5%), respectively. Rhinovirus caused 14.2% and 10% of the cases in men and women, respectively. With a ratio of 10.7% in women and 7.5% in men; SARS-CoV-2, with a ratio of 10% in men and 3.5% in women; influenza-B, with a ratio of 7.5% in men; and parainfluenza-3 and 4, with a ratio of 3.5% in women. SARS-CoV-2 had a mean incidence rate of 7% in men and women. The antibody screening results reveal that antibody formation did not occur in 3 women among the 10 patients who were diagnosed with COVID-19, and antibody formation occurred in 2 of 7 men. Antibody formation occurred in 5 women (16.6%) and 7 men (20.5%) among the 58 patients who were positive for other respiratory tract pathogens. However, 23 (29.5%) of the blood samples collected from 78 individuals who were negative for the COVID-19 agent and other respiratory tract viral pathogens were positive for the COVID-19 antibody. Conclusion: Because the climate is colder than normal in areas settled at higher altitudes, more than one pathogens act together. In addition, respiratory infections are seen in all seasons. This causes the diseases to be fewer and milder than in other regions.</t>
  </si>
  <si>
    <t xml:space="preserve">[Celebi, Ozgur] Ataturk Univ, Dept Med Microbiol, Fac Med, Erzurum, Turkey; [Celebi, Demet] Ataturk Univ, Dept Med Microbiol, Fac Vet Med, Erzurum, Turkey</t>
  </si>
  <si>
    <t xml:space="preserve">Ataturk University; Ataturk University</t>
  </si>
  <si>
    <t xml:space="preserve">Çelebi, Ö (corresponding author), Ataturk Univ, Dept Med Microbiol, Fac Med, Erzurum, Turkey.</t>
  </si>
  <si>
    <t xml:space="preserve">celebiidil@atauni.edu.tr</t>
  </si>
  <si>
    <t xml:space="preserve">Çelebi, Özgür/HMV-9933-2023; celebi, DEMET/HPF-0418-2023</t>
  </si>
  <si>
    <t xml:space="preserve">CELEBI, Ozgur/0000-0003-4578-9474</t>
  </si>
  <si>
    <t xml:space="preserve">ATATURK UNIV</t>
  </si>
  <si>
    <t xml:space="preserve">ERZURUM</t>
  </si>
  <si>
    <t xml:space="preserve">ZIRAAT FAK DEKANLIG, ERZURUM, 25240, Turkiye</t>
  </si>
  <si>
    <t xml:space="preserve">1308-8742</t>
  </si>
  <si>
    <t xml:space="preserve">EURASIAN J MED</t>
  </si>
  <si>
    <t xml:space="preserve">Eurasian J. Med.</t>
  </si>
  <si>
    <t xml:space="preserve">10.5152/eurasianjmed.2021.20459</t>
  </si>
  <si>
    <t xml:space="preserve">SQ4EI</t>
  </si>
  <si>
    <t xml:space="preserve">WOS:000660311100010</t>
  </si>
  <si>
    <t xml:space="preserve">Feldman, K; Gornick, W; Huff, B; Singh, J</t>
  </si>
  <si>
    <t xml:space="preserve">Feldman, Kelly; Gornick, Wendi; Huff, Beth; Singh, Jasjit</t>
  </si>
  <si>
    <t xml:space="preserve">Healthcare-associated viral respiratory infections in paediatric intensive care unit settings: More than just a sneeze</t>
  </si>
  <si>
    <t xml:space="preserve">INFECTION PREVENTION IN PRACTICE</t>
  </si>
  <si>
    <t xml:space="preserve">Paediatrics; Respiratory viruses; Patient safety</t>
  </si>
  <si>
    <t xml:space="preserve">BLOOD-STREAM INFECTION</t>
  </si>
  <si>
    <t xml:space="preserve">Healthcare-associated infections (HAIs) affect patient health. Patients with Paediatric Intensive Care Unit (PICU) acquired viral respiratory infections had longer use of respiratory support. We found it's uncommon in ICUs to have high risk HAIs. RSV, parainfluenza, and hMPV are the most common, and 1/3 of patients required escalation in respiratory support and/or escalation in antibiotics. All patients had underlying comorbidities. In our series there were two deaths within 2 weeks of infection. (C) 2022 The Authors. Published by Elsevier Ltd on behalf of The Healthcare Infection Society. This is an open access article under the CC BY-NC-ND license (http://creativecommons.org/licenses/by-nc-nd/4.0/).</t>
  </si>
  <si>
    <t xml:space="preserve">[Feldman, Kelly; Gornick, Wendi; Huff, Beth; Singh, Jasjit] Childrens Hosp Orange Cty CHOC, Orange, CA USA; [Feldman, Kelly] Univ Calif Irvine, Childrens Hosp Orange Cty UCI CHOC Pediat Residenc, Orange, CA USA; [Feldman, Kelly] 505 S Main St,Suite 525, Orange, CA 92868 USA</t>
  </si>
  <si>
    <t xml:space="preserve">University of California System; University of California Irvine</t>
  </si>
  <si>
    <t xml:space="preserve">Feldman, K (corresponding author), 505 S Main St,Suite 525, Orange, CA 92868 USA.</t>
  </si>
  <si>
    <t xml:space="preserve">Kelly.feldman@uci.edu</t>
  </si>
  <si>
    <t xml:space="preserve">2590-0889</t>
  </si>
  <si>
    <t xml:space="preserve">INFECT PREV PRACT</t>
  </si>
  <si>
    <t xml:space="preserve">Infect. Prev. Pract.</t>
  </si>
  <si>
    <t xml:space="preserve">10.1016/j.infpip.2022.100233</t>
  </si>
  <si>
    <t xml:space="preserve">L2VT3</t>
  </si>
  <si>
    <t xml:space="preserve">WOS:001021894200015</t>
  </si>
  <si>
    <t xml:space="preserve">Ortiz-Gonzalez, L; Delgado-Ojeda, J; Guisado-Rasco, MC; Santamaria-Orleans, A; Coronel-Rodríguez, C</t>
  </si>
  <si>
    <t xml:space="preserve">Ortiz-Gonzalez, Luis; Delgado-Ojeda, Jesus; Guisado-Rasco, M. Cinta; Santamaria-Orleans, Alicia; Coronel-Rodriguez, Cristobal</t>
  </si>
  <si>
    <t xml:space="preserve">Differences between parents' and paediatricians' perceptions of mild respiratory infections in childhood: contrast study</t>
  </si>
  <si>
    <t xml:space="preserve">paediatric respiratory infections; family conciliation; paediatricians communication; respiratory infections prevention; paediatrics professional burden</t>
  </si>
  <si>
    <t xml:space="preserve">SELF-MEDICATION; HUMAN METAPNEUMOVIRUS; CHILDREN; SIBLINGS; ILLNESS; ASTHMA; IMPACT; SLEEP</t>
  </si>
  <si>
    <t xml:space="preserve">Introduction Mild respiratory infections are a common reason for consultation in paediatrics, both in the emergency department and in primary care clinics. These conditions, mostly viral and self-limiting, have a significant impact on the healthcare system, school and work absenteeism, and family routines. Despite being common and banal illnesses from a medical perspective, they involve a significant concern in families. The main objective of the contrast study was to compare the perceptions of parents and paediatricians regarding mild respiratory infections in childhood and their impact on family conciliation.Materials and methods Two online, cross-sectional surveys were conducted among Spanish paediatricians and parents with children aged 6 months to 12 years, involving 504 paediatricians and 1,447 families, with questions on attitudes towards visits to the paediatric consultation, care burden of minor pathologies, work, and family conciliation, and treatment and prevention of these illnesses.Results Results showed significant differences in paediatricians' and parents' perceptions in many aspects. According to 34.5% of paediatricians and 27% of parents, families regularly go to the paediatrician without a scheduled visit. Only 4% of parents report having self-medicated their child, while paediatricians raise this percentage significantly to 48%. Regarding the question: it is normal for a child to have an average of 4 colds a year, only 25.5% of the surveyed families strongly agree unlike to 70.2% of paediatricians. 72.8% of paediatricians strongly agree with: in my opinion, it is good for children to get sick to improve their immune system reduced to 45.9% of parents. Consultations for minor pathologies represent a high workload for 60.9% of paediatricians, while this opinion is agreed by only 18.9% of the parents.Conclusion Mild respiratory infections in childhood are perceived differently by paediatricians and parents. While paediatricians perceive them as a common and manageable phenomenon, parents tend to show higher concern and demand for medical attention. This study underlines the need to improve communication between paediatricians and parents to align perceptions, optimise the use of the health system resources, and improve the efficiency in the management of these common paediatric illnesses.</t>
  </si>
  <si>
    <t xml:space="preserve">[Ortiz-Gonzalez, Luis] Univ Extremadura, Med &amp; Hlth Sci Fac, Dept Biomed Sci, Badajoz, Spain; [Delgado-Ojeda, Jesus; Santamaria-Orleans, Alicia] Med Dept, Labs Ordesa SL, Barcelona, Spain; [Guisado-Rasco, M. Cinta; Coronel-Rodriguez, Cristobal] Amante Laffon Hlth Care Ctr, Paediat Serv, Seville, Spain</t>
  </si>
  <si>
    <t xml:space="preserve">Universidad de Extremadura</t>
  </si>
  <si>
    <t xml:space="preserve">Santamaria-Orleans, A (corresponding author), Med Dept, Labs Ordesa SL, Barcelona, Spain.</t>
  </si>
  <si>
    <t xml:space="preserve">orleans1970@gmail.com</t>
  </si>
  <si>
    <t xml:space="preserve">Santamaria-Orleans, Alicia/HDO-3451-2022; CORONEL-RODRIGUEZ, CRISTOBAL/KWU-5150-2024; ORTIZ GONZALEZ, LUIS/AAT-9362-2021</t>
  </si>
  <si>
    <t xml:space="preserve">CORONEL-RODRIGUEZ, CRISTOBAL/0000-0001-5598-0833; Santamaria-Orleans, Alicia/0000-0003-0689-2559; ORTIZ GONZALEZ, LUIS/0000-0002-9182-8262</t>
  </si>
  <si>
    <t xml:space="preserve">Laboratorios Ordesa S.L</t>
  </si>
  <si>
    <t xml:space="preserve">The author(s) declare financial support was received for the research, authorship, and/or publication of this article. This research was funded by the Laboratorios Ordesa S.L. The funder was not involved in the study design, collection, analysis, interpretation of data, the writing of this article, or the decision to submit it for publication.</t>
  </si>
  <si>
    <t xml:space="preserve">MAY 9</t>
  </si>
  <si>
    <t xml:space="preserve">10.3389/fpubh.2024.1377803</t>
  </si>
  <si>
    <t xml:space="preserve">RQ7O2</t>
  </si>
  <si>
    <t xml:space="preserve">WOS:001229193800001</t>
  </si>
  <si>
    <t xml:space="preserve">Knudsen, PK; Lind, A; Klundby, I; Dudman, S</t>
  </si>
  <si>
    <t xml:space="preserve">Knudsen, Per Kristian; Lind, Andreas; Klundby, Ingvild; Dudman, Susanne</t>
  </si>
  <si>
    <t xml:space="preserve">The incidence of infectious diseases and viruses other than SARS-CoV-2 amongst hospitalised children in Oslo, Norway during the Covid-19 pandemic 2020-2021</t>
  </si>
  <si>
    <t xml:space="preserve">JOURNAL OF CLINICAL VIROLOGY PLUS</t>
  </si>
  <si>
    <t xml:space="preserve">Paediatric infectious diseases; Epidemiology; Covid-19; Respiratory syncytial virus (RSV); influenza virus; Human metapneumovirus (HMPV); Rhinovirus, adenovirus; Enterovirus; Norovirus; Rotavirus</t>
  </si>
  <si>
    <t xml:space="preserve">Background: Measures to reduce spread of Severe Acute Respiratory Syndrome Coronavirus 2 (SARS-CoV-2) during the Covid-19 pandemic 2020-2021 may impact other microbiological agents. We aimed to investigate the incidence of infectious diseases and the incidence of viruses other than SARS-CoV-2 amongst children at The Department of Paediatric and Adolescent Medicine, Oslo University Hospital, Norway during 2020-2021 compared to previous years. Methods: Data from April 1st 2020 - March 31st 2021 were compared to data from corresponding 12-months periods 2017-2020. ICD-10 infectious disease diagnoses were collected from the Hospital Diagnosis and Procedure Registry and results of virus PCR analyses of different specimens (mainly nasopharyngeal (NF) and faecal samples) were collected from the Laboratory System at the Department of Microbiology. Results: The number of hospital contacts with acute bronchiolitis, viral pneumonia, gastroenteritis and viral central nervous system infections were reduced by 90% (p&lt;0.0001), 89% (p&lt;0.0001), 74% (p&lt;0.0001) and 78% (p&lt;0.01), respectively. Respiratory syncytial virus (RSV), influenza virus A and B and Human metapneumovirus (HMPV) were almost completely absent during the pandemic period. The proportions of rhinovirus positive NF samples were 31.7% vs. 34.9% (p&lt;0.05), but not significantly different for adenovirus. The proportions of positive faecal samples were 1% vs. 10% for adenovirus (p&lt;0.00001) and 3.3% vs. 12% for norovirus (p&lt;0.00001), but not significantly different for rotavirus. The proportions of enterovirus positive samples were 3.5% vs. 21.6% (p&lt;0.00001). Conclusion: The incidence of several paediatric infectious diseases mainly of viral aetiology declined significantly during the Covid-19 pandemic. Some common respiratory viruses were almost completely absent.</t>
  </si>
  <si>
    <t xml:space="preserve">[Knudsen, Per Kristian] Oslo Univ Hosp, Dept Paediat &amp; Adolescent Med, Oslo, Norway; [Lind, Andreas; Klundby, Ingvild; Dudman, Susanne] Oslo Univ Hosp, Dept Microbiol, Oslo, Norway; [Dudman, Susanne] Univ Oslo, Inst Clin Med, Oslo, Norway</t>
  </si>
  <si>
    <t xml:space="preserve">University of Oslo; University of Oslo; University of Oslo</t>
  </si>
  <si>
    <t xml:space="preserve">Knudsen, PK (corresponding author), Oslo Univ Hosp, Dept Paediat &amp; Adolescent Med, Oslo, Norway.</t>
  </si>
  <si>
    <t xml:space="preserve">uxpekn@ous-hf.no</t>
  </si>
  <si>
    <t xml:space="preserve">Lind, Andreas/AAN-3730-2021; Dudman, Susanne Gjeruldsen/A-8411-2013</t>
  </si>
  <si>
    <t xml:space="preserve">2667-0380</t>
  </si>
  <si>
    <t xml:space="preserve">J CLIN VIROL PLUS</t>
  </si>
  <si>
    <t xml:space="preserve">J. Clin. Virol. Plus</t>
  </si>
  <si>
    <t xml:space="preserve">10.1016/j.jcvp.2021.100060</t>
  </si>
  <si>
    <t xml:space="preserve">Infectious Diseases; Virology</t>
  </si>
  <si>
    <t xml:space="preserve">0Z7AW</t>
  </si>
  <si>
    <t xml:space="preserve">WOS:000791227600003</t>
  </si>
  <si>
    <t xml:space="preserve">Leister, N; Commotio, S; Menzel, C; Yücetepe, S; Ulrichs, C; Wendt, S; Dedden, C; Trieschmann, U; Hannes, T</t>
  </si>
  <si>
    <t xml:space="preserve">Leister, Nicolas; Commotio, Simone; Menzel, Christoph; Yuecetepe, Sirin; Ulrichs, Christoph; Wendt, Stefanie; Dedden, Christoph; Trieschmann, Uwe; Hannes, Tobias</t>
  </si>
  <si>
    <t xml:space="preserve">Human metapneumovirus infection in the cardiac paediatric ICU before and during COVID-19 pandemic: a retrospective cohort analysis</t>
  </si>
  <si>
    <t xml:space="preserve">CARDIOLOGY IN THE YOUNG</t>
  </si>
  <si>
    <t xml:space="preserve">Paediatric cardiac intensive care; human metapneumovirus; COVID-19 pandemic; CHDs; Atelectasis; individual hygiene standards</t>
  </si>
  <si>
    <t xml:space="preserve">OUTCOMES; CHILDREN; SURGERY; DISEASE; IMPACT; RISK</t>
  </si>
  <si>
    <t xml:space="preserve">Introduction: This study investigates the hygiene standards in the context of the COVID-19 pandemic and their impact on the perioperative incidence of human metapneumovirus as well as the typical symptom burden of human metapneumovirus-infected children with CHDs. Materials and methods: Between March 2018 and July 2021, all patients of a cardiac paediatric ICU of a German university hospital were included in this retrospective cohort analysis. Results: A total of 589 patients with CHD were included in the analysis. Three hundred and fifty-two patients (148 females and 204 males) were admitted before the introduction of social distancing and face masks between March 2018 and 15 April 2020 (cohort A). Two hundred and thirtyseven patients (118 females and 119 males) were admitted after the introduction between April 16 and July 2021 (cohort B). In cohort A, human metapneumovirus was detected in 11 out of 352 patients (3.1%) during their stay at cardiac paediatric ICU. In cohort B, one patient out of 237 (0.4%) tested positive for human metapneumovirus. Patients who tested positive for human metapneumovirus stayed in cardiac paediatric ICU for a median of 17.5 days (range, 2-45 days). Patients without a detected human metapneumovirus infection stayed in the cardiac paediatric ICU for a median of 4 days (range, 0.5-114 days). Nine out of 12 (75%) human metapneumovirus-positive patients showed atelectasis. Conclusion: Perioperative human metapneumovirus infections prolong cardiac paediatric ICU stay in children with CHD. In affected patients, pulmonary impairment with typical symptoms appears. Under certain circumstances, a complication-rich perioperative infection with human metapneumovirus could be prevented in paediatric cardiac high-risk patients by prophylactic hygiene intervention.</t>
  </si>
  <si>
    <t xml:space="preserve">[Leister, Nicolas; Commotio, Simone; Menzel, Christoph; Yuecetepe, Sirin; Ulrichs, Christoph; Trieschmann, Uwe; Hannes, Tobias] Univ Cologne, Dept Anaesthesiol &amp; Intens Care Med, Fac Med, Kerpener St 62, D-50937 Cologne, Germany; [Leister, Nicolas; Commotio, Simone; Menzel, Christoph; Yuecetepe, Sirin; Ulrichs, Christoph; Wendt, Stefanie; Dedden, Christoph; Trieschmann, Uwe; Hannes, Tobias] Univ Hosp Cologne, Kerpener St 62, D-50937 Cologne, Germany; [Wendt, Stefanie] Univ Cologne, Fac Med, Dept Cardiothorac Surg &amp; Intens Care Med, Cologne, Germany; [Hannes, Tobias] Univ Cologne, Fac Med, Dept Paediat Cardiol, Cologne, Germany; [Hannes, Tobias] Asklepios Childrens Hosp St Augustin, Dept Neonatol &amp; Paediat Intens Care Med, St Augustin, Germany</t>
  </si>
  <si>
    <t xml:space="preserve">University of Cologne; University of Cologne; University of Cologne; University of Cologne</t>
  </si>
  <si>
    <t xml:space="preserve">Leister, N (corresponding author), Univ Cologne, Dept Anaesthesiol &amp; Intens Care Med, Fac Med, Kerpener St 62, D-50937 Cologne, Germany.;Leister, N (corresponding author), Univ Hosp Cologne, Kerpener St 62, D-50937 Cologne, Germany.</t>
  </si>
  <si>
    <t xml:space="preserve">nicolas.leister@uk-koeln.de</t>
  </si>
  <si>
    <t xml:space="preserve">Leister, Nicolas/CAF-8818-2022</t>
  </si>
  <si>
    <t xml:space="preserve">Commotio, Simone/0009-0008-7697-9426; Trieschmann, Uwe/0000-0003-2529-9005; Leister, Nicolas/0000-0003-1932-0701</t>
  </si>
  <si>
    <t xml:space="preserve">1047-9511</t>
  </si>
  <si>
    <t xml:space="preserve">1467-1107</t>
  </si>
  <si>
    <t xml:space="preserve">CARDIOL YOUNG</t>
  </si>
  <si>
    <t xml:space="preserve">Cardiol. Young</t>
  </si>
  <si>
    <t xml:space="preserve">10.1017/S1047951122002645</t>
  </si>
  <si>
    <t xml:space="preserve">Cardiac &amp; Cardiovascular Systems; Pediatrics</t>
  </si>
  <si>
    <t xml:space="preserve">Cardiovascular System &amp; Cardiology; Pediatrics</t>
  </si>
  <si>
    <t xml:space="preserve">EF1R1</t>
  </si>
  <si>
    <t xml:space="preserve">WOS:000840547200001</t>
  </si>
  <si>
    <t xml:space="preserve">Cáceres, C; Castillo, M; Carrillo, K; Tapia, C; Valderrama, G; Maquilón, C; Toro-Ascuy, D; Zorondo-Rodríguez, F; Fuenzalida, LF</t>
  </si>
  <si>
    <t xml:space="preserve">Caceres, Camila; Castillo, Macarena; Carrillo, Karin; Tapia, Cecilia., V; Valderrama, Gustavo; Maquilon, Cesar; Toro-Ascuy, Daniela; Zorondo-Rodriguez, Francisco; Fuenzalida, Loreto F.</t>
  </si>
  <si>
    <t xml:space="preserve">Overnutrition as a risk factor for more serious respiratory viral infections in children: A retrospective study in hospitalized patients</t>
  </si>
  <si>
    <t xml:space="preserve">ENDOCRINOLOGIA DIABETES Y NUTRICION</t>
  </si>
  <si>
    <t xml:space="preserve">Overnutrition; Obesity; Children; Respiratory viruses; Respiratory viral coinfection; Clinical severity</t>
  </si>
  <si>
    <t xml:space="preserve">SYNCYTIAL VIRUS; HUMAN METAPNEUMOVIRUS; CLINICAL-COURSE; OBESITY; CHILDHOOD; INFLUENZA; COVID-19; INFANTS</t>
  </si>
  <si>
    <t xml:space="preserve">Background: The prevalence of obesity has increased dramatically in children worldwide. Obesity has been recognized as a risk factor for more serious viral respiratory infections, mainly in adults. Objective: To study the relationship between overnutrition (obesity and overweight) and clinical severity in children hospitalized with acute respiratory infections of viral origin. Methods: One hundred and forty-three clinical records of children between 2 and 18 years old hospitalized for acute respiratory infection at Clinica Davila (2014-2018) were analyzed, recording the respiratory viruses detected at the time of hospitalization, weight, and height. Nutritional status was estimated using Z score or body mass index, according to age. Results: Eighty-tree3 children (58%) were positive for more than one respiratory virus. The main virus detected in monoinfection was adenovirus (9.8%), followed by respiratory syncytial virus (7.7%) and parainfluenza virus (7.7%). There were no deaths. Patients with obesity presented more days of hospitalization (P = .04), oxygen therapy (P = .03) and mechanical ventilation (P &lt; .001), as well as a higher probability of requiring mechanical ventilation (P = .001) and of ICU admission (P = .003) compared with children with normal weight. Patients with overweight presented more days of mechanical ventilation (P &lt; .001) than patients with normal weight. No significant differences were found between the presence of viral coinfection and nutritional status.Conclusion: Overnutrition is associated with greater severity of viral respiratory infection in hospitalized children.(c) 2023 SEEN and SED. Published by Elsevier Espana, S.L.U. All rights reserved.</t>
  </si>
  <si>
    <t xml:space="preserve">[Caceres, Camila; Castillo, Macarena; Carrillo, Karin; Toro-Ascuy, Daniela; Fuenzalida, Loreto F.] Univ Autonoma Chile, Fac Ciencias Salud, Inst Ciencias Biomed, Santiago, Chile; [Tapia, Cecilia., V] Direcc Med, Santiago, Chile; [Valderrama, Gustavo] Urgencia Materno Infantil, Clin Davila, Santiago, Chile; [Maquilon, Cesar] Unidad Broncopulmonar Adulto, Clin Davila, Santiago, Chile; [Zorondo-Rodriguez, Francisco] Univ Santiago Chile, Dept Gest Agr, Santiago, Chile; [Tapia, Cecilia., V] Labs Clin Bionet, Santiago, Chile; [Valderrama, Gustavo] Dept Pediat, Red Salud, Santiago, Chile</t>
  </si>
  <si>
    <t xml:space="preserve">Universidad Autonoma de Chile; Clinica Davila; Clinica Davila; Universidad de Santiago de Chile</t>
  </si>
  <si>
    <t xml:space="preserve">Fuenzalida, LF (corresponding author), Univ Autonoma Chile, Fac Ciencias Salud, Inst Ciencias Biomed, Santiago, Chile.</t>
  </si>
  <si>
    <t xml:space="preserve">lfuenzalidai@uautonoma.cl</t>
  </si>
  <si>
    <t xml:space="preserve">Toro-Ascuy, Daniela/JDC-8224-2023; Zorondo-Rodríguez, Francisco/GWU-8371-2022; Zorondo-Rodriguez, Francisco/I-8273-2014</t>
  </si>
  <si>
    <t xml:space="preserve">Fuenzalida, Loreto F/0000-0002-9570-6043; Zorondo-Rodriguez, Francisco/0000-0001-6469-9859; Toro-Ascuy, Daniela/0000-0002-2563-9711</t>
  </si>
  <si>
    <t xml:space="preserve">Vice-Rector for Research and Postgraduate Studies, Universidad Autonoma de Chile [DIUA 168-2019]; Sociedad Chilena de Nutricion; [DICYT 032075ZR]</t>
  </si>
  <si>
    <t xml:space="preserve">Vice-Rector for Research and Postgraduate Studies, Universidad Autonoma de Chile; Sociedad Chilena de Nutricion;</t>
  </si>
  <si>
    <t xml:space="preserve">We appreciate the support of the Vice-Rector for Research and Postgraduate Studies, Universidad Autonoma de Chile, funding number DIUA 168-2019, Sociedad Chilena de Nutricion [Chilean Society of Nutrition] SOCHINUT-Tetra Pak 2020 and DICYT 032075ZR, Vice-Rector for Research, Development and Innovation, Universidad de Santiago de Chile.</t>
  </si>
  <si>
    <t xml:space="preserve">2530-0180</t>
  </si>
  <si>
    <t xml:space="preserve">ENDOCRINOL DIAB NUTR</t>
  </si>
  <si>
    <t xml:space="preserve">Endocrinol. Diabetes Nutr.</t>
  </si>
  <si>
    <t xml:space="preserve">AUG-SEP</t>
  </si>
  <si>
    <t xml:space="preserve">10.1016/j.endinu.2023.05.001</t>
  </si>
  <si>
    <t xml:space="preserve">Endocrinology &amp; Metabolism; Nutrition &amp; Dietetics</t>
  </si>
  <si>
    <t xml:space="preserve">FU4Q7</t>
  </si>
  <si>
    <t xml:space="preserve">WOS:001148359900001</t>
  </si>
  <si>
    <t xml:space="preserve">Seynaeve, D; Augusseau-Rivière, B; Couturier, P; Morel-Baccard, C; Landelle, C; Bosson, JL; Gavazzi, G; Mallaret, MR</t>
  </si>
  <si>
    <t xml:space="preserve">Seynaeve, Damien; Augusseau-Riviere, Brigitte; Couturier, Pascal; Morel-Baccard, Christine; Landelle, Caroline; Bosson, Jean-Luc; Gavazzi, Gaetan; Mallaret, Marie-Reine</t>
  </si>
  <si>
    <t xml:space="preserve">Outbreak of Human Metapneumovirus in a Nursing Home: A Clinical Perspective</t>
  </si>
  <si>
    <t xml:space="preserve">JOURNAL OF THE AMERICAN MEDICAL DIRECTORS ASSOCIATION</t>
  </si>
  <si>
    <t xml:space="preserve">Outbreak; nursing home; prevention; metapneumovirus</t>
  </si>
  <si>
    <t xml:space="preserve">RESPIRATORY-TRACT INFECTIONS; SEASONAL DISTRIBUTION; CARE; CHILDREN; INPATIENTS; VIRUSES; PNEUMOVIRUS; PREVENTION; PNEUMONIA; IMPACT</t>
  </si>
  <si>
    <t xml:space="preserve">Objectives: To describe a human metapneumovirus (hMPV) outbreak occurring in a nursing home for older adults and to identify the risk factors associated with the clinical infection. Design: A retrospective, case-controlled study. Setting and participants: A French nursing home for older adults between December 27, 2014 and January 20, 2015. Probable cases were residents presenting at least 1 respiratory symptom or 1 constitutional symptom. Confirmed cases identified in the same way as probable cases but with a positive RT-PCR test for hMPV. Controls were residents with no symptoms of respiratory infection. Measures: Identification of hMPV was realized on nasal swab samples by RT-PCR. Results: Seventy-eight older people were resident at the time of the outbreak. Three of the 4 tested were positive for hMPV by RT-PCR and negative for 13 other viruses or bacteria. All probable infected residents presented cough; other symptoms were scarcer. An inflammatory response was present, with median C-reactive protein at 50 mg/L. The median duration of the illness was 7 days. The rate of infection among residents was high (51%), with 5 hospitalizations (12.5%) and 1 death (2.5%). In multivariate analysis, vaccination against influenza virus appeared to emerge as associated with a probable hMPV infection, but this might be an artifact, as the proportion of unvaccinated residents was low (15%). A clear infected population profile was hard to define, although limited autonomy and low ADL score may play a role. Basic hygiene precautions were reinforced, but droplet precautions seemed difficult to apply rigorously to this population. Conclusions/Implications: Clinical and biological presentations were nonspecific. The rate of infection was high, highlighting the need for the rapid introduction of strict precautions to contain the infection. (C) 2019 AMDA - The Society for Post-Acute and Long-Term Care Medicine.</t>
  </si>
  <si>
    <t xml:space="preserve">[Seynaeve, Damien; Landelle, Caroline; Mallaret, Marie-Reine] CHU Grenoble Alpes, Serv Hyg Hosp &amp; Gest Risques, Grenoble, France; [Augusseau-Riviere, Brigitte; Couturier, Pascal; Gavazzi, Gaetan] CHU Grenoble Alpes, Clin Univ Med Geriatr, Grenoble, France; [Bosson, Jean-Luc] CHU Grenoble Alpes, Pole Sante Publ, Grenoble, France; [Morel-Baccard, Christine] CHU Grenoble Alpes, Lab Virol, Grenoble, France; [Landelle, Caroline; Bosson, Jean-Luc; Mallaret, Marie-Reine] Univ Grenoble Alpes, Grenoble INP, TIMC IMAG, CNRS, Grenoble, France; [Gavazzi, Gaetan] Univ Grenoble Alpes, GREPI EA 7408, Grenoble, France</t>
  </si>
  <si>
    <t xml:space="preserve">CHU Grenoble Alpes; CHU Grenoble Alpes; CHU Grenoble Alpes; CHU Grenoble Alpes; Communaute Universite Grenoble Alpes; Institut National Polytechnique de Grenoble; Universite Grenoble Alpes (UGA); Centre National de la Recherche Scientifique (CNRS); Communaute Universite Grenoble Alpes; Universite Grenoble Alpes (UGA)</t>
  </si>
  <si>
    <t xml:space="preserve">Seynaeve, D (corresponding author), Ctr Hosp Univ Grenoble Alpes, Clin Univ Geriatrie &amp; Gerontol Clin, CS 10217, F-38043 Grenoble 9, France.</t>
  </si>
  <si>
    <t xml:space="preserve">DSeynaeve@chu-grenoble.fr</t>
  </si>
  <si>
    <t xml:space="preserve">MALLARET, Marie/M-6780-2014; bosson, jean-luc/AAP-5163-2020</t>
  </si>
  <si>
    <t xml:space="preserve">Gavazzi, Gaetan/0000-0001-8375-7153</t>
  </si>
  <si>
    <t xml:space="preserve">1525-8610</t>
  </si>
  <si>
    <t xml:space="preserve">1538-9375</t>
  </si>
  <si>
    <t xml:space="preserve">J AM MED DIR ASSOC</t>
  </si>
  <si>
    <t xml:space="preserve">J. Am. Med. Dir. Assoc.</t>
  </si>
  <si>
    <t xml:space="preserve">10.1016/j.jamda.2019.03.015</t>
  </si>
  <si>
    <t xml:space="preserve">JY8VG</t>
  </si>
  <si>
    <t xml:space="preserve">WOS:000504685400018</t>
  </si>
  <si>
    <t xml:space="preserve">Cheng, VCC; Wu, AKL; Cheung, CHY; Lau, SKP; Woo, PCY; Chan, KH; Li, KSM; Ip, IKS; Dunn, ELW; Lee, RA; Yam, LYC; Yuen, KY</t>
  </si>
  <si>
    <t xml:space="preserve">Cheng, V. C. C.; Wu, A. K. L.; Cheung, C. H. Y.; Lau, S. K. P.; Woo, P. C. Y.; Chan, K. H.; Li, K. S. M.; Ip, I. K. S.; Dunn, E. L. W.; Lee, R. A.; Yam, L. Y. C.; Yuen, K. Y.</t>
  </si>
  <si>
    <t xml:space="preserve">Outbreak of human metapneumovirus infection in psychiatrtc inpatients: implication for directly observed use of alcohol and rub in prevention of nosocomial outbreaks</t>
  </si>
  <si>
    <t xml:space="preserve">JOURNAL OF HOSPITAL INFECTION</t>
  </si>
  <si>
    <t xml:space="preserve">outbreak; human metapneumovirus; directly observed; alcohol hand rub</t>
  </si>
  <si>
    <t xml:space="preserve">TERM-CARE FACILITY; FELINE CALICIVIRUS; HAND HYGIENE; INACTIVATION; PNEUMONIA; SURROGATE; CHILDREN; ADULTS; STAFF; YOUNG</t>
  </si>
  <si>
    <t xml:space="preserve">Nosocomial outbreaks of infectious diseases in psychiatric facilities are not uncommon but the implementation of infection control measures is often difficult. Here, we report an outbreak of an acute respiratory illness in a psychiatric ward between 29 July and 20 August 2005 involving 31 patients. Human metapneumovirus was detected in seven (23%) patients by reverse transcription-polymerase chain reaction and nucleotide sequencing. A review of outbreak surveillance records showed that six nosocomial outbreaks occurred in the year 2005, of which four (67%) were confirmed or presumably related to a respiratory viral infection. Directly observed deliveries of alcohol hand rub 4-hourly during daytime to at[ psychiatric patients was instituted in December 2005. Only one nosocomial respiratory viral outbreak occurred in the following year. The total number of patients and staff involved in nosocomial outbreaks due to presumed or proven respiratory virus infections decreased significantly from 60 to six (P &lt; 0.001), whereas those due to all types of nosocomial outbreaks also decreased from 70 to 24 (P = 0.004). Alcohol hand rub has been shown to have potent bactericidal and virucidal activity against a wide range of nosocomial pathogens. Regular use of directly observed alcohol hand rub may decrease the incidence and scale of nosocomial outbreaks due to enveloped respiratory viruses especially in mentally incapacitated patients. (c) 2007 The Hospital Infection Society. Published by Elsevier Ltd. All rights reserved.</t>
  </si>
  <si>
    <t xml:space="preserve">[Cheng, V. C. C.; Lau, S. K. P.; Woo, P. C. Y.; Chan, K. H.; Li, K. S. M.; Yuen, K. Y.] Univ Hong Kong, Queen Mary Hosp, Dept Microbiol, Hong Kong, Hong Kong, Peoples R China; [Ip, I. K. S.] Pamela Youde Nethersole E Hosp, Dept Microbiol, Infect Control Unit, Hong Kong, Hong Kong, Peoples R China; [Dunn, E. L. W.] Pamela Youde Nethersole E Hosp, Dept Psychiat, Hong Kong, Hong Kong, Peoples R China; [Yam, L. Y. C.] Pamela Youde Nethersole E Hosp, Dept Med, Hong Kong, Hong Kong, Peoples R China</t>
  </si>
  <si>
    <t xml:space="preserve">University of Hong Kong; Pamela Youde Nethersole Eastern Hospital; Pamela Youde Nethersole Eastern Hospital; Pamela Youde Nethersole Eastern Hospital</t>
  </si>
  <si>
    <t xml:space="preserve">Yuen, KY (corresponding author), Univ Hong Kong, Queen Mary Hosp, Dept Microbiol, Hong Kong, Hong Kong, Peoples R China.</t>
  </si>
  <si>
    <t xml:space="preserve">kyyuen@hkucc.hku.hk</t>
  </si>
  <si>
    <t xml:space="preserve">Chan, Kwok/ITU-6861-2023; Lau, Susanna/C-4321-2009; Yuen, Kwok/C-4465-2009; Li, Kenneth/C-4602-2009; Woo, Patrick Chiu Yat/C-4449-2009</t>
  </si>
  <si>
    <t xml:space="preserve">CHENG, Vincent Chi-Chung/0000-0003-1765-7706; Woo, Patrick Chiu Yat/0000-0001-9401-1832; Yuen, Kwok-yung/0000-0002-2083-1552</t>
  </si>
  <si>
    <t xml:space="preserve">0195-6701</t>
  </si>
  <si>
    <t xml:space="preserve">J HOSP INFECT</t>
  </si>
  <si>
    <t xml:space="preserve">J. Hosp. Infect.</t>
  </si>
  <si>
    <t xml:space="preserve">10.1016/j.jhin.2007.09.010</t>
  </si>
  <si>
    <t xml:space="preserve">245IV</t>
  </si>
  <si>
    <t xml:space="preserve">WOS:000251929200006</t>
  </si>
  <si>
    <t xml:space="preserve">Wang, L; Yang, S; Yan, XT; Liu, T; Feng, ZS; Li, GX</t>
  </si>
  <si>
    <t xml:space="preserve">Wang, Le; Yang, Shuo; Yan, Xiaotong; Liu, Teng; Feng, Zhishan; Li, Guixia</t>
  </si>
  <si>
    <t xml:space="preserve">Comparing the yield of oropharyngeal swabs and sputum for detection of 11 common pathogens in hospitalized children with lower respiratory tract infection</t>
  </si>
  <si>
    <t xml:space="preserve">Oropharyngeal swabs; Sputum; Children; LRTI</t>
  </si>
  <si>
    <t xml:space="preserve">COMMUNITY-ACQUIRED PNEUMONIA; MYCOPLASMA-PNEUMONIAE; NASOPHARYNGEAL SWABS; SAMPLE TYPE; MANAGEMENT; SPECIMENS; DIAGNOSIS; SETTINGS; VIRUSES; IMPACT</t>
  </si>
  <si>
    <t xml:space="preserve">BackgroundAdvances in molecular laboratory techniques are changing the prospects for the diagnosis of viral infectious diseases. Multiplex polymerase chain reaction assay (multiplex-PCR) can detect dozens of pathogens simultaneously, greatly reducing turnaround time (TAT) and improving detection sensitivity. But as a double-edged sword, due to the high sensitivity of PCR, the type of respiratory specimens is critical to diagnosis. In this work, we performed a head-to-head comparison to evaluate the multiplex-PCR yields between two samples, sputum and flocked oropharyngeal swabs (OPS).MethodsEleven common respiratory pathogens were tested in hospitalized children&lt;13years of age who met the criteria for lower respiratory tract infection by GeXP-based multiplex-PCR of paired OPS and sputum.ResultsFrom January to June 2018, 440 children with paired OPS and sputum were tested. The positive rate was 84% (369/440) for OPS and 88% (386/440) for sputum (p=.007). The frequency of detection of HRV, RSV, Influenza A virus, HMPV, parainfluenza virus, adenovirus, M. pneumoniae, coronavirus, bocavirus and C. pneumoniae in sputa was higher than that of OPSs (all p&lt;.001). Both types of specimens had similarly very good kappa values for most of pathogens, except for Mycoplasma pneumonia (=0.61) and Chlamydia pneumoniae (=0.24). Additionally, 79.3% (349/440) of cases showed consistent results between the two types of samples, and they were significantly younger than patients with inconsistent results (p=.002).ConclusionsFlocked oropharyngeal swabs and sputum performed similarly for the detection of common respiratory pathogens in hospitalized children by multiplex-PCR, except for Mycoplasma pneumoniae and Chlamydia pneumoniae. Young patients are likely to have consistent results between the two specimens.</t>
  </si>
  <si>
    <t xml:space="preserve">[Wang, Le; Yang, Shuo; Yan, Xiaotong; Liu, Teng; Li, Guixia] Childrens Hosp Hebei Prov, Inst Pediat Res, Shijiazhuang 050031, Hebei, Peoples R China; [Feng, Zhishan] Hebei Gen Hosp, Shijiazhuang 050000, Hebei, Peoples R China</t>
  </si>
  <si>
    <t xml:space="preserve">Li, GX (corresponding author), Childrens Hosp Hebei Prov, Inst Pediat Res, Shijiazhuang 050031, Hebei, Peoples R China.;Feng, ZS (corresponding author), Hebei Gen Hosp, Shijiazhuang 050000, Hebei, Peoples R China.</t>
  </si>
  <si>
    <t xml:space="preserve">luka_wl@163.com; fzshan@139.com; hbetlgx@126.com</t>
  </si>
  <si>
    <t xml:space="preserve">Wang, Le/JEZ-8047-2023</t>
  </si>
  <si>
    <t xml:space="preserve">Finance Department of Hebei Province and Medical science research key project of Hebei province [20170402]</t>
  </si>
  <si>
    <t xml:space="preserve">Finance Department of Hebei Province and Medical science research key project of Hebei province</t>
  </si>
  <si>
    <t xml:space="preserve">This study was supported by the Finance Department of Hebei Province and Medical science research key project of Hebei province (20170402).</t>
  </si>
  <si>
    <t xml:space="preserve">10.1186/s12985-019-1177-x</t>
  </si>
  <si>
    <t xml:space="preserve">IF3BO</t>
  </si>
  <si>
    <t xml:space="preserve">WOS:000472955400001</t>
  </si>
  <si>
    <t xml:space="preserve">Danziger-Isakov, L; Steinbach, WJ; Paulsen, G; Munoz, FM; Sweet, LR; Green, M; Michaels, MG; Englund, JA; Murray, A; Halasa, N; Dulek, DE; Madan, RP; Herold, BC; Fisher, BT</t>
  </si>
  <si>
    <t xml:space="preserve">Danziger-Isakov, Lara; Steinbach, William J.; Paulsen, Grant; Munoz, Flor M.; Sweet, Leigh R.; Green, Michael; Michaels, Marian G.; Englund, Janet A.; Murray, Alastair; Halasa, Natasha; Dulek, Daniel E.; Madan, Rebecca Pellett; Herold, Betsy C.; Fisher, Brian T.</t>
  </si>
  <si>
    <t xml:space="preserve">A Multicenter Consortium to Define the Epidemiology and Outcomes of Pediatric Solid Organ Transplant Recipients With Inpatient Respiratory Virus Infection</t>
  </si>
  <si>
    <t xml:space="preserve">JOURNAL OF THE PEDIATRIC INFECTIOUS DISEASES SOCIETY</t>
  </si>
  <si>
    <t xml:space="preserve">organ transplantation; pediatrics; respiratory virus infection</t>
  </si>
  <si>
    <t xml:space="preserve">VIRAL-INFECTIONS; INFLUENZA; PARAINFLUENZA; ADENOVIRUS; FAILURE; IMPACT; RSV</t>
  </si>
  <si>
    <t xml:space="preserve">Background. Respiratory virus infection (RVI) in pediatric solid organ transplant (SOT) recipients poses a significant risk; however, the epidemiology and effects of an RVI after pediatric SOT in the era of current molecular diagnostic assays are unclear. Methods. A retrospective observational cohort of pediatric SOT recipients (January 2010 to June 2013) was assembled from 9 US pediatric transplant centers. Charts were reviewed for RVI events associated with hospitalization within 1 year after the transplant. An RVI diagnosis required respiratory symptoms and detection of a virus (ie, human rhinovirus/enterovirus, human metapneumovirus, influenza virus, parainfluenza virus, coronavirus, and/or respiratory syncytial virus). The incidence of RVI was calculated, and the association of baseline SOT factors with subsequent pulmonary complications and death was assessed. Results. Of 1096 pediatric SOT recipients (448 liver, 289 kidney, 251 heart, 66 lung, 42 intestine/multivisceral), 159 (14.5%) developed RVI associated with hospitalization within 12 months after their transplant. RVI occurred at the highest rates in intestine/abdominal multivisceral (38%), thoracic (heart/lung) (18.6%), and liver (15.6%) transplant recipients and a lower rate in kidney (5.5%) transplant recipients. RVI was associated with younger median age at transplant (1.72 vs 7.89 years; P &lt; .001) and among liver or kidney transplant recipients with the receipt of a deceased-donor graft compared to a living donor (P = .01). The all-cause and attributable case-fatality rates within 3 months of RVI onset were 4% and 0%, respectively. Multivariable logistic regression models revealed that age was independently associated with increased risk for a pulmonary complication (odds ratio, 1.24 [95% confidence interval, 1.02-1.51]) and that receipt of an intestine/multivisceral transplant was associated with increased risk of all-cause death (odds ratio, 24.54 [95% confidence interval, 1.69-327.96]). Conclusions. In this study, hospital-associated RVI was common in the first year after pediatric SOT and associated with younger age at transplant. All-cause death after RVI was rare, and no definitive attributable death occurred.</t>
  </si>
  <si>
    <t xml:space="preserve">[Danziger-Isakov, Lara; Paulsen, Grant] Cincinnati Childrens Hosp Med Ctr, Dept Pediat, Div Infect Dis, Cincinnati, OH 45236 USA; [Steinbach, William J.] Duke Univ, Dept Pediat, Durham, NC 27706 USA; [Steinbach, William J.] Duke Univ, Dept Mol Genet &amp; Microbiol, Durham, NC USA; [Munoz, Flor M.; Sweet, Leigh R.] Texas Childrens Hosp, Baylor Coll Med, Dept Pediat, Sect Infect Dis, Houston, TX 77030 USA; [Green, Michael; Michaels, Marian G.] UPMC, Childrens Hosp Pittsburgh, Div Infect Dis, Pittsburgh, PA USA; [Green, Michael; Michaels, Marian G.] Univ Pittsburgh, Sch Med, Dept Pediat, Pittsburgh, PA 15260 USA; [Green, Michael; Michaels, Marian G.] Univ Pittsburgh, Sch Med, Dept Surg, Pittsburgh, PA 15260 USA; [Englund, Janet A.; Murray, Alastair] Seattle Childrens Hosp, Seattle Childrens Res Inst, Seattle, WA USA; [Englund, Janet A.; Murray, Alastair] Univ Washington, Seattle, WA 98195 USA; [Halasa, Natasha; Dulek, Daniel E.] Vanderbilt Univ, Med Ctr, Dept Pediat, Div Pediat Infect Dis,Monroe Carell Jr Childrens, Nashville, TN 37232 USA; [Madan, Rebecca Pellett; Herold, Betsy C.] Albert Einstein Coll Med, Dept Pediat, Bronx, NY 10467 USA; [Madan, Rebecca Pellett; Herold, Betsy C.] Childrens Hosp Montefiore, Bronx, NY USA; [Fisher, Brian T.] Childrens Hosp Philadelphia, Dept Pediat, Div Infect Dis, Philadelphia, PA 19104 USA; [Fisher, Brian T.] Childrens Hosp Philadelphia, Ctr Pediat Clin Effectiveness, Philadelphia, PA 19104 USA; [Fisher, Brian T.] Univ Penn, Perelman Sch Med, Ctr Clin Epidemiol &amp; Biostat, Philadelphia, PA 19104 USA</t>
  </si>
  <si>
    <t xml:space="preserve">University System of Ohio; University of Cincinnati; Cincinnati Children's Hospital Medical Center; Duke University; Duke University; Baylor College of Medicine; Baylor College Medical Hospital; Pennsylvania Commonwealth System of Higher Education (PCSHE); University of Pittsburgh; Pennsylvania Commonwealth System of Higher Education (PCSHE); University of Pittsburgh; Pennsylvania Commonwealth System of Higher Education (PCSHE); University of Pittsburgh; Seattle Children's Hospital; University of Washington; University of Washington Seattle; Vanderbilt University; Yeshiva University; Montefiore Medical Center; Albert Einstein College of Medicine; Montefiore Medical Center; Albert Einstein College of Medicine; Childrens Hospital at Montefiore; University of Pennsylvania; Pennsylvania Medicine; Childrens Hospital of Philadelphia; University of Pennsylvania; Pennsylvania Medicine; Childrens Hospital of Philadelphia; University of Pennsylvania</t>
  </si>
  <si>
    <t xml:space="preserve">Danziger-Isakov, L (corresponding author), Cincinnati Childrens Hosp Med Ctr, 3333 Burnet Ave,MLC 7017, Cincinnati, OH 45236 USA.</t>
  </si>
  <si>
    <t xml:space="preserve">Fisher, Brian/0000-0002-8224-4281; Herold, Betsy/0000-0001-9974-0786</t>
  </si>
  <si>
    <t xml:space="preserve">2048-7193</t>
  </si>
  <si>
    <t xml:space="preserve">2048-7207</t>
  </si>
  <si>
    <t xml:space="preserve">J PEDIAT INF DIS SOC</t>
  </si>
  <si>
    <t xml:space="preserve">J. Pediatr. Infect. Dis. Soc.</t>
  </si>
  <si>
    <t xml:space="preserve">10.1093/jpids/piy024</t>
  </si>
  <si>
    <t xml:space="preserve">JH9QS</t>
  </si>
  <si>
    <t xml:space="preserve">WOS:000493103600002</t>
  </si>
  <si>
    <t xml:space="preserve">Lee, SH; Baek, YH; Kim, YH; Choi, YK; Song, MS; Ahn, JY</t>
  </si>
  <si>
    <t xml:space="preserve">Lee, Se Hee; Baek, Yun Hee; Kim, Yang-Hoon; Choi, Young-Ki; Song, Min-Suk; Ahn, Ji-Young</t>
  </si>
  <si>
    <t xml:space="preserve">One-Pot Reverse Transcriptional Loop-Mediated Isothermal Amplification (RT-LAMP) for Detecting MERS-CoV</t>
  </si>
  <si>
    <t xml:space="preserve">FRONTIERS IN MICROBIOLOGY</t>
  </si>
  <si>
    <t xml:space="preserve">one-pot reverse transcription (RT); MERS-CoV; loop-mediated isothermal amplification (LAMP); nucleocapsid (N) protein; EvaGreen</t>
  </si>
  <si>
    <t xml:space="preserve">RAPID DETECTION; VIRUS DNA; CORONAVIRUS; INFECTION; BATS</t>
  </si>
  <si>
    <t xml:space="preserve">Due to the limitation of rapid development of specific antiviral drug or vaccine for novel emerging viruses, an accurate and rapid diagnosis is a key to manage the virus spread. We developed an efficient and rapid method with high specificity for the Middle East Respiratory Syndrome coronavirus (MERS-CoV), based on one-pot reverse transcription loop-mediated isothermal amplification (one-pot RT-LAMP). A set of six LAMP primers [F3, B3, FIP, BIP, LF (Loop-F), and LB (Loop-B)] were designed using the sequence of nucleocapsid (N) gene with optimized RT-LAMP enzyme conditions: 100 U M-MLV RTase and 4 U Bst polymerase, implying that the reaction was able to detect four infectious viral genome copies of MERS-CoV within a 60 min reaction time period. Significantly, EvaGreen dye has better signal read-out properties in one-pot RT-LAMP reaction and is more compatible with DNA polymerase than SYBR green I. Isothermally amplified specific N genes were further evaluated using field-deployable microchamber devices, leading to the specific identification of as few as 0.4 infectious viral genome copies, with no cross-reaction to the other acute respiratory disease viruses, including influenza type A (H1N1 and H3N2), type B, human coronavirus 229E, and human metapneumovirus. This sensitive, specific and feasible method provides a large-scale technical support in emergencies, and is also applied as a sample-to-detection module in Point of Care Testing devices.</t>
  </si>
  <si>
    <t xml:space="preserve">[Lee, Se Hee; Kim, Yang-Hoon; Ahn, Ji-Young] Chungbuk Natl Univ, Sch Biol Sci, Cheongju, South Korea; [Baek, Yun Hee; Choi, Young-Ki; Song, Min-Suk] Chungbuk Natl Univ, Coll Med, Cheongju, South Korea; [Baek, Yun Hee; Choi, Young-Ki; Song, Min-Suk] Chungbuk Natl Univ, Med Res Inst, Cheongju, South Korea</t>
  </si>
  <si>
    <t xml:space="preserve">Chungbuk National University; Chungbuk National University; Chungbuk National University</t>
  </si>
  <si>
    <t xml:space="preserve">Ahn, JY (corresponding author), Chungbuk Natl Univ, Sch Biol Sci, Cheongju, South Korea.;Song, MS (corresponding author), Chungbuk Natl Univ, Coll Med, Cheongju, South Korea.;Song, MS (corresponding author), Chungbuk Natl Univ, Med Res Inst, Cheongju, South Korea.</t>
  </si>
  <si>
    <t xml:space="preserve">songminsuk@chungbuk.ac.kr; jyahn@chungbuk.ac.kr</t>
  </si>
  <si>
    <t xml:space="preserve">ahn, jiyoung/KSM-2201-2024; Kim, Sung/G-4114-2014</t>
  </si>
  <si>
    <t xml:space="preserve">Ahn, Ji-Young/0000-0002-3729-2284</t>
  </si>
  <si>
    <t xml:space="preserve">Cooperative Research Program for Agriculture Science &amp; Technology Development (Development of fast sensing platform for viroids in subtropical plants) Rural Development Administration, Republic of Korea [PJ011642]</t>
  </si>
  <si>
    <t xml:space="preserve">Cooperative Research Program for Agriculture Science &amp; Technology Development (Development of fast sensing platform for viroids in subtropical plants) Rural Development Administration, Republic of Korea</t>
  </si>
  <si>
    <t xml:space="preserve">This work was carried out with the support of Cooperative Research Program for Agriculture Science &amp; Technology Development (Development of fast sensing platform for viroids in subtropical plants, PJ011642) Rural Development Administration, Republic of Korea.</t>
  </si>
  <si>
    <t xml:space="preserve">1664-302X</t>
  </si>
  <si>
    <t xml:space="preserve">FRONT MICROBIOL</t>
  </si>
  <si>
    <t xml:space="preserve">Front. Microbiol.</t>
  </si>
  <si>
    <t xml:space="preserve">JAN 9</t>
  </si>
  <si>
    <t xml:space="preserve">10.3389/fmicb.2016.02166</t>
  </si>
  <si>
    <t xml:space="preserve">EH1BM</t>
  </si>
  <si>
    <t xml:space="preserve">WOS:000391498400001</t>
  </si>
  <si>
    <t xml:space="preserve">Mazet, JAK; Genovese, BN; Harris, LA; Cranfield, M; Noheri, JB; Kinani, JF; Zimmerman, D; Bahizi, M; Mudakikwa, A; Goldstein, T; Gilardi, KVK</t>
  </si>
  <si>
    <t xml:space="preserve">Mazet, Jonna A. K.; Genovese, Brooke N.; Harris, Laurie A.; Cranfield, Michael; Noheri, Jean Bosco; Kinani, Jean Felix; Zimmerman, Dawn; Bahizi, Methode; Mudakikwa, Antoine; Goldstein, Tracey; Gilardi, Kirsten V. K.</t>
  </si>
  <si>
    <t xml:space="preserve">Human Respiratory Syncytial Virus Detected in Mountain Gorilla Respiratory Outbreaks</t>
  </si>
  <si>
    <t xml:space="preserve">One health; Rwanda; Human– wildlife interface; Mountain gorillas; HRSV; Respiratory disease</t>
  </si>
  <si>
    <t xml:space="preserve">HUMAN METAPNEUMOVIRUS INFECTION; CHIMPANZEE PAN-TROGLODYTES; STREPTOCOCCUS-PNEUMONIAE; WILD CHIMPANZEES; NATIONAL-PARK; GROUP-A; MOLECULAR EPIDEMIOLOGY; CIRCULATION PATTERNS; POPULATION-DYNAMICS; BERINGEI-BERINGEI</t>
  </si>
  <si>
    <t xml:space="preserve">Respiratory illness (RI) accounts for a large proportion of mortalities in mountain gorillas (Gorilla beringei beringei), and fatal outbreaks, including disease caused by human metapneumovirus (HMPV) infections, have heightened concern about the risk of human pathogen transmission to this endangered species, which is not only critically important to the biodiversity of its ecosystem but also to the economies of the surrounding human communities. Our goal was to conduct a molecular epidemiologic study to detect the presence of HRSV and HMPV in fecal samples from wild human-habituated free-ranging mountain gorillas in Rwanda and to evaluate the role of these viruses in RI outbreaks. Fecal samples were collected from gorillas with clinical signs of RI between June 2012 and February 2013 and tested by real-time and conventional polymerase chain reaction (PCR) assays; comparison fecal samples were obtained from gorillas without clinical signs of RI sampled during the 2010 Virunga gorilla population census. PCR assays detected HMPV and HRSV first in spiked samples; subsequently, HRSV-A, the worldwide-circulating ON1 genotype, was detected in 12 of 20 mountain gorilla fecal samples collected from gorillas with RI during outbreaks, but not in samples from animals without respiratory illness. Our findings confirmed that pathogenic human respiratory viruses are transmitted to gorillas and that they are repeatedly introduced into mountain gorilla populations from people, attesting to the need for stringent biosecurity measures for the protection of gorilla health.</t>
  </si>
  <si>
    <t xml:space="preserve">[Mazet, Jonna A. K.; Genovese, Brooke N.; Harris, Laurie A.; Cranfield, Michael; Goldstein, Tracey; Gilardi, Kirsten V. K.] Univ Calif Davis, Karen C Drayer Wildlife Hlth Ctr, 1089 Vet Med Dr, Davis, CA 95616 USA; [Cranfield, Michael; Gilardi, Kirsten V. K.] Mt Gorilla Vet Project Inc, Gorilla Doctors, Davis, CA USA; [Noheri, Jean Bosco; Bahizi, Methode] Mt Gorilla Vet Project Inc, Gorilla Doctors, Musanze, Rwanda; [Mudakikwa, Antoine] Rwanda Dev Board, Kigali, Rwanda; [Zimmerman, Dawn] Natl Zool Pk, SCBI Global Hlth Program, Washington, DC USA; [Kinani, Jean Felix] Gorilla Hlth, One Hlth Approach Conservat, Kigali, Rwanda</t>
  </si>
  <si>
    <t xml:space="preserve">University of California System; University of California Davis; Smithsonian Institution; Smithsonian National Zoological Park &amp; Conservation Biology Institute</t>
  </si>
  <si>
    <t xml:space="preserve">Mazet, JAK (corresponding author), Univ Calif Davis, Karen C Drayer Wildlife Hlth Ctr, 1089 Vet Med Dr, Davis, CA 95616 USA.</t>
  </si>
  <si>
    <t xml:space="preserve">jkmazet@ucdavis.edu</t>
  </si>
  <si>
    <t xml:space="preserve">Mazet, Jonna/B-4811-2012</t>
  </si>
  <si>
    <t xml:space="preserve">Mazet, Jonna/0000-0002-8712-5951; Genovese, Brooke/0000-0002-8110-1174</t>
  </si>
  <si>
    <t xml:space="preserve">Morris Animal Foundation Fellowship Training Grant; University of California Global Health Institute (UCGHI) Student and Junior Faculty Fellowship Award; Bridge RAship from UC Davis' Responding to Rapid Environmental Change Integrative Graduate Education and Research Traineeship (REACH IGERT) program; Karen C. Drayer Wildlife Health Center Fellowship; United States Agency for International Development (USAID) Emerging Pandemic Threats PREDICT project [GHN-A-OO-09-00010-00]; UC Davis School of Veterinary Medicine Graduate Student Support Program (GSSP) Award</t>
  </si>
  <si>
    <t xml:space="preserve">Morris Animal Foundation Fellowship Training Grant; University of California Global Health Institute (UCGHI) Student and Junior Faculty Fellowship Award; Bridge RAship from UC Davis' Responding to Rapid Environmental Change Integrative Graduate Education and Research Traineeship (REACH IGERT) program; Karen C. Drayer Wildlife Health Center Fellowship; United States Agency for International Development (USAID) Emerging Pandemic Threats PREDICT project(United States Agency for International Development (USAID)); UC Davis School of Veterinary Medicine Graduate Student Support Program (GSSP) Award</t>
  </si>
  <si>
    <t xml:space="preserve">This study was made possible by a Morris Animal Foundation Fellowship Training Grant, the University of California Global Health Institute (UCGHI) Student and Junior Faculty Fellowship Award, UC Davis School of Veterinary Medicine Graduate Student Support Program (GSSP) Award, the Bridge RAship award from UC Davis' Responding to Rapid Environmental Change Integrative Graduate Education and Research Traineeship (REACH IGERT) program, a Karen C. Drayer Wildlife Health Center Fellowship, and the support of the American people through the United States Agency for International Development (USAID) Emerging Pandemic Threats PREDICT project (cooperative agreement number GHN-A-OO-09-00010-00). The contents of this manuscript are the responsibility of the authors and do not necessarily reflect the views of the US Agency for International Development or the US government.</t>
  </si>
  <si>
    <t xml:space="preserve">10.1007/s10393-020-01506-8</t>
  </si>
  <si>
    <t xml:space="preserve">DEC 2020</t>
  </si>
  <si>
    <t xml:space="preserve">SP9NW</t>
  </si>
  <si>
    <t xml:space="preserve">WOS:000600543700001</t>
  </si>
  <si>
    <t xml:space="preserve">Lehrich, BM; Goshtasbi, K; Raad, RA; Ganti, A; Papagiannopoulos, P; Tajudeen, BA; Kuan, EC</t>
  </si>
  <si>
    <t xml:space="preserve">Lehrich, Brandon M.; Goshtasbi, Khodayar; Raad, Richard A.; Ganti, Ashwin; Papagiannopoulos, Peter; Tajudeen, Bobby A.; Kuan, Edward C.</t>
  </si>
  <si>
    <t xml:space="preserve">Aggregate Prevalence of Chemosensory and Sinonasal Dysfunction in SARS-CoV-2 and Related Coronaviruses</t>
  </si>
  <si>
    <t xml:space="preserve">OTOLARYNGOLOGY-HEAD AND NECK SURGERY</t>
  </si>
  <si>
    <t xml:space="preserve">olfaction; COVID-19; coronavirus; smell loss; taste loss; sinonasal outcomes</t>
  </si>
  <si>
    <t xml:space="preserve">ACUTE RESPIRATORY SYNDROME; CLINICAL CHARACTERISTICS; HUMAN METAPNEUMOVIRUS; INFECTIONS; VIRUS; MANIFESTATIONS; INFLUENZA; COVID-19; CHILDREN</t>
  </si>
  <si>
    <t xml:space="preserve">Much of the published literature regarding the novel coronavirus disease 2019 (COVID-19) constitutes lower respiratory system symptomatology, while there exists a paucity of data describing the complicated sequelae of the upper respiratory system, including chemosensory and/or sinonasal dysfunction. This study utilized the National Library of Medicine's PubMed/MEDLINE database to query for articles describing COVID-19, SARS-CoV-2, SARS-CoV-1, MERS-CoV, and other coronaviruses, with any mention of smell, taste, or other chemosensory or sinonasal dysfunction. Aggregate analysis demonstrated an incidence of 49.6% (n = 497 of 1002; 95% CI, 46.5%-52.7%), 47.9% (n = 480 of 1002; 95% CI, 44.8%-51.0%), and 17.9% (n = 880 of 4909; 95% CI, 16.9%-19.0%) for smell loss, taste loss, and smell or taste loss, respectively, in patients infected with SARS-CoV-2. Additionally, there were significantly higher incidences of runny nose/rhinorrhea/rhinitis and nasal congestion/obstruction/blockage in other coronaviruses as compared with SARS-CoV-2 (P &lt; .001). Understanding these less well-characterized symptoms may help develop measures for estimating early markers of disease prevalence and/or resolution. Level of evidence: 4.</t>
  </si>
  <si>
    <t xml:space="preserve">[Lehrich, Brandon M.; Goshtasbi, Khodayar; Kuan, Edward C.] Univ Calif Irvine, Dept Otolaryngol Head &amp; Neck Surg, 200 S Manchester Ave,Ste 400, Orange, CA 92868 USA; [Raad, Richard A.; Ganti, Ashwin; Papagiannopoulos, Peter; Tajudeen, Bobby A.] Rush Univ, Dept Otolaryngol Head &amp; Neck Surg, Med Ctr, Chicago, IL 60612 USA</t>
  </si>
  <si>
    <t xml:space="preserve">University of California System; University of California Irvine; Rush University</t>
  </si>
  <si>
    <t xml:space="preserve">Kuan, EC (corresponding author), Univ Calif Irvine, Dept Otolaryngol Head &amp; Neck Surg, 200 S Manchester Ave,Ste 400, Orange, CA 92868 USA.</t>
  </si>
  <si>
    <t xml:space="preserve">eckuan@uci.edu</t>
  </si>
  <si>
    <t xml:space="preserve">Kuan, Edward/I-3715-2019; Goshtasbi, Khodayar/AAO-3317-2020</t>
  </si>
  <si>
    <t xml:space="preserve">Lehrich, Brandon/0000-0003-1003-5605; Raad, Richard/0000-0003-2537-137X; Ganti, Ashwin/0000-0002-4576-2557</t>
  </si>
  <si>
    <t xml:space="preserve">0194-5998</t>
  </si>
  <si>
    <t xml:space="preserve">1097-6817</t>
  </si>
  <si>
    <t xml:space="preserve">OTOLARYNG HEAD NECK</t>
  </si>
  <si>
    <t xml:space="preserve">Otolaryngol. Head Neck Surg.</t>
  </si>
  <si>
    <t xml:space="preserve">10.1177/0194599820929278</t>
  </si>
  <si>
    <t xml:space="preserve">Otorhinolaryngology; Surgery</t>
  </si>
  <si>
    <t xml:space="preserve">MI7WM</t>
  </si>
  <si>
    <t xml:space="preserve">WOS:000534324700001</t>
  </si>
  <si>
    <t xml:space="preserve">Masse, S; Minodier, L; Heuze, G; Blanchon, T; Capai, L; Falchi, A</t>
  </si>
  <si>
    <t xml:space="preserve">Masse, S.; Minodier, L.; Heuze, G.; Blanchon, T.; Capai, L.; Falchi, A.</t>
  </si>
  <si>
    <t xml:space="preserve">Influenza-like illness outbreaks in nursing homes in Corsica, France, 2014-2015: epidemiological and molecular characterization</t>
  </si>
  <si>
    <t xml:space="preserve">SPRINGERPLUS</t>
  </si>
  <si>
    <t xml:space="preserve">Nursing homes; Influenza; Elderly; Outbreak; Influenza-like illness</t>
  </si>
  <si>
    <t xml:space="preserve">HEALTH-CARE; SEASONAL INFLUENZA; INFECTIONS; VIRUS</t>
  </si>
  <si>
    <t xml:space="preserve">Background: To study the molecular epidemiology of the influenza outbreaks in nursing homes (NHs) to determine whether multiple influenza strains were involved. Methods: From September to December 2014, NHs in Corsica were invited to participate in an ongoing daily epidemiological and microbiological surveillance for influenza-like illness (ILI) among residents and health care workers (HCWs). Results: The study involved 12 NHs. Respiratory illness meeting the ILI case definition was observed among 44 residents from whom 22 specimens were collected. Of the 22 residents with a nasopharyngeal sample, 13 (59 %) were positive for at least one of the 11 pathogens analysed. Among these 13 patients, 11 (92 %) presented a confirmed influenza (A/H3N2) and two had another respiratory virus: one human metapneumovirus and one human corona-virus. Of patients with a confirmed influenza A(H3N2), 10 (91 %) were vaccinated against influenza during the 2014-2015 season. Two influenza outbreaks were reported in two NHs, caused by influenza A(H3N2) strains belonging to cluster 3C.3 and 3C.2a. Although antivirals were available, prophylaxis was not used. Conclusions: Phylogenetic analysis seems to suggest no multiple introduction into the two NHs reporting the two influenza A(H3N2) outbreaks. A number of factors could have contributed to transmitting influenza in NHs including, the absence of administration of antiviral treatment for prophylaxis of all residents/staff regardless of immunization status because of the poor vaccine match during each outbreak, the intensive contacts with incompletely protected residents and HCWs, and the low adherence of NHs to notification of ILI outbreaks to the health authorities.</t>
  </si>
  <si>
    <t xml:space="preserve">[Masse, S.; Minodier, L.; Capai, L.; Falchi, A.] Univ Corsica, INSERM, EA 7310, Virol Lab, Corte, France; [Heuze, G.] InVS, CIRE SUD Paca Corse, Paris, France; [Blanchon, T.; Capai, L.] Sorbonne Univ, Univ Paris 06, UMR S 1136, Paris, France; [Blanchon, T.; Capai, L.] INSERM, UMR S 1136, Paris, France</t>
  </si>
  <si>
    <t xml:space="preserve">Institut National de la Sante et de la Recherche Medicale (Inserm); Sante publique France; Sorbonne Universite; Sorbonne Universite; Institut National de la Sante et de la Recherche Medicale (Inserm)</t>
  </si>
  <si>
    <t xml:space="preserve">Falchi, A (corresponding author), Univ Corsica, INSERM, EA 7310, Virol Lab, Corte, France.</t>
  </si>
  <si>
    <t xml:space="preserve">falchi@univ-corse.fr</t>
  </si>
  <si>
    <t xml:space="preserve">FALCHI, Alessandra/AAQ-8039-2020; BLANCHON, Thierry/AAK-6254-2020</t>
  </si>
  <si>
    <t xml:space="preserve">Masse, Shirley/0000-0002-3659-4512; Alessandra, FALCHI/0000-0003-0799-1460; Capai, Lisandru/0000-0002-3618-1582; BLANCHON, Thierry/0000-0001-9623-3906</t>
  </si>
  <si>
    <t xml:space="preserve">European Union</t>
  </si>
  <si>
    <t xml:space="preserve">European Union(European Union (EU))</t>
  </si>
  <si>
    <t xml:space="preserve">Funding and support: European Union.</t>
  </si>
  <si>
    <t xml:space="preserve">SPRINGER INT PUBL AG</t>
  </si>
  <si>
    <t xml:space="preserve">CHAM</t>
  </si>
  <si>
    <t xml:space="preserve">GEWERBESTRASSE 11, CHAM, CH-6330, SWITZERLAND</t>
  </si>
  <si>
    <t xml:space="preserve">2193-1801</t>
  </si>
  <si>
    <t xml:space="preserve">SpringerPlus</t>
  </si>
  <si>
    <t xml:space="preserve">AUG 11</t>
  </si>
  <si>
    <t xml:space="preserve">10.1186/s40064-016-2957-z</t>
  </si>
  <si>
    <t xml:space="preserve">DT7BZ</t>
  </si>
  <si>
    <t xml:space="preserve">WOS:000381642600023</t>
  </si>
  <si>
    <t xml:space="preserve">Ursic, T; Miksic, NG; Lusa, L; Strle, F; Petrovec, M</t>
  </si>
  <si>
    <t xml:space="preserve">Ursic, Tina; Miksic, Nina Gorisek; Lusa, Lara; Strle, Franc; Petrovec, Miroslav</t>
  </si>
  <si>
    <t xml:space="preserve">Viral respiratory infections in a nursing home: a six-month prospective study</t>
  </si>
  <si>
    <t xml:space="preserve">Nursing home; Respiratory infections; Viral etiology; Nursing home residents; Nursing home caregivers; Visitors; Influenza A virus; Respiratory syncytial virus; Human metapneumovirus; Human rhinovirus/enterovirus</t>
  </si>
  <si>
    <t xml:space="preserve">COMMUNITY-ACQUIRED PNEUMONIA; TERM-CARE FACILITIES; OLDER-ADULTS; HUMAN METAPNEUMOVIRUS; TRACT INFECTION; VIRUSES; SURVEILLANCE; RESIDENTS; INFLUENZA; OUTBREAK</t>
  </si>
  <si>
    <t xml:space="preserve">Background: The knowledge on viral respiratory infections in nursing home (NH) residents and their caregivers is limited. The purpose of the present study was to assess and compare the incidence of acute respiratory infections (ARI) in nursing home (NH) residents and staff, to identify viruses involved in ARI and to correlate viral etiology with clinical manifestations of ARI. Methods: The prospective surveillance study was accomplished in a medium-sized NH in Slovenia (central Europe). Ninety NH residents and 42 NH staff were included. Nasopharyngeal swabs were collected from all participants at enrollment (December 5th, 2011) and at the end of the study (May 31st, 2012), and from each participant that developed ARI within this timeframe. Molecular detection of 15 respiratory viruses in nasopharyngeal swab samples was performed. Results: The weekly incidence rate of ARI in NH residents and NH staff correlated; however, it was higher in staff members than in residents (5.9 versus 3.8/1,000 person-days, P = 0.03), and was 2.5 (95 % CI: 1.36-4.72) times greater in residents without dementia than in residents with dementia. Staff members typically presented with upper respiratory tract involvement, whereas in residents lower respiratory tract infections predominated. Respiratory viruses were detected in 55/100 ARI episodes. In residents, influenza A virus, respiratory syncytial virus, and human metapneumovirus were detected most commonly, whereas in NH staff rhinovirus and influenza A virus prevailed. 38/100 ARI episodes (30/56 in residents, 8/44 in staff) belonged to one of three outbreaks (caused by human metapneumovirus, influenza A virus and respiratory syncytial virus, respectively). NH residents had higher chances for virus positivity within outbreak than HN staff (OR = 7.4, 95 % CI: 1.73-31.48, P &lt; 0.01). Conclusions: ARI are common among NH residents and staff, and viruses were detected in a majority of the episodes of ARI. Many ARI episodes among NH residents were outbreak cases and could be considered preventable.</t>
  </si>
  <si>
    <t xml:space="preserve">[Ursic, Tina; Petrovec, Miroslav] Univ Ljubljana, Fac Med, Inst Microbiol &amp; Immunol, Zaloska 4, Ljubljana 1000, Slovenia; [Miksic, Nina Gorisek] Univ Maribor, Med Ctr, Dept Infect Dis, Ljubljanska 5, SLO-2000 Maribor, Slovenia; [Lusa, Lara] Inst Biostat &amp; Med Informat, Fac Med, Vrazov Trg 2, Ljubljana 1104, Slovenia; [Strle, Franc] Univ Med Ctr Ljubljana, Dept Infect Dis, Japljeva 2, Ljubljana 1525, Slovenia</t>
  </si>
  <si>
    <t xml:space="preserve">University of Ljubljana; University of Maribor; University Medical Centre Ljubljana</t>
  </si>
  <si>
    <t xml:space="preserve">Ursic, T (corresponding author), Univ Ljubljana, Fac Med, Inst Microbiol &amp; Immunol, Zaloska 4, Ljubljana 1000, Slovenia.</t>
  </si>
  <si>
    <t xml:space="preserve">tina.ursic@mf.uni-lj.si</t>
  </si>
  <si>
    <t xml:space="preserve">Lusa, Lara/C-6692-2015</t>
  </si>
  <si>
    <t xml:space="preserve">Lusa, Lara/0000-0002-8981-2421</t>
  </si>
  <si>
    <t xml:space="preserve">Slovenian Research Agency [P3-0083, P3-0296]</t>
  </si>
  <si>
    <t xml:space="preserve">Slovenian Research Agency(Slovenian Research Agency - Slovenia)</t>
  </si>
  <si>
    <t xml:space="preserve">This study was supported by the Slovenian Research Agency (Research Programs P3-0083 and P3-0296) and institutional department funds.</t>
  </si>
  <si>
    <t xml:space="preserve">NOV 4</t>
  </si>
  <si>
    <t xml:space="preserve">10.1186/s12879-016-1962-8</t>
  </si>
  <si>
    <t xml:space="preserve">EB1BA</t>
  </si>
  <si>
    <t xml:space="preserve">WOS:000387080000001</t>
  </si>
  <si>
    <t xml:space="preserve">Pizzorno, A; Masner, M; Médici, C; Sarachaga, MJ; Rubio, I; Mirazo, S; Frabasile, S; Arbiza, J</t>
  </si>
  <si>
    <t xml:space="preserve">Pizzorno, A.; Masner, M.; Medici, C.; Sarachaga, M. J.; Rubio, I.; Mirazo, S.; Frabasile, S.; Arbiza, J.</t>
  </si>
  <si>
    <t xml:space="preserve">Molecular Detection and Genetic Variability of Human Metapneumovirus in Uruguay</t>
  </si>
  <si>
    <t xml:space="preserve">nucleoprotein; attachment glycoprotein; acute respiratory tract infection; phylogeny</t>
  </si>
  <si>
    <t xml:space="preserve">RESPIRATORY-SYNCYTIAL-VIRUS; YOUNG-CHILDREN; EPIDEMIOLOGY; SEQUENCE; DISEASE; SEROPREVALENCE; INFECTIONS; DIVERSITY</t>
  </si>
  <si>
    <t xml:space="preserve">Human metapneumovirus (hMPV) has been described as circulating among the Uruguayan population at least since 1998 based on serologic evidence. However, no isolation attempts, molecular detection, or genetic studies have been carried out so far in the country. In the present study, molecular detection of circulating hMPV in children hospitalized with acute respiratory tract infection in Montevideo-Uruguay was carried out by reverse transcription-polymerase chain reaction (RT-PCR) amplification of the hMPV nucleoprotein (N) gene from 217 nasopharyngeal aspirates. Genetic variability analysis of the positive samples was performed by amplification and sequencing of both N and attachment glycoprotein (G) genes. Eighteen of the 217 samples tested positive for hMPV, with tachypnea, chest indrawing, and wheezing being the main clinical symptoms recorded. Phylogenetic analysis of N and G genes showed that Uruguayan samples clustered in genotypes described previously as A2, B1, and B2, with bootstrap values &gt;= 98%. Sublineages A2a and A2b could also be distinguished within the samples that belong to A2. This is the first molecular report on the circulation of hMPV in Uruguay. The pattern of circulation of this virus, analyzed for both N and G genes independently, resembles the complex evolutionary pattern of respiratory syncytial virus (RSV). J. Med. Virol. 82:861-865, 2010. (C) 2010 Wiley-Liss, Inc.</t>
  </si>
  <si>
    <t xml:space="preserve">[Frabasile, S.] Univ Republica, Secc Virol, Fac Ciencias, Dept Virol, Montevideo, Uruguay; [Medici, C.; Sarachaga, M. J.; Rubio, I.] Univ Republica, Pereira Rossell Hosp, Fac Med, Montevideo 11400, Uruguay</t>
  </si>
  <si>
    <t xml:space="preserve">Universidad de la Republica, Uruguay; Universidad de la Republica, Uruguay</t>
  </si>
  <si>
    <t xml:space="preserve">Frabasile, S (corresponding author), Univ Republica, Secc Virol, Fac Ciencias, Dept Virol, Igua 4225 11400, Montevideo, Uruguay.</t>
  </si>
  <si>
    <t xml:space="preserve">sfrabasile@feien.edu.uy</t>
  </si>
  <si>
    <t xml:space="preserve">Pizzorno, Andrés/M-9633-2019; Pizzorno, Mario Andres/L-7810-2017</t>
  </si>
  <si>
    <t xml:space="preserve">Mirazo, Santiago/0000-0003-0121-5268; Pizzorno, Mario Andres/0000-0002-0918-6804</t>
  </si>
  <si>
    <t xml:space="preserve">10.1002/jmv.21752</t>
  </si>
  <si>
    <t xml:space="preserve">578VK</t>
  </si>
  <si>
    <t xml:space="preserve">WOS:000276324100019</t>
  </si>
  <si>
    <t xml:space="preserve">Druce, J; Tran, T; Kelly, H; Kaye, M; Chibo, D; Kostecki, R; Amiri, A; Catton, M; Birch, C</t>
  </si>
  <si>
    <t xml:space="preserve">Laboratory diagnosis and surveillance of human respiratory viruses by PCR in Victoria, Australia, 2002-2003</t>
  </si>
  <si>
    <t xml:space="preserve">nucleic acid detection; viruses causing respiratory symptoms; hospitalized patients; influenza surveillance</t>
  </si>
  <si>
    <t xml:space="preserve">POLYMERASE-CHAIN-REACTION; SYNCYTIAL VIRUS; RHINOVIRUS INFECTIONS; PARAINFLUENZA VIRUS; CONTROLLED-TRIALS; DISEASE; ADENOVIRUS; INFLUENZA; ADULTS; YOUNG</t>
  </si>
  <si>
    <t xml:space="preserve">Respiratory viruses were identified by the polymerase chain reaction (PCR) in more than 4,200 specimens collected during 2002 and 2003 in Victoria, Australia from patients admitted to hospitals or participating in an influenza surveillance program. Influenza viruses and picorna-viruses were important causes of morbidity in both years. Additional testing of picornavirus-positive samples suggested that rhinoviruses but not enteroviruses were more likely to be associated with respiratory symptoms, irrespective of the season in which they circulated. Detection of influenza viruses was strongly associated with the clinical symptoms of cough, fever, and fatigue; but each of the other respiratory viruses occasionally caused these symptoms or was responsible for symptoms severe enough to require hospitalization. Human coronaviruses HCoV-OC43 and HCoV-229E circulated at low levels throughout the study period with peak activity in winter, but overall did not circulate as widely as has often been reported for these agents. Evidence for the human metapneumo-virus (hMPV) was only sought in the second year of the study and revealed low-level circulation of this virus, mainly in the cooler months among the very young and adult populations. The detection rate of all viruses declined with increasing age of the patient, particularly in hospital patients. Infection with more than one respiratory virus occurred in a small number of patients; picorna-viruses were most commonly implicated in these dual infections. (C) 2005 Wiley-Liss, Inc.</t>
  </si>
  <si>
    <t xml:space="preserve">Dept Virol, Victorian Infect Dis Res Lab, Melbourne, Vic 3051, Australia</t>
  </si>
  <si>
    <t xml:space="preserve">Victorian Infectious Diseases Reference Laboratory</t>
  </si>
  <si>
    <t xml:space="preserve">Dept Virol, Victorian Infect Dis Res Lab, 10 Wreckyn St, Melbourne, Vic 3051, Australia.</t>
  </si>
  <si>
    <t xml:space="preserve">chris.birch@mh.org.au</t>
  </si>
  <si>
    <t xml:space="preserve">Chibo, Doris/0000-0002-6950-6910; Druce, Julian/0000-0002-3521-3298</t>
  </si>
  <si>
    <t xml:space="preserve">10.1002/jmv.20246</t>
  </si>
  <si>
    <t xml:space="preserve">875GS</t>
  </si>
  <si>
    <t xml:space="preserve">WOS:000225408900018</t>
  </si>
  <si>
    <t xml:space="preserve">Kehl, SC; Kumar, S</t>
  </si>
  <si>
    <t xml:space="preserve">Kehl, Sue C.; Kumar, Swati</t>
  </si>
  <si>
    <t xml:space="preserve">Utilization of Nucleic Acid Amplification Assays for the Detection of Respiratory Viruses</t>
  </si>
  <si>
    <t xml:space="preserve">Nucleic acid amplification assays; Respiratory virus; Influenza; Respiratory syncytial virus; Molecular methods; PCR</t>
  </si>
  <si>
    <t xml:space="preserve">REVERSE TRANSCRIPTION-PCR; POLYMERASE-CHAIN-REACTION; REAL-TIME PCR; SEQUENCE-BASED AMPLIFICATION; INFLUENZA-B VIRUSES; SYNCYTIAL-VIRUS; TRACT INFECTIONS; MULTIPLEX PCR; HUMAN METAPNEUMOVIRUS; NUCLISENS EASYMAG</t>
  </si>
  <si>
    <t xml:space="preserve">Viruses are major contributors to morbidity and mortality from acute respiratory infections in all age groups worldwide. Accurate identification of the etiologic agent of respiratory tract infections is important for proper patient management. Diagnosis can be problematic, because a range of potential pathogens can cause similar clinical symptoms. Nucleic acid amplification testing is emerging as the preferred method of diagnostic testing. Real-time technology and the ability to perform multiplex testing have facilitated this emergence. Commercial platforms for nucleic acid amplification testing of respiratory viruses include real-time polymerase chain reaction (PCR), nucleic acid sequence-based amplification, and loop-mediated isothermal amplification. Multiplex PCR with fluidic microarrays or DNA chips are the most recent diagnostic advance. These assays offer significant advantages in sensitivity over antigen detection methods and in most cases also over traditional culture methods. A limited number of assays, however, are commercially available, thus laboratory developed assays frequently are used. This article reviews the performance of commercially available assays and discusses issues relevant to the development of in-house assays.</t>
  </si>
  <si>
    <t xml:space="preserve">[Kehl, Sue C.] Med Coll Wisconsin, Dept Pathol, Milwaukee, WI 53226 USA; [Kehl, Sue C.; Kumar, Swati] Childrens Hosp Wisconsin, Milwaukee, WI 53201 USA; [Kumar, Swati] Med Coll Wisconsin, Div Infect Dis, Milwaukee, WI 53226 USA</t>
  </si>
  <si>
    <t xml:space="preserve">Medical College of Wisconsin; Children's Hospital of Wisconsin; Medical College of Wisconsin</t>
  </si>
  <si>
    <t xml:space="preserve">Kehl, SC (corresponding author), Med Coll Wisconsin, Dept Pathol, POB 26509, Milwaukee, WI 53226 USA.</t>
  </si>
  <si>
    <t xml:space="preserve">kskehl@mcw.edu</t>
  </si>
  <si>
    <t xml:space="preserve">10.1016/j.cll.2009.07.008</t>
  </si>
  <si>
    <t xml:space="preserve">524SB</t>
  </si>
  <si>
    <t xml:space="preserve">WOS:000272162100005</t>
  </si>
  <si>
    <t xml:space="preserve">Smuts, H; Workman, L; Zar, HJ</t>
  </si>
  <si>
    <t xml:space="preserve">Smuts, Heidi; Workman, Lesley; Zar, Heather J.</t>
  </si>
  <si>
    <t xml:space="preserve">Role of human metapneumovirus, human coronavirus NL63 and human bocavirus in infants and young children with acute wheezing</t>
  </si>
  <si>
    <t xml:space="preserve">novel respiratory viruses; wheezing; pediatric</t>
  </si>
  <si>
    <t xml:space="preserve">RESPIRATORY-TRACT DISEASE; SYNCYTIAL VIRUS; SOUTH-AFRICA; CLINICAL CHARACTERISTICS; HOSPITALIZED CHILDREN; FREQUENT DETECTION; NORTH-AMERICA; INFECTIONS; ASTHMA; IDENTIFICATION</t>
  </si>
  <si>
    <t xml:space="preserve">The role of the novel respiratory viruses, human metapneumovirus (hMPV), human coronavirus NL63 (HCoV NL63) and human bocavirus (HBoV), in wheezing illness in children has not been well studied, especially in Africa. The aim of this study was to investigate the prevalence of hMPV, HCoV NL63 and HBoV in South African children with acute wheezing. A prospective study of consecutive children presenting with acute wheezing to a pediatric hospital from May 2004 to November 2005 was undertaken. A nasal swab was taken for reverse transcription-polymerase chain reaction (RT-PCR) and PCR for hMPV, HCoV NL63 and HBoV; when positive, the genes were sequenced. Shell vial culture for RSV, influenza A and B viruses, adenovirus and parainfluenza viruses 1, 2, 3 was performed on every 5th sample. Two hundred and forty two nasal swabs were collected from 238 children (median age 12.4 months). A novel respiratory virus was found in 44/242 (18.2%). hMPV, HBoV, and HCoV NL63 was found in 20 (8.3%), 18 (7.4%), and 6 (2.4%) of samples, respectively. Fifteen of 59 (25%) samples were positive for other respiratory viruses. Viral co-infections, occurred in 6/242 (2.5%). Phylogenetic analysis showed co-circulation of hMPV and HCoV NL63 A and B lineages, although only HBoV genotype st2 was found. Viruses are an important cause of wheezing in preschool children; hMPV, HCoV NL63, and HBoV are less common than the usual respiratory pathogens. J. Med. Virol. 80:906-912, 2008. (C) 2008 Wiley-Liss, Inc.</t>
  </si>
  <si>
    <t xml:space="preserve">[Smuts, Heidi] Univ Cape Town, Fac Hlth Sci, Dept Clin Lab Sci, Div Med Virol NHLS,Observ 7925, ZA-7925 Cape Town, South Africa; [Workman, Lesley] Univ Cape Town, Inst Infect Dis &amp; Mol Med, S Africa TB Vaccine Initiat, ZA-7925 Cape Town, South Africa; [Zar, Heather J.] Univ Cape Town, Red Cross Childrens Hosp, Sch Child &amp; Adolescent Hlth, ZA-7925 Cape Town, South Africa</t>
  </si>
  <si>
    <t xml:space="preserve">University of Cape Town; University of Cape Town; University of Cape Town</t>
  </si>
  <si>
    <t xml:space="preserve">Smuts, H (corresponding author), Univ Cape Town, Fac Hlth Sci, Dept Clin Lab Sci, Div Med Virol NHLS,Observ 7925, Anzio Rd, ZA-7925 Cape Town, South Africa.</t>
  </si>
  <si>
    <t xml:space="preserve">heidi.smuts@uct.ac.za</t>
  </si>
  <si>
    <t xml:space="preserve">Zar, Heather/GZL-5350-2022</t>
  </si>
  <si>
    <t xml:space="preserve">Zar, Heather/0000-0002-9046-759X</t>
  </si>
  <si>
    <t xml:space="preserve">10.1002/jmv.21135</t>
  </si>
  <si>
    <t xml:space="preserve">282TN</t>
  </si>
  <si>
    <t xml:space="preserve">WOS:000254590200024</t>
  </si>
  <si>
    <t xml:space="preserve">Riley, KW; Gonzalez, A; Risser, DD</t>
  </si>
  <si>
    <t xml:space="preserve">Riley, Kelsey W.; Gonzalez, Alfonso; Risser, Douglas D.</t>
  </si>
  <si>
    <t xml:space="preserve">A partner-switching regulatory system controls hormogonium development in the filamentous cyanobacterium Nostoc punctiforme</t>
  </si>
  <si>
    <t xml:space="preserve">MOLECULAR MICROBIOLOGY</t>
  </si>
  <si>
    <t xml:space="preserve">Nostoc punctiforme; gliding motility; hormogonia; partner-switching system; type IV pili; signal transduction</t>
  </si>
  <si>
    <t xml:space="preserve">GREAT OXIDATION EVENT; SIGMA-FACTOR ANTAGONISTS; ANTHOCEROS-PUNCTATUS; 2-HYBRID SYSTEM; MYCOBACTERIUM-TUBERCULOSIS; HETEROCYST DIFFERENTIATION; TRANSCRIPTIONAL REGULATION; SYMBIOTIC CYANOBACTERIUM; POLYSACCHARIDE SECRETION; STAPHYLOCOCCUS-AUREUS</t>
  </si>
  <si>
    <t xml:space="preserve">Filamentous cyanobacteria exhibit developmental complexity, including the transient differentiation of motile hormogonia in many species. Using a forward genetic approach, a trio of genes unique to filamentous cyanobacteria encoding a putative Rsb-like partner-switching regulatory system (PSRS) was implicated in regulating hormogonium development in the model filamentous cyanobacterium Nostoc punctiforme. Analysis of in-frame deletion strains indicated that HmpU (putative serine phosphatase) and HmpV (STAS domain) enhance, while HmpW (putative serine kinase) represses motility and persistence of the hormogonium state. Protein-protein interaction studies demonstrated specificity between HmpW and HmpV. Epistasis analysis between hmpW and hmpV was consistent with HmpV acting as the downstream effector of the system, rather than regulation of a sigma factor by HmpW. Deletion of hmpU or hmpV reduced accumulation of extracellular PilA and hormogonium polysaccharide (HPS), and expression of type IV pilus- and HPS-specific genes was reduced in the hmpV strain. Expression of the Hmp PSRS is induced in hormogonia, and the cytoplasmic localization of HmpV-GFPuv implies that its downstream target is probably cytoplasmic as well. Collectively, these results support a model where HmpU and HmpW antagonistically regulate the phosphorylation state of HmpV, and subsequently, unphosphorylated HmpV positively regulates an undefined downstream target to affect hormogonium-specific gene expression.</t>
  </si>
  <si>
    <t xml:space="preserve">[Riley, Kelsey W.; Gonzalez, Alfonso; Risser, Douglas D.] Univ Pacific, Dept Biol, Stockton, CA 95211 USA</t>
  </si>
  <si>
    <t xml:space="preserve">University of the Pacific</t>
  </si>
  <si>
    <t xml:space="preserve">Risser, DD (corresponding author), Univ Pacific, Dept Biol, Stockton, CA 95211 USA.</t>
  </si>
  <si>
    <t xml:space="preserve">drisser@pacific.edu</t>
  </si>
  <si>
    <t xml:space="preserve">Risser, Douglas/0000-0003-1981-0049</t>
  </si>
  <si>
    <t xml:space="preserve">NSF [1753690]; Direct For Biological Sciences; Division Of Integrative Organismal Systems [1753690] Funding Source: National Science Foundation</t>
  </si>
  <si>
    <t xml:space="preserve">NSF(National Science Foundation (NSF)); Direct For Biological Sciences; Division Of Integrative Organismal Systems(National Science Foundation (NSF)NSF - Directorate for Biological Sciences (BIO)NSF - Division of Integrative Organismal Systems (IOS))</t>
  </si>
  <si>
    <t xml:space="preserve">We like to thank the Lin-Cereghino lab for use of and assistance with their vacuum blot module for lectin blot analysis, and Carrie Kozina and the Microbiology (BIOL 145) laboratory course teaching assistants and students for purification of chromosomal DNA from non-motile transposon mutants of N. punctiforme. This work was supported by NSF award #1753690.</t>
  </si>
  <si>
    <t xml:space="preserve">0950-382X</t>
  </si>
  <si>
    <t xml:space="preserve">1365-2958</t>
  </si>
  <si>
    <t xml:space="preserve">MOL MICROBIOL</t>
  </si>
  <si>
    <t xml:space="preserve">Mol. Microbiol.</t>
  </si>
  <si>
    <t xml:space="preserve">10.1111/mmi.14061</t>
  </si>
  <si>
    <t xml:space="preserve">Biochemistry &amp; Molecular Biology; Microbiology</t>
  </si>
  <si>
    <t xml:space="preserve">GV9ZU</t>
  </si>
  <si>
    <t xml:space="preserve">WOS:000446522100011</t>
  </si>
  <si>
    <t xml:space="preserve">Lee, N; Chan, PKS; Yu, IT; Tsoi, KK; Lui, G; Sung, JJY; Cockram, CS</t>
  </si>
  <si>
    <t xml:space="preserve">Lee, N.; Chan, P. K. S.; Yu, I. T.; Tsoi, K. K.; Lui, G.; Sung, J. J. Y.; Cockram, C. S.</t>
  </si>
  <si>
    <t xml:space="preserve">Co-circulation of human metapneumovirus and SARS-associated coronavirus during a major nosocomial SARS outbreak in Hong Kong</t>
  </si>
  <si>
    <t xml:space="preserve">nosocomial outbreak; human metapneumovirus; SARS</t>
  </si>
  <si>
    <t xml:space="preserve">ACUTE RESPIRATORY SYNDROME; STAPHYLOCOCCUS-AUREUS; TRACT INFECTION; INFLUENZA; ROTAVIRUS; SEVERITY</t>
  </si>
  <si>
    <t xml:space="preserve">Background: The clinico-epidemiological significance of human metapneumovirus (hMPV) detected during the SARS outbreak is unknown. Objectives: To characterize a nosocomial hMPV outbreak during the 2003 SARS epidemic. Study design and methods: All available nasopharyngeal aspirate (NPA) collected from confirmed patients during the first 8 weeks of the SARS outbreak in 2003 were tested for hMPV by a nested RT-PCR assay targeting the F-gene. Clinico-epidemiological information was used to analyze the relationship of hMPV co-infection to specific risk factors (demographics/symptoms/outcomes; status as health-care workers (HCWs)/patients; history of exposure/contact; ward location). Multivariate logistic regression analysis was performed to determine independent risk factors. Results: An hMPV outbreak occurred during 6-16 March 2003 (first week of the Hong Kong SARS epidemic). hMPV RNA was detected in 31 of 155 (20%) NPAs from SARS patients. HCW status (OR 2.72, 95% CI 1.11-6.68; p = 0.029) or epidemiological linkage to the SARS outbreak ward (OR 3.59, 95% CI 1.42-9.05; p = 0.007) were independent factors associated with hMPV infection. Symptoms of cough and coryza were more common in co-infected individuals (22.6% vs. 15.9%) but this was not statistically significant. Other clinical manifestations and outcomes were hot different in co-infected patients. Conclusions: A major nosocomial hMPV outbreak involving HCWs occurred during the early SARS epidemic. Patients with dual hMPV and SARS infection were not sicker than those with SARS infection only. (C) 2007 Elsevier B.V. All rights reserved.</t>
  </si>
  <si>
    <t xml:space="preserve">[Chan, P. K. S.] Chinese Univ Hong Kong, Prince Wales Hosp, Dept Microbiol, Hong Kong, Hong Kong, Peoples R China; [Lee, N.; Tsoi, K. K.; Lui, G.; Sung, J. J. Y.; Cockram, C. S.] Chinese Univ Hong Kong, Dept Med &amp; Therapeut, Hong Kong, Peoples R China; [Yu, I. T.] Chinese Univ Hong Kong, Dept Family &amp; Community Med, Hong Kong, Peoples R China</t>
  </si>
  <si>
    <t xml:space="preserve">Chinese University of Hong Kong; Prince of Wales Hospital; Chinese University of Hong Kong; Chinese University of Hong Kong</t>
  </si>
  <si>
    <t xml:space="preserve">Chan, PKS (corresponding author), Chinese Univ Hong Kong, Prince Wales Hosp, Dept Microbiol, Hong Kong, Hong Kong, Peoples R China.</t>
  </si>
  <si>
    <t xml:space="preserve">paulkschan@cuhk.edu.hk</t>
  </si>
  <si>
    <t xml:space="preserve">Yu, Ignatius/A-9936-2008; Lui, Grace/N-4498-2019; Lee, Nelson/B-6418-2008; Chan, Paul/J-9360-2013; Lui, Chung Yan Grace/N-5178-2016; SUNG, Joseph J Y/R-3203-2018</t>
  </si>
  <si>
    <t xml:space="preserve">Chan, Paul/0000-0002-6360-4608; Lui, Chung Yan Grace/0000-0001-5242-2967; Lee, Nelson/0000-0002-0783-6607; SUNG, Joseph J Y/0000-0003-3125-5199</t>
  </si>
  <si>
    <t xml:space="preserve">10.1016/j.jcv.2007.08.015</t>
  </si>
  <si>
    <t xml:space="preserve">247TK</t>
  </si>
  <si>
    <t xml:space="preserve">WOS:000252103400013</t>
  </si>
  <si>
    <t xml:space="preserve">Foley, DA; Sikazwe, CT; Minney-Smith, CA; Ernst, T; Moore, HC; Nicol, MP; Smith, DW; Levy, A; Blyth, CC</t>
  </si>
  <si>
    <t xml:space="preserve">Foley, David Anthony; Sikazwe, Chisha T.; Minney-Smith, Cara A.; Ernst, Timo; Moore, Hannah C.; Nicol, Mark P.; Smith, David W.; Levy, Avram; Blyth, Christopher C.</t>
  </si>
  <si>
    <t xml:space="preserve">An Unusual Resurgence of Human Metapneumovirus in Western Australia Following the Reduction of Non-Pharmaceutical Interventions to Prevent SARS-CoV-2 Transmission</t>
  </si>
  <si>
    <t xml:space="preserve">non-pharmaceutical interventions; human metapneumovirus; seasonality; transmission</t>
  </si>
  <si>
    <t xml:space="preserve">RESPIRATORY SYNCYTIAL VIRUS; INFLUENZA; INFECTIONS; CHILDREN; RATES; YOUNG</t>
  </si>
  <si>
    <t xml:space="preserve">Non-pharmaceutical interventions (NPIs) to reduce SARS-CoV-2 transmission disrupted respiratory virus seasonality. We examined the unusual return of human metapneumovirus (hMPV) in Western Australia following a period of absence in 2020. We analysed hMPV laboratory testing data from 1 January 2017 to 31 December 2021. Whole-genome sequencing of selected hMPV-positive samples was performed using a tiled-amplicon approach. Following an absence in spring 2020, an unusual hMPV surge was observed during the wet summer season in the tropical Northern region in late 2020. Following a six-month delay, an intense winter season occurred in the subtropical/temperate Southern and Metropolitan regions. Compared to 2017-2019, hMPV incidence in 2021 increased by 3-fold, with a greater than 4-fold increase in children aged 1-4 years. There was a collapse in hMPV diversity in 2020, with the emergence of a single subtype. NPIs contributed to an absent 2020 season and a clonal hMPV resurgence. The summer surge and delayed winter season suggest that prevailing temperature and humidity are keys determinant of hMPV transmission. The increased incidence in 2021 was linked to an expanded cohort of hMPV-naive 1-4-year-old children and waning population immunity. Further intense and unusual respiratory virus seasons are expected as COVID-19 associated NPIs are removed.</t>
  </si>
  <si>
    <t xml:space="preserve">[Foley, David Anthony; Sikazwe, Chisha T.; Minney-Smith, Cara A.; Smith, David W.; Levy, Avram; Blyth, Christopher C.] PathWest Lab Med, Dept Microbiol, Perth, WA 6009, Australia; [Foley, David Anthony; Moore, Hannah C.; Blyth, Christopher C.] Univ Western Australia, Wesfarmers Ctr Vaccines &amp; Infect Dis, Telethon Kids Inst, Perth, WA 6009, Australia; [Foley, David Anthony; Smith, David W.; Blyth, Christopher C.] Univ Western Australia, Sch Med, Perth, WA 6009, Australia; [Sikazwe, Chisha T.; Ernst, Timo; Nicol, Mark P.; Levy, Avram] Univ Western Australia, Sch Biomed Sci, Infect &amp; Immun, Perth, WA 6009, Australia; [Moore, Hannah C.] Curtin Univ, Fac Hlth Sci, Sch Populat Hlth, Perth, WA 6102, Australia; [Blyth, Christopher C.] Perth Childrens Hosp, Dept Infect Dis, Perth, WA 6009, Australia</t>
  </si>
  <si>
    <t xml:space="preserve">Pathwest Laboratory Medicine; The Kids Research Institute Australia; Wesfarmers Limited; University of Western Australia; University of Western Australia; University of Western Australia; Curtin University; Perth Childrens Hospital</t>
  </si>
  <si>
    <t xml:space="preserve">Foley, DA (corresponding author), PathWest Lab Med, Dept Microbiol, Perth, WA 6009, Australia.;Foley, DA (corresponding author), Univ Western Australia, Wesfarmers Ctr Vaccines &amp; Infect Dis, Telethon Kids Inst, Perth, WA 6009, Australia.;Foley, DA (corresponding author), Univ Western Australia, Sch Med, Perth, WA 6009, Australia.</t>
  </si>
  <si>
    <t xml:space="preserve">david.foley@telethonkids.org.au</t>
  </si>
  <si>
    <t xml:space="preserve">Moore, Hannah/G-3690-2011; Nicol, Mark/W-4149-2019; Blyth, Christopher/ABG-8231-2020; Moore, Hannah/W-4727-2018; Nicol, Mark/J-4987-2014</t>
  </si>
  <si>
    <t xml:space="preserve">Moore, Hannah/0000-0001-6434-8290; Blyth, Christopher Charles/0000-0003-2017-0683; Nicol, Mark/0000-0002-1366-4805; Sikazwe, Chisha/0000-0002-1052-9018; Foley, David Anthony/0000-0002-8622-7809; Levy, Avram/0000-0002-0934-2387; Smith, David/0000-0002-3107-5182</t>
  </si>
  <si>
    <t xml:space="preserve">10.3390/v14102135</t>
  </si>
  <si>
    <t xml:space="preserve">5Q1RC</t>
  </si>
  <si>
    <t xml:space="preserve">WOS:000873615000001</t>
  </si>
  <si>
    <t xml:space="preserve">Jain, A; Prakash, S; Jain, B</t>
  </si>
  <si>
    <t xml:space="preserve">Jain, Amita; Prakash, Shantanu; Jain, Bhawana</t>
  </si>
  <si>
    <t xml:space="preserve">Contribution of non-influenza respiratory viruses in causation of Influenza like Illness (ILI) during influenza epidemic: A laboratory based study</t>
  </si>
  <si>
    <t xml:space="preserve">Non-influenza respiratory viruses; Epidemic; Influenza like illness(ILI)</t>
  </si>
  <si>
    <t xml:space="preserve">VIRAL ETIOLOGY</t>
  </si>
  <si>
    <t xml:space="preserve">Introduction: According to CDC USA February 2016 document for outpatient illness surveillance, Influenza like illness (ILI) is defined as fever (temperature of 100 degrees F [37.8 degrees C] or greater) and a cough and/or a sore throat without a known cause other than influenza. Most of the laboratories do not test for other known causes of ILI, especially in situation like epidemics. Objective: In the present study we detected Influenza and other respiratory viruses in the cases presenting as ILI during a flu epidemic in North India from January to April 2015. Materials and methods: Total 200 cases, 50 from each month, that were negative for all types of influenza viruses, were randomly selected and tested by Multiplex Real-Time PCR for detection of other respiratory viruses; rhinovirus, adenovirus, Respiratory Syncitial virus (RSV), Human Boca virus (hBoV), Para Influenza viruses 1,2,3, and 4 (PIV 1, PIV 2, PIV 3, PIV 4), measles virus and human Meta Pneumo virus ( hMPV). Results: A total of 28/200 cases (14%) showed presence of other respiratory viruses. Rhinovirus was most commonly detected, (17/200; 8.5%) followed by adenovirus (7/200, 3.5%), RSV (5/200, 2.5%), hBoV (2/200, 1%), and PIV-3 (2/200, 1%). PIV 1, 2, 4, measles and hMPV were not detected in any of the samples. Conclusion: Even during an epidemic other respiratory viruses contribute substantially to ILI (C) 2017 INDIACLEN. Published by Elsevier, a division of RELX India, Pvt. Ltd. All rights reserved.</t>
  </si>
  <si>
    <t xml:space="preserve">[Jain, Amita; Prakash, Shantanu; Jain, Bhawana] King Georges Med Univ, Dept Microbiol, Virol Lab, Lucknow 226003, Uttar Pradesh, India</t>
  </si>
  <si>
    <t xml:space="preserve">King George's Medical University</t>
  </si>
  <si>
    <t xml:space="preserve">Jain, A (corresponding author), King Georges Med Univ, Dept Microbiol, Virol Lab, Lucknow 226003, Uttar Pradesh, India.</t>
  </si>
  <si>
    <t xml:space="preserve">amita602002@yahoo.com; shantanukgmu@gmail.com; drbhawana_kgmu@hotmail.com</t>
  </si>
  <si>
    <t xml:space="preserve">jain, amita/ABA-9223-2020</t>
  </si>
  <si>
    <t xml:space="preserve">Indian Council of Medical Research, New Delhi, India [5/8/7/14/2009-ECD-1(Vol.II), 5/8/7/14/2010-ECD-1]</t>
  </si>
  <si>
    <t xml:space="preserve">Indian Council of Medical Research, New Delhi, India(Indian Council of Medical Research (ICMR))</t>
  </si>
  <si>
    <t xml:space="preserve">The authors acknowledge the Indian Council of Medical Research, New Delhi, India for financial support [5/8/7/14/2009-ECD-1(Vol.II)] and infrastructure [5/8/7/14/2010-ECD-1]. We are grateful to the staff of Virology Diagnostic Laboratory (VDL) for their contribution in diagnosis and investigation of outbreak cases during 2015.</t>
  </si>
  <si>
    <t xml:space="preserve">10.1016/j.cegh.2017.06.001</t>
  </si>
  <si>
    <t xml:space="preserve">FO7NS</t>
  </si>
  <si>
    <t xml:space="preserve">WOS:000417063500004</t>
  </si>
  <si>
    <t xml:space="preserve">Nyoka, R; Achia, TNO; Omony, J; Musili, SM; Gichangi, A; Mwambi, H</t>
  </si>
  <si>
    <t xml:space="preserve">Nyoka, Raymond; Achia, Thomas N. O.; Omony, Jimmy; Musili, Samuel M.; Gichangi, Anthony; Mwambi, Henry</t>
  </si>
  <si>
    <t xml:space="preserve">Time series non-Gaussian Bayesian bivariate model applied to data on HMPV and RSV: a case of Dadaab in Kenya</t>
  </si>
  <si>
    <t xml:space="preserve">BMC PUBLIC HEALTH</t>
  </si>
  <si>
    <t xml:space="preserve">Non-Gaussian bivariate Bayesian model; RSV; HMPV; Epidemic; Time series; Climatic factors</t>
  </si>
  <si>
    <t xml:space="preserve">RESPIRATORY SYNCYTIAL VIRUS; HUMAN METAPNEUMOVIRUS; DENDRITIC CELLS; INFECTIONS; CHILDREN; SEVERITY; SYMPTOMS</t>
  </si>
  <si>
    <t xml:space="preserve">BackgroundHuman metapneumovirus (HMPV) have similar symptoms to those caused by the respiratory syncytial virus (RSV). The modes of transmission and dynamics of time series data still remain poorly understood. Climatic factors have long been suspected to be implicated in impacting on the number of cases for these epidemics. Currently, only a few models satisfactorily capture the dynamics of time series data of these two viruses. Our objective was to assess the presence of influence of high incidences between the viruses and to ascertain whether higher incidences of one virus are influenced by the other.MethodsIn this study, we used a negative binomial model to investigate the relationship between RSV and HMPV while adjusting for climatic factors. We specifically aimed at establishing the heterogeneity in the autoregressive effect to account for the influence between these viruses.ResultsIn this study, our findings showed that RSV incidence contributed to the severity of HMPV incidence. This was achieved through comparison of 12 models with different structures, including those with and without interaction between climatic factors. The models with climatic factors out-performed those without.ConclusionsThe study has improved our understanding of the dynamics of RSV and HMPV in relation to climatic cofactors thereby setting a platform to devise better intervention measures to combat the epidemics. We conclude that preventing and controlling RSV infection subsequently reduces the incidence of HMPV.</t>
  </si>
  <si>
    <t xml:space="preserve">[Nyoka, Raymond; Achia, Thomas N. O.; Mwambi, Henry] Univ KwaZulu Natal, Sch Math Stat &amp; Comp Sci, Private Bag X01, ZA-3209 Scottsville, South Africa; [Omony, Jimmy] Univ Groningen, Dept Mol Genet, NL-9747 AG Groningen, Netherlands; [Musili, Samuel M.] Jomo Kenyatta Univ Agr &amp; Technol, Dept Stat, POB 62000-00200, Nairobi, Kenya; [Gichangi, Anthony] Jhpiego, POB 66119, Nairobi 00800, Kenya</t>
  </si>
  <si>
    <t xml:space="preserve">University of Kwazulu Natal; University of Groningen; Jomo Kenyatta University of Agriculture &amp; Technology; Jhpiego</t>
  </si>
  <si>
    <t xml:space="preserve">Nyoka, R (corresponding author), Univ KwaZulu Natal, Sch Math Stat &amp; Comp Sci, Private Bag X01, ZA-3209 Scottsville, South Africa.</t>
  </si>
  <si>
    <t xml:space="preserve">nyomus@gmail.com</t>
  </si>
  <si>
    <t xml:space="preserve">Gichangi, Anthony/ITV-3577-2023; Achia, Thomas/I-3674-2013</t>
  </si>
  <si>
    <t xml:space="preserve">Achia, Thomas/0000-0002-0700-9468; Musyoka, Dr. Raymond/0000-0001-6881-9555</t>
  </si>
  <si>
    <t xml:space="preserve">CDC funded the study design and data collection.</t>
  </si>
  <si>
    <t xml:space="preserve">1471-2458</t>
  </si>
  <si>
    <t xml:space="preserve">BMC Public Health</t>
  </si>
  <si>
    <t xml:space="preserve">10.1186/s12889-019-7036-2</t>
  </si>
  <si>
    <t xml:space="preserve">IF1ZT</t>
  </si>
  <si>
    <t xml:space="preserve">WOS:000472877300005</t>
  </si>
  <si>
    <t xml:space="preserve">Cho, HJ; Shim, SY; Son, DW; Sun, YH; Tchah, H; Jeon, IS</t>
  </si>
  <si>
    <t xml:space="preserve">Cho, Hye Jung; Shim, So-Yeon; Son, Dong Woo; Sun, Yong Han; Tchah, Hann; Jeon, In-Sang</t>
  </si>
  <si>
    <t xml:space="preserve">Respiratory viruses in neonates hospitalized with acute lower respiratory tract infections</t>
  </si>
  <si>
    <t xml:space="preserve">PEDIATRICS INTERNATIONAL</t>
  </si>
  <si>
    <t xml:space="preserve">newborn infants; respiratory syncytial virus infections; respiratory tract infections</t>
  </si>
  <si>
    <t xml:space="preserve">PREMATURE-INFANTS BORN; SYNCYTIAL VIRUS; VIRAL COINFECTION; GESTATIONAL-AGE; YOUNG-CHILDREN; RISK-FACTORS; MULTICENTER; RHINOVIRUS; BRONCHIOLITIS; ASSOCIATION</t>
  </si>
  <si>
    <t xml:space="preserve">Background The burden of respiratory syncytial virus (RSV) in neonates has not been clearly studied. The aims of this study were to determine the overall distribution of respiratory viruses in neonates hospitalized with acute lower respiratory tract infectiosns (ALRI) and to describe the clinical characteristics of RSV infections in these neonates. Methods From January 2009 through May 2010, neonates aged &lt;1 month who were hospitalized with ALRI and did not have underlying disease were included in the study. Viruses were identified on multiplex reverse transcription polymerase chain reaction using nasal swab samples. Clinical variables were evaluated between the RSV and non-RSV infection groups. Results Of the 108 infants included in the study, 46 (42.6%) had RSV; human rhinovirus (18.5%), human parainfluenza virus 3 (7.5%), and human metapneumovirus (3.7%) were the next most common infections. Codetections accounted for 8.3% of the cases. Crowding increased the risk of RSV infection compared to the non-RSV group (OR, 16.5; P = 0.001). The RSV group had a greater incidence of dyspnea (P = 0.027), pneumonia (P &lt; 0.001), requirement for oxygen (P &lt; 0.001), and prolonged hospitalization (P = 0.011) than the non-RSV group. Conclusions RSV was the most common viral etiology in neonates without underlying diseases who were hospitalized with ALRI. The disease severity of RSV infection was worse than that of other detected viral infections. Strict prevention strategies should be considered in overcrowded situations.</t>
  </si>
  <si>
    <t xml:space="preserve">[Cho, Hye Jung; Shim, So-Yeon; Son, Dong Woo; Sun, Yong Han; Tchah, Hann; Jeon, In-Sang] Gachon Univ, Gil Hosp, Dept Pediat, Inchon 405760, South Korea</t>
  </si>
  <si>
    <t xml:space="preserve">Gachon University</t>
  </si>
  <si>
    <t xml:space="preserve">Shim, SY (corresponding author), Gachon Univ, Gil Hosp, Dept Pediat, 1198 Guwol Dong, Inchon 405760, South Korea.</t>
  </si>
  <si>
    <t xml:space="preserve">simso525@daum.net</t>
  </si>
  <si>
    <t xml:space="preserve">Son, Dong Woo/0000-0001-7675-9855; Cho, Hye Jung/0000-0001-5872-4923; Shim, So-Yeon/0000-0001-7627-6802</t>
  </si>
  <si>
    <t xml:space="preserve">1328-8067</t>
  </si>
  <si>
    <t xml:space="preserve">1442-200X</t>
  </si>
  <si>
    <t xml:space="preserve">PEDIATR INT</t>
  </si>
  <si>
    <t xml:space="preserve">Pediatr. Int.</t>
  </si>
  <si>
    <t xml:space="preserve">10.1111/j.1442-200X.2012.03727.x</t>
  </si>
  <si>
    <t xml:space="preserve">092BP</t>
  </si>
  <si>
    <t xml:space="preserve">WOS:000315094100011</t>
  </si>
  <si>
    <t xml:space="preserve">Xiao, X; Wen, ZY; Chen, Q; Shipman, JM; Kostas, J; Reid, JC; Warren, C; Tang, AM; Luo, B; O'Donnell, G; Fridman, A; Chen, ZF; Vora, KA; Zhang, L; Su, HP; Eddins, MJ</t>
  </si>
  <si>
    <t xml:space="preserve">Xiao, Xiao; Wen, Zhiyun; Chen, Qing; Shipman, Jennifer M.; Kostas, James; Reid, John C.; Warren, Christopher; Tang, Aimin; Luo, Bin; O'Donnell, Gregory; Fridman, Arthur; Chen, Zhifeng; Vora, Kalpit A.; Zhang, Lan; Su, Hua-Poo; Eddins, Michael J.</t>
  </si>
  <si>
    <t xml:space="preserve">Structural characterization of M8C10, a neutralizing antibody targeting a highly conserved prefusion-specific epitope on the metapneumovirus fusion trimerization interface</t>
  </si>
  <si>
    <t xml:space="preserve">neutralizing antibody; metapneumovirus; hMPV; fusion protein; B cell cloning</t>
  </si>
  <si>
    <t xml:space="preserve">GLYCOPROTEIN VACCINE; PROTEIN; DESIGN; ENTRY</t>
  </si>
  <si>
    <t xml:space="preserve">Human metapneumovirus (hMPV) is a major respiratory pathogen worldwide. Here, we report the crystal structure of a neutralizing antibody M8C10 isolated from human B cells that targets the viral fusion protein (hMPV-F) trimerization interface. This is a novel prefusion-specific epitope that is highly conserved across hMPV strains and other related viruses. The interactions between M8C10 and hMPV-F are largely driven by residues on the light chain with most hypermutated light chain residues on or near the interface. This highlights the immune recognition of a buried trimerization interface during the in vivo affinity maturation process. In addition, in vivo cotton rat challenge studies were performed that show M8C10 provides strong lung protection against hMPV A viral challenge. The hMPV-F:M8C10 Fab structure reported reveals a class of hMPV antibodies in the human immune repertoire with a novel neutralization mechanism, targeting the trimerization interface of hMPV-F antigen.IMPORTANCEHuman metapneumovirus (hMPV) is a common pathogen causing lower respiratory tract infections worldwide and can develop severe symptoms in high-risk populations such as infants, the elderly, and immunocompromised patients. There are no approved hMPV vaccines or neutralizing antibodies available for therapeutic or prophylactic use. The trimeric hMPV fusion F protein is the major target of neutralizing antibodies in human sera. Understanding the immune recognition of antibodies to hMPV-F antigen will provide critical insights into developing efficacious hMPV monoclonal antibodies and vaccines. Human metapneumovirus (hMPV) is a common pathogen causing lower respiratory tract infections worldwide and can develop severe symptoms in high-risk populations such as infants, the elderly, and immunocompromised patients. There are no approved hMPV vaccines or neutralizing antibodies available for therapeutic or prophylactic use. The trimeric hMPV fusion F protein is the major target of neutralizing antibodies in human sera. Understanding the immune recognition of antibodies to hMPV-F antigen will provide critical insights into developing efficacious hMPV monoclonal antibodies and vaccines.</t>
  </si>
  <si>
    <t xml:space="preserve">[Xiao, Xiao; Wen, Zhiyun; Warren, Christopher; Tang, Aimin; Chen, Zhifeng; Vora, Kalpit A.; Zhang, Lan] Merck &amp; Co Inc, Infect Dis &amp; Vaccines Discovery, West Point, PA USA; [Xiao, Xiao] Merck &amp; Co Inc, Discovery Biol, Boston, MA USA; [Xiao, Xiao] Merck &amp; Co Inc, MRL Postdoctoral Res Program, Kenilworth, NJ USA; [Chen, Qing; Shipman, Jennifer M.; Kostas, James; Reid, John C.; Su, Hua-Poo; Eddins, Michael J.] Merck &amp; Co Inc, Prot &amp; Struct Chem, West Point, PA 19486 USA; [Luo, Bin; O'Donnell, Gregory] Merck &amp; Co Inc, Quantitat Biosci, West Point, PA USA; [Fridman, Arthur] Merck &amp; Co Inc, Data Sci &amp; Sci Informat, Rahway, NJ USA; [Xiao, Xiao] Janssen Res &amp; Dev LLC, Cambridge, MA USA; [Chen, Qing] Odyssey Therapeut, Boston, MA USA</t>
  </si>
  <si>
    <t xml:space="preserve">Merck &amp; Company; Merck &amp; Company USA; Merck &amp; Company; Merck &amp; Company USA; Merck &amp; Company; Merck &amp; Company USA; Merck &amp; Company; Merck &amp; Company USA; Merck &amp; Company; Merck &amp; Company USA; Merck &amp; Company; Merck &amp; Company USA; Johnson &amp; Johnson; Johnson &amp; Johnson USA; Janssen Biotech Inc</t>
  </si>
  <si>
    <t xml:space="preserve">Eddins, MJ (corresponding author), Merck &amp; Co Inc, Prot &amp; Struct Chem, West Point, PA 19486 USA.</t>
  </si>
  <si>
    <t xml:space="preserve">michael.eddins@merck.com</t>
  </si>
  <si>
    <t xml:space="preserve">Merck (Merck Co.)</t>
  </si>
  <si>
    <t xml:space="preserve">The authors would like to thank Dr. James C. Cook, Dr. Bonnie J. Howell, and the MRL Postdoctoral Research Program for their support of this work, Dr. Pedro A. Piedra for providing MPV viruses, and Dr. Juan Alvarez and Dr. Daria J. Hazuda for helpful discussions and review of this manuscript.</t>
  </si>
  <si>
    <t xml:space="preserve">DEC 21</t>
  </si>
  <si>
    <t xml:space="preserve">10.1128/jvi.01052-23</t>
  </si>
  <si>
    <t xml:space="preserve">NOV 2023</t>
  </si>
  <si>
    <t xml:space="preserve">CK8S6</t>
  </si>
  <si>
    <t xml:space="preserve">WOS:001111359400004</t>
  </si>
  <si>
    <t xml:space="preserve">Blunck, BN; Aideyan, L; Ye, XY; Avadhanula, V; Ferlic-Stark, L; Zechiedrich, L; Gilbert, BE; Piedra, PA</t>
  </si>
  <si>
    <t xml:space="preserve">Blunck, Brittani N.; Aideyan, Letisha; Ye, Xunyan; Avadhanula, Vasanthi; Ferlic-Stark, Laura; Zechiedrich, Lynn; Gilbert, Brian E.; Piedra, Pedro A.</t>
  </si>
  <si>
    <t xml:space="preserve">A prospective surveillance study on the kinetics of the humoral immune response to the respiratory syncytial virus fusion protein in adults in Houston, Texas</t>
  </si>
  <si>
    <t xml:space="preserve">Neutralizing antibody; Competitive antibody; Binding antibody; Original antigenic sin; Vaccine; Respiratory viruses</t>
  </si>
  <si>
    <t xml:space="preserve">ORIGINAL ANTIGENIC SIN; HUMAN METAPNEUMOVIRUS; INFECTION; CHILDREN; VACCINE; RSV; HOSPITALIZATION; ANTIBODY; ILLNESS; YOUNG</t>
  </si>
  <si>
    <t xml:space="preserve">Respiratory syncytial virus (RSV)-specific serum antibody has been correlated to protection of infection and reduction of severe disease, but reinfection is still frequent. In this study, we evaluated RSV-specific serum antibody activity following natural RSV re-infection to examine the longevity of the humoral immune response in adults. Nineteen healthy adult volunteers under sixty-five years of age were enrolled during the 2018-2019 RSV season in Houston, TX. Blood was collected at three study visits. The kinetics of RSV-neutralizing, RSV F site-specific competitive, and RSV-binding antibodies in serum samples were measured by microneutralization and enzyme-linked immunosorbent assays. Three distinct profiles of RSV-specific antibody kinetics were identified that were consistent with RSV infection status: uninfected, acutely infected, and recently infected. The uninfected group had stable antibody titers for the duration of the study period (185 days). The acutely infected group had lower antibody responses at the beginning of the study, supporting a correlate of infection, followed by a significant antibody response after infection that was maintained for at least 125 days. Unlike the acutely infected group, the recently infected group had a significant precipitous decrease in RSV antibody in only 60 days. This study is the first, to our knowledge, to describe this abrupt loss of RSV-specific antibody in detail. This rapid decline of antibody may present an obstacle for the development of vaccines with lasting protection against RSV, and perhaps other respiratory pathogens. Neutralizing antibody responses were greater to prototypic than contemporaneous RSV strains, regardless of infection status, indicating that original antigenic sin may impact the humoral immune response to new or emerging RSV strains. (C) 2021 Elsevier Ltd. All rights reserved.</t>
  </si>
  <si>
    <t xml:space="preserve">[Blunck, Brittani N.; Aideyan, Letisha; Ye, Xunyan; Avadhanula, Vasanthi; Ferlic-Stark, Laura; Zechiedrich, Lynn; Gilbert, Brian E.; Piedra, Pedro A.] Dept Mol Virol &amp; Microbiol, Houston, TX 77030 USA; [Zechiedrich, Lynn] Verna &amp; Marrs McLean, Dept Biochem &amp; Mol Biol, Houston, TX USA; [Zechiedrich, Lynn] Dept Pharmacol &amp; Chem Biol, Houston, TX USA; [Piedra, Pedro A.] Baylor Coll Med, Dept Pediat, Houston, TX 77030 USA</t>
  </si>
  <si>
    <t xml:space="preserve">Baylor College of Medicine</t>
  </si>
  <si>
    <t xml:space="preserve">Piedra, PA (corresponding author), Dept Mol Virol &amp; Microbiol, Houston, TX 77030 USA.;Piedra, PA (corresponding author), Baylor Coll Med, Dept Pediat, Houston, TX 77030 USA.</t>
  </si>
  <si>
    <t xml:space="preserve">ppiedra@bcm.edu</t>
  </si>
  <si>
    <t xml:space="preserve">ye, xunyan/S-2567-2016; , VA/AAO-6566-2020</t>
  </si>
  <si>
    <t xml:space="preserve">NIH [R01GM115501]</t>
  </si>
  <si>
    <t xml:space="preserve">Funding was from discretionary funds from PAP and BEG, and NIH grant R01GM115501 to LZ.</t>
  </si>
  <si>
    <t xml:space="preserve">FEB 22</t>
  </si>
  <si>
    <t xml:space="preserve">10.1016/j.vaccine.2021.01.045</t>
  </si>
  <si>
    <t xml:space="preserve">QH8AG</t>
  </si>
  <si>
    <t xml:space="preserve">WOS:000618493500013</t>
  </si>
  <si>
    <t xml:space="preserve">Olmedillas, E; Cano, O; Martínez, I; Luque, D; Terrón, MC; McLellan, JS; Melero, JA; Más, V</t>
  </si>
  <si>
    <t xml:space="preserve">Olmedillas, Eduardo; Cano, Olga; Martinez, Isidoro; Luque, Daniel; Terron, Maria C.; McLellan, Jason S.; Melero, Jose A.; Mas, Vicente</t>
  </si>
  <si>
    <t xml:space="preserve">Chimeric Pneumoviridae fusion proteins as immunogens to induce cross-neutralizing antibody responses</t>
  </si>
  <si>
    <t xml:space="preserve">EMBO MOLECULAR MEDICINE</t>
  </si>
  <si>
    <t xml:space="preserve">neutralizing antibodies; Pneumoviridae; structure-based design; universal vaccines</t>
  </si>
  <si>
    <t xml:space="preserve">RESPIRATORY SYNCYTIAL-VIRUS; SMALL HYDROPHOBIC PROTEIN; 2 DISTINCT SITES; HUMAN-METAPNEUMOVIRUS; STRUCTURAL BASIS; POSTFUSION CONFORMATION; MONOCLONAL-ANTIBODIES; ANTIGENIC STRUCTURE; YOUNG-CHILDREN; GLYCOPROTEIN</t>
  </si>
  <si>
    <t xml:space="preserve">Human respiratory syncytial virus (hRSV) and human metapneumovirus (hMPV), two members of the Pneumoviridae family, account for the majority of severe lower respiratory tract infections worldwide in very young children. They are also a frequent cause of morbidity and mortality in the elderly and immunocompromised adults. High levels of neutralizing antibodies, mostly directed against the viral fusion (F) glycoprotein, correlate with protection against either hRSV or hMPV. However, no cross-neutralization is observed in polyclonal antibody responses raised after virus infection or immunization with purified F proteins. Based on crystal structures of hRSV F and hMPV F, we designed chimeric F proteins in which certain residues of well-characterized antigenic sites were swapped between the two antigens. The antigenic changes were monitored by ELISA with virus-specific monoclonal antibodies. Inoculation of mice with these chimeras induced polyclonal cross-neutralizing antibody responses, and mice were protected against challenge with the virus used for grafting of the heterologous antigenic site. These results provide a proof of principle for chimeric fusion proteins as single immunogens that can induce cross-neutralizing antibody and protective responses against more than one human pneumovirus.</t>
  </si>
  <si>
    <t xml:space="preserve">[Olmedillas, Eduardo; Cano, Olga; Martinez, Isidoro; Luque, Daniel; Terron, Maria C.; Melero, Jose A.; Mas, Vicente] Inst Salud Carlos III, Ctr Nacl Microbiol, Madrid, Spain; [Olmedillas, Eduardo; Cano, Olga; Melero, Jose A.; Mas, Vicente] Inst Salud Carlos III, CIBER Enfermedades Resp, Madrid, Spain; [McLellan, Jason S.] Geisel Sch Med Dartmouth, Dept Biochem &amp; Cell Biol, Hanover, NH USA</t>
  </si>
  <si>
    <t xml:space="preserve">Instituto de Salud Carlos III; Centro Nacional de Microbiologia (CNM); CIBER - Centro de Investigacion Biomedica en Red; CIBERES; Instituto de Salud Carlos III; Dartmouth College</t>
  </si>
  <si>
    <t xml:space="preserve">Melero, JA (corresponding author), Inst Salud Carlos III, Ctr Nacl Microbiol, Madrid, Spain.;Melero, JA (corresponding author), Inst Salud Carlos III, CIBER Enfermedades Resp, Madrid, Spain.</t>
  </si>
  <si>
    <t xml:space="preserve">jmelero@isciii.es</t>
  </si>
  <si>
    <t xml:space="preserve">McLellan, Jason/A-6874-2010; MC, Terron/AAC-8162-2020; Mas, Vicente/M-4776-2015; Luque, Daniel/I-6467-2015; Marti-nez, Isidoro/J-3032-2012</t>
  </si>
  <si>
    <t xml:space="preserve">McLellan, Jason/0000-0003-3991-542X; Mas, Vicente/0000-0002-0887-0743; CANO MORATO, OLGA/0000-0003-4281-7572; Melero, Jose A./0000-0001-8148-6521; Luque, Daniel/0000-0002-0151-6020; Olmedillas Cela, Eduardo/0000-0001-5250-0371; Marti-nez, Isidoro/0000-0002-9949-9264</t>
  </si>
  <si>
    <t xml:space="preserve">Instituto de Salud Carlos III [SAF2015-67033-R, PI15CIII/00024]; Plan Nacional I+D+I,c [BFU 2013-43149-R]; National Institute of General Medical Sciences of the National Institutes of Health [P20GM113132]</t>
  </si>
  <si>
    <t xml:space="preserve">Instituto de Salud Carlos III(Instituto de Salud Carlos IIISpanish Government); Plan Nacional I+D+I,c; National Institute of General Medical Sciences of the National Institutes of Health(United States Department of Health &amp; Human ServicesNational Institutes of Health (NIH) - USANIH National Institute of General Medical Sciences (NIGMS))</t>
  </si>
  <si>
    <t xml:space="preserve">We would like to thank the personnel of the Genomics and the Animal House facilities at Instituto de Salud Carlos III for their help in part of the work here presented. This work was supported in part by grants SAF2015-67033-R (JAM), PI15CIII/00024 (IM) from Instituto de Salud Carlos III, BFU 2013-43149-R (DL) from Plan Nacional I+D+I,c, and P20GM113132 (JSM) from the National Institute of General Medical Sciences of the National Institutes of Health.</t>
  </si>
  <si>
    <t xml:space="preserve">1757-4676</t>
  </si>
  <si>
    <t xml:space="preserve">1757-4684</t>
  </si>
  <si>
    <t xml:space="preserve">EMBO MOL MED</t>
  </si>
  <si>
    <t xml:space="preserve">EMBO Mol. Med.</t>
  </si>
  <si>
    <t xml:space="preserve">10.15252/emmm.201708078</t>
  </si>
  <si>
    <t xml:space="preserve">FV1SB</t>
  </si>
  <si>
    <t xml:space="preserve">WOS:000424343700004</t>
  </si>
  <si>
    <t xml:space="preserve">Yousef, MAA; Dranginis, D; Rosenfeld, S</t>
  </si>
  <si>
    <t xml:space="preserve">Yousef, Mohamed A. A.; Dranginis, Darius; Rosenfeld, Scott</t>
  </si>
  <si>
    <t xml:space="preserve">Incidence and Diagnostic Evaluation of Postoperative Fever in Pediatric Patients With Neuromuscular Disorders</t>
  </si>
  <si>
    <t xml:space="preserve">JOURNAL OF PEDIATRIC ORTHOPAEDICS</t>
  </si>
  <si>
    <t xml:space="preserve">neuromuscular deformity; postoperative hyperpyrexia; diagnostic workup</t>
  </si>
  <si>
    <t xml:space="preserve">BLOOD CULTURES; ARTHROPLASTY; POPULATION; SCOLIOSIS; CHILDREN; SURGERY; COST</t>
  </si>
  <si>
    <t xml:space="preserve">Background:Children with neuromuscular disorders have a significant chance of developing scoliosis and/or hip dislocation during childhood and adolescence and often undergo surgical reconstruction. Because of their high rate of medical comorbidities, these patients are at higher risk of postoperative complications and are therefore often comanaged, along with orthopaedics, by pediatric medicine and critical care teams. Fever during the postoperative stay is a frequent occurrence and often prompts extensive diagnostic workup which increases the cost and burden on the health system but have unclear effects on the care of the patient. The objective of our study was to evaluate the frequency of postoperative fever in pediatric patients with neuromuscular disorders after spine and hip deformity correction surgery and evaluate the utility of the diagnostic tests performed for the assessment of postoperative fever.Methods:We performed an IRB-approved retrospective study on patients who underwent corrective surgery for neuromuscular scoliosis or hip dislocation at a single institution. The occurrence of postoperative fever was characterized by maximum temperature, postoperative day (POD) of occurrence, and frequency as defined by either single or multiple temperature spikes. Diagnostic tests performed for the workup of postoperative fever were reviewed. The cost per health effect was estimated by dividing the total costs of diagnostic tests by the number of tests that changed patient care.Results:In total, 108 patients (62 females and 46 males) were identified. A total of 42 patients (38.9%) underwent posterior spinal fusion and 66 (61.1%) patients underwent hip surgery (pelvic osteotomy in 8 patients, femoral osteotomy in 31 patients, and both pelvic and femoral osteotomy in 27 patients). The mean age at the time of surgery was 11.1 years (range, 3 to 18y). In total, 66 patients (61.1%) developed postoperative fever (mean temperature, 38.6 degrees C). The frequency of fever was in the form of multiple temperature spikes in 37 patients (56%) and in the form of a single spike in 29 patients (44%). Of the 149 diagnostic tests performed for postoperative fever, there were a total of 16 positive tests (10.7% of total tests ordered; n=16/149) including 5/27 urine analysis, 4/26 urine culture, 4/28 chest x-ray, 1/1 wound culture, 0/1 sputum culture, urine Gram stain 0/1, tracheal aspirate culture 0/1, throat culture 1/1, adenovirus polymerase chain reaction (PCR) 0/5, human metapneumovirus PCR 0/5, parainfluenza PCR 0/5, rhinovirus PCR 0/1, 1/3 bronchoalveolar culture, and 0/7 respiratory virus panel. A total of 37 blood cultures were drawn and all were negative. There was a significant difference (P=0.04) in frequency of negative diagnostic workup performed at the first, second, and third POD as compared with positive diagnostic workup. Total cost of the diagnostic tests was $65,284 and the cost per health effect was $6582 ($65,284/10). Diagnostic tests in patients with postoperative fever were associated with prolonged length of hospital stay in comparison with patients who did not perform any diagnostic workup using the Spearman test (P=0.02).Conclusion:In total, 61% of pediatric patients developed postoperative fever after surgical correction of neuromuscular deformity. An infectious source of postoperative fever was identified in 32.4% of patients with postoperative fever who underwent diagnostic workup. Urinary tract infection was the most common finding in patients with postoperative fever. Poor association between the development of postoperative fever and wound infection was found. Only 10.7% of fever diagnostic workup tests were positive in our population. The diagnostic workup tests might be less valuable if performed early on the first, second, and third PODs than those performed late after the third POD with exceptions based on clinical assessment. No patients with postoperative fever had positive blood cultures, therefore the routine use of blood cultures in the evaluation of postoperative fever in such population is not recommended.Level of Evidence:Level IVretrospective.</t>
  </si>
  <si>
    <t xml:space="preserve">[Yousef, Mohamed A. A.; Dranginis, Darius; Rosenfeld, Scott] Texas Childrens Hosp, Dept Orthopaed Surg, 6701 Fannin St Suite 660, Houston, TX 77030 USA</t>
  </si>
  <si>
    <t xml:space="preserve">Baylor College of Medicine; Baylor College Medical Hospital</t>
  </si>
  <si>
    <t xml:space="preserve">Yousef, MAA (corresponding author), Texas Childrens Hosp, Dept Orthopaed Surg, 6701 Fannin St Suite 660, Houston, TX 77030 USA.</t>
  </si>
  <si>
    <t xml:space="preserve">mayousef@texaschildrens.org</t>
  </si>
  <si>
    <t xml:space="preserve">0271-6798</t>
  </si>
  <si>
    <t xml:space="preserve">1539-2570</t>
  </si>
  <si>
    <t xml:space="preserve">J PEDIATR ORTHOPED</t>
  </si>
  <si>
    <t xml:space="preserve">J. Pediatr. Orthop.</t>
  </si>
  <si>
    <t xml:space="preserve">10.1097/BPO.0000000000001103</t>
  </si>
  <si>
    <t xml:space="preserve">Orthopedics; Pediatrics</t>
  </si>
  <si>
    <t xml:space="preserve">FZ5MX</t>
  </si>
  <si>
    <t xml:space="preserve">WOS:000427639100018</t>
  </si>
  <si>
    <t xml:space="preserve">Uitti, JM; Tähtinen, PA; Laine, MK; Huovinen, P; Ruuskanen, O; Ruohola, A</t>
  </si>
  <si>
    <t xml:space="preserve">Uitti, Johanna M.; Tahtinen, Paula A.; Laine, Miia K.; Huovinen, Pentti; Ruuskanen, Olli; Ruohola, Aino</t>
  </si>
  <si>
    <t xml:space="preserve">Role of Nasopharyngeal Bacteria and Respiratory Viruses in Acute Symptoms of Young Children</t>
  </si>
  <si>
    <t xml:space="preserve">nasopharynx; bacteria; viruses; symptoms; child</t>
  </si>
  <si>
    <t xml:space="preserve">ACUTE OTITIS-MEDIA; STREPTOCOCCUS-PNEUMONIAE; MORAXELLA-CATARRHALIS; TRACT INFECTION; COMMON-COLD; HAEMOPHILUS-INFLUENZAE; CLINICAL SIGNS; COLONIZATION; AGE; EPIDEMIOLOGY</t>
  </si>
  <si>
    <t xml:space="preserve">Background: The spectrum of acute symptoms in young outpatient children with respiratory tract infection (RTI) is variable, and it cannot be explained by the diagnosis of acute otitis media (AOM) versus uncomplicated RTI. We studied that the variation of symptoms is explained by the nasopharyngeal bacteria and/or respiratory viruses. Methods: Children aged 6-35 months with acute symptoms with AOM (n = 201) or without AOM (n = 225) were eligible in this cross-sectional study. We analyzed their nasopharyngeal samples for pathogenic bacteria by culture and for respiratory viruses by polymerase chain reaction. We surveyed 17 symptoms (fever, respiratory, ear related, nonspecific, gastrointestinal) with a structured questionnaire. Results: Fever had a positive association with influenza viruses [odds ratio (OR): 6.61; 95% confidence interval (CI): 1.66-26.27], human metapneumovirus (OR: 3.84; 95% CI: 1.25-11.77), coronaviruses (OR: 3.45; 95% CI: 1.53-7.75) and parainfluenza viruses (OR: 2.18; 95% CI: 1.07-4.47). Rhinitis (OR: 5.07; 95% CI: 1.93-13.36), nasal congestion (OR: 2.03; 95% CI: 1.25-3.31) and cough (OR: 1.91; 95% CI: 1.15-3.17) had positive associations with Moraxella catarrhalis. Furthermore, cough had a positive association with respiratory syncytial virus (OR: 7.20; 95% CI: 1.59-32.71) and parainfluenza viruses (OR: 2.79; 95% CI: 1.02-7.69). Conclusions: The variation of acute symptoms in young children may be influenced by both nasopharyngeal bacteria and respiratory viruses. Our results showed a strong association between fever and respiratory viruses; rhinitis, nasal congestion and cough were associated with M. catarrhalis in the presence of viruses. Further studies are required to determine the possible synergistic role of M. catarrhalis in symptoms of RTI.</t>
  </si>
  <si>
    <t xml:space="preserve">[Uitti, Johanna M.; Tahtinen, Paula A.; Laine, Miia K.; Ruuskanen, Olli; Ruohola, Aino] Turku Univ Hosp, Dept Paediat &amp; Adolescent Med, Kiinamyllynkatu 4-8, FIN-20520 Turku, Finland; [Uitti, Johanna M.; Ruohola, Aino] Univ Turku, Dept Paediat &amp; Adolescent Med, Turku, Finland; [Tahtinen, Paula A.] Boston Univ, Sch Med, Div Pediat Infect Dis, Boston Med Ctr, Boston, MA 02215 USA; [Tahtinen, Paula A.] Boston Univ, Sch Med, Dept Pediat, Boston, MA 02215 USA; [Huovinen, Pentti] Univ Turku, Dept Med Microbiol &amp; Immunol, Turku, Finland</t>
  </si>
  <si>
    <t xml:space="preserve">University of Turku; University of Turku; Boston University; Boston Medical Center; Boston University; University of Turku</t>
  </si>
  <si>
    <t xml:space="preserve">Ruohola, A (corresponding author), Turku Univ Hosp, Dept Paediat &amp; Adolescent Med, Kiinamyllynkatu 4-8, FIN-20520 Turku, Finland.</t>
  </si>
  <si>
    <t xml:space="preserve">aino.ruohola@utu.fi</t>
  </si>
  <si>
    <t xml:space="preserve">Huovinen, Pentti/C-9121-2019</t>
  </si>
  <si>
    <t xml:space="preserve">Huovinen, Pentti/0000-0003-0003-1539</t>
  </si>
  <si>
    <t xml:space="preserve">Research Funds from Specified Government Transfers; Foundation for Paediatric Research; Jenny and Antti Wihuri Foundation; Finnish Medical Foundation; National Graduate School of Clinical Investigation; Outpatient Care Research Foundation; University of Turku Graduate School and Doctoral Programme of Clinical Investigation; European Society for Paediatric Infectious Diseases</t>
  </si>
  <si>
    <t xml:space="preserve">This work was supported by grants from Research Funds from Specified Government Transfers; the Foundation for Paediatric Research; the Jenny and Antti Wihuri Foundation; The Finnish Medical Foundation; the National Graduate School of Clinical Investigation; the Outpatient Care Research Foundation; University of Turku Graduate School and Doctoral Programme of Clinical Investigation and by the Fellowship Award of the European Society for Paediatric Infectious Diseases (to A.R.). The authors have no conflicts of interest to disclose.</t>
  </si>
  <si>
    <t xml:space="preserve">10.1097/INF.0000000000000800</t>
  </si>
  <si>
    <t xml:space="preserve">DD0CD</t>
  </si>
  <si>
    <t xml:space="preserve">WOS:000369587000011</t>
  </si>
  <si>
    <t xml:space="preserve">Alsaleh, AN; Whiley, DM; Bialasiewicz, S; Lambert, SB; Ware, RS; Nissen, MD; Sloots, TP; Grimwood, K</t>
  </si>
  <si>
    <t xml:space="preserve">Alsaleh, Asma N.; Whiley, David M.; Bialasiewicz, Seweryn; Lambert, Stephen B.; Ware, Robert S.; Nissen, Michael D.; Sloots, Theo P.; Grimwood, Keith</t>
  </si>
  <si>
    <t xml:space="preserve">Nasal swab samples and real-time polymerase chain reaction assays in community-based, longitudinal studies of respiratory viruses: the importance of sample integrity and quality control</t>
  </si>
  <si>
    <t xml:space="preserve">Nasal swab; Respiratory virus; Real-time polymerase chain reaction; Quality control; Mould; Community-based study</t>
  </si>
  <si>
    <t xml:space="preserve">HUMAN METAPNEUMOVIRUS; HUMAN RHINOVIRUSES; FREQUENT DETECTION; HUMAN BOCAVIRUS; PCR ASSAY; INFECTIONS; PATHOGENS; CHILDREN; ASTHMA; IDENTIFICATION</t>
  </si>
  <si>
    <t xml:space="preserve">Background: Carefully conducted, community-based, longitudinal studies are required to gain further understanding of the nature and timing of respiratory viruses causing infections in the population. However, such studies pose unique challenges for field specimen collection, including as we have observed the appearance of mould in some nasal swab specimens. We therefore investigated the impact of sample collection quality and the presence of visible mould in samples upon respiratory virus detection by real-time polymerase chain reaction (PCR) assays. Methods: Anterior nasal swab samples were collected from infants participating in an ongoing community-based, longitudinal, dynamic birth cohort study. The samples were first collected from each infant shortly after birth and weekly thereafter. They were then mailed to the laboratory where they were catalogued, stored at -80 degrees C and later screened by PCR for 17 respiratory viruses. The quality of specimen collection was assessed by screening for human deoxyribonucleic acid (DNA) using endogenous retrovirus 3 (ERV3). The impact of ERV3 load upon respiratory virus detection and the impact of visible mould observed in a subset of swabs reaching the laboratory upon both ERV3 loads and respiratory virus detection was determined. Results: In total, 4933 nasal swabs were received in the laboratory. ERV3 load in nasal swabs was associated with respiratory virus detection. Reduced respiratory virus detection (odds ratio 0.35; 95% confidence interval 0.27-0.44) was observed in samples where the ERV3 could not be identified. Mould was associated with increased time of samples reaching the laboratory and reduced ERV3 loads and respiratory virus detection. Conclusion: Suboptimal sample collection and high levels of visible mould can impact negatively upon sample quality. Quality control measures, including monitoring human DNA loads using ERV3 as a marker for epithelial cell components in samples should be undertaken to optimize the validity of real-time PCR results for respiratory virus investigations in community-based studies.</t>
  </si>
  <si>
    <t xml:space="preserve">[Alsaleh, Asma N.; Whiley, David M.; Bialasiewicz, Seweryn; Lambert, Stephen B.; Ware, Robert S.; Nissen, Michael D.; Sloots, Theo P.; Grimwood, Keith] Univ Queensland, Queensland Childrens Med Res Inst, Brisbane, Qld 4029, Australia; [Alsaleh, Asma N.; Whiley, David M.; Bialasiewicz, Seweryn; Lambert, Stephen B.; Nissen, Michael D.; Sloots, Theo P.; Grimwood, Keith] Royal Childrens Hosp, Queensland Paediat Infect Dis Lab, Brisbane, Qld 4029, Australia; [Alsaleh, Asma N.] King Saud Univ, Coll Sci, Dept Microbiol, Riyadh 11451, Saudi Arabia; [Lambert, Stephen B.] Queensland Hlth, Queensland Hlth Communicable Dis Branch, Brisbane, Qld 4006, Australia; [Ware, Robert S.] Univ Queensland, Sch Populat Hlth, Brisbane, Qld 4006, Australia; [Nissen, Michael D.; Sloots, Theo P.] Pathol Queensland Cent Lab, Div Microbiol, Brisbane, Qld 4006, Australia</t>
  </si>
  <si>
    <t xml:space="preserve">University of Queensland; Royal Children's Hospital Brisbane; King Saud University; Queensland Health; University of Queensland</t>
  </si>
  <si>
    <t xml:space="preserve">Alsaleh, AN (corresponding author), Univ Queensland, Queensland Childrens Med Res Inst, Brisbane, Qld 4029, Australia.</t>
  </si>
  <si>
    <t xml:space="preserve">a.alsaleh@uq.edu.au</t>
  </si>
  <si>
    <t xml:space="preserve">Alsaleh, Asma/ABD-1640-2020; Grimwood, Keith/F-9334-2011; Nissen, Michael/M-6823-2013; Bialasiewicz, Seweryn/F-1414-2010; Lambert, Stephen/N-7819-2019; Lambert, Stephen/B-8348-2008; Whiley, David/E-8955-2011; Ware, Robert/B-2024-2014</t>
  </si>
  <si>
    <t xml:space="preserve">Grimwood, Keith/0000-0003-3174-9834; Lambert, Stephen/0000-0002-2709-193X; Whiley, David/0000-0001-5969-3161; Bialasiewicz, Seweryn/0000-0001-9474-6943; Alsaleh, Asma/0000-0001-9183-1552; Ware, Robert/0000-0002-6129-6736</t>
  </si>
  <si>
    <t xml:space="preserve">Australian National Health and Medical Research Council [615700]; Children's Health Foundation Queensland; Saudi Arabia Ministry of Higher Education-King Saud University</t>
  </si>
  <si>
    <t xml:space="preserve">Australian National Health and Medical Research Council(National Health &amp; Medical Research Council (NHMRC) of Australia); Children's Health Foundation Queensland; Saudi Arabia Ministry of Higher Education-King Saud University</t>
  </si>
  <si>
    <t xml:space="preserve">This work was supported by the Australian National Health and Medical Research Council Project Grant 615700 and The Children's Health Foundation Queensland. Ms Alsaleh received a scholarship from the Saudi Arabia Ministry of Higher Education-King Saud University.</t>
  </si>
  <si>
    <t xml:space="preserve">10.1186/1471-2334-14-15</t>
  </si>
  <si>
    <t xml:space="preserve">294NP</t>
  </si>
  <si>
    <t xml:space="preserve">WOS:000330053700003</t>
  </si>
  <si>
    <t xml:space="preserve">Blackburn, R; Zhao, HX; Pebody, R; Hayward, A; Warren-Gash, C</t>
  </si>
  <si>
    <t xml:space="preserve">Blackburn, Ruth; Zhao, Honxin; Pebody, Richard; Hayward, Andrew; Warren-Gash, Charlotte</t>
  </si>
  <si>
    <t xml:space="preserve">Laboratory-Confirmed Respiratory Infections as Predictors of Hospital Admission for Myocardial Infarction and Stroke: Time-Series Analysis of English Data for 2004-2015</t>
  </si>
  <si>
    <t xml:space="preserve">myocardial infarction; stroke; respiratory infection; epidemiology</t>
  </si>
  <si>
    <t xml:space="preserve">CARDIOVASCULAR-DISEASE; INFLUENZA VACCINATION; RISK; ASSOCIATION; MORTALITY; VIRUS; PREVENTION; OUTCOMES; ENGLAND; WALES</t>
  </si>
  <si>
    <t xml:space="preserve">Background. Acute respiratory infections are associated with increased risk of myocardial infarction (MI) and stroke; however, the role of different organisms is poorly characterized. Methods. Time-series analysis of English hospital admissions for MI and stroke (age-stratified: 45-64, 65-74, &gt;= 75 years), laboratory-confirmed viral respiratory infections, and environmental data for 2004-2015. Weekly counts of admissions were modeled using multivariable Poisson regression with weekly counts of respiratory viruses (influenza, parainfluenza, rhinovirus, respiratory syncytial virus [RSV], adenovirus, or human metapneumovirus [HMPV]) investigated as predictors. We controlled for seasonality, long-term trends, and environmental factors. Results. Weekly hospital admissions in adults aged &gt;= 45 years averaged 1347 (interquartile range [IQR], 1217-1541) for MI and 1175 (IQR, 1023-1395) for stroke. Respiratory infections ranged from 11 cases per week (IQR, 5-53) for influenza to 55 (IQR, 7-127) for rhinovirus. In the adjusted models, all viruses except parainfluenza were significantly associated with MI and ischemic stroke admissions in those aged &gt;= 75. Among 65-to 74-year-olds, adenovirus, rhinovirus, and RSV were associated with MI but not ischemic stroke admissions. Respiratory infections were not associated with MI or ischemic stroke in people aged 45-64 years, nor with hemorrhagic stroke in any age group. An estimated 0.4%-5.7% of MI and ischemic stroke admissions may be attributable to respiratory infection. Conclusions. We identified small but strongly significant associations in the timing of respiratory infection (with HMPV, RSV, influenza, rhinovirus, and adenovirus) and MI or ischemic stroke hospitalizations in the elderly.</t>
  </si>
  <si>
    <t xml:space="preserve">[Blackburn, Ruth; Hayward, Andrew; Warren-Gash, Charlotte] UCL, Farr Inst Hlth Informat Res, London, England; [Zhao, Honxin; Pebody, Richard] Publ Hlth England, Natl Infect Serv Colindale, London, England; [Warren-Gash, Charlotte] London Sch Hyg &amp; Trop Med, Fac Epidemiol &amp; Populat, London, England</t>
  </si>
  <si>
    <t xml:space="preserve">University of London; University College London; Public Health England; University of London; London School of Hygiene &amp; Tropical Medicine</t>
  </si>
  <si>
    <t xml:space="preserve">Blackburn, R (corresponding author), UCL Inst Hlth Informat, 222 Euston Rd, London NW1 2DA, England.</t>
  </si>
  <si>
    <t xml:space="preserve">r.blackburn@ucl.ac.uk</t>
  </si>
  <si>
    <t xml:space="preserve">Hayward, Andrew/C-3268-2013; Stefanadis, Christodoulos/ABH-2232-2020</t>
  </si>
  <si>
    <t xml:space="preserve">Warren-Gash, Charlotte/0000-0003-4524-3180; Pebody, Richard/0000-0002-9069-2885; Stefanadis, Christodoulos/0000-0001-5974-6454; Blackburn, Ruth/0000-0002-3491-7381</t>
  </si>
  <si>
    <t xml:space="preserve">Academy of Medical Sciences; Wellcome Intermediate Clinical Fellowship [201440_Z_16_Z]; Farr Institute of Health Informatics Research (Medical Research Council) [MR/K006584/1]; Wellcome Trust [201440/Z/16/Z] Funding Source: Wellcome Trust; MRC [G0902393, MR/M501633/2] Funding Source: UKRI</t>
  </si>
  <si>
    <t xml:space="preserve">Academy of Medical Sciences(Academy of Medical Sciences (AMS)); Wellcome Intermediate Clinical Fellowship(Wellcome Trust); Farr Institute of Health Informatics Research (Medical Research Council)(UK Research &amp; Innovation (UKRI)Medical Research Council UK (MRC)); Wellcome Trust(Wellcome Trust); MRC(UK Research &amp; Innovation (UKRI)Medical Research Council UK (MRC))</t>
  </si>
  <si>
    <t xml:space="preserve">This work was supported by an Academy of Medical Sciences Starter Grant for Clinical Lecturers (to C. W. G.). C. W. G. is supported by a Wellcome Intermediate Clinical Fellowship (grant number 201440_Z_16_Z). We also acknowledge the support from the Farr Institute of Health Informatics Research (Medical Research Council grant number London MR/K006584/1).</t>
  </si>
  <si>
    <t xml:space="preserve">JUL 1</t>
  </si>
  <si>
    <t xml:space="preserve">10.1093/cid/cix1144</t>
  </si>
  <si>
    <t xml:space="preserve">GM8DN</t>
  </si>
  <si>
    <t xml:space="preserve">Green Accepted, Green Published, hybrid</t>
  </si>
  <si>
    <t xml:space="preserve">WOS:000438446600006</t>
  </si>
  <si>
    <t xml:space="preserve">Wang, K; Chalker, V; Bermingham, A; Harrison, T; Mant, D; Harnden, A</t>
  </si>
  <si>
    <t xml:space="preserve">Wang, Kay; Chalker, Victoria; Bermingham, Alison; Harrison, Timothy; Mant, David; Harnden, Anthony</t>
  </si>
  <si>
    <t xml:space="preserve">Mycoplasma pneumoniae and Respiratory Virus Infections in Children With Persistent Cough in England A Retrospective Analysis</t>
  </si>
  <si>
    <t xml:space="preserve">Mycoplasma pneumoniae; viruses; infection; cough; child</t>
  </si>
  <si>
    <t xml:space="preserve">ASTHMA; PERTUSSIS</t>
  </si>
  <si>
    <t xml:space="preserve">Background: Persistent cough following an acute respiratory tract infection is common in children, but clinicians may find it difficult to give accurate prognostic information on likely duration of cough without a microbiologic diagnosis. This study estimates the prevalence of Mycoplasma pneumoniae (Mp) and assesses the prognostic value of detecting Mp and respiratory viruses in children with persistent cough. Methods: We retrospectively analyzed blood samples, nasopharyngeal aspirates (NPAs), and cough duration data from 179 children with persistent cough lasting 14 days or longer. Of these children, 37% had serologically confirmed Bordetella pertussis (pertussis). We detected Mp by polymerase chain reaction of NPAs and IgM serology, and respiratory viruses (human rhinoviruses, influenza viruses, respiratory syncytial viruses, and human metapneumovirus) by polymerase chain reaction of NPAs. We used Kaplan-Meier analyses to calculate median cough durations with 95% confidence intervals (CIs). Results: We detected Mp in 22 of 170 children with sufficient blood and/or NPAs (12.9%, 95% CI: 8.7-18.8). Cough duration in children with positive Mp serology (median: 39 days, 95% CI: 24-54) was significantly shorter than in children with positive pertussis serology (median: 118 days, 95% CI: 82-154, P &lt; 0.001). The presence of respiratory viruses did not significantly lengthen cough duration in children with pertussis (median: 154 days, 95% CI: 74-234, P = 0.810). Only 3 children had both Mp and respiratory virus infections. Conclusions: Mp is an important infection in children with persistent cough and is associated with a significantly shorter duration of cough than pertussis. However, detecting respiratory viruses does not add prognostic value in children with pertussis.</t>
  </si>
  <si>
    <t xml:space="preserve">[Wang, Kay; Mant, David; Harnden, Anthony] Univ Oxford, Dept Primary Hlth Care, Oxford OX1 2ET, England; [Chalker, Victoria; Harrison, Timothy] London Hlth Protect Agcy, Resp &amp; Syst Infect Lab, London, England; [Bermingham, Alison] London Hlth Protect Agcy, Resp Virus Unit, Virus Reference Dept, London, England</t>
  </si>
  <si>
    <t xml:space="preserve">University of Oxford</t>
  </si>
  <si>
    <t xml:space="preserve">Wang, K (corresponding author), Univ Oxford, Dept Primary Hlth Care, 23-38 Hythe Bridge St, Oxford OX1 2ET, England.</t>
  </si>
  <si>
    <t xml:space="preserve">kay.wang@phc.ox.ac.uk</t>
  </si>
  <si>
    <t xml:space="preserve">Chalker, Vicki/GVU-4161-2022</t>
  </si>
  <si>
    <t xml:space="preserve">National Institute for Health Research; National Institutes of Health Research (NIHR) [DRF-2009-02-145, RP-PG-0407-10347] Funding Source: National Institutes of Health Research (NIHR); MRC [G0000340] Funding Source: UKRI</t>
  </si>
  <si>
    <t xml:space="preserve">National Institute for Health Research(National Institutes of Health Research (NIHR)); National Institutes of Health Research (NIHR)(National Institutes of Health Research (NIHR)); MRC(UK Research &amp; Innovation (UKRI)Medical Research Council UK (MRC))</t>
  </si>
  <si>
    <t xml:space="preserve">Supported by the National Institute for Health Research (to K. W.).</t>
  </si>
  <si>
    <t xml:space="preserve">10.1097/INF.0b013e31822db5e2</t>
  </si>
  <si>
    <t xml:space="preserve">WOS:000297406100010</t>
  </si>
  <si>
    <t xml:space="preserve">Tedcastle, AB; Fenwick, F; Robinson, MJ; Toms, GL</t>
  </si>
  <si>
    <t xml:space="preserve">Tedcastle, A. B.; Fenwick, F.; Robinson, M. J.; Toms, G. L.</t>
  </si>
  <si>
    <t xml:space="preserve">Immunogenicity in Mice of Human Metapneumovirus With a Truncated SH Glycoprotein</t>
  </si>
  <si>
    <t xml:space="preserve">mutation; neutralizing; cross-genotype; antibody; animal model</t>
  </si>
  <si>
    <t xml:space="preserve">RESPIRATORY SYNCYTIAL VIRUS; CLINICAL IMPACT; INFECTION; PROTEIN; VACCINE; GENE; EXPRESSION; PATHOGENESIS; ANTIBODIES; DELETION</t>
  </si>
  <si>
    <t xml:space="preserve">The SH glycoprotein of human metapneumovirus (HMPV) is twice the size of that of human respiratory syncytial virus and possesses a large, hydrophilic luminal domain. The glycoprotein is located on the surface of the virion and of virus infected cells and, if immunogenic, might be expected to play a role in anti-viral immunity. Initial attempts to study anti-SH antibody immunogenicity were thwarted by the instability of the SH gene on passage both in human bronchial epithelial cells and in mice. Repeated passage of virus isolates in human bronchial epithelial cells in culture resulted in the appearance and eventual predominance of HMPV mutants lacking all or most of the luminal domain of SH coincidental with the loss of productive infection in mouse lungs. Where infection was established in mice with an early cell culture passage, the virus recovered from mouse lung differed markedly from the inoculum, carrying 19 coding mutations in the SH luminal domain. Immunization of mice with a mutant virus variant expressing only 14 amino acids of the luminal domain of SH induced a cross-reactive antibody response to both the F glycoprotein and the SH glycoprotein but a largely sub-group specific response to the G glycoprotein. Similar patterns of response were achieved by immunization with individual HMPV glycoproteins expressed from recombinant vaccinia viruses. Recombinant truncated SH glycoprotein induced sub-group cross-reactive antibodies capable of neutralizing wild-type virus. Recombinant F glycoprotein also induced cross-reactive neutralizing antibodies whilst recombinant G glycoprotein induced largely strain-specific, non-neutralizing antibodies. J. Med. Virol. 86:547-557, 2014. (c) 2013 Wiley Periodicals, Inc.</t>
  </si>
  <si>
    <t xml:space="preserve">[Tedcastle, A. B.; Fenwick, F.; Robinson, M. J.; Toms, G. L.] Newcastle Univ, Inst Cellular Med, Newcastle Upon Tyne NE1 7RU, Tyne &amp; Wear, England</t>
  </si>
  <si>
    <t xml:space="preserve">Newcastle University - UK</t>
  </si>
  <si>
    <t xml:space="preserve">Toms, GL (corresponding author), 36 Hawthorn Rd, Newcastle Upon Tyne, Tyne &amp; Wear NE34DE, England.</t>
  </si>
  <si>
    <t xml:space="preserve">geoffrey.toms@ncl.ac.uk</t>
  </si>
  <si>
    <t xml:space="preserve">BioNEt., Newcastle upon Tyne, UK</t>
  </si>
  <si>
    <t xml:space="preserve">Grant sponsor: Studentship from BioNEt., Newcastle upon Tyne, UK</t>
  </si>
  <si>
    <t xml:space="preserve">10.1002/jmv.23731</t>
  </si>
  <si>
    <t xml:space="preserve">302EB</t>
  </si>
  <si>
    <t xml:space="preserve">WOS:000330583400001</t>
  </si>
  <si>
    <t xml:space="preserve">Ali, A; Akhund, T; Warraich, GJ; Aziz, F; Rahman, N; Umrani, FA; Qureshi, S; Petri, WA; Bhutta, Z; Zaidi, AKM; Hughes, MA</t>
  </si>
  <si>
    <t xml:space="preserve">Ali, Asad; Akhund, Tauseef; Warraich, Gohar Javed; Aziz, Fatima; Rahman, Najeeb; Umrani, Fayyaz Ahmed; Qureshi, Shahida; Petri, William A., Jr.; Bhutta, Zulfiqar; Zaidi, Anita K. M.; Hughes, Molly A.</t>
  </si>
  <si>
    <t xml:space="preserve">Respiratory Viruses Associated With Severe Pneumonia in Children Under 2 Years Old in a Rural Community in Pakistan</t>
  </si>
  <si>
    <t xml:space="preserve">multiplex; Pakistan; PCR; pneumonia; viral</t>
  </si>
  <si>
    <t xml:space="preserve">YOUNG-CHILDREN; CHILDHOOD PNEUMONIA; TRACT INFECTIONS; EPIDEMIOLOGY; ETIOLOGY; BURDEN; PCR</t>
  </si>
  <si>
    <t xml:space="preserve">The objective of this study was to determine the incidence of respiratory viruses associated with severe pneumonia among children less than 2 years of age in the rural district of Matiari in Sindh, Pakistan. This study was a community-based prospective cohort active surveillance of infants enrolled at birth and followed for 2 years. Cases were identified using the World Health Organization's Integrated Management of Childhood Illnesses' definition of severe pneumonia. Nasopharyngeal swabs were obtained for assessment by multiplex RT-PCR for eight viruses and their subtypes, including RSV, influenza virus, human metapneumovirus, enterovirus/rhinovirus, coronavirus, parainfluenza virus, adenovirus, and human bocavirus. Blood cultures were collected from febrile participants. A total of 817 newborns were enrolled and followed with fortnightly surveillance for 2 years, accounting for a total of 1,501 childyears of follow-up. Of the nasopharyngeal swabs collected, 77.8% (179/230) were positive for one or more of the above mentioned respiratory viruses. The incidence of laboratory confirmed viral-associated pneumonia was 11.9 per 100 child-years of follow-up. Enterovirus/rhinovirus was detected in 51.7% patients, followed by parainfluenza virus type III (8.3%), and RSV (5.7%). Of the uncontaminated blood cultures, 1.4% (5/356) were positive. Respiratory viruses are frequently detected during acute respiratory infection episodes in children under 2 years old in a rural community in Pakistan. However, causal association is yet to be established and the concomitant role of bacteria as a co-infection or super-infection needs further investigation. (C) 2016 Wiley Periodicals, Inc.</t>
  </si>
  <si>
    <t xml:space="preserve">[Ali, Asad; Akhund, Tauseef; Warraich, Gohar Javed; Aziz, Fatima; Rahman, Najeeb; Umrani, Fayyaz Ahmed; Qureshi, Shahida; Bhutta, Zulfiqar; Zaidi, Anita K. M.] Aga Khan Univ, Dept Pediat &amp; Child Hlth, Stadium Rd,POB 3500, Karachi 74800, Pakistan; [Petri, William A., Jr.; Hughes, Molly A.] Univ Virginia, Sch Med, Dept Med, Div Infect Dis &amp; Int Hlth, Charlottesville, VA 22908 USA</t>
  </si>
  <si>
    <t xml:space="preserve">Aga Khan University; University of Virginia</t>
  </si>
  <si>
    <t xml:space="preserve">Ali, A (corresponding author), Aga Khan Univ, Dept Pediat &amp; Child Hlth, Stadium Rd,POB 3500, Karachi 74800, Pakistan.;Hughes, MA (corresponding author), Univ Virginia, Sch Med, Dept Med, Div Infect Dis &amp; Int Hlth, Charlottesville, VA 22908 USA.</t>
  </si>
  <si>
    <t xml:space="preserve">asad.ali@aku.edu; mah3x@virginia.edu</t>
  </si>
  <si>
    <t xml:space="preserve">Aziz, Fatima/O-9104-2018; PAN, WILLIAM/HTR-1125-2023; Bhutta, Zulfiqar/ADZ-0156-2022; Petri, William/D-3639-2019; Bhutta, Zulfiqar/L-7822-2015</t>
  </si>
  <si>
    <t xml:space="preserve">Wasif, Muhammad/0009-0004-1374-302X; Ali, Syed Asad/0000-0001-5274-7665; Bhutta, Zulfiqar/0000-0003-0637-599X; Aziz, Fatima/0000-0002-9836-9142</t>
  </si>
  <si>
    <t xml:space="preserve">United States Defense Threat Reduction Agency [HDTRA1-10-1-0082]</t>
  </si>
  <si>
    <t xml:space="preserve">United States Defense Threat Reduction Agency(United States Department of DefenseDefense Threat Reduction Agency)</t>
  </si>
  <si>
    <t xml:space="preserve">Grant sponsor: United States Defense Threat Reduction Agency; Grant number: HDTRA1-10-1-0082</t>
  </si>
  <si>
    <t xml:space="preserve">10.1002/jmv.24557</t>
  </si>
  <si>
    <t xml:space="preserve">DZ3CX</t>
  </si>
  <si>
    <t xml:space="preserve">WOS:000385723000007</t>
  </si>
  <si>
    <t xml:space="preserve">Freymuth, F; Vabret, A; Cuvillon-Nimal, D; Simon, S; Dina, J; Legrand, L; Gouarin, S; Petitjean, J; Eckart, P; Brouard, J</t>
  </si>
  <si>
    <t xml:space="preserve">Freymuth, Francois; Vabret, Astrid; Cuvillon-Nimal, Delphine; Simon, Sandrine; Dina, Julia; Legrand, Loic; Gouarin, Stephanie; Petitjean, Joelle; Eckart, Philippe; Brouard, Jacques</t>
  </si>
  <si>
    <t xml:space="preserve">Comparison of multiplex PCR assays and conventional techniques for the diagnostic of respiratory virus infections in children admitted to hospital with an acute respiratory illness</t>
  </si>
  <si>
    <t xml:space="preserve">multiplex-PCR; respiratory virus; RSV; hMPV; influenza virus; coronavirus; rhinovirus</t>
  </si>
  <si>
    <t xml:space="preserve">REVERSE TRANSCRIPTION-PCR; POLYMERASE-CHAIN-REACTION; ENZYME HYBRIDIZATION ASSAY; REAL-TIME PCR; TRACT INFECTIONS; SYNCYTIAL-VIRUS; CLINICAL-SAMPLES; INFLUENZA-B; PARAINFLUENZA VIRUS; PEDIATRIC-PATIENTS</t>
  </si>
  <si>
    <t xml:space="preserve">The performances of four multiplex PCR (m-PCR) were compared to direct immunofluorescence assay (DFA) and HuH7 cell culture for the detection of viruses in 263 children admitted to hospital with an acute respiratory illness. One hundred fifty (57.6%) nasal aspirates were found DFA-positive; 188 (72.3%) were found positive by both DFA and HuH7 cell culture, and 242 (92%) were PCR-positive. The m-PCR detected 124 viruses which were not found by conventional methods: 68 rhinovirus, 17 human metapneumovirus, 15 respiratory syncytial virus (RSV), 8 parainfluenza virus (PIV), 5 coronavirus 229E, 3 OC43 and 3 NI-63, 4 enterovirus, 2 influenza virus B and C virus. The m-PCR were more sensitive, had the advantages of a shorter delay in specific diagnosis, and a lower cost than DFA and culture. Using these m-PCR, the prevalence of each virus was compared between in-patient and outpatient groups of children attending the emergency unit of the hospital. Nasal aspirates from 411 (91.5%) children were found positive by the PCRs. RSV, rhinovirus, and influenza virus were the most frequent viruses detected in this population, representing 43.6%, 31.8%, and 8.8% of the virus found, respectively, followed by human metapneumovirus (4.4%), coronavirus (3.4%), parainfluenza virus (3.2%), adenovirus (2.3%), and enterovirus (2.1%). RSVs were detected more significantly in the in-patient group than in the out-patient group, and influenza viruses were detected more frequently in the out-patient group than in the in-patient group. Moreover, the use of m-PCR pointed out the frequency of rhinovirus and mixed viral detections in these patients. In conclusion, according to the requirements of speed and low cost of the methods, and to achieve the highest rate of detection of respiratory viruses, the combined use of DFA and m-PCR is today likely to be the best way to improve diagnosis of respiratory illnesses in children.</t>
  </si>
  <si>
    <t xml:space="preserve">Univ Hosp, Lab Human &amp; Mol Virol, F-14033 Caen, France; Univ Hosp, Dept Pediat, F-14033 Caen, France</t>
  </si>
  <si>
    <t xml:space="preserve">CHU de Caen NORMANDIE; CHU de Caen NORMANDIE</t>
  </si>
  <si>
    <t xml:space="preserve">Freymuth, F (corresponding author), Univ Hosp, Lab Human &amp; Mol Virol, Av Georges Clemenceau, F-14033 Caen, France.</t>
  </si>
  <si>
    <t xml:space="preserve">freymuth-f@chu-caen.fr</t>
  </si>
  <si>
    <t xml:space="preserve">VABRET, Astrid/HTO-5810-2023; Brouard, Jacques/AAH-3387-2020</t>
  </si>
  <si>
    <t xml:space="preserve">VABRET, Astrid/0000-0002-8940-7645</t>
  </si>
  <si>
    <t xml:space="preserve">10.1002/jmv.20725</t>
  </si>
  <si>
    <t xml:space="preserve">091PZ</t>
  </si>
  <si>
    <t xml:space="preserve">WOS:000241042100020</t>
  </si>
  <si>
    <t xml:space="preserve">Bellau-Pujol, S; Vabret, A; Legrand, L; Dina, J; Gouarin, S; Petitjean-Lecherbonnier, J; Pozzetto, B; Ginevra, C; Freymuth, F</t>
  </si>
  <si>
    <t xml:space="preserve">Development of three multiplex RT-PCR assays for the detection of 12 respiratory RNA viruses</t>
  </si>
  <si>
    <t xml:space="preserve">multiplex RT-PCR assay; respiratory syncytial virus; influenza virus; parainfluenza virus; human metapneumovirus; rhinovirus; human coronavirus</t>
  </si>
  <si>
    <t xml:space="preserve">REVERSE TRANSCRIPTION-PCR; POLYMERASE-CHAIN-REACTION; ENZYME HYBRIDIZATION ASSAY; SYNCYTIAL-VIRUS; PARAINFLUENZA VIRUS; INFLUENZA-A; HOSPITALIZED CHILDREN; HUMAN METAPNEUMOVIRUS; PEDIATRIC-PATIENTS; TRACT INFECTIONS</t>
  </si>
  <si>
    <t xml:space="preserve">Three multiplex hemi-nested RT-PCR assays were developed to detect simultaneously 12 RNA respiratory viruses: influenza viruses A, B and C, human respiratory syncytial virus (hRSV), human metapneumovirus (hMPV), parainfluenza virus types 1-4 (PIV- 1, -2, -3 and -4), human coronavirus OC43 and 229E (HCoV) and rhinovirus (hRV). An internal amplification control was included in one of the RT-PCR assays. The RT-PCR multiplex I and the hemi-nested multiplex I detected I and 0. 1 TCID50 of RSV A, respectively, and 0.01 and 0.00 1 TCID50 of influenza virus AWN2, respectively. Two hundred and three nasal aspirates from hospitalised children were retrospectively tested in comparison with two conventional methods: direct immunofluorescence assay and viral isolation technique. Almost all samples (89/9 1) that were positive by immunofluorescence assay and/or viral isolation technique were detected by the multiplex assay. This method also-detected an additional 85 viruses and 33 co-infections. The overall sensitivity (98%), rapidity and enhanced efficiency of these multiplex hemi-nested RT-PCR assays suggest that they would be a significant improvement over conventional methods for the detection of a broad spectrum of respiratory viruses. (c) 2005 Elsevier B.V. All rights reserved.</t>
  </si>
  <si>
    <t xml:space="preserve">Univ Hosp, Lab Human &amp; Mol Virol, F-14033 Caen, France; CHU St Etienne, Virol Lab, F-42055 St Etienne, France</t>
  </si>
  <si>
    <t xml:space="preserve">CHU de Caen NORMANDIE; CHU de St Etienne</t>
  </si>
  <si>
    <t xml:space="preserve">Univ Hosp, Lab Human &amp; Mol Virol, Av Georges Clemenceau, F-14033 Caen, France.</t>
  </si>
  <si>
    <t xml:space="preserve">VABRET, Astrid/HTO-5810-2023; Ginevra, Christophe/L-9647-2014; POZZETTO, Bruno/B-2266-2008; Ginevra, Christophe/G-7379-2019</t>
  </si>
  <si>
    <t xml:space="preserve">POZZETTO, Bruno/0000-0002-2603-8467; Ginevra, Christophe/0000-0002-5597-094X; VABRET, Astrid/0000-0002-8940-7645</t>
  </si>
  <si>
    <t xml:space="preserve">10.1016/j.jviromet.2005.01.020</t>
  </si>
  <si>
    <t xml:space="preserve">924TJ</t>
  </si>
  <si>
    <t xml:space="preserve">WOS:000229003000007</t>
  </si>
  <si>
    <t xml:space="preserve">Gröndahl, B; Ankermann, T; von Bismarck, P; Rockahr, S; Kowalzik, F; Gehring, S; Meyer, C; Knuf, M; Puppe, W</t>
  </si>
  <si>
    <t xml:space="preserve">Groendahl, B.; Ankermann, T.; von Bismarck, P.; Rockahr, S.; Kowalzik, F.; Gehring, S.; Meyer, C.; Knuf, M.; Puppe, W.</t>
  </si>
  <si>
    <t xml:space="preserve">The 2009 pandemic influenza A(H1N1) coincides with changes in the epidemiology of other viral pathogens causing acute respiratory tract infections in children</t>
  </si>
  <si>
    <t xml:space="preserve">Multiplex reverse transcription-PCR; ELISA; Respiratory tract infection; Novel influenza A(H1N1)2009 virus; Epidemiology</t>
  </si>
  <si>
    <t xml:space="preserve">MULTIPLEX; ILLNESS; PCR</t>
  </si>
  <si>
    <t xml:space="preserve">Background In Germany, the outbreak of the novel pandemic 2009 influenza A(H1N1) virus A(H1N1)pdm09 caused a wave of high activity between November 2009 and January 2011. The aim of this study was to investigate the prevalence of 19 respiratory pathogens in children hospitalized for lower respiratory tract infections during the winter influenza seasons of 2009/2010 and 2010/2011 and to observe a possible impact of influenza A(H1N1)pdm09 on the epidemiology of other epidemic viruses. Materials and methods Specimens were nasopharyngeal aspirates which had been collected from children admitted to the participating hospitals in the area of Mainz, Wiesbaden, and Kiel, Germany, with acute community-acquired lower respiratory tract infections. The specimens were subjected to a previously described multiplex reverse transcription PCR assay to detect the following microorganisms: enterovirus, influenza virus types A and B, respiratory syncytial virus (RSV), parainfluenzavirus types 1-4, adenovirus, Mycoplasma pneumoniae, Chlamydophila pneumoniae, rhinovirus, human metapneumovirus (hMPV), coronavirus OC43 and 229E, influenza A(H1N1)pdm09, Bordetella pertussis, Bordetella parapertussis, and Legionella pneumophila. Results A total of 3,998 clinical specimens were collected from July 2009 to March 2011, of which 296 were positive for A(H1N1)pdm09. An epidemic of seasonal influenza A or B was not observed in the 2009/2010 season, but a minor epidemic of seasonal influenza B was observed in January/February 2011. Influenza A(H1N1)pdm09 coincided with the absence of the seasonal influenza A of former years. The RSV and hMPV epidemics of 2009/2010 erupted several weeks later than expected based on data collected in the PID-ARI-Network during the past 10 years, whereas in the 2010/2011 influenza season they occurred as expected. Conclusions The emergence of the novel influenza A(H1N1)pdm09 virus may have been influenced the epidemiology of other epidemic viruses, such as the RSV and hMPV. No epidemic of seasonal influenza was observed in the 2009/2010 influenza season.</t>
  </si>
  <si>
    <t xml:space="preserve">[Groendahl, B.; Kowalzik, F.; Gehring, S.; Meyer, C.; Knuf, M.] Univ Med, Dept Pediat, D-55101 Mainz, Germany; [Ankermann, T.; von Bismarck, P.; Rockahr, S.] Univ Kiel, Fac Med, Dept Pediat, D-24105 Kiel, Germany; [Knuf, M.] Dr Horst Schmidt Klin GmbH, Dept Pediat, D-65199 Wiesbaden, Germany; [Puppe, W.] Hannover Med Sch, Inst Virol, D-30625 Hannover, Germany</t>
  </si>
  <si>
    <t xml:space="preserve">University of Kiel; Hannover Medical School</t>
  </si>
  <si>
    <t xml:space="preserve">Gröndahl, B (corresponding author), Univ Med, Dept Pediat, Langenbeckstr 1, D-55101 Mainz, Germany.</t>
  </si>
  <si>
    <t xml:space="preserve">groendahl@gmx.de</t>
  </si>
  <si>
    <t xml:space="preserve">Meyer, Claudius U./0000-0003-1334-2512</t>
  </si>
  <si>
    <t xml:space="preserve">10.1007/s15010-013-0545-5</t>
  </si>
  <si>
    <t xml:space="preserve">AF7MQ</t>
  </si>
  <si>
    <t xml:space="preserve">WOS:000334899600005</t>
  </si>
  <si>
    <t xml:space="preserve">Malhotra, B; Swamy, MA; Reddy, PVJ; Kumar, N; Tiwari, JK</t>
  </si>
  <si>
    <t xml:space="preserve">Malhotra, Bharti; Swamy, M. Anjaneya; Reddy, P. V. Janardhan; Kumar, Neeraj; Tiwari, Jitendra Kumar</t>
  </si>
  <si>
    <t xml:space="preserve">Evaluation of custom multiplex real - time RT - PCR in comparison to fast - track diagnostics respiratory 21 pathogens kit for detection of multiple respiratory viruses</t>
  </si>
  <si>
    <t xml:space="preserve">Multiplex real time RT-PCR; Custom assay; FTD assay; Concordance</t>
  </si>
  <si>
    <t xml:space="preserve">PANEL FAST ASSAY; PEDIATRIC-PATIENTS; VIRAL-INFECTIONS; CHILDREN; BOCAVIRUS</t>
  </si>
  <si>
    <t xml:space="preserve">Background: Severe acute respiratory infections in children can be fatal, rapid identification of the causative agent and timely treatment can be life saving. Multiplex real time RT-PCR helps in simultaneous detection of multiple viruses saving cost, time and labour. Commercially available multiplex real time RT-PCR kits are very expensive. Therefore the aim of the present study was to develop a cost effective multiplex real time RT-PCR for the detection of 18 respiratory viruses and compare it with an in-vitro diagnostics approved Fast Track Diagnostic Respiratory Pathogens 21 Kit (FTD). Methods: Nasopharyngeal aspirates and throat swabs were collected and processed for extraction of nucleic acid using an automated extraction system and multiplex real time RT-PCR was performed using the FTD kit and a custom assay on 356 samples. Results: Custom and FTD assays detected one or more respiratory viruses in 268 (75.29 %) and 262 (73.60 %) samples respectively. The concordance between the custom assay and the FTD assay was 100 % for HCoV OC43, HCoV 229E, HPIV-1, HPIV-2, HBoV, HPeV, Flu A, and Influenza A(H1N1) pdm09 and 94.66 - 99.71 % for the remaining viruses; Flu B (99.71 %), HRV (99.71 %), HPIV-3 (98.87 %), HPIV-4 (99.43 %), HCoV NL63 (99.71 %), HMPV A/B (99.71 %), RSV A/B (94.66 %), EV (98.31 %), HCoV HKU1 (99.71 %), HAdV (99.71 %). Major discrepancy was observed for RSV A/B, which was over detected in 18 samples by the custom assay as compared to the FTD assay. The custom assay was much cheaper than the FTD assay and the time taken was only 29 min more. Conclusion: The custom primer and probe mix was found to be comparable to the FTD assay with good concordance but was much cheaper and the time taken for reporting was only 29 min more. The low cost custom multiplex RT-PCR can be a useful alternative to the costly FTD kit for rapid identification of viral aetiology in resource limited settings.</t>
  </si>
  <si>
    <t xml:space="preserve">[Malhotra, Bharti; Swamy, M. Anjaneya; Reddy, P. V. Janardhan; Kumar, Neeraj; Tiwari, Jitendra Kumar] Sawai Man Singh Med Coll, ICMR Grade Viral Diagnost &amp; Res Lab 1, Adv Basic Sci &amp; Clin Res Lab, Dept Microbiol &amp; Immunol, Jawahar Lal Nehru Marg, Jaipur 302004, Rajasthan, India</t>
  </si>
  <si>
    <t xml:space="preserve">SMS Medical College &amp; Hospital</t>
  </si>
  <si>
    <t xml:space="preserve">Malhotra, B (corresponding author), Sawai Man Singh Med Coll, ICMR Grade Viral Diagnost &amp; Res Lab 1, Adv Basic Sci &amp; Clin Res Lab, Dept Microbiol &amp; Immunol, Jawahar Lal Nehru Marg, Jaipur 302004, Rajasthan, India.</t>
  </si>
  <si>
    <t xml:space="preserve">drbhartimalhotra@gmail.com</t>
  </si>
  <si>
    <t xml:space="preserve">Tiwari, Jagesh/L-2103-2019</t>
  </si>
  <si>
    <t xml:space="preserve">Pothamsetty, Venkata Janardhan Reddy/0000-0002-4697-325X</t>
  </si>
  <si>
    <t xml:space="preserve">Indian Council of Medical Research</t>
  </si>
  <si>
    <t xml:space="preserve">Indian Council of Medical Research(Indian Council of Medical Research (ICMR))</t>
  </si>
  <si>
    <t xml:space="preserve">Authors acknowledge the financial support from Indian Council of Medical Research to BM for setting up ICMR Grade-I Viral Research and diagnostic Laboratory and Senior Research Fellowship to MAS.</t>
  </si>
  <si>
    <t xml:space="preserve">JUN 6</t>
  </si>
  <si>
    <t xml:space="preserve">10.1186/s12985-016-0549-8</t>
  </si>
  <si>
    <t xml:space="preserve">DO0ZH</t>
  </si>
  <si>
    <t xml:space="preserve">WOS:000377507300001</t>
  </si>
  <si>
    <t xml:space="preserve">Sonawane, AA; Shastri, J; Bavdekar, SB</t>
  </si>
  <si>
    <t xml:space="preserve">Sonawane, Anuja A.; Shastri, Jayanthi; Bavdekar, Sandeep B.</t>
  </si>
  <si>
    <t xml:space="preserve">Respiratory Pathogens in Infants Diagnosed with Acute Lower Respiratory Tract Infection in a Tertiary Care Hospital of Western India Using Multiplex Real Time PCR</t>
  </si>
  <si>
    <t xml:space="preserve">INDIAN JOURNAL OF PEDIATRICS</t>
  </si>
  <si>
    <t xml:space="preserve">Multiplex real time PCR; Acute lower respiratory tract infection; Infants; Respiratory viruses; RSV; Co-infection</t>
  </si>
  <si>
    <t xml:space="preserve">POLYMERASE-CHAIN-REACTION; VIRUSES; CHILDREN; ILLNESS</t>
  </si>
  <si>
    <t xml:space="preserve">ObjectiveTo determine the frequency of respiratory pathogens in infants diagnosed with acute lower respiratory tract infections.MethodsA prospective cross-sectional observational study was conducted in infants hospitalized with a diagnosis of acute lower respiratory tract infection (ALRTI), in a tertiary care hospital in a metropolitan city of Western India. Nasopharyngeal swabs were analyzed by multiplex real time polymerase chain reaction, for 18 viruses and 3 bacteria (H. influenzae type b, C. pneumoniae and M. pneumoniae). The entire data was entered in Microsoft excel sheet and frequencies were determined.ResultsOne hundred eligible infants were enrolled. Pathogens were detected in 82 samples, which included Respiratory syncytial viruses (RSV) A / B (35.4%), Human rhinovirus (25.6%), Adenovirus (22%), Human Parainfluenza viruses (11%), Human bocavirus (9.8), Human metapneumovirus A / B (8.5%), Influenza A (H1N1) pdm 09 (6.1%), Parechovirus (3.7%), Human coronaviruses (3.66%), Haemophilus influenzae type b (6.1%), Chlamydia pneumoniae (2.4%) and Mycoplasma pneumoniae (2.4%). Influenza A (other than H1N1), Influenza B, Human Coronavirus 229E and Enterovirus were not detected. The rate of coinfection was 34% and rhinovirus was the most common of the multiple pathogens.ConclusionsSpectrum of viral etiologies of ALRTI is highlighted. Etiological diagnosis of ALRTI would enable specific antiviral therapy, restrict antibiotic use and help in knowing burden of disease.</t>
  </si>
  <si>
    <t xml:space="preserve">[Sonawane, Anuja A.; Shastri, Jayanthi] TN Med Coll &amp; BYL Nair Hosp, Dept Microbiol, Mumbai 400008, Maharashtra, India; [Bavdekar, Sandeep B.] TN Med Coll &amp; BYL Nair Hosp, Dept Pediat, Mumbai, Maharashtra, India</t>
  </si>
  <si>
    <t xml:space="preserve">Topiwala National Medical College &amp; B Y L Nair Charitable Hospital; Topiwala National Medical College &amp; B Y L Nair Charitable Hospital</t>
  </si>
  <si>
    <t xml:space="preserve">Sonawane, AA (corresponding author), TN Med Coll &amp; BYL Nair Hosp, Dept Microbiol, Mumbai 400008, Maharashtra, India.</t>
  </si>
  <si>
    <t xml:space="preserve">dr.anujasonawane@gmail.com</t>
  </si>
  <si>
    <t xml:space="preserve">s, Bavdekar/Q-2167-2019</t>
  </si>
  <si>
    <t xml:space="preserve">SPRINGER INDIA</t>
  </si>
  <si>
    <t xml:space="preserve">7TH FLOOR, VIJAYA BUILDING, 17, BARAKHAMBA ROAD, NEW DELHI, 110 001, INDIA</t>
  </si>
  <si>
    <t xml:space="preserve">0019-5456</t>
  </si>
  <si>
    <t xml:space="preserve">0973-7693</t>
  </si>
  <si>
    <t xml:space="preserve">INDIAN J PEDIATR</t>
  </si>
  <si>
    <t xml:space="preserve">Indian J. Pediatr.</t>
  </si>
  <si>
    <t xml:space="preserve">10.1007/s12098-018-2840-8</t>
  </si>
  <si>
    <t xml:space="preserve">HX7PO</t>
  </si>
  <si>
    <t xml:space="preserve">WOS:000467598100009</t>
  </si>
  <si>
    <t xml:space="preserve">Brittain-Long, R; Andersson, LM; Olofsson, S; Lindh, M; Westin, J</t>
  </si>
  <si>
    <t xml:space="preserve">Brittain-Long, Robin; Andersson, Lars-Magnus; Olofsson, Sigvard; Lindh, Magnus; Westin, Johan</t>
  </si>
  <si>
    <t xml:space="preserve">Seasonal variations of 15 respiratory agents illustrated by the application of a multiplex polymerase chain reaction assay</t>
  </si>
  <si>
    <t xml:space="preserve">SCANDINAVIAN JOURNAL OF INFECTIOUS DISEASES</t>
  </si>
  <si>
    <t xml:space="preserve">Multiplex PCR; respiratory viruses; respiratory tract infection; seasonal distribution</t>
  </si>
  <si>
    <t xml:space="preserve">SYNCYTIAL VIRUS-INFECTION; DONT FORGET SERUM; HUMAN BOCAVIRUS; TRACT INFECTION; VIRAL LOAD; RHINOVIRUS; DIAGNOSIS; PCR; SURVEILLANCE; INFANTS</t>
  </si>
  <si>
    <t xml:space="preserve">Background: Nucleic acid amplification tests are increasingly being used to diagnose viral and bacterial respiratory tract infections. The high sensitivity of these tests affects our understanding of the epidemiology of respiratory tract infections. We have assessed the detection rate of a multiplex real-time polymerase chain reaction (PCR) test, with emphasis on epidemiology and seasonal distribution of the most common respiratory tract infections. Methods: Seven thousand eight hundred and fifty-three nasopharyngeal samples from 7220 patients (age range 0-98 y, median 22 y) obtained during 36 consecutive months (November 2006-October 2009), were analyzed with a multiplex PCR panel including influenza A (IfA) and B (IfB) virus, parainfluenza virus (PIV) 1-3, respiratory syncytial virus (RSV), human rhinovirus (HRV), human coronavirus (CoV) OC43, NL63, and 229E, human metapneumovirus (HMPV), adenovirus (AdV), enterovirus (EV), and 2 bacteria - Mycoplasma pneumoniae and Chlamydophila pneumoniae. Results: Of the total samples, 44.5% (n = 3496) were positive for at least 1 agent, with HRV being the most common (n = 1482, 38.0%), followed by RSV (n = 526, 13.5%) and IfA (n = 403, 10.3%). The diagnostic yield was significantly higher during the winter and early spring compared to the summer (n = 2439 of 4458 samples, 54.7% and n = 1057 of 3395 samples, 31.1%, respectively; p &lt; 0.001). Conclusions: The diagnostic yield was highly dependent on the month of sampling and the age of the patient. However, the overall detection rate per month was above 30%, apart for August and September. Our findings support the use of similar tests in routine clinical care all year round. HRV was the most common finding in the respiratory tract, independent of season.</t>
  </si>
  <si>
    <t xml:space="preserve">[Brittain-Long, Robin] Aberdeen Royal Infirm, Acute Med Assessment Unit, Aberdeen AB25 2ZN, Scotland; [Brittain-Long, Robin; Andersson, Lars-Magnus] Sahlgrens Univ Hosp, Dept Infect Dis, Gothenburg, Sweden; [Andersson, Lars-Magnus; Olofsson, Sigvard; Lindh, Magnus; Westin, Johan] Sahlgrens Univ Hosp, Dept Clin Virol, Gothenburg, Sweden</t>
  </si>
  <si>
    <t xml:space="preserve">University of Aberdeen; Sahlgrenska University Hospital; Sahlgrenska University Hospital</t>
  </si>
  <si>
    <t xml:space="preserve">Brittain-Long, R (corresponding author), Aberdeen Royal Infirm, Acute Med Assessment Unit, Foresterhill, Aberdeen AB25 2ZN, Scotland.</t>
  </si>
  <si>
    <t xml:space="preserve">Brittainlong@btinternet.com</t>
  </si>
  <si>
    <t xml:space="preserve">Andersson, Mauritz/L-7752-2014</t>
  </si>
  <si>
    <t xml:space="preserve">Swedish Strategic Program against Antibiotic Resistance (STRAMA); Capio Research Foundation [2006-1166]; Region Vstra Gotaland [VGFOUREG-8402]</t>
  </si>
  <si>
    <t xml:space="preserve">Swedish Strategic Program against Antibiotic Resistance (STRAMA); Capio Research Foundation; Region Vstra Gotaland</t>
  </si>
  <si>
    <t xml:space="preserve">The authors declare that they have no competing interests. This study was funded by The Swedish Strategic Program against Antibiotic Resistance (STRAMA), Capio Research Foundation (grant number 2006-1166), and Region Vstra Gotaland (grant number VGFOUREG-8402).</t>
  </si>
  <si>
    <t xml:space="preserve">INFORMA HEALTHCARE</t>
  </si>
  <si>
    <t xml:space="preserve">TELEPHONE HOUSE, 69-77 PAUL STREET, LONDON EC2A 4LQ, ENGLAND</t>
  </si>
  <si>
    <t xml:space="preserve">0036-5548</t>
  </si>
  <si>
    <t xml:space="preserve">1651-1980</t>
  </si>
  <si>
    <t xml:space="preserve">SCAND J INFECT DIS</t>
  </si>
  <si>
    <t xml:space="preserve">Scand. J. Infect. Dis.</t>
  </si>
  <si>
    <t xml:space="preserve">10.3109/00365548.2011.598876</t>
  </si>
  <si>
    <t xml:space="preserve">865FU</t>
  </si>
  <si>
    <t xml:space="preserve">WOS:000298297200003</t>
  </si>
  <si>
    <t xml:space="preserve">Costa, E; Rodríguez-Domínguez, M; Clari, MA; Giménez, E; Galán, JC; Navarro, D</t>
  </si>
  <si>
    <t xml:space="preserve">Costa, Elisa; Rodriguez-Dominguez, Mario; Angeles Clari, Maria; Gimenez, Estela; Carlos Galan, Juan; Navarro, David</t>
  </si>
  <si>
    <t xml:space="preserve">Comparison of the performance of 2 commercial multiplex PCR platforms for detection of respiratory viruses in upper and lower tract respiratory specimens</t>
  </si>
  <si>
    <t xml:space="preserve">Multiplex PCR; Respiratory viruses; Acute respiratory tract infection</t>
  </si>
  <si>
    <t xml:space="preserve">VIRAL PANEL FAST; FILMARRAY RP; CLINICAL SPECIMENS; FAST ASSAY; RVP; INFECTIONS; DIAGNOSIS; CHILDREN</t>
  </si>
  <si>
    <t xml:space="preserve">The performance of the CLART(R) PneumoVir system with that of the Luminex xTAG RVP Fast v1 assay for detection of most common respiratory viruses in upper and lower tract respiratory specimens (n = 183) from unique patients with influenza-like syndrome or lower tract respiratory infection. Nested PCR coupled to automated sequencing was used for resolution of discrepancies. Fully concordant results were obtained for a total of 122 specimens, whereas 56 specimens gave partially (n = 21) or fully discordant (n = 35) results (Kappa coefficient, 0.62). The overall specificity of the Luminex xTAG RVP Fast v1 assay was slightly higher than that of the CLART(R) PneumoVir assay for human bocavirus, influenza A virus/H3N2, influenza B virus, human metapneumovirus, and parainfluenza virus, whereas the sensitivity of the latter was higher for most targeted viruses except, notably, for picomaviruses. This was irrespective of either the origin of the respiratory specimen or the age group to which the patients belonged. (C) 2015 Elsevier Inc. All rights reserved.</t>
  </si>
  <si>
    <t xml:space="preserve">[Costa, Elisa; Angeles Clari, Maria; Gimenez, Estela; Navarro, David] Fdn INCLIVA, Hosp Clin Univ, Serv Microbiol, Valencia, Spain; [Rodriguez-Dominguez, Mario; Carlos Galan, Juan] Hosp Ramon &amp; Cajal, Serv Microbiol, E-28034 Madrid, Spain; [Rodriguez-Dominguez, Mario; Carlos Galan, Juan] Inst Ramon y Cajal Invest Sanitaria IRYCIS, Madrid, Spain; [Rodriguez-Dominguez, Mario] Red Espanola Invest Enfermedades Infecciosas REIP, Madrid, Spain; [Carlos Galan, Juan] CIBER Epidemiol &amp; Salud Publ CIBERESP, Madrid, Spain; [Navarro, David] Univ Valencia, Sch Med, Dept Microbiol, Valencia, Spain</t>
  </si>
  <si>
    <t xml:space="preserve">Hospital Universitario Ramon y Cajal; CIBER - Centro de Investigacion Biomedica en Red; CIBERESP; University of Valencia</t>
  </si>
  <si>
    <t xml:space="preserve">Navarro, D (corresponding author), Fdn INCLIVA, Hosp Clin Univ, Serv Microbiol, Valencia, Spain.</t>
  </si>
  <si>
    <t xml:space="preserve">david.navarro@uv.es</t>
  </si>
  <si>
    <t xml:space="preserve">Gimenez, Estela/GXM-6854-2022; Rodriguez-Dominguez, Mario/J-4431-2015</t>
  </si>
  <si>
    <t xml:space="preserve">Gimenez, Estela/0000-0003-1774-9790; Rodriguez-Dominguez, Mario/0000-0002-1783-9318</t>
  </si>
  <si>
    <t xml:space="preserve">10.1016/j.diagmicrobio.2015.02.004</t>
  </si>
  <si>
    <t xml:space="preserve">CH6PF</t>
  </si>
  <si>
    <t xml:space="preserve">WOS:000354157800009</t>
  </si>
  <si>
    <t xml:space="preserve">Buecher, C; Mardy, S; Wang, W; Duong, V; Vong, S; Naughtin, M; Vabret, A; Freymuth, F; Deubel, V; Buchy, P</t>
  </si>
  <si>
    <t xml:space="preserve">Buecher, Carole; Mardy, Sek; Wang, Wei; Duong, Veasna; Vong, Sirenda; Naughtin, Monica; Vabret, Astrid; Freymuth, Francois; Deubel, Vincent; Buchy, Philippe</t>
  </si>
  <si>
    <t xml:space="preserve">Use of a Multiplex PCR/RT-PCR Approach to Assess the Viral Causes of Influenza-Like Illnesses in Cambodia During Three Consecutive Dry Seasons</t>
  </si>
  <si>
    <t xml:space="preserve">multiplex PCR; respiratory virus; influenza-like illness; asymptomatic individuals</t>
  </si>
  <si>
    <t xml:space="preserve">RESPIRATORY-TRACT INFECTIONS; POLYMERASE-CHAIN-REACTION; REVERSE TRANSCRIPTION-PCR; SYNCYTIAL VIRUS-INFECTION; HUMAN CORONAVIRUS NL63; CLINICAL-SAMPLES; HUMAN BOCAVIRUS; HONG-KONG; HOSPITALIZED CHILDREN; HUMAN METAPNEUMOVIRUS</t>
  </si>
  <si>
    <t xml:space="preserve">Acute respiratory infections are a major cause of mortality and morbidity worldwide. Using multiplex PCR/RT-PCR methods for the detection of 18 respiratory viruses, the circulation of those viruses during 3 consecutive dry seasons in Cambodia was described. Among 234 patients who presented with influenza-like illness, 35.5% were positive for at least one virus. Rhinoviruses (43.4%), parainfluenza (31.3%) viruses and coronaviruses (21.7%) were the most frequently detected viruses. Influenza A virus, parainfluenza virus 4 and SARS-coronavirus were not detected during the study period. Ninety apparently healthy individuals were included as controls and 10% of these samples tested positive for one or more respiratory viruses. No significant differences were observed in frequency and in virus copy numbers for rhinovirus detection between symptomatic and asymptomatic groups. This study raises questions about the significance of the detection of some respiratory viruses, especially using highly sensitive methods, given their presence in apparently healthy individuals. The link between the presence of the virus and the origin of the illness is therefore unclear. J. Med. Virol. 82:1762-1772, 2010. (C) 2010 Wiley-Liss, Inc.</t>
  </si>
  <si>
    <t xml:space="preserve">[Buecher, Carole; Mardy, Sek; Duong, Veasna; Vong, Sirenda; Naughtin, Monica; Buchy, Philippe] Inst Pasteur Cambodia, Phnom Penh, Cambodia; [Wang, Wei; Deubel, Vincent] Chinese Acad Sci, Inst Pasteur Shanghai, Shanghai, Peoples R China; [Vabret, Astrid; Freymuth, Francois] Ctr Hosp Univ, Lab Virol Humaine &amp; Mol, Caen, France</t>
  </si>
  <si>
    <t xml:space="preserve">Pasteur Network; Institut Pasteur Cambodia; Chinese Academy of Sciences; Shanghai Institute of Immunity and Infection, CAS; Pasteur Network; CHU de Caen NORMANDIE</t>
  </si>
  <si>
    <t xml:space="preserve">Buchy, P (corresponding author), Inst Pasteur Cambodia, 5 Monivong Blvd,POB 983, Phnom Penh, Cambodia.</t>
  </si>
  <si>
    <t xml:space="preserve">pbuchy@pasteur-kh.org</t>
  </si>
  <si>
    <t xml:space="preserve">VABRET, Astrid/HTO-5810-2023; Buchy, Philippe/JNS-0960-2023; Duong, Veasna/I-9684-2014</t>
  </si>
  <si>
    <t xml:space="preserve">BUCHY, Philippe/0000-0003-1372-3008; VABRET, Astrid/0000-0002-8940-7645; Duong, Veasna/0000-0003-0353-1678</t>
  </si>
  <si>
    <t xml:space="preserve">French Agency for Development (AFD); RESPARI program; AREVA</t>
  </si>
  <si>
    <t xml:space="preserve">French Agency for Development (AFD)(Agence Nationale de la Recherche (ANR)); RESPARI program; AREVA</t>
  </si>
  <si>
    <t xml:space="preserve">Grant sponsor: SISEA project from the French Agency for Development (AFD); Grant sponsor: RESPARI program.Wei Wang is a recipient of a fellowship allocated by AREVA. We thank the staff of the virology unit for their technical assistance.</t>
  </si>
  <si>
    <t xml:space="preserve">10.1002/jmv.21891</t>
  </si>
  <si>
    <t xml:space="preserve">640VE</t>
  </si>
  <si>
    <t xml:space="preserve">WOS:000281081000019</t>
  </si>
  <si>
    <t xml:space="preserve">Anand, M; Nimmala, P</t>
  </si>
  <si>
    <t xml:space="preserve">Anand, Mridu; Nimmala, Pavani</t>
  </si>
  <si>
    <t xml:space="preserve">Seasonal incidence of respiratory viral infections in Telangana, India: utility of a multiplex PCR assay to bridge the knowledge gap</t>
  </si>
  <si>
    <t xml:space="preserve">TROPICAL MEDICINE &amp; INTERNATIONAL HEALTH</t>
  </si>
  <si>
    <t xml:space="preserve">multiplex PCR; respiratory tract infections; viral infections; influenza</t>
  </si>
  <si>
    <t xml:space="preserve">DIAGNOSIS; CHILDREN; IMPACT; VIRUS; PANEL</t>
  </si>
  <si>
    <t xml:space="preserve">Objective The diagnosis of acute viral respiratory tract infections (RTI) is a challenge due to overlapping clinical presentations and lack of availability of robust diagnostic methods. This in turn leads to lack of data regarding incidence and seasonality of viral RTIs which could potentially help to implement efficient strategies of antimicrobial stewardship as well as vaccine administration. Here we utilise a commercial Multiplex PCR assay for the early diagnosis of acute respiratory tract infections and discuss their epidemiology. Methods A prospective, observational study was conducted over a period of 3 years (2017-2019). Respiratory samples received from outpatients and inpatients with suspected acute RTIs from three multispeciality hospitals located in the twin cities of Hyderabad-Secunderabad were subjected to FilmArray Respiratory Panel (RP) (BioFire Diagnostics, Salt Lake City, Utah, USA). Results were tabulated and statistically analysed. Results Of 513 samples, 261 (50.9%) were positive for one or more pathogens. The viruses detected included influenza A H1 2009 (26.0%), human rhinovirus/enterovirus (21.5%), influenza A H3N2 (17.0%), human metapneumovirus (9.4%), influenza B (6.6%), coronavirus (4.9%), parainfluenza virus (4.5%), respiratory syncytial virus (3.1%) and adenovirus (2.1%). The largest number of samples was positive during the monsoon season (43.8%). Influenza A H1 2009 peaked in the monsoon season with another, smaller peak in February. Conclusions There is a bimodal peak of respiratory infections relative to the seasons, and vaccine administration should take place in April-May before the advent of the monsoons in this part of the country. Multiplexed PCR may be used as first line for diagnosis of viral infections so that infection control measures can be prioritised and antibiotic administration can be avoided in those who do not require it.</t>
  </si>
  <si>
    <t xml:space="preserve">[Anand, Mridu; Nimmala, Pavani] Yashoda Hosp, Dept Clin Microbiol, Secunderabad 500003, Telangana, India</t>
  </si>
  <si>
    <t xml:space="preserve">Anand, M (corresponding author), Yashoda Hosp, Dept Clin Microbiol, Secunderabad 500003, Telangana, India.</t>
  </si>
  <si>
    <t xml:space="preserve">mridu.anand@gmail.com</t>
  </si>
  <si>
    <t xml:space="preserve">1360-2276</t>
  </si>
  <si>
    <t xml:space="preserve">1365-3156</t>
  </si>
  <si>
    <t xml:space="preserve">TROP MED INT HEALTH</t>
  </si>
  <si>
    <t xml:space="preserve">Trop. Med. Int. Health</t>
  </si>
  <si>
    <t xml:space="preserve">10.1111/tmi.13501</t>
  </si>
  <si>
    <t xml:space="preserve">OCT 2020</t>
  </si>
  <si>
    <t xml:space="preserve">Public, Environmental &amp; Occupational Health; Tropical Medicine</t>
  </si>
  <si>
    <t xml:space="preserve">PB1AN</t>
  </si>
  <si>
    <t xml:space="preserve">WOS:000579116800001</t>
  </si>
  <si>
    <t xml:space="preserve">Tam, CC; Offeddu, V; Anderson, KB; Weg, AL; Macareo, LR; Ellison, DW; Rangsin, R; Fernandez, S; Gibbons, RV; Yoon, IK; Simasathien, S</t>
  </si>
  <si>
    <t xml:space="preserve">Tam, Clarence C.; Offeddu, Vittoria; Anderson, Kathryn B.; Weg, Alden L.; Macareo, Louis R.; Ellison, Damon W.; Rangsin, Ram; Fernandez, Stefan; Gibbons, Robert V.; Yoon, In-Kyu; Simasathien, Sriluck</t>
  </si>
  <si>
    <t xml:space="preserve">Association between semi-quantitative microbial load and respiratory symptoms among Thai military recruits: a prospective cohort study</t>
  </si>
  <si>
    <t xml:space="preserve">Multiplex PCR diagnostics; Respiratory illness; Upper respiratory tract infection; Asymptomatic infection; Influenza like illness; Influenza; Haemophilus influenza</t>
  </si>
  <si>
    <t xml:space="preserve">POLYMERASE-CHAIN-REACTION; NASOPHARYNGEAL PNEUMOCOCCAL DENSITY; COMMUNITY-ACQUIRED PNEUMONIA; VIRAL LOAD; TRACT INFECTIONS; HUMAN METAPNEUMOVIRUS; CLINICAL CHARACTERISTICS; SYNCYTIAL VIRUS; HUMAN BOCAVIRUS; RT-PCR</t>
  </si>
  <si>
    <t xml:space="preserve">Background: Multiplex real-time polymerase chain reaction assays have improved diagnostic sensitivity for a wide range of pathogens. However, co-detection of multiple agents and bacterial colonization make it difficult to distinguish between asymptomatic infection or illness aetiology. We assessed whether semi-quantitative microbial load data can differentiate between symptomatic and asymptomatic states for common respiratory pathogens. Methods: We obtained throat and nasal swab samples from military trainees at two Thai Army barracks. Specimens were collected at the start and end of 10-week training periods (non-acute samples), and from individuals who developed upper respiratory tract infection during training (acute samples). We analysed the samples using a commercial multiplex respiratory panel comprising 33 bacterial, viral and fungal targets. We used random effects tobit models to compare cycle threshold (Ct) value distributions from non-acute and acute samples. Results: We analysed 341 non-acute and 145 acute swab samples from 274 participants. Haemophilus influenzae type B was the most commonly detected microbe (77.4% of non-acute and 64.8% of acute samples). In acute samples, nine specific microbe pairs were detected more frequently than expected by chance. Regression models indicated significantly lower microbial load in non-acute relative to acute samples for H. influenzae non-type B, Streptococcus pneumoniae and rhinovirus, although it was not possible to identify a Ct-value threshold indicating causal etiology for any of these organisms. Conclusions: Semi-quantitative measures of microbial concentration did not reliably differentiate between illness and asymptomatic colonization, suggesting that clinical symptoms may not always be directly related to microbial load for common respiratory infections.</t>
  </si>
  <si>
    <t xml:space="preserve">[Tam, Clarence C.; Offeddu, Vittoria] Natl Univ Singapore, Saw Swee Hock Sch Publ Hlth, Singapore 117549, Singapore; [Tam, Clarence C.; Offeddu, Vittoria] Natl Univ Hlth Syst, Singapore 117549, Singapore; [Tam, Clarence C.] London Sch Hyg &amp; Trop Med, London WC1E 7HT, England; [Anderson, Kathryn B.] Univ Minnesota, Minneapolis, MN 55455 USA; [Anderson, Kathryn B.; Weg, Alden L.; Macareo, Louis R.; Ellison, Damon W.; Fernandez, Stefan] Armed Forces Res Inst Med Sci, Bangkok 10400, Thailand; [Rangsin, Ram] Phramongkutklao Coll Med, Bangkok 10400, Thailand; [Gibbons, Robert V.] Univ Texas San Antonio, San Antonio, TX 78249 USA; [Yoon, In-Kyu] Int Vaccine Inst, Seoul 08826, South Korea; [Simasathien, Sriluck] Phramongkutklao Hosp, Bangkok 10400, Thailand</t>
  </si>
  <si>
    <t xml:space="preserve">National University of Singapore; National University of Singapore; University of London; London School of Hygiene &amp; Tropical Medicine; University of Minnesota System; University of Minnesota Twin Cities; United States Department of Defense; United States Army; Walter Reed Army Institute of Research (WRAIR); Armed Forces Research Institute of Medical Science (AFRIMS); Phramongkutklao College of Medicine; University of Texas System; University of Texas at San Antonio (UTSA); International Vaccine Institute; Phramongkutklao Hospital</t>
  </si>
  <si>
    <t xml:space="preserve">Tam, CC (corresponding author), Natl Univ Singapore, Saw Swee Hock Sch Publ Hlth, Singapore 117549, Singapore.;Tam, CC (corresponding author), Natl Univ Hlth Syst, Singapore 117549, Singapore.;Tam, CC (corresponding author), London Sch Hyg &amp; Trop Med, London WC1E 7HT, England.</t>
  </si>
  <si>
    <t xml:space="preserve">clarence.tam@nus.edu.sg</t>
  </si>
  <si>
    <t xml:space="preserve">Rangsin, Ram/AAW-9527-2020</t>
  </si>
  <si>
    <t xml:space="preserve">Tam, Clarence/0000-0003-1697-286X</t>
  </si>
  <si>
    <t xml:space="preserve">United States Department of Defense Global Emerging Infectious Disease Surveillance (DoD - GEIS) [989A]</t>
  </si>
  <si>
    <t xml:space="preserve">United States Department of Defense Global Emerging Infectious Disease Surveillance (DoD - GEIS)</t>
  </si>
  <si>
    <t xml:space="preserve">This work was supported by the United States Department of Defense Global Emerging Infectious Disease Surveillance (DoD - GEIS), Protocol 989A.</t>
  </si>
  <si>
    <t xml:space="preserve">SEP 14</t>
  </si>
  <si>
    <t xml:space="preserve">10.1186/s12879-018-3358-4</t>
  </si>
  <si>
    <t xml:space="preserve">GT9YF</t>
  </si>
  <si>
    <t xml:space="preserve">WOS:000444902800002</t>
  </si>
  <si>
    <t xml:space="preserve">Duclos, M; Hommel, B; Allantaz, F; Powell, M; Posteraro, B; Sanguinetti, M</t>
  </si>
  <si>
    <t xml:space="preserve">Duclos, Maelys; Hommel, Benjamin; Allantaz, Florence; Powell, Michaela; Posteraro, Brunella; Sanguinetti, Maurizio</t>
  </si>
  <si>
    <t xml:space="preserve">RP2 Study Grp</t>
  </si>
  <si>
    <t xml:space="preserve">Multiplex PCR Detection of Respiratory Tract Infections in SARS-CoV-2-Negative Patients Admitted to the Emergency Department: an International Multicenter Study during the COVID-19 Pandemic</t>
  </si>
  <si>
    <t xml:space="preserve">multiplex PCR assay; respiratory tract infection; viral infection; SARS-CoV-2; emergency department</t>
  </si>
  <si>
    <t xml:space="preserve">As SARS-CoV-2 has dominated the diagnostic strategies for RTIs during the current COVID-19 pandemic situation, our data provide evidence that a variety of RTI pathogens may be circulating in each of the 13 countries included in the study. It is now plausible that the COVID-19 pandemic will one day move forward to endemicity. Respiratory tract infection (RTI) is a common cause of visits to the hospital emergency department. During the ongoing coronavirus disease 2019 (COVID-19) pandemic, caused by severe acute respiratory syndrome coronavirus 2 (SARS-CoV-2), nonpharmaceutical intervention has influenced the rates of circulating respiratory viruses. In this study, we sought to detect RTI etiological agents other than SARS-CoV-2 in emergency department patients from 13 countries in Europe, the Middle East, and Africa from December 2020 to March 2021. We sought to measure the impact of patient characteristics and national-level behavioral restrictions on the positivity rate for RTI agents. Using the BioFire Respiratory Panel 2.0 Plus, 1,334 nasopharyngeal swabs from patients with RTI symptoms who were negative for SARS-CoV-2 were tested. The rate of positivity for viral or bacterial targets was 36.3%. Regarding viral targets, human rhinovirus or enterovirus was the most prevalent (56.5%), followed by human coronaviruses (11.0%) and adenoviruses (9.9%). Interestingly, age stratification showed that the positivity rate was significantly higher in the children's group than in the adults' group (68.8% versus 28.2%). In particular, human rhinovirus or enterovirus, the respiratory syncytial virus, and other viruses, such as the human metapneumovirus, were more frequently detected in children than in adults. A logistic regression model was also used to determine an association between the rate of positivity for viral agents with each country's behavioral restrictions or with patients' age and sex. Despite the impact of behavioral restrictions, various RTI pathogens were actively circulating, particularly in children, across the 13 countries. IMPORTANCE As SARS-CoV-2 has dominated the diagnostic strategies for RTIs during the current COVID-19 pandemic situation, our data provide evidence that a variety of RTI pathogens may be circulating in each of the 13 countries included in the study. It is now plausible that the COVID-19 pandemic will one day move forward to endemicity. Our study illustrates the potential utility of detecting respiratory pathogens other than SARS-CoV-2 in patients who are admitted to the emergency department for RTI symptoms. Knowing if a symptomatic patient is solely infected by an RTI pathogen or coinfected with SARS-CoV-2 may drive timely and appropriate clinical decision-making, especially in the emergency department setting.</t>
  </si>
  <si>
    <t xml:space="preserve">[Duclos, Maelys; Hommel, Benjamin; Allantaz, Florence] BioMerieux, Marcy Letoile, France; [Powell, Michaela] BioMerieux Inc, Salt Lake City, UT USA; [Posteraro, Brunella] Fdn Policlin Univ A Gemelli IRCCS, Dipartimento Sci Med &amp; Chirurg, Rome, Italy; [Sanguinetti, Maurizio] Fdn Policlin Univ A Gemelli IRCCS, Dipartimento Sci Lab &amp; Infettivol, Rome, Italy</t>
  </si>
  <si>
    <t xml:space="preserve">bioMerieux; Catholic University of the Sacred Heart; IRCCS Policlinico Gemelli; Catholic University of the Sacred Heart; IRCCS Policlinico Gemelli</t>
  </si>
  <si>
    <t xml:space="preserve">Sanguinetti, M (corresponding author), Fdn Policlin Univ A Gemelli IRCCS, Dipartimento Sci Lab &amp; Infettivol, Rome, Italy.</t>
  </si>
  <si>
    <t xml:space="preserve">matirizio.sanguinetti@unicatti.it</t>
  </si>
  <si>
    <t xml:space="preserve">; Munoz, Patricia/E-9431-2017; Sanguinetti, Maurizio/A-1453-2019</t>
  </si>
  <si>
    <t xml:space="preserve">Hommel, Benjamin/0000-0003-0971-1696; Munoz, Patricia/0000-0001-5706-5583; Wolter, Nicole/0000-0002-9526-0133; Sanguinetti, Maurizio/0000-0002-9780-7059</t>
  </si>
  <si>
    <t xml:space="preserve">10.1128/spectrum.02368-22</t>
  </si>
  <si>
    <t xml:space="preserve">LC6L3</t>
  </si>
  <si>
    <t xml:space="preserve">WOS:000861372300001</t>
  </si>
  <si>
    <t xml:space="preserve">Calvo, C; García-García, ML; Blanco, C; Vázquez, MC; Frias, ME; Pérez-Breña, P; Casas, I</t>
  </si>
  <si>
    <t xml:space="preserve">Calvo, Cristina; Luz Garcia-Garcia, Maria; Blanco, Carolina; Carmen Vazquez, M.; Elena Frias, M.; Perez-Brena, Pilar; Casas, Inmaculada</t>
  </si>
  <si>
    <t xml:space="preserve">Multiple simultaneous viral infections in infants with acute respiratory tract infections in Spain</t>
  </si>
  <si>
    <t xml:space="preserve">multiple viral infections; nasopharyngeal aspirates; hospitalized children; respiratory syncytial virus; multiplex polymerase chain reaction</t>
  </si>
  <si>
    <t xml:space="preserve">POLYMERASE-CHAIN-REACTION; HUMAN METAPNEUMOVIRUS INFECTIONS; SYNCYTIAL VIRUS; HOSPITALIZED INFANTS; PATHOGENS; CHILDREN; BRONCHIOLITIS; PREVALENCE; RHINOVIRUS; SINGLE</t>
  </si>
  <si>
    <t xml:space="preserve">Background: The clinical significance of the presence of more than one type of virus in the respiratory specimens of children with respiratory infections is not clear. Objectives: To describe the clinical characteristics of multiple viral infections versus single infection by respiratory syncytial virus (RSV) in hospitalized infants. Study design: This is a prospective study conducted in all infants under 2 years of age admitted for acute respiratory infection (September 2000-June 2003) in a secondary teaching hospital. Virological diagnosis was made by two different multiplex reverse transcription-nested polymerase chain reaction (RT-PCR) assays in nasopharyngeal aspirates. We describe the clinical characteristics of the patients with multiple viral infections and compare them to a group of 86 randomly selected patients infected only with RSV. Results: 749 specimens taken were analyzed. Respiratory viruses were detected in 65.9% of the samples. 86 children had multiple viral infections (17.4% of all positive specimens). The most frequent clinical diagnosis in this group was recurrent wheezing in 44% and bronchiolitis in 52%. Fever was significantly more frequent (p&lt;0.001), hospital stays were longer (p = 0.05), and antibiotic treatment was used more (p = 0.03) in infants with multiple viral infections than in the RSV-infected group. Conclusions: Multiple viral infections are frequent in hospitalized children with respiratory tract disease (17.4%). Multiple viral infections are linked to higher fever, longer hospital stays and more frequent use of antibiotics than in the case of infants with single RSV infections. (C) 2008 Elsevier B.V. All rights reserved.</t>
  </si>
  <si>
    <t xml:space="preserve">[Calvo, Cristina] Hosp Severo Ochoa, Serv Pediat, Dept Pediat, Madrid 28911, Spain; [Perez-Brena, Pilar; Casas, Inmaculada] ISCIII, Natl Microbiol Ctr, Virol Serv, Influenza &amp; Resp Viruses Lab, Madrid, Spain</t>
  </si>
  <si>
    <t xml:space="preserve">Severo Ochoa University Hospital; Instituto de Salud Carlos III</t>
  </si>
  <si>
    <t xml:space="preserve">Calvo, C (corresponding author), Hosp Severo Ochoa, Serv Pediat, Dept Pediat, Ave Orellana S-N, Madrid 28911, Spain.</t>
  </si>
  <si>
    <t xml:space="preserve">ccalvo@mi.madritel.es</t>
  </si>
  <si>
    <t xml:space="preserve">Casas, Inmaculada/H-9442-2015; Calvo, Cristina/T-5028-2018</t>
  </si>
  <si>
    <t xml:space="preserve">Calvo, Cristina/0000-0002-6503-3423; Vazquez Alvarez, Maria del Carmen/0000-0002-2360-0792; Casas, Inmaculada/0000-0003-1840-1198; GARCIA-GARCIA, MARIA LUZ/0000-0003-4906-4227</t>
  </si>
  <si>
    <t xml:space="preserve">10.1016/j.jcv.2008.03.012</t>
  </si>
  <si>
    <t xml:space="preserve">330PY</t>
  </si>
  <si>
    <t xml:space="preserve">WOS:000257956500007</t>
  </si>
  <si>
    <t xml:space="preserve">Feng, WY; Chen, YQ; Han, YX; Diao, ZL; Zhao, ZH; Zhang, YF; Huang, T; Ma, Y; Li, ZQ; Jiang, J; Li, J; Li, JM; Zhang, R</t>
  </si>
  <si>
    <t xml:space="preserve">Feng, Wanyu; Chen, Yuqing; Han, Yanxi; Diao, Zhenli; Zhao, Zihong; Zhang, Yuanfeng; Huang, Tao; Ma, Yu; Li, Ziqiang; Jiang, Jian; Li, Jing; Li, Jinming; Zhang, Rui</t>
  </si>
  <si>
    <t xml:space="preserve">Key performance evaluation of commercialized multiplex rRT-PCR kits for respiratory viruses: implications for application and optimization</t>
  </si>
  <si>
    <t xml:space="preserve">multiple rRT-PCR; respiratory viruses; analytical sensitivity; competitive interference</t>
  </si>
  <si>
    <t xml:space="preserve">TIME RT-PCR; INFLUENZA-A; DISEASE SEVERITY; VIRAL LOAD; ASSAY; AMPLIFICATION; INFECTIONS; SARS-COV-2; INFANTS</t>
  </si>
  <si>
    <t xml:space="preserve">Respiratory tract infections (RTIs) caused by viruses are prevalent and significant conditions in clinical settings. Accurate and effective detection is of par amount importance in the diagnosis, treatment, and prevention of viral RTIs. With technological advancements, multiplex real-time reverse transcription polymerase chain reaction (rRT-PCR) assays have been developed and extensively adopted for the diagnosis of viral RTIs. Given the potential challenges in the detection performance of multiplex assays, this study evaluated the analytical sensitivity and competitive interference of the six most commonly used multiplex rRT-PCR kits for detection of respiratory viruses in China. The results revealed that the limits of detection were variable across the viruses and kits. Most of the evaluated multiplex kits demonstra ted comparable or enhanced analytical sensitivity compared with singleplex kits for clinically significant viruses, including human adenovirus (HAdV )-3, HAdV-7, Omicron BA.5, H1N1pdm09, H3N2, B/Victoria, respiratory syncytial virus subtype A, and respira tory syncytial virus subtype B, whereas multiplex kits showed relatively less analytical sensitivity for human rhinovirus-B72, human metapneumovirus-A2, parainfluenza virus (PIV )-1, and PIV-3. In addition, most multiplex kits successfully identified co-infections when one analyte was present at a low concentration and another analyte was present at a high concentration.</t>
  </si>
  <si>
    <t xml:space="preserve">[Feng, Wanyu; Chen, Yuqing; Han, Yanxi; Diao, Zhenli; Zhao, Zihong; Zhang, Yuanfeng; Huang, Tao; Ma, Yu; Li, Ziqiang; Jiang, Jian; Li, Jing; Li, Jinming; Zhang, Rui] Chinese Acad Med Sci, Beijing Hosp, Inst Geriatr Med, Natl Ctr Gerontol,Natl Ctr Clin Labs, Beijing, Peoples R China; [Feng, Wanyu; Chen, Yuqing; Han, Yanxi; Diao, Zhenli; Zhang, Yuanfeng; Huang, Tao; Ma, Yu; Li, Ziqiang; Jiang, Jian; Li, Jing; Li, Jinming; Zhang, Rui] Chinese Acad Med Sci &amp; Peking Union Med Coll, Natl Ctr Clin Labs, Beijing, Peoples R China; [Feng, Wanyu; Chen, Yuqing; Han, Yanxi; Diao, Zhenli; Zhao, Zihong; Zhang, Yuanfeng; Huang, Tao; Ma, Yu; Li, Ziqiang; Jiang, Jian; Li, Jing; Li, Jinming; Zhang, Rui] Beijing Hosp, Beijing Engn Res Ctr Lab Med, Beijing, Peoples R China</t>
  </si>
  <si>
    <t xml:space="preserve">Beijing Hospital; Chinese Academy of Medical Sciences - Peking Union Medical College; Chinese Academy of Medical Sciences - Peking Union Medical College; Peking Union Medical College; Beijing Hospital</t>
  </si>
  <si>
    <t xml:space="preserve">Li, JM; Zhang, R (corresponding author), Chinese Acad Med Sci, Beijing Hosp, Inst Geriatr Med, Natl Ctr Gerontol,Natl Ctr Clin Labs, Beijing, Peoples R China.;Li, JM; Zhang, R (corresponding author), Chinese Acad Med Sci &amp; Peking Union Med Coll, Natl Ctr Clin Labs, Beijing, Peoples R China.;Li, JM; Zhang, R (corresponding author), Beijing Hosp, Beijing Engn Res Ctr Lab Med, Beijing, Peoples R China.</t>
  </si>
  <si>
    <t xml:space="preserve">jmli@nccl.org.cn; ruizhang@nccl.org.cn</t>
  </si>
  <si>
    <t xml:space="preserve">Zhang, Yuanfeng/HII-9645-2022; zhao, zihong/KIK-8099-2024; ziqiang, li/P-7648-2017</t>
  </si>
  <si>
    <t xml:space="preserve">National Key R&amp;D Program of China</t>
  </si>
  <si>
    <t xml:space="preserve">We thank all the reagent manufacturers that provided the automatic nucleic acid extraction system and rRT-PCR kits for respiratory virus detection in this study.</t>
  </si>
  <si>
    <t xml:space="preserve">DEC 5</t>
  </si>
  <si>
    <t xml:space="preserve">10.1128/spectrum.01641-24</t>
  </si>
  <si>
    <t xml:space="preserve">O5I3L</t>
  </si>
  <si>
    <t xml:space="preserve">WOS:001345405900010</t>
  </si>
  <si>
    <t xml:space="preserve">Ammer, LS; Pohl, S; Breyer, SR; Aries, C; Denecke, J; Perez, A; Petzoldt, M; Schrum, J; Müller, I; Muschol, NM</t>
  </si>
  <si>
    <t xml:space="preserve">Ammer, Luise Sophie; Pohl, Sandra; Breyer, Sandra Rafaela; Aries, Charlotte; Denecke, Jonas; Perez, Anna; Petzoldt, Martin; Schrum, Johanna; Muller, Ingo; Muschol, Nicole Maria</t>
  </si>
  <si>
    <t xml:space="preserve">Is hematopoietic stem cell transplantation a therapeutic option for mucolipidosis type II?</t>
  </si>
  <si>
    <t xml:space="preserve">MOLECULAR GENETICS AND METABOLISM REPORTS</t>
  </si>
  <si>
    <t xml:space="preserve">Mucolipidosis type II; I-cell disease; Lysosomal storage disorder; Hematopoietic stem cell transplantation; Bone marrow cell transplantation; Treatment; Cognitive function; Life quality</t>
  </si>
  <si>
    <t xml:space="preserve">Background: Mucolipidosis type II (MLII) is an ultra-rare lysosomal storage disorder caused by defective lysosomal enzyme trafficking. Clinical hallmarks are craniofacial dysmorphia, cardiorespiratory dysfunction, hepatosplenomegaly, skeletal deformities and neumcognitive retardation. Death usually occurs in the first decade of life and no cure exists. Hematopoietic stem cell transplantation (HSCT) has been performed in few MLII patients, but comprehensive follow-up data are extremely scarce. Methods: MLII diagnosis was confirmed in a female three-month-old patient with the mutations c.2213C &gt; A and c.2220_2221dup in the GNPTAB gene. At nine months of age, the patient received HSCT from a 9/10 human leukocyte antigen (HLA)-matched unrelated donor. Results: HSCT resulted in a sustained reduction of lysosomal storage and bone metabolism markers. At six years of age, the patient showed normal cardiac function, partial respiratory insufficiency and moderate hepatomegaly, whereas skeletal manifestations had progressed. However, the patient could walk and maintained an overall good quality of life. Neurocognitive testing revealed a developmental quotient of 36%. The patient died at 6.6 years of age following a human metapneumovirus (hMPV) pneumonia. Conclusions: The exact benefit remains unclear as current literature vastly lacks comparable data on MLII natural history patients. In order to evaluate experimental therapies, in-depth prospective studies and registries of untreated MLII patients are indispensable.</t>
  </si>
  <si>
    <t xml:space="preserve">[Ammer, Luise Sophie; Aries, Charlotte; Denecke, Jonas; Perez, Anna; Muschol, Nicole Maria] Univ Med Ctr Hamburg Eppendorf, Dept Pediat, Hamburg, Germany; [Ammer, Luise Sophie; Pohl, Sandra; Breyer, Sandra Rafaela; Aries, Charlotte; Perez, Anna; Muschol, Nicole Maria] Univ Med Ctr Hamburg Eppendorf, Int Ctr Lysosomal Disorders ICLD, Hamburg, Germany; [Pohl, Sandra] Univ Med Ctr Hamburg Eppendorf, Dept Osteol &amp; Biomech, Hamburg, Germany; [Breyer, Sandra Rafaela] Childrens Hosp Altona, Dept Pediat Orthoped, Hamburg, Germany; [Breyer, Sandra Rafaela] Univ Med Ctr Hamburg Eppendorf, Dept Orthoped, Hamburg, Germany; [Petzoldt, Martin] Univ Med Ctr Hamburg Eppendorf, Dept Anesthesiol, Hamburg, Germany; [Schrum, Johanna; Muller, Ingo] Univ Med Ctr Hamburg Eppendorf, Div Pediat Stem Cell Transplantat &amp; Immunol, Hamburg, Germany</t>
  </si>
  <si>
    <t xml:space="preserve">University of Hamburg; University Medical Center Hamburg-Eppendorf; University of Hamburg; University Medical Center Hamburg-Eppendorf; University of Hamburg; University Medical Center Hamburg-Eppendorf; University of Hamburg; University Medical Center Hamburg-Eppendorf; University of Hamburg; University Medical Center Hamburg-Eppendorf; University of Hamburg; University Medical Center Hamburg-Eppendorf; University of Hamburg; University Medical Center Hamburg-Eppendorf</t>
  </si>
  <si>
    <t xml:space="preserve">Ammer, LS (corresponding author), Univ Med Ctr Hamburg Eppendorf, Int Ctr Lysosomal Disorders ICLD, Dept Pediat, Martinistr 52, D-20246 Hamburg, Germany.</t>
  </si>
  <si>
    <t xml:space="preserve">Lammer@uke.de</t>
  </si>
  <si>
    <t xml:space="preserve">Pohl, Sandra/AAF-1943-2020; Müller, Ingo/AAW-9025-2021</t>
  </si>
  <si>
    <t xml:space="preserve">Perez, Anna/0000-0002-8488-3300; Petzoldt, Martin/0000-0001-5295-2925; Muller, Ingo/0000-0002-7477-6632</t>
  </si>
  <si>
    <t xml:space="preserve">2214-4269</t>
  </si>
  <si>
    <t xml:space="preserve">MOL GENET METAB REP</t>
  </si>
  <si>
    <t xml:space="preserve">Molec. Genet. Metab. Rep.</t>
  </si>
  <si>
    <t xml:space="preserve">10.1016/j.ymgmr.2020.100704</t>
  </si>
  <si>
    <t xml:space="preserve">QI2PD</t>
  </si>
  <si>
    <t xml:space="preserve">WOS:000618816000010</t>
  </si>
  <si>
    <t xml:space="preserve">Hashash, JG; Beatty, PL; Critelli, K; Hartman, DJ; Regueiro, M; Tamim, H; Regueiro, MD; Binion, DG; Finn, OJ</t>
  </si>
  <si>
    <t xml:space="preserve">Hashash, Jana G.; Beatty, Pamela L.; Critelli, Kristen; Hartman, Douglas J.; Regueiro, Matthew; Tamim, Hani; Regueiro, Miguel D.; Binion, David G.; Finn, Olivera J.</t>
  </si>
  <si>
    <t xml:space="preserve">Altered Expression of the Epithelial Mucin MUC1 Accompanies Endoscopic Recurrence of Postoperative Crohn's Disease</t>
  </si>
  <si>
    <t xml:space="preserve">JOURNAL OF CLINICAL GASTROENTEROLOGY</t>
  </si>
  <si>
    <t xml:space="preserve">MUC1; Crohn's disease; postoperative; recurrence</t>
  </si>
  <si>
    <t xml:space="preserve">Background: MUC1-glycoprotein is expressed at low levels and in fully glycosylated form on epithelial cells. Inflammation causes MUC1 overexpression and hypoglycosylation. We hypothesized that overexpression of hypoglycosylated MUC1 would be found in postoperative Crohn's disease (CD) recurrence and could be considered an additional biomarker of recurrence severity. Methods: We examined archived neo-terminal ileum biopsies from patients with prior ileocecal resection who had postoperative endoscopic assessment of CD recurrence and given a Rutgeerts ileal recurrence score. Consecutive tissue sections were stained using 2 different anti-MUC1 antibodies, HMPV that recognizes all forms of MUC1 and 4H5 that recognizes only inflammation-associated hypoglycosylated MUC1. Results: A total of 71 postoperative CD patients were evaluated. There was significant increase in MUC1 expression of both glycosylated/normal (P&lt;0.0001) and hypoglycosylated/abnormal (P&lt;0.0001) forms in patients with severe endoscopic CD recurrence (i3+i4), ileal score i2, compared with patients in endoscopic remission (i0+i1). Results were similar regardless of anti-TNF-alpha use. Although MUC1 expression and Rutgeerts scores were in agreement when characterizing the majority of cases, there were a few exceptions where MUC1 expression was characteristic of more severe recurrence than implied by Rutgeerts score. Conclusions: MUC1 is overexpressed and hypoglycosylated in neo-terminal ileum tissue of patients with postoperative CD recurrence. Increased levels are associated with more severe endoscopic recurrence scores, and this is not influenced by anti-TNF-alpha use. Discrepancies found between Rutgeerts scores and MUC1 expression suggest that addition of MUC1 as a biomarker of severity of postoperative CD recurrence may improve categorization of recurrence status and consequently treatment decisions.</t>
  </si>
  <si>
    <t xml:space="preserve">[Hashash, Jana G.; Binion, David G.] Univ Pittsburgh, Sch Med, Div Gastroenterol Hepatol &amp; Nutr, Pittsburgh, PA USA; [Beatty, Pamela L.; Critelli, Kristen; Regueiro, Matthew; Finn, Olivera J.] Univ Pittsburgh, Sch Med, Dept Immunol, Pittsburgh, PA USA; [Hartman, Douglas J.] Univ Pittsburgh, Sch Med, Dept Pathol, Pittsburgh, PA USA; [Tamim, Hani] Amer Univ Beirut, Med Ctr, Dept Internal Med, Beirut, Lebanon; [Regueiro, Miguel D.] Cleveland Clin, Div Gastroenterol Hepatol &amp; Nutr, Cleveland, OH 44106 USA</t>
  </si>
  <si>
    <t xml:space="preserve">Pennsylvania Commonwealth System of Higher Education (PCSHE); University of Pittsburgh; Pennsylvania Commonwealth System of Higher Education (PCSHE); University of Pittsburgh; Pennsylvania Commonwealth System of Higher Education (PCSHE); University of Pittsburgh; American University of Beirut; Cleveland Clinic Foundation</t>
  </si>
  <si>
    <t xml:space="preserve">Hashash, JG (corresponding author), Univ Pittsburgh, PUH Hosp, Div Gastroenterol Hepatol &amp; Nutr, 200 Lothrop St,Mezzanine Level,C Wing, Pittsburgh, PA 15213 USA.</t>
  </si>
  <si>
    <t xml:space="preserve">alhashashj@upmc.edu</t>
  </si>
  <si>
    <t xml:space="preserve">Regueiro, Miguel/HPG-5624-2023; Critelli, Kristen/LBH-2343-2024</t>
  </si>
  <si>
    <t xml:space="preserve">Tamim, Hani/0000-0002-2019-4362</t>
  </si>
  <si>
    <t xml:space="preserve">Hillman University of Pittsburgh Cancer Institute (UPCI); NCI [1R35CA210039]</t>
  </si>
  <si>
    <t xml:space="preserve">Hillman University of Pittsburgh Cancer Institute (UPCI); NCI(United States Department of Health &amp; Human ServicesNational Institutes of Health (NIH) - USANIH National Cancer Institute (NCI))</t>
  </si>
  <si>
    <t xml:space="preserve">Acknowledgement of Hillman University of Pittsburgh Cancer Institute (UPCI) core grant and NCI grant 1R35CA210039 to O.J.F.</t>
  </si>
  <si>
    <t xml:space="preserve">0192-0790</t>
  </si>
  <si>
    <t xml:space="preserve">1539-2031</t>
  </si>
  <si>
    <t xml:space="preserve">J CLIN GASTROENTEROL</t>
  </si>
  <si>
    <t xml:space="preserve">J. Clin. Gastroenterol.</t>
  </si>
  <si>
    <t xml:space="preserve">10.1097/MCG.0000000000001340</t>
  </si>
  <si>
    <t xml:space="preserve">Gastroenterology &amp; Hepatology</t>
  </si>
  <si>
    <t xml:space="preserve">PU9KZ</t>
  </si>
  <si>
    <t xml:space="preserve">WOS:000609618500006</t>
  </si>
  <si>
    <t xml:space="preserve">Matsumura, N; Yamamoto, M; Aruga, A; Takasaki, K; Nakano, M</t>
  </si>
  <si>
    <t xml:space="preserve">Correlation between expression of MUC1 core protein and outcome after surgery in mass-forming intrahepatic cholangiocarcinoma</t>
  </si>
  <si>
    <t xml:space="preserve">CANCER</t>
  </si>
  <si>
    <t xml:space="preserve">MUC1 mucin; intrahepatic cholangiocarcinoma; prognosis; immunohistochemical staining</t>
  </si>
  <si>
    <t xml:space="preserve">PROGNOSTIC-FACTORS; SURGICAL-TREATMENT; CARCINOMA; BREAST; PROGRESSION; METASTASIS; SURVIVAL; SPECTRUM; ANTIGEN; CLONING</t>
  </si>
  <si>
    <t xml:space="preserve">BACKGROUND. It has been reported that MUC1 is an important prognostic factor in several cancers. This study investigated the importance of MUC1 as a prognostic factor in mass-forming intrahepatic cholangiocarcinoma (m-ICC). METHODS. In 50 patients with m-ICC who had undergone hepatectomy, expression of MUC1 was investigated. Expression of MUC1 was examined by immunohistochemical staining with monoclonal antibody HMPV, which recognizes the MUC1 core peptide. The immunohistochemical staining patterns of MUC1 were classified into three types: ductal type (the luminal surface membrane of neoplastic cells was stained), cytoplasmic type (the cytoplasm of neoplastic cells was stained dominantly), and negative type. RESULTS. Expression of MUC1 was detected immunohistochemically in 38 (76%) of 50 cases of m-ICC (ductal type, 18; cytoplasmic type, 20; and negative type, 12). Seventy-five percent of patients with lymph node metastasis had the cytoplasmic type MUC1 expression. Lymph node dissection was performed in only 20 patients, but significant correlation was demonstrated between MUC1 expression and lymph node metastasis (P = 0.0227). The location of MUC1 expression correlated with surgical outcome in m-ICC. Patients with the cytoplasmic type expression showed significantly lower survival rates. Univariate analysis revealed that MUC1 expression was a statistically significant risk factor affecting outcome in m-ICC (P = 0.0028). Furthermore, expression of MUC1 was found to be a statistically significant independent risk factor in multivariate analysis (P = 0.0063). CONCLUSIONS. The results suggest that evaluation of MUC1 expression may be very useful in predicting the surgical outcome in m-ICC. (C) 2002 American Cancer Society</t>
  </si>
  <si>
    <t xml:space="preserve">Tokyo Womens Med Univ, Dept Surg, Inst Gastroenterol, Shinjuku Ku, Tokyo 628666, Japan; Natl Chiba Hosp, Div Pathol, Chiba, Japan</t>
  </si>
  <si>
    <t xml:space="preserve">Tokyo Women's Medical University</t>
  </si>
  <si>
    <t xml:space="preserve">Tokyo Womens Med Univ, Dept Surg, Inst Gastroenterol, Shinjuku Ku, 8-1 Kawada Cho, Tokyo 628666, Japan.</t>
  </si>
  <si>
    <t xml:space="preserve">0008-543X</t>
  </si>
  <si>
    <t xml:space="preserve">1097-0142</t>
  </si>
  <si>
    <t xml:space="preserve">CANCER-AM CANCER SOC</t>
  </si>
  <si>
    <t xml:space="preserve">Cancer</t>
  </si>
  <si>
    <t xml:space="preserve">10.1002/cncr.10398</t>
  </si>
  <si>
    <t xml:space="preserve">Oncology</t>
  </si>
  <si>
    <t xml:space="preserve">532MA</t>
  </si>
  <si>
    <t xml:space="preserve">WOS:000174478000021</t>
  </si>
  <si>
    <t xml:space="preserve">Leung, TF; Lam, DSY; Miu, TY; Hon, KL; Chau, CSK; Ku, SW; Lee, RSY; Chow, PY; Chiu, WK; Ng, DKK</t>
  </si>
  <si>
    <t xml:space="preserve">Leung, T. F.; Lam, D. S. Y.; Miu, T. Y.; Hon, K. L.; Chau, C. S. K.; Ku, S. W.; Lee, R. S. Y.; Chow, P. Y.; Chiu, W. K.; Ng, D. K. K.</t>
  </si>
  <si>
    <t xml:space="preserve">Hong Kong Soc Paediat Respirology</t>
  </si>
  <si>
    <t xml:space="preserve">Epidemiology and risk factors for severe respiratory syncytial virus infections requiring pediatric intensive care admission in Hong Kong children</t>
  </si>
  <si>
    <t xml:space="preserve">Mortality; Pediatric intensive care; Respiratory syncytial virus; Seasonality</t>
  </si>
  <si>
    <t xml:space="preserve">HOSPITALIZED CHILDREN; DISEASE SEVERITY; HUMAN METAPNEUMOVIRUS; PREMORBID FACTORS; YOUNG-CHILDREN; BRONCHIOLITIS; SEASONALITY; PALIVIZUMAB; COMMUNITY; SYSTEM</t>
  </si>
  <si>
    <t xml:space="preserve">Purpose Respiratory syncytial virus (RSV) is a common cause of lower respiratory tract infection in young children. However, there are limited data on severe RSV infection requiring pediatric intensive care unit (PICU) admission. This retrospective study described features of RSV-associated PICU admissions in Hong Kong and investigated factors for mortality and duration of PICU stay. Methods Children with laboratory-confirmed RSV infection and admitted to the PICUs of all eight government hospitals in Hong Kong between January 2009 and June 2011 were identified from computerized auditing systems and PICU databases. RSV in respiratory samples was detected by direct immunofluorescence and/or viral culture. The relationships between mortality and PICU duration and demographic and clinical factors were analyzed. Results A total of 118 (2.4 %) PICU admissions were identified among 4,912 RSV-positive pediatric cases in all hospitals. Sixty-five (55.6 %) patients were infants. PICU admissions were higher between October and March. Eight (6.8 To) patients died, but only two were infants. RSV-associated mortality was related to prior sick contact, presence of older siblings, neurodevelopmental conditions, chromosomal and genetic diseases, and bacterial co-infections, but none was significant following logistic regression analyses (odds ratio 9.36, 95 % confidence interval 0.91-96.03 for prior sick contact, p = 0.060). Chronic lung disease was the only risk factor for the duration of PICU admission (beta = 0.218, p = 0.017). Conclusions The majority of RSV-infected children do not require PICU support. There is winter seasonality for RSV-associated PICU admission in Hong Kong. Prior sick contact is the only risk factor for RSV-associated mortality, whereas the presence of chronic lung disease is associated with longer PICU stay. The current risk-based approach of RSV prophylaxis may not be effective in reducing severe RSV infections.</t>
  </si>
  <si>
    <t xml:space="preserve">[Leung, T. F.; Hon, K. L.] Chinese Univ Hong Kong, Dept Pediat, Prince Wales Hosp, Shatin, Hong Kong, Peoples R China; [Lam, D. S. Y.] Tuen Mun Hosp, Dept Pediat &amp; Adolescent Med, Tuen Mun, Hong Kong, Peoples R China; [Miu, T. Y.] Queen Elizabeth Hosp, Dept Pediat, Kowloon, Hong Kong, Peoples R China; [Chau, C. S. K.] Queen Mary Hosp, Dept Pediat &amp; Adolescent Med, Pokfulam, Hong Kong, Peoples R China; Pamela Youde Nethersole Eastern Hosp, Dept Pediat &amp; Adolescent Med, Chaiwan, Hong Kong, Peoples R China; [Lee, R. S. Y.] Princess Margaret Hosp, Dept Pediat &amp; Adolescent Med, Kowloon, Hong Kong, Peoples R China; [Chow, P. Y.; Ng, D. K. K.] Kwong Wah Hosp, Dept Pediat, Kowloon, Hong Kong, Peoples R China; [Chiu, W. K.] United Christian Hosp, Dept Pediat &amp; Adolescent Med, Kowloon, Hong Kong, Peoples R China</t>
  </si>
  <si>
    <t xml:space="preserve">Chinese University of Hong Kong; Prince of Wales Hospital; Tuen Mun Hospital; University of Hong Kong; Pamela Youde Nethersole Eastern Hospital; Kwong Wah Hospital; United Christian Hospital</t>
  </si>
  <si>
    <t xml:space="preserve">Leung, TF (corresponding author), Chinese Univ Hong Kong, Dept Pediat, Prince Wales Hosp, Room 84043,Lui Che Woo Clin Sci Bldg, Shatin, Hong Kong, Peoples R China.</t>
  </si>
  <si>
    <t xml:space="preserve">tfleung@cuhk.edu.hk</t>
  </si>
  <si>
    <t xml:space="preserve">LEUNG, Ting/E-7728-2013; Ng, Daniel/AAJ-2341-2020</t>
  </si>
  <si>
    <t xml:space="preserve">10.1007/s15010-013-0557-1</t>
  </si>
  <si>
    <t xml:space="preserve">WOS:000334899600010</t>
  </si>
  <si>
    <t xml:space="preserve">Kockuzu, E; Bayrakci, B; Kesici, S; Citak, A; Karapinar, B; Emeksiz, S; Anil, AB; Kendirli, T; Yukselmis, U; Sevketoglu, E; Paksu, S; Kutlu, O; Agin, H; Yildizdas, D; Keskin, H; Kalkan, G; Hasanoglu, A; Yazici, MU; Sik, G; Kilinc, A; Durak, F; Perk, O; Talip, M; Yener, N; Uzuner, S</t>
  </si>
  <si>
    <t xml:space="preserve">Kockuzu, Esra; Bayrakci, Benan; Kesici, Selman; Citak, Agop; Karapinar, Bulent; Emeksiz, Serhat; Anil, Ayse Berna; Kendirli, Tanil; Yukselmis, Ufuk; Sevketoglu, Esra; Paksu, Sukru; Kutlu, Onur; Agin, Hasan; Yildizdas, Dincer; Keskin, Halil; Kalkan, Gokhan; Hasanoglu, Arzu; Yazici, Mutlu Uysal; Sik, Guntulu; Kilinc, Arda; Durak, Fatih; Perk, Oktay; Talip, Mey; Yener, Nazik; Uzuner, Selcuk</t>
  </si>
  <si>
    <t xml:space="preserve">Comprehensive Analysis of Severe Viral Infections of Respiratory Tract admitted to PICUs during the Winter Season in Turkey</t>
  </si>
  <si>
    <t xml:space="preserve">INDIAN JOURNAL OF CRITICAL CARE MEDICINE</t>
  </si>
  <si>
    <t xml:space="preserve">Mortality; Multi organ failure; Pediatric intensive care unit; Seasonal; Viruses</t>
  </si>
  <si>
    <t xml:space="preserve">HUMAN CORONAVIRUS NL63; INTENSIVE-CARE-UNIT; INFLUENZA-A; HUMAN METAPNEUMOVIRUS; HUMAN BOCAVIRUS; ILL PATIENTS; CHILDREN; MORTALITY; INFANTS; VIRUSES</t>
  </si>
  <si>
    <t xml:space="preserve">Objectives:To analyze the course of seasonal viral infections of respiratory tract in patients hospitalized in pediatric intensive care units (PICU) of 16 centers in Turkey. Materials and methods: It is a retrospective, observational, and multicenter study conducted in 16 tertiary PICUs in Turkey includes a total of 302 children with viral cause in the nasal swab which required PICU admission with no interventions. Results: Median age of patients was 12 months. Respiratory syncytial virus (RSV) was more common in patients over one year of age whereas influenza, human Bocavirus in patients above a year of age was more common (p &lt;0.05). Clinical presentations influencing mortality were neurologic symptoms, tachycardia, hypoxia, hypotension, elevated lactate, and acidosis. The critical pH value related with mortality was &lt;= 7.10, and critical PCO2 &gt;= 60 mm Hg. Conclusion: Our findings demonstrate that patients with neurological symptoms, tachycardia, hypoxia, hypotension, acidosis, impaired liver, and renal function at the time of admission exhibit more severe mortal progressions. Presence of acidosis and multiorgan failure was found to be predictor for mortality. Knowledge of clinical presentation and age-related variations among seasonal viruses may give a clue about severe course and prognosis. By presenting the analyzed data of 302 PICU admissions, current study reveals severity of viral respiratory tract infections and release tips for handling them.</t>
  </si>
  <si>
    <t xml:space="preserve">[Kockuzu, Esra; Bayrakci, Benan; Yazici, Mutlu Uysal] Hacettepe Univ, Dept Pediat, Intens Care Unit, Fac Med, Ankara, Turkey; [Kesici, Selman; Sik, Guntulu] Dr Sami Ulus Child Hlth &amp; Dis Training &amp; Res Hosp, Clin Pediat Intens Care Unit, Ankara, Turkey; [Citak, Agop] Acibadem Univ, Dept Pediat, Intens Care Unit, Fac Med, Istanbul, Turkey; [Karapinar, Bulent; Kilinc, Arda; Durak, Fatih] Ege Univ, Dept Pediat, Fac Med, Intens Care Unit, Izmir, Turkey; [Emeksiz, Serhat] Ankara Pediat Hematol Oncol Training &amp; Res Hosp, Clin Pediat Intens Care Unit, Ankara, Turkey; [Anil, Ayse Berna] Ankara Tepecik Training &amp; Res Hosp, Intens Care Unit, Clin Pediat, Izmir, Turkey; [Kendirli, Tanil; Perk, Oktay] Ankara Univ, Fac Med, Intens Care Unit, Dept Pediat, Ankara, Turkey; [Yukselmis, Ufuk] Kartal Lutfi Kirdar Educ Res Hosp, Clin Pediat, Intens Care Unit, Ankara, Turkey; [Sevketoglu, Esra; Talip, Mey] Bakirkoy Sadi Konuk Educ Res Hosp, Clin Pediat, Intens Care Unit, Istanbul, Turkey; [Paksu, Sukru; Yener, Nazik] Ondokuz Mayis Univ, Dept Pediat, Intens Care Unit, Fac Med, Samsun, Turkey; [Kutlu, Onur; Uzuner, Selcuk] Bezmialem Univ, Dept Pediat, Intens Care Unit, Fac Med, Samsun, Turkey; [Agin, Hasan] Dr Behcet Uz Educ Res Hosp, Intens Care Unit, Istanbul, Turkey; [Yildizdas, Dincer] Cukurova Univ, Intens Care Unit, Dept Pediat, Fac Med, Adana, Turkey; [Keskin, Halil] Ataturk Univ, Intens Care Unit, Dept Pediat, Fac Med, Erzurum, Turkey; [Kalkan, Gokhan] Gazi Univ, Intens Care Unit, Dept Pediat, Fac Med, Ankara, Turkey; [Hasanoglu, Arzu] Gaziantep Univ, Fac Med, Dept Pediat, Intens Care Unit, Gaziantep, Turkey</t>
  </si>
  <si>
    <t xml:space="preserve">Hacettepe University; Dr. Sami Ulus Education &amp; Research Hospital; Acibadem University; Ege University; Ankara Children's Hematology Oncology Training &amp; Research Hospital; Ankara University; Istanbul Kartal Dr Lutfi Kirdar Training &amp; Research Hospital; Ondokuz Mayis University; Bezmialem Vakif University; Cukurova University; Ataturk University; Gazi University; Gaziantep University</t>
  </si>
  <si>
    <t xml:space="preserve">Bayrakci, B (corresponding author), Hacettepe Univ, Dept Pediat, Intens Care Unit, Fac Med, Ankara, Turkey.</t>
  </si>
  <si>
    <t xml:space="preserve">bbenan@yahoo.com</t>
  </si>
  <si>
    <t xml:space="preserve">Şık, Guntulu/H-2340-2018; kesici, selman/AAA-3950-2022; Keskin, Halil/GLQ-8622-2022; Anıl, Ayşe Berna/HNJ-4676-2023; Sevketoglu, Esra/AAG-4617-2019; Kutlu, Nurettin/AAW-6196-2021; Uysal Yazici, Mutlu/ACA-8750-2022; Emeksiz, Serhat/AAV-7613-2021; Kendirli, Tanıl/AAT-9499-2020; agin, hasan/AAG-3609-2021; BAYRAKCI, BENAN/I-9098-2013</t>
  </si>
  <si>
    <t xml:space="preserve">BAYRAKCI, BENAN/0000-0003-3307-0948; uysal yazici, mutlu/0000-0001-7377-4718</t>
  </si>
  <si>
    <t xml:space="preserve">JAYPEE BROTHERS MEDICAL PUBLISHERS PVT LTD</t>
  </si>
  <si>
    <t xml:space="preserve">NEW DEHLI</t>
  </si>
  <si>
    <t xml:space="preserve">4838-24, ANSARI RD, DARYAGANJ, NEW DEHLI, 110 002, INDIA</t>
  </si>
  <si>
    <t xml:space="preserve">0972-5229</t>
  </si>
  <si>
    <t xml:space="preserve">1998-359X</t>
  </si>
  <si>
    <t xml:space="preserve">INDIAN J CRIT CARE M</t>
  </si>
  <si>
    <t xml:space="preserve">Indian J. Crit. Care Med.</t>
  </si>
  <si>
    <t xml:space="preserve">10.5005/jp-journals-10071-23177</t>
  </si>
  <si>
    <t xml:space="preserve">JM9JC</t>
  </si>
  <si>
    <t xml:space="preserve">WOS:000496521400006</t>
  </si>
  <si>
    <t xml:space="preserve">González, LA; Vázquez, Y; Mora, JE; Palavecino, CE; Bertrand, P; Ferrés, M; Contreras, AM; Beckhaus, AA; Riedel, CA; Bueno, SM</t>
  </si>
  <si>
    <t xml:space="preserve">Gonzalez, Liliana A.; Vazquez, Yaneisi; Mora, Jorge E.; Palavecino, Christian E.; Bertrand, Pablo; Ferres, Marcela; Contreras, Ana M.; Beckhaus, Andrea A.; Riedel, Claudia A.; Bueno, Susan M.</t>
  </si>
  <si>
    <t xml:space="preserve">Evaluation of monoclonal antibodies that detect conserved proteins from Respiratory Syncytial Virus, Metapneumovirus and Adenovirus in human samples</t>
  </si>
  <si>
    <t xml:space="preserve">Monoclonal antibodies; Clinical samples; Infected cells; ELISA; hRSV; hMPV; ADV; Immunofluorescense; Dot blot; Purified proteins</t>
  </si>
  <si>
    <t xml:space="preserve">TRACT INFECTION; INFLUENZA; EPIDEMIOLOGY; PNEUMONIA; MORTALITY; CHILDREN; ETIOLOGY; DISEASE; CELLS</t>
  </si>
  <si>
    <t xml:space="preserve">Human Respiratory Syncytial Virus (hRSV), human Metapneumovirus (hMPV) and Adenovirus (ADV), are three of the most prevalent viruses responsible for pneumonia and bronchiolitis in children and elderly worldwide, accounting for a high number of hospitalizations annually. Diagnosis of these viruses is required to take clinical actions that allow an appropriate patient management. Thereby, new strategies to design fast diagnostic methods are highly required. In the present work, six monoclonal antibodies (mAbs, two for each virus) specific for conserved proteins from hRSV, hMPV and ADV were generated and evaluated through different immunological techniques, based on detection of purified protein, viral particles and human samples. In vitro evaluation of these antibodies showed higher specificity and sensitivity than commercial antibodies tested in this study. These antibodies were used to design a sandwich ELISA tests that allowed the detection of hRSV, hMPV, and ADV in human nasopharyngeal swabs. We observed that hRSV and ADV were detected with sensitivity and specificity equivalent to a current Direct Fluorescence Assay (DFA) methodology. However, hMPV was detected with more sensitivity than DFA. Our data suggest that these new mAbs can efficiently identify infected samples and discriminate from patients infected with other respiratory pathogens.</t>
  </si>
  <si>
    <t xml:space="preserve">[Gonzalez, Liliana A.; Vazquez, Yaneisi; Mora, Jorge E.; Palavecino, Christian E.; Bueno, Susan M.] Pontificia Univ Catolica Chile, Fac Ciencias Biol, Millennium Inst Immunol &amp; Immunotherapy, Dept Genet Mol &amp; Microbiol, Santiago 8331010, Chile; [Bertrand, Pablo; Ferres, Marcela; Beckhaus, Andrea A.] Pontificia Univ Catolica Chile, Fac Med, Dept Enfermedades Infecciosas &amp; Inmunol Pediat, Div Pediat,Unidad Enfermedades Resp Pediat, Santiago, Chile; [Vazquez, Yaneisi; Riedel, Claudia A.] Univ Andres Bello, Fac Ciencias Biol, Dept Ciencias Biol, Millennium Inst Immunol &amp; Immunotherapy, Santiago, Chile; [Vazquez, Yaneisi; Riedel, Claudia A.] Univ Andres Bello, Fac Med, Santiago, Chile; [Ferres, Marcela; Contreras, Ana M.] Pontificia Univ Catolica Chile, Escuela Med, Lab Infectol &amp; Virol Mol, Santiago, Chile</t>
  </si>
  <si>
    <t xml:space="preserve">Pontificia Universidad Catolica de Chile; Pontificia Universidad Catolica de Chile; Universidad Andres Bello; Universidad Andres Bello; Pontificia Universidad Catolica de Chile</t>
  </si>
  <si>
    <t xml:space="preserve">Bueno, SM (corresponding author), Pontificia Univ Catolica Chile, Fac Ciencias Biol, Millennium Inst Immunol &amp; Immunotherapy, Dept Genet Mol &amp; Microbiol, Santiago 8331010, Chile.</t>
  </si>
  <si>
    <t xml:space="preserve">sbueno@bio.puc.cl</t>
  </si>
  <si>
    <t xml:space="preserve">Palavecino, Christian/AAT-7437-2020; Ferres, Marcela/LFU-5739-2024; Bueno, Susan/KSL-5357-2024</t>
  </si>
  <si>
    <t xml:space="preserve">Riedel, Claudia/0000-0001-6168-8601; Ferres, Marcela/0000-0001-9415-4657; Palavecino, Christian/0000-0002-4581-7327; Bueno, Susan M./0000-0002-7551-8088</t>
  </si>
  <si>
    <t xml:space="preserve">National Fund for Scientific and Technological Development (FONDECYT) program of the Ministry of Education of Chile [1140010, 1150862, 1131012]; INNOVA-CORFO program of Chilean Ministry of Economy [11IDL2-10668, 15VEIID-45704, 13CTI-21526 P5]; Millennium Institute in Immunology and Immunotherapy of the Ministry of Economy of Chile [P09-016-F]; Pediatric Division and School of Medicine, Pontificia Universidad Catolica de Chile</t>
  </si>
  <si>
    <t xml:space="preserve">National Fund for Scientific and Technological Development (FONDECYT) program of the Ministry of Education of Chile(Comision Nacional de Investigacion Cientifica y Tecnologica (CONICYT)CONICYT FONDECYT); INNOVA-CORFO program of Chilean Ministry of Economy; Millennium Institute in Immunology and Immunotherapy of the Ministry of Economy of Chile; Pediatric Division and School of Medicine, Pontificia Universidad Catolica de Chile</t>
  </si>
  <si>
    <t xml:space="preserve">This study was supported by grant numbers 1140010, 1150862 and 1131012 from the National Fund for Scientific and Technological Development (FONDECYT) program of the Ministry of Education of Chile; Grant 11IDL2-10668 from INNOVA-CORFO program of Chilean Ministry of Economy, Grant 15VEIID-45704 from INNOVA-CORFO program of Chilean Ministry of Economy, Grant 13CTI-21526 P5 from INNOVA-CORFO program of Chilean Ministry of Economy, and by grant P09-016-F from the Millennium Institute in Immunology and Immunotherapy of the Ministry of Economy of Chile. A Grant from the Pediatric Division and School of Medicine, Pontificia Universidad Catolica de Chile funded clinical research.</t>
  </si>
  <si>
    <t xml:space="preserve">10.1016/j.jviromet.2018.01.011</t>
  </si>
  <si>
    <t xml:space="preserve">FZ1KL</t>
  </si>
  <si>
    <t xml:space="preserve">WOS:000427335400011</t>
  </si>
  <si>
    <t xml:space="preserve">Halstead, DC; Garcia, ER; Wright, S; McKean, K; McKitrick, P</t>
  </si>
  <si>
    <t xml:space="preserve">Halstead, Diane C.; Garcia, Eydie R.; Wright, Sharon; McKean, Kimberly; McKitrick, Page</t>
  </si>
  <si>
    <t xml:space="preserve">Respiratory virus identification by interval polymerase chain reaction testing in the southeastern United States</t>
  </si>
  <si>
    <t xml:space="preserve">Molecular testing; Public health benefits; Abbreviated surveillance</t>
  </si>
  <si>
    <t xml:space="preserve">HUMAN METAPNEUMOVIRUS; CHILDREN; SURVEILLANCE; SEASONALITY; INFECTIONS; YOUNG</t>
  </si>
  <si>
    <t xml:space="preserve">Background: This study was designed to determine if testing the first similar to 40 nasal washings (interval) each month for 1 year, could be used as an epidemiologic tool for seasonality and prevalence of respiratory viruses such as human metapneumovirus in an adult and pediatric population in the southeastern United States. Materials and Methods: Results of interval polymerase chain reaction (PCR) testing of 469 specimens for 8 viruses were compared with our current procedures using PCR, culture, or respiratory synctial virus antigen for all 7435 specimens (routine). Results: One hundred thirty-six viruses out of 469 specimens (29.0%) and 1,495 viruses out of 7,435 specimens (20.1%) were identified by interval and routine testing, respectively. Seasonal detection varied among viruses and to some degree between interval and routine testing. A higher percent of positives and dual infections were detected by interval testing of pediatric specimens, likely due to the use of PCR for viruses commonly seen in this population. Human metapneumovirus was detected in both pediatric and adult specimens between January and August. Conclusions: Interval testing can be used to provide a snapshot of prevalence and seasonality of respiratory viruses, although as currently designed they may not be sensitive enough to identify the beginning of a specific virus season. Exclusive use of interval PCR testing identified several dual infections, including human metapneumovirus, throughout most of the year in Florida. A rapid turnaround time to results translates into improved infection control and improved patient care. Copyright (c) 2013 by the Association for Professionals in Infection Control and Epidemiology, Inc. Published by Elsevier Inc. All rights reserved.</t>
  </si>
  <si>
    <t xml:space="preserve">[Halstead, Diane C.] Baptist Hlth, Jacksonville Pathol Consultants, PA, Jacksonville, FL 32207 USA; [Garcia, Eydie R.; Wright, Sharon; McKean, Kimberly; McKitrick, Page] Baptist Med Ctr, Infect Dis Lab Serv, Jacksonville, FL USA</t>
  </si>
  <si>
    <t xml:space="preserve">Halstead, DC (corresponding author), Baptist Hlth, Infect Dis Lab Serv, PA, Jacksonville Pathol Consultants, Main 3 N,800 Prudential Dr, Jacksonville, FL 32207 USA.</t>
  </si>
  <si>
    <t xml:space="preserve">diane.halstead@bmcjax.com</t>
  </si>
  <si>
    <t xml:space="preserve">10.1016/j.ajic.2012.11.018</t>
  </si>
  <si>
    <t xml:space="preserve">207LE</t>
  </si>
  <si>
    <t xml:space="preserve">WOS:000323599600007</t>
  </si>
  <si>
    <t xml:space="preserve">Apostoli, P; Zicari, S; Lo Presti, A; Ciccozzi, M; Ciotti, M; Caruso, A; Fiorentini, S</t>
  </si>
  <si>
    <t xml:space="preserve">Apostoli, Paola; Zicari, Sonia; Lo Presti, Alessandra; Ciccozzi, Massimo; Ciotti, Marco; Caruso, Arnaldo; Fiorentini, Simona</t>
  </si>
  <si>
    <t xml:space="preserve">Human metapneumovirus-associated hospital admissions over five consecutive epidemic seasons: Evidence for alternating circulation of different genotypes</t>
  </si>
  <si>
    <t xml:space="preserve">molecular epidemiology; respiratory infection</t>
  </si>
  <si>
    <t xml:space="preserve">RESPIRATORY-TRACT INFECTIONS; YOUNG-CHILDREN; DISEASE; PREVALENCE; SEVERITY</t>
  </si>
  <si>
    <t xml:space="preserve">Human metapneumovirus (hMPV) is a pathogen of the respiratory tract with a worldwide distribution. The purpose of this study was to identify hMPV as the cause of acute respiratory diseases in children admitted at Spedali Civili, a public hospital in Brescia, Italy. Eight hundred forty-six nasopharyngeal aspirate samples negative for the presence of other common respiratory viruses were tested for the presence of hMPV RNA by reverse transcription-polymerase chain reaction. Of the 846 samples, 79 (9.3%) were positive for hMPV. Polymerase chain reaction products, obtained by amplification of the partial nucleotide sequence of gene F, were sequenced and compared with sequences deposited in GenBank. All four hMPV subtypes were identified, including the proposed subtype A2 sublineages A and B. In successive epidemic seasons, large outbreaks of hMPV alternated with small outbreaks in a biannual pattern. This local study provides further evidence that hMPV infection should be considered as a reason for hospital admission for acute respiratory disease in children. J. Med. Virol. 84:511516, 2012. (C) 2011 Wiley Periodicals, Inc.</t>
  </si>
  <si>
    <t xml:space="preserve">[Apostoli, Paola; Zicari, Sonia; Caruso, Arnaldo; Fiorentini, Simona] Univ Brescia, Dept Expt &amp; Appl Med, Microbiol Sect, Sch Med, Brescia, Italy; [Lo Presti, Alessandra; Ciccozzi, Massimo] Ist Super Sanita, Dept Infect Parasit &amp; Immunomediated Dis, I-00161 Rome, Italy; [Ciotti, Marco] Fdn Polyclin Tor Vergata, Mol Virol Lab, Rome, Italy</t>
  </si>
  <si>
    <t xml:space="preserve">University of Brescia; Istituto Superiore di Sanita (ISS)</t>
  </si>
  <si>
    <t xml:space="preserve">Fiorentini, S (corresponding author), Piazzale Spedali Civili 1, I-25123 Brescia, Italy.</t>
  </si>
  <si>
    <t xml:space="preserve">sfiorent@med.unibs.it</t>
  </si>
  <si>
    <t xml:space="preserve">ZICARI, SONIA/AAB-8731-2019; Caruso, Arnaldo/H-7818-2014; Lo Presti, Alessandra/K-1451-2016; ciccozzi, massimo/C-6484-2016</t>
  </si>
  <si>
    <t xml:space="preserve">FIORENTINI, SIMONA/0000-0002-1866-314X; CARUSO, Arnaldo/0000-0001-5178-566X; Lo Presti, Alessandra/0000-0001-7611-5021; Ciotti, Marco/0000-0002-9943-9130; ciccozzi, massimo/0000-0003-3866-9239; Zicari, Sonia/0000-0003-1240-8057</t>
  </si>
  <si>
    <t xml:space="preserve">Ministero dell'Istruzione, dell'Universita e della Ricerca</t>
  </si>
  <si>
    <t xml:space="preserve">Ministero dell'Istruzione, dell'Universita e della Ricerca(Ministry of Education, Universities and Research (MIUR))</t>
  </si>
  <si>
    <t xml:space="preserve">Grant sponsor: Ministero dell'Istruzione, dell'Universita e della Ricerca.</t>
  </si>
  <si>
    <t xml:space="preserve">10.1002/jmv.23213</t>
  </si>
  <si>
    <t xml:space="preserve">875YH</t>
  </si>
  <si>
    <t xml:space="preserve">WOS:000299071300020</t>
  </si>
  <si>
    <t xml:space="preserve">Yew, SM; Tan, KL; Yeo, SK; Ng, KP; Kuan, CS</t>
  </si>
  <si>
    <t xml:space="preserve">Yew, Su Mei; Tan, Ka-Liong; Yeo, Siok Koon; Ng, Kee Peng; Kuan, Chee Sian</t>
  </si>
  <si>
    <t xml:space="preserve">Molecular epidemiology of respiratory viruses among Malaysian Young children with a confirmed respiratory infection during 2014-2015</t>
  </si>
  <si>
    <t xml:space="preserve">JOURNAL OF THORACIC DISEASE</t>
  </si>
  <si>
    <t xml:space="preserve">Molecular epidemiology; acute respiratory tract infections (ARTIs); young children</t>
  </si>
  <si>
    <t xml:space="preserve">TRACT INFECTIONS; SYNCYTIAL VIRUS; HUMAN METAPNEUMOVIRUS; INFLUENZA-VIRUS; ASSAY; HOSPITALIZATIONS; INFANTS; ILLNESS; SURVEILLANCE; ASSOCIATION</t>
  </si>
  <si>
    <t xml:space="preserve">Background: In many developing countries, acute respiratory tract infections (ARTIs) are the main cause of morbidity arid mortality among young children. This study aims to evaluate the molecular epidemiology of respiratory viruses among Malaysian children with confirmed respiratory infections between July 2014 and July 2015. Methods: A total of 394 nasopharyngeal swabs were collected prospectively from children age 0-5 years old with ARTIs from hospitals in Kuala Lumpur. Respiratory viral panel (RVP) assay was used to identify the viral aetiology of respiratory infections. Results: From a total of 394 samples, the positive detection rate, was 79.9% (n=315). A total of 15 types of RNA viruses and a single type of DNA virus were detected. Enterovirus/rhinovirus (n=112, 28.4%), respiratory syncytial virus (RSV) (n=85, 21.6%), adenovirus (n=64, 16.2%), human bocavirus (n=34, 8.6%), and human metapneumovirus (n=29, 7.4%) were the five predominant viruses. Enterovirus/rhinovirus and RSV constituted most of the viral respiratory infections among young children, especially among children less than 1 year old. No coronavirus was detected among children between 3 and 5 years old. Co-infection caused by 2 or 3 respiratory viruses were detected in 52 patients (13.2%). Hnterovirus/rhinovirus, adenovirus, and human bocavirus demonstrated pronounced seasonality. The infection rate peaked during mid-year, while the lowest activity' occurred during early of the year. Conclusions: The use of molecular assay as a routine diagnostic in the hospitals can improve the. diagnosis and management of respiratory tract infections among children.</t>
  </si>
  <si>
    <t xml:space="preserve">[Yew, Su Mei; Ng, Kee Peng; Kuan, Chee Sian] Univ Malaya, Dept Med Microbiol, Fac Med, Kuala Lumpur 59400, Malaysia; [Yew, Su Mei; Kuan, Chee Sian] Neogenix Lab Sdn Bhd, 1191967-W, Petaling Jaya 47301, Selangor, Malaysia; [Tan, Ka-Liong] Univ Sains Islam Malaysia, Fac Med &amp; Hlth Sci, Kuala Lumpur 55100, Malaysia; [Tan, Ka-Liong] USIM, Inst Sains Islam, Ctr Holist Intelligence, Nilai 71800, Negeri Sembilan, Malaysia; [Yeo, Siok Koon] Taylors Univ, Sch Biosci, Lakeside Campus, Subang Jaya 47500, Selangor Darul, Malaysia</t>
  </si>
  <si>
    <t xml:space="preserve">Universiti Malaya; Universiti Sains Islam Malaysia; Universiti Sains Islam Malaysia; Taylor's University</t>
  </si>
  <si>
    <t xml:space="preserve">Kuan, CS (corresponding author), Univ Malaya, Dept Med Microbiol, Fac Med, Kuala Lumpur 59400, Malaysia.</t>
  </si>
  <si>
    <t xml:space="preserve">cs_sam85@yahoo.com.my</t>
  </si>
  <si>
    <t xml:space="preserve">Tan, Ka-Liong/N-7850-2017; Kuan, Chee/J-8930-2015; NG, KEE/B-9225-2010</t>
  </si>
  <si>
    <t xml:space="preserve">Tan, Ka-Liong/0000-0001-5811-8018</t>
  </si>
  <si>
    <t xml:space="preserve">High Impact Research MoE Grant [UM.C/625/1/HIR/MOHE/MED/31, H-20001-00-E000070]</t>
  </si>
  <si>
    <t xml:space="preserve">High Impact Research MoE Grant</t>
  </si>
  <si>
    <t xml:space="preserve">This study was supported by High Impact Research MoE Grant UM.C/625/1/HIR/MOHE/MED/31 (No. H-20001-00-E000070).</t>
  </si>
  <si>
    <t xml:space="preserve">AME PUBLISHING COMPANY</t>
  </si>
  <si>
    <t xml:space="preserve">SHATIN</t>
  </si>
  <si>
    <t xml:space="preserve">FLAT-RM C 16F, KINGS WING PLAZA 1, NO 3 KWAN ST, SHATIN, HONG KONG 00000, PEOPLES R CHINA</t>
  </si>
  <si>
    <t xml:space="preserve">2072-1439</t>
  </si>
  <si>
    <t xml:space="preserve">2077-6624</t>
  </si>
  <si>
    <t xml:space="preserve">J THORAC DIS</t>
  </si>
  <si>
    <t xml:space="preserve">J. Thorac. Dis.</t>
  </si>
  <si>
    <t xml:space="preserve">10.21037/jtd.2019.10.69</t>
  </si>
  <si>
    <t xml:space="preserve">JR5KC</t>
  </si>
  <si>
    <t xml:space="preserve">WOS:000499662800038</t>
  </si>
  <si>
    <t xml:space="preserve">Brittain-Long, R; Nord, S; Olofsson, S; Westin, J; Anderson, LM; Lindh, M</t>
  </si>
  <si>
    <t xml:space="preserve">Brittain-Long, Robin; Nord, Sandra; Olofsson, Sigvard; Westin, Johan; Anderson, Lars-Magnus; Lindh, Magnus</t>
  </si>
  <si>
    <t xml:space="preserve">Multiplex real-time PCR for detection of respiratory tract infections</t>
  </si>
  <si>
    <t xml:space="preserve">molecular diagnostics; respiratory infection; real-time PCR; taqman</t>
  </si>
  <si>
    <t xml:space="preserve">INFLUENZA-A; RNA VIRUSES; ASSAYS; PATHOGENS; DIAGNOSIS; CHILDREN</t>
  </si>
  <si>
    <t xml:space="preserve">Background: Broad diagnostics of respiratory infection by molecular assays has not yet won acceptance due to technical difficulties and high costs. Objectives: To evaluate clinical applicability of multiplex real-time PCR. Study design: An assay targeting influenza virus A (IfA) and B (IfB), parainfluenza 1-3 (PIV), human metapneumovirus (MPV), respiratory syncytial virus (RSV), rhinovirus (RV), enterovirus (EV), adenovirus (AdV), human coronaviruses (229E, OC43, NL63), M. pneumoniae and Ch. pneumoniae was developed and run daily on consecutive clinical nasopharyngeal swab samples. Results: An etiology was identified in 48% of the 954 samples, with IfA in 25%, RV in 20%, MPV in 10% and M. pneumoniae in 10% of the positive. By a rational procedure costs could be reduced and the customer price set relatively low (33 per sample). Conclusion: Streamlined testing and cost limitation is achievable and probably critical for implementation of a broad molecular diagnostics of respiratory infections. (C) 2007 Elsevier B.V. All rights reserved.</t>
  </si>
  <si>
    <t xml:space="preserve">[Brittain-Long, Robin; Nord, Sandra; Olofsson, Sigvard; Westin, Johan; Anderson, Lars-Magnus; Lindh, Magnus] Univ Gothenburg, Sahlgrenska Acad, Dept Infect, S-41685 Gothenburg, Sweden</t>
  </si>
  <si>
    <t xml:space="preserve">University of Gothenburg</t>
  </si>
  <si>
    <t xml:space="preserve">Brittain-Long, R (corresponding author), Univ Gothenburg, Sahlgrenska Acad, Dept Infect, S-41685 Gothenburg, Sweden.</t>
  </si>
  <si>
    <t xml:space="preserve">Robin.bl@telia.com</t>
  </si>
  <si>
    <t xml:space="preserve">10.1016/j.jcv.2007.10.029</t>
  </si>
  <si>
    <t xml:space="preserve">WOS:000253060400012</t>
  </si>
  <si>
    <t xml:space="preserve">van Coppenraet, LESB; Swanink, CMA; van Zwet, AA; Nijhuis, RHT; Schirm, J; Wallinga, JA; Ruijs, GJHM</t>
  </si>
  <si>
    <t xml:space="preserve">van Coppenraet, L. E. S. Bruijnesteijn; Swanink, C. M. A.; van Zwet, A. A.; Nijhuis, R. H. T.; Schirm, J.; Wallinga, J. A.; Ruijs, G. J. H. M.</t>
  </si>
  <si>
    <t xml:space="preserve">Comparison of two commercial molecular assays for simultaneous detection of respiratory viruses in clinical samples using two automatic electrophoresis detection systems</t>
  </si>
  <si>
    <t xml:space="preserve">MLPA; DPO; Respifinder; Microfluidic chip; Respiratory virus; RV detection</t>
  </si>
  <si>
    <t xml:space="preserve">COMMUNITY-ACQUIRED PNEUMONIA; TRANSCRIPTASE-PCR ASSAY; HUMAN METAPNEUMOVIRUS; SYNCYTIAL-VIRUS; INFECTION; CHILDREN; PATHOGENS; DISEASE; ADULTS</t>
  </si>
  <si>
    <t xml:space="preserve">Two molecular assays were compared with real-time RT-PCR and viral culture for simultaneous detection of common viruses from respiratory samples: a multiplex ligation-dependant probe amplification (MLPA) and a dual priming oligonucleotide system (DPO). In addition, the positive detections of MLPA and DPO were identified using two different automatic electrophoresis systems. A panel of 168 culture-positive and negative samples was tested by the molecular assays for the presence of influenza A and B virus, respiratory syncytial virus, human metapneumovirus, rhinovirus, coronaviruses, parainfluenza viruses and adenovirus. One hundred and twenty-nine (77%) samples were positive as detected by at least one method. Sixty-nine (41%) samples were positive by cell culture (excluding human metapneumovirus and coronaviruses), 116(69%) by RT-PCR, 127(76%) by MLPA and 100(60%) by DPO. The MLPA yielded results in one attempt for all samples included while 12 (7.2%) samples had to be repeated by the DPO assay due to inconclusive results. The MLPA assay performed well in combination with either electrophoresis system, while the performance of the DPO assay was influenced by the electrophoresis systems. Both molecular assays are comparable with real-time RT-PCR, more sensitive than viral culture and can detect dual infections easily. Results can be obtained within 1 day. (C) 2010 Elsevier B.V. All rights reserved.</t>
  </si>
  <si>
    <t xml:space="preserve">[van Coppenraet, L. E. S. Bruijnesteijn; Wallinga, J. A.; Ruijs, G. J. H. M.] Isala Clin, Lab Med Microbiol &amp; Infect Dis, NL-8021 AB Zwolle, Netherlands; [Swanink, C. M. A.; van Zwet, A. A.; Nijhuis, R. H. T.] Alysis Zorggrp, Dept Med Microbiol &amp; Immunol, NL-6883 AZ Velp, Netherlands; [Schirm, J.] Infect Dis Lab, NL-9721 SW Groningen, Netherlands</t>
  </si>
  <si>
    <t xml:space="preserve">Isala Clinics</t>
  </si>
  <si>
    <t xml:space="preserve">van Coppenraet, LESB (corresponding author), Isala Clin, Lab Med Microbiol &amp; Infect Dis, Stilobadstr 3, NL-8021 AB Zwolle, Netherlands.</t>
  </si>
  <si>
    <t xml:space="preserve">e.s.bruijnesteijn@isala.nl; cswanink@alysis.nl; tvanzwet@alysis.nl; rnijhuis@alysis.nl; j.schirm@infectielab.nl; j.a.wallinga@isala.nl; g.j.h.m.ruijs@isala.nl</t>
  </si>
  <si>
    <t xml:space="preserve">Nijhuis, Roel/HLX-7427-2023</t>
  </si>
  <si>
    <t xml:space="preserve">Nijhuis, Roel/0000-0003-4203-3858</t>
  </si>
  <si>
    <t xml:space="preserve">10.1016/j.jviromet.2010.07.032</t>
  </si>
  <si>
    <t xml:space="preserve">657FM</t>
  </si>
  <si>
    <t xml:space="preserve">WOS:000282398600027</t>
  </si>
  <si>
    <t xml:space="preserve">Martínez-Espinoza, I; Bungwon, AD; Guerrero-Plata, A</t>
  </si>
  <si>
    <t xml:space="preserve">Martinez-Espinoza, Ivan; Bungwon, Anang D.; Guerrero-Plata, Antonieta</t>
  </si>
  <si>
    <t xml:space="preserve">Human Metapneumovirus-Induced Host microRNA Expression Impairs the Interferon Response in Macrophages and Epithelial Cells</t>
  </si>
  <si>
    <t xml:space="preserve">miRNAs; miRNA-4634; HMPV; IFN; macrophages; epithelial cells; human metapneumovirus; lung; respiratory</t>
  </si>
  <si>
    <t xml:space="preserve">RESPIRATORY SYNCYTIAL VIRUS; ALVEOLAR MACROPHAGES; INFECTION; REPLICATION; INHIBITION; PROFILE; BURDEN</t>
  </si>
  <si>
    <t xml:space="preserve">Human metapneumovirus (HMPV) is a nonsegmented, single-stranded negative RNA virus and a member of the Pneumoviridae family. During HMPV infection, macrophages play a critical role in defending the respiratory epithelium by secreting large amounts of type I interferon (IFN). MicroRNAs (miRNAs) are small, noncoding, single-stranded RNAs that play an essential role in regulating gene expression during normal cellular homeostasis and disease by binding to specific mRNAs, thereby regulating at the transcriptional and post-transcriptional levels with a direct impact on the immune response and other cellular processes. However, the role of miRNAs in macrophages and respiratory viral infections remains largely unknown. Here, we characterized the susceptibility of THP-1-derived macrophages to HMPV infection and the effect of hsa-miR-4634 on these cells. Transfection of an miRNA mimic and inhibitor demonstrated that hsa-miR-4634 regulates the IFN response in HMPV-infected macrophages, suggesting that HMPV induces the expression of the miRNA as a subversion mechanism of the antiviral response. This effect was not limited to macrophages, as a similar effect was also observed in epithelial cells. Overall, our results demonstrate that hsa-miR-4634 is an important factor in regulating the IFN response in macrophages and epithelial cells during HMPV infection.</t>
  </si>
  <si>
    <t xml:space="preserve">[Martinez-Espinoza, Ivan; Bungwon, Anang D.; Guerrero-Plata, Antonieta] Louisiana State Univ, Sch Vet Med, Dept Pathobiol Sci, Baton Rouge, LA 70803 USA</t>
  </si>
  <si>
    <t xml:space="preserve">Louisiana State University System; Louisiana State University; Louisiana State University School of Veterinary Medicine</t>
  </si>
  <si>
    <t xml:space="preserve">Guerrero-Plata, A (corresponding author), Louisiana State Univ, Sch Vet Med, Dept Pathobiol Sci, Baton Rouge, LA 70803 USA.</t>
  </si>
  <si>
    <t xml:space="preserve">imart27@lsu.edu; abungw1@lsu.edu; aguerrp@lsu.edu</t>
  </si>
  <si>
    <t xml:space="preserve">Guerrero-Plata, Antonieta/0000-0002-0424-2563; Martinez-Espinoza, Ivan/0000-0002-5667-9556; Bungwon, Anang/0009-0000-0830-0655</t>
  </si>
  <si>
    <t xml:space="preserve">National Institute of General Medical Sciences</t>
  </si>
  <si>
    <t xml:space="preserve">National Institute of General Medical Sciences(United States Department of Health &amp; Human ServicesNational Institutes of Health (NIH) - USANIH National Institute of General Medical Sciences (NIGMS))</t>
  </si>
  <si>
    <t xml:space="preserve">The authors would like to thank Collin Hayes and Alex Stackhouse for their critical reading of the manuscript and Thaya E. Stoufflet and Marilyn A. Dietrich for their excellent technical expertise provided to this work.</t>
  </si>
  <si>
    <t xml:space="preserve">10.3390/v15112272</t>
  </si>
  <si>
    <t xml:space="preserve">Z7IT8</t>
  </si>
  <si>
    <t xml:space="preserve">WOS:001113781400001</t>
  </si>
  <si>
    <t xml:space="preserve">Kayali, G; Ortiz, EJ; Chorazy, ML; Nagaraja, KV; DeBeauchamp, J; Webby, RJ; Gray, GC</t>
  </si>
  <si>
    <t xml:space="preserve">Kayali, Ghazi; Ortiz, Ernesto J.; Chorazy, Margaret L.; Nagaraja, Kakambi V.; DeBeauchamp, Jennifer; Webby, Richard J.; Gray, Gregory C.</t>
  </si>
  <si>
    <t xml:space="preserve">Serologic Evidence of Avian Metapneumovirus Infection Among Adults Occupationally Exposed to Turkeys</t>
  </si>
  <si>
    <t xml:space="preserve">VECTOR-BORNE AND ZOONOTIC DISEASES</t>
  </si>
  <si>
    <t xml:space="preserve">Microbiology; Serology; Transmission; Zoonosis</t>
  </si>
  <si>
    <t xml:space="preserve">TERM-CARE FACILITY; RESPIRATORY VIRUSES; VIRAL ETIOLOGY; PNEUMOVIRUS; CHILDREN; POULTRY; SEROPREVALENCE; RETROVIRUSES; ANTIBODIES; MINNESOTA</t>
  </si>
  <si>
    <t xml:space="preserve">Genetically similar, the avian metapneumovirus (aMPV) and the human MPV (hMPV) are the only viruses in the Metapneumovirus genus. Previous research demonstrated the ability of hMPV to cause clinical disease in turkeys. In this controlled, cross-sectional, seroepidemiological study, we examined the hypothesis that aMPV might infect humans. We enrolled 95 adults occupationally exposed to turkeys and 82 nonexposed controls. Sera from study participants were examined for antibodies against aMPV and hMPV. Both in bivariate (OR = 3.2; 95% CI: 1.1-9.2) and in multivariate modelling adjusting for antibody to hMPV (OR = 4.1; 95% CI: 1.3-13.1), meat-processing workers were found to have an increased odds of previous infection with aMPV compared to controls. While hMPV antibody cross-reactivity is evident, these data suggest that occupational exposure to turkeys is a risk factor for human infection with aMPV. More studies are needed to validate these findings, to identify modes of aMPV transmission, and to determine risk factors associated with infection.</t>
  </si>
  <si>
    <t xml:space="preserve">[Kayali, Ghazi; DeBeauchamp, Jennifer; Webby, Richard J.] St Jude Childrens Res Hosp, Dept Infect Dis, Div Virol, Memphis, TN 38105 USA; [Ortiz, Ernesto J.] US Naval Med Res Ctr Detachment, Emerging Infect Program, Lima, Peru; [Chorazy, Margaret L.] Univ Iowa, Dept Epidemiol, Iowa City, IA USA; [Nagaraja, Kakambi V.] Univ Minnesota, Dept Vet &amp; Biomed Sci, St Paul, MN 55108 USA; [Gray, Gregory C.] Univ Florida, Dept Environm &amp; Global Hlth, Gainesville, FL USA</t>
  </si>
  <si>
    <t xml:space="preserve">St Jude Children's Research Hospital; University of Iowa; University of Minnesota System; University of Minnesota Twin Cities; State University System of Florida; University of Florida</t>
  </si>
  <si>
    <t xml:space="preserve">Kayali, G (corresponding author), St Jude Childrens Res Hosp, Dept Infect Dis, Div Virol, 262 Danny Thomas Pl, Memphis, TN 38105 USA.</t>
  </si>
  <si>
    <t xml:space="preserve">ghazi.kayali@stjude.org</t>
  </si>
  <si>
    <t xml:space="preserve">Webby, Richard/N-5657-2018; Gray, Gregory/ABF-1298-2020</t>
  </si>
  <si>
    <t xml:space="preserve">Ortiz, Ernesto/0000-0002-6485-2005; Gray, Gregory/0000-0002-4628-5908</t>
  </si>
  <si>
    <t xml:space="preserve">University of Iowa Student Government; American Lebanese Syrian Associated Charities</t>
  </si>
  <si>
    <t xml:space="preserve">University of Iowa Student Government; American Lebanese Syrian Associated Charities(American Lebanese Syrian Associated Charities (ALSAC))</t>
  </si>
  <si>
    <t xml:space="preserve">We especially thank Binu T. Velayudhan, Ph.D., Virginia Tech, Blacksburg, VA, and Sharon F. Setterquist formerly of the University of Iowa's Center for Emerging Infectious Diseases for their advice and assistance in the adaptation of serologic techniques. We also thank Ana W. Capuano, M. P. S. M. S., for her initial statistical demonstration of association. This work was made possible in part by a grant from the University of Iowa Student Government and by the American Lebanese Syrian Associated Charities.</t>
  </si>
  <si>
    <t xml:space="preserve">1530-3667</t>
  </si>
  <si>
    <t xml:space="preserve">1557-7759</t>
  </si>
  <si>
    <t xml:space="preserve">VECTOR-BORNE ZOONOT</t>
  </si>
  <si>
    <t xml:space="preserve">Vector-Borne Zoonotic Dis.</t>
  </si>
  <si>
    <t xml:space="preserve">10.1089/vbz.2011.0637</t>
  </si>
  <si>
    <t xml:space="preserve">846SO</t>
  </si>
  <si>
    <t xml:space="preserve">WOS:000296923700006</t>
  </si>
  <si>
    <t xml:space="preserve">Gaur, B; Saha, S; Iuliano, AD; Rai, SK; Krishnan, A; Jain, S; Whitaker, B; Winchell, J; Lal, RB; Broor, S</t>
  </si>
  <si>
    <t xml:space="preserve">Gaur, Bharti; Saha, Siddhartha; Iuliano, A. Danielle; Rai, Sanjay K.; Krishnan, Anand; Jain, Seema; Whitaker, Brett; Winchell, Jonas; Lal, Renu B.; Broor, Shobha</t>
  </si>
  <si>
    <t xml:space="preserve">Use of TaqMan Array card for the detection of respiratory viral pathogens in children under 5 years old hospitalised with acute medical illness in Ballabgarh, Haryana, India</t>
  </si>
  <si>
    <t xml:space="preserve">INDIAN JOURNAL OF MEDICAL MICROBIOLOGY</t>
  </si>
  <si>
    <t xml:space="preserve">Micro-fluidic card; sensitivity; specificity; viral pathogen diagnosis</t>
  </si>
  <si>
    <t xml:space="preserve">Historical specimens collected from hospitalized children were tested for the following 13 viruses: influenza A and B; respiratory syncytial virus (RSV); parainfluenza viruses 1u3; human metapneumovirus; rhinovirus; coronaviruses 229E, OC43, NL63 and HKU1 and Adenovirus using monoplex real-time reverse transcriptase polymerase chain reaction (rRT-PCR). They were retested using TaqMan Array Card (TAC), a micro-fluidic system, capable of simultaneous multi-pathogen testing, to evaluate its sensitivity and specificity against monoplex rRT-PCR. TAC showed high sensitivity (71%u100%) and specificity (98%u100%) for these viruses in comparison to monoplex rRT-PCR. Multi-specimen detection with high sensitivity and specificity makes TAC a potentially useful tool for both surveillance and outbreak investigations.</t>
  </si>
  <si>
    <t xml:space="preserve">[Gaur, Bharti; Broor, Shobha] All India Inst Med Sci, Dept Microbiol, New Delhi, India; [Saha, Siddhartha; Jain, Seema; Lal, Renu B.] All India Inst Med Sci, US Embassy, Influenza Div, Ctr Dis Control &amp; Prevent, New Delhi, India; [Rai, Sanjay K.; Krishnan, Anand] All India Inst Med Sci, Ctr Community Med, New Delhi 110029, India; [Iuliano, A. Danielle] Ctr Dis Control &amp; Prevent, Influenza Div, Atlanta, GA USA; [Winchell, Jonas] Ctr Dis Control &amp; Prevent, Div Bacterial Dis, Atlanta, GA USA; [Whitaker, Brett] Ctr Dis Control &amp; Prevent, Div Viral Dis, Atlanta, GA USA</t>
  </si>
  <si>
    <t xml:space="preserve">All India Institute of Medical Sciences (AIIMS) New Delhi; All India Institute of Medical Sciences (AIIMS) New Delhi; All India Institute of Medical Sciences (AIIMS) New Delhi; Centers for Disease Control &amp; Prevention - USA; Centers for Disease Control &amp; Prevention - USA; Centers for Disease Control &amp; Prevention - USA</t>
  </si>
  <si>
    <t xml:space="preserve">Gaur, B (corresponding author), All India Inst Med Sci, Ctr Community Med, New Delhi 110029, India.</t>
  </si>
  <si>
    <t xml:space="preserve">gguar.bharti@gmail.com</t>
  </si>
  <si>
    <t xml:space="preserve">Broor, Shobha/AAX-4163-2021; GAUR, BHARTI/B-2945-2013; Krishnan, Anand/D-8537-2012</t>
  </si>
  <si>
    <t xml:space="preserve">Saha, Siddhartha/0000-0002-7494-267X; GAUR, BHARTI/0000-0003-0503-8625; Krishnan, Anand/0000-0002-9173-7811</t>
  </si>
  <si>
    <t xml:space="preserve">This study was supported in part by cooperative agreements U01 IP000206 from the Centers for Disease Control and Prevention, Atlanta, US.</t>
  </si>
  <si>
    <t xml:space="preserve">0255-0857</t>
  </si>
  <si>
    <t xml:space="preserve">1998-3646</t>
  </si>
  <si>
    <t xml:space="preserve">INDIAN J MED MICROBI</t>
  </si>
  <si>
    <t xml:space="preserve">Indian J. Med. Microbiol.</t>
  </si>
  <si>
    <t xml:space="preserve">10.4103/ijmm.IJMM_18_146</t>
  </si>
  <si>
    <t xml:space="preserve">IS2NA</t>
  </si>
  <si>
    <t xml:space="preserve">gold, Green Accepted</t>
  </si>
  <si>
    <t xml:space="preserve">WOS:000481989800018</t>
  </si>
  <si>
    <t xml:space="preserve">Estrada, B; Carter, M; Barik, S; Vidal, R; Herbert, D; Ramsey, KM</t>
  </si>
  <si>
    <t xml:space="preserve">Estrada, Benjamin; Carter, Macharia; Barik, Sailen; Vidal, Rosa; Herbert, Donald; Ramsey, Keith M.</t>
  </si>
  <si>
    <t xml:space="preserve">Severe human metapneumovirus infection in hospitalized children</t>
  </si>
  <si>
    <t xml:space="preserve">metapneurnovirus; life-threatening; wheezing</t>
  </si>
  <si>
    <t xml:space="preserve">RESPIRATORY SYNCYTIAL VIRUS; INFANTS; EXACERBATIONS; RELEVANCE; APNEA</t>
  </si>
  <si>
    <t xml:space="preserve">Human metapneumovirus is a recently discovered pathogen that causes upper and lower respiratory tract disease in children. This study describes the course of illness in hospitalized children with this infection. During a 6-month period, 11 children were diagnosed with human metapneumovirus infection by reverse transcription-polymerase chain reaction. Oxygen supplementation was required for 82% of patients. Severe disease developed in 45%, and mechanical ventilation was required. An apparent life-threatening event was the indication for hospitalization of 27% of patients infected with human metapneumovirus. Children with underlying asthma or neuromuscular disease had a prolonged hospitalization.</t>
  </si>
  <si>
    <t xml:space="preserve">Univ S Alabama, Div Pediat Infect Dis, Mobile, AL 36604 USA; Univ S Alabama, Div Pediat Crit Care, Mobile, AL 36604 USA; Univ S Alabama, Dept Biochem &amp; Cell Biol, Mobile, AL 36604 USA; Univ S Alabama, Dept Radiol, Mobile, AL 36604 USA; Univ S Alabama, Dept Biostat &amp; Epidemiol, Mobile, AL 36604 USA; Baylor Coll Med, Div Neonatol, Houston, TX 77030 USA; E Carolina Univ, Brody Sch Med, Greenville, NC USA</t>
  </si>
  <si>
    <t xml:space="preserve">University of South Alabama; University of South Alabama; University of South Alabama; University of South Alabama; University of South Alabama; Baylor College of Medicine; University of North Carolina; East Carolina University</t>
  </si>
  <si>
    <t xml:space="preserve">Estrada, B (corresponding author), Univ S Alabama, Div Pediat Infect Dis, 1504 Springhill Ave,Rm 5222, Mobile, AL 36604 USA.</t>
  </si>
  <si>
    <t xml:space="preserve">bestrada@usouthal.edu</t>
  </si>
  <si>
    <t xml:space="preserve">10.1177/0009922806293896</t>
  </si>
  <si>
    <t xml:space="preserve">147GX</t>
  </si>
  <si>
    <t xml:space="preserve">WOS:000244992500009</t>
  </si>
  <si>
    <t xml:space="preserve">Lévy, C; Aerts, L; Hamelin, ME; Granier, C; Szécsi, J; Lavillette, D; Boivin, G; Cosset, FL</t>
  </si>
  <si>
    <t xml:space="preserve">Levy, Camille; Aerts, Laetitia; Hamelin, Marie-Eve; Granier, Christelle; Szecsi, Judit; Lavillette, Dimitri; Boivin, Guy; Cosset, Francois-Loic</t>
  </si>
  <si>
    <t xml:space="preserve">Virus-like particle vaccine induces cross-protection against human metapneumovirus infections in mice</t>
  </si>
  <si>
    <t xml:space="preserve">Metapneumovirus; Vaccine; Virus-like particle; Neutralization; Antibody</t>
  </si>
  <si>
    <t xml:space="preserve">NEUTRALIZING ANTIBODIES; PROTEIN; GLYCOPROTEIN; INDUCTION; VECTORS; DISEASE</t>
  </si>
  <si>
    <t xml:space="preserve">Human metapneumovirus (HMPV) is a paramyxovirus that causes acute respiratory-tract infections in children and adults worldwide. A safe and effective vaccine could decrease the burden of disease associated with this novel pathogen. We engineered HMPV viral-like particles (HMPV-VLPs) derived from retroviral core particles that mimic the properties of the viral surface of two HMPV viruses of either lineage A or B. These VLPs functionally display F and G HMPV surface glycoproteins. When injected in mice, HMPV-VLPs induce strong humoral immune response against both homologous and heterologous strains. Moreover, the induced neutralizing antibodies prevented mortality upon subsequent infection of the lungs with both homologous and heterologous viruses. Upon challenge, viral titers in the lungs of immunized animals were significantly reduced as compared to those of control animals. In conclusion, a HMPV-VLP vaccine that induces cross-protective immunity in mice is a promising approach to prevent HMPV infections. (C) 2013 Elsevier Ltd. All rights reserved.</t>
  </si>
  <si>
    <t xml:space="preserve">[Levy, Camille; Granier, Christelle; Szecsi, Judit; Lavillette, Dimitri; Cosset, Francois-Loic] Univ Lyon, EVIR Team, Int Ctr Infectiol Res, CIRI, F-69007 Lyon, France; [Levy, Camille; Granier, Christelle; Szecsi, Judit; Lavillette, Dimitri; Cosset, Francois-Loic] INSERM, U1111, F-69008 Lyon, France; [Levy, Camille; Granier, Christelle; Szecsi, Judit; Lavillette, Dimitri; Cosset, Francois-Loic] Ecole Normale Super Lyon, F-69364 Lyon, France; [Levy, Camille; Granier, Christelle; Szecsi, Judit; Lavillette, Dimitri; Cosset, Francois-Loic] Univ Lyon 1, Ctr Int Rech Infectiol, F-69365 Lyon, France; [Levy, Camille; Granier, Christelle; Szecsi, Judit; Lavillette, Dimitri; Cosset, Francois-Loic] CNRS, UMR5308, Lyon, France; [Levy, Camille; Granier, Christelle; Cosset, Francois-Loic] Univ Lyon, LabEx Ecofect, F-69007 Lyon, France; [Aerts, Laetitia; Hamelin, Marie-Eve; Boivin, Guy] Ctr Hosp Univ Quebec, Ctr Rech Infectiol, Quebec City, PQ G1V 4G2, Canada; [Aerts, Laetitia; Hamelin, Marie-Eve; Boivin, Guy] Univ Laval, Quebec City, PQ G1V 4G2, Canada</t>
  </si>
  <si>
    <t xml:space="preserve">Ecole Normale Superieure de Lyon (ENS de LYON); Universite Claude Bernard Lyon 1; Universite Claude Bernard Lyon 1; Institut National de la Sante et de la Recherche Medicale (Inserm); Ecole Normale Superieure de Lyon (ENS de LYON); Universite Claude Bernard Lyon 1; Centre National de la Recherche Scientifique (CNRS); CNRS - National Institute for Biology (INSB); Universite Claude Bernard Lyon 1; Laval University; Laval University</t>
  </si>
  <si>
    <t xml:space="preserve">Cosset, FL (corresponding author), CIRI Int Ctr Infectiol Res, 46 Allee Italie, F-69364 Lyon 07, France.</t>
  </si>
  <si>
    <t xml:space="preserve">Guy.Boivin@crchul.ulaval.ca; flcosset@ens-lyon.fr</t>
  </si>
  <si>
    <t xml:space="preserve">Cosset, François-Loïc/M-5862-2019</t>
  </si>
  <si>
    <t xml:space="preserve">Lavillette, Dimitri/0000-0002-4706-1519; Christelle, GRANIER/0000-0001-8987-0632; Levy, Camille/0000-0002-0161-1765; Boivin, Guy/0000-0003-3027-4662; Cosset, Francois-Loic/0000-0001-8842-3726</t>
  </si>
  <si>
    <t xml:space="preserve">European Research Council [ERC-2008-AdG-233130-HEPCENT]; LABEX ECOFECT of Universite de Lyon [ANR-11-LABX-0042]; French Ministry of Research; Canadian Institutes of Health Research</t>
  </si>
  <si>
    <t xml:space="preserve">European Research Council(European Research Council (ERC)); LABEX ECOFECT of Universite de Lyon; French Ministry of Research(Ministry of Research, France); Canadian Institutes of Health Research(Canadian Institutes of Health Research (CIHR))</t>
  </si>
  <si>
    <t xml:space="preserve">We acknowledge the contribution of the AniRA platform (PBES animal facility and cytometry) of SFR BioSciences Gerland-Lyon Sud (UMS3444/US8). This work was supported by the European Research Council [ERC-2008-AdG-233130-HEPCENT to F.-L.C] and by the LABEX ECOFECT (ANR-11-LABX-0042) of Universite de Lyon. C.L. was supported by a pre-doctoral fellowship from the French Ministry of Research. This work was also supported by a grant to G.B. from the Canadian Institutes of Health Research.</t>
  </si>
  <si>
    <t xml:space="preserve">10.1016/j.vaccine.2013.03.051</t>
  </si>
  <si>
    <t xml:space="preserve">167MC</t>
  </si>
  <si>
    <t xml:space="preserve">WOS:000320635100009</t>
  </si>
  <si>
    <t xml:space="preserve">Biacchesi, S; Skiadopoulos, MH; Boivin, G; Hanson, CT; Murphy, BR; Collins, PL; Buchholz, UJ</t>
  </si>
  <si>
    <t xml:space="preserve">Genetic diversity between human metapneumovirus subgroups</t>
  </si>
  <si>
    <t xml:space="preserve">metapneumovirus; subgroup; genomic sequence</t>
  </si>
  <si>
    <t xml:space="preserve">RESPIRATORY SYNCYTIAL VIRUS; G-GLYCOPROTEIN; ANTIGENIC RELATEDNESS; SEQUENCE CONSERVATION; N-PROTEINS; M2 GENE; RNA; TRANSCRIPTION; PNEUMOVIRUS; INFECTIONS</t>
  </si>
  <si>
    <t xml:space="preserve">Complete consensus nucleotide sequences were determined for human metapneumovirus (HMPV) isolates CAN97-83 and CAN98-75, representing the two proposed genotypes or genetic subgroups of HMPV. The overall level of genome nucleotide sequence identity and aggregate proteome amino acid sequence identity between the two HMPV subgroups were 80 and 90%, respectively, similar to the respective values of 81 and 88% between the two antigenic subgroups of human respiratory syncytial virus (HRSV). The diversity between HMPV subgroups was greatest for the SH and G proteins (59 and 37% identity, respectively), which were even more divergent than their HRSV counterparts (72 and 55% cross-subgroup identity, respectively). It is reasonable to anticipate that the two genetic subgroups of HMPV represent antigenic subgroups approximately comparable to those of HRSV. (C) 2003 Elsevier Inc. All rights reserved.</t>
  </si>
  <si>
    <t xml:space="preserve">NIAID, Infect Dis Lab, Bethesda, MD 20892 USA; Ctr Hosp Univ Quebec, St Foy, PQ G1V 4G2, Canada; Univ Laval, St Foy, PQ G1V 4G2, Canada</t>
  </si>
  <si>
    <t xml:space="preserve">National Institutes of Health (NIH) - USA; NIH National Institute of Allergy &amp; Infectious Diseases (NIAID); Laval University; Laval University</t>
  </si>
  <si>
    <t xml:space="preserve">Buchholz, UJ (corresponding author), Bldg 50,Room 6507,50 S Dr MSC, Bethesda, MD 20892 USA.</t>
  </si>
  <si>
    <t xml:space="preserve">Boivin, Guy/0000-0003-3027-4662; BIACCHESI, STEPHANE/0000-0002-7020-2391</t>
  </si>
  <si>
    <t xml:space="preserve">10.1016/S0042-6822(03)00528-2</t>
  </si>
  <si>
    <t xml:space="preserve">739YE</t>
  </si>
  <si>
    <t xml:space="preserve">WOS:000186373700001</t>
  </si>
  <si>
    <t xml:space="preserve">Russell, CJ; Jones, BG; Sealy, RE; Surman, SL; Mason, JN; Hayden, RT; Tripp, RA; Takimoto, T; Hurwitz, JL</t>
  </si>
  <si>
    <t xml:space="preserve">Russell, Charles J.; Jones, Bart G.; Sealy, Robert E.; Surman, Sherri L.; Mason, John N.; Hayden, Randall T.; Tripp, Ralph A.; Takimoto, Toru; Hurwitz, Julia L.</t>
  </si>
  <si>
    <t xml:space="preserve">A Sendai virus recombinant vaccine expressing a gene for truncated human metapneumovirus (hMPV) fusion protein protects cotton rats from hMPV challenge</t>
  </si>
  <si>
    <t xml:space="preserve">Metapneumovirus; Sendai virus; Recombinant vaccine; Respiratory virus; Immunity; Neutralizing antibodies</t>
  </si>
  <si>
    <t xml:space="preserve">RESPIRATORY SYNCYTIAL VIRUS; SEQUENCE-ANALYSIS; REVERSE GENETICS; SUBTYPE-B; RSV; INFECTION; IMMUNOGENICITY; REPLICATION; IMMUNITY; DIVERSITY</t>
  </si>
  <si>
    <t xml:space="preserve">Human metapneumovirus (hMPV) infections pose a serious health risk to young children, particularly in cases of premature birth. No licensed vaccine exists and there is no standard treatment for hMPV infections apart from supportive hospital care. We describe the production of a Sendai virus (SeV) recombinant that carries a gene for a truncated hMPV fusion (F) protein (SeV-MPV-Ft). The vaccine induces binding and neutralizing antibody responses toward hMPV and protection against challenge with hMPV in a cotton rat system. Results encourage advanced development of SeV-MPV-Ft to prevent the morbidity and mortality caused by hMPV infections in young children.</t>
  </si>
  <si>
    <t xml:space="preserve">[Russell, Charles J.; Jones, Bart G.; Sealy, Robert E.; Surman, Sherri L.; Mason, John N.; Hurwitz, Julia L.] St Jude Childrens Res Hosp, Dept Infect Dis, 262 Danny Thomas Pl, Memphis, TN 38105 USA; [Russell, Charles J.; Hurwitz, Julia L.] Univ Tennessee, Ctr Hlth Sci, Dept Microbiol Immunol &amp; Biochem, Memphis, TN 38163 USA; [Hayden, Randall T.] St Jude Childrens Res Hosp, Dept Pathol, 332 N Lauderdale St, Memphis, TN 38105 USA; [Tripp, Ralph A.] Univ Georgia, Coll Vet Med, Dept Infect Dis, Athens, GA USA; [Takimoto, Toru] Univ Rochester, Rochester, NY USA</t>
  </si>
  <si>
    <t xml:space="preserve">St Jude Children's Research Hospital; University of Tennessee System; University of Tennessee Health Science Center; St Jude Children's Research Hospital; University System of Georgia; University of Georgia; University of Rochester</t>
  </si>
  <si>
    <t xml:space="preserve">Hurwitz, JL (corresponding author), Univ Tennessee, Ctr Hlth Sci, Dept Microbiol Immunol &amp; Biochem, Memphis, TN 38163 USA.</t>
  </si>
  <si>
    <t xml:space="preserve">Tripp, Ralph/F-5218-2011; Hurwitz, Julia/N-2301-2018; Hayden, Randall/N-2534-2018; Russell, Charles/K-4824-2013</t>
  </si>
  <si>
    <t xml:space="preserve">NIH NIAID [P01 A1054955, R01 AI088729, R01 AI083370]; ALSAC; NIH NCI [P30-CA21765]</t>
  </si>
  <si>
    <t xml:space="preserve">NIH NIAID(United States Department of Health &amp; Human ServicesNational Institutes of Health (NIH) - USANIH National Institute of Allergy &amp; Infectious Diseases (NIAID)); ALSAC(American Lebanese Syrian Associated Charities (ALSAC)); NIH NCI(United States Department of Health &amp; Human ServicesNational Institutes of Health (NIH) - USANIH National Cancer Institute (NCI))</t>
  </si>
  <si>
    <t xml:space="preserve">We thank Virion Systems and Dr. Jorge Blanco (Sigmovir) for providing cotton rat antibody reagents. We thank Dr. John V Williams (University of Pittsburgh) for the Cl. A1 MPV isolate. We thank Dr. Allen Partner for SeV-specific monoclonal antibodies generated at St. Jude. This work was supported by grants NIH NIAID P01 A1054955, NIH NIAID R01 AI088729, NIH NIAID R01 AI083370, NIH NCI P30-CA21765, and ALSAC.</t>
  </si>
  <si>
    <t xml:space="preserve">10.1016/j.virol.2017.05.021</t>
  </si>
  <si>
    <t xml:space="preserve">FC1BN</t>
  </si>
  <si>
    <t xml:space="preserve">WOS:000406572500007</t>
  </si>
  <si>
    <t xml:space="preserve">von Linstow, ML; Hogh, M; Nordbo, SA; Eugen-Olsen, J; Koch, A; Hogh, B</t>
  </si>
  <si>
    <t xml:space="preserve">von Linstow, Marie-Louise; Hogh, Mette; Nordbo, Svein Arne; Eugen-Olsen, Jesper; Koch, Anders; Hogh, Birthe</t>
  </si>
  <si>
    <t xml:space="preserve">A community study of clinical traits and risk factors for human metapneumovirus and respiratory syncytial virus infection during the first year of life</t>
  </si>
  <si>
    <t xml:space="preserve">metapneumovirus; RSV; infants; children; risk factor</t>
  </si>
  <si>
    <t xml:space="preserve">YOUNG-CHILDREN; RSV INFECTION; NASOPHARYNGEAL ASPIRATE; HOSPITALIZED CHILDREN; TRACT INFECTION; NASAL SWAB; INFANTS; BRONCHIOLITIS; ASTHMA; AGE</t>
  </si>
  <si>
    <t xml:space="preserve">Human metapneumovirus (hMPV) and respiratory syncytial virus (RSV) are important respiratory pathogens with similar symptomatology. The aim of this prospective birth cohort study was to identify risk factors for an hMPV or RSV infection during the first year of life in unselected healthy children. We followed 217 children from birth to 1 year of age. Nasal swabs and symptom diaries were collected monthly. Anti-hMPV and anti-RSV IgG antibodies by age 1 year were detected by ELISA, and nasal swabs were analysed for hMPV and RSV by RT-PCR. Logistic regression was used for risk factor analysis. Anti-hMPV IgG was found in 38 children (17.5%), and anti-RSV IgG in 172 children (79%). Risk factors for being anti-hMPV IgG-positive were: (1) being born in the spring (OR=2.36; 95% CI:1.06-5.27), and (2) having older siblings (OR=3.82; 95% CI:1.75-8.34). Risk factors for being anti-RSV IgG-positive were: (1) gestational age &lt; 38 weeks (OR=3.39; 95% CI:1.42-8.05), (2) increasing paternal age (OR=1.85 per 5 yrs; 95% CI:1.28-2.68), and (3) wall-to-wall carpeting (OR=3.15; 95% CI:1.29-7.68). Being born in the spring was associated with decreased odds of being anti-RSV IgG-positive (OR=0.27, 95% CI:0.09-0.85). Risk factors for RSV hospitalisation (n=11) were: (1) older siblings (OR=4.49; 95% CI: 1.08-18.73) and (2) smoking in the household (OR=5.06; 95% CI: 1.36-18.76). Exclusive breastfeeding for the first 14 days of life protected against hospitalisation (OR=0.21; 95% CI:0.06-0.79). In conclusion, this study identifies risk factors for mild and asymptomatic hMPV infections in infancy.</t>
  </si>
  <si>
    <t xml:space="preserve">[von Linstow, Marie-Louise; Hogh, Birthe] Hvidovre Univ Hosp, Dept Paediat 531, DK-2650 Copenhagen, Denmark; [Hogh, Mette] Hvidovre Univ Hosp, Dept Clin Microbiol, DK-2650 Copenhagen, Denmark; [Eugen-Olsen, Jesper] Hvidovre Univ Hosp, Clin Res Ctr, DK-2650 Copenhagen, Denmark; [Nordbo, Svein Arne] Univ Trondheim Hosp, Dept Med Microbiol, Trondheim, Norway; [Koch, Anders] Statens Serum Inst, Dept Epidemiol Res, DK-2300 Copenhagen, Denmark</t>
  </si>
  <si>
    <t xml:space="preserve">University of Copenhagen; University of Copenhagen; University of Copenhagen; Norwegian University of Science &amp; Technology (NTNU); Statens Serum Institut</t>
  </si>
  <si>
    <t xml:space="preserve">von Linstow, ML (corresponding author), Hvidovre Univ Hosp, Dept Paediat 531, Kettegard Alle 30, DK-2650 Copenhagen, Denmark.</t>
  </si>
  <si>
    <t xml:space="preserve">linstow@dadlnet.dk</t>
  </si>
  <si>
    <t xml:space="preserve">Koch, Anders/0000-0001-9205-1048; Hoegh, Anne Mette/0009-0004-7585-100X; Eugen-Olsen, Jesper/0000-0002-4630-4275; von Linstow, Marie-Louise/0000-0002-9956-7941</t>
  </si>
  <si>
    <t xml:space="preserve">Pharmacists' Foundation; Rosalie Petersen's Foundation; Ebba Celinder's Foundation; Aase and Ejnar Danielsen's Foundation; Hvidovre Hospital's Research; Research Fund of Queen Louise's Children's Hospital; Gangsted Foundation</t>
  </si>
  <si>
    <t xml:space="preserve">We are grateful to the participating children and parents. We thank Karina Larsen and Nanna Lietmann who assisted in collecting the samples, Bodil Landt and Anne-Marie Meyer for performing the nucleic acid extractions and the RT-PCR assays, and Klaus Larsen for useful discussions on the statistical analyses. Johan Lantto, Symphogen A/S, Denmark graciously provided the RSV ELISA protocol and positive and negative controls, and primer/probe mixes for the PCR analyses were kindly provided by Bert Niesters, Erasmus Medical Centre, Rotterdam, The Netherlands. This research was funded by grants from the Pharmacists' Foundation, Rosalie Petersen's Foundation, Ebba Celinder's Foundation, Aase and Ejnar Danielsen's Foundation, Hvidovre Hospital's Research Fund, the Research Fund of Queen Louise's Children's Hospital, and the Gangsted Foundation.</t>
  </si>
  <si>
    <t xml:space="preserve">10.1007/s00431-007-0643-4</t>
  </si>
  <si>
    <t xml:space="preserve">339XA</t>
  </si>
  <si>
    <t xml:space="preserve">WOS:000258609400005</t>
  </si>
  <si>
    <t xml:space="preserve">Chidambaram, AC; Bhowmick, R; Parameswaran, N; Gunasekaran, D</t>
  </si>
  <si>
    <t xml:space="preserve">Chidambaram, Aakash Chandran; Bhowmick, Rohit; Parameswaran, Narayanan; Gunasekaran, Dhandapany</t>
  </si>
  <si>
    <t xml:space="preserve">A rare case of metapneumovirus-induced rhabdomyolysis and multi-organ dysfunction in a 4-year-old child</t>
  </si>
  <si>
    <t xml:space="preserve">PAEDIATRICS AND INTERNATIONAL CHILD HEALTH</t>
  </si>
  <si>
    <t xml:space="preserve">Metapneumovirus; rhabdomyolysis; multi-organ dysfunction; respiratory virus; hMPV; acute kidney injury</t>
  </si>
  <si>
    <t xml:space="preserve">Human metapneumovirus (hMPV) is a common cause of acute respiratory tract infections in children. In immunocompetent individuals, the course of hMPV infection is usually benign and self-limiting. A developmentally normal, previously healthy 4-year-old girl presented with pneumonia and later developed rhabdomyolysis and multi-organ dysfunction syndrome (MODS) which was fatal. Extensive microbiological investigation for a possible viral aetiology was positive only for hMPV, thus making it the first reported case of hMPV infection-related rhabdomyolysis.</t>
  </si>
  <si>
    <t xml:space="preserve">[Chidambaram, Aakash Chandran; Bhowmick, Rohit; Parameswaran, Narayanan; Gunasekaran, Dhandapany] Jawaharlal Inst Postgrad Med Educ &amp; Res, Dept Pediat, Pondicherry, India</t>
  </si>
  <si>
    <t xml:space="preserve">Jawaharlal Institute of Postgraduate Medical Education &amp; Research</t>
  </si>
  <si>
    <t xml:space="preserve">Parameswaran, N (corresponding author), Jawaharlal Inst Postgrad Med Educ &amp; Res, Dept Pediat, Pondicherry, India.</t>
  </si>
  <si>
    <t xml:space="preserve">narayanan.p@jipmer.edu.in</t>
  </si>
  <si>
    <t xml:space="preserve">Parameswaran, Narayanan/AAH-6482-2020; Gunasekaran, Dhandapany/GZB-2542-2022</t>
  </si>
  <si>
    <t xml:space="preserve">Gunasekaran, Dhandapany/0000-0003-1070-0070; BHOWMICK, ROHIT/0000-0002-2589-4499; Parameswaran, Narayanan/0000-0002-8297-5789</t>
  </si>
  <si>
    <t xml:space="preserve">2046-9047</t>
  </si>
  <si>
    <t xml:space="preserve">2046-9055</t>
  </si>
  <si>
    <t xml:space="preserve">PAEDIATR INT CHILD H</t>
  </si>
  <si>
    <t xml:space="preserve">Paediatr. Int. Child Health</t>
  </si>
  <si>
    <t xml:space="preserve">APR 3</t>
  </si>
  <si>
    <t xml:space="preserve">10.1080/20469047.2020.1814567</t>
  </si>
  <si>
    <t xml:space="preserve">SEP 2020</t>
  </si>
  <si>
    <t xml:space="preserve">WI2OJ</t>
  </si>
  <si>
    <t xml:space="preserve">WOS:000567967900001</t>
  </si>
  <si>
    <t xml:space="preserve">Kim, CK; Choi, J; Callaway, Z; Kim, HB; Chung, JY; Koh, YY; Shin, BM</t>
  </si>
  <si>
    <t xml:space="preserve">Kim, Chang Keun; Choi, Jungi; Callaway, Zak; Kim, Hyo Bin; Chung, Ju Young; Koh, Young-Yull; Shin, Bo Moon</t>
  </si>
  <si>
    <t xml:space="preserve">Clinical and Epidemiological Comparison of Human Metapneumovirus and Respiratory Syncytial Virus in Seoul, Korea, 2003-2008</t>
  </si>
  <si>
    <t xml:space="preserve">Metapneumovirus; Respiratory Syncytial Viruses; Respiratory Sounds; Child; Seasonal Distribution</t>
  </si>
  <si>
    <t xml:space="preserve">IMPORTANT RISK-FACTOR; TRACT INFECTIONS; CHILDREN; BRONCHIOLITIS; DISEASE; ASTHMA; FEATURES; INFANTS</t>
  </si>
  <si>
    <t xml:space="preserve">Human metapneumovirus (HMPV) shares clinical and epidemiological characteristics with well-known respiratory syncytial virus (RSV). The aim of this study was to investigate the clinical and epidemiological differences between HMPV- and RSV-induced wheezing illnesses. A total of 1,008 nasopharyngeal aspirate specimens was collected from 1,008 pediatric patients hospitalized with acute respiratory tract infection at Inje University Sanggye Paik Hospital from December 2003 to April 2008, and tested for seven common respiratory viruses. Conditions classified as wheezing illness were bronchiolitis, reactive airways disease, and bronchial asthma. HMPV caused a significantly lower proportion of wheezing illness when compared to RSV (48.1% vs. 82.2%, P&lt;0.05). HMPV-induced wheezing illness occurred predominantly in older patients when compared to RSV patients (P&lt;0.001). RSV infections peaked in the fall and winter followed by peaks of HMPV infection in winter and spring. Eosinophil counts were significantly higher (P&lt;0.01) in RSV patients when compared to HMPV patients. These results show that human metapneumovirus patients exhibit several different clinical and epidemiological characteristics, such as higher proportion of wheezing illness, age and seasonal incidence, and eosinophil counts, when compared to RSV patients.</t>
  </si>
  <si>
    <t xml:space="preserve">[Kim, Chang Keun; Choi, Jungi; Callaway, Zak; Kim, Hyo Bin] Inje Univ, Sanggye Paik Hosp, Dept Pediat, Ctr Asthma &amp; Allergy, 620 Dongil Ro, Seoul 139707, South Korea; [Shin, Bo Moon] Inje Univ, Sanggye Paik Hosp, Dept Lab Med, Seoul 139707, South Korea; [Koh, Young-Yull] Seoul Natl Univ, Dept Pediat, Seoul, South Korea</t>
  </si>
  <si>
    <t xml:space="preserve">Inje University; Inje University; Seoul National University (SNU)</t>
  </si>
  <si>
    <t xml:space="preserve">Kim, CK (corresponding author), Inje Univ, Sanggye Paik Hosp, Dept Pediat, Ctr Asthma &amp; Allergy, 620 Dongil Ro, Seoul 139707, South Korea.</t>
  </si>
  <si>
    <t xml:space="preserve">kimck@paik.ac.kr</t>
  </si>
  <si>
    <t xml:space="preserve">Kim, Bum/AAS-2541-2020; Koh, Young/J-5368-2012; Callaway, Zak/KFS-9162-2024</t>
  </si>
  <si>
    <t xml:space="preserve">Chung, Ju-Young/0000-0003-4162-5317</t>
  </si>
  <si>
    <t xml:space="preserve">2010 Inje University</t>
  </si>
  <si>
    <t xml:space="preserve">This study was funded in part by a 2010 Inje University grant.</t>
  </si>
  <si>
    <t xml:space="preserve">302 75 DONG DU ICHON, DONG YONGSAN KU, SEOUL 140 031, SOUTH KOREA</t>
  </si>
  <si>
    <t xml:space="preserve">10.3346/jkms.2010.25.3.342</t>
  </si>
  <si>
    <t xml:space="preserve">563PO</t>
  </si>
  <si>
    <t xml:space="preserve">WOS:000275145400002</t>
  </si>
  <si>
    <t xml:space="preserve">Zhang, Q; Yang, XQ; Zhao, Y; Zhao, XD</t>
  </si>
  <si>
    <t xml:space="preserve">Zhang Qin; Yang Xi-qiang; Zhao Yao; Zhao Xiao-dong</t>
  </si>
  <si>
    <t xml:space="preserve">High seroprevalence of human metapneumovirus infection in children in Chongqing, China</t>
  </si>
  <si>
    <t xml:space="preserve">metapneumovirus; respiratory syncytial virus; seroprevalence; epidemiology</t>
  </si>
  <si>
    <t xml:space="preserve">RESPIRATORY-SYNCYTIAL-VIRUS; PNEUMONIA; YOUNG; AGE</t>
  </si>
  <si>
    <t xml:space="preserve">Background The human metapneumovirus (hMPV) is a newly discovered respiratory viral pathogen that was first isolated in 2001 in the Netherlands. Its global distribution and long history of infection in humans have been well documented. In this study, we assessed the seropositivity of hMPV IgG antibodies in children in Chongqing, China. Methods The specificity of the enzyme linked immunosorbent assay (ELISA) was first validated by using respiratory syncytial virus (RSV) infected, antigen subtracted reference serum and by performing western blotting using anti-hMPV animal serum. This assay was used to determine the presence of the IgG antibody against hMPV and RSV in 325 serum samples obtained from children aged 0-6 years. Results No crossreaction was detected by ELISA between the antibodies to hMPV and RSV. The seropositivity of the anti-hMPV IgG antibody was 74.5% in children aged 0 to 5 months, 64.0% in 6 to 11 months, 72.7% in 12 to 23 months, 87.1% in 24 to 35 months and 90.3% in 3 to 6 years. Conclusions hMPV is a common and significant respiratory pathogen in Chinese children. Almost all individuals are exposed to hMPV by age 6 years.</t>
  </si>
  <si>
    <t xml:space="preserve">[Zhang Qin; Yang Xi-qiang; Zhao Yao; Zhao Xiao-dong] Chongqing Med Univ, Childrens Hosp, Div Immunol, Chongqing 400014, Peoples R China</t>
  </si>
  <si>
    <t xml:space="preserve">Chongqing Medical University</t>
  </si>
  <si>
    <t xml:space="preserve">Zhao, XD (corresponding author), Chongqing Med Univ, Childrens Hosp, Div Immunol, Chongqing 400014, Peoples R China.</t>
  </si>
  <si>
    <t xml:space="preserve">zhaoxd530@yahoo.com.cn</t>
  </si>
  <si>
    <t xml:space="preserve">zhao, xd/HJX-9525-2023</t>
  </si>
  <si>
    <t xml:space="preserve">National Natural Science Foundation of China [30571976]</t>
  </si>
  <si>
    <t xml:space="preserve">National Natural Science Foundation of China(National Natural Science Foundation of China (NSFC))</t>
  </si>
  <si>
    <t xml:space="preserve">This study was supported by the National Natural Science Foundation of China (No. 30571976).</t>
  </si>
  <si>
    <t xml:space="preserve">2542-5641</t>
  </si>
  <si>
    <t xml:space="preserve">10.1097/00029330-200811010-00011</t>
  </si>
  <si>
    <t xml:space="preserve">372RN</t>
  </si>
  <si>
    <t xml:space="preserve">WOS:000260919400011</t>
  </si>
  <si>
    <t xml:space="preserve">Hermos, CR; Vargas, SO; McAdam, AJ</t>
  </si>
  <si>
    <t xml:space="preserve">Hermos, Christina R.; Vargas, Sara O.; McAdam, Alexander J.</t>
  </si>
  <si>
    <t xml:space="preserve">Human Metapneumovirus</t>
  </si>
  <si>
    <t xml:space="preserve">Metapneumovirus; Respiratory syncytial virus; Respiratory infection; Bronchiolitis</t>
  </si>
  <si>
    <t xml:space="preserve">RESPIRATORY SYNCYTIAL VIRUS; OBSTRUCTIVE PULMONARY-DISEASE; COMMUNITY-ACQUIRED PNEUMONIA; LINKED-IMMUNOSORBENT-ASSAY; DIFFERENT CELL-LINES; TRACT INFECTIONS; YOUNG-CHILDREN; GENETIC-VARIABILITY; G-GLYCOPROTEIN; BALB/C MICE</t>
  </si>
  <si>
    <t xml:space="preserve">Respiratory tract infections (RTI) are the leading cause of death in low-income countries and the second leading cause of death worldwide in children less than 5 years old. Most RTI are viral. Human metapneumovirus (hMPV) was discovered in 2001 in routine viral cultures of respiratory specimens from children with RTI and has been implicated as a common cause of RTI in children and adults and a cause of severe disease in immunocompromised hosts. This article describes the microbiology, epidemiology, clinical presentation, pathogenesis, diagnosis, treatment, prognosis, long-term outcome, immunity and reinfection of hMPV.</t>
  </si>
  <si>
    <t xml:space="preserve">[McAdam, Alexander J.] Childrens Hosp Boston, Dept Lab Med, Infect Dis Diagnost Div, Boston, MA 02115 USA; [Hermos, Christina R.] Childrens Hosp Boston, Dept Med, Div Infect Dis, Boston, MA 02115 USA; [Vargas, Sara O.; McAdam, Alexander J.] Harvard Univ, Sch Med, Dept Pathol, Boston, MA 02115 USA; [Vargas, Sara O.] Childrens Hosp Boston, Dept Pathol, Boston, MA 02115 USA</t>
  </si>
  <si>
    <t xml:space="preserve">Harvard University; Boston Children's Hospital; Harvard University; Boston Children's Hospital; Harvard University; Harvard Medical School; Harvard University; Boston Children's Hospital</t>
  </si>
  <si>
    <t xml:space="preserve">McAdam, AJ (corresponding author), Childrens Hosp Boston, Dept Lab Med, Infect Dis Diagnost Div, 300 Longwood Ave, Boston, MA 02115 USA.</t>
  </si>
  <si>
    <t xml:space="preserve">Alexander.McAdam@childrens.harvard.edu</t>
  </si>
  <si>
    <t xml:space="preserve">10.1016/j.cll.2009.10.002</t>
  </si>
  <si>
    <t xml:space="preserve">618MA</t>
  </si>
  <si>
    <t xml:space="preserve">WOS:000279358200006</t>
  </si>
  <si>
    <t xml:space="preserve">García-García, ML; Calvo, C; Pérez-Breña, P; Cea, JM; Acosta, B; Casas, I</t>
  </si>
  <si>
    <t xml:space="preserve">Garcia-Garcia, M. L.; Calvo, C.; Perez-Brena, P.; De Cea, J. M.; Acosta, B.; Casas, I.</t>
  </si>
  <si>
    <t xml:space="preserve">Prevalence and clinical characteristics of human metapneumovirus infections in hospitalized infants in Spain</t>
  </si>
  <si>
    <t xml:space="preserve">metapneumovirus; respiratory syncytial virus; infants; respiratory infections</t>
  </si>
  <si>
    <t xml:space="preserve">RESPIRATORY-SYNCYTIAL-VIRUS; TRACT INFECTIONS; YOUNG-CHILDREN; BRONCHIOLITIS; SEQUENCE; DISEASE</t>
  </si>
  <si>
    <t xml:space="preserve">Human metapneumovirus (hMPV), a condition recently described in the Netherlands, causes lower respiratory infections, particularly in young children and among the elderly. The objective of this study was to describe the characteristics of hMPV infections in hospitalized infants &lt; 2 years of age and to compare them to those of infections caused by respiratory syncytial virus (RSV). A prospective study was conducted on the clinical characteristics of infants admitted to hospital for respiratory infection through 5 years. Simultaneous detection of influenza A, B, and C viruses, RSV, and adenoviruses was performed in clinical samples by multiple reverse transcription nested-PCR assay The presence of hMPV was tested in all samples using two separate RT-PCR tests. Some respiratory virus was detected in 70.5% of the 1,322 children included in the study hMPV was found in 101 of the positive nasopharyngeal aspirates (10.8%), and was the most common virus after RSV and rhinovirus. Peak incidence was found in March. Over 80% of children were &lt; 12 months. The more common diagnoses were bronchiolitis (49.5%) and recurrent wheezing (45.5%). Fifty-four percent of cases required oxygen therapy and, one percent, assisted ventilation. Thirty percent were co-infections, with clinical characteristics indistinguishable from single infections. Seventy-one hMPV single infections were compared to 88 RSV single infections. hMPV infections were significantly more frequent than RSV in infants older than 6 months (P = 0.04). Recurrent wheezing was diagnosed more frequently in hMPV patients (P = 0.001). All other variables tested were similar, in both groups. hMPV was the third most frequent virus after RSV and rhinovirus in infants &lt; 2 years of age, hospitalized for respiratory infection, and was associated with bronchiolitis and recurrent wheezing. hMPV predominantly occurred in spring. Co-infections were frequent and clinically similar to single infections and RSV infections.</t>
  </si>
  <si>
    <t xml:space="preserve">Hosp Severo Ochoa, Serv Pediat, Madrid 28911, Spain; ISCIII, Virol Serv, Influenza &amp; Resp Viruses Lab, Natl Ctr Microbiol, Madrid, Spain</t>
  </si>
  <si>
    <t xml:space="preserve">García-García, ML (corresponding author), Hosp Severo Ochoa, Serv Pediat, Ave Orellana S-N, Madrid 28911, Spain.</t>
  </si>
  <si>
    <t xml:space="preserve">Calvo, Cristina/0000-0002-6503-3423; Casas, Inmaculada/0000-0003-1840-1198; GARCIA-GARCIA, MARIA LUZ/0000-0003-4906-4227</t>
  </si>
  <si>
    <t xml:space="preserve">10.1002/ppul.20456</t>
  </si>
  <si>
    <t xml:space="preserve">WOS:000240035300009</t>
  </si>
  <si>
    <t xml:space="preserve">Nadiger, M; Sendi, P; Martinez, PA; Totapally, BR</t>
  </si>
  <si>
    <t xml:space="preserve">Nadiger, Meghana; Sendi, Prithvi; Martinez, Paul A.; Totapally, Balagangadhar R.</t>
  </si>
  <si>
    <t xml:space="preserve">Epidemiology and Clinical Features of Human Metapneumovirus and Respiratory Syncytial Viral Infections in Children</t>
  </si>
  <si>
    <t xml:space="preserve">metapneumovirus; respiratory syncytial virus; epidemiology; outcomes</t>
  </si>
  <si>
    <t xml:space="preserve">TRACT INFECTIONS; YOUNG-CHILDREN; VIRUS; SEVERITY</t>
  </si>
  <si>
    <t xml:space="preserve">Background: Human metapneumovirus (HMPV) and respiratory syncytial virus (RSV) are 2 common causes of acute respiratory tract infections in infants and young children. The objective of this study is to compare the demographics and outcomes of children hospitalized with HMPV and RSV infections in the United States. Methods: We performed a retrospective cohort analysis of children 1 month to less than 3 years old discharged during 2016 with HMPV or RSV infection using the Kids' Inpatient Database. Children with HMPV and RSV coinfection were excluded. Data were weighted for national estimates. Results: There were 6585 children with HMPV infection and 70,824 with RSV infection discharged during the study period. The mean age of children with HMPV infection was higher than that of children with RSV infection (0.73 +/- 0.8 vs. 0.42 +/- 0.7 years; P &lt; 0.05). The mortality rate was significantly higher in children with the presence of any complex chronic conditions compared to those without, in both HMPV [odds ratio (OR): 32.42; CI: 9.931-105.857; P &lt; 0.05] as well as RSV (OR: 35.81; CI: 21.12-57.97; P &lt; 0.05) groups. The adjusted median length of stay was longer (4.64 days; CI: 4.52-4.76 days vs. 3.33 days; CI: 3.31-3.35 days; P &lt; 0.001) and total charges were higher ($44,358; CI: $42,145-$46,570 vs. $22,839; CI: $22,512-$23,166; P &lt; 0.001), with HMPV infection. The mortality rate was similar in HMPV infection compared to RSV infection on multivariable analysis (OR: 1.48; P &gt; 0.05). Conclusion: In hospitalized children in the United States, HMPV infection is less common than RSV infection. Complex chronic conditions are more prevalent in children hospitalized with HMPV infection. Hospitalization with HMPV is associated with longer length of stay and higher hospital charges. The adjusted mortality is similar with both infections.</t>
  </si>
  <si>
    <t xml:space="preserve">[Nadiger, Meghana] Univ Illinois, Coll Med, Dept Pediat, Div Crit Care Med, Peoria, IL USA; [Sendi, Prithvi; Martinez, Paul A.; Totapally, Balagangadhar R.] Nicklaus Childrens Hosp, Div Crit Care Med, Miami, FL USA; [Sendi, Prithvi; Martinez, Paul A.; Totapally, Balagangadhar R.] Florida Int Univ, Herbert Wertheim Coll Med, Dept Pediat, Div Crit Care Med, Miami, FL USA; [Nadiger, Meghana] Univ Illinois, Coll Med, Dept Pediat, Div Crit Care Med, 11015 North Country Ridge Lane, Dunlap, IL 61525 USA</t>
  </si>
  <si>
    <t xml:space="preserve">University of Illinois System; University of Illinois Peoria; State University System of Florida; Florida International University; University of Illinois System</t>
  </si>
  <si>
    <t xml:space="preserve">Nadiger, M (corresponding author), Univ Illinois, Coll Med, Dept Pediat, Div Crit Care Med, 11015 North Country Ridge Lane, Dunlap, IL 61525 USA.</t>
  </si>
  <si>
    <t xml:space="preserve">mnadi-ger@uic.edu; prithviskp@yahoo.com; pamartimd@gmail.com; balatotapally@comcast.net</t>
  </si>
  <si>
    <t xml:space="preserve">Totapally, Balagangadhar/LOS-8500-2024</t>
  </si>
  <si>
    <t xml:space="preserve">Totapally, Balagangadhar/0000-0002-5257-1767; Nadiger, Meghana/0000-0002-1027-6962</t>
  </si>
  <si>
    <t xml:space="preserve">10.1097/INF.0000000000004055</t>
  </si>
  <si>
    <t xml:space="preserve">U7VA9</t>
  </si>
  <si>
    <t xml:space="preserve">WOS:001086833500020</t>
  </si>
  <si>
    <t xml:space="preserve">Palavecino, CE; Céspedes, PF; Lay, MK; Riedel, CA; Kalergis, AM; Bueno, SM</t>
  </si>
  <si>
    <t xml:space="preserve">Palavecino, Christian E.; Cespedes, Pablo F.; Lay, Margarita K.; Riedel, Claudia A.; Kalergis, Alexis M.; Bueno, Susan M.</t>
  </si>
  <si>
    <t xml:space="preserve">Understanding Lung Immunopathology Caused by the Human Metapneumovirus: Implications for Rational Vaccine Design</t>
  </si>
  <si>
    <t xml:space="preserve">CRITICAL REVIEWS IN IMMUNOLOGY</t>
  </si>
  <si>
    <t xml:space="preserve">metapneumovirus; pulmonary inflammation; viral infection; lung T cells; IgG1; IgG2a</t>
  </si>
  <si>
    <t xml:space="preserve">RESPIRATORY SYNCYTIAL VIRUS; HUMAN DENDRITIC CELLS; GROWTH IN-VITRO; IMMUNE-RESPONSE; FUSION PROTEIN; BALB/C MICE; T-CELL; ALVEOLAR MACROPHAGES; MONOCLONAL-ANTIBODY; YOUNG-CHILDREN</t>
  </si>
  <si>
    <t xml:space="preserve">Acute respiratory tract infections (ARTIs) are the major cause of child mortality worldwide. The human metapneumovirus (hMPV) is one of the leading causes of child hospitalizations due to pneumonia. The adaptive immune response generated by the host against hMPV is usually inefficient at protecting from reinfections, which is repeat throughout life, from childhood to old age. Despite considerable research efforts, to date there are no licensed vaccines to prevent respiratory disease caused by hMPV infection. In this article we review current vaccine strategies tested in animal models and the implication of such studies in understanding the different immune cell populations that contribute to hMPV clearance and the prevention and resolution of lung inflammation upon exposure to the virus.</t>
  </si>
  <si>
    <t xml:space="preserve">[Palavecino, Christian E.; Cespedes, Pablo F.; Lay, Margarita K.; Kalergis, Alexis M.; Bueno, Susan M.] Pontificia Univ Catolica Chile, Fac Ciencias Biol, Millennium Inst Immunol &amp; Immunotherapy, Dept Mol Genet &amp; Microbiol, Santiago 8331010, Chile; [Riedel, Claudia A.] Univ Andres Bello, Fac Ciencias Biol, Millennium Inst Immunol &amp; Immunotherapy, Dept Ciencias Biol, Santiago, Chile; [Riedel, Claudia A.] Univ Andres Bello, Fac Med, Santiago, Chile; [Kalergis, Alexis M.] Pontificia Univ Catolica Chile, Fac Med, Fac Madicina &amp; Reumatol Clin, Dept Inmunol, Santiago 8331010, Chile; [Kalergis, Alexis M.; Bueno, Susan M.] INSERM, U1064, Nantes, France</t>
  </si>
  <si>
    <t xml:space="preserve">Pontificia Universidad Catolica de Chile; Universidad Andres Bello; Universidad Andres Bello; Pontificia Universidad Catolica de Chile; Institut National de la Sante et de la Recherche Medicale (Inserm)</t>
  </si>
  <si>
    <t xml:space="preserve">Bueno, SM (corresponding author), Pontificia Univ Catolica Chile, Fac Ciencias Biol, Millennium Inst Immunol &amp; Immunotherapy, Dept Mol Genet &amp; Microbiol, Ave Libertador Bernardo OHiggins 340, Santiago 8331010, Chile.</t>
  </si>
  <si>
    <t xml:space="preserve">Palavecino, Christian/AAT-7437-2020; Lay, Margarita/AAW-6352-2021; Bueno, Susan/KSL-5357-2024</t>
  </si>
  <si>
    <t xml:space="preserve">Kalergis, Alexis/0000-0001-7622-5263; Riedel, Claudia/0000-0001-6168-8601; Bueno, Susan M./0000-0002-7551-8088; Palavecino, Christian/0000-0002-4581-7327; Cespedes Donoso, Pablo Francisco/0000-0002-1641-4107</t>
  </si>
  <si>
    <t xml:space="preserve">Fondo Nacional de Ciencia y Tecnologia (FONDECYT-CHILE) [1140010, 1150862, 1130996, 3120019]; CONICYT/FONDECYT [3140455]; Fondo de Fomento al Desarrollo Cientifico y Tecnologico (FONDEF-CHILE) [D11I1080]; Programa Consorcios Tecnologicos para la Innovacion-Consorcio Tecnolo'gico en Biomedicina BMRC from Innova-CORFO Chile [13CTI-21526]; Instituto Milenio en Inmunologia e Inmunoterapia [P09/016-F]; Innova-CORFO Chile [11IDL2-10668]; Grant Nouvelles Equipes-nouvelles thematiques from the La Region Pays De La Loire</t>
  </si>
  <si>
    <t xml:space="preserve">Fondo Nacional de Ciencia y Tecnologia (FONDECYT-CHILE)(Comision Nacional de Investigacion Cientifica y Tecnologica (CONICYT)CONICYT FONDECYT); CONICYT/FONDECYT(Comision Nacional de Investigacion Cientifica y Tecnologica (CONICYT)CONICYT FONDECYT); Fondo de Fomento al Desarrollo Cientifico y Tecnologico (FONDEF-CHILE)(Comision Nacional de Investigacion Cientifica y Tecnologica (CONICYT)CONICYT FONDEF); Programa Consorcios Tecnologicos para la Innovacion-Consorcio Tecnolo'gico en Biomedicina BMRC from Innova-CORFO Chile; Instituto Milenio en Inmunologia e Inmunoterapia; Innova-CORFO Chile; Grant Nouvelles Equipes-nouvelles thematiques from the La Region Pays De La Loire(Region Pays de la Loire)</t>
  </si>
  <si>
    <t xml:space="preserve">The authors are supported by the following: Fondo Nacional de Ciencia y Tecnologia (FONDECYT-CHILE) grant nos. 1140010, 1150862, 1130996, 3120019, and CONICYT/FONDECYT Postdoctorado No. 3140455; Fondo de Fomento al Desarrollo Cientifico y Tecnologico (FONDEF-CHILE) grant no. D11I1080; Programa Consorcios Tecnologicos para la Innovacion 13CTI-21526-Consorcio Tecnolo'gico en Biomedicina BMRC from Innova-CORFO Chile; Instituto Milenio en Inmunologia e Inmunoterapia (no. P09/016-F); grant no. 11IDL2-10668 from Innova-CORFO Chile; and Grant Nouvelles Equipes-nouvelles thematiques from the La Region Pays De La Loire. A.M.K. is a Chaire De La Region Pays De La Loire De Chercheur Etranger D'excellence and a CDD-DR INSERM.</t>
  </si>
  <si>
    <t xml:space="preserve">BEGELL HOUSE INC</t>
  </si>
  <si>
    <t xml:space="preserve">DANBURY</t>
  </si>
  <si>
    <t xml:space="preserve">50 NORTH ST, DANBURY, CT 06810 USA</t>
  </si>
  <si>
    <t xml:space="preserve">1040-8401</t>
  </si>
  <si>
    <t xml:space="preserve">2162-6472</t>
  </si>
  <si>
    <t xml:space="preserve">CRIT REV IMMUNOL</t>
  </si>
  <si>
    <t xml:space="preserve">Crit. Rev. Immunol.</t>
  </si>
  <si>
    <t xml:space="preserve">10.1615/CritRevImmunol.2015013844</t>
  </si>
  <si>
    <t xml:space="preserve">CX2OK</t>
  </si>
  <si>
    <t xml:space="preserve">WOS:000365536300002</t>
  </si>
  <si>
    <t xml:space="preserve">Le Nouen, C; Munir, S; Losq, S; Winter, CC; McCarty, T; Stephany, DA; Holmes, KL; Bukreyev, A; Rabin, RL; Collins, PL; Buchholz, UJ</t>
  </si>
  <si>
    <t xml:space="preserve">Le Nouen, Cyril; Munir, Shirin; Losq, Stephanie; Winter, Christine C.; McCarty, Thomas; Stephany, David A.; Holmes, Kevin L.; Bukreyev, Alexander; Rabin, Ronald L.; Collins, Peter L.; Buchholz, Ursula J.</t>
  </si>
  <si>
    <t xml:space="preserve">Infection and maturation of monocyte-derived human dendritic cells by human respiratory syncytial virus, human metapneumovirus, and human parainfluenza virus type 3</t>
  </si>
  <si>
    <t xml:space="preserve">Metapneumovirus; Pneumovirus; Paramyxovirus; Monocyte derived dendritic cells; Cytokine; Maturation marker</t>
  </si>
  <si>
    <t xml:space="preserve">IN-VITRO; T-CELLS; EXPRESSION; CD38; DIFFERENTIATION; INFLUENZA; DISTINCT; CD83; RNA; CHEMOKINES</t>
  </si>
  <si>
    <t xml:space="preserve">Human respiratory syncytial virus (HRSV), human metapneumovirus (HMPV), and human parainfluenza virus type 3 (HPIV3) are common, important respiratory pathogens, but HRSV has a substantially greater impact with regard to acute disease, long-term effects oil airway function, and frequency of re-infection. It has been reported to strongly interfere with the functioning of dendritic cells (DC). We compared HRSV to HMPV and HPIV3 with regard to their effects on human monocyte-derived immature DC (IDC). Side-by-side analysis distinguished between common effects versus those specific to individual viruses. The use of GFP-expressing viruses yielded clear identification of robustly infected cells and provided the means to distinguish between direct effects of robust viral gene expression versus bystander effects. All three viruses infected inefficiently based oil GFP expression, with considerable donor-to donor-variability. The GFP-negative cells exhibited low, abortive levels of viral RNA synthesis. The three viruses induced low-to-moderate levels of DC maturation and cytokine/chemokine responses, increasing slightly in the order HRSV, HMPV, and HPIV3. Infection at the individual cell level was relatively benign, such that in general GFP-positive cells were neither more nor less able to mature compared to GFP-negative bystanders, and cells were responsive to a secondary treatment with lipopolysaccharide, indicating that the ability to mature was not impaired. However, there was a single exception, namely that HPIV3 Clown-regulated CD38 expression at the RNA level. Maturation by these viruses was anti-apoptotic. Inefficient infection of IDC and sub-optimal maturation might result in reduced immune responses, but these effects would be common to all three viruses rather than specific to HRSV. Published by Elsevier Inc.</t>
  </si>
  <si>
    <t xml:space="preserve">[Le Nouen, Cyril; Munir, Shirin; Losq, Stephanie; Winter, Christine C.; McCarty, Thomas; Bukreyev, Alexander; Collins, Peter L.; Buchholz, Ursula J.] NIAID, Infect Dis Lab, NIH, Bethesda, MD 20892 USA; [Stephany, David A.; Holmes, Kevin L.] NIAID, Flow Cytometry Sect, NIH, Bethesda, MD 20892 USA; [Rabin, Ronald L.] US FDA, Ctr Biol Evaluat &amp; Res, Bethesda, MD 20892 USA</t>
  </si>
  <si>
    <t xml:space="preserve">National Institutes of Health (NIH) - USA; NIH National Institute of Allergy &amp; Infectious Diseases (NIAID); National Institutes of Health (NIH) - USA; NIH National Institute of Allergy &amp; Infectious Diseases (NIAID); US Food &amp; Drug Administration (FDA)</t>
  </si>
  <si>
    <t xml:space="preserve">Buchholz, UJ (corresponding author), Bldg 50,Room 6505,50 S Dr MSC 8007, Bethesda, MD 20892 USA.</t>
  </si>
  <si>
    <t xml:space="preserve">Buchholz, Ursula/AAA-4547-2022; McCarty, Tom/ABG-6003-2020; Munir, Shirin/AAA-7943-2021</t>
  </si>
  <si>
    <t xml:space="preserve">Rabin, Ronald/0000-0003-3496-0504; McCarty, Tom/0000-0001-5815-2531</t>
  </si>
  <si>
    <t xml:space="preserve">Intramural NIH HHS [Z99 AI999999] Funding Source: Medline</t>
  </si>
  <si>
    <t xml:space="preserve">Intramural NIH HHS(United States Department of Health &amp; Human ServicesNational Institutes of Health (NIH) - USA)</t>
  </si>
  <si>
    <t xml:space="preserve">10.1016/j.virol.2008.11.043</t>
  </si>
  <si>
    <t xml:space="preserve">416EW</t>
  </si>
  <si>
    <t xml:space="preserve">WOS:000263989400021</t>
  </si>
  <si>
    <t xml:space="preserve">Marsico, S; Caccuri, F; Mazzuca, P; Apostoli, P; Roversi, S; Lorenzin, G; Zani, A; Fiorentini, S; Giagulli, C; Caruso, A</t>
  </si>
  <si>
    <t xml:space="preserve">Marsico, Stefania; Caccuri, Francesca; Mazzuca, Pietro; Apostoli, Paola; Roversi, Sara; Lorenzin, Giovanni; Zani, Alberto; Fiorentini, Simona; Giagulli, Cinzia; Caruso, Arnaldo</t>
  </si>
  <si>
    <t xml:space="preserve">Human lung epithelial cells support human metapneumovirus persistence by overcoming apoptosis</t>
  </si>
  <si>
    <t xml:space="preserve">PATHOGENS AND DISEASE</t>
  </si>
  <si>
    <t xml:space="preserve">metapneumovirus; persistent infection; lung epithelial cells; Bcl-2; caspases; apoptosis</t>
  </si>
  <si>
    <t xml:space="preserve">VIRAL-INFECTIONS; POLY(ADP-RIBOSE) POLYMERASE-1; CYCLE ARREST; HOST; P53; IMMUNITY; VIRUSES; WEE1; MITOCHONDRIA; MANIPULATION</t>
  </si>
  <si>
    <t xml:space="preserve">Human metapneumovirus (hMPV) has been identified as a major cause of lower respiratory tract infection in children. Epidemiological and molecular evidence has highlighted an association between severe childhood respiratory viral infection and chronic lung diseases, such as asthma and chronic obstructive pulmonary disease. Currently, animal models have demonstrated the ability of hMPV to persist in vivo suggesting a role of the virus in asthma development in children. However, mechanisms involved in hMPV persistence in the respiratory tract are not yet understood. In the present study we monitored hMPV infection in human alveolar epithelial A549 cells in order to understand if the virus is able to persist in these cells upon acute infection. Our data show that hMPV initially induces an apoptotic process in A549 cells through poly (ADP-ribose) polymerase 1 cleavage, caspase-3/7 activation and Wee1 activity. The hMPV-infected cells were then able to overcome the apoptotic pathway and cell cycle arrest in G2/M by expressing B-cell lymphoma 2 and to acquire a reservoir cell phenotype with constant production of infectious virus. These findings provide evidence of the ability of hMPV to persist in alveolar epithelial cells and help in understanding the mechanisms responsible for hMPV persistence in the human respiratory tract.</t>
  </si>
  <si>
    <t xml:space="preserve">[Marsico, Stefania] Univ Calabria, Dept Pharm Hlth &amp; Nutr Sci, I-87036 Cosenza, Italy; [Caccuri, Francesca; Mazzuca, Pietro; Apostoli, Paola; Roversi, Sara; Lorenzin, Giovanni; Zani, Alberto; Fiorentini, Simona; Giagulli, Cinzia; Caruso, Arnaldo] Univ Brescia, Dept Mol &amp; Translat Med, Sect Microbiol, I-25123 Brescia, Italy</t>
  </si>
  <si>
    <t xml:space="preserve">University of Calabria; University of Brescia</t>
  </si>
  <si>
    <t xml:space="preserve">Caruso, A (corresponding author), Univ Brescia, Sch Med, Dept Mol &amp; Translat Med, Sect Microbiol, I-25123 Brescia, Italy.</t>
  </si>
  <si>
    <t xml:space="preserve">arnaldo.caruso@unibs.it</t>
  </si>
  <si>
    <t xml:space="preserve">Caccuri, Francesca/AAC-1281-2022; MARSICO, Stefania/J-9938-2019; Caruso, Arnaldo/H-7818-2014</t>
  </si>
  <si>
    <t xml:space="preserve">CARUSO, Arnaldo/0000-0001-5178-566X; zani, Alberto/0000-0001-9066-7973; Caccuri, Francesca/0000-0002-1923-9033; Lorenzin, Giovanni/0000-0002-3893-6088; MARSICO, Stefania/0000-0003-1598-0526</t>
  </si>
  <si>
    <t xml:space="preserve">Italian Ministry of Education, University and Research (MIUR) [2009HL28E8_001]</t>
  </si>
  <si>
    <t xml:space="preserve">Italian Ministry of Education, University and Research (MIUR)(Ministry of Education, Universities and Research (MIUR))</t>
  </si>
  <si>
    <t xml:space="preserve">This work was supported by Italian Ministry of Education, University and Research (MIUR, PRIN 2009 to SF, Prot.2009HL28E8_001). The funders had no role in study design, data collection and analysis, decision to publish, or preparation of the manuscript.</t>
  </si>
  <si>
    <t xml:space="preserve">2049-632X</t>
  </si>
  <si>
    <t xml:space="preserve">PATHOG DIS</t>
  </si>
  <si>
    <t xml:space="preserve">Pathog. Dis.</t>
  </si>
  <si>
    <t xml:space="preserve">fty013</t>
  </si>
  <si>
    <t xml:space="preserve">10.1093/femspd/fty013</t>
  </si>
  <si>
    <t xml:space="preserve">GO2CE</t>
  </si>
  <si>
    <t xml:space="preserve">WOS:000439773200012</t>
  </si>
  <si>
    <t xml:space="preserve">Choi, MJ; Song, JY; Yang, TU; Jeon, JH; Noh, JY; Hong, KW; Cheong, HJ; Kim, WJ</t>
  </si>
  <si>
    <t xml:space="preserve">Choi, Min Joo; Song, Joon Young; Yang, Tae Un; Jeon, Ji Ho; Noh, Ji Yun; Hong, Kyung Wook; Cheong, Hee Jin; Kim, Woo Joo</t>
  </si>
  <si>
    <t xml:space="preserve">Acute Myopericarditis caused by Human Metapneumovirus</t>
  </si>
  <si>
    <t xml:space="preserve">INFECTION AND CHEMOTHERAPY</t>
  </si>
  <si>
    <t xml:space="preserve">Metapneumovirus; Pericarditis; Myocarditis; Cardiovascular diseases</t>
  </si>
  <si>
    <t xml:space="preserve">MAGNETIC-RESONANCE; MYOCARDITIS; ADULTS; PNEUMOVIRUS; INFECTION; VIRUS</t>
  </si>
  <si>
    <t xml:space="preserve">Human metapneumovirus is known to be similar to respiratory syncytial virus. Because of an incomplete protective immune response to new genotypes, re-infection occurs frequently, especially in the elderly. However, the clinical manifestations of human metapneumovirus need to be further characterized in adults. A 73-year-old woman presented to the emergency room with acute dyspnea, chest discomfort and influenza-like illness. The patient was diagnosed with human metapneumovirus infection, complicated by pneumonia and myopericarditis. With supportive care including oxygen supplementation, the patient recovered completely without any serious sequelae. Human metapneumovirus infection may contribute to the development of cardiovascular manifestations, particularly in the elderly population.</t>
  </si>
  <si>
    <t xml:space="preserve">[Choi, Min Joo; Song, Joon Young; Yang, Tae Un; Jeon, Ji Ho; Noh, Ji Yun; Hong, Kyung Wook; Cheong, Hee Jin; Kim, Woo Joo] Korea Univ, Coll Med, Dept Internal Med, Div Infect Dis, Seoul, South Korea; [Song, Joon Young; Noh, Ji Yun; Cheong, Hee Jin; Kim, Woo Joo] Korea Univ, Coll Med, APII, Seoul, South Korea</t>
  </si>
  <si>
    <t xml:space="preserve">Korea University; Korea University Medicine (KU Medicine); Korea University; Korea University Medicine (KU Medicine)</t>
  </si>
  <si>
    <t xml:space="preserve">Song, JY (corresponding author), Korea Univ, Coll Med, Guro Hosp, Dept Internal Med,Div Infect Dis, 148 Gurodong Ro, Seoul 08308, South Korea.</t>
  </si>
  <si>
    <t xml:space="preserve">infection@korea.ac.kr</t>
  </si>
  <si>
    <t xml:space="preserve">Kim, Woo/D-2733-2015; Kim, Hyunho/GQH-5608-2022; Hong, Kyung-Wook/T-3067-2018</t>
  </si>
  <si>
    <t xml:space="preserve">Hong, Kyung-Wook/0000-0002-3227-9558; Cheong, Hee Jin/0000-0002-2532-1463; Song, Joon Young/0000-0002-0148-7194</t>
  </si>
  <si>
    <t xml:space="preserve">KOREAN SOC CHEMOTHERAPY</t>
  </si>
  <si>
    <t xml:space="preserve">806, SEOCHO TOWN TRAPALACE, 23 SEOCHO-DAERO 74-GIL, SEOCHO-GU, SEOUL, 06621, SOUTH KOREA</t>
  </si>
  <si>
    <t xml:space="preserve">2093-2340</t>
  </si>
  <si>
    <t xml:space="preserve">2092-6448</t>
  </si>
  <si>
    <t xml:space="preserve">INFECT CHEMOTHER</t>
  </si>
  <si>
    <t xml:space="preserve">Infect. Chemother.</t>
  </si>
  <si>
    <t xml:space="preserve">10.3947/ic.2016.48.1.36</t>
  </si>
  <si>
    <t xml:space="preserve">DU8VF</t>
  </si>
  <si>
    <t xml:space="preserve">WOS:000382492800005</t>
  </si>
  <si>
    <t xml:space="preserve">Biacchesi, S; Skiadopoulos, MH; Tran, KC; Murphy, BR; Collins, PL; Buchholz, UJ</t>
  </si>
  <si>
    <t xml:space="preserve">Recovery of human metapneumovirus from cDNA: optimization of growth in vitro and expression of additional genes</t>
  </si>
  <si>
    <t xml:space="preserve">metapneumovirus; paramyxovirus; recombinant virus; respiratory disease; vaccines; expression vector</t>
  </si>
  <si>
    <t xml:space="preserve">RESPIRATORY SYNCYTIAL VIRUS; ANTIGENOMIC PROMOTERS; TRACT INFECTIONS; RNA REPLICATION; YOUNG-CHILDREN; TRANSCRIPTION; SEQUENCE; BRONCHIOLITIS; REQUIRES; DISEASE</t>
  </si>
  <si>
    <t xml:space="preserve">Human metapneumovirus (HMPV) is a recently recognized causative agent of respiratory tract disease in individuals of all ages and especially young infants. HMPV remains poorly characterized and has been reported to replicate inefficiently in vitro. Complete consensus sequences were recently determined for two isolates representing the two proposed HMPV genetic subgroups (Biacchesi et al., Virology 315 (1) (2003) 1). We have developed a reverse genetic system to produce one of these isolates, CAN97-83, entirely from cDNA. We also recovered aversion, rHMPV-GFP, in which the enhanced green fluorescent protein (GFP)was expressed from a transcription cassette inserted as the first gene, leaving the 41-nt leader region and first 16 nt of the N gene undisturbed. The ability to monitor GFP expression in living cells greatly facilitated the initial recovery of this slow-growing virus. In addition, the ability to express a foreign gene from an engineered transcription cassette confirmed the identification of the HMPV transcription signals and identified the F gene-end signal as being highly efficient for transcription termination. The ability to recover virus containing a foreign insert in this position indicated that the viral promoter is contained within the Y-terminal 57 nt of the genome. Recombinant HMPV replicated in vitro as efficiently as biologically derived HMPV, whereas the kinetics and final yield of rHMPV-GFP were reduced several-fold. Conditions for trypsin treatment were investigated, providing for improved virus yields. Another version of HMPV, rHMPV+G1F23, was recovered that contained a second copy of the G gene and two extra copies of F in promoter-proximal positions in the order G1-F2-F3. Thus, this recombinant genome would encode 11 mRNAs rather than eight and would be 17.3 kb long, 30% longer than that of the natural virus. Nonetheless, the rHMPV+G1F23 virus replicated in vitro with an efficiency that was only modestly reduced compared to rHMPV and was essentially the same as rHMPV-GFP. Northern blot analysis showed that the increased number and promoter-proximal location of the added copies of the F and G genes resulted in a more than 6- and 14-fold increase in the expression of F and G mRNA, respectively, and sequence analysis confirmed the intactness of the added genes in recovered virus. Thus, it should be feasible to construct an HMPV vaccine virus containing extra copies of the G and F putative protective antigen genes to increase antigen expression or to provide representation of additional antigenic lineages or subgroups of HMPV. Published by Elsevier Inc.</t>
  </si>
  <si>
    <t xml:space="preserve">NIAID, Infect Dis Lab, Bldg 50,Room 6507,50 S Dr MSC 8007, Bethesda, MD 20892 USA.</t>
  </si>
  <si>
    <t xml:space="preserve">APR 10</t>
  </si>
  <si>
    <t xml:space="preserve">10.1016/j.virol.2003.12.020</t>
  </si>
  <si>
    <t xml:space="preserve">811FN</t>
  </si>
  <si>
    <t xml:space="preserve">WOS:000220757900009</t>
  </si>
  <si>
    <t xml:space="preserve">Hastings, AK; Amato, KR; Wen, SC; Peterson, LS; Williams, JV</t>
  </si>
  <si>
    <t xml:space="preserve">Hastings, Andrew K.; Amato, Katherine R.; Wen, Sherry C.; Peterson, Laura S.; Williams, John V.</t>
  </si>
  <si>
    <t xml:space="preserve">Human metapneumovirus small hydrophobic (SH) protein downregulates type I IFN pathway signaling by affecting STAT1 expression and phosphorylation</t>
  </si>
  <si>
    <t xml:space="preserve">Metapneumovirus; Paramyxovirus; Interferon; Small hydrophobic protein</t>
  </si>
  <si>
    <t xml:space="preserve">RESPIRATORY SYNCYTIAL VIRUS; V-PROTEIN; INTERFERON-ALPHA; BACTERIAL-INFECTION; CLONAL EXPANSION; EPITHELIAL-CELLS; MATRIX PROTEIN; YOUNG-CHILDREN; TRACT DISEASE; RNA HELICASE</t>
  </si>
  <si>
    <t xml:space="preserve">Type I interferon (IFN) is a key mediator of antiviral immunity. Human metapneumovirus (HMPV) inhibits IFN signaling, but does not encode homologues of known IFN antagonists. We tested the hypothesis that a specific viral protein prevents type I IFN signaling by targeting signal transducer and activator of transcription-1 (STAT1). We found that human airway epithelial cells (capable of expressing IFNs) became impaired for STAT1 phosphorylation even without direct infection due to intrinsic negative feedback. HMPV-infected Vero cells (incapable of expressing IFN) displayed lower STAT1 expression and impaired STAT1 phosphorylation in response to type I IFN treatment compared to mock-infected cells. Transient overexpression of HMPV small hydrophobic (SH) protein significantly inhibited STAT1 phosphorylation and signaling, and recombinant virus lacking SH protein was unable to inhibit STAT1 phosphorylation. Our results indicate a role for the SH protein of HMPV in the downregulation of type I IFN signaling through the targeting of STAT1. (C) 2016 Elsevier Inc. All rights reserved.</t>
  </si>
  <si>
    <t xml:space="preserve">[Hastings, Andrew K.; Wen, Sherry C.; Peterson, Laura S.] Vanderbilt Univ, Dept Pathol Microbiol &amp; Immunol, Sch Med, Nashville, TN 37232 USA; [Amato, Katherine R.] Vanderbilt Univ, Dept Canc Biol, Sch Med, Nashville, TN 37232 USA; [Williams, John V.] Univ Pittsburgh, Dept Pediat, Childrens Hosp Pittsburgh, Sch Med,Med Ctr, Pittsburgh, PA 15260 USA</t>
  </si>
  <si>
    <t xml:space="preserve">Vanderbilt University; Vanderbilt University; Pennsylvania Commonwealth System of Higher Education (PCSHE); University of Pittsburgh</t>
  </si>
  <si>
    <t xml:space="preserve">Williams, JV (corresponding author), Childrens Hosp Pittsburgh, Div Pediat Infect Dis, 4401 Penn Ave,Rangos 9122, Pittsburgh, PA 15224 USA.</t>
  </si>
  <si>
    <t xml:space="preserve">Williams, John/0000-0001-8377-5175; Peterson, Laura/0000-0002-4830-5271</t>
  </si>
  <si>
    <t xml:space="preserve">NIH for the Vanderbilt Medical Scientist Training Program [AI085062, GM007347]; Vanderbilt Ingram Cancer Center [P30 CA68485]; Vanderbilt Digestive Disease Research Center [DK058404]</t>
  </si>
  <si>
    <t xml:space="preserve">NIH for the Vanderbilt Medical Scientist Training Program; Vanderbilt Ingram Cancer Center; Vanderbilt Digestive Disease Research Center</t>
  </si>
  <si>
    <t xml:space="preserve">We thank Ursula Buchholz and Peter Collins of the Laboratory of Infectious Diseases, National Institute of Allergy and Infectious Diseases for generously providing Delta SH-HMPV virus. We thank D. Flaherty, B. Matlock, and K. Weller at the Vanderbilt Flow Cytometry Shared Resource for providing technical support and assistance with development of flow cytometry reagents. We thank J. Crowe and N. Thornburg for providing the Vero cell line. Supported by NIH AI085062 (JVW) and GM007347 for the Vanderbilt Medical Scientist Training Program (SCW). The VMC Flow Cytometry Shared Resource is supported by the Vanderbilt Ingram Cancer Center (P30 CA68485) and the Vanderbilt Digestive Disease Research Center (DK058404).</t>
  </si>
  <si>
    <t xml:space="preserve">10.1016/j.virol.2016.04.022</t>
  </si>
  <si>
    <t xml:space="preserve">DN8IA</t>
  </si>
  <si>
    <t xml:space="preserve">WOS:000377321200023</t>
  </si>
  <si>
    <t xml:space="preserve">Tollefson, SJ; Cox, RG; Williams, JV</t>
  </si>
  <si>
    <t xml:space="preserve">Tollefson, Sharon J.; Cox, Reagan G.; Williams, John V.</t>
  </si>
  <si>
    <t xml:space="preserve">Studies of culture conditions and environmental stability of human metapneumovirus</t>
  </si>
  <si>
    <t xml:space="preserve">Metapneumovirus; Paramyxovirus; Culture</t>
  </si>
  <si>
    <t xml:space="preserve">RESPIRATORY SYNCYTIAL VIRUS; OBSTRUCTIVE PULMONARY-DISEASE; DIFFERENT CELL-LINES; SHELL VIAL CULTURE; TRACT INFECTIONS; TRANSPLANT RECIPIENTS; RAPID DETECTION; CHAIN-REACTION; HONG-KONG; CHILDREN</t>
  </si>
  <si>
    <t xml:space="preserve">Human metapneumovirus (HMPV) is a paramyxovirus that is a leading cause of acute respiratory disease. HMPV is difficult to cultivate and limited published data describe the in vitro growth characteristics of the virus and its ability to replicate in different cell lines. Stability of HMPV to different temperatures or environmental conditions has not been described. Nosocomial infections due to HMPV have been reported, and thus the survival of infectious particles on environmental surfaces is important. We tested multiple cell lines for the ability to support HMPV replication both in the presence and absence of exogenous trypsin. The most permissive monkey kidney epithelial cells were LLC-MK2 and Vero, while the most permissive human airway epithelial cell line was BEAS-2B. LLC-MK2 cells were tolerant of trypsin and thus remain an ideal cell line for HMPV cultivation. Spinoculation significantly increased the infectivity of HMPV for cells in monolayer culture. Infectious virus was very stable to repeat freeze-thaw cycles, ambient room temperature, or 4 degrees C. while incubation at 37 degrees C led to degradation of virus titer. Finally, nonporous materials such as metal or plastic retained infectious virus for prolonged periods, while virus deposited on tissue and fabric rapidly lost infectivity. These findings provide guidance for laboratories attempting to culture HMPV and relevant information for infection control policies. (C) 2010 Elsevier B.V. All rights reserved.</t>
  </si>
  <si>
    <t xml:space="preserve">[Tollefson, Sharon J.; Williams, John V.] Vanderbilt Univ, Med Ctr, Sch Med, Dept Pediat, Nashville, TN 37232 USA; [Cox, Reagan G.; Williams, John V.] Vanderbilt Univ, Med Ctr, Sch Med, Dept Microbiol &amp; Immunol, Nashville, TN 37232 USA</t>
  </si>
  <si>
    <t xml:space="preserve">Vanderbilt University; Vanderbilt University</t>
  </si>
  <si>
    <t xml:space="preserve">Williams, JV (corresponding author), Vanderbilt Univ, Med Ctr, Sch Med, Dept Pediat, D-7235 Med Ctr N,1161 21st Ave S, Nashville, TN 37232 USA.</t>
  </si>
  <si>
    <t xml:space="preserve">National Institute of Allergy and Infectious Diseases; National Institutes of Health [AI-56170, AI-073697, AI-082417, 5T32AI-007611-08]</t>
  </si>
  <si>
    <t xml:space="preserve">National Institute of Allergy and Infectious Diseases(United States Department of Health &amp; Human ServicesNational Institutes of Health (NIH) - USANIH National Institute of Allergy &amp; Infectious Diseases (NIAID)); National Institutes of Health(United States Department of Health &amp; Human ServicesNational Institutes of Health (NIH) - USA)</t>
  </si>
  <si>
    <t xml:space="preserve">Financial support: Supported by grants from the National Institute of Allergy and Infectious Diseases, National Institutes of Health AI-56170, AI-073697 and AI-082417 (JVW) and 5T32AI-007611-08 (RGC). Flow Cytometry experiments were performed in the VMC Flow Cytometry Shared Resource. The VMC Flow Cytometry Shared Resource is supported by the Vanderbilt Ingram Cancer Center (P30 CA68485) and the Vanderbilt Digestive Disease Research Center (DK058404).</t>
  </si>
  <si>
    <t xml:space="preserve">10.1016/j.virusres.2010.03.018</t>
  </si>
  <si>
    <t xml:space="preserve">605JP</t>
  </si>
  <si>
    <t xml:space="preserve">WOS:000278344200008</t>
  </si>
  <si>
    <t xml:space="preserve">Hwang, H; Kim, Y; Park, JW; Jeong, SH; Kyung, SY</t>
  </si>
  <si>
    <t xml:space="preserve">Hwang, Hyunjung; Kim, Yujin; Park, Jeong-Woong; Jeong, Sung Hwan; Kyung, Sun Young</t>
  </si>
  <si>
    <t xml:space="preserve">A Retrospective Study Investigating Risks of Acute Respiratory Distress Syndrome and Mortality Following Human Metapneumovirus Infection in Hospitalized Adults</t>
  </si>
  <si>
    <t xml:space="preserve">ACUTE AND CRITICAL CARE</t>
  </si>
  <si>
    <t xml:space="preserve">metapneumovirus; mortality; nosocomial infection; respiratory distress syndrome; adult</t>
  </si>
  <si>
    <t xml:space="preserve">Background: Human metapneumovirus (hMPV) is a relatively recently identified respiratory virus that induces respiratory symptoms similar to those of respiratory syncytial virus infection in children. The characteristics of hMPV-infected adults are unclear because few cases have been reported. Methods: We conducted a retrospective review of hospitalized adult patients with a positive multiplex real-time polymerase chain reaction assay result from 2012 to 2016 at a single tertiary referral hospital in South Korea. We analyzed clinical characteristics of the enrolled patients and divided patients into an acute respiratory distress syndrome (ARDS) group and a non-ARDS group. Results: In total, 110 adults were reviewed in this study. Their mean age was 61.4 years, and the majority (n = 105, 955%) had comorbidities or were immunocompromised. Most of the patients had pneumonia on chest X-ray (n = 88, 93.6%), 22 (20.0%) had ARDS, and 12 (10.9%) expired during hospitalization. The mortality rate for patients with ARDS was higher than that of the other patients (36.4% vs. 5.7%, P = 0.001). The risk factor for hMPV-associated ARDS was heart failure (odds ratio, 5.24; P = 0.044) and laboratory values were increased blood urea nitrogen and increased C-reactive protein. The acquisition site of infection was divided into community vs. nosocomial; 43 patients (39.1%) had a nosocomial infection. The risk factors for nosocomial infection were an immunocompromised state, malignancy and immunosuppressive treatment. Conclusions: These data suggest that hMPV is one of the important respiratory pathogens important respiratory pathogen that causes pneumonia/ARDS in elderly, immunocompromised individuals and that it may be transmitted via the nosocomial route.</t>
  </si>
  <si>
    <t xml:space="preserve">[Hwang, Hyunjung; Kim, Yujin; Park, Jeong-Woong; Jeong, Sung Hwan; Kyung, Sun Young] Gachon Univ, Gil Med Ctr, Dept Internal Med, Div Pulmonol Allergy &amp; Crit Care, 21 Namdong Daero 774Beon Gil, Incheon 21565, South Korea</t>
  </si>
  <si>
    <t xml:space="preserve">Kyung, SY (corresponding author), Gachon Univ, Gil Med Ctr, Dept Internal Med, Div Pulmonol Allergy &amp; Crit Care, 21 Namdong Daero 774Beon Gil, Incheon 21565, South Korea.</t>
  </si>
  <si>
    <t xml:space="preserve">light@gilhospital.com</t>
  </si>
  <si>
    <t xml:space="preserve">Park, Jun/AAL-8733-2020</t>
  </si>
  <si>
    <t xml:space="preserve">Hwang, Hyunjung/0000-0003-3688-0962</t>
  </si>
  <si>
    <t xml:space="preserve">KOREAN SOC CRITICAL CARE MEDICINE</t>
  </si>
  <si>
    <t xml:space="preserve">806 YONG SEONG BIZTEL BLDG, 109 HANGANG-DAERO, YONGSAN-GU, SEOUL, 04376, SOUTH KOREA</t>
  </si>
  <si>
    <t xml:space="preserve">2586-6052</t>
  </si>
  <si>
    <t xml:space="preserve">2586-6060</t>
  </si>
  <si>
    <t xml:space="preserve">ACUTE CRIT CARE</t>
  </si>
  <si>
    <t xml:space="preserve">Acute Crit. Care</t>
  </si>
  <si>
    <t xml:space="preserve">10.4266/kjccm.2017.00038</t>
  </si>
  <si>
    <t xml:space="preserve">VI3TF</t>
  </si>
  <si>
    <t xml:space="preserve">WOS:000476994900009</t>
  </si>
  <si>
    <t xml:space="preserve">Martinello, RA; Esper, F; Weibel, C; Ferguson, D; Landry, ML; Kahn, JS</t>
  </si>
  <si>
    <t xml:space="preserve">Martinello, Richard A.; Esper, Frank; Weibel, Carla; Ferguson, David; Landry, Marie L.; Kahn, Jeffrey S.</t>
  </si>
  <si>
    <t xml:space="preserve">Human metapneumovirus and exacerbations of chronic obstructive pulmonary disease</t>
  </si>
  <si>
    <t xml:space="preserve">metapneumovirus; lung disease; obstructive lung disease; paramyxoviridae infection</t>
  </si>
  <si>
    <t xml:space="preserve">RESPIRATORY SYNCYTIAL VIRUS; GENETIC LINEAGES; TRACT DISEASE; PCR ASSAY; CHILDREN; IMMUNOFLUORESCENCE; BRONCHIOLITIS; INFECTIONS; INFANTS; YOUNG</t>
  </si>
  <si>
    <t xml:space="preserve">Objective: Respiratory viruses are a common trigger for exacerbations of chronic obstructive pulmonary disease (COPD). Human metapneumovirus (hMPV) is a paramyxovirus associated with respiratory tract infections and wheezing. Our aim was to determine whether hMPV was associated with exacerbations of COPD. Methods: The study was designed as an observational cohort study carried out in a 944-bed urban teaching hospital located in New Haven, Connecticut. Between December 2002 and May 2003, patients hospitalized due to an exacerbation of COPD were identified. Nasopharyngeal specimens obtained from these patients were tested for human metapneumovirus by RT-PCR and for respiratory syncytial virus, influenza A and B, parainfluenza-1, -2, and -3 and adenovirus by a cytospin-enhanced direct immunofluorescence assay and/or viral. culture. Results: Fifty individuals met enrollment criteria and hMPV was identified in 6 (12%), respiratory syncytial virus in 4 (8%), influenza A in 2 (4%) and parainfluenza type 3 in 1 (2%) patients. Both A and B hMPV genotypes were identified in patients hospitalized due to exacerbations of COPD. Conclusion: hMPV was frequently identified in patients hospitalized due to an exacerbation of COPD. Further studies are necessary to determine the epidemiology and the impact of hMPV in COPD patients. (C) 2005 The British Infection Society. Published by Elsevier Ltd. All rights reserved.</t>
  </si>
  <si>
    <t xml:space="preserve">VA Connecticut Healthcare Syst, Dept Internal Med, Infect Dis Sect, West Haven, CT 06516 USA; Yale Univ, Sch Med, Dept Internal Med, Infect Dis Sect, New Haven, CT 06520 USA; Yale Univ, Sch Med, Dept Pediat, Div Infect Dis, New Haven, CT 06520 USA; VA Connecticut Healthcare Syst, Clin Epidemiol Res Ctr, West Haven, CT 06516 USA; Yale Univ, Sch Med, Dept Lab Med, New Haven, CT 06520 USA; Yale Univ, Sch Med, Sch Epidemiol &amp; Publ Hlth, New Haven, CT 06520 USA</t>
  </si>
  <si>
    <t xml:space="preserve">US Department of Veterans Affairs; Veterans Health Administration (VHA); VA Connecticut Healthcare System; Yale University; Yale University; US Department of Veterans Affairs; Veterans Health Administration (VHA); VA Connecticut Healthcare System; Yale University; Yale University</t>
  </si>
  <si>
    <t xml:space="preserve">Martinello, RA (corresponding author), VA Connecticut Healthcare Syst, Dept Internal Med, Infect Dis Sect, 11 ACSL-G, West Haven, CT 06516 USA.</t>
  </si>
  <si>
    <t xml:space="preserve">richard.martinetto@yale.edu</t>
  </si>
  <si>
    <t xml:space="preserve">NCRR NIH HHS [M01-RR06022, M01 RR006022] Funding Source: Medline; NIAID NIH HHS [F32 AI055151, T32 AI07210-20, T32 AI007210] Funding Source: Medline</t>
  </si>
  <si>
    <t xml:space="preserve">NCRR NIH HHS(United States Department of Health &amp; Human ServicesNational Institutes of Health (NIH) - USANIH National Center for Research Resources (NCRR)); NIAID NIH HHS(United States Department of Health &amp; Human ServicesNational Institutes of Health (NIH) - USANIH National Institute of Allergy &amp; Infectious Diseases (NIAID))</t>
  </si>
  <si>
    <t xml:space="preserve">10.1016/j.jinf.2005.11.010</t>
  </si>
  <si>
    <t xml:space="preserve">095QZ</t>
  </si>
  <si>
    <t xml:space="preserve">Green Published, hybrid, Green Accepted</t>
  </si>
  <si>
    <t xml:space="preserve">WOS:000241324100005</t>
  </si>
  <si>
    <t xml:space="preserve">Liao, RS; Appelgate, DM; Pelz, RK</t>
  </si>
  <si>
    <t xml:space="preserve">Liao, Robert S.; Appelgate, Dianna M.; Pelz, Robert K.</t>
  </si>
  <si>
    <t xml:space="preserve">An outbreak of severe respiratory tract infection due to human metapneumovirus in a long-term care facility for the elderly in Oregon</t>
  </si>
  <si>
    <t xml:space="preserve">Metapneumovirus; Long-term care facility; Elderly; Outbreak</t>
  </si>
  <si>
    <t xml:space="preserve">AGE-GROUPS; ADULTS; PNEUMONIA; JAPAN; HOME</t>
  </si>
  <si>
    <t xml:space="preserve">Human metapneumovirus (hMPV) was demonstrated to be responsible for an outbreak of acute respiratory tract infection with high morbidity and mortality among residents of a long-term care facility for the elderly during the late spring-summer in Oregon. Respiratory virus infections are a common cause of death in the elderly and the burden of human metapneumovirus may be underestimated. This case report stresses the importance of hMPV in causing outbreaks in long-term care facilities for the elderly. Cough and elevated temperature were common to all the resident patient cases. Six resident patient cases had hMPV laboratory confirmation of which 5 had the diagnosis of pneumonia and 4 were hospitalized. The fatality rate was 33.3% among laboratory confirmed cases and 31.3.0% among probable resident patient cases. The signs and symptoms observed in the elderly with acute respiratory infection caused by hMPV are difficult to distinguish from those associated with other respiratory viruses and direct testing for hMPV with molecular methods should be routinely pursued to prevent nosocomial infections. (C) 2011 Elsevier B.V. All rights reserved.</t>
  </si>
  <si>
    <t xml:space="preserve">[Liao, Robert S.] PeaceHealth Labs, Springfield, OR 97477 USA; [Appelgate, Dianna M.; Pelz, Robert K.] PeaceHealth Sacred Heart Med Ctr Riverbend, Springfield, OR 97477 USA</t>
  </si>
  <si>
    <t xml:space="preserve">Liao, RS (corresponding author), PeaceHealth Labs, 123 Int Way, Springfield, OR 97477 USA.</t>
  </si>
  <si>
    <t xml:space="preserve">rliao@peacehealth.org</t>
  </si>
  <si>
    <t xml:space="preserve">10.1016/j.jcv.2011.10.010</t>
  </si>
  <si>
    <t xml:space="preserve">875XR</t>
  </si>
  <si>
    <t xml:space="preserve">WOS:000299069000017</t>
  </si>
  <si>
    <t xml:space="preserve">Mao, HW; Yang, XQ; Zhao, XD</t>
  </si>
  <si>
    <t xml:space="preserve">Mao Hua-wei; Yang Xi-qiang; Zhao Xiao-dong</t>
  </si>
  <si>
    <t xml:space="preserve">Characterization of human metapneumoviruses isolated in Chongqing, China</t>
  </si>
  <si>
    <t xml:space="preserve">metapneumovirus; isolation; phylogeny; China</t>
  </si>
  <si>
    <t xml:space="preserve">RESPIRATORY-TRACT INFECTIONS; CHILDREN; INFANTS; DISEASE; YOUNG</t>
  </si>
  <si>
    <t xml:space="preserve">Background Human metapneumovirus (hMPV) has recently been recognized as a notable respiratory pathogen in children. However, no isolation processes and only a limited understanding of hMPV epidemiology present in Chinese children are documented by far. Methods Nasopharyngeal aspirates from 86 hospitalized children with acute respiratory tract infections from December 2004 to July 2005 were inoculated onto Vero-E6 cells for hMPV isolation. Total RNA was extracted from infected cells with a cytopathic effect and then subjected to a RT-PCR amplification of the N and F genes of the hMPV. Nucleotide sequences of amplified F gene products were examined using a variation analysis with the MegAlign program and the phylogenetic tree construction using the neighbor-joining algorithm with a Phylip package. Results Six strains of hMPV were isolated from the samples during winter, spring and summer. The most common symptoms were coughing and cyanosis, and the diagnoses were bronchiolitis, bronchopneumonia, infantile asthma, or upper respiratory tract infection. All isolates were in the A2 genetic sublineage and shared a high percentage of homology with the F gene in the nucleotide (99.8%-100%) and amino acid (99.3%-100%) sequences. Conclusions This report indicates that hMPV is an important viral agent for acute respiratory tract infections present in Chongqing, China. Knowledge of phylogeny and genes will benefit the studies on the treatment and prophylaxis of hMPV infection.</t>
  </si>
  <si>
    <t xml:space="preserve">[Mao Hua-wei; Yang Xi-qiang; Zhao Xiao-dong] Chongqing Univ Med Sci, Childrens Hosp, Dept Immunol, Chongqing 400014, Peoples R China</t>
  </si>
  <si>
    <t xml:space="preserve">Zhao, XD (corresponding author), Chongqing Univ Med Sci, Childrens Hosp, Dept Immunol, Chongqing 400014, Peoples R China.</t>
  </si>
  <si>
    <t xml:space="preserve">zhao, xd/HJX-9525-2023; Mao, Huawei/C-9255-2012</t>
  </si>
  <si>
    <t xml:space="preserve">National Natural Science Foundation of China [30471839]</t>
  </si>
  <si>
    <t xml:space="preserve">This work was supported by a grant from the National Natural Science Foundation of China (No. 30471839).</t>
  </si>
  <si>
    <t xml:space="preserve">NOV 20</t>
  </si>
  <si>
    <t xml:space="preserve">10.1097/00029330-200811020-00009</t>
  </si>
  <si>
    <t xml:space="preserve">378ZQ</t>
  </si>
  <si>
    <t xml:space="preserve">WOS:000261364200009</t>
  </si>
  <si>
    <t xml:space="preserve">Sasaki, A; Suzuki, H; Saito, R; Sato, M; Sato, I; Sano, Y; Uchiyama, M</t>
  </si>
  <si>
    <t xml:space="preserve">Prevalence of human metapneumovirus and influenza virus infections among Japanese children during two successive winters</t>
  </si>
  <si>
    <t xml:space="preserve">metapneumovirus; influenza; surveillance; coinfection; epidemiology</t>
  </si>
  <si>
    <t xml:space="preserve">RESPIRATORY SYNCYTIAL VIRUS; YOUNG-CHILDREN; PCR</t>
  </si>
  <si>
    <t xml:space="preserve">Background: Human metapneumoviruses (hMPVs) are recognized as a leading cause of respiratory infections in young infants in many countries. The objective of this study was to identify links between hMPV and influenza virus infections among children with influenzalike illness. Method: This study was conducted in 2 influenza seasons (20022003 and 2003-2004) at 2 pediatric outpatient clinics in Niigata city, Japan. Nasopharyngeal swabs or aspirates were collected from influenza-like illness patients, and hMPV and influenza were detected by reverse transcription-polymerase chain reaction (RTPCR). A nucleotide sequence of 352 nucleotides segment of the IT gene was performed. Results: A total of 765 influenza viruses and 84 hMPV were identified from 1498 nasopharyngeal swabs or aspirates by virus isolation and RT-PCR, respectively. hMPV-positive rates in patients with influenza-like illness were 5.7 and 5.2% in the 2002-2003 and 2003-2004 seasons, respectively. Epidemic curves of influenza and hMPV patients showed similar patterns with peaks in February in 2 influenza seasons. hMPV infections occurred frequently in infants and school children. Approximately 46% of hMPV patients were coinfected with influenza A viruses, but those coinfected cases were not clinically distinct from the others. No coinfection with influenza B viruses was found. Phylogenetic analysis of the hMPV fusion gene sequences revealed that 2 distinct hMPV cocirculated and that completely identical strains in subgroup A were observed over 2 years. Conclusions: HMPV plays an important pathogenic role in patients with influenza-like illness in winter seasons, often in coinfections with influenza A viruses.</t>
  </si>
  <si>
    <t xml:space="preserve">Niigata Univ, Sch Med, Dept Publ Hlth, Niigata, Japan; Niigata Univ, Sch Med, Dept Pediat, Niigata, Japan; Sano Clin, Niigata, Japan; Yoiko Sato Clin, Niigata, Japan</t>
  </si>
  <si>
    <t xml:space="preserve">Niigata University; Niigata University</t>
  </si>
  <si>
    <t xml:space="preserve">Niigata Univ, Grad Sch Med &amp; Dent Sci, Div Publ Hlth, 1-757 Asahimachi Dori, Niigata 9518510, Japan.</t>
  </si>
  <si>
    <t xml:space="preserve">asammy@med.niigata-u.ac.jp</t>
  </si>
  <si>
    <t xml:space="preserve">10.1097/01.inf.0000180984.61778.1e</t>
  </si>
  <si>
    <t xml:space="preserve">976IS</t>
  </si>
  <si>
    <t xml:space="preserve">WOS:000232727500009</t>
  </si>
  <si>
    <t xml:space="preserve">Herfst, S; Fouchier, RAM</t>
  </si>
  <si>
    <t xml:space="preserve">Herfst, Sander; Fouchier, Ron A. M.</t>
  </si>
  <si>
    <t xml:space="preserve">Vaccination approaches to combat human metapneumovirus lower respiratory tract infections</t>
  </si>
  <si>
    <t xml:space="preserve">metapneumovirus; immunization; protective efficacy; vaccine; animals</t>
  </si>
  <si>
    <t xml:space="preserve">SYNCYTIAL VIRUS-INFECTION; INTERFERON SIGNAL-TRANSDUCTION; EPITHELIAL-CELLS; FUSION PROTEIN; GLYCOPROTEIN; CHIMPANZEES; INHIBITION; ATTACHMENT; INFLUENZA; RESPONSES</t>
  </si>
  <si>
    <t xml:space="preserve">Human metapneumovirus (hMPV) was discovered in 2001 as a causative agent of respiratory disease in young children, immunocompromised individuals and the elderly. Clinical signs of hMPV infection range from mild respiratory illness to bronchiolitis and pneumonia. Two main genetic lineages of hMPV that circulate worldwide were found to be antigenically different, but antibodies against the F protein, the major determinant of protection, were shown to be cross-protective. Since the discovery of hMPV in 2001, several research groups have developed vaccine candidates that may be used to protect different risk groups against hMPV-induced respiratory disease. The studies in rodent and non-human primate models look promising, but none of the vaccine candidates has been tested yet in human volunteers. Here we give an overview of the immunogenicity and protective efficacy of a variety of live attenuated, virus vectored, inactivated virus and subunit vaccines that have been tested in animal models. (C) 2007 Elsevier B.V. All rights reserved.</t>
  </si>
  <si>
    <t xml:space="preserve">[Herfst, Sander; Fouchier, Ron A. M.] Erasmus MC, Dept Virol, NL-3000 CA Rotterdam, Netherlands</t>
  </si>
  <si>
    <t xml:space="preserve">Fouchier, RAM (corresponding author), Erasmus MC, Dept Virol, POB 2040, NL-3000 CA Rotterdam, Netherlands.</t>
  </si>
  <si>
    <t xml:space="preserve">r.fouchier@erasmusmc.nl</t>
  </si>
  <si>
    <t xml:space="preserve">Herfst, Sander/HZK-7555-2023; Fouchier, Ron/A-1911-2014</t>
  </si>
  <si>
    <t xml:space="preserve">Fouchier, Ron/0000-0001-8095-2869; Herfst, Sander/0000-0001-9866-8903</t>
  </si>
  <si>
    <t xml:space="preserve">10.1016/j.jcv.2007.10.022</t>
  </si>
  <si>
    <t xml:space="preserve">WOS:000253060400010</t>
  </si>
  <si>
    <t xml:space="preserve">Piyaratna, R; Tollefson, SJ; Williams, JV</t>
  </si>
  <si>
    <t xml:space="preserve">Piyaratna, Rohith; Tollefson, Sharon J.; Williams, John V.</t>
  </si>
  <si>
    <t xml:space="preserve">Genomic analysis of four human metapneumovirus prototypes</t>
  </si>
  <si>
    <t xml:space="preserve">Metapneumovirus; Human; Metapneumovirus; Avian; Paramyxovirus; Genome</t>
  </si>
  <si>
    <t xml:space="preserve">RESPIRATORY SYNCYTIAL VIRUS; TURKEY RHINOTRACHEITIS VIRUS; CANINE-DISTEMPER VIRUS; GENE ORDER DIFFERENT; CDNA ENDS RACE; SEQUENCE-ANALYSIS; NUCLEOTIDE-SEQUENCE; FUSION PROTEIN; MESSENGER-RNA; RAPID AMPLIFICATION</t>
  </si>
  <si>
    <t xml:space="preserve">Human metapneumovirus (HMPV) is an important cause of acute respiratory illness in children. We determined the complete genome sequence of four strains of HMPV representing each of the four lineages. These sequences were compared with published HMPV genome sequences. Most genes were conserved between the genetic lineages (79.5-99.6%), though nucleotide diversity was greater than amino acid diversity, suggesting functional constraints on mutation. However, the SH and G open reading frames were more variable (mean 76.4% and 59.0% aa identity, respectively), with mostly nonsynonymous changes, suggesting selective pressure on the SH and G proteins. Gene-start regions were largely conserved between genes and viruses, while gene-end sequences were conserved between viruses but not between genes. The SH-G and G-L intergenic regions were extremely long (similar to 200 nt) and have no defined function, yet were highly conserved within major groups. These findings highlight broadly conserved regions of the HMPV genome and suggest unidentified biological roles for SH and G. (C) 2011 Elsevier B.V. All rights reserved.</t>
  </si>
  <si>
    <t xml:space="preserve">[Williams, John V.] Vanderbilt Univ, Med Ctr, Dept Pediat, Sch Med, Nashville, TN 37232 USA; [Williams, John V.] Vanderbilt Univ, Dept Microbiol &amp; Immunol, Sch Med, Nashville, TN 37232 USA</t>
  </si>
  <si>
    <t xml:space="preserve">Williams, JV (corresponding author), Vanderbilt Univ, Med Ctr, Dept Pediat, Sch Med, D-7235 Med Ctr N,1161 21st Ave S, Nashville, TN 37232 USA.</t>
  </si>
  <si>
    <t xml:space="preserve">Allergy and Infectious Diseases; National Institutes of Health [AI-085062, AI-082417]; Infectious Disease Society of America</t>
  </si>
  <si>
    <t xml:space="preserve">Allergy and Infectious Diseases(United States Department of Health &amp; Human ServicesNational Institutes of Health (NIH) - USANIH National Institute of Allergy &amp; Infectious Diseases (NIAID)); National Institutes of Health(United States Department of Health &amp; Human ServicesNational Institutes of Health (NIH) - USA); Infectious Disease Society of America</t>
  </si>
  <si>
    <t xml:space="preserve">Financial of Allergy and Infectious Diseases, National Institutes of Health AI-085062 and AI-082417 (JVW) and an Infectious Disease Society of America Research Scholarship (R.P.). Sequencing was performed in the VUMC DNA Sequencing Facility.</t>
  </si>
  <si>
    <t xml:space="preserve">10.1016/j.virusres.2011.06.014</t>
  </si>
  <si>
    <t xml:space="preserve">826HQ</t>
  </si>
  <si>
    <t xml:space="preserve">WOS:000295345600025</t>
  </si>
  <si>
    <t xml:space="preserve">Kamau, E; Oketch, JW; de Laurent, ZR; Phan, MVT; Agoti, CN; Nokes, DJ; Cotten, M</t>
  </si>
  <si>
    <t xml:space="preserve">Kamau, Everlyn; Oketch, John W.; de Laurent, Zaydah R.; Phan, My V. T.; Agoti, Charles N.; Nokes, D. James; Cotten, Matthew</t>
  </si>
  <si>
    <t xml:space="preserve">Whole genome sequencing and phylogenetic analysis of human metapneumovirus strains from Kenya and Zambia</t>
  </si>
  <si>
    <t xml:space="preserve">BMC GENOMICS</t>
  </si>
  <si>
    <t xml:space="preserve">Metapneumovirus; Genome; Diversity</t>
  </si>
  <si>
    <t xml:space="preserve">RESPIRATORY SYNCYTIAL VIRUS; SEVERE PNEUMONIA; VIRAL ETIOLOGY; CHILDREN; INFECTIONS</t>
  </si>
  <si>
    <t xml:space="preserve">BackgroundHuman metapneumovirus (HMPV) is an important cause of acute respiratory illness in young children. Whole genome sequencing enables better identification of transmission events and outbreaks, which is not always possible with sub-genomic sequences.ResultsWe report a 2-reaction amplicon-based next generation sequencing method to determine the complete genome sequences of five HMPV strains, representing three subgroups (A2, B1 and B2), directly from clinical samples. In addition to reporting five novel HMPV genomes from Africa we examined genetic diversity and sequence patterns of publicly available HMPV genomes. We found that the overall nucleotide sequence identity was 71.3 and 80% for HMPV group A and B, respectively, the diversity between HMPV groups was greater at amino acid level for SH and G surface protein genes, and multiple subgroups co-circulated in various countries. Comparison of sequences between HMPV groups revealed variability in G protein length (219 to 241 amino acids) due to changes in the stop codon position. Genome-wide phylogenetic analysis showed congruence with the individual gene sequence sets except for F and M2 genes.ConclusionThis is the first genomic characterization of HMPV genomes from African patients.</t>
  </si>
  <si>
    <t xml:space="preserve">[Kamau, Everlyn; Oketch, John W.; de Laurent, Zaydah R.; Agoti, Charles N.; Nokes, D. James] KEMRI Wellcome Trust Res Programme, Kilifi, Kenya; [Phan, My V. T.] Erasmus MC, Dept Virosci, Rotterdam, Netherlands; [Nokes, D. James] Univ Warwick, Sch Life Sci, Coventry, W Midlands, England; [Nokes, D. James] Univ Warwick, Zeeman Inst, Coventry, W Midlands, England; [Cotten, Matthew] MRC UVRI &amp; LSHTM Uganda Res Unit, Entebbe, Uganda; [Cotten, Matthew] Univ Glasgow, MRC, Ctr Virus Res, Glasgow, Lanark, Scotland</t>
  </si>
  <si>
    <t xml:space="preserve">Erasmus University Rotterdam; Erasmus MC; University of Warwick; University of Warwick; University of Glasgow</t>
  </si>
  <si>
    <t xml:space="preserve">Kamau, E (corresponding author), KEMRI Wellcome Trust Res Programme, Kilifi, Kenya.</t>
  </si>
  <si>
    <t xml:space="preserve">ekamau@kemri-wellcome.org</t>
  </si>
  <si>
    <t xml:space="preserve">; Agoti, Charles Nyaigoti/KQL-9653-2024</t>
  </si>
  <si>
    <t xml:space="preserve">Cotten, Matthew/0000-0002-3361-3351; Oketch, John/0000-0002-8020-0787; de Laurent, Zaydah/0000-0002-2619-0856; Nokes, James/0000-0001-5426-1984; Agoti, Charles Nyaigoti/0000-0002-2160-567X; Phan, My VT/0000-0002-6905-8513</t>
  </si>
  <si>
    <t xml:space="preserve">Wellcome Trust [102975]; Marie Sklodowska-Curie Individual Fellowship - European Union's Horizon 2020 research and innovation programme [799417]; Marie Curie Actions (MSCA) [799417] Funding Source: Marie Curie Actions (MSCA)</t>
  </si>
  <si>
    <t xml:space="preserve">Wellcome Trust(Wellcome Trust); Marie Sklodowska-Curie Individual Fellowship - European Union's Horizon 2020 research and innovation programme; Marie Curie Actions (MSCA)(Marie Curie Actions)</t>
  </si>
  <si>
    <t xml:space="preserve">This research was funded by the Wellcome Trust grant number 102975. My V.T. Phan is supported by Marie Sklodowska-Curie Individual Fellowship, funded by European Union's Horizon 2020 research and innovation programme (grant agreement No 799417). The funding bodies played no role in the design of the study and collection, analysis, and interpretation of data and in writing the manuscript.</t>
  </si>
  <si>
    <t xml:space="preserve">1471-2164</t>
  </si>
  <si>
    <t xml:space="preserve">BMC Genomics</t>
  </si>
  <si>
    <t xml:space="preserve">10.1186/s12864-019-6400-z</t>
  </si>
  <si>
    <t xml:space="preserve">Biotechnology &amp; Applied Microbiology; Genetics &amp; Heredity</t>
  </si>
  <si>
    <t xml:space="preserve">KL1CF</t>
  </si>
  <si>
    <t xml:space="preserve">WOS:000513168400004</t>
  </si>
  <si>
    <t xml:space="preserve">Godet, C; Le Goff, J; Beby-Defaux, A; Robin, M; Raffoux, E; Arnulf, B; Roblot, F; Frat, JP; Maillard, N; Tazi, A; Bergeron, A</t>
  </si>
  <si>
    <t xml:space="preserve">Godet, Cendrine; Le Goff, Jerome; Beby-Defaux, Agnes; Robin, Marie; Raffoux, Emmanuel; Arnulf, Bertrand; Roblot, France; Frat, Jean Pierre; Maillard, Natacha; Tazi, Abdellatif; Bergeron, Anne</t>
  </si>
  <si>
    <t xml:space="preserve">Human metapneumovirus pneumonia in patients with hematological malignancies</t>
  </si>
  <si>
    <t xml:space="preserve">Metapneumovirus; Emerging virus; Respiratory infection; Immunocompromised; Hematological patients</t>
  </si>
  <si>
    <t xml:space="preserve">RESPIRATORY-TRACT INFECTIONS; SYNCYTIAL VIRUS; RECIPIENTS; PCR</t>
  </si>
  <si>
    <t xml:space="preserve">Background: Human metapneumovirus (HMPV) has recently emerged as a cause of respiratory infections in hematological patients. Clinical data are lacking to guide the management of HMPV pneumonias. Objectives: To characterize the clinical and radiographic presentation and outcome of HMPV pneumonias diagnosed in hematological patients. Study design: We screened the patients with a positive HMPV respiratory test in two French teaching hospitals between 2007 and 2011. Among them, the medical charts from the hematological patients who presented with HMPV pneumonia were reviewed. Results: Among the 54 patients with several underlying hematological conditions who were positive for HMPV, we found 13 cases of HMPV pneumonias. HMPV could be the cause of pneumonia as a single pathogen without associated upper respiratory infection. Centrilobular nodules were constant on lung computed tomography scans. No patients died despite the absence of administration of antiviral treatments. Conclusions: Our data provide further insights in the diagnosis and management of HMPV pneumonias in this setting. (C) 2014 Published by Elsevier B.V.</t>
  </si>
  <si>
    <t xml:space="preserve">[Godet, Cendrine; Roblot, France] CHU Poitiers, Serv Malad Infect &amp; Med Interne, Poitiers, France; [Le Goff, Jerome] Univ Paris Diderot, Hop St Louis, AP HP, Microbiol Lab,Sorbonne Paris Cite, Paris, France; [Beby-Defaux, Agnes] Univ Poitiers, CHU Poitiers, Serv Virol, Poitiers, France; [Robin, Marie] Univ Paris Diderot, Hop St Louis, AP HP, Serv Hematol Greffe, Paris, France; [Raffoux, Emmanuel] Univ Paris Diderot, Hop St Louis, AP HP, Paris, France; [Arnulf, Bertrand] Univ Paris Diderot, Hop St Louis, AP HP, Serv Immunohematol, Paris, France; [Frat, Jean Pierre] CHU Poitiers, Serv Reanimat Med, Poitiers, France; [Maillard, Natacha] CHU Poitiers, Serv Hematol, Poitiers, France; [Tazi, Abdellatif; Bergeron, Anne] Univ Paris Diderot, Sorbonne Paris Cite, Biostat &amp; Clin Epidemiol Res Team ECSTRA, INSERM,UMR 1153, Paris, France; [Tazi, Abdellatif; Bergeron, Anne] Hop St Louis, AP HP, Serv Pneumol, F-75010 Paris, France</t>
  </si>
  <si>
    <t xml:space="preserve">CHU Poitiers; Universite de Poitiers; Assistance Publique Hopitaux Paris (APHP); Universite Paris Cite; Hopital Universitaire Saint-Louis - APHP; CHU Poitiers; Universite de Poitiers; Universite Paris Cite; Assistance Publique Hopitaux Paris (APHP); Hopital Universitaire Saint-Louis - APHP; Assistance Publique Hopitaux Paris (APHP); Universite Paris Cite; Hopital Universitaire Saint-Louis - APHP; Assistance Publique Hopitaux Paris (APHP); Universite Paris Cite; Hopital Universitaire Saint-Louis - APHP; Universite de Poitiers; CHU Poitiers; CHU Poitiers; Universite de Poitiers; Institut National de la Sante et de la Recherche Medicale (Inserm); Universite Paris Cite; Assistance Publique Hopitaux Paris (APHP); Universite Paris Cite; Hopital Universitaire Saint-Louis - APHP</t>
  </si>
  <si>
    <t xml:space="preserve">Bergeron, A (corresponding author), Hop St Louis, Serv Pneumol, 1 Ave Claude Vellefaux, F-75475 Paris 10, France.</t>
  </si>
  <si>
    <t xml:space="preserve">anne.bergeron@sls.aphp.fr</t>
  </si>
  <si>
    <t xml:space="preserve">Bergeron, Anne/HNS-7099-2023; LeGoff, Jerome/B-3447-2016</t>
  </si>
  <si>
    <t xml:space="preserve">Robin, Marie/0000-0003-1388-9876; LeGoff, Jerome/0000-0001-7111-1865; Bergeron, Anne/0000-0003-2156-254X; Roblot, France/0000-0003-4325-023X</t>
  </si>
  <si>
    <t xml:space="preserve">10.1016/j.jcv.2014.08.019</t>
  </si>
  <si>
    <t xml:space="preserve">AU4KO</t>
  </si>
  <si>
    <t xml:space="preserve">WOS:000345579900020</t>
  </si>
  <si>
    <t xml:space="preserve">Chung, JY; Han, TH; Kim, LE; Kim, CK; Kim, SW; Hwang, ES</t>
  </si>
  <si>
    <t xml:space="preserve">Chung, Ju Young; Han, Tae Hee; Kim, Lyung Eui; Kim, Chang Keun; Kim, Sang Woo; Hwang, Eung-Soo</t>
  </si>
  <si>
    <t xml:space="preserve">Human metapneumovirus infection in hospitalized children with acute respiratory disease in Korea</t>
  </si>
  <si>
    <t xml:space="preserve">metapneumovirus; child; respiratory tract infections; Korea</t>
  </si>
  <si>
    <t xml:space="preserve">TRACT INFECTIONS; SYNCYTIAL-VIRUS; FRENCH CHILDREN; YOUNG-CHILDREN; SEQUENCE; INFANTS</t>
  </si>
  <si>
    <t xml:space="preserve">Human metapneumovirus (hMPV) is a recently isolated virus, mostly associated with acute lower respiratory infection in children, of which symptoms are similar to those of respiratory syncytial virus (RSV) infection. The aim of our study was to determine the frequency of hMPV in hospitalized children with acute respiratory tract disease in Korea. Nasal aspirates from hospitalized children with respiratory infections under 15 yr old between December 2003 and February 2005 were included in the study. Each sample was analyzed for RSV, adenovirus, influenza virus A and 13, and parainfluenza virus by indirect fluorescent assay (IFA). F-gene sequences were used for PCR for the detection and sequencing of hMPV. In total 381 samples, negative samples in which any viral pathogen could not be identified by IFA were 231 cases. hMPV was detected using reverse transcriptase-PCR (RT-PCR) in 28 of 231 (12.1%) children who were not infected with another respiratory viruses. The hMPV-infected children were diagnosed as having pneumonia, bronchiolitis, bronchial asthma exacerbation, croup, and upper respiratory tract infection. Most of the RT-PCR positive samples for hMPV were collected in winter season. These results suggest that hMPV may be a responsible pathogen causing acute respiratory tract infection in Korean children.</t>
  </si>
  <si>
    <t xml:space="preserve">Inje Univ, Coll Med, Dept Pediat &amp; Diagnost Lab Med, Sanggyepaik Hosp, Seoul 139707, South Korea; Seoul Natl Univ, Coll Med, Dept Microbiol &amp; Immunol, Seoul, South Korea</t>
  </si>
  <si>
    <t xml:space="preserve">Kim, SW (corresponding author), Inje Univ, Coll Med, Dept Pediat, Sanggyepaik Hosp, 761-1 Sanggye 7 Dong, Seoul 139707, South Korea.</t>
  </si>
  <si>
    <t xml:space="preserve">imswk@sanggyepaik.ac.kr</t>
  </si>
  <si>
    <t xml:space="preserve">Kim, Byung Eui/0000-0003-4923-1814; HAN, TAE HEE/0000-0002-9063-4052; Hwang, Eung Soo/0000-0001-9562-4577</t>
  </si>
  <si>
    <t xml:space="preserve">10.3346/jkms.2006.21.5.838</t>
  </si>
  <si>
    <t xml:space="preserve">099KI</t>
  </si>
  <si>
    <t xml:space="preserve">WOS:000241592800011</t>
  </si>
  <si>
    <t xml:space="preserve">Caracciolo, S; Minini, C; Colombrita, D; Rossi, D; Miglietti, N; Vettore, E; Caruso, A; Fiorentini, S</t>
  </si>
  <si>
    <t xml:space="preserve">Caracciolo, Sonia; Minini, Chiara; Colombrita, Domenico; Rossi, Daniele; Miglietti, Nunzia; Vettore, Emanuela; Caruso, Arnaldo; Fiorentini, Simona</t>
  </si>
  <si>
    <t xml:space="preserve">Human metapneumovirus infection in young children hospitalized with acute respiratory tract disease - Virologic and clinical features</t>
  </si>
  <si>
    <t xml:space="preserve">metapneumovirus; acute respiratory infection; seasonality; sublineages</t>
  </si>
  <si>
    <t xml:space="preserve">TRANSCRIPTASE PCR ASSAY; C-REACTIVE PROTEIN; SYNCYTIAL VIRUS; GENETIC DIVERSITY; INFANTS; PROCALCITONIN; DIAGNOSIS; SEVERITY; IMPACT</t>
  </si>
  <si>
    <t xml:space="preserve">Background: Human metapneumovirus (hMPV) is an emerging virus associated with acute respiratory tract infections (ARIs) in young children. Objectives: To evaluate virologic and clinical features of hMPV infection during 2 consecutive winter-spring seasons. Methods: Nasal washes were obtained from children younger than 5 years of age hospitalized for ARI. Specimens were tested for hMPV by reverse transcription-polymerase chain reaction. The hMPV F gene amplification products were sequenced, and phylogenetic trees were constructed. Results: A high incidence of hMPV infection (25.3%) was observed during the 2005-2006 winter-spring season, whereas a much lower rate of infection (4.7%) during the following season was found. Phylogenetic analysis revealed that, during the 2 seasons, 60.4% of the hMPV detected were A2a, 22.9% were A2b, 4.2% were B1, and 12.5% were B2. hMPV A1 strains were not detected in any tested specimen. Clinical diagnosis was bronchiolitis in 57.1%; pneumonia in 25%; and a upper respiratory tract illness in 17.8%. Bronchiolitis was more frequent in children less than 1 year of age (80%) than in children more than 1 year of age (30.8%) (P &lt; 0.05). When hMPV was found frequently, the hMPV spread overlapped with that of respiratory syncytial virus (RSV) and hMPV/RSV coinfections were common events (19 of 39; 48.7%). hMPV/RSV-coinfected children developed pneumonia more frequently than hMPV-infected patients (57.9% versus 20%) but no differences in disease severity (gauged by duration of hospitalization and requirement of oxygen) were observed. Conclusions: These results provide further evidence of the importance of hMPV as a pathogen associated with ARI in young children. Involvement of hMPV/RSV coinfection in cases of pneumonia is suspected.</t>
  </si>
  <si>
    <t xml:space="preserve">[Caracciolo, Sonia; Minini, Chiara; Colombrita, Domenico; Rossi, Daniele; Caruso, Arnaldo; Fiorentini, Simona] Univ Brescia, Sch Med, Microbiol Sect, Dept Expt &amp; Appl Med, I-25123 Brescia, Italy; [Miglietti, Nunzia; Vettore, Emanuela] Brescia Civic Hosp, Pediat Unit, Brescia, Italy</t>
  </si>
  <si>
    <t xml:space="preserve">University of Brescia; Hospital Spedali Civili Brescia</t>
  </si>
  <si>
    <t xml:space="preserve">Fiorentini, S (corresponding author), Univ Brescia, Sch Med, Microbiol Sect, Dept Expt &amp; Appl Med, Piazzale Spedali Civili 1, I-25123 Brescia, Italy.</t>
  </si>
  <si>
    <t xml:space="preserve">Caruso, Arnaldo/H-7818-2014</t>
  </si>
  <si>
    <t xml:space="preserve">CARUSO, Arnaldo/0000-0001-5178-566X; FIORENTINI, SIMONA/0000-0002-1866-314X</t>
  </si>
  <si>
    <t xml:space="preserve">10.1097/INF.0b013e318162a164</t>
  </si>
  <si>
    <t xml:space="preserve">296HN</t>
  </si>
  <si>
    <t xml:space="preserve">WOS:000255534200006</t>
  </si>
  <si>
    <t xml:space="preserve">Dogan, L; Akinci, C; Sarikaya, ZT; Kaya, HSD; Zengin, R; Mammadov, O; Ilksoz, A; Özdemir, IK; Eren, MY; Afsar, N; Kocagöz, S; Akinci, IÖ</t>
  </si>
  <si>
    <t xml:space="preserve">Dogan, Lerzan; Akinci, Canan; Sarikaya, Zeynep Tugce; Kaya, Hande Simten Demirel; Zengin, Rehile; Mammadov, Orkhan; Ilksoz, Aylin; Ozdemir, Ilkay Kisa; Eren, Meltem Yonca; Afsar, Nazire; Kocagoz, Sesin; Akinci, Ibrahim Ozkan</t>
  </si>
  <si>
    <t xml:space="preserve">Human Metapneumovirus Infection in Adults as the Differential Diagnosis of COVID-19</t>
  </si>
  <si>
    <t xml:space="preserve">TURKISH JOURNAL OF INTENSIVE CARE-TURK YOGUN BAKIM DERGISI</t>
  </si>
  <si>
    <t xml:space="preserve">Metapneumovirus infection; acute respiratory infections; neurological involvement; wide respiratory screening</t>
  </si>
  <si>
    <t xml:space="preserve">Human metapneumovirus (HMPV) is a respiratory tract virus identified 18 years prior to severe acute respiratory syndrome coronavirus-2. Both viruses cause acute respiratory failure characterised by a rapid onset of widespread inflammation in the lungs with clinical symptoms similar to those reported for other viral respiratory lung infections. HMPV, more generally known as childhood viral infection, causes mild and self-limiting infections in the majority of adults, but clinical courses can be complicated in risky groups and associated morbidity and mortality are considerable. Moreover, adults are not regularly screened for HMPV and the prevalence of adult HMPV infections in Turkey is unknown, with previous reports in the paediatric population. This should always be kept in mind during the coronavirus disease-2019 pandemic, particularly when neurological complications are added to respiratory findings. In our study, two adult cases of HMPV pneumonia and encephalitis have been recorded.</t>
  </si>
  <si>
    <t xml:space="preserve">[Dogan, Lerzan; Sarikaya, Zeynep Tugce; Kaya, Hande Simten Demirel; Mammadov, Orkhan; Ilksoz, Aylin; Ozdemir, Ilkay Kisa; Akinci, Ibrahim Ozkan] Acibadem Altunizade Hosp, Clin Intens Care, Istanbul, Turkey; [Akinci, Canan; Eren, Meltem Yonca] Acibadem Fulya Hosp, Clin Intens Care, Istanbul, Turkey; [Zengin, Rehile; Kocagoz, Sesin] Acibadem Altunizade Hosp, Clin Infect Dis &amp; Clin Microbiol, Istanbul, Turkey; [Afsar, Nazire; Kocagoz, Sesin] Acibadem Mehmet Ali Aydinlar Univ, Istanbul, Turkey; [Afsar, Nazire] Acibadem Altunizade Hosp, Clin Neurol, Istanbul, Turkey</t>
  </si>
  <si>
    <t xml:space="preserve">Acibadem Hospitals Group; Acibadem Hospitals Group; Acibadem Hospitals Group; Acibadem University; Acibadem Hospitals Group</t>
  </si>
  <si>
    <t xml:space="preserve">Dogan, L (corresponding author), Acibadem Altunizade Hosp, Clin Gen Intens Care Unit, Istanbul, Turkey.</t>
  </si>
  <si>
    <t xml:space="preserve">lredzheb@gmail.com</t>
  </si>
  <si>
    <t xml:space="preserve">; Afsar, Nazire/S-8639-2016; Mammadov, Orkhan/AAV-8204-2021</t>
  </si>
  <si>
    <t xml:space="preserve">Zengin, Rehile/0000-0001-7457-0952; Ilksoz, Aylin/0000-0003-2336-8142; Demirel Kaya, Hande Simten/0000-0002-9618-5681; Sarikaya, Zeynep Tugce/0000-0002-1352-7667; Dogan, Lerzan/0000-0002-1456-4072; Afsar, Nazire/0000-0001-8123-8560; Mammadov, Orkhan/0000-0001-7648-2948</t>
  </si>
  <si>
    <t xml:space="preserve">GALENOS YAYINCILIK</t>
  </si>
  <si>
    <t xml:space="preserve">FINDIKZADE</t>
  </si>
  <si>
    <t xml:space="preserve">MOLLA GURANI MAHALLESI KACAMAK SOKAK NO 21, FINDIKZADE, ISTANBUL 34093, TURKEY</t>
  </si>
  <si>
    <t xml:space="preserve">2602-2974</t>
  </si>
  <si>
    <t xml:space="preserve">TURK J INTENS CARE</t>
  </si>
  <si>
    <t xml:space="preserve">Turk. J. Intens. Care</t>
  </si>
  <si>
    <t xml:space="preserve">10.4274/tybd.galenos.2020.62207</t>
  </si>
  <si>
    <t xml:space="preserve">SL9VC</t>
  </si>
  <si>
    <t xml:space="preserve">WOS:000657261400006</t>
  </si>
  <si>
    <t xml:space="preserve">Zhou, JJ; Ding, WC; Liu, YC; Gao, YL; Xu, L; Geng, RL; Ye, Y; Chai, YF</t>
  </si>
  <si>
    <t xml:space="preserve">Zhou, Jing-Jiang; Ding, Wei-Chao; Liu, Yan-Cun; Gao, Yu-Lei; Xu, Lei; Geng, Run-Lu; Ye, Ying; Chai, Yan-Fen</t>
  </si>
  <si>
    <t xml:space="preserve">Diagnostic Value of Metagenomic Next-Generation Sequencing for Pulmonary Infection in Intensive Care Unit and Non-Intensive Care Unit Patients</t>
  </si>
  <si>
    <t xml:space="preserve">metagenomic next-generation sequencing; intensive care unit; diagnosis; pulmonary infection; immunocompromised patients</t>
  </si>
  <si>
    <t xml:space="preserve">HUMAN METAPNEUMOVIRUS; VIRUS; REACTIVATION; PREVALENCE; FEATURES</t>
  </si>
  <si>
    <t xml:space="preserve">ObjectiveTo evaluate the diagnostic performance of metagenomic next-generation sequencing (mNGS) and culture in pathogen detection among intensive care unit (ICU) and non-ICU patients with suspected pulmonary infection. MethodsIn this prospective study, sputum samples were collected from patients with suspected pulmonary infection for 2 consecutive days and then subjected to DNA or RNA sequencing by mNGS or culture; 62 ICU patients and 60 non-ICU patients were admitted. In the end, comparisons were made on the pathogen species identified by mNGS and culture, the overall performance of these two methods in pathogen detection, and the most common pathogens detected by mNGS between the ICU and non-ICU groups. ResultsIn DNA and RNA sequencing, the positive rate of pathogen detection reached 96.69% (117/121) and 96.43% (108/112), respectively. In culture tests, the positive rate of the pathogen was 39.34% (48/122), much lower than that of DNA and RNA sequencing. In general, the positive rate of pathogen detection by sputum mNGS was significantly higher than that of sputum culture in the total and non-ICU groups (p &lt; 0.001) but did not show a significant difference when compared to the result of sputum culture in the ICU group (p = 0.08). Haemophilus spp., Candida albicans, Enterococcus spp., and viruses from the mNGS results were excluded before comparing the overall performance of these two methods in pathogen detection. Specifically, among the 10 most common bacteria implied from the mNGS results, significant differences were observed in the number of cases of Haemophilus parainfluenzae, Acinetobacter baumannii, Klebsiella pneumoniae, Pseudomonas aeruginosa, Stenotrophomonas maltophilia, Staphylococcus aureus, and Enterococcus faecalis between the ICU and non-ICU groups (p &lt; 0.05). ConclusionsThis study demonstrated the superiority of mNGS over culture in detecting all kinds of pathogen species in sputum samples. These results indicate that mNGS may serve as a valuable tool to identify pathogens, especially for ICU patients who are more susceptible to mixed infections.</t>
  </si>
  <si>
    <t xml:space="preserve">[Zhou, Jing-Jiang; Liu, Yan-Cun; Gao, Yu-Lei; Chai, Yan-Fen] Tianjin Med Univ, Gen Hosp, Dept Emergency Med, Tianjin, Peoples R China; [Zhou, Jing-Jiang; Ding, Wei-Chao; Xu, Lei; Geng, Run-Lu; Ye, Ying] Xuzhou Med Univ, Affiliated Hosp, Dept Emergency Med, Xuzhou, Peoples R China</t>
  </si>
  <si>
    <t xml:space="preserve">Tianjin Medical University; Xuzhou Medical University</t>
  </si>
  <si>
    <t xml:space="preserve">Chai, YF (corresponding author), Tianjin Med Univ, Gen Hosp, Dept Emergency Med, Tianjin, Peoples R China.;Ye, Y (corresponding author), Xuzhou Med Univ, Affiliated Hosp, Dept Emergency Med, Xuzhou, Peoples R China.</t>
  </si>
  <si>
    <t xml:space="preserve">Yang, Lihong/AAA-6213-2019; Zhou, JingJiang/LWK-2789-2024; Liu, Yan-Cun/AAQ-9712-2021</t>
  </si>
  <si>
    <t xml:space="preserve">National Natural Science Foundation of China; [81871593]</t>
  </si>
  <si>
    <t xml:space="preserve">National Natural Science Foundation of China(National Natural Science Foundation of China (NSFC));</t>
  </si>
  <si>
    <t xml:space="preserve">Funding This work was supported by the National Natural Science Foundation of China (No.81871593).</t>
  </si>
  <si>
    <t xml:space="preserve">10.3389/fcimb.2022.929856</t>
  </si>
  <si>
    <t xml:space="preserve">4E5OW</t>
  </si>
  <si>
    <t xml:space="preserve">WOS:000847875600001</t>
  </si>
  <si>
    <t xml:space="preserve">Wei, YP; Zhang, TQ; Ma, YT; Yan, JS; Zhan, JH; Zheng, J; Xu, YS</t>
  </si>
  <si>
    <t xml:space="preserve">Wei, Yupeng; Zhang, Tongqiang; Ma, Yuting; Yan, Jisi; Zhan, Jianghua; Zheng, Jun; Xu, Yongsheng</t>
  </si>
  <si>
    <t xml:space="preserve">Clinical Evaluation of Metagenomic Next-Generation Sequencing for the detection of pathogens in BALF in severe community acquired pneumonia</t>
  </si>
  <si>
    <t xml:space="preserve">Metagenomic next-generation sequencing (mNGS); Serious community acquired pneumonia (SCAP); Bronchoalveolar lavage fluid (BALF); Children; Pathogen</t>
  </si>
  <si>
    <t xml:space="preserve">DIAGNOSIS; CHILDREN</t>
  </si>
  <si>
    <t xml:space="preserve">BackgroundRapid and accurate identification of pathogens is very important for the treatment of Severe community-acquired pneumonia (SCAP) in children. Metagenomic Next-generation sequencing (mNGS) has been applied in the detection of pathogenic bacteria in recent years, while the overall evaluation the application of SCAP in children is lacking.MethodsIn our study, 84 cases of SCAP were enrolled. Bronchoalveolar lavage fluid (BALF) samples were analysed using mNGS; and sputum, blood, and BALF samples were analysed using conventional technology (CT).ResultsAmong the 84 children, 41 were boys, and 43 were girls, with an average age ranging from 2 months to 14 years. The pathogen detection rate of mNGS was higher than that of CT (83.3% [70/84] vs. 63.1% [53/84], P = 0.003). The mNGS was much greater than that of the CT in detecting Streptococcus pneumoniae (89.2% [25/29] vs. 44.8% [13/29], P = 0.001) and Haemophilus influenzae (91.7% [11/12] vs. 33.3% [4/12], P &lt; 0.005). The mNGS also showed superior fungal detection performance compared with that of the CT (81.8% [9/11] vs. 18.2% [2/11], P = 0.004). The mNGS test can detect viruses, such as bocavirus, rhinovirus, and human metapneumovirus, which are not frequently recognised using CT. However, the mNGS detection rate was lower than that of the CT (52.4% [11/21] vs. 95.2% [20/21], P = 0.004) for Mycoplasma pneumoniae (MP). The detection rate of mNGS for mixed infection was greater than that of the CT, although statistical significance was not observed (26.3% [20/39] vs. 21.1% [16/39], P &gt; 0.005). Treatment for 26 (31.0%) children was changed based on mNGS results, and their symptoms were reduced; nine patients had their antibiotic modified, five had antibiotics added, nine had their antifungal medication, and seven had their antiviral medication.ConclusionmNGS has unique advantages in the detection of SCAP pathogens in children, especially S. pneumoniae, H. influenzae, and fungi. However, the detection rate of MP using mNGS was lower than that of the CT. Additionally, mNGS can detect pathogens that are not generally covered by CT, which is extremely important for the modification of the treatment strategy.</t>
  </si>
  <si>
    <t xml:space="preserve">[Wei, Yupeng; Zhang, Tongqiang; Ma, Yuting; Yan, Jisi] Tianjin Med Univ, Clin Sch Paediat, Tianjin, Peoples R China; [Wei, Yupeng; Zhang, Tongqiang; Yan, Jisi; Xu, Yongsheng] Tianjin Univ, Tianjin Childrens Hosp, Dept Resp Med, Childrens Hosp, Tianjin, Peoples R China; [Wei, Yupeng; Yan, Jisi; Zheng, Jun] Tianjin Cent Hosp Gynecol Obstet, Dept Neonatol, Tianjin, Peoples R China; [Ma, Yuting] Tianjin Univ, Tianjin Childrens Hosp, Dept Infect, Childrens Hosp, Tianjin, Peoples R China; [Zhan, Jianghua] Tianjin Univ, Tianjin Childrens Hosp, Dept Pediat Surg, Childrens Hosp, Tianjin, Peoples R China</t>
  </si>
  <si>
    <t xml:space="preserve">Tianjin Medical University; Tianjin University; Tianjin University; Tianjin University</t>
  </si>
  <si>
    <t xml:space="preserve">Xu, YS (corresponding author), Tianjin Univ, Tianjin Childrens Hosp, Dept Resp Med, Childrens Hosp, Tianjin, Peoples R China.;Zheng, J (corresponding author), Tianjin Cent Hosp Gynecol Obstet, Dept Neonatol, Tianjin, Peoples R China.;Zhan, JH (corresponding author), Tianjin Univ, Tianjin Childrens Hosp, Dept Pediat Surg, Childrens Hosp, Tianjin, Peoples R China.</t>
  </si>
  <si>
    <t xml:space="preserve">zhanjianghuatj@163.com; zhengjun.1964@163.com; xxyyss@126.com</t>
  </si>
  <si>
    <t xml:space="preserve">Yan, Jisi/HWR-6070-2023; Xu, Yongsheng/AAT-2813-2020</t>
  </si>
  <si>
    <t xml:space="preserve">FEB 18</t>
  </si>
  <si>
    <t xml:space="preserve">10.1186/s13052-023-01431-w</t>
  </si>
  <si>
    <t xml:space="preserve">9B1TN</t>
  </si>
  <si>
    <t xml:space="preserve">WOS:000934527000001</t>
  </si>
  <si>
    <t xml:space="preserve">Manoha, C; Bour, JB; Pitoiset, C; Darniot, M; Aho, S; Pothier, P</t>
  </si>
  <si>
    <t xml:space="preserve">Manoha, C.; Bour, J. B.; Pitoiset, C.; Darniot, M.; Aho, S.; Pothier, P.</t>
  </si>
  <si>
    <t xml:space="preserve">Rapid and sensitive detection of Metapneumovirus in clinical specimens by indirect fluorescence assay using a monoclonal antibody</t>
  </si>
  <si>
    <t xml:space="preserve">meta pneumovirus; diagnostic; monoclonal antibody; immunofluorescence; genotype</t>
  </si>
  <si>
    <t xml:space="preserve">GENETIC-VARIABILITY; YOUNG-CHILDREN; CHAIN-REACTION; INFECTION; CULTURES; PCR; SECRETIONS; DIAGNOSIS; ADULTS</t>
  </si>
  <si>
    <t xml:space="preserve">Human metapneumovirus, with two known genotypes named A and B, is associated with mild respiratory symptoms to severe LRTI in children, high-risk adults and the elderly. Rapid and reliable methods of hMPV detection in clinical samples are essential to implement appropriate care, to better understand the pathology of hMPV and to determine its epidemiology. Respiratory samples from 1,386 patients collected during 2 consecutive years were screened for hMPV using indirect immunofluorescence (IFA) assay with a monoclonal antibody. Forty-three patients tested positive for hMPV by the IFA method. In parallel, the samples were examined with RT-PCR on the F gene. Of these, 41 specimens were RT-PCR positive. The remaining two IF positives were cultured and the cultures were subsequently RT-PCR positive. IFA showed therefore a sensitivity of 100%. No false positive signals were obtained with the influenza virus, respiratory syncytial virus or parainfluenza. When tested by RT-PCR,all IFA-negative samples (n=204)were found negative. Therefore the specificity of IFA was 100%, IC95 [98-100%], with a negative predictive value of 100%. Based upon phylogenetic analysis of the fusion gene, both subgroups of hMPV were efficiently detected by IFA, and the viral aetiology could be given in 2 hr. These results demonstrate the potential usefulness of immunofluorescence with our monoclonal antibody for the rapid detection of hMPV in clinical specimens in the management of therapy and the control of nosocomial diffusion.</t>
  </si>
  <si>
    <t xml:space="preserve">Bld Marechal Lattre Tassigny, CHU Dijon, Lab Virol, F-21079 Dijon, France; Hyg Hosp, Lab Epidemiol, Dijon, France</t>
  </si>
  <si>
    <t xml:space="preserve">CHU Dijon Bourgogne</t>
  </si>
  <si>
    <t xml:space="preserve">Manoha, C (corresponding author), Bld Marechal Lattre Tassigny, CHU Dijon, Lab Virol, F-21079 Dijon, France.</t>
  </si>
  <si>
    <t xml:space="preserve">catherine.manoha@chu-dijon.fr</t>
  </si>
  <si>
    <t xml:space="preserve">Manoha, Catherine/AAP-4178-2021; Serge, Aho/AAP-8863-2021</t>
  </si>
  <si>
    <t xml:space="preserve">Manoha, Catherine/0000-0003-3934-6132; Ludwig Serge, Aho Glele/0000-0001-7590-8644</t>
  </si>
  <si>
    <t xml:space="preserve">10.1002/jmv.21038</t>
  </si>
  <si>
    <t xml:space="preserve">236XE</t>
  </si>
  <si>
    <t xml:space="preserve">WOS:000251335900020</t>
  </si>
  <si>
    <t xml:space="preserve">Nguyen, HLK; Do, LP; Trieu, VTT; Nguyen, SV; Hoang, PVM; Pham, HT; Le, TT; Tran, HTT; Vuong, CD; Le, MTQ</t>
  </si>
  <si>
    <t xml:space="preserve">Hang Le Khanh Nguyen; Loan Phuong Do; Van Thanh Thi Trieu; Son Vu Nguyen; Phuong Vu Mai Hoang; Hien Thi Pham; Thanh Thi Le; Huong Thi Thu Tran; Cuong Duc Vuong; Mai Thi Quynh Le</t>
  </si>
  <si>
    <t xml:space="preserve">Viral co-infections among children with confirmed measles at hospitals in Hanoi, Vietnam, 2014</t>
  </si>
  <si>
    <t xml:space="preserve">ASIAN PACIFIC JOURNAL OF TROPICAL MEDICINE</t>
  </si>
  <si>
    <t xml:space="preserve">Measles virus; Respiratory viruses; Co-infection</t>
  </si>
  <si>
    <t xml:space="preserve">RESPIRATORY VIRUSES; PCR</t>
  </si>
  <si>
    <t xml:space="preserve">Objective: To characterize viral co-infections amone representative hospitalized measles cases during the 2014 Hanoi outbreak. Methods: Throat swabs were collected from 54 pediatric patients with confirmed measles, and molecular diagnostics performed for 10 additional viral respiratory pathogens (Influenza A/H1N1pdm09; A/H3N2 and influenza B: Parainfluenza I, 2. 3; Respiratory Svnctial Virus. RSV; human Metapneumovirus, hMPV: Adenovirus and Picornavirus). Results: Twenty-one cases (38.9%) showed evidence of infection with other respiratory viruses: 15 samples contained measles plus one additional virus, and 6 samples contained measles plus 2 additional viruses. Adenovirus was detected as a predominant cause of co-infections (13 cases; 24.1%), followed by RSV (6 cases; I 1.1%). A/H I N 1 pdm09 (3 cases: 5.6%), PIV3 (3 cases: 3.7%). Rhinovirus (3 cases: 3.7%) and hMPV (I ease: 1.96%). Conclusions: Viral co-infections identified from pediatric measles cases may have contributed to increased disease severity and high rate of fatal outcomes. Optimal treatment of measles cases may require control of multiple viral respiratory pathogens.</t>
  </si>
  <si>
    <t xml:space="preserve">[Hang Le Khanh Nguyen; Loan Phuong Do; Van Thanh Thi Trieu; Son Vu Nguyen; Phuong Vu Mai Hoang; Hien Thi Pham; Thanh Thi Le; Huong Thi Thu Tran; Cuong Duc Vuong; Mai Thi Quynh Le] Natl Inst Hyg &amp; Epidemiol, 1 Yesrsin St, Hanoi, Vietnam</t>
  </si>
  <si>
    <t xml:space="preserve">National Institute of Hygiene &amp; Epidemiology (NIHE)</t>
  </si>
  <si>
    <t xml:space="preserve">Le, MTQ (corresponding author), Natl Inst Hyg &amp; Epidemiol, Natl Influenza Ctr, Hanoi, Vietnam.</t>
  </si>
  <si>
    <t xml:space="preserve">lom9@hotmail.com</t>
  </si>
  <si>
    <t xml:space="preserve">Do, Phuong Loan/0000-0003-2560-1980</t>
  </si>
  <si>
    <t xml:space="preserve">Vietnam National Foundation for Science and Technology Development [106-YS.04-2013.03]</t>
  </si>
  <si>
    <t xml:space="preserve">Vietnam National Foundation for Science and Technology Development</t>
  </si>
  <si>
    <t xml:space="preserve">We would like to thank Dr Juliet Bryant for scientific editing. We are grateful for the National Institute of Hygiene and Epidemiology for their continuous support for our work: and to thank the clinicians and nursing staff from National Pediatric Hospital, Bachmai Hospital for their excellent efforts. We also extend our gratitude to the children and their parents/guardians who provided samples for this study. This research was funded by the Vietnam National Foundation for Science and Technology Development under grant number-106-YS.04-2013.03.</t>
  </si>
  <si>
    <t xml:space="preserve">WOLTERS KLUWER MEDKNOW PUBLICATIONS</t>
  </si>
  <si>
    <t xml:space="preserve">MUMBAI</t>
  </si>
  <si>
    <t xml:space="preserve">WOLTERS KLUWER INDIA PVT LTD , A-202, 2ND FLR, QUBE, C T S NO 1498A-2 VILLAGE MAROL, ANDHERI EAST, MUMBAI, 400059, INDIA</t>
  </si>
  <si>
    <t xml:space="preserve">1995-7645</t>
  </si>
  <si>
    <t xml:space="preserve">2352-4146</t>
  </si>
  <si>
    <t xml:space="preserve">ASIAN PAC J TROP MED</t>
  </si>
  <si>
    <t xml:space="preserve">Asian Pac. J. Trop. Med.</t>
  </si>
  <si>
    <t xml:space="preserve">10.1016/j.apjtm.2017.01.015</t>
  </si>
  <si>
    <t xml:space="preserve">EL6LI</t>
  </si>
  <si>
    <t xml:space="preserve">WOS:000394733700012</t>
  </si>
  <si>
    <t xml:space="preserve">Walsh, EE; Wang, L; Falsey, AR; Qiu, X; Corbett, A; Holden-Wiltse, J; Mariani, TJ; Topham, DJ; Caserta, MT</t>
  </si>
  <si>
    <t xml:space="preserve">Walsh, Edward E.; Wang, Lu; Falsey, Ann R.; Qiu, Xing; Corbett, Anthony; Holden-Wiltse, Jeanne; Mariani, Thomas J.; Topham, David J.; Caserta, Mary T.</t>
  </si>
  <si>
    <t xml:space="preserve">Virus-Specific Antibody, Viral Load, and Disease Severity in Respiratory Syncytial Virus Infection</t>
  </si>
  <si>
    <t xml:space="preserve">Maternal antibody; RSV infection; infants; virus load; disease severity</t>
  </si>
  <si>
    <t xml:space="preserve">HIGH-RISK INFANTS; NEUTRALIZING ANTIBODIES; HUMAN METAPNEUMOVIRUS; MONOCLONAL-ANTIBODY; UNITED-STATES; G-PROTEIN; CHILDREN; AGE; BRONCHIOLITIS; RESPONSES</t>
  </si>
  <si>
    <t xml:space="preserve">Background. Maternally derived serum antibody and viral load are thought to influence disease severity in primary respiratory syncytial virus (RSV) infection. As part of the AsPIRES study of RSV pathogenesis, we correlated various serum antibody concentrations and viral load with disease severity. Methods. Serum neutralizing antibody titers and levels of immunoglobulin G (IgG) to RSV fusion protein (F), attachment proteins of RSV group A and B, the CX3C region of G, and nasal viral load were measured in 139 full-term previously healthy infants with primary RSV infection and correlated with illness severity. Results. Univariate analysis showed no relationship between measures of serum antibody and severity. However, a multivariate model adjusting for age at the time of infection found a significant 0.56 decrease in severity score for each 2-fold increase in antibody concentration to RSV F. The benefit of antibody was greatest in infants &lt;= 2 months of age. Additionally, estimated antibody titer at birth was correlated with age at infection, suggesting that higher antibody titers delay infection. Viral load did not differ by illness severity. Conclusion. Our data support the concept of maternal immunization with an RSV vaccine during pregnancy as a strategy for reducing the burden of RSV infection in full-term healthy infants exposed to RSV during their first winter.</t>
  </si>
  <si>
    <t xml:space="preserve">[Walsh, Edward E.; Falsey, Ann R.] Univ Rochester, Sch Med, Dept Med, Rochester, NY USA; [Wang, Lu; Qiu, Xing; Corbett, Anthony; Holden-Wiltse, Jeanne] Univ Rochester, Sch Med, Dept Biostat &amp; Computat Biol, Rochester, NY USA; [Mariani, Thomas J.] Univ Rochester, Sch Med, Dept Neonatol, Rochester, NY USA; [Mariani, Thomas J.] Univ Rochester, Sch Med, Program Pediat Mol &amp; Personalized Med, Rochester, NY USA; [Mariani, Thomas J.; Caserta, Mary T.] Univ Rochester, Sch Med, Dept Pediat, Rochester, NY 14642 USA; [Topham, David J.] Univ Rochester, Sch Med, Dept Microbiol &amp; Immunol, Rochester, NY USA; [Walsh, Edward E.; Falsey, Ann R.] Rochester Gen Hosp, Dept Med, Rochester, NY 14621 USA</t>
  </si>
  <si>
    <t xml:space="preserve">University of Rochester; University of Rochester; University of Rochester; University of Rochester; University of Rochester; University of Rochester; Rochester General Hospital</t>
  </si>
  <si>
    <t xml:space="preserve">Walsh, EE (corresponding author), Rochester Gen Hosp, MD Infect Dis Unit, 1425 Portland Ave, Rochester, NY 14621 USA.</t>
  </si>
  <si>
    <t xml:space="preserve">edward.walsh@rochesterregional.org</t>
  </si>
  <si>
    <t xml:space="preserve">National Institute of Allergy and Infectious Diseases, National Institutes of Health [HHSN272201200005C]</t>
  </si>
  <si>
    <t xml:space="preserve">National Institute of Allergy and Infectious Diseases, National Institutes of Health(United States Department of Health &amp; Human ServicesNational Institutes of Health (NIH) - USANIH National Institute of Allergy &amp; Infectious Diseases (NIAID))</t>
  </si>
  <si>
    <t xml:space="preserve">This work was supported by the National Institute of Allergy and Infectious Diseases, National Institutes of Health (grant HHSN272201200005C).</t>
  </si>
  <si>
    <t xml:space="preserve">10.1093/infdis/jiy106</t>
  </si>
  <si>
    <t xml:space="preserve">GO1IK</t>
  </si>
  <si>
    <t xml:space="preserve">WOS:000439703800006</t>
  </si>
  <si>
    <t xml:space="preserve">Majchrzykiewicz-Koehorst, JA; Heikens, E; Trip, H; Hulst, AG; de Jong, AL; Viveen, MC; Sedee, NJA; van der Plas, J; Coenjaerts, FEJ; Paauw, A</t>
  </si>
  <si>
    <t xml:space="preserve">Majchrzykiewicz-Koehorst, Joanna A.; Heikens, Esther; Trip, Hein; Hulst, Albert G.; de Jong, Ad L.; Viveen, Marco C.; Sedee, Norbert J. A.; van der Plas, Jan; Coenjaerts, Frank E. J.; Paauw, Armand</t>
  </si>
  <si>
    <t xml:space="preserve">Rapid and generic identification of influenza A and other respiratory viruses with mass spectrometry</t>
  </si>
  <si>
    <t xml:space="preserve">Mass spectrometry; MALDI-TOF MS; LC-MS/MS; Influenza virus; Identification; Virological diagnosis</t>
  </si>
  <si>
    <t xml:space="preserve">DESORPTION IONIZATION-TIME; PANDEMIC H1N1; VIRAL LOADS; NEURAMINIDASE; MUTATIONS; BACTERIA; PROTEIN</t>
  </si>
  <si>
    <t xml:space="preserve">The rapid identification of existing and emerging respiratory viruses is crucial in combating outbreaks and epidemics. Matrix-assisted laser desorption/ionization time-of-flight mass spectrometry (MALDI-TOF MS) is a rapid and reliable identification method in bacterial diagnostics, but has not been used in virological diagnostics. Mass spectrometry systems have been investigated for the identification of respiratory viruses. However, sample preparation methods were laborious and time-consuming. In this study, a reliable and rapid sample preparation method was developed allowing identification of cultured respiratory viruses. Tenfold serial dilutions of ten cultures influenza A strains, mixed samples of influenza A virus with human metapneumovirus or respiratory syncytial virus, and reconstituted clinical samples were treated with the developed sample preparation method. Subsequently, peptides were subjected to MALDI-TOF MS and liquid chromatography tandem mass spectrometry (LC-MS/MS). The influenza A strains were identified to the subtype level within 3 h with MALDI-TOF MS and 6 h with LC-MS/MS, excluding the culturing time. The sensitivity of LC-MS/MS was higher compared to MALDI-TOF MS. In addition, LC-MS/MS was able to discriminate between two viruses in mixed samples and was able to identify virus from reconstituted clinical samples. The development of an improved and rapid sample preparation method allowed generic and rapid identification of cultured respiratory viruses by mass spectrometry. (C) 2014 The Authors. Published by Elsevier B.V.</t>
  </si>
  <si>
    <t xml:space="preserve">[Majchrzykiewicz-Koehorst, Joanna A.; Trip, Hein; Hulst, Albert G.; de Jong, Ad L.; Sedee, Norbert J. A.; Paauw, Armand] TNO, Netherlands Org Appl Sci Res, Dept CBRN Protect, NL-2288 GJ Rijswijk, Netherlands; [Heikens, Esther; Viveen, Marco C.; Coenjaerts, Frank E. J.] Univ Med Ctr Utrecht, Dept Med Microbiol, NL-3584 CX Utrecht, Netherlands; [van der Plas, Jan] Expert Ctr Force Hlth Protect, Div Hlth Care, Support Command, Minist Def, NL-3941 PW Doorn, Netherlands</t>
  </si>
  <si>
    <t xml:space="preserve">Netherlands Organization Applied Science Research; Utrecht University; Utrecht University Medical Center</t>
  </si>
  <si>
    <t xml:space="preserve">Paauw, A (corresponding author), TNO, Netherlands Org Appl Sci Res, Dept CBRN Protect, Lange Kleiweg 137, NL-2288 GJ Rijswijk, Netherlands.</t>
  </si>
  <si>
    <t xml:space="preserve">armand.paauw@tno.nl</t>
  </si>
  <si>
    <t xml:space="preserve">Dutch Ministry of Defense [V1036]</t>
  </si>
  <si>
    <t xml:space="preserve">Dutch Ministry of Defense</t>
  </si>
  <si>
    <t xml:space="preserve">This work was supported financially by the Dutch Ministry of Defense, grant number V1036.</t>
  </si>
  <si>
    <t xml:space="preserve">10.1016/j.jviromet.2014.11.014</t>
  </si>
  <si>
    <t xml:space="preserve">WOS:000352923100012</t>
  </si>
  <si>
    <t xml:space="preserve">Matsuzaki, Y; Itagaki, T; Abiko, C; Aoki, Y; Suto, A; Mizuta, K</t>
  </si>
  <si>
    <t xml:space="preserve">Matsuzaki, Yoko; Itagaki, Tsutomu; Abiko, Chieko; Aoki, Yoko; Suto, Asuka; Mizuta, Katsumi</t>
  </si>
  <si>
    <t xml:space="preserve">Clinical impact of human metapneumovirus genotypes and genotype-specific seroprevalence in Yamagata, Japan</t>
  </si>
  <si>
    <t xml:space="preserve">man meta pneumovirus; genotype; seroprevalence; neutralization assay</t>
  </si>
  <si>
    <t xml:space="preserve">RESPIRATORY-TRACT INFECTIONS; GENETIC-VARIABILITY; VIRUS-INFECTION; CHILDREN; SEVERITY; AUSTRALIA; FEATURES; ILLNESS; DISEASE</t>
  </si>
  <si>
    <t xml:space="preserve">The clinical impact of human metapneumovirus (hMPV) genotypes and the relation between the hMPV genotype in circulation and genotypespecific seroprevalence are yet to be clarified. We determined the genotypes of 93 hMPV strains that were isolated between 2004 and 2006 in Yamagata, Japan, and identified 35 genotype A2, 14 genotype 131, and 44 genotype B2 isolates. Children infected with genotype A2 hMPV were significantly older than those infected with genotype 131 hMPV. Diagnosis of laryngitis was more common in children with genotype 131 hMPV infection and wheezing was more prevalent in children with genotype 131 and 132 hMPV infection than in those with genotype A2 hMPV infection. We then examined genotype-specific seroprevalence by neutralization assay. The higher seropositive rate for the B2 genotype among the children aged 1-2 years is likely to reflect the outbreak of B2 genotype strains in the previous year in this community. The low seropositive rate for the B1 genotype among children aged 1-2 years appears to be associated with a finding that more than 70% of children infected with the 131 genotype were less than 3 years old. In conclusion, we found that the different clinical characteristics of hMPV infection may be associated with hMPV genotype, and the predominant genotype during a season and the affecting age may be closely related to genotype-specific immune status within a community.</t>
  </si>
  <si>
    <t xml:space="preserve">[Matsuzaki, Yoko] Yamagata Univ, Fac Med, Course Clin Nursing, Yamagata 9909585, Japan; [Itagaki, Tsutomu] Yamanobe Pediat Clin, Yamagata, Japan; [Abiko, Chieko; Aoki, Yoko; Suto, Asuka; Mizuta, Katsumi] Yamagata Prefectural Inst Publ Hlth, Yamagata 9900031, Japan</t>
  </si>
  <si>
    <t xml:space="preserve">Yamagata University</t>
  </si>
  <si>
    <t xml:space="preserve">Matsuzaki, Y (corresponding author), Yamagata Univ, Fac Med, Course Clin Nursing, Iida Nishi, Yamagata 9909585, Japan.</t>
  </si>
  <si>
    <t xml:space="preserve">matuzaki@med.id.yamagata-u.ac.jp</t>
  </si>
  <si>
    <t xml:space="preserve">10.1002/jmv.21194</t>
  </si>
  <si>
    <t xml:space="preserve">293AP</t>
  </si>
  <si>
    <t xml:space="preserve">WOS:000255307500023</t>
  </si>
  <si>
    <t xml:space="preserve">Tanaka, Y; Morita, N; Kitagawa, Y; Gotoh, B; Komatsu, T</t>
  </si>
  <si>
    <t xml:space="preserve">Tanaka, Yukie; Morita, Naoko; Kitagawa, Yoshinori; Gotoh, Bin; Komatsu, Takayuki</t>
  </si>
  <si>
    <t xml:space="preserve">Human metapneumovirus M2-2 protein inhibits RIG-I signaling by preventing TRIM25-mediated RIG-I ubiquitination</t>
  </si>
  <si>
    <t xml:space="preserve">M2-2 protein; rig-i; trim25; mavs; interferon; human metapneumovirus; human respiratory syncytial virus; paramyxoviridae</t>
  </si>
  <si>
    <t xml:space="preserve">NITRIC-OXIDE PRODUCTION; YOUNG-CHILDREN; RNA; INFECTION; RECOGNITION; TRANSCRIPTION; ACTIVATION; LIGASE; TRIM25; CARD</t>
  </si>
  <si>
    <t xml:space="preserve">Retinoic acid-inducible gene I (RIG-I) is a receptor that senses viral RNA and interacts with mitochondrial antiviral signaling (MAVS) protein, leading to the production of type I interferons and inflammatory cytokines to establish an antiviral state. This signaling axis is initiated by the K63-linked RIG-I ubiquitination, mediated by E3 ubiquitin ligases such as TRIM25. However, many viruses, including several members of the family Paramyxoviridae and human respiratory syncytial virus (HRSV), a member of the family Pneumoviridae, escape the immune system by targeting RIG-I/TRIM25 signaling. In this study, we screened human metapneumovirus (HMPV) open reading frames (ORFs) for their ability to block RIG-I signaling reconstituted in HEK293T cells by transfection with TRIM25 and RIG-I CARD (an N-terminal CARD domain that is constitutively active in RIG-I signaling). HMPV M2-2 was the most potent inhibitor of RIG-I/TRIM25-mediated interferon (IFN)-beta activation. M2-2 silencing induced the activation of transcription factors (IRF and NF-kB) downstream of RIG-I signaling in A549 cells. Moreover, M2-2 inhibited RIG-I ubiquitination and CARD-dependent interactions with MAVS. Immunoprecipitation revealed that M2-2 forms a stable complex with RIG-I CARD/TRIM25 via direct interaction with the SPRY domain of TRIM25. Similarly, HRSV NS1 also formed a stable complex with RIG-I CARD/TRIM25 and inhibited RIG-I ubiquitination. Notably, the inhibitory actions of HMPV M2-2 and HRSV NS1 are similar to those of V proteins of several members of the Paramyxoviridae family. In this study, we have identified a novel mechanism of immune escape by HMPV, similar to that of Pneumoviridae and Paramyxoviridae family members.</t>
  </si>
  <si>
    <t xml:space="preserve">[Tanaka, Yukie] Univ Fukui, Fac Med Sci, Dept Integrat Vasc Biol, Fukui, Japan; [Morita, Naoko; Komatsu, Takayuki] Aichi Med Univ, Dept Microbiol &amp; Immunol, Sch Med, Aichi, Japan; [Kitagawa, Yoshinori; Gotoh, Bin] Shiga Univ Med Sci, Dept Pathol, Div Microbiol &amp; Infect Dis, Shiga, Japan</t>
  </si>
  <si>
    <t xml:space="preserve">University of Fukui; Aichi Medical University; Shiga University of Medical Science</t>
  </si>
  <si>
    <t xml:space="preserve">Komatsu, T (corresponding author), Aichi Med Univ, Dept Microbiol &amp; Immunol, Sch Med, Aichi, Japan.</t>
  </si>
  <si>
    <t xml:space="preserve">koma@aichi-med-u.ac.jp</t>
  </si>
  <si>
    <t xml:space="preserve">JSPS KAKENHI; [20K17463]; Grants-in-Aid for Scientific Research [20K08830, 20K08838, 20K17463, 20K17474] Funding Source: KAKEN</t>
  </si>
  <si>
    <t xml:space="preserve">JSPS KAKENHI(Ministry of Education, Culture, Sports, Science and Technology, Japan (MEXT)Japan Society for the Promotion of ScienceGrants-in-Aid for Scientific Research (KAKENHI)); ; Grants-in-Aid for Scientific Research(Ministry of Education, Culture, Sports, Science and Technology, Japan (MEXT)Japan Society for the Promotion of ScienceGrants-in-Aid for Scientific Research (KAKENHI))</t>
  </si>
  <si>
    <t xml:space="preserve">Funding This work was supported by JSPS KAKENHI Grant Number 20K17463.</t>
  </si>
  <si>
    <t xml:space="preserve">10.3389/fimmu.2022.970750</t>
  </si>
  <si>
    <t xml:space="preserve">4E5QT</t>
  </si>
  <si>
    <t xml:space="preserve">WOS:000847880500001</t>
  </si>
  <si>
    <t xml:space="preserve">Puppe, W; Weigl, J; Gröndahl, B; Knuf, M; Rockahr, S; von Bismarck, P; Aron, G; Niesters, HGM; Osterhaus, ADME; Schmitt, HJ</t>
  </si>
  <si>
    <t xml:space="preserve">Puppe, W.; Weigl, J.; Groendahl, B.; Knuf, M.; Rockahr, S.; von Bismarck, P.; Aron, G.; Niesters, H. G. M.; Osterhaus, A. D. M. E.; Schmitt, H. -J.</t>
  </si>
  <si>
    <t xml:space="preserve">Validation of a multiplex reverse transcriptase PCR ELISA for the detection of 19 respiratory tract pathogens</t>
  </si>
  <si>
    <t xml:space="preserve">m-RT-PCR-ELISA; Respiratory tract infections; Validation; Sensitivity; Diagnosis; Enterovirus (EV); Influenza virus type A (IVA); Influenza virus type B (IVB); Respiratory syncytial virus (RSV); Parainfluenza virus type 1 (PIV1); Parainfluenza virus type 2 (PIV2); Parainfluenza virus type 3 (PIV3); Parainfluenza virus type 4 (PIV4); Adenovirus (AV); Rhinovirus (RV); Human metapneumovirus (MPV); Coronavirus (CV); Reovirus (ReoV); Mycoplasma pneumoniae (Mpn); Chlamydophila pneumoniae (Cpn); Bordetella pertussis (Bp); Bordetella parapertussis (Bpp); Legionella pneumophila (Lpn)</t>
  </si>
  <si>
    <t xml:space="preserve">POLYMERASE-CHAIN-REACTION; PARAINFLUENZA VIRUSES 1; REAL-TIME PCR; SYNCYTIAL-VIRUS; BORDETELLA-PERTUSSIS; CLINICAL-SAMPLES; RT-PCR; RAPID DETECTION; CHILDREN; INFECTIONS</t>
  </si>
  <si>
    <t xml:space="preserve">Introduction Since acute respiratory tract infections inflict a high burden of disease in children worldwide, a multiplex reverse transcription polymerase chain reaction combined with a microwell hybridization assay (m-RT-PCR ELISA) to detect 19 different respiratory pathogens was developed and validated. Methods A total of 430 respiratory specimens were retrospectively tested in parallel by both the advanced 19-valent m-RT-PCR ELISA as well as by culture or individual RT-PCR assays used in clinical routine. Results The mean (median) sensitivity of the m-RT-PCR-ELISA in the retrospective test was 93.3% (95.1%; range 83.3-100 %), and the mean (median) specificity was 99.8 and 100 % (range 98.6-100 %), respectively. The mean positive predictive value was 99.3 % (range 934-100 %) and the mean negative predictive value was 95.3 % (range 98.4-100 %). Feasibility and clinical value of the 19-valent method was prospectively shown on 16,231 incoming clinical specimens from patients between 0 and 16 years of age with acute respiratory tract infections admitted to pediatric hospitals or private practices from October 2003 to June 2010 in three regions in Germany (Kiel, Mainz, Freiburg; Freiburg to June 2007 only). At least one microorganism was detected in 10,765 of 16,231 (66.3 %) clinical specimens: 5,044 RV, 1,999 RSV, 1,286 AV, 944 EV, 737 seasonal IVA, 173 pandemic WA H1N1-2009, 899 MPV, 518 CV, 383 PIV3, 268 PIV1, 259 Mpn, 205 IVB, 164 PIV2, 144 PIV4, 103 Bp, 29 Cpn and 29 Bpp, while reovirus and Lpn were not present in these specimens from a pediatric population. More than one organism could be detected in 13.4 % of the specimens. Conclusions The m-RT-PCR ELISA evaluated here improves the spectrum for diagnosing respiratory infections and is a feasible instrument for individual diagnostic and epidemiological studies.</t>
  </si>
  <si>
    <t xml:space="preserve">[Puppe, W.; Weigl, J.; Rockahr, S.; von Bismarck, P.] Univ Hosp Schleswig Holstein, Dept Pediat, D-24105 Kiel, Germany; [Puppe, W.; Weigl, J.; Groendahl, B.; Knuf, M.; Schmitt, H. -J.] Univ Med, Dept Pediat, D-55101 Mainz, Germany; [Puppe, W.] Hannover Med Sch, Inst Virol, D-30625 Hannover, Germany; [Aron, G.; Niesters, H. G. M.; Osterhaus, A. D. M. E.] Erasmus MC, Dept Virol, NL-3000 CA Rotterdam, Netherlands; [Niesters, H. G. M.] Univ Groningen, Univ Med Ctr Groningen, Dept Med Microbiol Virol, NL-9713 GZ Groningen, Netherlands</t>
  </si>
  <si>
    <t xml:space="preserve">University of Kiel; Schleswig Holstein University Hospital; Hannover Medical School; Erasmus University Rotterdam; Erasmus MC; University of Groningen</t>
  </si>
  <si>
    <t xml:space="preserve">Niesters, Hubert/0000-0002-1758-0430</t>
  </si>
  <si>
    <t xml:space="preserve">Bundesministerium fur Bildung und Forschung (BMBF) via the Deutsches Zentrum fur Luft- und Raumfahrt e.V. [01KI9910/1]</t>
  </si>
  <si>
    <t xml:space="preserve">Bundesministerium fur Bildung und Forschung (BMBF) via the Deutsches Zentrum fur Luft- und Raumfahrt e.V.</t>
  </si>
  <si>
    <t xml:space="preserve">We appreciate the excellent technical assistance of B. Reckewitz, N. Esly, and E. Budo-Guetaifi, and we thank I. Chaloupka, Institute for Medical Microbiology, Department of Virology, TU Munich, Germany; E. Jacobs and R. Dumke, Institute of Medical Microbiology, University Hospital, Dresden, Germany; R.P. Verkooyen, Erasmus University, Rotterdam, the Netherlands; M. Maass, Institute for Medical Microbiology, University of Lubeck, Germany; E. Staube, Institute of Clinical Microbiology, University Hospital, Jena, Germany; Dr. B. Schweiger, RKI, Berlin, Germany, for providing several specimens and strains used in this study, C. Drosten, Institute of Virology, University of Bonn Medical Centre, Bonn, Germany; R. Fouchier, Erasmus Medical Center, Rotterdam, the Netherlands; J. Ziebuhr, University of Giessen, Germany and Dr. Ijzerman, Haarlem, the Netherlands, for providing and retesting of the Legionella pneumophila strains. This work was supported by the Bundesministerium fur Bildung und Forschung (BMBF) via the Deutsches Zentrum fur Luft- und Raumfahrt e.V. by the research grant (01KI9910/1) for PID-ARI.net, a pediatric infectious diseases network on acute respiratory tract infections.</t>
  </si>
  <si>
    <t xml:space="preserve">10.1007/s15010-012-0298-6</t>
  </si>
  <si>
    <t xml:space="preserve">101DU</t>
  </si>
  <si>
    <t xml:space="preserve">WOS:000315756200012</t>
  </si>
  <si>
    <t xml:space="preserve">Liu, M; Worley, S; Arrigain, S; Aurora, P; Ballmann, M; Boyer, D; Conrad, C; Eichler, I; Elidemir, O; Goldfarb, S; Mallory, GB; Mogayzel, PJ; Parakininkas, D; Visner, G; Sweet, S; Faro, A; Michaels, M; Danziger-Isakov, LA</t>
  </si>
  <si>
    <t xml:space="preserve">Liu, M.; Worley, S.; Arrigain, S.; Aurora, P.; Ballmann, M.; Boyer, D.; Conrad, C.; Eichler, I.; Elidemir, O.; Goldfarb, S.; Mallory, G. B.; Mogayzel, P. J.; Parakininkas, D.; Visner, G.; Sweet, S.; Faro, A.; Michaels, M.; Danziger-Isakov, L. A.</t>
  </si>
  <si>
    <t xml:space="preserve">Respiratory viral infections within one year after pediatric lung transplant</t>
  </si>
  <si>
    <t xml:space="preserve">lung transplantation; respiratory virus infection; respiratory syncytial virus; adenovirus; pediatric</t>
  </si>
  <si>
    <t xml:space="preserve">BRONCHIOLITIS-OBLITERANS-SYNDROME; HUMAN METAPNEUMOVIRUS INFECTION; INTRAVENOUS RIBAVIRIN; HUMAN CYTOMEGALOVIRUS; WORKING FORMULATION; SYNCYTIAL VIRUS; ADULT LUNG; RECIPIENTS; INFLUENZA; PNEUMONIA</t>
  </si>
  <si>
    <t xml:space="preserve">P&gt;To characterize epidemiology and risk factors for respiratory viral infections (RVI) in pediatric lung transplant recipients within the first post-transplant year, a retrospective multicenter study of pediatric lung transplant recipients from 1988 to 2005 was conducted at 14 centers in the United States and Europe. Data were recorded for 1 year post transplant. Associations between RVI and continuous and categorical risk factors were assessed using Wilcoxon's rank-sum and chi(2) tests, respectively. Associations between time to RVI and risk factors or survival were assessed by multivariable Cox proportional hazards models. Of 576 subjects, 79 subjects (14%) had 101 RVI in the first year post transplant. Subjects with RVI were younger than those without RVI (median ages 9.7, 13; P &lt; 0.01). Viruses detected included adenovirus (n=25), influenza (n=9), respiratory syncytial virus (n=21), parainfluenza virus (n=19), enterovirus (n=4), and rhinovirus (n=22). In a multivariable model for time to first RVI, etiology other than cystic fibrosis (CF), younger age, and no induction therapy were independently associated with risk of RVI. Cytomegalovirus serostatus and acute rejection were not associated with RVI. RVI was independently associated with decreased 12-month survival (hazard ratio 2.6, 95% confidence interval 1.6-4.4). RVI commonly occurs after pediatric lung transplantation with risk factors including younger age and non-CF diagnosis. RVI is associated with decreased 1-year survival.</t>
  </si>
  <si>
    <t xml:space="preserve">[Liu, M.; Worley, S.; Arrigain, S.; Danziger-Isakov, L. A.] Childrens Hosp, Cleveland Clin, Cleveland, OH 44195 USA; [Aurora, P.] Great Ormond St Hosp Sick Children, London WC1N 3JH, England; [Aurora, P.] Inst Child Hlth, London, England; [Ballmann, M.] Hannover Med Sch, D-3000 Hannover, Germany; [Boyer, D.; Visner, G.] Harvard Univ, Boston, MA 02115 USA; [Boyer, D.; Visner, G.] Boston Childrens Hosp, Boston, MA USA; [Conrad, C.] Stanford Univ, Palo Alto, CA 94304 USA; [Eichler, I.] Med Univ Vienna, Vienna, Austria; [Elidemir, O.; Mallory, G. B.] Baylor Coll Med, Houston, TX 77030 USA; [Elidemir, O.; Mallory, G. B.] Texas Childrens Hosp, Houston, TX 77030 USA; [Goldfarb, S.] Univ Penn, Philadelphia, PA 19104 USA; [Mogayzel, P. J.] Johns Hopkins Med Inst, Baltimore, MD 21205 USA; [Parakininkas, D.] Med Coll Wisconsin, Milwaukee, WI 53226 USA; [Parakininkas, D.] Childrens Hosp Wisconsin, Milwaukee, WI 53201 USA; [Sweet, S.; Faro, A.] Washington Univ, Sch Med, St Louis, MO USA; [Sweet, S.; Faro, A.] St Louis Childrens Hosp, St Louis, MO 63178 USA; [Michaels, M.] Univ Pittsburgh, Childrens Hosp Pittsburgh, Med Ctr, Pittsburgh, PA 15213 USA</t>
  </si>
  <si>
    <t xml:space="preserve">Cleveland Clinic Foundation; University of London; University College London; Great Ormond Street Hospital for Children NHS Foundation Trust; University of London; University College London; Hannover Medical School; Harvard University; Harvard University; Boston Children's Hospital; Stanford University; Medical University of Vienna; Baylor College of Medicine; Baylor College of Medicine; Baylor College Medical Hospital; University of Pennsylvania; Johns Hopkins University; Johns Hopkins Medicine; Medical College of Wisconsin; Children's Hospital of Wisconsin; Washington University (WUSTL); St. Louis Children's Hospital; Washington University (WUSTL); Pennsylvania Commonwealth System of Higher Education (PCSHE); University of Pittsburgh</t>
  </si>
  <si>
    <t xml:space="preserve">Danziger-Isakov, LA (corresponding author), Childrens Hosp, Cleveland Clin, Pediat S-20,9500 Euclid Ave, Cleveland, OH 44195 USA.</t>
  </si>
  <si>
    <t xml:space="preserve">danzigl@ccf.org</t>
  </si>
  <si>
    <t xml:space="preserve">Conrad, Carol/AGN-4464-2022; Ballmann, Manfred/AAE-3730-2019; Sweet, Stuart/AFS-1828-2022</t>
  </si>
  <si>
    <t xml:space="preserve">Conrad, Carol/0000-0001-5202-2998; Goldfarb, Samuel/0000-0002-0012-5415</t>
  </si>
  <si>
    <t xml:space="preserve">Thrasher Research Fund; National Institutes of Health/K23 [RR022956]</t>
  </si>
  <si>
    <t xml:space="preserve">Thrasher Research Fund; National Institutes of Health/K23(United States Department of Health &amp; Human ServicesNational Institutes of Health (NIH) - USA)</t>
  </si>
  <si>
    <t xml:space="preserve">Supported by Thrasher Research Fund, National Institutes of Health/K23 RR022956 (LDI). Presented at the International Society of Heart and Lung Transplantation Annual Meeting, April 2008.</t>
  </si>
  <si>
    <t xml:space="preserve">10.1111/j.1399-3062.2009.00397.x</t>
  </si>
  <si>
    <t xml:space="preserve">WOS:000268714600004</t>
  </si>
  <si>
    <t xml:space="preserve">Liu, M; Mallory, GB; Schecter, MG; Worley, S; Arrigain, S; Robertson, J; Elidemir, O; Danziger-Isakov, LA</t>
  </si>
  <si>
    <t xml:space="preserve">Liu, M.; Mallory, G. B.; Schecter, M. G.; Worley, S.; Arrigain, S.; Robertson, J.; Elidemir, O.; Danziger-Isakov, L. A.</t>
  </si>
  <si>
    <t xml:space="preserve">Long-term impact of respiratory viral infection after pediatric lung transplantation</t>
  </si>
  <si>
    <t xml:space="preserve">PEDIATRIC TRANSPLANTATION</t>
  </si>
  <si>
    <t xml:space="preserve">lung transplantation; respiratory virus infection; pediatrics</t>
  </si>
  <si>
    <t xml:space="preserve">BRONCHIOLITIS OBLITERANS SYNDROME; HUMAN METAPNEUMOVIRUS INFECTION; HUMAN CYTOMEGALOVIRUS; WORKING FORMULATION; RECIPIENTS; VIRUSES; INFLUENZA; REJECTION; HEART; STANDARDIZATION</t>
  </si>
  <si>
    <t xml:space="preserve">To evaluate the epidemiology and to investigate the impact of RVI on chronic allograft rejection after pediatric lung transplantation, a retrospective study of pediatric lung transplant recipients from 2002 to 2007 was conducted. Association between RVI and continuous and categorical risk factors was assessed using Wilcoxon rank-sum tests and Fisher's exact tests, respectively. Association between risk factors and outcomes were assessed using Cox proportional hazards models. Fifty-five subjects were followed for a mean of 674 days (range 14-1790). Twenty-eight (51%) developed 51 RVI at a median of 144 days post-transplant (mean 246; range 1-1276); 41% of infections were diagnosed within 90 days. Twenty-five subjects developed 39 LRI, and eight subjects had 11 URI. Organisms recovered included rhinovirus (n = 14), adenovirus (n = 10), parainfluenza (n = 10), influenza (n = 5), and RSV (n = 4). Three subjects expired secondary to their RVI (two adenovirus, one RSV). Younger age and prior CMV infection were risks for RVI (HR 2.4 95% CI 1.1-5.3 and 17.0; 3.0-96.2, respectively). RVI was not associated with the development of chronic allograft rejection (p = 0.25) or death during the study period. RVI occurs in the majority of pediatric lung transplant recipients, but was not associated with mortality or chronic allograft rejection.</t>
  </si>
  <si>
    <t xml:space="preserve">[Liu, M.; Worley, S.; Arrigain, S.; Danziger-Isakov, L. A.] Cleveland Clin, Childrens Hosp, Cleveland, OH 44195 USA; [Mallory, G. B.; Schecter, M. G.; Robertson, J.; Elidemir, O.] Baylor Coll Med, Houston, TX 77030 USA; [Mallory, G. B.; Schecter, M. G.; Robertson, J.; Elidemir, O.] Texas Childrens Hosp, Houston, TX 77030 USA</t>
  </si>
  <si>
    <t xml:space="preserve">Cleveland Clinic Foundation; Baylor College of Medicine; Baylor College of Medicine; Baylor College Medical Hospital</t>
  </si>
  <si>
    <t xml:space="preserve">Danziger-Isakov, LA (corresponding author), Cleveland Clin, Childrens Hosp, 9500 Euclid Ave, Cleveland, OH 44195 USA.</t>
  </si>
  <si>
    <t xml:space="preserve">DANZIGL@ccf.org</t>
  </si>
  <si>
    <t xml:space="preserve">Schecter, Marc/ABD-8262-2021</t>
  </si>
  <si>
    <t xml:space="preserve">Schecter, Marc/0000-0001-6047-9939</t>
  </si>
  <si>
    <t xml:space="preserve">National Institutes of Health [K23 RR022956]; Infectious Diseases Society of America Summer Scholarship</t>
  </si>
  <si>
    <t xml:space="preserve">National Institutes of Health(United States Department of Health &amp; Human ServicesNational Institutes of Health (NIH) - USA); Infectious Diseases Society of America Summer Scholarship</t>
  </si>
  <si>
    <t xml:space="preserve">This research was supported by National Institutes of Health/K23 RR022956 (LDI), Infectious Diseases Society of America Summer Scholarship (ML).</t>
  </si>
  <si>
    <t xml:space="preserve">1397-3142</t>
  </si>
  <si>
    <t xml:space="preserve">PEDIATR TRANSPLANT</t>
  </si>
  <si>
    <t xml:space="preserve">Pediatr. Transplant.</t>
  </si>
  <si>
    <t xml:space="preserve">10.1111/j.1399-3046.2010.01296.x</t>
  </si>
  <si>
    <t xml:space="preserve">Pediatrics; Transplantation</t>
  </si>
  <si>
    <t xml:space="preserve">581BL</t>
  </si>
  <si>
    <t xml:space="preserve">WOS:000276495900026</t>
  </si>
  <si>
    <t xml:space="preserve">Kaiser, L; Aubert, JD; Pache, JC; Deffernez, C; Rochat, T; Garbino, J; Wunderli, W; Meylan, P; Yerly, S; Perrin, L; Letovanec, I; Nicod, L; Tapparel, C; Soccal, PM</t>
  </si>
  <si>
    <t xml:space="preserve">Kaiser, Laurent; Aubert, John-David; Pache, Jean-Claude; Deffernez, Christelle; Rochat, Thierry; Garbino, Jorge; Wunderli, Werner; Meylan, Pascal; Yerly, Sabine; Perrin, Luc; Letovanec, Igor; Nicod, Laurent; Tapparel, Caroline; Soccal, Paola M.</t>
  </si>
  <si>
    <t xml:space="preserve">Chronic rhinoviral infection in lung transplant recipients</t>
  </si>
  <si>
    <t xml:space="preserve">lung transplantation; picornavirus; respiratory virus; rhinovirus; VP1</t>
  </si>
  <si>
    <t xml:space="preserve">LOWER RESPIRATORY-TRACT; CHRONIC ENTEROVIRAL MENINGOENCEPHALITIS; AIRWAY RESPONSIVENESS; HUMAN METAPNEUMOVIRUS; CHILDREN; ILLNESS; PICORNAVIRUS; PLECONARIL; ASTHMA; RNA</t>
  </si>
  <si>
    <t xml:space="preserve">Rationale: Lung transplant recipients are particularly at risk of complications from rhinovirus, the most frequent respiratory virus circulating in the community. Objectives: To determine whether lung transplant recipients can be chronically infected by rhinovirus and the potential clinical impact. Methods: We first identified an index case, in which rhinovirus was isolated repeatedly, and conducted detailed molecular analysis to determine whether this was related to a unique strain or to reinfection episodes. Transbronchial biopsies were used to assess the presence of rhinovirus in the lung parenchyma. The incidence of chronic rhinoviral infections and potential clinical impact was assessed prospectively in a cohort of 68 lung transplant recipients during 19 mo by screening of bronchoalveolar lavages. Measurements and Main Results: We describe 3 lung transplant recipients with graft dysfunctions in whom rhinovirus was identified by reverse transcriptase-polymerase chain reaction in upper and lower respiratory specimens over a 12-mo period. In two cases, rhinovirus was repeatedly isolated in culture. The persistence of a unique strain in each case was confirmed by sequence analysis of the 5'NCR and VP1 gene. In the index case, rhinovirus was detected in the lower respiratory parenchyma. In the cohort of lung transplant recipients, rhinoviral infections were documented in bronchoalveolar lavage specimens of 10 recipients, and 2 presented with a persistent infection. Conclusions: Rhinoviral infection can be persistent in lung transplant recipients with graft dysfunction, and the virus can be detected in the lung parenchyma. Given the potential clinical impact, chronic rhinoviral infection needs to be considered in lung transplant recipients.</t>
  </si>
  <si>
    <t xml:space="preserve">Univ Hosp Geneva, Cent Lab Virol, Div Infect Dis, Dept Internal Med, CH-1211 Geneva 14, Switzerland; Univ Hosp Geneva, Clin Thorac Surg, Dept Surg, CH-1211 Geneva, Switzerland; Univ Hosp Geneva, Dept Internal Med, Div Pulm Med, CH-1211 Geneva 14, Switzerland; Univ Lausanne Hosp, Dept Med, Div Pulm Med, Lausanne, Switzerland; Univ Lausanne Hosp, Inst Microbiol, Lausanne, Switzerland; Univ Lausanne Hosp, Dept Pathol, Div Infect Dis, Lausanne, Switzerland; Univ Hosp Bern, Div Pulm Med, CH-3010 Bern, Switzerland</t>
  </si>
  <si>
    <t xml:space="preserve">University of Geneva; University of Geneva; University of Geneva; University of Lausanne; Centre Hospitalier Universitaire Vaudois (CHUV); University of Lausanne; Centre Hospitalier Universitaire Vaudois (CHUV); University of Lausanne; Centre Hospitalier Universitaire Vaudois (CHUV); University of Bern; University Hospital of Bern</t>
  </si>
  <si>
    <t xml:space="preserve">Kaiser, L (corresponding author), Univ Hosp Geneva, Cent Lab Virol, Div Infect Dis, Dept Internal Med, Rue Micheli Crest 24, CH-1211 Geneva 14, Switzerland.</t>
  </si>
  <si>
    <t xml:space="preserve">laurent.kaiser@hcuge.ch</t>
  </si>
  <si>
    <t xml:space="preserve">Nicod, Laurent/ABD-3360-2020; Yerly, Sabine/HHZ-9002-2022; Aubert, John-David/H-5561-2019</t>
  </si>
  <si>
    <t xml:space="preserve">Kaiser, Laurent/0000-0002-0857-2252; yerly, sabine/0000-0003-1668-696X; Tapparel Vu, Caroline/0000-0002-0411-6567; Aubert, John-David/0000-0001-8856-4000; Nicod, Laurent P/0000-0002-0905-916X</t>
  </si>
  <si>
    <t xml:space="preserve">DEC 15</t>
  </si>
  <si>
    <t xml:space="preserve">10.1164/rccm.200604-489OC</t>
  </si>
  <si>
    <t xml:space="preserve">117RA</t>
  </si>
  <si>
    <t xml:space="preserve">WOS:000242889400017</t>
  </si>
  <si>
    <t xml:space="preserve">Milstone, AP; Brumble, LM; Barnes, J; Estes, W; Loyd, JE; Pierson, RN; Dummer, S</t>
  </si>
  <si>
    <t xml:space="preserve">Milstone, A. P.; Brumble, L. M.; Barnes, J.; Estes, W.; Loyd, J. E.; Pierson, R. N., III; Dummer, S.</t>
  </si>
  <si>
    <t xml:space="preserve">A single-season prospective study of respiratory viral infections in lung transplant recipients</t>
  </si>
  <si>
    <t xml:space="preserve">EUROPEAN RESPIRATORY JOURNAL</t>
  </si>
  <si>
    <t xml:space="preserve">lung transplantation; PCR; respiratory virus</t>
  </si>
  <si>
    <t xml:space="preserve">BRONCHIOLITIS OBLITERANS SYNDROME; HUMAN METAPNEUMOVIRUS INFECTION; POLYMERASE-CHAIN-REACTION; SYNCYTIAL VIRUS; CHRONIC REJECTION; INFLUENZA; DIAGNOSIS; COMPLICATIONS; PNEUMONIA; ASSAY</t>
  </si>
  <si>
    <t xml:space="preserve">The frequency and complications of respiratory viral infections (RVI) were studied in 50 ambulatory lung transplant patients during a single winter season, using viral antigens, viral cultures and PCR of nasal washes or bronchoalveolar lavages. Patients' survival, episodes of acute rejection and occurrence of bronchiolitis obliterans (BO) or BO syndrome (BOS) were monitored for 1 yr after the study. Overall, 32 (64%) patients had 49 symptomatic episodes. Documented infections included eight due to respiratory syncytial virus (RSV), one due to parainfluenza virus (PIV) and 10 due to influenza (FLU). Four of the FLU infections were serological rises without symptoms. Overall, 17 (34%) patients had documented viral infection; four patients had lower respiratory involvement and two (one RSV, one PIV) were hospitalised for aerosolised ribavirin treatment. After 1 yr there were three (6%) deaths unrelated to RVI. BO or BOS had occurred in one (6%) out of 17 patients with and three (12%) out of 33 without RVI. Respiratory viruses infected one-third of ambulatory lung transplant recipients in a single season. In conclusion, respiratory viral infection was not associated with subsequent graft dysfunction. Larger prospective studies are required to better define the acute and long-term morbidity of these infections.</t>
  </si>
  <si>
    <t xml:space="preserve">Vanderbilt Univ, Dept Med, Sch Med, Vanderbilt Univ Hosp, Nashville, TN 37232 USA; Vanderbilt Univ, Dept Surg, Sch Med, Vanderbilt Univ Hosp, Nashville, TN 37232 USA; Vanderbilt Univ, Vanderbilt Transplant Ctr, Sch Med, Vanderbilt Univ Hosp, Nashville, TN 37232 USA; Vanderbilt Univ, Vanderbilt Univ Hosp, Sch Med, Clin Virol Lab, Nashville, TN 37232 USA</t>
  </si>
  <si>
    <t xml:space="preserve">Dummer, S (corresponding author), Vanderbilt Univ, Dept Med, Sch Med, Vanderbilt Univ Hosp, 911 Oxford House, Nashville, TN 37232 USA.</t>
  </si>
  <si>
    <t xml:space="preserve">stephen.dummer@vanderbilt.edu</t>
  </si>
  <si>
    <t xml:space="preserve">Loyd, James/0000-0002-5042-7390</t>
  </si>
  <si>
    <t xml:space="preserve">EUROPEAN RESPIRATORY SOC JOURNALS LTD</t>
  </si>
  <si>
    <t xml:space="preserve">SHEFFIELD</t>
  </si>
  <si>
    <t xml:space="preserve">146 WEST ST, STE 2.4, HUTTONS BLDG, SHEFFIELD S1 4ES, ENGLAND</t>
  </si>
  <si>
    <t xml:space="preserve">0903-1936</t>
  </si>
  <si>
    <t xml:space="preserve">EUR RESPIR J</t>
  </si>
  <si>
    <t xml:space="preserve">Eur. Resp. J.</t>
  </si>
  <si>
    <t xml:space="preserve">10.1183/09031936.06.00105505</t>
  </si>
  <si>
    <t xml:space="preserve">064CJ</t>
  </si>
  <si>
    <t xml:space="preserve">WOS:000239066500020</t>
  </si>
  <si>
    <t xml:space="preserve">Vandervest, KM; Zamora, MR</t>
  </si>
  <si>
    <t xml:space="preserve">Vandervest, Katherine M.; Zamora, Martin R.</t>
  </si>
  <si>
    <t xml:space="preserve">Respiratory viral infections post-lung transplantation</t>
  </si>
  <si>
    <t xml:space="preserve">CURRENT PULMONOLOGY REPORTS</t>
  </si>
  <si>
    <t xml:space="preserve">Lung transplantation; Immunocompromised; Rhinovirus; Adenovirus; Influenza; Parainfluenza; Respiratory syncytial virus; Human metapneumovirus; Ribavirin; Acute rejection; Bronchiolitis obliterans syndrome; PCR</t>
  </si>
  <si>
    <t xml:space="preserve">HUMAN METAPNEUMOVIRUS; BRONCHIOLITIS OBLITERANS; SYNCYTIAL VIRUS; CLINICAL-FEATURES; CHRONIC REJECTION; TRACT INFECTIONS; ORAL RIBAVIRIN; IN-VIVO; RECIPIENTS; PNEUMONIA</t>
  </si>
  <si>
    <t xml:space="preserve">Community-acquired respiratory viruses (CARVs) are common pathogens in lung transplant recipients. Infection due to these viruses is associated with multiple complications including: rhinitis, pharyngitis, bronchitis, pneumonia, respiratory failure and even death. CARVs have also become increasingly recognized as a risk factor for acute rejection (AR) and bronchiolitis obliterans syndrome (BOS). Newer diagnostic techniques have enhanced the accuracy of diagnosis, but proven treatment options for CARVs are limited. Further insight into the immune response and allograft dysfunction associated with CARV infections is needed in order to develop novel management strategies which can reduce the morbidity and mortality caused by these infectious agents.</t>
  </si>
  <si>
    <t xml:space="preserve">[Vandervest, Katherine M.; Zamora, Martin R.] Univ Colorado Hosp, Div Pulm Sci &amp; Crit Care Med, Anschutz Med Campus,1635 Aurora Ct,Suite 7020, Aurora, CO 80045 USA</t>
  </si>
  <si>
    <t xml:space="preserve">University of Colorado System; University of Colorado Hospital; University of Colorado Anschutz Medical Campus</t>
  </si>
  <si>
    <t xml:space="preserve">Vandervest, KM (corresponding author), Univ Colorado Hosp, Div Pulm Sci &amp; Crit Care Med, Anschutz Med Campus,1635 Aurora Ct,Suite 7020, Aurora, CO 80045 USA.</t>
  </si>
  <si>
    <t xml:space="preserve">katherine.vandervest@ucdenver.edu</t>
  </si>
  <si>
    <t xml:space="preserve">Alnylam Pharmaceuticals</t>
  </si>
  <si>
    <t xml:space="preserve">K. M. Vandervest: none; M. R. Zamora: Alnylam Pharmaceuticals (grant).</t>
  </si>
  <si>
    <t xml:space="preserve">2199-2428</t>
  </si>
  <si>
    <t xml:space="preserve">CURR PULMONOL REP</t>
  </si>
  <si>
    <t xml:space="preserve">Curr. Pulmonol. Rep.</t>
  </si>
  <si>
    <t xml:space="preserve">10.1007/s13665-012-0017-x</t>
  </si>
  <si>
    <t xml:space="preserve">VC8CX</t>
  </si>
  <si>
    <t xml:space="preserve">WOS:000434625500003</t>
  </si>
  <si>
    <t xml:space="preserve">Liu, V; Dhillon, GS; Weill, D</t>
  </si>
  <si>
    <t xml:space="preserve">Liu, V.; Dhillon, G. S.; Weill, D.</t>
  </si>
  <si>
    <t xml:space="preserve">A multi-drug regimen for respiratory syncytial virus and parainfluenza virus infections in adult lung and heart-lung transplant recipients</t>
  </si>
  <si>
    <t xml:space="preserve">lung transplantation; heart-lung transplantation; respiratory syncytial virus; parainfluenza virus; chronic rejection; acute rejection; ribavirin; palivizumab</t>
  </si>
  <si>
    <t xml:space="preserve">BRONCHIOLITIS-OBLITERANS-SYNDROME; HUMAN METAPNEUMOVIRUS; CLINICAL-FEATURES; INTRAVENOUS RIBAVIRIN; PNEUMONIA; EPIDEMIOLOGY; IMPACT</t>
  </si>
  <si>
    <t xml:space="preserve">Background. Respiratory syncytial virus (RSV) and parainfluenza virus (PIV) can cause significant morbidity and mortality in lung and heart-lung transplant recipients. We evaluated the utility of a multi-drug protocol for the treatment of RSV- and PIV-related infections. Patients and methods. RSV or PIV was identified in 25 patients with a total of 29 infectious episodes between January 2006 and December 2007. The study included 20 women and 5 men, mean age 42 +/- 13 years. Fifteen patients had received bilateral lung transplant and the remainder either received single lung or heart-lung transplant. Mean time from transplant to infection was 1192 days. RSV was identified in 23 cases, PIV in 7 cases. Patients underwent treatment with inhaled ribavirin, methylprednisolone, and intravenous immunoglobulin (IVIG). RSV-positive patients were also treated with palivizumab. We retrospectively evaluated their clinical status and pulmonary function for a 1-year interval before and after the date of infection. Results. Average baseline forced expiratory volume in 1 s (FEV(1)) before infection was 2.14 +/- 0.68 L/min. Average decline in FEV(1) was 5.7% at the time of infection. Average FEV(1) during post-treatment follow-up was not significantly different than baseline (2.16 +/- 0.80 L/min). Among patients with bronchiolitis obliterans syndrome (BOS) stages 1, 2, or 3 at the time of infection, average FEV(1) declined by 14.8% and remained lower at 9.1% during follow-up when compared with patients with BOS stages 0 or 0p. No complications resulted from treatment. One patient died during follow-up as a result of pre-existing liver failure. Conclusions. This study of lung and heart-lung transplant recipients infected with RSV and PIV shows that a multi-drug regimen including inhaled ribavirin, corticosteroids, and IVIG (with or without palivizumab) is safe and effective. Prompt diagnosis and therapy for patients with RSV or PIV infections are critical for maintaining lung function.</t>
  </si>
  <si>
    <t xml:space="preserve">[Liu, V.; Dhillon, G. S.; Weill, D.] Stanford Univ, Sch Med, Div Pulm &amp; Crit Care Med, Heart Lung &amp; Lung Transplantat Program, Stanford, CA 94305 USA</t>
  </si>
  <si>
    <t xml:space="preserve">Stanford University</t>
  </si>
  <si>
    <t xml:space="preserve">Liu, V (corresponding author), 300 Pasteur Dr,H-3151, Stanford, CA 94305 USA.</t>
  </si>
  <si>
    <t xml:space="preserve">vinliu@stanford.edu</t>
  </si>
  <si>
    <t xml:space="preserve">liu, V/KIA-9904-2024</t>
  </si>
  <si>
    <t xml:space="preserve">Dhillon, Gundeep/0000-0003-0440-1138</t>
  </si>
  <si>
    <t xml:space="preserve">WILEY-BLACKWELL PUBLISHING, INC</t>
  </si>
  <si>
    <t xml:space="preserve">10.1111/j.1399-3062.2009.00453.x</t>
  </si>
  <si>
    <t xml:space="preserve">546PU</t>
  </si>
  <si>
    <t xml:space="preserve">WOS:000273823500006</t>
  </si>
  <si>
    <t xml:space="preserve">Gottlieb, J; Schulz, TF; Welte, T; Fuehner, T; Dierich, M; Simon, AR; Engelmann, I</t>
  </si>
  <si>
    <t xml:space="preserve">Gottlieb, Jens; Schulz, Thomas F.; Welte, Tobias; Fuehner, Thomas; Dierich, Martin; Simon, Andre R.; Engelmann, Ilka</t>
  </si>
  <si>
    <t xml:space="preserve">Community-Acquired Respiratory Viral Infections in Lung Transplant Recipients: A Single Season Cohort Study</t>
  </si>
  <si>
    <t xml:space="preserve">TRANSPLANTATION</t>
  </si>
  <si>
    <t xml:space="preserve">Lung transplantation; Bronchiolitis obliterans syndrome; Respiratory viral infections; Bronchoalveolar lavage; Polymerase chain reaction; Immunofluorescence; Respiratory syncytial virus</t>
  </si>
  <si>
    <t xml:space="preserve">BRONCHIOLITIS-OBLITERANS-SYNDROME; HUMAN METAPNEUMOVIRUS INFECTION; PARAINFLUENZA VIRUS-INFECTION; POLYMERASE-CHAIN-REACTION; ADULT LUNG; CLINICAL-FEATURES; TRACT INFECTIONS; PNEUMONIA; INFLUENZA; DIAGNOSIS</t>
  </si>
  <si>
    <t xml:space="preserve">Background. The impact of community-acquired respiratory virus (CARV) infections on bronchiolitis obliterans syndrome (BOS) and outcome after lung transplantation (LTx) and diagnostic techniques were prospectively evaluated. Methods. A single-center prospective cohort study was performed in LTx-outpatients between October 31, 2005 and April 30, 2006. Symptoms of respiratory tract infections were recorded and nasopharyngeal and oropharyngeal swabs were obtained. Lower respiratory sampling was performed when indicated. Immunofluorescence testing, cultures, and polymerase chain reaction for 12 different CARV were applied. Patients were followed up until December 31, 2007. New onset and BOS-stage was recorded 1 year after presentation. Results. Three hundred eighty-eight LTx-recipients were screened. Fifty-one percent reported of symptoms of respiratory tract infection. Seven hundred seventy upper and 180 lower respiratory samples were obtained. Thirty-four CARV were detected in 30 patients (7.7%): 12 parainfluenza, 7 respiratory syncytial virus, 6 metapneumovirus, 5 coronavirus, 3 rhinovirus, and I influenza virus. At I year, 43 new cases of BOS developed. One-year incidence of BOS was 25.0% in CARV-positive versus 9.0% in CARV-negative patients (log-rank P=0.01). Symptomatic CARV-infection proved to be a significant covariate for 1-year BOS-free survival in multivariate analysis (P=0.002, adjusted hazard ratio 4.13). CARV-infection did not influence BOS progression in 88 patients with prior BOS (P0.45). After paramyxovirus infection, 8 of 24 patients developed new-onset BOS, whereas no case was recorded after rhinovirus and coronavirus infection. Discussion. Surveillance detected CARV in LTx outpatients infrequently. Symptomatic CARV-infection increases the risk for new onset of BOS, but not progression. Risk to develop BOS was especially increased after paramyxovirus infection.</t>
  </si>
  <si>
    <t xml:space="preserve">[Gottlieb, Jens; Welte, Tobias; Fuehner, Thomas; Dierich, Martin] Hannover Med Sch, Dept Pulm Med, D-30625 Hannover, Germany; [Schulz, Thomas F.] Hannover Med Sch, Dept Virol, D-30625 Hannover, Germany; [Simon, Andre R.] Hannover Med Sch, Dept Cardiothorac Transplantat &amp; Vasc Surg, D-30625 Hannover, Germany; [Engelmann, Ilka] Mediterranean Univ, Dept Immunol, Marseille, France</t>
  </si>
  <si>
    <t xml:space="preserve">Hannover Medical School; Hannover Medical School; Hannover Medical School; Aix-Marseille Universite</t>
  </si>
  <si>
    <t xml:space="preserve">Gottlieb, J (corresponding author), Hannover Med Sch, Dept Resp Med, OE6870,Carl Neuberg Str 1, D-30625 Hannover, Germany.</t>
  </si>
  <si>
    <t xml:space="preserve">gottlieb.jens@nih-hannover.de</t>
  </si>
  <si>
    <t xml:space="preserve">Gottlieb, Jens/AGG-9082-2022; Engelmann, Ilka/JTU-5111-2023; Schulz, Thomas/AAA-1634-2019</t>
  </si>
  <si>
    <t xml:space="preserve">Engelmann, Ilka/0000-0001-7489-3786; Schulz, Thomas/0000-0001-8792-5345; Gottlieb, Prof. Jens/0000-0002-9540-9022</t>
  </si>
  <si>
    <t xml:space="preserve">0041-1337</t>
  </si>
  <si>
    <t xml:space="preserve">1534-6080</t>
  </si>
  <si>
    <t xml:space="preserve">Transplantation</t>
  </si>
  <si>
    <t xml:space="preserve">10.1097/TP.0b013e3181a4857d</t>
  </si>
  <si>
    <t xml:space="preserve">Immunology; Surgery; Transplantation</t>
  </si>
  <si>
    <t xml:space="preserve">450WH</t>
  </si>
  <si>
    <t xml:space="preserve">WOS:000266431500015</t>
  </si>
  <si>
    <t xml:space="preserve">Nellore, A; Houp, J; Killian, JT; Limaye, AP; Fisher, CE</t>
  </si>
  <si>
    <t xml:space="preserve">Nellore, Anoma; Houp, Julie; Killian, John T.; Limaye, Ajit P.; Fisher, Cynthia E.</t>
  </si>
  <si>
    <t xml:space="preserve">Association between Respiratory Virus Infection and Development of De Novo Donor-Specific Antibody in Lung Transplant Recipients</t>
  </si>
  <si>
    <t xml:space="preserve">lung transplant; respiratory viral infection; HLA antibody; chronic lung allograft dysfunction; donor-specific antibody</t>
  </si>
  <si>
    <t xml:space="preserve">VIRAL-INFECTIONS; ALLOGRAFT DYSFUNCTION; HUMAN METAPNEUMOVIRUS; PCR ASSAYS; SPECIMENS; RISK</t>
  </si>
  <si>
    <t xml:space="preserve">Chronic lung allograft dysfunction (CLAD) is the most common cause of long-term lung allograft failure. Several factors, including respiratory virus infection (RVI), have been associated with CLAD development, but the underlying mechanisms of these associations are not well understood. We hypothesize that RVI in lung transplant recipients elicits the development of donor-specific antibodies (DSAs), thus providing a mechanistic link between RVI and CLAD development. To test this hypothesis, we retrospectively evaluated for the presence of HLA antibodies in a cohort of lung transplant recipients with symptomatic RVI within the first four months post-transplant using sera at two time points (at/directly after the transplant and following RVI) and time-matched controls without RVI (post-transplant). We found a trend toward the development of de novo DSAs in those with symptomatic RVI versus controls [6/21 (29%) vs. 1/21 (5%), respectively, p = 0.09]. No cases or controls had DSA at baseline. We also found increased rates of CLAD and death among those who developed class II DSA versus those who did not (CLAD: 5/7 (71.4%) vs. 19/34 (54.3%), death: 5/7 (71.4%) vs. 17/35 (48.6%)). Prospective studies evaluating the temporal development of DSA after RVI in lung transplant patients and the subsequent outcomes are warranted.</t>
  </si>
  <si>
    <t xml:space="preserve">[Nellore, Anoma] Univ Alabama Birmingham, Div Infect Dis, Birmingham, AL 35294 USA; [Houp, Julie; Killian, John T.] Univ Alabama Birmingham, Div Transplant Surg, Birmingham, AL 35294 USA; [Houp, Julie] Univ Alabama Birmingham, Div Pathol, Birmingham, AL 35294 USA; [Limaye, Ajit P.] Univ Calif San Francisco, Div Infect Dis, San Francisco, CA 94143 USA; [Fisher, Cynthia E.] Univ Washington, Div Infect Dis, Seattle, WA 98195 USA</t>
  </si>
  <si>
    <t xml:space="preserve">University of Alabama System; University of Alabama Birmingham; University of Alabama System; University of Alabama Birmingham; University of Alabama System; University of Alabama Birmingham; University of California System; University of California San Francisco; University of Washington; University of Washington Seattle</t>
  </si>
  <si>
    <t xml:space="preserve">Nellore, A (corresponding author), Univ Alabama Birmingham, Div Infect Dis, Birmingham, AL 35294 USA.;Fisher, CE (corresponding author), Univ Washington, Div Infect Dis, Seattle, WA 98195 USA.</t>
  </si>
  <si>
    <t xml:space="preserve">anellore@uabmc.edu; celaine@uw.edu</t>
  </si>
  <si>
    <t xml:space="preserve">Nellore, Anoma/0000-0002-2489-2838</t>
  </si>
  <si>
    <t xml:space="preserve">AN Grant [R21AI152006, U19AI142737, U01AI163072, U19AI181105]; APL [AI163090, AI184205, HL102547]; CEF [HL143050, U01AI163090]</t>
  </si>
  <si>
    <t xml:space="preserve">AN Grant; APL(Australian Pork Limited); CEF</t>
  </si>
  <si>
    <t xml:space="preserve">AN Grant Support: R21AI152006, U19AI142737, U01AI163072, and U19AI181105. JTK Grant Support: U19AI142737. APL Grant Support: AI163090, AI184205, and HL102547. CEF Grant Support: HL143050 and U01AI163090.</t>
  </si>
  <si>
    <t xml:space="preserve">10.3390/v16101574</t>
  </si>
  <si>
    <t xml:space="preserve">K1X7R</t>
  </si>
  <si>
    <t xml:space="preserve">WOS:001341885900001</t>
  </si>
  <si>
    <t xml:space="preserve">Nguyen, DT; de Vries, RD; Ludlow, M; van den Hoogen, BG; Lemon, K; van Amerongen, G; Osterhaus, ADME; de Swart, RL; Duprex, WP</t>
  </si>
  <si>
    <t xml:space="preserve">Nguyen, D. Tien; de Vries, Rory D.; Ludlow, Martin; van den Hoogen, Bernadette G.; Lemon, Ken; van Amerongen, Geert; Osterhaus, Albert D. M. E.; de Swart, Rik L.; Duprex, W. Paul</t>
  </si>
  <si>
    <t xml:space="preserve">Paramyxovirus infections in ex vivo lung slice cultures of different host species</t>
  </si>
  <si>
    <t xml:space="preserve">Lung slices; Respiratory virus; Paramyxovirus; Ex vivo model; Infection; Pathogenesis</t>
  </si>
  <si>
    <t xml:space="preserve">SYNCYTIAL VIRUS-INFECTION; HUMAN METAPNEUMOVIRUS INFECTION; CANINE-DISTEMPER VIRUS; RAT SIGMODON-HISPIDUS; EPITHELIAL-CELLS; ANIMAL-MODEL; PATHOGENESIS; MEASLES; MACAQUES; GREEN</t>
  </si>
  <si>
    <t xml:space="preserve">Paramyxoviruses, including measles virus (MV), human metapneumovirus (HMPV), human respiratory syncytial virus (HRSV) and canine distemper virus (CDV), are transmitted via the respiratory route. Despite their close phylogenetic relationship, the pathogenesis of these viruses is very different. To study viral tropism and replication ex vivo, a protocol for the inflation of lungs with low-melting-point agarose mixed with culture medium was established. Lung slices were prepared and remained viable in culture at 37 degrees C for at least 7 days. Lung slices obtained from different animal species were infected with recombinant paramyxoviruses expressing enhanced green fluorescent protein (EGFP). Progression of infection was monitored in real time by detection of EGFP fluorescence. Flow cytometric analysis of cells emigrating into the culture medium proved to be a valuable tool for qualitative and quantitative assessment of infection over time. MV replicated optimally in lung slices of macaques, HMPV and HRSV in lung slices of cotton rats, and CDV in lung slices obtained from dogs and ferrets. In conclusion, these ex vivo lung slice cultures are discriminatory models for the study of respiratory virus infections and can be used to inform the design of future in vivo experiments, thereby reducing numbers of animals required. (c) 2013 Elsevier B.V. All rights reserved.</t>
  </si>
  <si>
    <t xml:space="preserve">[Nguyen, D. Tien; de Vries, Rory D.; van den Hoogen, Bernadette G.; van Amerongen, Geert; Osterhaus, Albert D. M. E.; de Swart, Rik L.] Erasmus MC, Univ Med Ctr, Dept Virosci, NL-3000 CA Rotterdam, Netherlands; [Ludlow, Martin; Duprex, W. Paul] Boston Univ, Sch Med, Dept Microbiol, Boston, MA 02118 USA; [Ludlow, Martin; Duprex, W. Paul] Boston Univ, Natl Emerging Infect Dis Labs, Boston, MA 02118 USA; [Lemon, Ken] Queens Univ Belfast, Sch Med Dent &amp; Biomed Sci, Belfast BT7 1NN, Antrim, North Ireland</t>
  </si>
  <si>
    <t xml:space="preserve">Erasmus University Rotterdam; Erasmus MC; Boston University; Boston University; Queens University Belfast</t>
  </si>
  <si>
    <t xml:space="preserve">de Swart, RL (corresponding author), Erasmus MC, Univ Med Ctr, Dept Virosci, POB 2040, NL-3000 CA Rotterdam, Netherlands.</t>
  </si>
  <si>
    <t xml:space="preserve">r.deswart@erasmusmc.nl</t>
  </si>
  <si>
    <t xml:space="preserve">Lemon, Ken/JZT-2287-2024; van den Hoogen, Bernadette/J-5461-2013; De Swart, Rik/E-6508-2011; de Vries, Rory Dylan/L-2264-2015</t>
  </si>
  <si>
    <t xml:space="preserve">De Swart, Rik/0000-0003-3599-8969; Osterhaus, Albert/0000-0002-6074-1172; de Vries, Rory Dylan/0000-0003-2817-0127; Lemon, Ken/0000-0001-9844-1573; Duprex, W Paul/0000-0003-1716-6376; Ludlow, Martin/0000-0002-0061-1106</t>
  </si>
  <si>
    <t xml:space="preserve">VIRGO project, MRC [G0801001]; ZonMw [91208012]; FNIH [DUPREX09GCGH0]; MRC [G0801001] Funding Source: UKRI</t>
  </si>
  <si>
    <t xml:space="preserve">VIRGO project, MRC; ZonMw(Netherlands Organization for Health Research and Development); FNIH; MRC(UK Research &amp; Innovation (UKRI)Medical Research Council UK (MRC))</t>
  </si>
  <si>
    <t xml:space="preserve">We thank Jet Beekman of the University Medical Center Utrecht, The Netherlands for her contribution to this study, Werner Ouwendijk for the photo in figure 1A and Selma Yuksel, Joyce Verburgh, and Latoya Sarijoen for their technical assistance. This study received financial support from the VIRGO project, MRC (grant# G0801001), ZonMw (grant# 91208012) and FNIH (grant# DUPREX09GCGH0). The funding sources had no involvement in study design or data analysis.</t>
  </si>
  <si>
    <t xml:space="preserve">10.1016/j.jviromet.2013.06.016</t>
  </si>
  <si>
    <t xml:space="preserve">204JR</t>
  </si>
  <si>
    <t xml:space="preserve">WOS:000323362100025</t>
  </si>
  <si>
    <t xml:space="preserve">Yan, Y; Luo, JY; Chen, Y; Wang, HH; Zhu, GY; He, PY; Guo, JL; Lei, YL; Chen, ZW</t>
  </si>
  <si>
    <t xml:space="preserve">Yan, Yong; Luo, Jian-Yong; Chen, Yin; Wang, Heng-Hui; Zhu, Guo-Ying; He, Pei-Yan; Guo, Jin-Lei; Lei, Yong-Liang; Chen, Zhong-Wen</t>
  </si>
  <si>
    <t xml:space="preserve">A multiplex liquid-chip assay based on Luminex xMAP technology for simultaneous detection of six common respiratory viruses</t>
  </si>
  <si>
    <t xml:space="preserve">ONCOTARGET</t>
  </si>
  <si>
    <t xml:space="preserve">Luminex; xMAP; respiratory virus; real-time RT-PCR; multiplex detection</t>
  </si>
  <si>
    <t xml:space="preserve">REAL-TIME PCR; INFLUENZA-B VIRUSES; SEASONAL INFLUENZA; TRACT INFECTIONS; SYNCYTIAL-VIRUS; PANEL FAST; DIAGNOSIS; IDENTIFICATION; BURDEN; CHILDREN</t>
  </si>
  <si>
    <t xml:space="preserve">We utilized one-step multiplex reverse transcription-PCR (RT-PCR) and Luminex xMAP technology to develop a respiratory multiplex liquid-chip assay (rMLA) for simultaneous detection of 6 common respiratory viruses, including influenza virus type A (FluA) and type B (FluB), para-influenza virus type 3 (PIV-3), respiratory syncytial virus (RSV), human metapneumovirus (MPV) and a threatening virus to China, Middle East Respiratory Syndrome coronavirus (MERS-CoV). Performance of rMLA was evaluated by comparing with real-time RT-PCR. Detection data from clinical specimens showed that the rMLA had diagnostic sensitivities of 97.10% for FluA, 94.59% for FluB, 98.68% for PIV-3, 94.87% for RSV and 95.92% for MPV (No Data for MERS-CoV due to the lack of positive specimens). Data of analytical sensitivities showed that the detection limits of the rMLA assay were 5-25 viral RNA copies per mu l for FluA, FluB, PIV-3 and MERS-CoV, approximate to the real-time RT-PCR assay; while the values were 8 and 22copies/mu l for MPV and RSV, lower than the real-time RT-PCR(78 and 114 copies/mu l respectively). The results indicated that the rMLA is a sensitive, specific detection tool and comparable to real-time RT-PCR, especially suitable for high-throughput detection of respiratory specimens.</t>
  </si>
  <si>
    <t xml:space="preserve">[Yan, Yong; Luo, Jian-Yong; Wang, Heng-Hui; Zhu, Guo-Ying; He, Pei-Yan; Guo, Jin-Lei; Chen, Zhong-Wen] Jiaxing Municipal Ctr Dis Control &amp; Prevent, Jiaxing Key Lab Pathogen Microbiol, Jiaxing 314050, Peoples R China; [Chen, Yin] Zhejiang Prov Ctr Dis Control &amp; Prevent, Inst Microbiol, Hangzhou 310051, Zhejiang, Peoples R China; [Lei, Yong-Liang] Lishui Municipal Ctr Dis Control &amp; Prevent, Lishui 323000, Peoples R China</t>
  </si>
  <si>
    <t xml:space="preserve">Zhejiang Provincial Center for Disease Control &amp; Prevention</t>
  </si>
  <si>
    <t xml:space="preserve">Chen, ZW (corresponding author), Jiaxing Municipal Ctr Dis Control &amp; Prevent, Jiaxing Key Lab Pathogen Microbiol, Jiaxing 314050, Peoples R China.</t>
  </si>
  <si>
    <t xml:space="preserve">heton74@hotmail.com</t>
  </si>
  <si>
    <t xml:space="preserve">Science and Technology Project of Zhejiang Province [2014C33247]</t>
  </si>
  <si>
    <t xml:space="preserve">Science and Technology Project of Zhejiang Province</t>
  </si>
  <si>
    <t xml:space="preserve">This study was financially supported by the Science and Technology Project of Zhejiang Province (Grant No. 2014C33247). The funder had no role in study design, data collection and analysis, decision to publish, or preparation of the manuscript.</t>
  </si>
  <si>
    <t xml:space="preserve">IMPACT JOURNALS LLC</t>
  </si>
  <si>
    <t xml:space="preserve">ORCHARD PARK</t>
  </si>
  <si>
    <t xml:space="preserve">6666 E QUAKER ST, STE 1, ORCHARD PARK, NY 14127 USA</t>
  </si>
  <si>
    <t xml:space="preserve">1949-2553</t>
  </si>
  <si>
    <t xml:space="preserve">Oncotarget</t>
  </si>
  <si>
    <t xml:space="preserve">NOV 14</t>
  </si>
  <si>
    <t xml:space="preserve">10.18632/oncotarget.18533</t>
  </si>
  <si>
    <t xml:space="preserve">Oncology; Cell Biology</t>
  </si>
  <si>
    <t xml:space="preserve">FR9LK</t>
  </si>
  <si>
    <t xml:space="preserve">WOS:000419395000046</t>
  </si>
  <si>
    <t xml:space="preserve">Li, XY; Chen, JY; Kong, M; Su, X; Zou, M; Guo, LR</t>
  </si>
  <si>
    <t xml:space="preserve">Li Xiaoyan; Chen Jinying; Kong Mei; Su Xu; Zou Ming; Guo Liru</t>
  </si>
  <si>
    <t xml:space="preserve">Development of High-throughput Liquid Chips for Respiratory Virus Detection</t>
  </si>
  <si>
    <t xml:space="preserve">CLINICAL LABORATORY</t>
  </si>
  <si>
    <t xml:space="preserve">luminex; xMAP; respiratory tract infection; multi-PCR</t>
  </si>
  <si>
    <t xml:space="preserve">INFLUENZA-A VIRUSES; REAL-TIME PCR; HUMAN CORONAVIRUSES; CLINICAL SPECIMENS; FREQUENT DETECTION; SUSPENSION ARRAY; SYNCYTIAL-VIRUS; IDENTIFICATION; INFECTIONS; ASSAY</t>
  </si>
  <si>
    <t xml:space="preserve">Background: Diagnosis of viral respiratory tract infections clinically is often nonspecific, and a rapid, high-throughput laboratory technique which can detect major respiratory viruses is desirable. Methods: Two liquid chip panels were developed which used a target-enriched multiplexed RT-PCR amplification followed by Luminex liquid chip hybridization based on xMAP technology. One was for the detection of 5 type/subtypes of the influenza virus (called Influenza Panel), the other was for the identification of 14 major respiratory viruses, including emerging human metapneumovirus (HMPV), coronavirus (CoV NL63, HKU1), human bocavirus (HBoV), and WU polyomavirus (WUPyV) (called Respiratory Panel). The analytical sensitivity and specificity of these two panels were determined. 108 throat swabs from influenza-like-illness (ILI) cases and 88 nasopharyngeal aspirates (NPA) from hospitalized children with lower respiratory tract infections (LRTI) were used to evaluate the two panels. Results: The Influenza Panel returned the analytical sensitivity of 4 - 10 copies vRNA/mu L of sample for seasonal H1N1, H3N2, pandemic H1N1, and B, and 200 copies vRNA/mu L of sample for 115. The analytical sensitivity of the Respiratory Panel was as follows: 10 - 150 copies vRNA/mu L of sample for most of the viral targets tested in this panel except RSV (400 copies vRNA/mu L of sample). No cross reactivity was observed for both panels. As determined by commercial multi-PCR kit and conventional PCR (for HBoV and WUPyV), the diagnostic sensitivity of the Respiratory Panel for each viral targets ranged from 50.0% to 100.0%, the diagnostic specificity was 96.2% - 100.0%, and accordance rate was 93.2% - 100.0%, the kappa correlation of eight viral targets was &gt; 0.75. Conclusions: Two liquid chip assay panels, developed based on xMAP technology, can detect 5 types/subtypes of influenza viruses and 14 respiratory viruses simultaneously in one reaction in 6 hours. They are potentially rapid, sensitive, specific, and high throughput diagnostic tools for major viral pathogens associated with respiratory tract infection.</t>
  </si>
  <si>
    <t xml:space="preserve">[Li Xiaoyan; Kong Mei; Su Xu; Zou Ming; Guo Liru] Tianjin Ctr Dis Control &amp; Prevent, Tianjin, Peoples R China; [Li Xiaoyan; Chen Jinying] Tianjin Med Univ, Tianjin, Peoples R China</t>
  </si>
  <si>
    <t xml:space="preserve">Tianjin Center for Disease Control &amp; Prevention; Tianjin Medical University</t>
  </si>
  <si>
    <t xml:space="preserve">Chen, JY (corresponding author), 76 Hualong Rd, Tianjin, Peoples R China.</t>
  </si>
  <si>
    <t xml:space="preserve">jinyingchen1@163.com; sux001cn@sohu.com</t>
  </si>
  <si>
    <t xml:space="preserve">ZOU, MING/KYR-3425-2024</t>
  </si>
  <si>
    <t xml:space="preserve">Tianjin Municipal Science and Technology Commission [07SYSYSF05 100]</t>
  </si>
  <si>
    <t xml:space="preserve">Tianjin Municipal Science and Technology Commission</t>
  </si>
  <si>
    <t xml:space="preserve">This study was funded by Tianjin Municipal Science and Technology Commission (grant No. 07SYSYSF05 100).</t>
  </si>
  <si>
    <t xml:space="preserve">CLIN LAB PUBL</t>
  </si>
  <si>
    <t xml:space="preserve">IM BREITSPIEL 15, HEIDELBERG, D-69126, GERMANY</t>
  </si>
  <si>
    <t xml:space="preserve">1433-6510</t>
  </si>
  <si>
    <t xml:space="preserve">CLIN LAB</t>
  </si>
  <si>
    <t xml:space="preserve">Clin. Lab.</t>
  </si>
  <si>
    <t xml:space="preserve">10.7754/Clin.Lab.2013.130334</t>
  </si>
  <si>
    <t xml:space="preserve">AQ5OA</t>
  </si>
  <si>
    <t xml:space="preserve">WOS:000342857300001</t>
  </si>
  <si>
    <t xml:space="preserve">Sepúlveda-Pachón, IT; Dunne, EM; Hanquet, G; Baay, M; Menon, S; Jodar, L; Gessner, BD; Theilacker, C</t>
  </si>
  <si>
    <t xml:space="preserve">Sepulveda-Pachon, Ingrid T.; Dunne, Eileen M.; Hanquet, Germaine; Baay, Marc; Menon, Sonia; Jodar, Luis; Gessner, Bradford D.; Theilacker, Christian</t>
  </si>
  <si>
    <t xml:space="preserve">Effect of Pneumococcal Conjugate Vaccines on Viral Respiratory Infections: A Systematic Literature Review</t>
  </si>
  <si>
    <t xml:space="preserve">lower tract respiratory infection; LRTI; pneumonia; viral; pneumococcal conjugate vaccine</t>
  </si>
  <si>
    <t xml:space="preserve">COMMUNITY-ACQUIRED PNEUMONIA; TRACT INFECTIONS; INFLUENZA; CHILDREN; VACCINATION; IMPACT; HOSPITALIZATION; RISK; COINFECTIONS; SEROTYPES</t>
  </si>
  <si>
    <t xml:space="preserve">Background In addition to preventing pneumococcal disease, emerging evidence indicates that pneumococcal conjugate vaccines (PCVs) might indirectly reduce viral respiratory tract infections (RTIs) by affecting pneumococcal-viral interactions.Methods We performed a systematic review of interventional and observational studies published during 2000-2022 on vaccine efficacy/adjusted effectiveness (VE) and overall effect of PCV7, PCV9, PCV10, or PCV13 against viral RTIs.Results Sixteen of 1671 records identified were included. Thirteen publications described effects of PCVs against viral RTIs in children. VE against influenza ranged between 41% and 86% (n = 4), except for the 2010-2011 influenza season. In a randomized controlled trial, PCV9 displayed efficacy against any viral RTI, human seasonal coronavirus, parainfluenza, and human metapneumovirus. Data in adults were limited (n = 3). PCV13 VE was 4%-25% against viral lower RTI, 32%-35% against coronavirus disease 2019 outcomes, 24%-51% against human seasonal coronavirus, and 13%-36% against influenza A lower RTI, with some 95% confidence intervals spanning zero. No protection was found against adenovirus or rhinovirus in children or adults.Conclusions PCVs were associated with protection against some viral RTI, with the strongest evidence for influenza in children. Limited evidence for adults was generally consistent with pediatric data. Restricting public health evaluations to confirmed pneumococcal outcomes may underestimate the full impact of PCVs. Emerging evidence indicates that pneumococcal conjugate vaccines (PCVs) not only reduce pneumococcal disease burden but also might indirectly reduce viral respiratory tract infections by affecting pneumococcal-viral interactions. We summarized available evidence on PCV protection against virus-related respiratory tract infections in children and adults.</t>
  </si>
  <si>
    <t xml:space="preserve">[Sepulveda-Pachon, Ingrid T.; Hanquet, Germaine; Baay, Marc; Menon, Sonia] Epidemiol Dept, Epidemiol &amp; Pharmacovigilance P95, Leuven, Belgium; [Dunne, Eileen M.; Jodar, Luis; Gessner, Bradford D.; Theilacker, Christian] Pfizer Inc, Global Vaccines &amp; Antivirals, Collegeville, PA USA; [Dunne, Eileen M.] Global Vaccines &amp; Antivirals, Pfizer Vaccines, 500 Arcola Rd, Collegeville, PA 19426 USA; [Sepulveda-Pachon, Ingrid T.] Epidemiol Dept, Epidemiol &amp; Pharmacovigilance P95, Koning Leopold III-Laan 1, B-3001 Leuven, Belgium</t>
  </si>
  <si>
    <t xml:space="preserve">Pfizer; Pfizer</t>
  </si>
  <si>
    <t xml:space="preserve">Dunne, EM (corresponding author), Global Vaccines &amp; Antivirals, Pfizer Vaccines, 500 Arcola Rd, Collegeville, PA 19426 USA.;Sepúlveda-Pachón, IT (corresponding author), Epidemiol Dept, Epidemiol &amp; Pharmacovigilance P95, Koning Leopold III-Laan 1, B-3001 Leuven, Belgium.</t>
  </si>
  <si>
    <t xml:space="preserve">ingrid.sepulveda@p-95.com; eileen.dunne@pfizer.com</t>
  </si>
  <si>
    <t xml:space="preserve">Gilles, Hanquet/AAM-8417-2021; Dunne, Eileen/M-3203-2019</t>
  </si>
  <si>
    <t xml:space="preserve">Dunne, Eileen/0000-0001-5542-0780; Gessner, Bradford/0000-0002-6216-7194; Jodar, Luis/0000-0003-1246-530X; Baay, Marc/0000-0001-7266-551X; Theilacker, Christian/0000-0003-0821-9202</t>
  </si>
  <si>
    <t xml:space="preserve">Pfizer Inc.; Pfizer</t>
  </si>
  <si>
    <t xml:space="preserve">Pfizer Inc.(Pfizer); Pfizer(Pfizer)</t>
  </si>
  <si>
    <t xml:space="preserve">This study was funded by Pfizer Inc. P95 Epidemiology and Pharmacovigilance received funding from Pfizer to conduct this study.</t>
  </si>
  <si>
    <t xml:space="preserve">E657</t>
  </si>
  <si>
    <t xml:space="preserve">E667</t>
  </si>
  <si>
    <t xml:space="preserve">10.1093/infdis/jiae125</t>
  </si>
  <si>
    <t xml:space="preserve">MAR 2024</t>
  </si>
  <si>
    <t xml:space="preserve">G6P2B</t>
  </si>
  <si>
    <t xml:space="preserve">WOS:001191350000001</t>
  </si>
  <si>
    <t xml:space="preserve">Wongsawat, J; Chittaganpitch, M; Ampornareekul, S; Srisophaa, S; Likanonsakul, S</t>
  </si>
  <si>
    <t xml:space="preserve">Wongsawat, Jurai; Chittaganpitch, Malinee; Ampornareekul, Somtavil; Srisophaa, Somkid; Likanonsakul, Sirirat</t>
  </si>
  <si>
    <t xml:space="preserve">The validity of clinical practice guidelines for empirical use of oseltamivir for influenza in Thai children</t>
  </si>
  <si>
    <t xml:space="preserve">Lower respiratory tract viral infections; Pneumonia; Higher risk groups for influenza complications; Empirical oseltamivir</t>
  </si>
  <si>
    <t xml:space="preserve">VIRUS; INFECTION; ILLNESS</t>
  </si>
  <si>
    <t xml:space="preserve">Background:Clinical practice guidelines for influenza have been implemented to maximise the appropriate use of empirical oseltamivir; however, good predictive values are required.Methods:Between October 2011 and September 2013, children aged &lt;15 years who presented at the Bamrasnaradura Infectious Diseases Institute with an influenza-like illness plus either (i) pneumonia or (ii) being in a higher risk group for influenza complications were prospectively enrolled. Respiratory specimens were taken for real-time polymerase chain reaction testing (RT-PCR). Clinical characteristics, laboratory data and oseltamivir therapy were recorded.Results:85 cases were enrolled. Of these, the proportions of those with pneumonia, who were aged &lt;2 years and who had underlying diseases were 74.1%, 56.5% and 38.8%, respectively. RT-PCR detected respiratory syncytial virusamong (35.3%), influenza (22.3by%), adenovirus (14.1%), human metapneumovirus (5.9%), para-influenza (3.5%) and no viruses (25.9 %). Pneumonia (OR 0.16, 95% CI 0.05-0.50) and having two clinical criteria (OR 0.24, 95% CI 0.08-0.76) were significantly negative predictors of influenza. Having cluster transmissions (OR 5.18, 95% CI 1.38-19.37) and a monocyte proportion &gt;7% (OR 3.58, 95% CI 1.15-11.17) were significantly positive predictors of influenza. The mean (SD) percentage of influenza-like illness during the study period was 7.04 (2.02).Conclusions:Clinical criteria guidelines yielded a low predictive value (22.3%) for influenza in children. Seasonality, cluster transmission, white blood cell and differential counts may be helpful in diagnosing influenza. Nonetheless, empirical oseltamivir should not be delayed for those in need.</t>
  </si>
  <si>
    <t xml:space="preserve">[Wongsawat, Jurai] MOPH, Bamrasnaradura Infect Dis Inst, Paediat Unit, Nonthaburi, Thailand; [Chittaganpitch, Malinee] MOPH, Natl Inst Hlth, Thai Natl Influenza Ctr, Nonthaburi, Thailand; [Ampornareekul, Somtavil] MOPH, Bamrasnaradura Infect Dis Inst, Nursing Sect, Nonthaburi, Thailand; [Srisophaa, Somkid; Likanonsakul, Sirirat] MOPH, Bamrasnaradura Infect Dis Inst, Lab Sect, Nonthaburi, Thailand</t>
  </si>
  <si>
    <t xml:space="preserve">Ministry of Public Health - Thailand</t>
  </si>
  <si>
    <t xml:space="preserve">Wongsawat, J (corresponding author), Bamrasnaradura Infect Dis Inst, Pediat Unit, 126 Tiwanon Rd, Nonthaburi 11000, Thailand.</t>
  </si>
  <si>
    <t xml:space="preserve">juraiw@hotmail.com</t>
  </si>
  <si>
    <t xml:space="preserve">National Research Council of Thailand</t>
  </si>
  <si>
    <t xml:space="preserve">National Research Council of Thailand(National Research Council of Thailand (NRCT))</t>
  </si>
  <si>
    <t xml:space="preserve">This study was funded by a grantfrom the National Research Council of Thailand.</t>
  </si>
  <si>
    <t xml:space="preserve">10.1179/2046905515Y.0000000052</t>
  </si>
  <si>
    <t xml:space="preserve">EG4CH</t>
  </si>
  <si>
    <t xml:space="preserve">WOS:000390990500005</t>
  </si>
  <si>
    <t xml:space="preserve">Othman, HT; Abu Elhamed, WA; Hassan, DM; Soliman, MS; Baset, RWA</t>
  </si>
  <si>
    <t xml:space="preserve">Othman, Heba T.; Abu Elhamed, Walaa A.; Hassan, Dina M.; Soliman, May S.; Baset, Radwa W. Abdel</t>
  </si>
  <si>
    <t xml:space="preserve">Respiratory syncytial virus and human metapneumovirus in severe lower respiratory tract infections in children under two</t>
  </si>
  <si>
    <t xml:space="preserve">lower respiratory tract infections; respiratory syncytial virus; human metapneumovirus; pediatric ICU</t>
  </si>
  <si>
    <t xml:space="preserve">EGYPTIAN CHILDREN; VIRAL ETIOLOGY; ADMISSION; DISEASE; BURDEN</t>
  </si>
  <si>
    <t xml:space="preserve">Introduction: Viruses are the most important causative agents of acute lower respiratory tract infections (ALRTIs), ranked as the second leading cause of death and the primary cause of hospitalization in children. Respiratory syncytial virus (RSV) and human metapneumovirus (hMPV) are among the commonest viral causes of severe ALRTI. In this study, we aimed to study the burden of both RSV and hMPV in causing severe ALRTI in children younger than two years of age admitted to the pediatric intensive care unit (PICU). Methodology: Nasopharyngeal swabs were collected from children admitted to the PICU with a diagnosis of community-acquired ALRTI who were two years of age or younger. Real-time polymerase chain reaction (RT-PCR) was used to test for RSV and hMPV. Results: A total of 127 swabs were screened for RSV and hMPV, of which 49.6% were negative for RSV and hMPV, 46.4% were positive for RSV, and 3.9% were positive for hMPV. With respect to RSV, the mean age of cases (4.01 +/- 5.05) and the monthly distribution (mainly January) were the most important risk factors. There were no statistically significant differences between the RSV group and control group regarding duration of hospital stay, mechanical ventilation need or duration, and underlying chronic conditions. Conclusions: RSV is important viral cause of severe ALRTIs in children younger than two years of age during this study period; hMPV played a minor role.</t>
  </si>
  <si>
    <t xml:space="preserve">[Othman, Heba T.; Abu Elhamed, Walaa A.] Cairo Univ, Fac Med, Dept Pediat, Cairo, Egypt; [Hassan, Dina M.; Soliman, May S.] Cairo Univ, Fac Med, Dept Clin &amp; Chem Pathol, Cairo, Egypt; [Baset, Radwa W. Abdel] Cairo Univ, Fac Med, MBBCH, Cairo, Egypt</t>
  </si>
  <si>
    <t xml:space="preserve">Egyptian Knowledge Bank (EKB); Cairo University; Egyptian Knowledge Bank (EKB); Cairo University; Egyptian Knowledge Bank (EKB); Cairo University</t>
  </si>
  <si>
    <t xml:space="preserve">Hassan, DM (corresponding author), Cairo Univ, Cairo Univ Hosp, New Children Hosp, Clin &amp; Chem Pathol,Fac Med, POB 11435, Cairo, Egypt.</t>
  </si>
  <si>
    <t xml:space="preserve">dinamhassan@kasralainy.edu.eg</t>
  </si>
  <si>
    <t xml:space="preserve">Hassan, Dina/0000-0002-4415-0233</t>
  </si>
  <si>
    <t xml:space="preserve">10.3855/jidc.7087</t>
  </si>
  <si>
    <t xml:space="preserve">DI4BW</t>
  </si>
  <si>
    <t xml:space="preserve">WOS:000373446200012</t>
  </si>
  <si>
    <t xml:space="preserve">Mathisen, M; Strand, TA; Valentiner-Branth, P; Chandyo, RK; Basnet, S; Sharma, BN; Adhikari, RK; Hvidsten, D; Shrestha, PS; Sommerfelt, H</t>
  </si>
  <si>
    <t xml:space="preserve">Mathisen, Maria; Strand, Tor A.; Valentiner-Branth, Palle; Chandyo, Ram K.; Basnet, Sudha; Sharma, Biswa N.; Adhikari, Ramesh K.; Hvidsten, Dag; Shrestha, Prakash S.; Sommerfelt, Halvor</t>
  </si>
  <si>
    <t xml:space="preserve">Respiratory Viruses in Nepalese Children With and Without Pneumonia A Case-Control Study</t>
  </si>
  <si>
    <t xml:space="preserve">lower respiratory tract infection; respiratory syncytial virus; parainfluenza virus; influenza virus; human metapneumovirus; multiplex reverse transcription PCR</t>
  </si>
  <si>
    <t xml:space="preserve">HUMAN BOCAVIRUS; HOSPITALIZATION; SURVEILLANCE; INFECTIONS; ANTIBODIES; DIAGNOSIS; ILLNESS; INFANTS; PCR</t>
  </si>
  <si>
    <t xml:space="preserve">Background: The causative role of respiratory viruses detected in upper airway secretions in childhood pneumonia needs further investigation. Objective: To measure the association between infection with respiratory RNA viruses and pneumonia in children. Methods: From March 2006 to July 2007, we conducted a case-control study of 680 pneumonia cases (WHO criteria) and 680 randomly selected, concurrently sampled age-matched controls among children aged 2-35 months in Bhaktapur, Nepal. A nasopharyngeal aspirate from each child was examined for 7 respiratory viruses using reverse transcription polymerase chain reaction. We calculated the matched odds ratios (MORs) for the detection of the individual viruses from a case compared with a control as measures of pathogenicity using conditional logistic regression. Results: At least 1 virus was recovered in 248 (36.5%) cases and 48 (7.1%) controls. The MOR varied from 2.0 to 13.0; the highest associations were observed for parainfluenza virus type 3 (MOR 13.0; 95% confidence interval [CI] 6.0-28.0), respiratory syncytial virus (MOR 10.7; CI 4.6-24.6), and influenza A (MOR 6.3; CI 1.9-21.4). We observed that the association was lower for children age 2-5 months compared with older children for parainfluenza virus type 3 (P value for interaction 0.002). Conclusions: All of the 7 respiratory viruses were associated with pneumonia, but their pathogenicity varied. Parainfluenza type 3, RSV, and influenza A were most strongly associated with pneumonia.</t>
  </si>
  <si>
    <t xml:space="preserve">[Mathisen, Maria; Strand, Tor A.; Chandyo, Ram K.; Sommerfelt, Halvor] Univ Bergen, Ctr Int Hlth, N-5020 Bergen, Norway; [Strand, Tor A.] Sykehuset Innlandet, Dept Lab Med, Lillehammer, Norway; [Strand, Tor A.; Sommerfelt, Halvor] Norwegian Inst Publ Hlth, Div Infect Dis Control, Oslo, Norway; [Valentiner-Branth, Palle] Statens Serum Inst, Dept Epidemiol, Div Epidemiol, DK-2300 Copenhagen, Denmark; [Chandyo, Ram K.; Basnet, Sudha; Adhikari, Ramesh K.; Shrestha, Prakash S.] Tribhuvan Univ, Dept Child Hlth, Inst Med, Kathmandu, Nepal; [Sharma, Biswa N.] Tribhuvan Univ Teaching Hosp, Dept Microbiol, Kathmandu, Nepal; [Hvidsten, Dag] Univ Hosp N Norway, Dept Microbiol &amp; Infect Control, Tromso, Norway</t>
  </si>
  <si>
    <t xml:space="preserve">University of Bergen; Innlandet Hospital Trust; Norwegian Institute of Public Health (NIPH); Statens Serum Institut; Tribhuvan University; Institute of Medicine (IoM) - Nepal; Tribhuvan University; Institute of Medicine (IoM) - Nepal; UiT The Arctic University of Tromso; University Hospital of North Norway</t>
  </si>
  <si>
    <t xml:space="preserve">Strand, TA (corresponding author), Univ Bergen, Ctr Int Hlth, POB 7804, N-5020 Bergen, Norway.</t>
  </si>
  <si>
    <t xml:space="preserve">tor.strand@cih.uib.no</t>
  </si>
  <si>
    <t xml:space="preserve">European Commission (EU-INCO-DC) [INCO-FP6-003740]; Norwegian Council of Universities' Committee for Development Research and Education (NUFU) [2007/10177]; Research Council of Norway (RCN) [151054, 172226]; Danish Council of Developmental Research [91128]</t>
  </si>
  <si>
    <t xml:space="preserve">European Commission (EU-INCO-DC)(European Union (EU)European Commission Joint Research Centre); Norwegian Council of Universities' Committee for Development Research and Education (NUFU); Research Council of Norway (RCN)(Research Council of Norway); Danish Council of Developmental Research</t>
  </si>
  <si>
    <t xml:space="preserve">Supported by the European Commission (EU-INCO-DC contract number INCO-FP6-003740), the Norwegian Council of Universities' Committee for Development Research and Education (NUFU project number 2007/10177), the Research Council of Norway (RCN project number 151054 and 172226), and the Danish Council of Developmental Research (91128).</t>
  </si>
  <si>
    <t xml:space="preserve">10.1097/INF.0b013e3181d9bcce</t>
  </si>
  <si>
    <t xml:space="preserve">630ZF</t>
  </si>
  <si>
    <t xml:space="preserve">WOS:000280314900011</t>
  </si>
  <si>
    <t xml:space="preserve">Hoefnagels, I; van de Maat, J; van Kampen, JJA; van Rossum, A; Obihara, C; Tramper-Stranders, GA; Heikema, AP; de Koning, W; van Wermerskerken, AM; Horst-Kreft, D; Driessen, GJA; Punt, J; Smit, FJ; Stubbs, A; Noordzij, JG; Hays, JP; Oostenbrink, R</t>
  </si>
  <si>
    <t xml:space="preserve">Hoefnagels, Ivo; van de Maat, Josephine; van Kampen, Jeroen J. A.; van Rossum, Annemarie; Obihara, Charlie; Tramper-Stranders, Gerdien A.; Heikema, Astrid P.; de Koning, Willem; van Wermerskerken, Anne-Marie; Horst-Kreft, Deborah; Driessen, Gertjan J. A.; Punt, Janine; Smit, Frank J.; Stubbs, Andrew; Noordzij, Jeroen G.; Hays, John P.; Oostenbrink, Rianne</t>
  </si>
  <si>
    <t xml:space="preserve">The Role of the Respiratory Microbiome and Viral Presence in Lower Respiratory Tract Infection Severity in the First Five Years of Life</t>
  </si>
  <si>
    <t xml:space="preserve">lower respiratory tract infection; respiratory microbiome; virus; nanopore sequencing; 16S-rRNA gene</t>
  </si>
  <si>
    <t xml:space="preserve">COMMUNITY-ACQUIRED PNEUMONIA; DISEASE SEVERITY; NASOPHARYNGEAL MICROBIOTA; CHILDREN; MULTIPLE; INFANTS; VIRUSES; ASSOCIATION; BRONCHIOLITIS; PATHOGENS</t>
  </si>
  <si>
    <t xml:space="preserve">Lower respiratory tract infections (LRTIs) in children are common and, although often mild, a major cause of mortality and hospitalization. Recently, the respiratory microbiome has been associated with both susceptibility and severity of LRTI. In this current study, we combined respiratory microbiome, viral, and clinical data to find associations with the severity of LRTI. Nasopharyngeal aspirates of children aged one month to five years included in the STRAP study (Study to Reduce Antibiotic prescription in childhood Pneumonia), who presented at the emergency department (ED) with fever and cough or dyspnea, were sequenced with nanopore 16S-rRNA gene sequencing and subsequently analyzed with hierarchical clustering to identify respiratory microbiome profiles. Samples were also tested using a panel of 15 respiratory viruses and Mycoplasma pneumoniae, which were analyzed in two groups, according to their reported virulence. The primary outcome was hospitalization, as measure of disease severity. Nasopharyngeal samples were isolated from a total of 167 children. After quality filtering, microbiome results were available for 54 children and virology panels for 158 children. Six distinct genus-dominant microbiome profiles were identified, with Haemophilus-, Moraxella-, and Streptococcus-dominant profiles being the most prevalent. However, these profiles were not found to be significantly associated with hospitalization. At least one virus was detected in 139 (88%) children, of whom 32.4% had co-infections with multiple viruses. Viral co-infections were common for adenovirus, bocavirus, and enterovirus, and uncommon for human metapneumovirus (hMPV) and influenza A virus. The detection of enteroviruses was negatively associated with hospitalization. Virulence groups were not significantly associated with hospitalization. Our data underlines high detection rates and co-infection of viruses in children with respiratory symptoms and confirms the predominant presence of Haemophilus-, Streptococcus-, and Moraxella-dominant profiles in a symptomatic pediatric population at the ED. However, we could not assess significant associations between microbiome profiles and disease severity measures.</t>
  </si>
  <si>
    <t xml:space="preserve">[Hoefnagels, Ivo; van de Maat, Josephine; Oostenbrink, Rianne] Erasmus MC Sophia Children S Hosp, Dept Gen Pediat, NL-3015 GD Rotterdam, Netherlands; [van de Maat, Josephine] Radboudumc, Dept Internal Med, Radboud Ctr Infect Dis, NL-6525 GA Nijmegen, Netherlands; [van Kampen, Jeroen J. A.] Erasmus Univ Med Ctr Erasmus MC, Dept Virosci, NL-3015 GD Rotterdam, Netherlands; [van Rossum, Annemarie] Erasmus MC Sophia Childrens Hosp, Dept Pediat, Div Pediat Infect Dis, NL-3015 GD Rotterdam, Netherlands; [Obihara, Charlie] Elisabeth TweeSteden Hosp, Dept Pediat, NL-5042 AD Tilburg, Netherlands; [Tramper-Stranders, Gerdien A.] Franciscus Gasthuis &amp; Vlietland, Dept Pediat, NL-3045 PM Rotterdam, Netherlands; [Heikema, Astrid P.; Horst-Kreft, Deborah; Hays, John P.] Erasmus Univ Med Ctr Erasmus MC, Dept Med Microbiol &amp; Infect Dis, NL-3015 GD Rotterdam, Netherlands; [de Koning, Willem; Stubbs, Andrew] Erasmus Univ Med Ctr Erasmus MC, Dept Pathol, Clin Bioinformat Unit, NL-3015 GD Rotterdam, Netherlands; [van Wermerskerken, Anne-Marie] Flevoziekenhuis, Dept Pediat, NL-1315 RA Almere, Netherlands; [Driessen, Gertjan J. A.] Maastricht Univ, Dept Pediat, Med Ctr, NL-3584 CX Maastricht, Netherlands; [Punt, Janine] Langeland Ziekenhuis, Dept Pediat, NL-2725 NA Zoetermeer, Netherlands; [Smit, Frank J.] Maasstad Ziekenhuis, Dept Pediat, NL-3079 DZ Rotterdam, Netherlands; [Noordzij, Jeroen G.] Reinier de Graaf Gasthuis, Dept Pediat, NL-2625 AD Delft, Netherlands</t>
  </si>
  <si>
    <t xml:space="preserve">Radboud University Nijmegen; Erasmus University Rotterdam; Erasmus MC; Erasmus University Rotterdam; Erasmus MC; Elisabeth-TweeSteden Ziekenhuis (ETZ); Franciscus Gasthuis; Erasmus University Rotterdam; Erasmus MC; Erasmus University Rotterdam; Erasmus MC; Maastricht University; Maasstad Hospital; Reinier de Graaf Hospital</t>
  </si>
  <si>
    <t xml:space="preserve">Oostenbrink, R (corresponding author), Erasmus MC Sophia Children S Hosp, Dept Gen Pediat, NL-3015 GD Rotterdam, Netherlands.</t>
  </si>
  <si>
    <t xml:space="preserve">i.hoefnagels@erasmusmc.nl; Josephine.vandeMaat@radboudumc.nl; j.vankampen@erasmusmc.nl; a.vanrossum@erasmusmc.nl; c.obihara@etz.nl; g.tramper@franciscus.nl; a.heikema@erasmusmc.nl; w.dekoning.1@erasmusmc.nl; avwermeskerken@flevoziekenhuis.nl; d.kreft@erasmusmc.nl; gertjan.driessen@mumc.nl; j.punt@llz.nl; smitf@maasstadziekenhuis.nl; a.stubbs@erasmusmc.nl; j.noordzij@rdgg.nl; j.hays@erasmusmc.nl; r.oostenbrink@erasmusmc.nl</t>
  </si>
  <si>
    <t xml:space="preserve">de Koning, Willem/AAN-3981-2021; Driessen, Gertjan/AAI-9711-2020; Tramper, Gerdien/N-5556-2018; HAYS, John P./I-9007-2017</t>
  </si>
  <si>
    <t xml:space="preserve">van Kampen, Jeroen/0000-0002-7625-8230; HAYS, John P./0000-0001-9183-4497; oostenbrink, Rianne/0000-0001-7919-8934; de Koning, Willem/0000-0002-4594-8423; Heikema, Astrid/0000-0001-7659-1917</t>
  </si>
  <si>
    <t xml:space="preserve">Netherlands Organisation for Health Research and Development (ZonMW) [836041001]; Innovatiefonds Zorgverzekeraars [B14-205, 2818]</t>
  </si>
  <si>
    <t xml:space="preserve">Netherlands Organisation for Health Research and Development (ZonMW)(Netherlands Organization for Health Research and Development); Innovatiefonds Zorgverzekeraars</t>
  </si>
  <si>
    <t xml:space="preserve">This study was funded by The Netherlands Organisation for Health Research and Development (ZonMW, grant number 836041001) and Innovatiefonds Zorgverzekeraars (B14-205, dossier 2818).</t>
  </si>
  <si>
    <t xml:space="preserve">10.3390/microorganisms9071446</t>
  </si>
  <si>
    <t xml:space="preserve">TN7FY</t>
  </si>
  <si>
    <t xml:space="preserve">WOS:000676397700001</t>
  </si>
  <si>
    <t xml:space="preserve">Ren, LL; Xiang, ZC; Guo, L; Wang, JW</t>
  </si>
  <si>
    <t xml:space="preserve">Ren, Lili; Xiang, Zichun; Guo, Li; Wang, Jianwei</t>
  </si>
  <si>
    <t xml:space="preserve">Viral Infections of the Lower Respiratory Tract</t>
  </si>
  <si>
    <t xml:space="preserve">Lower respiratory tract infection; Pneumonia; Bronchiolitis; Bronchitis; Symptoms; Clinical characteristics; Respiratory virus; Human metapneumovirus; Human coronavirus; Rhinovirus; Bocavirus; WU polyomavirus; KI polyomavirus; Parechovirus; Pathogenicity; Epidemiology; Seroprevalence; Seasonal distribution; Incidence; Percentage; Genotype; Coinfection; Age; Children; Adult</t>
  </si>
  <si>
    <t xml:space="preserve">HUMAN METAPNEUMOVIRUS INFECTION; HUMAN BOCAVIRUS INFECTION; IDENTIFIED HUMAN RHINOVIRUS; HUMAN CORONAVIRUS NL63; HUMAN PARECHOVIRUSES; YOUNG-CHILDREN; CLINICAL CHARACTERISTICS; POLYOMAVIRUS INFECTION; GENETIC-VARIABILITY; WU POLYOMAVIRUS</t>
  </si>
  <si>
    <t xml:space="preserve">Lower respiratory tract infections (LRTIs) are a global burden to public health and are frequently caused by respiratory viruses. Advances in molecular diagnostic techniques have allowed the identification of previously undetected viral pathogens and have improved our understanding of respiratory virus infections. Here we review the epidemiological and clinical characteristics of recently identified viruses including human metapneumovirus, human coronaviruses NL63 and HKU1, human rhinovirus C, bocavirus, WU and KI polyomaviruses, and parechovirus. The roles of these viruses in LRTIs in children and adults are discussed.</t>
  </si>
  <si>
    <t xml:space="preserve">[Ren, Lili; Xiang, Zichun; Guo, Li; Wang, Jianwei] Chinese Acad Med Sci, Inst Pathogen Biol, CAMS Fondat Marieux, MOH Key Lab Syst Biol Pathogens, Beijing 100730, Peoples R China; [Ren, Lili; Xiang, Zichun; Guo, Li; Wang, Jianwei] Chinese Acad Med Sci, Inst Pathogen Biol, CAMS Fondat Marieux, Christophe Merieux Lab, Beijing 100730, Peoples R China; [Ren, Lili; Xiang, Zichun; Guo, Li; Wang, Jianwei] Peking Union Med Coll, Beijing 100730, Peoples R China</t>
  </si>
  <si>
    <t xml:space="preserve">Chinese Academy of Medical Sciences - Peking Union Medical College; Institute of Pathogen Biology - CAMS; Chinese Academy of Medical Sciences - Peking Union Medical College; Institute of Pathogen Biology - CAMS; Chinese Academy of Medical Sciences - Peking Union Medical College; Peking Union Medical College</t>
  </si>
  <si>
    <t xml:space="preserve">Wang, JW (corresponding author), Chinese Acad Med Sci, Inst Pathogen Biol, CAMS Fondat Marieux, MOH Key Lab Syst Biol Pathogens, 9 Dong Dan San Tiao, Beijing 100730, Peoples R China.</t>
  </si>
  <si>
    <t xml:space="preserve">wangjw28@163.com</t>
  </si>
  <si>
    <t xml:space="preserve">Guo, li/LTC-6893-2024; Ren, Lili/ACL-3052-2022; Wang, Jianwei/W-5916-2019; Wang, Jianwei/D-1852-2013</t>
  </si>
  <si>
    <t xml:space="preserve">Wang, Jianwei/0000-0002-1116-4559</t>
  </si>
  <si>
    <t xml:space="preserve">National Major S&amp;T Research Projects for the Control and Prevention of Major Infectious Diseases in China [2009ZX10004-206]; Fondation Merieux</t>
  </si>
  <si>
    <t xml:space="preserve">National Major S&amp;T Research Projects for the Control and Prevention of Major Infectious Diseases in China; Fondation Merieux</t>
  </si>
  <si>
    <t xml:space="preserve">Disclosure The research work related to the authors in the manuscript are supported by National Major S&amp;T Research Projects for the Control and Prevention of Major Infectious Diseases in China (2009ZX10004-206) and by Fondation Merieux.</t>
  </si>
  <si>
    <t xml:space="preserve">10.1007/s11908-012-0258-4</t>
  </si>
  <si>
    <t xml:space="preserve">V32XE</t>
  </si>
  <si>
    <t xml:space="preserve">WOS:000208983100008</t>
  </si>
  <si>
    <t xml:space="preserve">Lu, LH; Yan, YD; Yang, B; Xiao, ZH; Feng, X; Wang, YQ; Ji, W; Mize, M; Hao, CL; Chen, ZR</t>
  </si>
  <si>
    <t xml:space="preserve">Lu, Lianghua; Yan, Yongdong; Yang, Bin; Xiao, Zhihui; Feng, Xing; Wang, Yuqing; Ji, Wei; Mize, Maximillion; Hao, Chuangli; Chen, Zhengrong</t>
  </si>
  <si>
    <t xml:space="preserve">Epidemiological and clinical profiles of respiratory syncytial virus infection in hospitalized neonates in Suzhou, China</t>
  </si>
  <si>
    <t xml:space="preserve">Lower respiratory tract infection; Neonate; Respiratory syncytial virus; Climate factors; Severity</t>
  </si>
  <si>
    <t xml:space="preserve">METEOROLOGICAL FACTORS; CLIMATIC FACTORS; TRACT INFECTION; CHILDREN; INFANTS; PNEUMONIA; MORTALITY; ETIOLOGY; RISK</t>
  </si>
  <si>
    <t xml:space="preserve">Background: This study was designed to explore the epidemiological and clinical profiles of respiratory syncytial virus (RSV) infection in neonates from the Suzhou area of China, taking into consideration how climate factors influence disease. Methods: From 2010 to 2014, nasopharyngeal aspirates (NPA) collected from hospitalized neonates with lower respiratory tract infections (LRIs) were screened for seven common respiratory viruses including RSV by direct immunofluorescence assay. Human bocavirus, human metapneumovirus, and mycoplasma pneumoniae were detected by polymerase chain reaction. Results: Of the 1803 hospitalized neonates analyzed, 20.74 % were found to be infected with RSV. Interestingly, 30 subjects were identified as being coinfected with other viruses. The rate of RSV infection was highestduring thewinter and early spring seasons; however, infection was negatively associated with monthly mean temperature (r(s) = -0.821, P &lt; 0.0001), total rainfall (r(s) = -0.406, P = 0.002), and sum of sunshine (r(s) = -0.386, P = 0.001). Monthly mean temperature was the only independent factor associated with RSV activity, as determined using multivariate regression analysis. Compared with non-RSV neonates, neonates with RSV infection presented more frequently with tachypnea, moist rales, and abnormal chest X-rays requiring supplemental oxygen and extended hospitalization postpartum. Neonatal admittance into the NICU was determined based on prematurity and coinfection with other viruses; two independent risk factors for RSV disease, as determined by multivariate logistic analysis. Conclusions: Important as a major cause of LRIs in hospitalized neonate, we found that the subtropical climate of the Suzhou area was associated with RSV activity. The identified risk factors ofsevere disease in neonates with RSV infection should be taken into consideration when implementing disease health interventions.</t>
  </si>
  <si>
    <t xml:space="preserve">[Lu, Lianghua; Xiao, Zhihui; Feng, Xing] Soochow Univ, Childrens Hosp, Dept Neonatol, Suzhou 215003, Peoples R China; [Yan, Yongdong; Wang, Yuqing; Ji, Wei; Hao, Chuangli; Chen, Zhengrong] Soochow Univ, Childrens Hosp, Dept Resp Dis, Suzhou 215003, Peoples R China; [Yang, Bin] Soochow Univ, Dept Clin Lab, Childrens Hosp, Suzhou 215003, Peoples R China; [Mize, Maximillion] UNT Hlth Sci Ctr Ft Worth, Dept Cell Biol &amp; Immunol, Ft Worth, TX 76107 USA</t>
  </si>
  <si>
    <t xml:space="preserve">Soochow University - China; Soochow University - China; Soochow University - China</t>
  </si>
  <si>
    <t xml:space="preserve">Hao, CL (corresponding author), Soochow Univ, Childrens Hosp, Dept Resp Dis, Suzhou 215003, Peoples R China.</t>
  </si>
  <si>
    <t xml:space="preserve">hcl_md@163.com; chen_zheng_rong@163.com</t>
  </si>
  <si>
    <t xml:space="preserve">Wang, yuqing/HIR-1604-2022; Chen, Zhengrong/LSL-5975-2024; Li, Changwei/JWQ-0219-2024</t>
  </si>
  <si>
    <t xml:space="preserve">Mize, Maximillion/0000-0002-2913-4286</t>
  </si>
  <si>
    <t xml:space="preserve">National Natural Science Foundation of China [81401296]; Science and Technology Projects for the youth of Suzhou [SYS201350]; Science and Technology Projects of Jiangsu Provincial Commission of Health and Family Planning [Q201403]</t>
  </si>
  <si>
    <t xml:space="preserve">National Natural Science Foundation of China(National Natural Science Foundation of China (NSFC)); Science and Technology Projects for the youth of Suzhou; Science and Technology Projects of Jiangsu Provincial Commission of Health and Family Planning</t>
  </si>
  <si>
    <t xml:space="preserve">This work was supported by National Natural Science Foundation of China [Zhengrong Chen, grant number 81401296], Science and Technology Projects for the youth of Suzhou [Zhengrong Chen, grant number SYS201350, and Science and Technology Projects of Jiangsu Provincial Commission of Health and Family Planning [Zhengrong Chen, grant number Q201403].</t>
  </si>
  <si>
    <t xml:space="preserve">10.1186/s12879-015-1155-x</t>
  </si>
  <si>
    <t xml:space="preserve">CT8XI</t>
  </si>
  <si>
    <t xml:space="preserve">WOS:000363099800001</t>
  </si>
  <si>
    <t xml:space="preserve">Chen, YS; Liu, PY; Huang, YF; Chen, CS; Chiu, LH; Huang, NY; Hsieh, KS; Chen, YS</t>
  </si>
  <si>
    <t xml:space="preserve">Chen, Yu-Shen; Liu, Po-Yen; Huang, Yung-Feng; Chen, Chiao-Shan; Chiu, Ling-Hui; Huang, Nuan-Ya; Hsieh, Kai-Sheng; Chen, Yao-Shen</t>
  </si>
  <si>
    <t xml:space="preserve">Comparison of diagnostic tools with multiplex polymerase chain reaction for pediatric lower respiratory tract infection: A single center study</t>
  </si>
  <si>
    <t xml:space="preserve">Lower respiratory tract infection; Multiplex polymerase chain reaction; Virus</t>
  </si>
  <si>
    <t xml:space="preserve">LIQUID-CHROMATOGRAPHIC ASSAY; COMMUNITY-ACQUIRED PNEUMONIA; URINARY ANTIGEN TEST; HIGH CARRIAGE RATE; STREPTOCOCCUS-PNEUMONIAE; HUMAN METAPNEUMOVIRUS; HAEMOPHILUS-INFLUENZAE; VIRAL PATHOGENS; KOREAN CHILDREN; NASOPHARYNGEAL</t>
  </si>
  <si>
    <t xml:space="preserve">Background/Purpose: Acute respiratory tract infections are a leading cause of morbidity and mortality in children worldwide. Most have a viral etiology, with pneumococcus as an important pathogen. This single-center study compared the use of conventional diagnostic tools and two multiplex polymerase chain reaction (PCR) examinations for determining pathogens in lower respiratory tract infections (LRTIs) among children aged &lt;5 years. Methods: From July to October 2010, 45 patients aged 2 months to 60 months and diagnosed as having LRTIs were enrolled. Their nasopharyngeal aspirates were evaluated through viral culture and two multiplex PCR examinations. The patients' clinical course, symptoms, signs, and laboratory findings were recorded and analyzed. Results: Among the 45 patients, 38 (84.4%) had detectable pathogens. Conventional viral and blood cultures had 35.6% positive rate, which increased to 51.1% when the quick antigen tests (Influenza A+B test and respiratory syncytial virus) and urine pneumococcal antigen test were combined. The positive rate further increased to 84.4% when the two multiplex PCR methods were combined. Twelve patients had co-infection, including 10 detected by the multiplex PCR methods. The co-infection rate was 26.7% (12/45). Conclusion: Most LRTIs in children have a viral etiology. Multiplex PCR tests are rapid assays that can increase the diagnostic yield rate and detect slow-growing viruses and can detect more pathogens than conventional viral culture to enable, thereby helping clinicians to provide appropriate and timely treatment. Copyright (C) 2012, Taiwan Society of Microbiology. Published by Elsevier Taiwan LLC. All rights reserved.</t>
  </si>
  <si>
    <t xml:space="preserve">[Chen, Yu-Shen; Liu, Po-Yen; Huang, Yung-Feng; Hsieh, Kai-Sheng] Kaohsiung Vet Gen Hosp, Dept Pediat, Kaohsiung 813, Taiwan; [Chen, Chiao-Shan; Chiu, Ling-Hui; Huang, Nuan-Ya] Kaohsiung Vet Gen Hosp, Clin Microbiol Sect, Dept Pathol &amp; Lab Med, Kaohsiung 813, Taiwan; [Chen, Yao-Shen] Kaohsiung Vet Gen Hosp, Dept Internal Med, Infect Dis Sect, Kaohsiung 813, Taiwan</t>
  </si>
  <si>
    <t xml:space="preserve">Kaohsiung Veterans General Hospital; Kaohsiung Veterans General Hospital; Kaohsiung Veterans General Hospital</t>
  </si>
  <si>
    <t xml:space="preserve">Huang, YF (corresponding author), Kaohsiung Vet Gen Hosp, Dept Pediat, 386,Dazhong 1st Rd, Kaohsiung 813, Taiwan.</t>
  </si>
  <si>
    <t xml:space="preserve">yf5012@hotmail.com</t>
  </si>
  <si>
    <t xml:space="preserve">Ko, Wen-Chien/ABG-4316-2020</t>
  </si>
  <si>
    <t xml:space="preserve">Hsieh, Kai-Sheng/0000-0002-0294-9872</t>
  </si>
  <si>
    <t xml:space="preserve">Kaohsiung Veterans General Hospital [VGHKS 100-89]</t>
  </si>
  <si>
    <t xml:space="preserve">Kaohsiung Veterans General Hospital</t>
  </si>
  <si>
    <t xml:space="preserve">The study was funded by Kaohsiung Veterans General Hospital (VGHKS 100-89).</t>
  </si>
  <si>
    <t xml:space="preserve">10.1016/j.jmii.2012.07.016</t>
  </si>
  <si>
    <t xml:space="preserve">288GA</t>
  </si>
  <si>
    <t xml:space="preserve">WOS:000329598800002</t>
  </si>
  <si>
    <t xml:space="preserve">Otani, K; Saito, M; Okamoto, M; Tamaki, R; Saito-Obata, M; Kamigaki, T; Lirio, IC; Segubre-Mercado, E; Tallo, V; Lupisan, S; Oshitani, H</t>
  </si>
  <si>
    <t xml:space="preserve">Otani, Kanako; Saito, Mayuko; Okamoto, Michiko; Tamaki, Raita; Saito-Obata, Mariko; Kamigaki, Taro; Lirio, Irene C.; Segubre-Mercado, Edelwisa; Tallo, Veronica; Lupisan, Socorro; Oshitani, Hitoshi</t>
  </si>
  <si>
    <t xml:space="preserve">Incidence of lower respiratory tract infection and associated viruses in a birth cohort in the Philippines</t>
  </si>
  <si>
    <t xml:space="preserve">Lower respiratory tract infection; Birth cohort; Respiratory virus; Incidence; Philippines</t>
  </si>
  <si>
    <t xml:space="preserve">REAL-TIME PCR; SYNCYTIAL VIRUS; STREPTOCOCCUS-PNEUMONIAE; KILIFI DISTRICT; YOUNG-CHILDREN; HUMAN METAPNEUMOVIRUS; CHILDHOOD PNEUMONIA; DISEASE; BURDEN; EPIDEMIOLOGY</t>
  </si>
  <si>
    <t xml:space="preserve">Background Lower respiratory tract infection (LRTI) is an important cause of morbidity and mortality in infants and young children. However, the etiological role of viruses and the timing of developing LRTI are not well defined. Methods We analyzed the data of a prospective cohort study in the Philippines as a birth cohort. We detected LRTI among children who visited healthcare facilities with respiratory symptom, and collected nasopharyngeal swabs for virus detection. We analyzed the incidence rates (IRs) and cumulative proportion of LRTI and severe LRTI by age group and each virus detected. Results A total of 350 LRTI episodes were observed from 473 child-years yielded from 419 children. The IRs of LRTI were 70.8, 70.7, and 80.8 per 100 child-years for 0-5, 6-11, and 12-23 months of age, respectively. By 12 months of age, 45% of children developed LRTI at least once. Rhinovirus and respiratory syncytial virus were the most frequently detected viruses in all age groups. However, the IRs of influenza virus were low especially at 0-5 months of age. Conclusions We identified various patterns of age-specific IRs of LRTI and severe LRTI for different viruses, which should be considered to establish more effective interventions including vaccinations.</t>
  </si>
  <si>
    <t xml:space="preserve">[Otani, Kanako; Saito, Mayuko; Okamoto, Michiko; Saito-Obata, Mariko; Kamigaki, Taro; Oshitani, Hitoshi] Tohoku Univ, Dept Virol, Grad Sch Med, Aoba Ku, 2-1 Seiryo Machi, Sendai, Miyagi 9808575, Japan; [Tamaki, Raita] Japan Int Cooperat Agcy, Tokyo, Japan; [Tamaki, Raita] Minist Hlth, Dept Dis Surveillance &amp; Epidem Response, Nairobi, Kenya; [Lirio, Irene C.; Segubre-Mercado, Edelwisa; Tallo, Veronica; Lupisan, Socorro] Res Inst Trop Med, Manila, Philippines</t>
  </si>
  <si>
    <t xml:space="preserve">Tohoku University; Research Institute for Tropical Medicine - Philippines</t>
  </si>
  <si>
    <t xml:space="preserve">Oshitani, H (corresponding author), Tohoku Univ, Dept Virol, Grad Sch Med, Aoba Ku, 2-1 Seiryo Machi, Sendai, Miyagi 9808575, Japan.</t>
  </si>
  <si>
    <t xml:space="preserve">oshitanih@med.tohoku.ac.jp</t>
  </si>
  <si>
    <t xml:space="preserve">Oshitani, Hitoshi/AAE-4349-2019; Saito, Mayuko/J-4508-2018; Okamoto, Michiko/AAE-4373-2019</t>
  </si>
  <si>
    <t xml:space="preserve">Saito, Mayuko/0000-0003-4622-7027; Otani, Kanako/0000-0001-9964-8146</t>
  </si>
  <si>
    <t xml:space="preserve">Science and Technology Research Partnership for Sustainable Development from the Japan International Cooperation Agency [JP16jm0110001, JP20wm0125001]; Japan Agency for Medical Research and Development (AMED) [JP16jm0110001, JP20wm0125001]; Japan Initiative for Global Research Network on Infectious Diseases from the Ministry of Education, Culture, Sport, Science &amp; Technology in Japan [JP16fm0108013]; AMED, KAKENHI from the Japan Society for the Promotion of Science [JP16H02642, JP19H01072]; Tohoku University Global Hagi Scholarship for Doctoral Students</t>
  </si>
  <si>
    <t xml:space="preserve">Science and Technology Research Partnership for Sustainable Development from the Japan International Cooperation Agency; Japan Agency for Medical Research and Development (AMED)(Japan Agency for Medical Research and Development (AMED)); Japan Initiative for Global Research Network on Infectious Diseases from the Ministry of Education, Culture, Sport, Science &amp; Technology in Japan; AMED, KAKENHI from the Japan Society for the Promotion of Science; Tohoku University Global Hagi Scholarship for Doctoral Students</t>
  </si>
  <si>
    <t xml:space="preserve">This work was funded by the Science and Technology Research Partnership for Sustainable Development (Grant Number JP16jm0110001, JP20wm0125001) from the Japan International Cooperation Agency and the Japan Agency for Medical Research and Development (AMED), the Japan Initiative for Global Research Network on Infectious Diseases (Grant Number JP16fm0108013) from the Ministry of Education, Culture, Sport, Science &amp; Technology in Japan and the AMED, KAKENHI (Grant Number JP16H02642, JP19H01072) from the Japan Society for the Promotion of Science, and Tohoku University Global Hagi Scholarship for Doctoral Students.</t>
  </si>
  <si>
    <t xml:space="preserve">10.1186/s12879-022-07289-3</t>
  </si>
  <si>
    <t xml:space="preserve">0D6CR</t>
  </si>
  <si>
    <t xml:space="preserve">WOS:000776081700002</t>
  </si>
  <si>
    <t xml:space="preserve">Klein, MI; Bergel, E; Gibbons, L; Coviello, S; Bauer, G; Benitez, A; Serra, ME; Delgado, MF; Melendi, GA; Rodríguez, S; Kleeberger, SR; Polack, FP</t>
  </si>
  <si>
    <t xml:space="preserve">Klein, M. Ines; Bergel, Eduardo; Gibbons, Luz; Coviello, Silvina; Bauer, Gabriela; Benitez, Alicia; Serra, M. Elina; Delgado, M. Florencia; Melendi, Guillermina A.; Rodriguez, Susana; Kleeberger, Steven R.; Polack, Fernando P.</t>
  </si>
  <si>
    <t xml:space="preserve">Differential gender response to respiratory infections and to the protective effect of breast milk in preterm infants</t>
  </si>
  <si>
    <t xml:space="preserve">lower respiratory infection; breast milk; respiratory syncytial virus; prematurity; gender</t>
  </si>
  <si>
    <t xml:space="preserve">SYNCYTIAL VIRUS-INFECTION; YOUNG-CHILDREN; 1ST YEAR; HUMAN METAPNEUMOVIRUS; INFLUENZA VACCINES; TRACT ILLNESS; HIGH-RISK; DISEASE; MEASLES; SERUM</t>
  </si>
  <si>
    <t xml:space="preserve">OBJECTIVE. The protective role of breastfeeding against severe acute lung disease in infants is well established, but its mechanism is unclear. Most hypotheses assume that breastfeeding confers similar passive protection to every infant; however, a few observations have suggested that the benefits of breast milk against severe lung disease may differ according to gender. The objective of this study was to determine whether the effect of breastfeeding on susceptibility to severe acute lung disease among infants at high risk is different for girls and boys. METHODS. A cohort was analyzed prospectively by use of 2 different strategies: (1) predictors of first episode of rehospitalization by univariate and multivariate analyses using robust Poisson regression and (2) mean number of rehospitalizations between groups using multiple regression negative binomial models. RESULTS. A total of 119 high-risk, very low birth weight infants were enrolled. Breast milk protected girls but not boys against severe acute lung disease. The interaction between breastfeeding and gender was clinically and statistically significant, even after adjustment for variables that can affect severity of acute lung disease. Disease was most severe in formula-fed girls (versus formula-fed boys). CONCLUSIONS. Breastfeeding decreased the risk for severe acute lung disease in girls but not in boys. These findings suggest that breast milk protection is not universally conferred by passive transfer of humoral immunity (which should be gender indifferent), show that respiratory symptoms may be amenable to nonspecific modulation, and identify nonbreastfed preterm infant girls as an at-risk group for severe acute lung disease.</t>
  </si>
  <si>
    <t xml:space="preserve">[Melendi, Guillermina A.; Polack, Fernando P.] Johns Hopkins Univ, Sch Med, Dept Pediat, Baltimore, MD 21205 USA; [Polack, Fernando P.] Johns Hopkins Univ, Dept Mol Microbiol &amp; Immunol, Baltimore, MD 21205 USA; [Polack, Fernando P.] Johns Hopkins Univ, Dept Int Hlth, Baltimore, MD 21205 USA; [Kleeberger, Steven R.] Natl Inst Environm Hlth Sci, NIH, Res Triangle Pk, NC USA; [Klein, M. Ines; Coviello, Silvina; Serra, M. Elina; Delgado, M. Florencia; Melendi, Guillermina A.; Polack, Fernando P.] Fdn INFANT, Buenos Aires, DF, Argentina; [Bergel, Eduardo; Gibbons, Luz] Inst Efectividad Clin &amp; Sanitaria, Buenos Aires, DF, Argentina; [Bergel, Eduardo] Dept Reprod Hlth &amp; Res, World Bank Special Programme Res Dev &amp; Res Traini, World Hlth Org, United Nat Populat Fund,United Nat Dev Programme, Geneva, Switzerland; [Bauer, Gabriela; Rodriguez, Susana] Hosp Pediat Juan P Garrahan, High Risk Clin, Buenos Aires, DF, Argentina</t>
  </si>
  <si>
    <t xml:space="preserve">Johns Hopkins University; Johns Hopkins University; Johns Hopkins University; National Institutes of Health (NIH) - USA; NIH National Institute of Environmental Health Sciences (NIEHS); World Health Organization; United Nations Population Fund; The World Bank; Hospital de Pediatria Doctor Juan Garrahan</t>
  </si>
  <si>
    <t xml:space="preserve">Polack, FP (corresponding author), Johns Hopkins Univ, Sch Med, Dept Pediat, 615 N Wolfe St,E5202, Baltimore, MD 21205 USA.</t>
  </si>
  <si>
    <t xml:space="preserve">fpolack@jhsph.edu</t>
  </si>
  <si>
    <t xml:space="preserve">Serra, MariaElina/KLC-3881-2024; Kleeberger, Steven/F-1807-2019</t>
  </si>
  <si>
    <t xml:space="preserve">Serra, Maria Elina/0000-0002-0026-9072; Gibbons, Luz/0000-0002-0235-1635; Kleeberger, Steven/0000-0003-2948-8452</t>
  </si>
  <si>
    <t xml:space="preserve">Intramural NIH HHS [Z01 ES100557-06] Funding Source: Medline; NIAID NIH HHS [R21 AI054952, R01 AI054952, AI-054952] Funding Source: Medline</t>
  </si>
  <si>
    <t xml:space="preserve">Intramural NIH HHS(United States Department of Health &amp; Human ServicesNational Institutes of Health (NIH) - USA); NIAID NIH HHS(United States Department of Health &amp; Human ServicesNational Institutes of Health (NIH) - USANIH National Institute of Allergy &amp; Infectious Diseases (NIAID))</t>
  </si>
  <si>
    <t xml:space="preserve">E1510</t>
  </si>
  <si>
    <t xml:space="preserve">E1516</t>
  </si>
  <si>
    <t xml:space="preserve">10.1542/peds.2007-1757</t>
  </si>
  <si>
    <t xml:space="preserve">307IX</t>
  </si>
  <si>
    <t xml:space="preserve">WOS:000256313700007</t>
  </si>
  <si>
    <t xml:space="preserve">Checovich, MM; Barlow, S; Shult, P; Reisdorf, E; Temte, JL</t>
  </si>
  <si>
    <t xml:space="preserve">Checovich, Mary M.; Barlow, Shari; Shult, Peter; Reisdorf, Erik; Temte, Jonathan L.</t>
  </si>
  <si>
    <t xml:space="preserve">Evaluation of Viruses Associated With Acute Respiratory Infections in Long-Term Care Facilities Using a Novel Method: Wisconsin, 2016-2019</t>
  </si>
  <si>
    <t xml:space="preserve">Long-term care; acute respiratory infection; rapid influenza diagnostic testing; influenza</t>
  </si>
  <si>
    <t xml:space="preserve">INFLUENZA-LIKE ILLNESS; NURSING-HOME; RESIDENTS; OUTBREAKS</t>
  </si>
  <si>
    <t xml:space="preserve">Residents of long-term care facilities (LCTFs) have high morbidity and mortality associated with acute respiratory infections (ARIs). Limited information exists on the virology of ARI in LTCFs, where virological testing is reactive. We report on findings of a surveillance feasibility substudy from a larger prospective trial of introducing rapid influenza diagnostic testing (RIDT) at 10 Wisconsin LTCFs. Any resident with symptoms consistent with ARI had a nasal swab specimen collected for RIDT by staff. Following RIDT, the residual swab was placed into viral transport medium and tested for influenza using Reverse transcription polymerase chain reaction, and for 20 pathogens using a multiplex polymerase chain reaction respiratory pathogen panel. Numbers of viruses in each of 7 categories (influenza A, influenza B, coro-naviruses, human metapneumovirus, parainfluenza, respiratory syncytial virus, and rhinovirus/enterovirus) across the 3 years were compared using chi(2). Totals of 160, 215, and 122 specimens were collected during 2016-2017, 2017-2018, and 2018-2019, respectively. Respiratory pathogen panel identified viruses in 54.8% of tested specimens. Influenza A (19.2%), influenza B (12.6%), respiratory syncytial virus (15.9%), and human metapneumovirus (20.9%) accounted for 69% of all detections, whereas coronaviruses (17.2%), rhinovirus/enterovirus (10.5%) and parainfluenza (3.8%) were less common. The distribution of viruses varied significantly across the 3 years (chi(2) = 71.663; df = 12; P &lt; .001). Surveillance in LTCFs using nasal swabs collected for RIDT is highly feasible and yields high virus identification rates. Significant differences in virus composition occurred across the 3 study years. Simple approaches to surveillance may provide a more comprehensive assessment of respiratory viruses in LTCF settings. (C) 2019 AMDA - The Society for Post-Acute and Long-Term Care Medicine.</t>
  </si>
  <si>
    <t xml:space="preserve">[Checovich, Mary M.; Barlow, Shari; Temte, Jonathan L.] Univ Wisconsin, Dept Family Med &amp; Community Hlth, Sch Med &amp; Publ Hlth, 1100 Delaplaine Court, Madison, WI 53715 USA; [Shult, Peter; Reisdorf, Erik] Wisconsin State Lab Hyg, Madison, WI USA</t>
  </si>
  <si>
    <t xml:space="preserve">University of Wisconsin System; University of Wisconsin Madison</t>
  </si>
  <si>
    <t xml:space="preserve">Checovich, MM (corresponding author), Univ Wisconsin, Dept Family Med &amp; Community Hlth, Sch Med &amp; Publ Hlth, 1100 Delaplaine Court, Madison, WI 53715 USA.</t>
  </si>
  <si>
    <t xml:space="preserve">mary.checovich@fammed.wisc.edu</t>
  </si>
  <si>
    <t xml:space="preserve">Checovich, Mary/AAH-3266-2021</t>
  </si>
  <si>
    <t xml:space="preserve">Wisconsin Partnership Program at the UW School of Medicine and Public Health</t>
  </si>
  <si>
    <t xml:space="preserve">Funding for this project was provided by the Wisconsin Partnership Program at the UW School of Medicine and Public Health. Quidel Corporation provided in-kind support.</t>
  </si>
  <si>
    <t xml:space="preserve">10.1016/j.jamda.2019.09.003</t>
  </si>
  <si>
    <t xml:space="preserve">WOS:000504685400006</t>
  </si>
  <si>
    <t xml:space="preserve">Nguyen, DT; Ludlow, M; van Amerongen, G; de Vries, RD; Yüksel, S; Verburgh, RJ; Osterhaus, ADME; Duprex, WP; de Swart, RL</t>
  </si>
  <si>
    <t xml:space="preserve">Nguyen, D. Tien; Ludlow, Martin; van Amerongen, Geert; de Vries, Rory D.; Yuksel, Selma; Verburgh, R. Joyce; Osterhaus, Albert D. M. E.; Duprex, W. Paul; de Swart, Rik L.</t>
  </si>
  <si>
    <t xml:space="preserve">Evaluation of synthetic infection-enhancing lipopeptides as adjuvants for a live-attenuated canine distemper virus vaccine administered intra-nasally to ferrets</t>
  </si>
  <si>
    <t xml:space="preserve">Lipopeptide; Adjuvant; Live-attenuated virus vaccine; CDV; Paramyxovirus</t>
  </si>
  <si>
    <t xml:space="preserve">ALPHA-GALACTOSYLCERAMIDE; LANGERHANS CELLS; DENDRITIC CELLS; MORBILLIVIRUS; RESPONSES; SUSCEPTIBILITY</t>
  </si>
  <si>
    <t xml:space="preserve">Background: Inactivated paramyxovirus vaccines have been associated with hypersensitivity responses upon challenge infection. For measles and canine distemper virus (CDV) safe and effective live-attenuated virus vaccines are available, but for human respiratory syncytial virus and human metapneumovirus development of such vaccines has proven difficult. We recently identified three synthetic bacterial lipopeptides that enhance paramyxovirus infections in vitro, and hypothesized these could be used as adjuvants to promote immune responses induced by live-attenuated paramyxovirus vaccines. Methods: Here, we tested this hypothesis using a CDV vaccination and challenge model in ferrets. Three groups of six animals were intra-nasally vaccinated with recombinant (r) (CDVL)-L-5804P(CCEGFPC) in the presence or absence of the infection-enhancing lipopeptides Pam3CSK4 or PHCSK4. The recombinant CDV vaccine virus had previously been described to be over-attenuated in ferrets. A group of six animals was mock-vaccinated as control. Six weeks after vaccination all animals were challenged with a lethal dose of rCDV strain Snyder-Hill expressing the red fluorescent protein dTomato. Results: Unexpectedly, intra-nasal vaccination of ferrets with rCDV(5804P)L(CCEGFPC) in the absence of lipopeptides resulted in good immune responses and protection against lethal challenge infection. However, in animals vaccinated with lipopeptide-adjuvanted virus significantly higher vaccine virus loads were detected in nasopharyngeal lavages and peripheral blood mononuclear cells. In addition, these animals developed significantly higher CDV neutralizing antibody titers compared to animals vaccinated with non-adjuvanted vaccine. Conclusions: This study demonstrates that the synthetic cationic lipopeptides Pam3CSK4 and PHCSK4 not only enhance paramyxovirus infection in vitro, but also in vivo. Given the observed enhancement of immunogenicity their potential as adjuvants for other live-attenuated paramyxovirus vaccines should be considered. (C) 2012 Elsevier Ltd. All rights reserved.</t>
  </si>
  <si>
    <t xml:space="preserve">[Nguyen, D. Tien; van Amerongen, Geert; de Vries, Rory D.; Yuksel, Selma; Verburgh, R. Joyce; Osterhaus, Albert D. M. E.; de Swart, Rik L.] Erasmus MC, Dept Virol, Univ Med Ctr, NL-3000 CA Rotterdam, Netherlands; [Ludlow, Martin; Duprex, W. Paul] Boston Univ, Dept Microbiol, Sch Med, Boston, MA 02118 USA; [Ludlow, Martin; Duprex, W. Paul] Boston Univ, Natl Emerging Infect Dis Labs, Boston, MA 02118 USA</t>
  </si>
  <si>
    <t xml:space="preserve">Erasmus University Rotterdam; Erasmus MC; Boston University; Boston University</t>
  </si>
  <si>
    <t xml:space="preserve">de Swart, RL (corresponding author), Erasmus MC, Dept Virol, Univ Med Ctr, POB 2040, NL-3000 CA Rotterdam, Netherlands.</t>
  </si>
  <si>
    <t xml:space="preserve">; de Vries, Rory Dylan/L-2264-2015; De Swart, Rik/E-6508-2011</t>
  </si>
  <si>
    <t xml:space="preserve">Osterhaus, Albert/0000-0002-6074-1172; de Vries, Rory Dylan/0000-0003-2817-0127; De Swart, Rik/0000-0003-3599-8969; Ludlow, Martin/0000-0002-0061-1106; Duprex, W Paul/0000-0003-1716-6376</t>
  </si>
  <si>
    <t xml:space="preserve">VIRGO project; MRC [G0801001]; ZonMw [91208012]; MRC [G0801001] Funding Source: UKRI</t>
  </si>
  <si>
    <t xml:space="preserve">VIRGO project; MRC(UK Research &amp; Innovation (UKRI)Medical Research Council UK (MRC)); ZonMw(Netherlands Organization for Health Research and Development); MRC(UK Research &amp; Innovation (UKRI)Medical Research Council UK (MRC))</t>
  </si>
  <si>
    <t xml:space="preserve">We thank Stephen McQuaid, Queen's University of Belfast, United Kingdom, and all zootechnicians at the isolator facility of the Netherlands Vaccine Institute in Bilthoven, the Netherlands, for their contributions to this study. This study received financial support from the VIRGO project and from MRC (grant# G0801001). RDdV and SY were funded by ZonMw (grant# 91208012). The funding sources had no involvement in study design or data analysis.</t>
  </si>
  <si>
    <t xml:space="preserve">10.1016/j.vaccine.2012.05.079</t>
  </si>
  <si>
    <t xml:space="preserve">981PP</t>
  </si>
  <si>
    <t xml:space="preserve">WOS:000306982000004</t>
  </si>
  <si>
    <t xml:space="preserve">Cunha, BA; Irshad, N; Connolly, JJ</t>
  </si>
  <si>
    <t xml:space="preserve">Cunha, Burke A.; Irshad, Nadia; Connolly, James J.</t>
  </si>
  <si>
    <t xml:space="preserve">Adult human metapneumonovirus (hMPV) pneumonia mimicking Legionnaire's disease</t>
  </si>
  <si>
    <t xml:space="preserve">Legionnaire's disease mimics; Viral pneumonias; Relative bradycardia; Hyponatremia; Hypophosphatemia; Elevated serum transaminases</t>
  </si>
  <si>
    <t xml:space="preserve">HUMAN METAPNEUMOVIRUS PNEUMONIA; RESPIRATORY SYNCYTIAL VIRUS; CLINICAL-DIAGNOSIS; OLDER-ADULTS; INFECTIONS; PREVALENCE</t>
  </si>
  <si>
    <t xml:space="preserve">In adults hospitalized with viral pneumonias the main differential diagnostic consideration is influenza pneumonia. The respiratory viruses causing viral influenza like illnesses (ILIs), e.g., RSV may closely resemble influenza. Rarely, extrapulmonary findings of some ILIs may resemble Legionnaire's disease (LD), e.g., adenovirus, human parainfluenza virus (HPIV-3). We present a most unusual case of human metapneumonovirus pneumonia (hMPV) with some characteristic extrapulmonary findings characteristic of LD, e.g., relative bradycardia, as well as mildly elevated serum transaminases and hyphosphatemia. We believe this is the first reported case of hMPV pneumonia in a hospitalized adult that had some features of LD. (c) 2016 Elsevier Inc. All rights reserved.</t>
  </si>
  <si>
    <t xml:space="preserve">[Cunha, Burke A.; Irshad, Nadia; Connolly, James J.] Winthrop Univ Hosp, Div Infect Dis, 222 Stn Plaza North Suite 432, Mineola, NY 11501 USA; [Cunha, Burke A.; Irshad, Nadia; Connolly, James J.] SUNY Stony Brook, Sch Med, Stony Brook, NY 11794 USA</t>
  </si>
  <si>
    <t xml:space="preserve">Cunha, BA (corresponding author), Winthrop Univ Hosp, Div Infect Dis, 222 Stn Plaza North Suite 432, Mineola, NY 11501 USA.</t>
  </si>
  <si>
    <t xml:space="preserve">bacunha@winthrop.org</t>
  </si>
  <si>
    <t xml:space="preserve">10.1016/j.hrtlng.2016.02.006</t>
  </si>
  <si>
    <t xml:space="preserve">DL7KP</t>
  </si>
  <si>
    <t xml:space="preserve">WOS:000375819900017</t>
  </si>
  <si>
    <t xml:space="preserve">Laham, FR; Trott, AA; Bennett, BL; Kozinetz, CA; Jewell, AM; Garofalo, RP; Piedra, PA</t>
  </si>
  <si>
    <t xml:space="preserve">Laham, Federico R.; Trott, Amanda A.; Bennett, Berkeley L.; Kozinetz, Claudia A.; Jewell, Alan M.; Garofalo, Roberto P.; Piedra, Pedro A.</t>
  </si>
  <si>
    <t xml:space="preserve">LDH Concentration in Nasal-Wash Fluid as a Biochemical Predictor of Bronchiolitis Severity</t>
  </si>
  <si>
    <t xml:space="preserve">LDH; biochemical marker; bronchiolitis; hospitalization; respiratory syncytial virus</t>
  </si>
  <si>
    <t xml:space="preserve">RESPIRATORY SYNCYTIAL VIRUS; LACTATE-DEHYDROGENASE; HUMAN METAPNEUMOVIRUS; DISEASE SEVERITY; VIRAL LOAD; HOSPITALIZED INFANTS; HUMAN CORONAVIRUS; YOUNG-CHILDREN; INFECTION; PCR</t>
  </si>
  <si>
    <t xml:space="preserve">OBJECTIVE: Because the decision to hospitalize an infant with bronchiolitis is often supported by subjective criteria and objective indicators of bronchiolitis severity are lacking, we tested the hypothesis that lactate dehydrogenase (LDH), which is released from injured cells, is a useful biochemical indicator of bronchiolitis severity. PATIENTS AND METHODS: We retrospectively analyzed a study of children &lt;24 months old presenting to the emergency department with bronchiolitis. Demographic, clinical information, nasal wash (NW), and serum specimens were obtained. NW samples were analyzed for respiratory viruses, caspase 3/7 activity, and a panel of cytokines and chemokines. Total LDH activity was tested in NW samples and sera. RESULTS: Of 101 enrolled children (median age: 5.6 months), 98 had NW specimens available. A viral etiology was found for 82 patients (83.6%), with respiratory syncytial virus (RSV) (66%) and rhinovirus (19%) being the most common viruses detected. Concentrations of LDH in NW specimens were independent from those in sera and were higher in children with RSV infection or with dual infection. Significant correlations were found between NW LDH and NW cytokines/chemokines. Similarly, NW LDH correlated with NW-caspase 3/7 activity (r = 0.75; P &lt;.001). In a multivariate analysis, NW LDH concentration in the upper quartile was significantly associated with a reduced risk of hospitalization (odds ratio: 0.19 [95% confidence interval: 0.05-0.68]; P=.011). CONCLUSIONS: NW LDH levels in young children with bronchiolitis varied according to viral etiology and disease severity. Values in the upper quartile were associated with similar to 80% risk reduction in hospitalization, likely reflecting a robust antiviral response. NW LDH may be a useful biomarker to assist the clinician in the decision to hospitalize a child with bronchiolitis. Pediatrics 2010; 125:e225-e233</t>
  </si>
  <si>
    <t xml:space="preserve">[Laham, Federico R.; Jewell, Alan M.; Piedra, Pedro A.] Baylor Coll Med, Dept Pediat, Infect Dis Sect, Houston, TX 77030 USA; [Kozinetz, Claudia A.] Baylor Coll Med, Epidemiol Ctr, Houston, TX 77030 USA; [Jewell, Alan M.; Piedra, Pedro A.] Baylor Coll Med, Dept Mol Virol &amp; Microbiol, Houston, TX 77030 USA; [Trott, Amanda A.; Garofalo, Roberto P.] Univ Texas Med Branch, Dept Pediat, Galveston, TX USA; [Bennett, Berkeley L.] Cincinnati Childrens Hosp, Med Ctr, Dept Pediat, Div Emergency Med, Cincinnati, OH USA</t>
  </si>
  <si>
    <t xml:space="preserve">Baylor College of Medicine; Baylor College of Medicine; Baylor College of Medicine; University of Texas System; University of Texas Medical Branch Galveston; Cincinnati Children's Hospital Medical Center</t>
  </si>
  <si>
    <t xml:space="preserve">Laham, FR (corresponding author), Baylor Coll Med, Dept Pediat, Infect Dis Sect, 1 Baylor Plaza,Room 248E MS280, Houston, TX 77030 USA.</t>
  </si>
  <si>
    <t xml:space="preserve">laham@bcm.edu</t>
  </si>
  <si>
    <t xml:space="preserve">NHLBI NIH HHS [N01 HV028184] Funding Source: Medline; NIAID NIH HHS [N01 AI065298-009, P01 AI062885, N01AI30039, N01 AI030039-009] Funding Source: Medline; NICHD NIH HHS [T32 HD42977, T32 HD042977] Funding Source: Medline</t>
  </si>
  <si>
    <t xml:space="preserve">NHLBI NIH HHS(United States Department of Health &amp; Human ServicesNational Institutes of Health (NIH) - USANIH National Heart Lung &amp; Blood Institute (NHLBI)); NIAID NIH HHS(United States Department of Health &amp; Human ServicesNational Institutes of Health (NIH) - USANIH National Institute of Allergy &amp; Infectious Diseases (NIAID)); NICHD NIH HHS(United States Department of Health &amp; Human ServicesNational Institutes of Health (NIH) - USANIH Eunice Kennedy Shriver National Institute of Child Health &amp; Human Development (NICHD))</t>
  </si>
  <si>
    <t xml:space="preserve">E225</t>
  </si>
  <si>
    <t xml:space="preserve">E233</t>
  </si>
  <si>
    <t xml:space="preserve">10.1542/peds.2009-0411</t>
  </si>
  <si>
    <t xml:space="preserve">573VH</t>
  </si>
  <si>
    <t xml:space="preserve">WOS:000275942900035</t>
  </si>
  <si>
    <t xml:space="preserve">Amat, F; Henquell, C; Verdan, M; Roszyk, L; Mulliez, A; Labbé, A</t>
  </si>
  <si>
    <t xml:space="preserve">Amat, Flore; Henquell, Cecile; Verdan, Matthieu; Roszyk, Laurence; Mulliez, Aurelien; Labbe, Andre</t>
  </si>
  <si>
    <t xml:space="preserve">Predicting the Severity of Acute Bronchiolitis in Infants: Should We Use a Clinical Score or a Biomarker?</t>
  </si>
  <si>
    <t xml:space="preserve">KL-6; acute bronchiolitis; clinical score; children; severity prediction</t>
  </si>
  <si>
    <t xml:space="preserve">RESPIRATORY SYNCYTIAL VIRUS; SERUM KL-6 LEVELS; INTERSTITIAL LUNG-DISEASE; RSV BRONCHIOLITIS; EPITHELIAL-CELLS; BRONCHOPULMONARY DYSPLASIA; RHINOVIRUS BRONCHIOLITIS; HUMAN METAPNEUMOVIRUS; DISTRESS-SYNDROME; FOLLOW-UP</t>
  </si>
  <si>
    <t xml:space="preserve">Krebs von den Lungen 6 antigen (KL-6) has been shown to be a useful biomarker of the severity of Respiratory syncytial virus bronchiolitis. To assess the correlation between the clinical severity of acute bronchiolitis, serum KL-6, and the causative viruses, 222 infants with acute bronchiolitis presenting at the Pediatric Emergency Department of Estaing University Hospital, Clermont-Ferrand, France, were prospectively enrolled from October 2011 to May 2012. Disease severity was assessed with a score calculated from oxygen saturation, respiratory rate, and respiratory effort. A nasopharyngeal aspirate was collected to screen for a panel of 20 respiratory viruses. Serum was assessed and compared with a control group of 38 bronchiolitis-free infants. No significant difference in KL-6 levels was found between the children with bronchiolitis (mean 231IU/mL +/- 106) and those without (230IU/mL +/- 102), or between children who were hospitalized or not, or between the types of virus. No correlation was found between serum KL-6 levels and the disease severity score. The absence of Human Rhinovirus was a predictive factor for hospitalization (OR 3.4 [1.4-7.9]; P=0.006). Older age and a higher oxygen saturation were protective factors (OR 0.65[0.55-0.77]; P&lt;0.0001 and OR 0.67 [0.54-0.85] P&lt;0.001, respectively). These results suggest that in infants presenting with bronchiolitis for the first time, clinical outcome depends more on the adaptive capacities of the host than on epithelial dysfunction intensity. Many of the features of bronchiolitis are affected by underlying disease and by treatment. J. Med. Virol. 86:1944-1952, 2014. (c) 2013 Wiley Periodicals, Inc.</t>
  </si>
  <si>
    <t xml:space="preserve">[Amat, Flore; Verdan, Matthieu; Labbe, Andre] CHU Estaing, Pediat Emergency Dept, Clermont Ferrand, France; [Henquell, Cecile] CHU Gabriel Montpied, Virol Lab, Clermont Ferrand, France; [Roszyk, Laurence] CHU Gabriel Montpied, Biochem Lab, Clermont Ferrand, France; [Mulliez, Aurelien] CHU Gabriel Montpied, Dept Biostat, Clermont Ferrand, France; [Mulliez, Aurelien] CHU Estaing Univ Hosp, Pediat Emergency Dept, Clermont Ferrand, France; [Labbe, Andre] CHU Gabriel Montpied, Invest Clin Ctr, Clermont Ferrand, France</t>
  </si>
  <si>
    <t xml:space="preserve">CHU Clermont Ferrand; CHU Clermont Ferrand; CHU Clermont Ferrand; CHU Clermont Ferrand; CHU Clermont Ferrand; CHU Clermont Ferrand</t>
  </si>
  <si>
    <t xml:space="preserve">Amat, F (corresponding author), Hop Trousseau, Fac Med Paris 6, 26 Ave Dr Netter, F-75012 Paris, France.</t>
  </si>
  <si>
    <t xml:space="preserve">flore.amat@trs.aphp.fr</t>
  </si>
  <si>
    <t xml:space="preserve">Labbé, Antoine/HZH-7388-2023; Amat, Flore/GPF-4655-2022</t>
  </si>
  <si>
    <t xml:space="preserve">Clinical Investigation Center of University Teaching Hospital of Clermont-Ferrand</t>
  </si>
  <si>
    <t xml:space="preserve">Grant sponsor: Clinical Investigation Center of University Teaching Hospital of Clermont-Ferrand for providing grants for the project (Hospital Program for Clinical Research-PHRC)</t>
  </si>
  <si>
    <t xml:space="preserve">10.1002/jmv.23850</t>
  </si>
  <si>
    <t xml:space="preserve">AQ3HD</t>
  </si>
  <si>
    <t xml:space="preserve">WOS:000342681200016</t>
  </si>
  <si>
    <t xml:space="preserve">Teramoto, S; Kaiho, M; Takano, Y; Endo, R; Kikuta, H; Sawa, H; Ariga, T; Ishiguro, N</t>
  </si>
  <si>
    <t xml:space="preserve">Teramoto, Shinobu; Kaiho, Miki; Takano, Yasuo; Endo, Rika; Kikuta, Hideaki; Sawa, Hirofumi; Ariga, Tadashi; Ishiguro, Nobuhisa</t>
  </si>
  <si>
    <t xml:space="preserve">Detection of KI polyomavirus and WU polyomavirus DNA by real-time polymerase chain reaction in nasopharyngeal swabs and in normal lung and lung adenocarcinoma tissues</t>
  </si>
  <si>
    <t xml:space="preserve">MICROBIOLOGY AND IMMUNOLOGY</t>
  </si>
  <si>
    <t xml:space="preserve">KI polyomavirus; real-time PCR; WU polyomavirus</t>
  </si>
  <si>
    <t xml:space="preserve">RESPIRATORY-TRACT INFECTIONS; MERKEL CELL POLYOMAVIRUS; HUMAN BOCAVIRUS; CHILDREN; VIRUS; IDENTIFICATION; PREVALENCE; DISEASE; CANCER; CARCINOMA</t>
  </si>
  <si>
    <t xml:space="preserve">Polyomaviruses KI (KIPyV) and WU (WUPyV) were detected from 7 (3.0%) and 38 (16.4%) of 232 children with respiratory tract infections by real-time PCR. The rates of infection by KIPyV and WUPyV alone were 3 of 7 (42.9%) and 20 of 38 (52.6%), respectively. In the other samples, various viruses (human respiratory syncytial virus, human metapneumovirus, human rhinovirus, parainfluenza virus 1 and human bocavirus) were detected simultaneously. One case was positive for KIPyV, WUPyV and hMPV. There was no obvious difference in clinical symptoms between KIPyV-positive and WUPyV-positive patients with or without coinfection. KIPyV was detected in one of 30 specimens of lung tissue (3.3%). Neither of the viruses was detected in 30 samples of lung adenocarcinoma tissue.</t>
  </si>
  <si>
    <t xml:space="preserve">[Ishiguro, Nobuhisa] Hokkaido Univ, Grad Sch Med, Dept Pediat, Kita Ku, Sapporo, Hokkaido 0608638, Japan; [Takano, Yasuo] Kanagawa Canc Ctr, Clin Res Inst, Yokohama, Kanagawa 2410815, Japan; [Endo, Rika] Hokkaido Univ, Dept Microbiol, Sapporo, Hokkaido, Japan; [Kikuta, Hideaki] Hokkaido Univ, Touei Hosp, Pediat Clin, Sapporo, Hokkaido, Japan; [Sawa, Hirofumi] Hokkaido Univ, Res Ctr Zoonosis Control, Dept Mol Pathobiol, Sapporo, Hokkaido, Japan; [Teramoto, Shinobu; Kaiho, Miki; Sawa, Hirofumi; Ariga, Tadashi; Ishiguro, Nobuhisa] Hokkaido Univ, Global Ctr Excellence Program Zoonosis Control, Sapporo, Hokkaido, Japan</t>
  </si>
  <si>
    <t xml:space="preserve">Hokkaido University; Kanagawa Prefectural Cancer Center; Hokkaido University; Hokkaido University; Hokkaido University; Hokkaido University</t>
  </si>
  <si>
    <t xml:space="preserve">Ishiguro, N (corresponding author), Hokkaido Univ, Grad Sch Med, Dept Pediat, Kita Ku, N-15,W-7, Sapporo, Hokkaido 0608638, Japan.</t>
  </si>
  <si>
    <t xml:space="preserve">nishigur@med.hokudai.ac.jp</t>
  </si>
  <si>
    <t xml:space="preserve">Sawa, Hirofumi/F-6954-2012; Ishiguro, Nobuhisa/A-5199-2012; Ariga, Tadashi/A-4252-2012</t>
  </si>
  <si>
    <t xml:space="preserve">Ministry of Education, Science, Sports and Culture of Japan [22591174]; Grants-in-Aid for Scientific Research [22591174] Funding Source: KAKEN</t>
  </si>
  <si>
    <t xml:space="preserve">Ministry of Education, Science, Sports and Culture of Japan(Ministry of Education, Culture, Sports, Science and Technology, Japan (MEXT)); Grants-in-Aid for Scientific Research(Ministry of Education, Culture, Sports, Science and Technology, Japan (MEXT)Japan Society for the Promotion of ScienceGrants-in-Aid for Scientific Research (KAKENHI))</t>
  </si>
  <si>
    <t xml:space="preserve">This research was supported in part by a Grant-in-Aid for Scientific Research (C), 2010 (22591174), from the Ministry of Education, Science, Sports and Culture of Japan. All of the necessary ethics approval for this study was obtained from the Institutional Review Board of Hokkaido University Hospital for Clinical Research. Nasopharyngeal swab samples were kindly provided by Yutaka Takahashi of KKR Sapporo Medical Center, Hiroyuki Sawada and Tsuguyo Nakayama of Hokkaido Social Insurance Hospital, Mutsuko Konno of Sapporo Kosei General Hospital, and Kunio Ozutusmi of Nemuro City Hospital. We thank Stewart Chisholm for proofreading the manuscript.</t>
  </si>
  <si>
    <t xml:space="preserve">0385-5600</t>
  </si>
  <si>
    <t xml:space="preserve">MICROBIOL IMMUNOL</t>
  </si>
  <si>
    <t xml:space="preserve">Microbiol. Immunol.</t>
  </si>
  <si>
    <t xml:space="preserve">10.1111/j.1348-0421.2011.00346.x</t>
  </si>
  <si>
    <t xml:space="preserve">784NQ</t>
  </si>
  <si>
    <t xml:space="preserve">WOS:000292164400010</t>
  </si>
  <si>
    <t xml:space="preserve">Sclavi, L; Bertelli, M; Messali, S; Caruso, A; Caccuri, F</t>
  </si>
  <si>
    <t xml:space="preserve">Sclavi, Leonardo; Bertelli, Marta; Messali, Serena; Caruso, Arnaldo; Caccuri, Francesca</t>
  </si>
  <si>
    <t xml:space="preserve">Epidemiology and molecular characterization of respiratory viruses at the end of COVID-19 pandemic in Lombardy, Northern Italy</t>
  </si>
  <si>
    <t xml:space="preserve">NEW MICROBIOLOGICA</t>
  </si>
  <si>
    <t xml:space="preserve">Key Epidemiology; respiratory viruses; rhinovirus/enterovirus; SARS-CoV-2; sequencing</t>
  </si>
  <si>
    <t xml:space="preserve">SARS-COV-2; INFLUENZA</t>
  </si>
  <si>
    <t xml:space="preserve">The COVID-19 pandemic forced the adoption of non -pharmaceutical interventions (NPIs) which influenced the circulation of other respiratory pathogens, such as Influenza virus (FLU), Parainfluenza virus (PIV), Respiratory Syncytial virus (RSV), Rhinovirus (RV), Enterovirus (EV), Adenovirus (AdV), Human Metapneumovirus (hMPV), and Human Coronavirus (CoV). The aim of the current study was to investigate how, with the end of the pandemic, the withdrawal of the NPIs impacted on the circulation and distribution of common respiratory viruses. The analyzed samples were collected from June 2021 to March 2023 (post -pandemic period) and compared to ones from the pandemic period. Nucleic acid detection of all respiratory viruses was performed by multiplex real time Polymerase Chain Reaction (PCR) and sequencing was conducted by Next Generation Sequencing (NGS) technique. Our analysis shows that the NPIs adopted against SARS-CoV-2 were also effective in controlling the spread of other respiratory viruses. Moreover, we documented how RV/EVs were the most commonly identified species, with the more abundant strains represented by Coxsackievirus (CV)-A/B and RV -A/C. RV/EVs were also detected in some co -infection cases; in particular, the majority of co -infections concerned CV-B/RV-A, CV-B/ECHO. Given the pandemic potential of respiratory viruses, accurate molecular screening is essential for a proper surveillance and prevention strategy.</t>
  </si>
  <si>
    <t xml:space="preserve">[Sclavi, Leonardo; Bertelli, Marta; Messali, Serena; Caruso, Arnaldo; Caccuri, Francesca] Univ Brescia, Dept Mol &amp; Translat Med, Sect Microbiol, I-25123 Brescia, Italy; [Caruso, Arnaldo; Caccuri, Francesca] George Emil Palade Univ Med Pharm Sci &amp; Technol, Ctr Adv Med &amp; Pharmaceut Res, Targu Mures 540142, Romania</t>
  </si>
  <si>
    <t xml:space="preserve">University of Brescia; George Emil Palade University of Medicine, Pharmacy, Science, &amp; Technology of Targu Mures</t>
  </si>
  <si>
    <t xml:space="preserve">Caccuri, F (corresponding author), Univ Brescia, Dept Mol &amp; Translat Med, Sect Microbiol, I-25123 Brescia, Italy.;Caccuri, F (corresponding author), George Emil Palade Univ Med Pharm Sci &amp; Technol, Ctr Adv Med &amp; Pharmaceut Res, Targu Mures 540142, Romania.</t>
  </si>
  <si>
    <t xml:space="preserve">francesca.caccuri@unibs.it</t>
  </si>
  <si>
    <t xml:space="preserve">EDIZIONI INT SRL</t>
  </si>
  <si>
    <t xml:space="preserve">MILANO</t>
  </si>
  <si>
    <t xml:space="preserve">VIA SPADOLINI 7, MILANO, 20141, ITALY</t>
  </si>
  <si>
    <t xml:space="preserve">1121-7138</t>
  </si>
  <si>
    <t xml:space="preserve">NEW MICROBIOL</t>
  </si>
  <si>
    <t xml:space="preserve">New Microbiol.</t>
  </si>
  <si>
    <t xml:space="preserve">RK5B9</t>
  </si>
  <si>
    <t xml:space="preserve">WOS:001227560600005</t>
  </si>
  <si>
    <t xml:space="preserve">Lim, JH; Kim, YK; Min, SH; Kim, SW; Lee, YH; Lee, JM</t>
  </si>
  <si>
    <t xml:space="preserve">Lim, Jae Hee; Kim, Yu Kyeong; Min, So Hyeon; Kim, Sang Won; Lee, Young Hwan; Lee, Jae Min</t>
  </si>
  <si>
    <t xml:space="preserve">Seasonal Trends of Viral Prevalence and Incidence of Kawasaki Disease: A Korea Public Health Data Analysis</t>
  </si>
  <si>
    <t xml:space="preserve">JOURNAL OF CLINICAL MEDICINE</t>
  </si>
  <si>
    <t xml:space="preserve">Kawasaki disease; virus; children</t>
  </si>
  <si>
    <t xml:space="preserve">ADENOVIRUS; INFECTION; ETIOPATHOGENESIS; ASSOCIATION; CHILDREN; PATIENT; VIRUS</t>
  </si>
  <si>
    <t xml:space="preserve">Kawasaki disease (KD) is a systemic vasculitis that occurs mainly in children under 5 years of age and is often accompanied by coronary artery lesions. The cause of the disease remains undetermined, but it is estimated to result from viral or bacterial infections. Certain studies have shown infection as a leading cause of KD. The purpose of this study was to investigate the relationship between KD incidence and viral infections in different pediatric age groups, using the Health Insurance Review and Assessment (HIRA) Open Access Big Data Platform, to confirm seasonal trends by analyzing monthly patterns. We investigated the HIRA data of KD patients (M30.3) who were treated with intravenous immunoglobulin from 2015 to 2018. Weekly virus positive detection rate data (PDR) for this period was obtained from the Korea Disease Control and Prevention Agency for human adenovirus (HAdV), human parainfluenza virus (HPIV), human respiratory syncytial virus (HRSV), influenza virus (IFV), human coronavirus (HCoV), human rhinovirus (HRV), human bocavirus (HBoV), human metapneumovirus (HMPV), rotavirus, norovirus, and astrovirus. We then analyzed the weekly/monthly virus PDR and its association with KD incidence, including monthly incidence patterns, and seasonal trends. Seasonal trend analysis of the virus PDR was performed using the time series analysis method through ARIMA (Autoregressive Integrated Moving Average). Correlations between KD incidence and PDR at 1- and 2-month intervals were analyzed using the Granger test. A total of 16,740 patients were diagnosed with KD during the study period, mainly young children, with a male-to-female ratio of 1.35. Specifically, 15,635 (93%) patients were under 5 years of age, with an incidence rate of 172.4/100,000 person-years. Annually, the cumulative number of cases per month was the highest in January, with an average of 469 cases, and was the lowest in September, with an average of 291 cases, although most were diagnosed with KD in winter (29.3%). Granger tests showed that PDR for HRSV, rotavirus, and norovirus were related with KD incidence by 1 month, while PDR for HRSV, HRV, rotavirus, and norovirus by 2 months. This study found that detection rates of respiratory and enteric viruses preceded KD by 1-2 months. Further research is needed to confirm the association between these viruses and KD.</t>
  </si>
  <si>
    <t xml:space="preserve">[Lim, Jae Hee; Kim, Yu Kyeong; Min, So Hyeon] Yeungnam Univ, Coll Med, Dept Med, Daegu 42415, South Korea; [Kim, Sang Won] Yeungnam Univ, Coll Med, Med Res Ctr, Daegu 42415, South Korea; [Lee, Young Hwan; Lee, Jae Min] Yeungnam Univ, Coll Med, Dept Pediat, Daegu 42415, South Korea</t>
  </si>
  <si>
    <t xml:space="preserve">Yeungnam University; Yeungnam University; Yeungnam University</t>
  </si>
  <si>
    <t xml:space="preserve">Lee, YH; Lee, JM (corresponding author), Yeungnam Univ, Coll Med, Dept Pediat, Daegu 42415, South Korea.</t>
  </si>
  <si>
    <t xml:space="preserve">imjh520@naver.com; dbrud21206@naver.com; 3000min@naver.com; kimsw3767@ynu.ac.kr; yhlee@med.yu.ac.kr; mopic@yu.ac.kr</t>
  </si>
  <si>
    <t xml:space="preserve">Lee, Jae Min/H-8475-2013</t>
  </si>
  <si>
    <t xml:space="preserve">Lee, Jae Min/0000-0001-6822-1051; Kim, Sang Won/0000-0003-2648-0340</t>
  </si>
  <si>
    <t xml:space="preserve">2077-0383</t>
  </si>
  <si>
    <t xml:space="preserve">J CLIN MED</t>
  </si>
  <si>
    <t xml:space="preserve">J. Clin. Med.</t>
  </si>
  <si>
    <t xml:space="preserve">10.3390/jcm10153301</t>
  </si>
  <si>
    <t xml:space="preserve">TW0EH</t>
  </si>
  <si>
    <t xml:space="preserve">WOS:000682084400001</t>
  </si>
  <si>
    <t xml:space="preserve">Sawires, R; Clothier, HJ; Burgner, D; Fahey, MC; Buttery, J</t>
  </si>
  <si>
    <t xml:space="preserve">Sawires, Rana; Clothier, Hazel J.; Burgner, David; Fahey, Michael Collingwood; Buttery, Jim</t>
  </si>
  <si>
    <t xml:space="preserve">Kawasaki Disease and Respiratory Viruses: EcologicalSpatiotemporal Analysis</t>
  </si>
  <si>
    <t xml:space="preserve">JMIR PUBLIC HEALTH AND SURVEILLANCE</t>
  </si>
  <si>
    <t xml:space="preserve">Kawasaki disease; pediatric; infection; RSV; human metapneumovirus; respiratory virus; virology; community; viral infection; respiratory disease; respiratory diseases; children; epidemiology; respiratory syncytial virus</t>
  </si>
  <si>
    <t xml:space="preserve">VIRAL-INFECTIONS; EPIDEMIOLOGY; PATIENT</t>
  </si>
  <si>
    <t xml:space="preserve">Background: Kawasaki disease is an uncommon vasculitis affecting young children. Its etiology is not completely under-stood, although infections have been frequently postulated as the triggers. Respiratory viruses, specifically, have often beenimplicated as causative agents for Kawasaki disease presentations. Objective: We aimed to conduct an ecological spatiotemporal analysis to determine whether Kawasaki disease incidence wasrelated to community respiratory virus circulation in a shared region and population, and to describe viral associations beforeand during the COVID-19 pandemic. Methods: We obtained independent statewide data sets of hospital admissions of Kawasaki disease and respiratory multiplexpolymerase chain reaction tests performed at two large hospital networks in Victoria, Australia, from July 2011 to November2021. We studied spatiotemporal relationships by negative binomial regression analysis of the monthly incidence of Kawasakidisease and the rate of positive respiratory polymerase chain reaction tests in different regions of Victoria. Peak viral seasons(95th percentile incidence) were compared to median viral circulation (50th percentile incidence) to calculate peak seasonincreased rate ratios. Results: While no seasonal trend in Kawasaki disease incidence was identified throughout the study period, we found a1.52 (99% CI 1.27-1.82) and a 1.43 (99% CI 1.17-1.73) increased rate ratio of Kawasaki disease presentations in associationwith human metapneumovirus and respiratory syncytial virus circulation, respectively, before the COVID-19 pandemic. Norespiratory viral associations with Kawasaki disease were observed during the COVID-19 pandemic. Conclusions: Our large ecological analysis demonstrates novel spatiotemporal relationships between human metapneumo-virus and respiratory syncytial virus circulation with Kawasaki disease. The disappearance of these associations in theCOVID-19 pandemic may reflect the reduced circulation of non-SARS-CoV-2 viruses during this period, supporting theprepandemic associations identified in this study. The roles of human metapneumovirus and respiratory syncytial virus inKawasaki disease etiology warrant further investigation</t>
  </si>
  <si>
    <t xml:space="preserve">[Sawires, Rana; Burgner, David; Buttery, Jim] Monash Univ, Dept Paediat, Wellington Rd, Clayton 3800, Australia; [Sawires, Rana; Clothier, Hazel J.] Murdoch Childrens Res Inst, Ctr Hlth Analyt, Parkville, Australia; [Clothier, Hazel J.; Buttery, Jim] Murdoch Childrens Res Inst, Surveillance Adverse Events Following Vaccinat Com, Parkville, Australia; [Clothier, Hazel J.] Univ Melbourne, Melbourne Sch Populat &amp; Global Hlth, Melbourne, Australia; [Burgner, David; Buttery, Jim] Univ Melbourne, Dept Paediat, Melbourne, Australia; [Burgner, David] Murdoch Childrens Res Inst, Inflammatory Origins, Parkville, Australia; [Fahey, Michael Collingwood] Monash Childrens Hosp, Dept Neurol, Clayton, Australia; [Fahey, Michael Collingwood] Monash Univ, Neurogenet Dept, Monash Paediat, Clayton, Australia</t>
  </si>
  <si>
    <t xml:space="preserve">Monash University; Murdoch Children's Research Institute; Murdoch Children's Research Institute; University of Melbourne; University of Melbourne; Murdoch Children's Research Institute; Monash Health; Monash Childrens Hospital; Monash University</t>
  </si>
  <si>
    <t xml:space="preserve">Sawires, R (corresponding author), Monash Univ, Dept Paediat, Wellington Rd, Clayton 3800, Australia.</t>
  </si>
  <si>
    <t xml:space="preserve">rana.sawires@monash.edu</t>
  </si>
  <si>
    <t xml:space="preserve">buttery, jim/JXN-7110-2024; Clothier, Hazel/HOH-5732-2023; Fahey, Michael/B-2668-2014</t>
  </si>
  <si>
    <t xml:space="preserve">Burgner, David/0000-0002-8304-4302; Clothier, Hazel/0000-0001-7594-0361; Fahey, Michael/0000-0003-0811-4785; Buttery, Jim/0000-0001-9905-2035</t>
  </si>
  <si>
    <t xml:space="preserve">Acknowledgments The Royal Children's Hospital Foundation provided funding for this project (to JB) . DB is supported by a National Health andMedical Research Council Investigator Grant (GTN1175744) . Research at Murdoch Children's Research Institute is supportedby the Victorian Government's Operational Infrastructure Support Program. No funding body had input into the design,preparation, or publication of this manuscript</t>
  </si>
  <si>
    <t xml:space="preserve">JMIR PUBLICATIONS, INC</t>
  </si>
  <si>
    <t xml:space="preserve">TORONTO</t>
  </si>
  <si>
    <t xml:space="preserve">130 QUEENS QUAY East, Unit 1100, TORONTO, ON M5A 0P6, CANADA</t>
  </si>
  <si>
    <t xml:space="preserve">2369-2960</t>
  </si>
  <si>
    <t xml:space="preserve">JMIR PUBLIC HLTH SUR</t>
  </si>
  <si>
    <t xml:space="preserve">JMIR Public Health Surveill.</t>
  </si>
  <si>
    <t xml:space="preserve">e49648</t>
  </si>
  <si>
    <t xml:space="preserve">10.2196/49648</t>
  </si>
  <si>
    <t xml:space="preserve">F2I5F</t>
  </si>
  <si>
    <t xml:space="preserve">WOS:001308107100021</t>
  </si>
  <si>
    <t xml:space="preserve">Chemudupati, M; Kenney, AD; Smith, AC; Fillinger, RJ; Zhang, LZ; Zani, A; Liu, SL; Anderson, MZ; Sharma, A; Yount, JS</t>
  </si>
  <si>
    <t xml:space="preserve">Chemudupati, Mahesh; Kenney, Adam D.; Smith, Anna C.; Fillinger, Robert J.; Zhang, Lizhi; Zani, Ashley; Liu, Shan-Lu; Anderson, Matthew Z.; Sharma, Amit; Yount, Jacob S.</t>
  </si>
  <si>
    <t xml:space="preserve">Butyrate Reprograms Expression of Specific Interferon-Stimulated Genes</t>
  </si>
  <si>
    <t xml:space="preserve">ISG; interferon</t>
  </si>
  <si>
    <t xml:space="preserve">CHAIN FATTY-ACIDS; HISTONE-DEACETYLASE ACTIVITY; COMMON COLD VIRUS; SODIUM-BUTYRATE; INTEGRIN ALPHA(4)BETA(7); COMMENSAL BACTERIA; GUT MICROBIOTA; I INTERFERONS; METABOLITES; HIV-1</t>
  </si>
  <si>
    <t xml:space="preserve">Butyrate is an abundant metabolite produced by gut microbiota. While butyrate is a known histone deacetylase inhibitor that activates expression of many genes involved in immune system pathways, its effects on virus infections and on the antiviral type I interferon (IFN) response have not been adequately investigated. We found that butyrate increases cellular infection with viruses relevant to human and animal health, including influenza virus, reovirus, HIV-1, human metapneumovirus, and vesicular stomatitis virus. Mechanistically, butyrate suppresses levels of specific antiviral IFN-stimulated gene (ISG) products, such as RIG-I and IFITM3, in human and mouse cells without inhibiting IFN-induced phosphorylation or nuclear translocation of the STAT1 and STAT2 transcription factors. Accordingly, we discovered that although butyrate globally increases baseline expression of more than 800 cellular genes, it strongly represses IFN-induced expression of 60% of ISGs and upregulates 3% of ISGs. Our findings reveal that there are differences in the IFN responsiveness of major subsets of ISGs depending on the presence of butyrate in the cell environment, and overall, they identify a new mechanism by which butyrate influences virus infection of cells. IMPORTANCE Butyrate is a lipid produced by intestinal bacteria. Here, we newly show that butyrate reprograms the innate antiviral immune response mediated by type I interferons (IFNs). Many of the antiviral genes induced by type I IFNs are repressed in the presence of butyrate, resulting in increased virus infection and replication. Our research demonstrates that metabolites produced by the gut microbiome, such as butyrate, can have complex effects on cellular physiology, including dampening of an inflammatory innate immune pathway resulting in a proviral cellular environment. Our work further suggests that butyrate could be broadly used as a tool to increase growth of virus stocks for research and for the generation of vaccines.</t>
  </si>
  <si>
    <t xml:space="preserve">[Chemudupati, Mahesh; Kenney, Adam D.; Smith, Anna C.; Fillinger, Robert J.; Zhang, Lizhi; Zani, Ashley; Liu, Shan-Lu; Anderson, Matthew Z.; Sharma, Amit; Yount, Jacob S.] Ohio State Univ, Dept Microbial Infect &amp; Immun, Columbus, OH 43210 USA; [Smith, Anna C.; Liu, Shan-Lu; Sharma, Amit] Ohio State Univ, Dept Vet Biosci, Columbus, OH 43210 USA; [Chemudupati, Mahesh; Kenney, Adam D.; Smith, Anna C.; Fillinger, Robert J.; Zhang, Lizhi; Zani, Ashley; Liu, Shan-Lu; Anderson, Matthew Z.; Sharma, Amit; Yount, Jacob S.] Ohio State Univ, Infect Dis Inst, Columbus, OH 43210 USA; [Fillinger, Robert J.; Liu, Shan-Lu; Anderson, Matthew Z.; Yount, Jacob S.] Ohio State Univ, Dept Microbiol, 484 W 12th Ave, Columbus, OH 43210 USA</t>
  </si>
  <si>
    <t xml:space="preserve">University System of Ohio; Ohio State University; University System of Ohio; Ohio State University; University System of Ohio; Ohio State University; University System of Ohio; Ohio State University</t>
  </si>
  <si>
    <t xml:space="preserve">Yount, JS (corresponding author), Ohio State Univ, Dept Microbial Infect &amp; Immun, Columbus, OH 43210 USA.;Yount, JS (corresponding author), Ohio State Univ, Infect Dis Inst, Columbus, OH 43210 USA.;Yount, JS (corresponding author), Ohio State Univ, Dept Microbiol, 484 W12th Ave, Columbus, OH 43210 USA.</t>
  </si>
  <si>
    <t xml:space="preserve">Jacob.Yount@osumc.edu</t>
  </si>
  <si>
    <t xml:space="preserve">Zhang, L./AFS-0508-2022; Yount, Jacob/F-9905-2014; Liu, Shan-Lu/L-5923-2016; Anderson, Matthew/R-4842-2019</t>
  </si>
  <si>
    <t xml:space="preserve">Yount, Jacob/0000-0002-6128-4575; Anderson, Matthew/0000-0003-1683-2170</t>
  </si>
  <si>
    <t xml:space="preserve">National Institutes of Health (NIH) [AI130110, AI142256, AI25136]; National Science Foundation Graduate Research Fellowship Program; NIH [AI112542, GM068412]</t>
  </si>
  <si>
    <t xml:space="preserve">National Institutes of Health (NIH)(United States Department of Health &amp; Human ServicesNational Institutes of Health (NIH) - USA); National Science Foundation Graduate Research Fellowship Program(National Science Foundation (NSF)); NIH(United States Department of Health &amp; Human ServicesNational Institutes of Health (NIH) - USA)</t>
  </si>
  <si>
    <t xml:space="preserve">This work was supported by National Institutes of Health (NIH) grants AI130110 and AI142256 to J.S.Y and AI25136 to A.S. M.C. and A.Z. were supported by NIH training grant AI112542, administered by The Ohio State University Infectious Diseases Institute. A.Z. is also supported by the National Science Foundation Graduate Research Fellowship Program. A.D.K. was supported by NIH training grant GM068412, administered by The Ohio State University Biomedical Sciences Graduate Program.</t>
  </si>
  <si>
    <t xml:space="preserve">e00326-20</t>
  </si>
  <si>
    <t xml:space="preserve">10.1128/JVI.00326-20</t>
  </si>
  <si>
    <t xml:space="preserve">MT6VK</t>
  </si>
  <si>
    <t xml:space="preserve">WOS:000555110200001</t>
  </si>
  <si>
    <t xml:space="preserve">Kitagawa, Y; Sakai, M; Funayama, M; Itoh, M; Gotoh, B</t>
  </si>
  <si>
    <t xml:space="preserve">Kitagawa, Yoshinori; Sakai, Madoka; Funayama, Mariko; Itoh, Masae; Gotoh, Bin</t>
  </si>
  <si>
    <t xml:space="preserve">Human Metapneumovirus M2-2 Protein Acts as a Negative Regulator of Alpha Interferon Production by Plasmacytoid Dendritic Cells</t>
  </si>
  <si>
    <t xml:space="preserve">IRF7; TLR7; human metapneumovirus; immune evasion; interferon; plasmacytoid dendritic cell</t>
  </si>
  <si>
    <t xml:space="preserve">RESPIRATORY SYNCYTIAL VIRUS; B KINASE-ALPHA; V PROTEIN; RIG-I; ACTIVATION; IRF7; RECONSTITUTION; TRANSCRIPTION; INHIBITION; COMPLEX</t>
  </si>
  <si>
    <t xml:space="preserve">Human metapneumovirus (HMPV) has the ability to inhibit Toll-like receptor 7 (TLR7)-and TLR9-dependent alpha interferon (IFN-alpha) production by plasmacytoid dendritic cells (pDCs). However, the inhibition mechanism remains largely unknown. To identify viral proteins responsible for this inhibition, we performed a screening of HMPV open reading frames (ORFs) for the ability to block TLR7/9dependent signaling reconstituted in HEK293T cells by transfection with myeloid differentiation factor 88 (MyD88), tumor necrosis factor receptor-associated factor 6 (TRAF6), IKK alpha, and IFN regulatory factor 7 (IRF7). This screening demonstrated that the M2-2 protein was the most potent inhibitor of TLR7/9-dependent IFN-alpha induction. A recombinant HMPV in which the M2-2 ORF was silenced indeed induced greater IFN-alpha production by human pDCs than wild-type HMPV did. Immunoprecipitation experiments showed direct physical association of the M2-2 protein with the inhibitory domain (ID) of IRF7. As a natural consequence of this, transfection of IRF7 lacking the ID, a constitutively active mutant, resulted in activation of the IFN-alpha promoter even in the presence of M2-2. Bioluminescence resonance energy transfer assays and split Renilla luciferase complementation assays revealed that M2-2 inhibited MyD88/TRAF6/IKK alpha-induced homodimerization of IRF7. In contrast, expression of the M2-2 protein did not result in inhibition of IPS-1-induced homodimerization and resultant activation of IRF7. This indicates that inhibition of MyD88/TRAF6/IKK alpha induced IRF7 homodimerization does not result from a steric effect of M2-2 binding. Instead, it was found that M2-2 inhibited MyD88/TRAF6/IKK alpha -induced phosphorylation of IRF7 on Ser477. These results suggest that M2-2 blocks TLR7/9-dependent IFN-alpha induction by preventing IRF7 homodimerization, possibly through its effects on the phosphorylation status of IRF7. IMPORTANCE The family Paramyxoviridae is divided into two subfamilies, the Paramyxovirinae and the Pneumovirinae. Members of the subfamily Paramyxovirinae have the ability to inhibit TLR7/9-dependent IFN-alpha production, and the underlying inhibition mechanism has been intensively studied. In contrast, little is known about how members of the subfamily Pneumovirinae regulate IFN-alpha production by pDCs. We identified the M2-2 protein of HMPV, a member of the subfamily Pneumovirinae, as a negative regulator of IFN-alpha production by pDCs and uncovered the underlying mechanism. This study explains in part why the M2-2 knockout recombinant HMPV is attenuated and further suggests that M2-2 is a potential target for HMPV therapy.</t>
  </si>
  <si>
    <t xml:space="preserve">[Kitagawa, Yoshinori; Sakai, Madoka; Funayama, Mariko; Gotoh, Bin] Shiga Univ Med Sci, Dept Pathol, Div Microbiol &amp; Infect Dis, Otsu, Shiga, Japan; [Sakai, Madoka; Funayama, Mariko; Itoh, Masae] Nagahama Inst Biosci &amp; Technol, Nagahama, Shiga, Japan</t>
  </si>
  <si>
    <t xml:space="preserve">Shiga University of Medical Science</t>
  </si>
  <si>
    <t xml:space="preserve">Gotoh, B (corresponding author), Shiga Univ Med Sci, Dept Pathol, Div Microbiol &amp; Infect Dis, Otsu, Shiga, Japan.</t>
  </si>
  <si>
    <t xml:space="preserve">bing@belle.shiga-med.ac.jp</t>
  </si>
  <si>
    <t xml:space="preserve">JSPS Kakenhi [22590414, 25460563, 26460553]; Shiga University of Medical Science, Wajinkai; Yakult Foundation, Japan; Grants-in-Aid for Scientific Research [16K09112, 22590414, 25460563] Funding Source: KAKEN</t>
  </si>
  <si>
    <t xml:space="preserve">JSPS Kakenhi(Ministry of Education, Culture, Sports, Science and Technology, Japan (MEXT)Japan Society for the Promotion of ScienceGrants-in-Aid for Scientific Research (KAKENHI)); Shiga University of Medical Science, Wajinkai(Shiga University of Medical Science); Yakult Foundation, Japan; Grants-in-Aid for Scientific Research(Ministry of Education, Culture, Sports, Science and Technology, Japan (MEXT)Japan Society for the Promotion of ScienceGrants-in-Aid for Scientific Research (KAKENHI))</t>
  </si>
  <si>
    <t xml:space="preserve">This work was supported by JSPS Kakenhi grants (no. 22590414, no. 25460563, and no. 26460553) and by grants from the Shiga University of Medical Science, Wajinkai, and the Yakult Foundation, Japan.</t>
  </si>
  <si>
    <t xml:space="preserve">e00579-17</t>
  </si>
  <si>
    <t xml:space="preserve">10.1128/JVI.00579-17</t>
  </si>
  <si>
    <t xml:space="preserve">FI3GC</t>
  </si>
  <si>
    <t xml:space="preserve">WOS:000411845000005</t>
  </si>
  <si>
    <t xml:space="preserve">Ampofo, K; Bender, J; Sheng, XM; Korgenski, K; Daly, J; Pavia, AT; Byington, CL</t>
  </si>
  <si>
    <t xml:space="preserve">Ampofo, Krow; Bender, Jeffrey; Sheng, Xiaoming; Korgenski, Kent; Daly, Judy; Pavia, Andrew T.; Byington, Carrie L.</t>
  </si>
  <si>
    <t xml:space="preserve">Seasonal invasive pneumococcal disease in children: Role of preceding respiratory viral infection</t>
  </si>
  <si>
    <t xml:space="preserve">invasive pneumococcal disease; respiratory viral infection; children</t>
  </si>
  <si>
    <t xml:space="preserve">STREPTOCOCCUS-PNEUMONIAE INFECTION; CONJUGATE VACCINE; UNITED-STATES; PARAPNEUMONIC EMPYEMA; SYNCYTIAL VIRUS; INTERMOUNTAIN WEST; EPITHELIAL-CELLS; INFLUENZA-VIRUS; SEROTYPE 19A; RISK-FACTORS</t>
  </si>
  <si>
    <t xml:space="preserve">OBJECTIVE. Our objective was to demonstrate correlations between invasive pneumococcal disease in children and circulating respiratory viruses. METHODS. This retrospective study included 6 winter respiratory viral seasons (2001 2007) in Intermountain Healthcare, an integrated health system in the Intermountain West, including Primary Children's Medical Center in Salt Lake City, Utah. Children &lt; 18 years of age who were hospitalized with either invasive pneumococcal disease in any Intermountain Healthcare facility or culture-confirmed invasive pneumococcal disease at Primary Children's Medical Center were included. We analyzed the correlation between invasive pneumococcal disease and circulating respiratory viruses. RESULTS. A total of 435 children with invasive pneumococcal disease and 203 with culture-confirmed invasive pneumococcal disease were hospitalized in an Intermountain Healthcare facility or Primary Children's Medical Center during the study period. During the same period, 6963 children with respiratory syncytial virus, 1860 with influenza virus, 1459 with parainfluenza virus, and 818 with adenoviruses were evaluated at Primary Children's Medical Center. A total of 253 children with human metapneumovirus were identified during the last 5 months of the study. There were correlations between invasive pneumococcal disease and seasonal respiratory syncytial virus, influenza virus, and human metapneumovirus activity. The correlation with invasive pneumococcal disease was strong up to 4 weeks after respiratory syncytial virus activity. For influenza virus and human metapneumovirus, the correlations were strong at 2 weeks after activity of these viruses. Pneumonia was the most common clinical disease associated with culture-confirmed invasive pneumococcal disease, mostly attributable to serotypes 1, 19A, 3, and 7F. CONCLUSIONS. In the post-pneumococcal conjugate vaccine era, seasonal increases in respiratory syncytial virus, influenza virus, and human metapneumovirus infections in children were associated with increased pediatric admissions with invasive pneumococcal disease, especially pneumonia caused by nonvaccine serotypes.</t>
  </si>
  <si>
    <t xml:space="preserve">[Ampofo, Krow; Bender, Jeffrey; Pavia, Andrew T.; Byington, Carrie L.] Univ Utah, Hlth Sci Ctr, Div Pediat Infect Dis, Dept Pediat, Salt Lake City, UT 84132 USA; [Sheng, Xiaoming] Univ Utah, Hlth Sci Ctr, Dept Family &amp; Prevent Med, Salt Lake City, UT 84132 USA; [Korgenski, Kent; Daly, Judy] Intermt Hlth Care, Primary Childrens Med Ctr, Salt Lake City, UT USA</t>
  </si>
  <si>
    <t xml:space="preserve">Utah System of Higher Education; University of Utah; Utah System of Higher Education; University of Utah; Intermountain Healthcare</t>
  </si>
  <si>
    <t xml:space="preserve">Ampofo, K (corresponding author), Univ Utah, Hlth Sci Ctr, Div Pediat Infect Dis &amp; Geog Med, 30 N 1900 E,Room 2A100, Salt Lake City, UT 84132 USA.</t>
  </si>
  <si>
    <t xml:space="preserve">krow.ampofo@hsc.utah.edu</t>
  </si>
  <si>
    <t xml:space="preserve">Kumar, Praveen/KHC-7586-2024</t>
  </si>
  <si>
    <t xml:space="preserve">Byington, Carrie/0000-0002-7350-9495</t>
  </si>
  <si>
    <t xml:space="preserve">10.1542/peds.2007-3192</t>
  </si>
  <si>
    <t xml:space="preserve">333HB</t>
  </si>
  <si>
    <t xml:space="preserve">WOS:000258142500001</t>
  </si>
  <si>
    <t xml:space="preserve">Makhlouf, A; Peipoch, L; Duport, P; Darrieux, E; Reguerre, Y; Ramful, D; Alessandri, JL; Levy, Y</t>
  </si>
  <si>
    <t xml:space="preserve">Makhlouf, Anissa; Peipoch, Lise; Duport, Pauline; Darrieux, Etienne; Reguerre, Yves; Ramful, Duksha; Alessandri, Jean-Luc; Levy, Yael</t>
  </si>
  <si>
    <t xml:space="preserve">First Case of Acute Myocarditis Caused by Metapneumovirus in an Immunocompromised 14-year-old Girl</t>
  </si>
  <si>
    <t xml:space="preserve">Intravenous immunoglobulin; Leukemia; Metapneumovirus; Myocarditis; Venoarterial extracorporeal membrane oxygenation</t>
  </si>
  <si>
    <t xml:space="preserve">Background: Human metapneumovirus (hMPV) is a paramyxovirus, well known as a causative agent of respiratory tract infections. Non-respiratory manifestations, including cardiac impairments, remain rare. Only two cases of myocarditis caused by hMPV have been described in adults. Case description: We present the case of a 14-year-old female suffering from Burkitt leukemia and diagnosed with severe myocarditis caused by hMPV, based on results from real-time polymerase chain reaction (RT- PCR) and magnetic resonance imaging (MRI). She was successfully treated by venoarterial extracorporeal membrane oxygenation and intravenous immunoglobulins. She was discharged from pediatric intensive care unit (PICU) 3 weeks later. Conclusion: This is the first pediatric case of hMPV myocarditis requiring venoarterial extracorporeal membrane oxygenation.</t>
  </si>
  <si>
    <t xml:space="preserve">[Makhlouf, Anissa; Peipoch, Lise; Duport, Pauline; Darrieux, Etienne] Univ Hosp Ctr Reunion, Dept Pediat, Intens Care Unit, St Denis, Ile De La Reuni, France; [Reguerre, Yves] Univ Hosp Ctr La Reunion, Dept Pediat Oncol, St Denis, Ile De La Reuni, France; [Ramful, Duksha; Alessandri, Jean-Luc] Univ Hosp Ctr Reunion, Dept Neonatal, Intens Care Unit, St Denis, Ile De La Reuni, France; [Levy, Yael] Univ Hosp Ctr Reunion, Dept Pediat Cardiac, Intens Care Unit, St Denis, Ile De La Reuni, France</t>
  </si>
  <si>
    <t xml:space="preserve">Levy, Y (corresponding author), Univ Hosp Ctr Reunion, Dept Pediat Cardiac, Intens Care Unit, St Denis, Ile De La Reuni, France.</t>
  </si>
  <si>
    <t xml:space="preserve">l.yael@hotmail.fr</t>
  </si>
  <si>
    <t xml:space="preserve">LEVY, YAEL/0000-0002-5325-5838</t>
  </si>
  <si>
    <t xml:space="preserve">10.5005/jp-journals-10071-24255</t>
  </si>
  <si>
    <t xml:space="preserve">2A8FI</t>
  </si>
  <si>
    <t xml:space="preserve">WOS:000809731000024</t>
  </si>
  <si>
    <t xml:space="preserve">Merkow, JS; Nelson, EJ</t>
  </si>
  <si>
    <t xml:space="preserve">Merkow, Justin S.; Nelson, Erik J.</t>
  </si>
  <si>
    <t xml:space="preserve">Intraoperative Acute Respiratory Failure in an Immunocompromised Patient with Human Metapneumovirus</t>
  </si>
  <si>
    <t xml:space="preserve">AMERICAN JOURNAL OF CASE REPORTS</t>
  </si>
  <si>
    <t xml:space="preserve">Intraoperative Care; Intraoperative Complications; Metapneumovirus; Respiratory System Abnormalities</t>
  </si>
  <si>
    <t xml:space="preserve">INFECTION; ADULTS; SURGERY</t>
  </si>
  <si>
    <t xml:space="preserve">Objective: Unknown ethiology Background: Providing anesthesia to immunocompromised patients introduces unique challenges, including difficulty in detecting respiratory infections. Detailed preoperative evaluation and preparation for perioperative complications is crucial. Human metapneumovirus is a common but lesser known respiratory virus that can lead to pneumonia and respiratory compromise and is challenging to detect in the immunocompromised patient. Case Report: We present a case of an immunocompromised individual scheduled for umbilical hernia repair who developed severe bronchospasm and intraoperative respiratory failure after induction of general anesthesia. Preoperative evaluation of this patient revealed only minor respiratory symptoms and minimal rhonchi on lung auscultation. This patient did not meet extubation criteria in the operating room and was transferred to the medical intensive care unit. Human metapneumovirus was detected in his lower respiratory tract as the cause of the pneumonia and respiratory failure. Conclusions: This case illustrates the difficulty in predicting pulmonary complications in immunocompromised patients and the potential severity of a respiratory infection with Human metapneumovirus. Detecting respiratory infections preoperatively in the immunocompromised patient is important for considering preoperative treatment or postponing elective surgery and potentially avoiding intraoperative respiratory failure.</t>
  </si>
  <si>
    <t xml:space="preserve">[Merkow, Justin S.; Nelson, Erik J.] Univ Colorado, Sch Med, Dept Anesthesia, Aurora, CO 80045 USA</t>
  </si>
  <si>
    <t xml:space="preserve">University of Colorado System; University of Colorado Anschutz Medical Campus</t>
  </si>
  <si>
    <t xml:space="preserve">Merkow, JS (corresponding author), Univ Colorado, Sch Med, Dept Anesthesia, Aurora, CO 80045 USA.</t>
  </si>
  <si>
    <t xml:space="preserve">Justin.merkow@ucdenver.edu</t>
  </si>
  <si>
    <t xml:space="preserve">INT SCIENTIFIC LITERATURE, INC</t>
  </si>
  <si>
    <t xml:space="preserve">SMITHTOWN</t>
  </si>
  <si>
    <t xml:space="preserve">361 FOREST LANE, SMITHTOWN, NY 11787 USA</t>
  </si>
  <si>
    <t xml:space="preserve">1941-5923</t>
  </si>
  <si>
    <t xml:space="preserve">AM J CASE REP</t>
  </si>
  <si>
    <t xml:space="preserve">Am. J. Case Rep.</t>
  </si>
  <si>
    <t xml:space="preserve">MAR 16</t>
  </si>
  <si>
    <t xml:space="preserve">10.12659/AJCR.907604</t>
  </si>
  <si>
    <t xml:space="preserve">FZ3TQ</t>
  </si>
  <si>
    <t xml:space="preserve">WOS:000427513900001</t>
  </si>
  <si>
    <t xml:space="preserve">Li, LJ; Wang, CL; Sun, LX; Zhang, XQ; Yang, GR</t>
  </si>
  <si>
    <t xml:space="preserve">Li, Lijuan; Wang, Chulei; Sun, Lingxiao; Zhang, Xiaoqi; Yang, Guoru</t>
  </si>
  <si>
    <t xml:space="preserve">Clinical characteristics and prognostic risk factors of mortality in patients with interstitial lung diseases and viral infection: a retrospective cohort study</t>
  </si>
  <si>
    <t xml:space="preserve">interstitial lung disease; immunocompromised; prognosis; viral infection</t>
  </si>
  <si>
    <t xml:space="preserve">IDIOPATHIC PULMONARY-FIBROSIS; RESPIRATORY SYNCYTIAL VIRUS; ACUTE EXACERBATION; HUMAN METAPNEUMOVIRUS; SOCIETY</t>
  </si>
  <si>
    <t xml:space="preserve">Introduction. Patients with interstitial lung disease (ILD) who subsequently develop a viral infection have high rates of morbidity and mortality. Hypothesis/Gap Statement. Few large- scale epidemiological studies have investigated potential prognostic factors for mor-bidity and mortality in this patient group. Aim. To evaluate the risk factors for morbidity and mortality in hospitalized patients with ILD and viral infection, as well as the clinical characteristics. Methodology. This retrospective cohort study included patients with ILD who were hospitalized for a viral infection in two ter-tiary academic hospitals in China, between 1 January 2013 and 31 December 2019. We analysed the prevalence of comorbidi-ties, clinical characteristics, 30 day mortality rates, and prognostic risk factors. Results. A total of 282 patients were included; 195 and 87 were immunocompromised and immunocompetent, respec-tively. The most common underlying interstitial diseases were idiopathic pulmonary fibrosis (42.9 %) and connective tissue disease (36.9 %). The 30 day mortality rate was 20.6 %. During the influenza season, an increase in influenza virus (IFV) (25.7 %), respiratory syncytial virus (14.9 %) and cytomegalovirus (CMV) (11.3 %) cases was observed in the immunocompro-mised group. The most frequently detected virus in the immunocompetent group was IFV (44.8 %), followed by respiratory syncytial virus (11.5 %), and human rhinovirus (9.2 %). During the non- influenza season, CMV (34.4 %) was the main virus detected in the immunocompromised group. The 30 day mortality rates of non- IFV patients were higher than those of IFV patients. Older age (&gt;60 years), respiratory failure, persistent lymphocytopenia, invasive mechanical ventilation and non-IFV virus infection were significantly associated with increased 30 day mortality. Conclusion. Patients with ILD who develop viral infection have high rates of morbidity and mortality, which are associated with increased age (&gt;60 years), respiratory failure, mechanical ventilation, persistent lymphocytopenia and non- IFV virus infection. These risk factors should be carefully considered when determining treatment strategies for this patient population.</t>
  </si>
  <si>
    <t xml:space="preserve">[Li, Lijuan; Wang, Chulei; Sun, Lingxiao] China Japan Friendship Hosp, Natl Ctr Clin Res Resp Dis, Dept Pulm &amp; Crit Care Med, Beijing 100029, Peoples R China; [Zhang, Xiaoqi; Yang, Guoru] Second Peoples Hosp Weifang, Dept Pulm &amp; Crit Care Med, Weifang 261041, Peoples R China</t>
  </si>
  <si>
    <t xml:space="preserve">China-Japan Friendship Hospital</t>
  </si>
  <si>
    <t xml:space="preserve">Yang, GR (corresponding author), Second Peoples Hosp Weifang, Dept Pulm &amp; Crit Care Med, Weifang 261041, Peoples R China.</t>
  </si>
  <si>
    <t xml:space="preserve">yangguoru@163.com</t>
  </si>
  <si>
    <t xml:space="preserve">LI, Leo/AAF-5489-2020</t>
  </si>
  <si>
    <t xml:space="preserve">Chun lei, Wang/0000-0001-6657-3504</t>
  </si>
  <si>
    <t xml:space="preserve">Ministry of Science and Technology Support Program [2015BAI12B11]; Beijing Science and Technology Commission Key Project [D151100002115004]</t>
  </si>
  <si>
    <t xml:space="preserve">Ministry of Science and Technology Support Program; Beijing Science and Technology Commission Key Project</t>
  </si>
  <si>
    <t xml:space="preserve">This work was supported by the Ministry of Science and Technology Support Program (Grant: 2015BAI12B11) and the Beijing Science and Technology Commission Key Project (Grant: D151100002115004).</t>
  </si>
  <si>
    <t xml:space="preserve">14-16 MEREDITH ST, LONDON, ENGLAND</t>
  </si>
  <si>
    <t xml:space="preserve">10.1099/jmm.0.001449</t>
  </si>
  <si>
    <t xml:space="preserve">WW6HS</t>
  </si>
  <si>
    <t xml:space="preserve">WOS:000718015700001</t>
  </si>
  <si>
    <t xml:space="preserve">Danziger, O; Pupko, T; Bacharach, E; Ehrlich, M</t>
  </si>
  <si>
    <t xml:space="preserve">Danziger, Oded; Pupko, Tal; Bacharach, Eran; Ehrlich, Marcelo</t>
  </si>
  <si>
    <t xml:space="preserve">Interleukin-6 and Interferon-α Signaling via JAK1STAT Differentially Regulate Oncolytic versus Cytoprotective Antiviral States</t>
  </si>
  <si>
    <t xml:space="preserve">interferon; interleukin-6; epizootic hemorrhagic disease virus; viral oncolysis; prostate cancer; JAK1; STAT1; STAT3</t>
  </si>
  <si>
    <t xml:space="preserve">PROSTATE-CANCER CELLS; IL-6-INDUCED NEUROENDOCRINE DIFFERENTIATION; AUTOCRINE GROWTH-FACTOR; IN-VIVO; HUMAN METAPNEUMOVIRUS; TUMOR-CELLS; PROTEIN EXPRESSION; IMMUNE-RESPONSES; SOLUBLE GP130; LNCAP</t>
  </si>
  <si>
    <t xml:space="preserve">Malignancy-induced alterations to cytokine signaling in tumor cells differentially regulate their interactions with the immune system and oncolytic viruses. The abundance of inflammatory cytokines in the tumor microenvironment suggests that such signaling plays key roles in tumor development and therapy efficacy. The JAK-STAT axis transduces signals of interleukin-6 (IL-6) and interferons (IFNs), mediates antiviral responses, and is frequently altered in prostate cancer (PCa) cells. However, how activation of JAK-STAT signaling with different cytokines regulates interactions between oncolytic viruses and PCa cells is not known. Here, we employ LNCaP PCa cells, expressing (or not) JAK1, activated (or not) with IFNs (alpha or gamma) or IL-6, and infected with RNA viruses of different oncolytic potential (EHDV-TAU, hMPV-GFP, or HIV-GFP) to address this matter. We show that in JAK1-expressing cells, IL-6 sensitized PCa cells to viral cell death in the presence or absence of productive infection, with dependence on virus employed. Contrastingly, IFN alpha induced a cytoprotective antiviral state. Biochemical and genetic (knockout) analyses revealed dependency of antiviral state or cytoprotection on STAT1 or STAT2 activation, respectively. In IL-6-treated cells, STAT3 expression was required for anti-proliferative signaling. Quantitative proteomics (SILAC) revealed a core repertoire of antiviral IFN-stimulated genes, induced by IL-6 or IFNs. Oncolysis in the absence of productive infection, induced by IL-6, correlated with reduction in regulators of cell cycle and metabolism. These results call for matching the viral features of the oncolytic agent, the malignancy-induced genetic-epigenetic alterations to JAK/STAT signaling and the cytokine composition of the tumor microenvironment for efficient oncolytic virotherapy.</t>
  </si>
  <si>
    <t xml:space="preserve">[Danziger, Oded; Pupko, Tal; Bacharach, Eran; Ehrlich, Marcelo] Tel Aviv Univ, George S Wise Fac Life Sci, Dept Cell Res &amp; Immunol, Tel Aviv, Israel</t>
  </si>
  <si>
    <t xml:space="preserve">Tel Aviv University</t>
  </si>
  <si>
    <t xml:space="preserve">Bacharach, E; Ehrlich, M (corresponding author), Tel Aviv Univ, George S Wise Fac Life Sci, Dept Cell Res &amp; Immunol, Tel Aviv, Israel.</t>
  </si>
  <si>
    <t xml:space="preserve">eranba@tauex.tau.ac.il; marceloe@post.tau.ac.il</t>
  </si>
  <si>
    <t xml:space="preserve">danziger, oded/HKE-7538-2023; Pupko, Tal/HGF-1353-2022; Bacharach, Eran/JPL-0522-2023</t>
  </si>
  <si>
    <t xml:space="preserve">Pupko, Tal/0000-0001-9463-2575; Danziger, Oded/0000-0003-0533-3851; Bacharach, Eran/0000-0001-8341-2833; Ehrlich, Marcelo/0000-0002-2352-1808</t>
  </si>
  <si>
    <t xml:space="preserve">Israel Science Foundation [1824/13, 2427/16]; Israel Cancer Association [20160113]</t>
  </si>
  <si>
    <t xml:space="preserve">Israel Science Foundation(Israel Science Foundation); Israel Cancer Association</t>
  </si>
  <si>
    <t xml:space="preserve">This work was supported by the Israel Science Foundation (grant number 1824/13 and grant number 2427/16) and the Israel Cancer Association (grant number 20160113).</t>
  </si>
  <si>
    <t xml:space="preserve">PO BOX 110, EPFL INNOVATION PARK, BUILDING I, LAUSANNE, 1015, SWITZERLAND</t>
  </si>
  <si>
    <t xml:space="preserve">10.3389/fimmu.2018.00094</t>
  </si>
  <si>
    <t xml:space="preserve">FU0RG</t>
  </si>
  <si>
    <t xml:space="preserve">WOS:000423557500001</t>
  </si>
  <si>
    <t xml:space="preserve">Sojati, J; Parks, OB; Zhang, Y; Walters, S; Lan, J; Eddens, T; Lou, DQ; Fan, L; Chen, K; Oury, TD; Williams, JV</t>
  </si>
  <si>
    <t xml:space="preserve">Sojati, Jorna; Parks, Olivia B.; Zhang, Yu; Walters, Sara; Lan, Jie; Eddens, Taylor; Lou, Dequan; Fan, Li; Chen, Kong; Oury, Tim D.; Williams, John V.</t>
  </si>
  <si>
    <t xml:space="preserve">IFN-λ drives distinct lung immune landscape changes and antiviral responses in human metapneumovirus infection</t>
  </si>
  <si>
    <t xml:space="preserve">interferon; human metapneumovirus; respiratory infection; host-pathogen immunity</t>
  </si>
  <si>
    <t xml:space="preserve">III INTERFERON; VIRUS-INFECTION; INDUCTION; EXPRESSION; PATHOGENESIS</t>
  </si>
  <si>
    <t xml:space="preserve">Human metapneumovirus (HMPV) is a primary cause of acute respiratory infection, yet there are no approved vaccines or antiviral therapies for HMPV. Early host responses to HMPV are poorly characterized, and further understanding could identify important antiviral pathways. Type III interferon (IFN-lambda) displays potent antiviral activity against respiratory viruses and is being investigated for therapeutic use. However, its role in HMPV infection remains largely unknown. Here, we show that IFN-lambda is highly upregulated during HMPV infection in vitro in human and mouse airway epithelial cells and in vivo in mice. We found through several immunological and molecular assays that type II alveolar cells are the primary producers of IFN-lambda. Using mouse models, we show that IFN-lambda limits lung HMPV replication and restricts virus spread from upper to lower airways but does not contribute to clinical disease. Moreover, we show that IFN-lambda signaling is predominantly mediated by CD45- non-immune cells. Mice lacking IFN-lambda signaling showed diminished loss of ciliated epithelial cells and decreased recruitment of lung macrophages in early HMPV infection along with higher inflammatory cytokine and interferon-stimulated gene expression, suggesting that IFN-lambda may maintain immunomodulatory responses. Administration of IFN-lambda for prophylaxis or post-infection treatment in mice reduced viral load without inflammation-driven weight loss or clinical disease. These data offer clinical promise for IFN-lambda in HMPV treatment.IMPORTANCE Human metapneumovirus (HMPV) is a common respiratory pathogen and often contributes to severe disease, particularly in children, immunocompromised people, and the elderly. There are currently no licensed HMPV antiviral treatments or vaccines. Here, we report novel roles of host factor IFN-lambda in HMPV disease that highlight therapeutic potential. We show that IFN-lambda promotes lung antiviral responses by restricting lung HMPV replication and spread from upper to lower airways but does so without inducing lung immunopathology. Our data uncover recruitment of lung macrophages, regulation of ciliated epithelial cells, and modulation of inflammatory cytokines and interferon-stimulated genes as likely contributors. Moreover, we found these roles to be distinct and non-redundant, as they are not observed with knockout of, or treatment with, type I IFN. These data elucidate unique antiviral functions of IFN-lambda and suggest IFN-lambda augmentation as a promising therapeutic for treating HMPV disease and promoting effective vaccine responses. Human metapneumovirus (HMPV) is a common respiratory pathogen and often contributes to severe disease, particularly in children, immunocompromised people, and the elderly. There are currently no licensed HMPV antiviral treatments or vaccines. Here, we report novel roles of host factor IFN-lambda in HMPV disease that highlight therapeutic potential. We show that IFN-lambda promotes lung antiviral responses by restricting lung HMPV replication and spread from upper to lower airways but does so without inducing lung immunopathology. Our data uncover recruitment of lung macrophages, regulation of ciliated epithelial cells, and modulation of inflammatory cytokines and interferon-stimulated genes as likely contributors. Moreover, we found these roles to be distinct and non-redundant, as they are not observed with knockout of, or treatment with, type I IFN. These data elucidate unique antiviral functions of IFN-lambda and suggest IFN-lambda augmentation as a promising therapeutic for treating HMPV disease and promoting effective vaccine responses.</t>
  </si>
  <si>
    <t xml:space="preserve">[Sojati, Jorna; Parks, Olivia B.; Zhang, Yu; Walters, Sara; Lan, Jie; Eddens, Taylor; Williams, John V.] Univ Pittsburgh, Sch Med, Dept Pediat, Pittsburgh, PA 15224 USA; [Lou, Dequan; Fan, Li; Chen, Kong] Univ Pittsburgh, Sch Med, Dept Pulm Allergy Crit Care Med, Pittsburgh, PA USA; [Oury, Tim D.] Univ Pittsburgh, Dept Pathol, Sch Med, Pittsburgh, PA USA; [Williams, John V.] Univ Pittsburgh, Sch Med, Dept Microbiol &amp; Mol Genet, Pittsburgh, PA 15224 USA; [Williams, John V.] UPMC Childrens Hosp Pittsburgh, Inst Infect Immun &amp; Inflammat Children, Pittsburgh, PA 15224 USA</t>
  </si>
  <si>
    <t xml:space="preserve">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t>
  </si>
  <si>
    <t xml:space="preserve">Williams, JV (corresponding author), Univ Pittsburgh, Sch Med, Dept Pediat, Pittsburgh, PA 15224 USA.;Williams, JV (corresponding author), Univ Pittsburgh, Sch Med, Dept Microbiol &amp; Mol Genet, Pittsburgh, PA 15224 USA.;Williams, JV (corresponding author), UPMC Childrens Hosp Pittsburgh, Inst Infect Immun &amp; Inflammat Children, Pittsburgh, PA 15224 USA.</t>
  </si>
  <si>
    <t xml:space="preserve">Sojati, Jorna/0000-0002-3908-6126; Eddens, Taylor/0000-0003-2969-3624</t>
  </si>
  <si>
    <t xml:space="preserve">HHS | National Institutes of Health (NIH); University of Pittsburgh Department of Pediatrics</t>
  </si>
  <si>
    <t xml:space="preserve">HHS | National Institutes of Health (NIH)(United States Department of Health &amp; Human ServicesNational Institutes of Health (NIH) - USAOffice of the Administrator (NIH)); University of Pittsburgh Department of Pediatrics</t>
  </si>
  <si>
    <t xml:space="preserve">We thank Dr. Sebastien Gingras and the University of Pittsburgh Innovation Technologies Development Core for generation of Ifnlr1-/- mice. We thank Dr. John Alcorn for providing C10 cells. We thank the University of Pittsburgh Pediatrics Histology Core for processing and sectioning of mouse lung tissue. We thank University of Pittsburgh Department of Pediatrics and Department of Immunology Flow Cytometry Cores for their help with flow panel configuration and optimization. We thank Dr. Robert Lafyatis and the University of Pittsburgh Single Cell Core for their aid with 10x Genomics Single Cell RNA-Sequencing.</t>
  </si>
  <si>
    <t xml:space="preserve">MAY 8</t>
  </si>
  <si>
    <t xml:space="preserve">10.1128/mbio.00550-24</t>
  </si>
  <si>
    <t xml:space="preserve">PR7J8</t>
  </si>
  <si>
    <t xml:space="preserve">WOS:001192150000004</t>
  </si>
  <si>
    <t xml:space="preserve">Martínez-Espinoza, I; Babawale, PI; Miletello, H; Cheemarla, NR; Guerrero-Plata, A</t>
  </si>
  <si>
    <t xml:space="preserve">Martinez-Espinoza, Ivan; Babawale, Pius I.; Miletello, Hannah; Cheemarla, Nagarjuna R.; Guerrero-Plata, Antonieta</t>
  </si>
  <si>
    <t xml:space="preserve">Interferon Epsilon-Mediated Antiviral Activity Against Human Metapneumovirus and Respiratory Syncytial Virus</t>
  </si>
  <si>
    <t xml:space="preserve">interferon epsilon; IFN-epsilon; respiratory; lung; HMPV; RSV; epithelial cells; NHBE cells; ALI culture</t>
  </si>
  <si>
    <t xml:space="preserve">PULMONARY IMMUNE-RESPONSES; INDUCIBLE GENE-I; DENDRITIC CELLS; INNATE IMMUNITY; PLAQUE-ASSAY; RIG-I; INFECTION; CHILDREN; EXPRESSION; BURDEN</t>
  </si>
  <si>
    <t xml:space="preserve">Background: Interferon epsilon (IFN-epsilon) is a type I IFN that plays a critical role in the host immune response against pathogens. Despite having demonstrated antiviral activity in macrophages and mucosal tissues such as the female reproductive tract and the constitutive expression in mucosal tissues such as the lung, the relevance of IFN-epsilon against respiratory viral infections remains elusive. Results: We present, for the first time, the expression of IFN-epsilon in alveolar epithelial cells and primary human bronchial epithelial cells grown in an air-liquid interface (ALI) in response to human metapneumovirus (HMPV) and respiratory syncytial virus (RSV) infection. The molecular characterization of the IFN-epsilon induction by the viruses indicates that the expression of RIG-I is necessary for an optimal IFN-epsilon expression. Furthermore, treatment of the airway epithelial cells with rhIFN-epsilon induced the expression of IFN-stimulated genes (ISGs) and significantly restricted the viral replication of HMPV and RSV. Conclusions: These findings underscore the relevance of IFN-epsilon against viral infections in the respiratory tract.</t>
  </si>
  <si>
    <t xml:space="preserve">[Martinez-Espinoza, Ivan; Babawale, Pius I.; Miletello, Hannah; Cheemarla, Nagarjuna R.; Guerrero-Plata, Antonieta] Louisiana State Univ, Sch Vet Med, Dept Pathobiol Sci, Baton Rouge, LA 70803 USA</t>
  </si>
  <si>
    <t xml:space="preserve">Louisiana State University School of Veterinary Medicine; Louisiana State University System; Louisiana State University</t>
  </si>
  <si>
    <t xml:space="preserve">aguerrp@lsu.edu</t>
  </si>
  <si>
    <t xml:space="preserve">Martinez-Espinoza, Ivan/0000-0002-5667-9556</t>
  </si>
  <si>
    <t xml:space="preserve">National Institute of General Medical Sciences; U.S. National Institutes of Health; Louisiana State University, School of Veterinary Medicine Bridge Funding Grant; LSU Dissertation Year Fellowship award; [5P20GM130555]</t>
  </si>
  <si>
    <t xml:space="preserve">National Institute of General Medical Sciences(United States Department of Health &amp; Human ServicesNational Institutes of Health (NIH) - USANIH National Institute of General Medical Sciences (NIGMS)); U.S. National Institutes of Health(United States Department of Health &amp; Human ServicesNational Institutes of Health (NIH) - USA); Louisiana State University, School of Veterinary Medicine Bridge Funding Grant; LSU Dissertation Year Fellowship award;</t>
  </si>
  <si>
    <t xml:space="preserve">This research was funded by a grant from the National Institute of General Medical Sciences (5P20GM130555) from the U.S. National Institutes of Health and the Louisiana State University, School of Veterinary Medicine Bridge Funding Grant (to A.G.-P.). I.M.-E. was supported by an LSU Dissertation Year Fellowship award.</t>
  </si>
  <si>
    <t xml:space="preserve">10.3390/vaccines12101198</t>
  </si>
  <si>
    <t xml:space="preserve">K3K6Q</t>
  </si>
  <si>
    <t xml:space="preserve">WOS:001342902600001</t>
  </si>
  <si>
    <t xml:space="preserve">Ghani, ASA; Morrow, BM; Hardie, DR; Argent, AC</t>
  </si>
  <si>
    <t xml:space="preserve">Ghani, Ani S. Abdul; Morrow, Brenda M.; Hardie, Diana R.; Argent, Andrew C.</t>
  </si>
  <si>
    <t xml:space="preserve">An investigation into the prevalence and outcome of patients admitted to a pediatric intensive care unit with viral respiratory tract infections in Cape Town, South Africa</t>
  </si>
  <si>
    <t xml:space="preserve">PEDIATRIC CRITICAL CARE MEDICINE</t>
  </si>
  <si>
    <t xml:space="preserve">intensive care units; pediatric; prevalence; respiratory tract infections; virology</t>
  </si>
  <si>
    <t xml:space="preserve">VENTILATOR-ASSOCIATED PNEUMONIA; SYNCYTIAL VIRUS; HUMAN METAPNEUMOVIRUS; RSV BRONCHIOLITIS; RAPID DETECTION; CHILDREN; INFANTS; IDENTIFICATION; COINFECTIONS; RHINOVIRUS</t>
  </si>
  <si>
    <t xml:space="preserve">Objectives: To describe the prevalence and outcome of patients admitted to a pediatric intensive care unit with viral respiratory tract infections. Design: Retrospective descriptive study. Setting: Pediatric intensive care unit in a tertiary pediatric hospital situated in Cape Town, South Africa. Patients: All children (n = 195; 20% pediatric intensive care unit admissions) with positive respiratory viral isolates between April 1 and December 31, 2009. Interventions: None. Measurements and Main Results: Demographic, clinical, laboratory, and outcome data were recorded from medical folders. Complete data were available for 175 patients (median age [interquartile range] 4.7 months [2.3-12.9 months]; 49% male). One hundred four (59.4%) patients had comorbid conditions; 30 (17%) were HIV-infected. Rhinovirus (n = 76 [39%]), respiratory syncytial virus (n = 54 [27.7%]), adenovirus (n = 30 [15.4%]), influenza A (n = 26 [13.3%]), parainfluenza (n = 23 [11.8%]), and human metapneumovirus (n = 12 [6.2%]) were most commonly isolated. Ninety-five infections (51.4%) were isolated &gt;48 hrs after admission. Seasonal patterns were identified for respiratory syncytial virus, human metapneumovirus, and influenza A, whereas others occurred throughout the year. Twenty-five patients (14.3%) had more than one viral isolate. Presumed bacterial coinfection, which occurred in 68 (39%) patients (18 [26.5%] HIV-infected), was associated with significantly longer pediatric intensive care unit and hospital stays but not with mortality. Twenty patients died (11%, standardized mortality ratio 0.64). High Pediatric Index of Mortality scores, HIV exposure and infection, nosocomial infection, and influenza A infection were associated with mortality. Conclusions: Viral respiratory tract infection is common in this pediatric intensive care unit associated with significant morbidity and mortality, which may relate to the high burden of comorbidity and HIV. (Pediatr Crit Care Med 2012; 13:e275-e281)</t>
  </si>
  <si>
    <t xml:space="preserve">[Ghani, Ani S. Abdul; Argent, Andrew C.] Red Cross War Mem Childrens Hosp, Cape Town, South Africa; [Morrow, Brenda M.; Argent, Andrew C.] Univ Cape Town, Sch Child &amp; Adolescent Hlth, ZA-7925 Cape Town, South Africa; [Hardie, Diana R.] Groote Schuur Hosp, Virol Lab, Natl Hlth Lab Serv, ZA-7925 Cape Town, South Africa</t>
  </si>
  <si>
    <t xml:space="preserve">University of Cape Town; University of Cape Town</t>
  </si>
  <si>
    <t xml:space="preserve">Ghani, ASA (corresponding author), Red Cross War Mem Childrens Hosp, Cape Town, South Africa.</t>
  </si>
  <si>
    <t xml:space="preserve">Brenda.morrow@uct.ac.za</t>
  </si>
  <si>
    <t xml:space="preserve">Argent, Andrew/J-1605-2019; Morrow, Brenda/AAI-3819-2020</t>
  </si>
  <si>
    <t xml:space="preserve">Morrow, Brenda/0000-0001-5193-918X</t>
  </si>
  <si>
    <t xml:space="preserve">Medical Research Council of South Africa</t>
  </si>
  <si>
    <t xml:space="preserve">Medical Research Council of South Africa(South African Medical Research Council)</t>
  </si>
  <si>
    <t xml:space="preserve">Dr. Morrow is supported in part by a grant from the Medical Research Council of South Africa.</t>
  </si>
  <si>
    <t xml:space="preserve">1529-7535</t>
  </si>
  <si>
    <t xml:space="preserve">PEDIATR CRIT CARE ME</t>
  </si>
  <si>
    <t xml:space="preserve">Pediatr. Crit. Care Med.</t>
  </si>
  <si>
    <t xml:space="preserve">E275</t>
  </si>
  <si>
    <t xml:space="preserve">E281</t>
  </si>
  <si>
    <t xml:space="preserve">10.1097/PCC.0b013e3182417848</t>
  </si>
  <si>
    <t xml:space="preserve">Critical Care Medicine; Pediatrics</t>
  </si>
  <si>
    <t xml:space="preserve">General &amp; Internal Medicine; Pediatrics</t>
  </si>
  <si>
    <t xml:space="preserve">002NB</t>
  </si>
  <si>
    <t xml:space="preserve">WOS:000308537800001</t>
  </si>
  <si>
    <t xml:space="preserve">Halfhide, C; Smyth, RL</t>
  </si>
  <si>
    <t xml:space="preserve">Halfhide, Clare; Smyth, Rosalind L.</t>
  </si>
  <si>
    <t xml:space="preserve">Innate immune response and bronchiolitis and preschool recurrent wheeze</t>
  </si>
  <si>
    <t xml:space="preserve">innate immune response; bronchiolitis; respiratory syncytial virus; preschool recurrent wheeze; rhinovirus; asthma</t>
  </si>
  <si>
    <t xml:space="preserve">RESPIRATORY-SYNCYTIAL-VIRUS; TOLL-LIKE RECEPTOR-4; 1ST 6 YEARS; RHINOVIRUS REPLICATION; HUMAN METAPNEUMOVIRUS; CHILDHOOD ASTHMA; DISEASE SEVERITY; LUNG-FUNCTION; INFECTION; PROTEIN</t>
  </si>
  <si>
    <t xml:space="preserve">Bronchiolitis and preschool recurrent wheeze (PSRW) are common paediatric problems causing significant morbidity and mortality in the first years of life, Respiratory syncytial virus (RSV) and rhinoviruses are the commonest pathogens associated with these illnesses, Why some infants are severely affected, requiring admission to hospital. whist others experience a simple cold is not fully understood: research has suggested that the innate immune response to these viruses is important. The innate immune system has many components and activation or deficiency in one or many areas may explain the different clinical presentations and disease severities that can occur in these infants. This review will summarize the recent evidence highlighting how RSV and rhinoviruses may modulate the innate immune response in both bronchiolitis and PSRW, and discuss how these illnesses affect the long-term development of the infant lung and the possible susceptibility to persistent airway disease. (C) 2008 Elsevier Ltd. All rights reserved.</t>
  </si>
  <si>
    <t xml:space="preserve">[Halfhide, Clare; Smyth, Rosalind L.] Univ Liverpool, Royal Liverpool Childrens Hosp, Inst Child Hlth, Liverpool L12 2AP, Merseyside, England</t>
  </si>
  <si>
    <t xml:space="preserve">University of Liverpool; Alder Hey Children's NHS Foundation Trust; Alder Hey Children's Hospital</t>
  </si>
  <si>
    <t xml:space="preserve">Smyth, RL (corresponding author), Univ Liverpool, Royal Liverpool Childrens Hosp, Inst Child Hlth, Eaton Rd, Liverpool L12 2AP, Merseyside, England.</t>
  </si>
  <si>
    <t xml:space="preserve">r.l.smyth@liverpool.ac.uk</t>
  </si>
  <si>
    <t xml:space="preserve">10.1016/j.prrv.2008.05.005</t>
  </si>
  <si>
    <t xml:space="preserve">386AB</t>
  </si>
  <si>
    <t xml:space="preserve">WOS:000261853600004</t>
  </si>
  <si>
    <t xml:space="preserve">Callahan, ZY; Smith, TK; Ingersoll, C; Gardner, R; Korgenski, EK; Sloan, CD</t>
  </si>
  <si>
    <t xml:space="preserve">Callahan, Zayne Y.; Smith, Trevor K.; Ingersoll, Celeste; Gardner, Rebecca; Korgenski, E. Kent; Sloan, Chantel D.</t>
  </si>
  <si>
    <t xml:space="preserve">Comparative Seasonal Respiratory Virus Epidemic Timing in Utah</t>
  </si>
  <si>
    <t xml:space="preserve">influenza; viral interference; wavelet</t>
  </si>
  <si>
    <t xml:space="preserve">SPATIAL HIERARCHIES; INFLUENZA; TEMPERATURE; CIRCULATION; DYNAMICS; WAVES</t>
  </si>
  <si>
    <t xml:space="preserve">Previous studies have found evidence of viral interference between seasonal respiratory viruses. Using laboratory-confirmed data from a Utah-based healthcare provider, Intermountain Health Care, we analyzed the time-specific patterns of respiratory syncytial virus (RSV), influenza A, influenza B, human metapneumovirus, rhinovirus, and enterovirus circulation from 2004 to 2018, using descriptive methods and wavelet analysis (n = 89,462) on a local level. The results showed that RSV virus dynamics in Utah were the most consistent of any of the viruses studied, and that the other seasonal viruses were generally in synchrony with RSV, except for enterovirus (which mostly occurs late summer to early fall) and influenza A and B during pandemic years.</t>
  </si>
  <si>
    <t xml:space="preserve">[Callahan, Zayne Y.; Smith, Trevor K.; Sloan, Chantel D.] Brigham Young Univ, Dept Publ Hlth, Provo, UT 84602 USA; [Ingersoll, Celeste; Gardner, Rebecca] Brigham Young Univ, Dept Stat, Provo, UT 84602 USA; [Korgenski, E. Kent] Intermt Hlth Care, Pediat Clin Program, Salt Lake City, UT 84102 USA</t>
  </si>
  <si>
    <t xml:space="preserve">Brigham Young University; Brigham Young University; Intermountain Healthcare</t>
  </si>
  <si>
    <t xml:space="preserve">Sloan, CD (corresponding author), Brigham Young Univ, Dept Publ Hlth, Provo, UT 84602 USA.</t>
  </si>
  <si>
    <t xml:space="preserve">zayneycallahan@gmail.com; trevorkent1@gmail.com; celesteingersoll3@gmail.com; rbecca22@gmail.com; Kent.Korgenski@imail.org; chantel.d.sloan@gmail.com</t>
  </si>
  <si>
    <t xml:space="preserve">Sloan-Aagard, Chantel/GWC-7572-2022</t>
  </si>
  <si>
    <t xml:space="preserve">Ingersoll, Celeste/0000-0002-7586-2866; Gardner, Rebecca/0000-0001-5292-3219</t>
  </si>
  <si>
    <t xml:space="preserve">Ira and Mary Lou Fulton gift fund at Brigham Young University</t>
  </si>
  <si>
    <t xml:space="preserve">This work was funded by the Ira and Mary Lou Fulton gift fund at Brigham Young University.</t>
  </si>
  <si>
    <t xml:space="preserve">10.3390/v12030275</t>
  </si>
  <si>
    <t xml:space="preserve">LC7BG</t>
  </si>
  <si>
    <t xml:space="preserve">WOS:000525486800054</t>
  </si>
  <si>
    <t xml:space="preserve">Ek, P; Böttiger, B; Dahlman, D; Hansen, KB; Nyman, M; Nilsson, AC</t>
  </si>
  <si>
    <t xml:space="preserve">Ek, Peter; Bottiger, Blenda; Dahlman, Disa; Hansen, Karin B.; Nyman, Mattias; Nilsson, Anna C.</t>
  </si>
  <si>
    <t xml:space="preserve">A combination of naso- and oropharyngeal swabs improves the diagnostic yield of respiratory viruses in adult emergency department patients</t>
  </si>
  <si>
    <t xml:space="preserve">Influenza; viral diagnostics; nasopharynx; oropharynx; PCR</t>
  </si>
  <si>
    <t xml:space="preserve">NASOPHARYNGEAL ASPIRATE; MULTIPLEX PCR; COLLECTION</t>
  </si>
  <si>
    <t xml:space="preserve">Background: Along with the current development of molecular diagnostic methods of respiratory viruses, the bedside patient sampling techniques need to be evaluated. We here asked the question whether the addition of an oropharynx swab to the traditional nasopharynx swab might improve the diagnostic yield of multiplex PCR analysis. Ct values from the two sampling sites were compared as well as patient tolerability. Methods: In an emergency department in Malmo, Sweden, 98 adult patients with respiratory disease were sampled both from the nasopharynx and oropharynx for virus diagnostics by PCR. Results: Influenza (AH1, AH3, B), human metapneumovirus (hMPV) or respiratory syncytial virus (RSV) were detected by PCR in 58 subjects. The diagnostic yield was improved by combining nasopharyngeal and oropharyngeal sampling - a virus was detected in another 6 patients compared to traditional nasopharyngeal sampling (p = .031, McNemar's test). In 38/55 subjects viral load was higher in the nasopharynx than in the oropharynx. Self-reported discomfort was significantly lower from oropharyngeal sampling than from nasopharyngeal sampling. Conclusions: Adding an oropharynx sample to a nasopharynx sample increased the diagnostic yield of respiratory viruses. Oropharyngeal sampling was well tolerated.</t>
  </si>
  <si>
    <t xml:space="preserve">[Ek, Peter; Hansen, Karin B.; Nilsson, Anna C.] Lund Univ, Dept Translat Med, Infect Dis Res Unit, Malmo, Sweden; [Bottiger, Blenda; Nyman, Mattias] Lund Univ, Dept Clin Microbiol, Div Lab Med, Lund, Sweden; [Dahlman, Disa] Lund Univ, Dept Clin Sci Lund, Div Psychiat, Lund, Sweden; [Dahlman, Disa] Skane Univ Hosp, Malmo Addict Ctr, Malmo, Sweden; [Dahlman, Disa] Lund Univ Reg Skane, Dept Clin Sci, Ctr Primary Hlth Care Res, Malmo, Sweden</t>
  </si>
  <si>
    <t xml:space="preserve">Lund University; Lund University; Lund University; Lund University; Skane University Hospital; Lund University</t>
  </si>
  <si>
    <t xml:space="preserve">Ek, P (corresponding author), Lund Univ, Dept Translat Med, Infect Dis Res Unit, Malmo, Sweden.</t>
  </si>
  <si>
    <t xml:space="preserve">Peter.Ek@skane.se</t>
  </si>
  <si>
    <t xml:space="preserve">Hansen, Karin/0009-0002-9730-4352; Dahlman, Disa/0000-0003-0507-8758</t>
  </si>
  <si>
    <t xml:space="preserve">10.1080/23744235.2018.1546055</t>
  </si>
  <si>
    <t xml:space="preserve">HU7DH</t>
  </si>
  <si>
    <t xml:space="preserve">WOS:000465440800001</t>
  </si>
  <si>
    <t xml:space="preserve">Stockwell, MS; Reed, C; Vargas, CY; Wang, LQ; Alba, LR; Jia, HM; LaRussa, P; Larson, EL; Saiman, L</t>
  </si>
  <si>
    <t xml:space="preserve">Stockwell, Melissa S.; Reed, Carrie; Vargas, Celibell Y.; Wang, Liqun; Alba, Luis R.; Jia, Haomiao; LaRussa, Philip; Larson, Elaine L.; Saiman, Lisa</t>
  </si>
  <si>
    <t xml:space="preserve">Five-Year Community Surveillance Study for Acute Respiratory Infections Using Text Messaging: Findings From the MoSAIC Study</t>
  </si>
  <si>
    <t xml:space="preserve">influenza; SMS; text message; surveillance; acute respiratory infections</t>
  </si>
  <si>
    <t xml:space="preserve">INFLUENZA-LIKE ILLNESS; HUMAN METAPNEUMOVIRUS; HUMAN CORONAVIRUS; VIRAL-INFECTIONS; UNITED-STATES; LOW-INCOME; CHILDREN; VIRUSES; POPULATION; HOSPITALIZATIONS</t>
  </si>
  <si>
    <t xml:space="preserve">Background Acute respiratory infections (ARI) are the most common infectious diseases globally. Community surveillance may provide a more comprehensive picture of disease burden than medically attended illness alone. Methods In this longitudinal study conducted from 2012 to 2017 in the Washington Heights/Inwood area of New York City, we enrolled 405 households with 1915 individuals. Households were sent research text messages twice weekly inquiring about ARI symptoms. Research staff confirmed symptoms by follow-up call. If &gt;= 2 criteria for ARI were met (fever/feverish, cough, congestion, pharyngitis, myalgias), staff obtained a mid-turbinate nasal swab in participants' homes. Swabs were tested using the FilmArray reverse transcription polymerase chain reaction (RT-PCR) respiratory panel. Results Among participants, 43.9% were children, and 12.8% had a chronic respiratory condition. During the 5 years, 114 724 text messages were sent; the average response rate was 78.8% +/- 6.8%. Swabs were collected for 91.4% (2756/3016) of confirmed ARI; 58.7% had a pathogen detected. Rhino/enteroviruses (51.9%), human coronaviruses (13.9%), and influenza (13.2%) were most commonly detected. The overall incidence was 0.62 ARI/person-year, highest (1.73) in &lt;2 year-olds and lowest (0.46) in 18-49 year-olds. Approximately one-fourth of those with ARI sought healthcare; percents differed by pathogen, demographic factors, and presence of a chronic respiratory condition. Conclusions Text messaging is a novel method for community-based surveillance that could be used both seasonally as well as during outbreaks, epidemics and pandemics. The importance of community surveillance to accurately estimate disease burden is underscored by the findings of low rates of care-seeking that varied by demographic factors and pathogens. Text message surveillance was successfully utilized. Rhino/enteroviruses, human coronaviruses (non-SARS-CoV-2) and influenza were most commonly detected. Overall incidence was 0.62 ARI/person-year, and highest in &lt;2 year-olds. Community surveillance contributes to comprehensive estimates of respiratory disease burden.</t>
  </si>
  <si>
    <t xml:space="preserve">[Stockwell, Melissa S.; Vargas, Celibell Y.; Wang, Liqun; Alba, Luis R.; LaRussa, Philip; Saiman, Lisa] Columbia Univ, Vagelos Coll Phys &amp; Surg, Dept Pediat, New York, NY 10032 USA; [Stockwell, Melissa S.; Jia, Haomiao; Larson, Elaine L.] Columbia Univ, Irving Med Ctr, Mailman Sch Publ Hlth, New York, NY 10032 USA; [Stockwell, Melissa S.; Saiman, Lisa] NewYork Presbyterian Hosp, New York, NY USA; [Reed, Carrie] Ctr Dis Control &amp; Prevent, Atlanta, GA USA; [Jia, Haomiao; Larson, Elaine L.] Columbia Univ, Sch Nursing, Irving Med Ctr, New York, NY 10032 USA</t>
  </si>
  <si>
    <t xml:space="preserve">Columbia University; Columbia University; NewYork-Presbyterian Hospital; NewYork-Presbyterian Hospital; Centers for Disease Control &amp; Prevention - USA; Columbia University; NewYork-Presbyterian Hospital</t>
  </si>
  <si>
    <t xml:space="preserve">Stockwell, MS (corresponding author), Columbia Univ, Div Child &amp; Adolescent Hlth, 622 W 168th St VC 417, New York, NY 10032 USA.</t>
  </si>
  <si>
    <t xml:space="preserve">mss2112@cumc.columbia.edu</t>
  </si>
  <si>
    <t xml:space="preserve">Jia, Haomiao/AAU-8276-2021; Stockwell, Melissa/AAS-5914-2021</t>
  </si>
  <si>
    <t xml:space="preserve">Stockwell, Melissa/0000-0002-2113-7247</t>
  </si>
  <si>
    <t xml:space="preserve">Centers for Disease Control and Prevention (CDC) [U01IP000618]</t>
  </si>
  <si>
    <t xml:space="preserve">This work was supported by the Centers for Disease Control and Prevention (CDC) (grant number U01IP000618 to M. S. S.). The findings and conclusions in this report are those of the authors and do not necessarily represent the official position of the CDC. BioFire Diagnostics, Inc, loaned machines for this study and provided kits at a reduced rate for research.</t>
  </si>
  <si>
    <t xml:space="preserve">SEP 29</t>
  </si>
  <si>
    <t xml:space="preserve">10.1093/cid/ciac027</t>
  </si>
  <si>
    <t xml:space="preserve">FEB 2022</t>
  </si>
  <si>
    <t xml:space="preserve">4Z2IM</t>
  </si>
  <si>
    <t xml:space="preserve">WOS:000759659300001</t>
  </si>
  <si>
    <t xml:space="preserve">Petrie, JG; Talbot, TR</t>
  </si>
  <si>
    <t xml:space="preserve">Petrie, Joshua G.; Talbot, Thomas R.</t>
  </si>
  <si>
    <t xml:space="preserve">Health Care-Acquired Viral Respiratory Diseases</t>
  </si>
  <si>
    <t xml:space="preserve">Influenza; SARS-CoV-2; COVID-19; Coronavirus; Respiratory virus; Infection prevention; Nosocomial infection; Health care-acquired infection</t>
  </si>
  <si>
    <t xml:space="preserve">LONG-TERM-CARE; SYNCYTIAL VIRUS-INFECTIONS; HUMAN METAPNEUMOVIRUS INFECTION; INFLUENZA-VIRUS; MOLECULAR EPIDEMIOLOGY; NOSOCOMIAL OUTBREAK; ADENOVIRUS INFECTIONS; PREVENTING INFLUENZA; N95 RESPIRATORS; MEDICAL MASKS</t>
  </si>
  <si>
    <t xml:space="preserve">[Petrie, Joshua G.] Univ Michigan, Sch Publ Hlth, Dept Epidemiol, 1415 Washington Hts, Ann Arbor, MI 48109 USA; [Talbot, Thomas R.] Vanderbilt Univ, Sch Med, Dept Med, Div Infect Dis, 1161 21st Ave South,A-2200 MCN, Nashville, TN 37232 USA</t>
  </si>
  <si>
    <t xml:space="preserve">University of Michigan System; University of Michigan; Vanderbilt University</t>
  </si>
  <si>
    <t xml:space="preserve">Talbot, TR (corresponding author), Vanderbilt Univ, Sch Med, Dept Med, Div Infect Dis, 1161 21st Ave South,A-2200 MCN, Nashville, TN 37232 USA.</t>
  </si>
  <si>
    <t xml:space="preserve">tom.talbot@vumc.org</t>
  </si>
  <si>
    <t xml:space="preserve">Talbot, Thomas/JKI-2526-2023</t>
  </si>
  <si>
    <t xml:space="preserve">Talbot, Thomas/0000-0002-6139-212X</t>
  </si>
  <si>
    <t xml:space="preserve">National Institute of Allergy and Infectious Diseases [K01 AI141579]; National Institute of Allergy and Infectious Diseases [K01AI141579] Funding Source: NIH RePORTER</t>
  </si>
  <si>
    <t xml:space="preserve">National Institute of Allergy and Infectious Diseases(United States Department of Health &amp; Human ServicesNational Institutes of Health (NIH) - USANIH National Institute of Allergy &amp; Infectious Diseases (NIAID)); National Institute of Allergy and Infectious Diseases(United States Department of Health &amp; Human ServicesNational Institutes of Health (NIH) - USANIH National Institute of Allergy &amp; Infectious Diseases (NIAID))</t>
  </si>
  <si>
    <t xml:space="preserve">This work was funded in whole or in part with federal funds by the National Institute of Allergy and Infectious Diseases (Grant No. K01 AI141579 to J.G.P.).</t>
  </si>
  <si>
    <t xml:space="preserve">10.1016/j.idc.2021.07.007</t>
  </si>
  <si>
    <t xml:space="preserve">XN0FQ</t>
  </si>
  <si>
    <t xml:space="preserve">WOS:000729191300012</t>
  </si>
  <si>
    <t xml:space="preserve">Del Riccio, M; Caini, S; Bonaccorsi, G; Lorini, C; Paget, J; van der Velden, K; Meijer, A; Haag, M; McGovern, I; Zanobini, P</t>
  </si>
  <si>
    <t xml:space="preserve">Del Riccio, Marco; Caini, Saverio; Bonaccorsi, Guglielmo; Lorini, Chiara; Paget, John; van der Velden, Koos; Meijer, Adam; Haag, Mendel; McGovern, Ian; Zanobini, Patrizio</t>
  </si>
  <si>
    <t xml:space="preserve">Global analysis of respiratory viral circulation and timing of epidemics in the pre-COVID-19 and COVID-19 pandemic eras, based on data from the Global Influenza Surveillance and Response System (GISRS)</t>
  </si>
  <si>
    <t xml:space="preserve">Influenza; RSV; Respiratory viruses; Epidemiology; Timing of epidemics; Duration of epidemics; COVID-19 pandemic</t>
  </si>
  <si>
    <t xml:space="preserve">VIRUSES</t>
  </si>
  <si>
    <t xml:space="preserve">Objectives: The COVID-19 pandemic significantly changed respiratory viruses' epidemiology due to nonpharmaceutical interventions and possible viral interactions. This study investigates whether the circulation patterns of respiratory viruses have returned to pre-pandemic norms by comparing their peak timing and duration during the first three SARS-CoV-2 seasons to pre-pandemic times. Methods: Global Influenza Surveillance and Response System data from 194 countries (2014-2023) was analyzed for epidemic peak timing and duration, focusing on pre-pandemic and pandemic periods across both hemispheres and the intertropical belt. The analysis was restricted to countries meeting specific data thresholds to ensure robustness. Results: In 2022/2023, the northern hemisphere experienced earlier influenza and respiratory syncytial virus (RSV) peaks by 1.9 months ( P &lt; 0.001). The duration of influenza epidemics increased by 2.2 weeks ( P &lt; 0.001), with RSV showing a similar trend. The southern hemisphere's influenza peak shift was not significant ( P = 0.437). Intertropical regions presented no substantial change in peak timing but experienced a significant reduction in the duration for human metapneumovirus and adenovirus (7.2 and 6.5 weeks shorter, respectively, P &lt; 0.001). Conclusions: The pandemic altered the typical patterns of influenza and RSV, with earlier peaks in 2022 in temperate areas. These findings highlight the importance of robust surveillance data to inform public health strategies on evolving viral dynamics in the years to come. (c) 2024 The Authors. Published by Elsevier Ltd on behalf of International Society for Infectious Diseases. This is an open access article under the CC BY-NC-ND license ( http://creativecommons.org/licenses/by-nc-nd/4.0/ )</t>
  </si>
  <si>
    <t xml:space="preserve">[Del Riccio, Marco; Bonaccorsi, Guglielmo; Lorini, Chiara; Zanobini, Patrizio] Univ Florence, Dept Hlth Sci, Florence, Italy; [Del Riccio, Marco; van der Velden, Koos] Radboud Univ Nijmegen, Med Ctr, Dept Primary &amp; Community Care, Nijmegen, Netherlands; [Caini, Saverio; Paget, John] Netherlands Inst Hlth Serv Res, Utrecht, Netherlands; [Meijer, Adam] Natl Inst Publ Hlth &amp; Environm, Bilthoven, Netherlands; [Haag, Mendel] CSL Seqirus, Amsterdam, Netherlands; [McGovern, Ian] Seqirus Inc, Ctr Outcomes Res &amp; Epidemiol, Cambridge, MA USA</t>
  </si>
  <si>
    <t xml:space="preserve">University of Florence; Radboud University Nijmegen; Netherlands Institute for Health Services Research; Netherlands National Institute for Public Health &amp; the Environment</t>
  </si>
  <si>
    <t xml:space="preserve">Caini, S (corresponding author), Netherlands Inst Hlth Serv Res, Utrecht, Netherlands.</t>
  </si>
  <si>
    <t xml:space="preserve">DEL RICCIO, MARCO/ABB-3559-2020; bonaccorsi, guglielmo/AAR-6916-2020; Zanobini, Patrizio/JZT-3076-2024; Caini, Saverio/AAI-3788-2020</t>
  </si>
  <si>
    <t xml:space="preserve">McGovern, Ian/0000-0002-0282-7728; bonaccorsi, guglielmo/0000-0002-5171-4308</t>
  </si>
  <si>
    <t xml:space="preserve">CSL Seqirus</t>
  </si>
  <si>
    <t xml:space="preserve">This work was funded through an unrestricted grant from CSL Seqirus.</t>
  </si>
  <si>
    <t xml:space="preserve">10.1016/j.ijid.2024.107052</t>
  </si>
  <si>
    <t xml:space="preserve">TK2J5</t>
  </si>
  <si>
    <t xml:space="preserve">WOS:001241088400001</t>
  </si>
  <si>
    <t xml:space="preserve">Karadag-Oncel, E; Ciblak, MA; Ozsurekci, Y; Badur, S; Ceyhan, M</t>
  </si>
  <si>
    <t xml:space="preserve">Karadag-Oncel, Eda; Ciblak, Meral Akcay; Ozsurekci, Yasemin; Badur, Selim; Ceyhan, Mehmet</t>
  </si>
  <si>
    <t xml:space="preserve">Viral etiology of influenza-like illnesses during the influenza season between December 2011 and April 2012</t>
  </si>
  <si>
    <t xml:space="preserve">influenza; respiratory viruses; children</t>
  </si>
  <si>
    <t xml:space="preserve">RESPIRATORY SYNCYTIAL VIRUS; YOUNG-CHILDREN; HUMAN METAPNEUMOVIRUS; SEVERE BRONCHIOLITIS; TRACT INFECTIONS; INFANTS; IMPACT; RISK; EPIDEMIOLOGY; RHINOVIRUS</t>
  </si>
  <si>
    <t xml:space="preserve">The aim of this study was to determine the frequency of respiratory viruses responsible for respiratory tract infections in Turkish children during the 2011-2012 influenza season. Nasal swabs were obtained from patients with symptoms suggestive of an influenza-like illness between December 2011 and April 2012. Samples were analyzed with multiplex real-time polymerase chain reaction (RT-PCR) to help identify the causative viral pathogen. A total of 200 patients were enrolled in the study. A respiratory virus was detected successfully in 102 (51%) children; influenza A (H3N2) in 39.2%, influenza B in 23.5%, RSV in 15.6%, rhinovirus in 13.7%, bocavirus in 2.9%, coronavirus in 2.9%, and metapneumovirus in 0.9% of patients. Only one patient was co-infected with bocavirus and influenza A virus. A statistically significant difference in the mean age of presentation was observed between the various viral pathogens (P &lt; 0.001). Patients with RSV were significantly younger whereas children infected with the influenza viruses were significantly older. Comparison of symptoms revealed that fever and headache occurred more frequently with the influenza viruses than the other viruses combined (P &lt; 0.001, &lt;0.05). Durations of symptoms such as fever, cough, nasal congestion, and rhinorrhea were also significantly longer in the influenza group (P &lt; 0.001, &lt;0.005, &lt;0.001, &lt;0.005, respectively). Demographic analyses revealed that the school/daycare attendance was the only parameter associated with a significantly increased risk for influenza infection. With an overall viral pathogen detection rate of 51%, findings of the present study suggest other respiratory pathogens, whether viral or bacterial, may also lead to hospital visits due to influenza-like illnesses in children. J. Med. Virol. 86:865-871, 2014. (c) 2013 Wiley Periodicals, Inc.</t>
  </si>
  <si>
    <t xml:space="preserve">[Karadag-Oncel, Eda; Ozsurekci, Yasemin; Ceyhan, Mehmet] Hacettepe Univ, Fac Med, Dept Pediat, Pediat Infect Dis Unit, TR-06100 Ankara, Turkey; [Ciblak, Meral Akcay; Badur, Selim] Istanbul Univ, Dept Microbiol &amp; Clin Microbiol, Natl Influenza Reference Lab, Fac Med, Istanbul, Turkey</t>
  </si>
  <si>
    <t xml:space="preserve">Hacettepe University; Istanbul University</t>
  </si>
  <si>
    <t xml:space="preserve">Karadag-Oncel, E (corresponding author), Hacettepe Univ, Ihsan Dogramaci Child Hosp, Pediat Infect Dis Unit, Ankara, Turkey.</t>
  </si>
  <si>
    <t xml:space="preserve">dredakaradag@gmail.com</t>
  </si>
  <si>
    <t xml:space="preserve">Ozsurekci, Yasemin/D-5918-2014; Karadag Oncel, Eda/JHU-8000-2023</t>
  </si>
  <si>
    <t xml:space="preserve">Karadag Oncel, Eda/0000-0001-6488-8641</t>
  </si>
  <si>
    <t xml:space="preserve">10.1002/jmv.23747</t>
  </si>
  <si>
    <t xml:space="preserve">AC6ZG</t>
  </si>
  <si>
    <t xml:space="preserve">WOS:000332675600020</t>
  </si>
  <si>
    <t xml:space="preserve">Azziz-Baumgartner, E; Duca, LM; González, R; Calvo, A; Kaydos-Daniels, SC; Olson, N; MacNeil, A; Veguilla, V; Domínguez, R; Vicari, A; Rauda, R; Vuong, N; Ropero, AM; Armero, J; Porter, R; Franco, D; Pascale, JM</t>
  </si>
  <si>
    <t xml:space="preserve">Azziz-Baumgartner, Eduardo; Duca, Lindsey M.; Gonzalez, Rosalba; Calvo, Arlene; Kaydos-Daniels, S. Cornelia; Olson, Natalie; MacNeil, Adam; Veguilla, Vic; Dominguez, Rhina; Vicari, Andrea; Rauda, Rafael; Nga Vuong; Ropero, Alba Maria; Armero, Julio; Porter, Rachael; Franco, Danilo; Pascale, Juan Miguel</t>
  </si>
  <si>
    <t xml:space="preserve">Incidence of respiratory virus illness and hospitalizations in a Panama and El Salvador birth cohort, 2014-2018</t>
  </si>
  <si>
    <t xml:space="preserve">LANCET REGIONAL HEALTH-AMERICAS</t>
  </si>
  <si>
    <t xml:space="preserve">Influenza; Respiratory viruses; Child acute respiratory illness</t>
  </si>
  <si>
    <t xml:space="preserve">SYNCYTIAL VIRUS; INFLUENZA; VACCINATION; INFECTIONS; BURDEN</t>
  </si>
  <si>
    <t xml:space="preserve">Background Respiratory viruses remain a key cause of early childhood illness, hospitalization, and death globally. The recent pandemic has rekindled interest in the control of respiratory viruses among paediatric populations. We estimate the burden of such viruses among children &lt; 2 years. Methods Enrolled neonates were followed until two years of age. Weekly active symptom monitoring for the development of acute respiratory illnesses (ARI) defined as cough, rhinorrhoea, difficulty breathing, asthenia, anorexia, irritability, or vomiting was conducted. When the child had ARI and fever, nasopharyngeal swabbing was performed, and samples were tested through singleplex RT-PCR. Incidence of respiratory viruses was calculated by dividing the number of laboratory-confirmed detections by the person-time accrued during weeks when that virus was detectable through national surveillance then corrected for under-ascertainment among untested children. Findings During December 2014- November 2017, 1567 enrolled neonates contributed 2,186.9 person-years (py). Six in ten (64 center dot 4%) children developed ARI (total 2493 episodes). Among children &lt; 2 years, incidence of respiratory syncytial virus (RSV)-associated ARI episodes (21 center dot 0, 95%CI 19 center dot 3-22 center dot 8, per 100py) and rhinovirus-associated (20 center dot 5, 95%CI 20 center dot 4-20 center dot 7) were similar and higher than parainfluenza 1-3-associated (14 center dot 2, 95%CI 12 center dot 2-16 center dot 1), human metapneumovirus-associated (9 center dot 2, 95%CI 7 center dot 7-10 center dot 8), influenza-associated (5 center dot 9, 95%CI 4 center dot 4-7 center dot 5), and adenovirusassociated ARI episodes (5 center dot 1, 95%CI 5 center dot 0-5 center dot 2). Children aged &lt;3 months had the highest rates of RSV ARI (49 center dot 1, 95%CI 44 center dot 0-54 center dot 1 per 100py) followed by children aged 3-5 (25 center dot 1, 95%CI 20 center dot 1-30 center dot 0), 6-11 (17 center dot 6, 95%CI 13 center dot 2 -21 center dot 9), and 12- 23 months (11 center dot 9, 95%CI 10 center dot 8-12 center dot 9). One in ten children with RSV was referred to the hospital (2 center dot 5, 95%CI 2 center dot 1-2 center dot 8, per 100py). Interpretation Children frequently developed viral ARI and a substantive proportion required hospital care. Such findings suggest the importance of exploring the value of new interventions and increasing uptake of existing prevention measures to mitigate burden of epidemic-prone respiratory viruses. Copyright (c) 2022 Published by Elsevier Ltd. This is an open access article under the CC BY-NC-ND IGO license (http://creativecommons.org/licenses/by-nc-nd/3.0/igo/)</t>
  </si>
  <si>
    <t xml:space="preserve">[Azziz-Baumgartner, Eduardo; Duca, Lindsey M.; Kaydos-Daniels, S. Cornelia; Olson, Natalie; MacNeil, Adam; Veguilla, Vic; Nga Vuong; Porter, Rachael] Ctr Dis Control &amp; Prevent, Atlanta, GA 30329 USA; [Gonzalez, Rosalba; Calvo, Arlene; Franco, Danilo; Pascale, Juan Miguel] Gorgas Inst, Panama City, Panama; [Calvo, Arlene] Univ S Florida, Panama City, Panama; [Dominguez, Rhina; Rauda, Rafael; Armero, Julio] Natl Inst Hlth El Salvador, San Salvador, El Salvador; [Vicari, Andrea; Ropero, Alba Maria] Pan Amer Hlth Org, Panama City, Panama</t>
  </si>
  <si>
    <t xml:space="preserve">Centers for Disease Control &amp; Prevention - USA; Pan American Health Organization</t>
  </si>
  <si>
    <t xml:space="preserve">Azziz-Baumgartner, E (corresponding author), Ctr Dis Control &amp; Prevent, Influenza Div, 1600 Clifton Rd NE,Mailstop H24-7, Atlanta, GA 30329 USA.</t>
  </si>
  <si>
    <t xml:space="preserve">eha9@cdc.gov</t>
  </si>
  <si>
    <t xml:space="preserve">Dominguez, Rhina/ISV-6048-2023</t>
  </si>
  <si>
    <t xml:space="preserve">Dominguez, Rhina/0000-0001-7860-0602</t>
  </si>
  <si>
    <t xml:space="preserve">The study was supported by the Centers for Disease Control and Prevention.</t>
  </si>
  <si>
    <t xml:space="preserve">2667-193X</t>
  </si>
  <si>
    <t xml:space="preserve">LANCET REG HEALTH-AM</t>
  </si>
  <si>
    <t xml:space="preserve">Lancet Regional Health-Americas</t>
  </si>
  <si>
    <t xml:space="preserve">10.1016/j.lana.2022.100304</t>
  </si>
  <si>
    <t xml:space="preserve">Health Care Sciences &amp; Services; Public, Environmental &amp; Occupational Health</t>
  </si>
  <si>
    <t xml:space="preserve">7J5OZ</t>
  </si>
  <si>
    <t xml:space="preserve">WOS:000904632700010</t>
  </si>
  <si>
    <t xml:space="preserve">Gilca, R; Amini, R; Douville-Fradet, M; Charest, H; Dubuque, J; Boulianne, N; Skowronski, DM; De Serres, G</t>
  </si>
  <si>
    <t xml:space="preserve">Gilca, Rodica; Amini, Rachid; Douville-Fradet, Monique; Charest, Hugues; Dubuque, Josee; Boulianne, Nicole; Skowronski, Danuta M.; De Serres, Gaston</t>
  </si>
  <si>
    <t xml:space="preserve">Other Respiratory Viruses Are Important Contributors to Adult Respiratory Hospitalizations and Mortality Even During Peak Weeks of the Influenza Season</t>
  </si>
  <si>
    <t xml:space="preserve">OPEN FORUM INFECTIOUS DISEASES</t>
  </si>
  <si>
    <t xml:space="preserve">influenza; respiratory viruses; adults; hospitalization; mortality; elderly</t>
  </si>
  <si>
    <t xml:space="preserve">Background. During peak weeks of seasonal influenza epidemics, severe respiratory infections without laboratory confirmation are typically attributed to influenza. Methods. In this prospective study, specimens and demographic and clinical data were collected from adults admitted with respiratory symptoms to 4 hospitals during the 8-10 peak weeks of 2 influenza seasons. Specimens were systematically tested for influenza and 13 other respiratory viruses (ORVs) by using the Luminex RVP FAST assay. Results. At least 1 respiratory virus was identified in 46% (21% influenza, 25% noninfluenza; 2% coinfection) of the 286 enrolled patients in 2011-2012 and in 62% (46% influenza, 16% noninfluenza; 3% coinfection) of the 396 enrolled patients in 2012-2013. Among patients aged &gt;= 75 years, twice as many ORVs (32%) as influenza viruses (14%) were detected in 2011-2012. During both seasons, the most frequently detected ORVs were enteroviruses/rhinoviruses (7%), respiratory syncytial virus (6%), human metapneumovirus (5%), coronaviruses (4%), and parainfluenza viruses (2%). Disease severity was similar for influenza and ORVs during both seasons. Conclusions. Although ORV contribution relative to influenza varies by age and season, during the peak weeks of certain influenza seasons, ORVs may be a more frequent cause of elderly hospitalization than influenza.</t>
  </si>
  <si>
    <t xml:space="preserve">[Gilca, Rodica; Amini, Rachid; Douville-Fradet, Monique; Boulianne, Nicole; De Serres, Gaston] Inst Natl Sante Publ, Biol Environm &amp; Occupat Risks, Quebec City, PQ, Canada; [Gilca, Rodica; Boulianne, Nicole; De Serres, Gaston] CHU Quebec, Publ Hlth Res Unit, Quebec City, PQ, Canada; [Gilca, Rodica; De Serres, Gaston] Laval Univ, Fac Med, Quebec City, PQ, Canada; [Charest, Hugues] Inst Natl Sante Publ Quebec, Lab Sante Publ, Quebec City, PQ, Canada; [Dubuque, Josee] Minist Sante &amp; Serv Sociaux, Montreal, PQ, Canada; [Skowronski, Danuta M.] British Columbia Ctr Dis Control, Influenza &amp; Emerging Resp Pathogens, Vancouver, BC, Canada</t>
  </si>
  <si>
    <t xml:space="preserve">Institut national de sante publique du Quebec (INSPQ); Laval University; Laval University; Institut national de sante publique du Quebec (INSPQ)</t>
  </si>
  <si>
    <t xml:space="preserve">Gilca, R (corresponding author), Inst Natl Sante Publ Quebec, 2400 Ave Estimauville, Quebec City, PQ G1E 7G9, Canada.</t>
  </si>
  <si>
    <t xml:space="preserve">rodica.gilca@inspq.qc.ca</t>
  </si>
  <si>
    <t xml:space="preserve">Ministere de la Sante et des Services sociaux du Quebec</t>
  </si>
  <si>
    <t xml:space="preserve">This work was supported by the Ministere de la Sante et des Services sociaux du Quebec.</t>
  </si>
  <si>
    <t xml:space="preserve">2328-8957</t>
  </si>
  <si>
    <t xml:space="preserve">OPEN FORUM INFECT DI</t>
  </si>
  <si>
    <t xml:space="preserve">Open Forum Infect. Dis.</t>
  </si>
  <si>
    <t xml:space="preserve">SUM</t>
  </si>
  <si>
    <t xml:space="preserve">10.1093/ofid/ofu086</t>
  </si>
  <si>
    <t xml:space="preserve">V3T0H</t>
  </si>
  <si>
    <t xml:space="preserve">WOS:000218560200045</t>
  </si>
  <si>
    <t xml:space="preserve">Dia, N; Richard, V; Kiori, D; Cisse, EAK; Sarr, FD; Faye, A; Goudiaby, DG; Diop, OM; Niang, MN</t>
  </si>
  <si>
    <t xml:space="preserve">Dia, Ndongo; Richard, Vincent; Kiori, Davy; Cisse, El Hadj Abdoul Khadir; Sarr, Fatoumata Diene; Faye, Abdourahmane; Goudiaby, Deborah G.; Diop, Ousmane M.; Niang, Mbayame N.</t>
  </si>
  <si>
    <t xml:space="preserve">Respiratory viruses associated with patients older than 50 years presenting with ILI in Senegal, 2009 to 2011</t>
  </si>
  <si>
    <t xml:space="preserve">Influenza; Respiratory virus; Elderly; Prevalence; Diversity</t>
  </si>
  <si>
    <t xml:space="preserve">INFLUENZA-LIKE ILLNESS; SYNCYTIAL VIRUS; A H1N1; SENTINEL SURVEILLANCE; HUMAN METAPNEUMOVIRUS; ELDERLY-PEOPLE; VIRAL ETIOLOGY; UNITED-STATES; INFECTIONS; CHILDREN</t>
  </si>
  <si>
    <t xml:space="preserve">Background: In Africa, especially in West Africa, studies about the prevalence and diversity of respiratory viruses (influenza and others) in elderly people are largely lacking. In studies done elsewhere, it is well established that older people, when compared with younger adults, are at greater risk of significant morbidity and mortality from complications arising from influenza. The main aim of this study was to determine the prevalence and the diversity of respiratory viruses associated with ILI cases in adults over 50 years old in Senegal. Methods: The recruitment period of this study was from January 2009 to December 2011. 232 patients aged 50 years and above presenting ILI cases were enrolled. Nasal-pharyngeal and/or oral pharyngeal swabs were collected from patients. RNA was extracted from 200 mu l of each sample followed by a two-step real-time RT-PCR. The Anyplex (TM) II RV16 Detection kit was used for viral detection. The kit enabled the simultaneous detection of the presence of 16 respiratory viruses. Results: 150 viruses were detected: influenza viruses (44.7%) and rhinoviruses (26.7%) were the most prevalent. We detected 13 human parainfluenza viruses (8.7%), 7 human respiratory syncytial viruses (4.7%), 6 coronaviruses (4%), 5 human metapneumoviruses (3.3%), 5 human adenoviruses (3.3%) and 1 human bocavirus (0.7%). 14 cases (6%) of dual virus infections and one triple viral detection case were encountered. 56 (56.6%) viruses detected were found in the 50-64 year old age group, 59 (76.6%; P &lt; 0.001) from 65-74 year old age group and 35 (62.5%) were detected in the &gt;= 75 year old age group. The viral co-infections were more frequent in the 65-74 age group (9/15). Conclusions: This pilot study demonstrates a variety of respiratory viruses in the elderly. It also highlights a high prevalence of these viruses in this age group. We speculate from these results that the impact of respiratory viruses other than influenza on the elderly has been considerably underestimated. A more exhaustive study seems necessary in order to provide a more complete picture of the burden of respiratory viruses on morbidity among adults over 50 years old in the sub-Saharan context.</t>
  </si>
  <si>
    <t xml:space="preserve">[Dia, Ndongo; Kiori, Davy; Cisse, El Hadj Abdoul Khadir; Faye, Abdourahmane; Goudiaby, Deborah G.; Diop, Ousmane M.; Niang, Mbayame N.] Inst Pasteur, Unit Med Virol, Dakar, Senegal; [Richard, Vincent; Sarr, Fatoumata Diene] Inst Pasteur, Unite Epidemiol Malad Infect, Dakar, Senegal</t>
  </si>
  <si>
    <t xml:space="preserve">Pasteur Network; Institut Pasteur Dakar; Pasteur Network; Institut Pasteur Dakar</t>
  </si>
  <si>
    <t xml:space="preserve">Niang, MN (corresponding author), Inst Pasteur, Unit Med Virol, BP 220, Dakar, Senegal.</t>
  </si>
  <si>
    <t xml:space="preserve">niang@pasteur.sn</t>
  </si>
  <si>
    <t xml:space="preserve">Vincent, RICHARD/0000-0002-6961-1753</t>
  </si>
  <si>
    <t xml:space="preserve">Institut Pasteur de Dakar, Senegal</t>
  </si>
  <si>
    <t xml:space="preserve">This work was funded by Institut Pasteur de Dakar, Senegal.</t>
  </si>
  <si>
    <t xml:space="preserve">APR 8</t>
  </si>
  <si>
    <t xml:space="preserve">10.1186/1471-2334-14-189</t>
  </si>
  <si>
    <t xml:space="preserve">AH3ZT</t>
  </si>
  <si>
    <t xml:space="preserve">WOS:000336065700001</t>
  </si>
  <si>
    <t xml:space="preserve">Dignan, FL; Clark, A; Aitken, C; Gilleece, M; Jayakar, V; Krishnamurthy, P; Pagliuca, A; Potter, MN; Shaw, B; Skinner, R; Turner, A; Wynn, RF; Coyle, P</t>
  </si>
  <si>
    <t xml:space="preserve">Dignan, Fiona L.; Clark, Andrew; Aitken, Celia; Gilleece, Maria; Jayakar, Vishal; Krishnamurthy, Pramila; Pagliuca, Antonio; Potter, Michael N.; Shaw, Bronwen; Skinner, Roderick; Turner, Andrew; Wynn, Robert F.; Coyle, Peter</t>
  </si>
  <si>
    <t xml:space="preserve">British Comm Stand Haematology; British Comm Stand Haematology; British Soc Blood Marrow Transplan; UK Clinical Virology Network</t>
  </si>
  <si>
    <t xml:space="preserve">BCSH/BSBMT/UK clinical virology network guideline: diagnosis and management of common respiratory viral infections in patients undergoing treatment for haematological malignancies or stem cell transplantation</t>
  </si>
  <si>
    <t xml:space="preserve">BRITISH JOURNAL OF HAEMATOLOGY</t>
  </si>
  <si>
    <t xml:space="preserve">influenza; respiratory syncytial virus; metapneumovirus; parainfluenza; stem cell transplant</t>
  </si>
  <si>
    <t xml:space="preserve">SYNCYTIAL VIRUS-INFECTION; HUMAN METAPNEUMOVIRUS; PARAINFLUENZA VIRUS; AEROSOLIZED RIBAVIRIN; ORAL RIBAVIRIN; NASOPHARYNGEAL ASPIRATE; RHINOVIRUS INFECTIONS; MONOCLONAL-ANTIBODY; TRACT INFECTIONS; HIGH PREVALENCE</t>
  </si>
  <si>
    <t xml:space="preserve">A joint working group established by the Haemato-oncology subgroup of the British Committee for Standards in Haematology, the British Society for Bone Marrow Transplantation and the UK Clinical Virology Network has reviewed the available literature and made recommendations for the diagnosis and management of respiratory viral infections in patients with haematological malignancies or those undergoing haematopoietic stem cell transplantation. This guideline includes recommendations for the diagnosis, prevention and treatment of respiratory viral infections in adults and children. The suggestions and recommendations are primarily intended for physicians practising in the United Kingdom.</t>
  </si>
  <si>
    <t xml:space="preserve">[Dignan, Fiona L.] Cent Manchester NHS Fdn Trust, Dept Haematol, Manchester, Lancs, England; [Clark, Andrew] Gartnavel Hosp, Beatson Oncol Ctr, Bone Marrow Transplant Unit, Glasgow, Lanark, Scotland; [Aitken, Celia] Glasgow Royal Infirm, West Scotland Specialist Virol Ctr, Glasgow G4 0SF, Lanark, Scotland; [Gilleece, Maria] Leeds Teaching Hosp Trust, Dept Haematol, Leeds, W Yorkshire, England; [Jayakar, Vishal] Kingston Hosp NHS Trust, Dept Haematol, London, England; [Krishnamurthy, Pramila] Addenbrookes Hosp, Dept Haematol, Cambridge CB2 2QQ, England; [Pagliuca, Antonio] Kings Coll Hosp London, Dept Haematol Med, London, England; [Potter, Michael N.; Shaw, Bronwen] Royal Marsden NHS Fdn Trust, Sect Haematooncol, London, England; [Skinner, Roderick] Newcastle Upon Tyne Hosp NHS Fdn Trust, Great North Childrens Hosp, Dept Paediat &amp; Adolescent Haematol Oncol, Newcastle Upon Tyne, Tyne &amp; Wear, England; [Turner, Andrew] Cent Manchester NHS Fdn Trust, Dept Virol, Manchester, Lancs, England; [Wynn, Robert F.] Royal Manchester Childrens Hosp, Manchester M27 1HA, Lancs, England; [Coyle, Peter] Belfast Hlth &amp; Social Care Trust, Dept Microbiol, Reg Virus Lab, Belfast, Antrim, North Ireland; British Soc Haematol, 100 White Lion St, London N1 9PF, England</t>
  </si>
  <si>
    <t xml:space="preserve">Beatson Oncology Centre; University of Glasgow; University of Leeds; Cambridge University Hospitals NHS Foundation Trust; Addenbrooke's Hospital; University of Cambridge; King's College Hospital NHS Foundation Trust; King's College Hospital; Royal Marsden NHS Foundation Trust; Newcastle Upon Tyne Hospitals NHS Foundation Trust; Royal Manchester Children's Hospital</t>
  </si>
  <si>
    <t xml:space="preserve">Dignan, FL (corresponding author), Cent Manchester NHS Fdn Trust, Dept Haematol, Manchester, Lancs, England.</t>
  </si>
  <si>
    <t xml:space="preserve">Turner, Andrew/AAS-1928-2021; pagliuca, antonio/F-8886-2013</t>
  </si>
  <si>
    <t xml:space="preserve">Gilleece, Maria/0000-0003-0364-3573; pagliuca, antonio/0000-0003-2519-0333</t>
  </si>
  <si>
    <t xml:space="preserve">0007-1048</t>
  </si>
  <si>
    <t xml:space="preserve">1365-2141</t>
  </si>
  <si>
    <t xml:space="preserve">BRIT J HAEMATOL</t>
  </si>
  <si>
    <t xml:space="preserve">Br. J. Haematol.</t>
  </si>
  <si>
    <t xml:space="preserve">10.1111/bjh.14027</t>
  </si>
  <si>
    <t xml:space="preserve">Hematology</t>
  </si>
  <si>
    <t xml:space="preserve">DL2QR</t>
  </si>
  <si>
    <t xml:space="preserve">WOS:000375480600006</t>
  </si>
  <si>
    <t xml:space="preserve">Chen, L; Han, XD; Bai, L; Zhang, J</t>
  </si>
  <si>
    <t xml:space="preserve">Chen, Liang; Han, Xiudi; Bai, Lu; Zhang, Jian</t>
  </si>
  <si>
    <t xml:space="preserve">Clinical characteristics and outcomes in adult patients hospitalized with influenza, respiratory syncytial virus and human metapneumovirus infections</t>
  </si>
  <si>
    <t xml:space="preserve">EXPERT REVIEW OF ANTI-INFECTIVE THERAPY</t>
  </si>
  <si>
    <t xml:space="preserve">Influenza; respiratory syncytial virus; human metapneumovirus; adult; clinical characteristics; disease severity</t>
  </si>
  <si>
    <t xml:space="preserve">PNEUMONIA; DIAGNOSIS; MORTALITY; CHINA</t>
  </si>
  <si>
    <t xml:space="preserve">Objectives: To compare the clinical characteristics and outcomes of patients hospitalized with respiratory syncytial virus (RSV), human metapneumovirus (hMPV), and influenza infections. Methods: This study prospectively enrolled 594 patients hospitalized with influenza-like illness (ILI) and laboratory-confirmed RSV, hMPV, or influenza infections over three consecutive influenza seasons at a tertiary hospital in China. Results: While certain clinical features were of value as predictors of infection type, none exhibited good predictive performance as a means of discriminating between these three infections (area under the receiver-operating characteristic curve &lt; 0.70). After controlling for potential confounding variables, RSV infections in pneumonia patients were found to be associated with a 30-day mortality risk comparable to that of influenza patients [odds ratio (OR) 1.016, 95% confidence interval (CI) 0.267-3.856, p = 0.982], whereas hMPV infection was associated with a reduced risk of mortality (OR 0.144, 95% CI 0.027-0.780, p = 0.025). Among those without pneumonia, the 30-day mortality risk in patients with influenza was comparable to that in patients infected with RSV (OR 1.268, 95% CI 0.172-9.355, p = 0.816) or hMPV (OR 1.128, 95% CI 0.122-10.419, p = 0.916). Conclusion: Disease severity associated with these three types of viral infection was inconsistent when comparing patients with and without pneumonia, highlighting the importance of etiologic testing.</t>
  </si>
  <si>
    <t xml:space="preserve">[Chen, Liang; Bai, Lu; Zhang, Jian] Peking Univ, Dept Infect Dis, Beijing Jishuitan Hosp, Med Coll 4, Beijing, Peoples R China; [Han, Xiudi] Qingdao Municipal Hosp, Dept Pulm &amp; Crit Care Med, Qingdao, Shandong, Peoples R China</t>
  </si>
  <si>
    <t xml:space="preserve">Peking University; Qingdao Municipal Hospital</t>
  </si>
  <si>
    <t xml:space="preserve">YY This study was funded by Beijing JST research (ZR-201921). The sponsor had no role in study design; the collection, analysis and interpretation of data; the writing of the report; and the decision to submit the article for publication.</t>
  </si>
  <si>
    <t xml:space="preserve">1478-7210</t>
  </si>
  <si>
    <t xml:space="preserve">1744-8336</t>
  </si>
  <si>
    <t xml:space="preserve">EXPERT REV ANTI-INFE</t>
  </si>
  <si>
    <t xml:space="preserve">Expert Rev. Anti-Infect. Ther.</t>
  </si>
  <si>
    <t xml:space="preserve">JUN 3</t>
  </si>
  <si>
    <t xml:space="preserve">10.1080/14787210.2021.1846520</t>
  </si>
  <si>
    <t xml:space="preserve">NOV 2020</t>
  </si>
  <si>
    <t xml:space="preserve">Infectious Diseases; Microbiology; Pharmacology &amp; Pharmacy</t>
  </si>
  <si>
    <t xml:space="preserve">SM9LE</t>
  </si>
  <si>
    <t xml:space="preserve">WOS:000589861200001</t>
  </si>
  <si>
    <t xml:space="preserve">Budge, PJ; Griffin, MR; Edwards, KM; Williams, JV; Verastegui, H; Hartinger, SM; Johnson, M; Klemenc, JM; Zhu, YW; Gil, AI; Lanata, CF; Grijalva, CG</t>
  </si>
  <si>
    <t xml:space="preserve">Budge, Philip J.; Griffin, Marie R.; Edwards, Kathryn M.; Williams, John V.; Verastegui, Hector; Hartinger, Stella M.; Johnson, Monika; Klemenc, Jennifer M.; Zhu, Yuwei; Gil, Ana I.; Lanata, Claudio F.; Grijalva, Carlos G.</t>
  </si>
  <si>
    <t xml:space="preserve">RESPIRA-PERU Grp</t>
  </si>
  <si>
    <t xml:space="preserve">A Household-based Study of Acute Viral Respiratory Illnesses in Andean Children</t>
  </si>
  <si>
    <t xml:space="preserve">influenza; respiratory syncytial virus; human metapneumovirus; acute respiratory infection; Peru; household study</t>
  </si>
  <si>
    <t xml:space="preserve">COMMUNITY-ACQUIRED PNEUMONIA; INFLUENZA-LIKE ILLNESS; OPTIMAL RECALL PERIOD; INTEGRATED MANAGEMENT; CHILDHOOD ILLNESS; GLOBAL BURDEN; PCR ASSAY; INFECTIONS; ETIOLOGY; INTERVENTION</t>
  </si>
  <si>
    <t xml:space="preserve">Background: Few community studies have measured the incidence, severity and etiology of acute respiratory illness (ARI) among children living at high-altitude in remote rural settings. Methods: We conducted active, household-based ARI surveillance among children aged &lt;3 years in rural highland communities of San Marcos, Cajamarca, Peru from May 2009 through September 2011 (RESPIRA-PERU study). ARI (defined by fever or cough) were considered lower respiratory tract infections if tachypnea, wheezing, grunting, stridor or retractions were present. Nasal swabs collected during ARI episodes were tested for respiratory viruses by real-time, reverse-transcriptase polymerase chain reaction. ARI incidence was calculated using Poisson regression. Results: During 755.1 child-years of observation among 892 children in 58 communities, 4475 ARI were observed, yielding an adjusted incidence of 6.2 ARI/child-year (95% confidence interval: 5.9-6.5). Families sought medical care for 24% of ARI, 4% were classified as lower respiratory tract infections and 1% led to hospitalization. Of 5 deaths among cohort children, 2 were attributed to ARI. One or more respiratory viruses were detected in 67% of 3957 samples collected. Virus-specific incidence rates per 100 child-years were: rhinovirus, 236; adenovirus, 73; parainfluenza virus, 46; influenza, 37; respiratory syncytial virus, 30 and human metapneumovirus, 17. Respiratory syncytial virus, metapneumovirus and parainfluenza virus 1-3 comprised a disproportionate share of lower respiratory tract infections compared with other etiologies. Conclusions: In this high-altitude rural setting with low-population density, ARI in young children were common, frequently severe and associated with a number of different respiratory viruses. Effective strategies for prevention and control of these infections are needed.</t>
  </si>
  <si>
    <t xml:space="preserve">[Budge, Philip J.] Vanderbilt Univ, Div Infect Dis, Dept Internal Med, Nashville, TN 37212 USA; [Griffin, Marie R.; Grijalva, Carlos G.] Vanderbilt Univ, Dept Prevent Med, Nashville, TN 37212 USA; [Edwards, Kathryn M.] Vanderbilt Univ, Vanderbilt Vaccine Res Program, Div Infect Dis, Dept Pediat, Nashville, TN 37212 USA; [Edwards, Kathryn M.; Williams, John V.; Johnson, Monika; Klemenc, Jennifer M.] Vanderbilt Univ, Dept Pediat, Nashville, TN 37212 USA; [Williams, John V.] Vanderbilt Univ, Dept Pathol Microbiol &amp; Immunol, Nashville, TN 37212 USA; [Verastegui, Hector; Hartinger, Stella M.; Gil, Ana I.; Lanata, Claudio F.] Inst Invest Nutr, Lima, Peru; [Hartinger, Stella M.] Swiss Trop &amp; Publ Hlth Inst, Basel, Switzerland; [Zhu, Yuwei] Vanderbilt Univ, Dept Biostat, Nashville, TN 37212 USA</t>
  </si>
  <si>
    <t xml:space="preserve">Vanderbilt University; Vanderbilt University; Vanderbilt University; Vanderbilt University; Vanderbilt University; University of Basel; Swiss Tropical &amp; Public Health Institute; Vanderbilt University</t>
  </si>
  <si>
    <t xml:space="preserve">Grijalva, CG (corresponding author), Vanderbilt Univ, Sch Med, Dept Prevent Med, 1500 21st Ave South,Village Vanderbilt Suite 2600, Nashville, TN 37212 USA.</t>
  </si>
  <si>
    <t xml:space="preserve">Lanata, Claudio/N-7997-2018; Williams, John/ABE-3227-2020; Budge, Philip/ABE-6458-2020; Grijalva, Carlos/HRA-9217-2023; Williams, John/F-6962-2010</t>
  </si>
  <si>
    <t xml:space="preserve">Grijalva, Carlos/0000-0002-2329-7797; Hartinger, Stella/0000-0003-3523-1725; Williams, John/0000-0001-8377-5175; Budge, Philip/0000-0002-0069-2372</t>
  </si>
  <si>
    <t xml:space="preserve">Vanderbilt University CTSA from NIH [UL1 RR024975-01]; Pfizer [IIR WS1898786(0887X1-4492]; Thrasher Research Fund [02832-9]; Agency of Healthcare Research and Quality [T32 HS 013833]</t>
  </si>
  <si>
    <t xml:space="preserve">Vanderbilt University CTSA from NIH; Pfizer(Pfizer); Thrasher Research Fund; Agency of Healthcare Research and Quality(United States Department of Health &amp; Human ServicesAgency for Healthcare Research &amp; Quality)</t>
  </si>
  <si>
    <t xml:space="preserve">This work was supported by the Vanderbilt University CTSA grant UL1 RR024975-01 from NIH, an investigator initiated research grant from Pfizer (IIR WS1898786(0887X1-4492) and a grant from the Thrasher Research Fund (02832-9). P.J.B. was supported by the Agency of Healthcare Research and Quality T32 HS 013833.</t>
  </si>
  <si>
    <t xml:space="preserve">10.1097/INF.0000000000000135</t>
  </si>
  <si>
    <t xml:space="preserve">AG9PC</t>
  </si>
  <si>
    <t xml:space="preserve">WOS:000335750600006</t>
  </si>
  <si>
    <t xml:space="preserve">Johnson, EK; Sylte, D; Chaves, SS; Li, Y; Mahe, C; Nair, H; Paget, J; van Pomeren, T; Shi, T; Viboud, C; James, SL</t>
  </si>
  <si>
    <t xml:space="preserve">Johnson, Emily K.; Sylte, Dillon; Chaves, Sandra S.; Li, You; Mahe, Cedric; Nair, Harish; Paget, John; van Pomeren, Tayma; Shi, Ting; Viboud, Cecile; James, Spencer L.</t>
  </si>
  <si>
    <t xml:space="preserve">Hospital utilization rates for influenza and RSV: a novel approach and critical assessment</t>
  </si>
  <si>
    <t xml:space="preserve">POPULATION HEALTH METRICS</t>
  </si>
  <si>
    <t xml:space="preserve">Influenza; Respiratory syncytial virus; Acute lower respiratory infections; Inpatient admissions</t>
  </si>
  <si>
    <t xml:space="preserve">RESPIRATORY SYNCYTIAL VIRUS; COMMUNITY-ACQUIRED PNEUMONIA; POPULATION-BASED INCIDENCE; HUMAN METAPNEUMOVIRUS INFECTION; LABORATORY-CONFIRMED INFLUENZA; CARE-ASSOCIATED PNEUMONIA; REAL-TIME PCR; A H1N1 2009; TRACT INFECTIONS; VIRAL ETIOLOGY</t>
  </si>
  <si>
    <t xml:space="preserve">Background Influenza and respiratory syncytial virus (RSV) contribute significantly to the burden of acute lower respiratory infection (ALRI) inpatient care, but heterogeneous coding practices and availability of inpatient data make it difficult to estimate global hospital utilization for either disease based on coded diagnoses alone. Methods This study estimates rates of influenza and RSV hospitalization by calculating the proportion of ALRI due to influenza and RSV and applying this proportion to inpatient admissions with ALRI coded as primary diagnosis. Proportions of ALRI attributed to influenza and RSV were extracted from a meta-analysis of 360 total sources describing inpatient hospital admissions which were input to a Bayesian mixed effects model over age with random effects over location. Results of this model were applied to inpatient admission datasets for 44 countries to produce rates of hospital utilization for influenza and RSV respectively, and rates were compared to raw coded admissions for each disease. Results For most age groups, these methods estimated a higher national admission rate than the rate of directly coded influenza or RSV admissions in the same inpatient sources. In many inpatient sources, International Classification of Disease (ICD) coding detail was insufficient to estimate RSV burden directly. The influenza inpatient burden estimates in older adults appear to be substantially underestimated using this method on primary diagnoses alone. Application of the mixed effects model reduced heterogeneity between countries in influenza and RSV which was biased by coding practices and between-country variation. Conclusions This new method presents the opportunity of estimating hospital utilization rates for influenza and RSV using a wide range of clinical databases. Estimates generally seem promising for influenza and RSV associated hospitalization, but influenza estimates from primary diagnosis seem highly underestimated among older adults. Considerable heterogeneity remains between countries in ALRI coding (i.e., primary vs non-primary cause), and in the age profile of proportion positive for influenza and RSV across studies. While this analysis is interesting because of its wide data utilization and applicability in locations without laboratory-confirmed admission data, understanding the sources of variability and data quality will be essential in future applications of these methods.</t>
  </si>
  <si>
    <t xml:space="preserve">[Johnson, Emily K.; Sylte, Dillon; James, Spencer L.] Univ Washington, Inst Hlth Metr &amp; Evaluat, Seattle, WA 98195 USA; [Chaves, Sandra S.; Mahe, Cedric] Fdn France, Fdn Influenza Epidemiol, Paris, France; [Chaves, Sandra S.; Mahe, Cedric] Sanofi Pasteur, Vaccine Epidemiol &amp; Modeling Dept, Lyon, France; [Li, You; Nair, Harish; Shi, Ting] Univ Edinburgh, Ctr Global Hlth, Usher Inst, Edinburgh, Midlothian, Scotland; [Paget, John; van Pomeren, Tayma] Netherlands Inst Hlth Serv Res Nivel, Utrecht, Netherlands; [Viboud, Cecile] NIH, Fogarty Int Ctr, Bldg 10, Bethesda, MD 20892 USA</t>
  </si>
  <si>
    <t xml:space="preserve">University of Washington; University of Washington Seattle; Institute for Health Metrics &amp; Evaluation; Sanofi-Aventis; Sanofi France; University of Edinburgh; Netherlands Institute for Health Services Research; National Institutes of Health (NIH) - USA; NIH Fogarty International Center (FIC)</t>
  </si>
  <si>
    <t xml:space="preserve">Johnson, EK (corresponding author), Univ Washington, Inst Hlth Metr &amp; Evaluat, Seattle, WA 98195 USA.</t>
  </si>
  <si>
    <t xml:space="preserve">eekj15@uw.edu</t>
  </si>
  <si>
    <t xml:space="preserve">Mahe, Cedric/LKK-8234-2024; James, Spencer/JFK-0818-2023; Johnson, Emily/KHV-5387-2024; Li, You/GRX-6269-2022; Nair, Harish/E-7431-2010</t>
  </si>
  <si>
    <t xml:space="preserve">Viboud, Cecile/0000-0003-3243-4711; Johnson, Emily/0000-0001-9213-9533; Li, You/0000-0002-8506-8439; Nair, Harish/0000-0002-9432-9100</t>
  </si>
  <si>
    <t xml:space="preserve">Foundation for Influenza Epidemiology</t>
  </si>
  <si>
    <t xml:space="preserve">The BIRD project was supported by a grant from the Foundation for Influenza Epidemiology (www.ghisn.org).The funding source for this project was not involved in study design, data extraction and analysis, interpretation of results or drafting of the manuscript. Sandra S Chaves and Cedric Mahe contributed to the, interpretation of results and writing up of the manuscript and report as members of the Foundation.</t>
  </si>
  <si>
    <t xml:space="preserve">1478-7954</t>
  </si>
  <si>
    <t xml:space="preserve">POPUL HEALTH METR</t>
  </si>
  <si>
    <t xml:space="preserve">Popul. Health Metr.</t>
  </si>
  <si>
    <t xml:space="preserve">JUN 14</t>
  </si>
  <si>
    <t xml:space="preserve">10.1186/s12963-021-00252-5</t>
  </si>
  <si>
    <t xml:space="preserve">SU7DR</t>
  </si>
  <si>
    <t xml:space="preserve">WOS:000663293700001</t>
  </si>
  <si>
    <t xml:space="preserve">Whiley, DM; Faux, CE; Bialasiewicz, S; Gould, AR; Lambert, SB; Nissen, MD; Sloots, TP</t>
  </si>
  <si>
    <t xml:space="preserve">Whiley, David M.; Faux, Cassandra E.; Bialasiewicz, Seweryn; Gould, Allan R.; Lambert, Stephen B.; Nissen, Michael D.; Sloots, Theo P.</t>
  </si>
  <si>
    <t xml:space="preserve">A simple approach for preparing real-time PCR positive reaction controls for rare or emerging viruses</t>
  </si>
  <si>
    <t xml:space="preserve">Influenza; Real-time; PCR; Positive; Control; Synthetic</t>
  </si>
  <si>
    <t xml:space="preserve">IDENTIFICATION</t>
  </si>
  <si>
    <t xml:space="preserve">Background: Laboratories often have difficulties obtaining positive control material for polymerase chain reaction (PCR) diagnosis of rare or emerging viruses. This is particularly problematic during outbreaks caused by emerging infectious diseases, when delays can impede the public health response. Objectives: The aim of this study was to develop a simple approach for preparing real-time PCR positive reaction controls for rare or emerging viruses. Study design: We describe a universal method for preparing PCR positive reaction controls (Uni-Control), which uses two synthetic control oligonucleotides and irrelevant viral nucleic acid as an initiator template. In this study, we prepared Uni-Controls for novel influenza A(H1N1) and human metapneumovirus (HMPV) RT-PCR assays. Parainfluenza type 2 virus RNA and equine herpes virus DNA were used as initiator templates. Results: Using the Uni-Controls, characteristic sigmoidal real-time PCR amplification curves were observed in the influenza A(H1N1) and HMPV RT-PCR assays. Comparable cycle threshold values were observed in both assays when using the same concentration of the initiator template. Conclusions: The Uni-Control method for preparing real-time PCR positive reaction controls provides an interim measure by which real-time PCR assays can be rapidly introduced for rare or emerging viruses in the absence of wild-type control material. The system is versatile and we propose can readily be adapted to almost any viral template. (C) 2010 Elsevier B. V. All rights reserved.</t>
  </si>
  <si>
    <t xml:space="preserve">[Whiley, David M.; Faux, Cassandra E.; Bialasiewicz, Seweryn; Lambert, Stephen B.; Nissen, Michael D.; Sloots, Theo P.] Queensland Childrens Med Res Inst, Queensland Paediat Infect Dis Lab, Sir Albert Sakzewski Virus Res Ctr, Childrens Hlth Serv Dist, Brisbane, Qld, Australia; [Whiley, David M.; Faux, Cassandra E.; Bialasiewicz, Seweryn; Lambert, Stephen B.; Nissen, Michael D.; Sloots, Theo P.] Univ Queensland, Clin Med Virol Ctr, Brisbane, Qld 4072, Australia; [Gould, Allan R.] Queensland Childrens Med Res Inst, Therapeut &amp; Mol Mapping Unit, Sir Albert Sakzewski Virus Res Ctr, Childrens Hlth Serv Dist, Brisbane, Qld, Australia</t>
  </si>
  <si>
    <t xml:space="preserve">University of Queensland; University of Queensland; University of Queensland</t>
  </si>
  <si>
    <t xml:space="preserve">Whiley, DM (corresponding author), Queensland Childrens Med Res Inst, Queensland Paediat Infect Dis Lab, Sir Albert Sakzewski Virus Res Ctr, Childrens Hlth Serv Dist, Brisbane, Qld, Australia.</t>
  </si>
  <si>
    <t xml:space="preserve">d.whiley@uq.edu.au</t>
  </si>
  <si>
    <t xml:space="preserve">Bialasiewicz, Seweryn/F-1414-2010; Lambert, Stephen/N-7819-2019; Sloots, Theo/E-6118-2011; Lambert, Stephen/B-8348-2008; Nissen, Michael/M-6823-2013; Whiley, David/E-8955-2011</t>
  </si>
  <si>
    <t xml:space="preserve">Bialasiewicz, Seweryn/0000-0001-9474-6943; Lambert, Stephen/0000-0002-2709-193X; Nissen, Michael/0000-0003-1686-3313; Whiley, David/0000-0001-5969-3161</t>
  </si>
  <si>
    <t xml:space="preserve">10.1016/j.jcv.2010.03.022</t>
  </si>
  <si>
    <t xml:space="preserve">609LR</t>
  </si>
  <si>
    <t xml:space="preserve">WOS:000278658600008</t>
  </si>
  <si>
    <t xml:space="preserve">Gooskens, J; Swaan, CM; Claas, ECJ; Kroes, ACM</t>
  </si>
  <si>
    <t xml:space="preserve">Gooskens, J.; Swaan, C. M.; Claas, E. C. J.; Kroes, A. C. M.</t>
  </si>
  <si>
    <t xml:space="preserve">Rapid molecular detection of influenza outbreaks in nursing homes</t>
  </si>
  <si>
    <t xml:space="preserve">influenza; real-time PCR; nursing home; elderly</t>
  </si>
  <si>
    <t xml:space="preserve">RESPIRATORY-SYNCYTIAL-VIRUS; HUMAN METAPNEUMOVIRUS; OSELTAMIVIR; PERFORMANCE; DIAGNOSIS; FLU; INFECTIONS; PREVENTION; MORBIDITY; RESIDENTS</t>
  </si>
  <si>
    <t xml:space="preserve">Background: Nursing home influenza outbreaks occur in spite of established vaccination programs, and require rapid and sensitive laboratory confirmation for timely intervention. Objectives: To evaluate diagnostic approaches for rapid confirmation of nursing home influenza outbreaks. Study design: Influenza virus real-time PCR and Directigen Flu A+B enzyme immunoassay were performed on nasopharyngeal swabs, nasopharyngeal washes and throat swabs collected from residents with clinical suspicion of influenza during seven probable nursing home outbreaks in 2004-2005 and 2005-2006. The efficacy of specimen sampling and transport management by Public Health Service outbreak team was evaluated. Results: PCR detected influenza RNA in 80% (68/85) of specimens from 81% (38/47) residents, confirming six suspected outbreaks. Immunoassay sensitivity was highest on nasopharyngeal swabs (38%; 11/29) with a positive predictive value of 100% compared to PCR. Nasopharyngeal swabs were equally sensitive to nasopharyngeal washes by PCR. Nasopharyngeal wash sampling appeared unpractical due to common underlying disability of residents. Outbreak team support was associated with a shorter time to PCR diagnosis compared to outbreaks with no logistical support (mean, 28.2 h vs. 84 h; P=0.05). Conclusions: Influenza real-time PCR on nasopharyngeal swabs, obtained by Public Health Service outbreak teams, enabled rapid and sensitive confirmation of nursing home influenza outbreaks. (C) 2007 Elsevier B.V. All rights reserved.</t>
  </si>
  <si>
    <t xml:space="preserve">[Gooskens, J.; Claas, E. C. J.; Kroes, A. C. M.] Leiden Univ, Med Ctr, Dept Med Microbiol, Ctr Infect Dis, NL-2300 RC Leiden, Netherlands; [Swaan, C. M.] Publ Hlth GGD Hollands, Leiden, Netherlands</t>
  </si>
  <si>
    <t xml:space="preserve">Gooskens, J (corresponding author), Leiden Univ, Med Ctr, Dept Med Microbiol, Ctr Infect Dis, E4-65,POB 9600, NL-2300 RC Leiden, Netherlands.</t>
  </si>
  <si>
    <t xml:space="preserve">j.gooskens@lumc.nl</t>
  </si>
  <si>
    <t xml:space="preserve">Gooskens, Jairo/A-6634-2009</t>
  </si>
  <si>
    <t xml:space="preserve">Kroes, Aloysius/0000-0002-9866-2461; Gooskens, Jairo/0000-0002-8381-7870</t>
  </si>
  <si>
    <t xml:space="preserve">10.1016/j.jcv.2007.10.023</t>
  </si>
  <si>
    <t xml:space="preserve">WOS:000253060400003</t>
  </si>
  <si>
    <t xml:space="preserve">Grijalva, CG; Griffin, MR; Edwards, KM; Williams, JV; Gil, AI; Verastegui, H; Hartinger, SM; Vidal, JE; Klugman, KP; Lanata, CF</t>
  </si>
  <si>
    <t xml:space="preserve">Grijalva, Carlos G.; Griffin, Marie R.; Edwards, Kathryn M.; Williams, John V.; Gil, Ana I.; Verastegui, Hector; Hartinger, Stella M.; Vidal, Jorge E.; Klugman, Keith P.; Lanata, Claudio F.</t>
  </si>
  <si>
    <t xml:space="preserve">The Role of Influenza and Parainfluenza Infections in Nasopharyngeal Pneumococcal Acquisition Among Young Children</t>
  </si>
  <si>
    <t xml:space="preserve">influenza; parainfluenza; pneumococcal colonization; Peru; children</t>
  </si>
  <si>
    <t xml:space="preserve">POLYMORPHONUCLEAR LEUKOCYTE DYSFUNCTION; RESPIRATORY-TRACT INFECTIONS; STREPTOCOCCUS-PNEUMONIAE; HUMAN METAPNEUMOVIRUS; VIRUS-INFECTION; STANDARD METHOD; CARRIAGE; COLONIZATION; DISEASE; COMMUNITY</t>
  </si>
  <si>
    <t xml:space="preserve">Background. Animal models suggest that influenza infection favors nasopharyngeal acquisition of pneumococci. We assessed this relationship with influenza and other respiratory viruses in young children. Methods. A case-control study was nested within a prospective cohort study of acute respiratory illness (ARI) in Andean children &lt;3 years of age (RESPIRA-PERU study). Weekly household visits were made to identify ARI and obtain nasal swabs for viral detection using real-time reverse-transcription polymerase chain reaction. Monthly nasopharyngeal (NP) samples were obtained to assess pneumococcal colonization. We determined whether specific respiratory viral ARI episodes occurring within the interval between NP samples increased the risk of NP acquisition of new pneumococcal serotypes. Results. A total of 729 children contributed 2128 episodes of observation, including 681 pneumococcal acquisition episodes (new serotype, not detected in prior sample), 1029 nonacquisition episodes (no colonization or persistent colonization with the same serotype as the prior sample), and 418 indeterminate episodes. The risk of pneumococcal acquisition increased following influenza-ARI (adjusted odds ratio [AOR], 2.19; 95% confidence interval [CI], 1.02-4.69) and parainfluenza-ARI (AOR, 1.86; 95% CI, 1.15-3.01), when compared with episodes without ARI. Other viral infections (respiratory syncytial virus, human metapneumovirus, human rhinovirus, and adenovirus) were not associated with acquisition. Conclusions. Influenza and parainfluenza ARIs appeared to facilitate pneumococcal acquisition among young children. As acquisition increases the risk of pneumococcal diseases, these observations are pivotal in our attempts to prevent pneumococcal disease.</t>
  </si>
  <si>
    <t xml:space="preserve">[Grijalva, Carlos G.; Griffin, Marie R.] Vanderbilt Univ, Sch Med, Dept Prevent Med, Nashville, TN 37212 USA; [Edwards, Kathryn M.; Williams, John V.] Vanderbilt Univ, Sch Med, Dept Pediat, Nashville, TN 37212 USA; [Williams, John V.] Vanderbilt Univ, Sch Med, Dept Pathol Microbiol &amp; Immunol, Nashville, TN 37212 USA; [Gil, Ana I.; Verastegui, Hector; Hartinger, Stella M.; Lanata, Claudio F.] Inst Invest Nutr, Lima, Peru; [Vidal, Jorge E.; Klugman, Keith P.] Emory Univ, Rollins Sch Publ Hlth, Atlanta, GA 30322 USA</t>
  </si>
  <si>
    <t xml:space="preserve">Vanderbilt University; Vanderbilt University; Vanderbilt University; Emory University; Rollins School Public Health</t>
  </si>
  <si>
    <t xml:space="preserve">Grijalva, CG (corresponding author), Vanderbilt Univ, Sch Med, Dept Prevent Med, 1500 21st Ave S,Ste 2600, Nashville, TN 37212 USA.</t>
  </si>
  <si>
    <t xml:space="preserve">carlos.grijalva@vanderbilt.edu</t>
  </si>
  <si>
    <t xml:space="preserve">Williams, John/ABE-3227-2020; Lanata, Claudio/N-7997-2018; Williams, John/F-6962-2010; Grijalva, Carlos/HRA-9217-2023</t>
  </si>
  <si>
    <t xml:space="preserve">Hartinger, Stella/0000-0003-3523-1725; Williams, John/0000-0001-8377-5175; Grijalva, Carlos/0000-0002-2329-7797</t>
  </si>
  <si>
    <t xml:space="preserve">Thrasher Research Fund [02832-9]; Vanderbilt University CTSA (US National Institutes of Health) [UL1 RR024975-01]; Pfizer [IIR WS1898786 (0887X1-4492), IIR WS2079099]</t>
  </si>
  <si>
    <t xml:space="preserve">Thrasher Research Fund; Vanderbilt University CTSA (US National Institutes of Health); Pfizer(Pfizer)</t>
  </si>
  <si>
    <t xml:space="preserve">This work was supported by the Thrasher Research Fund (grant number 02832-9) and Vanderbilt University CTSA (grant number UL1 RR024975-01 from the US National Institutes of Health), and by investigator-initiated research grants IIR WS1898786 (0887X1-4492) and IIR WS2079099 from Pfizer.</t>
  </si>
  <si>
    <t xml:space="preserve">MAY 15</t>
  </si>
  <si>
    <t xml:space="preserve">10.1093/cid/ciu148</t>
  </si>
  <si>
    <t xml:space="preserve">AH3RZ</t>
  </si>
  <si>
    <t xml:space="preserve">WOS:000336044200008</t>
  </si>
  <si>
    <t xml:space="preserve">Richardson, L; Brite, J; Del Castillo, M; Childers, T; Sheahan, A; Huang, YT; Dougherty, E; Babady, NE; Sepkowitz, K; Kamboj, M</t>
  </si>
  <si>
    <t xml:space="preserve">Richardson, L.; Brite, J.; Del Castillo, M.; Childers, T.; Sheahan, A.; Huang, Y. -T.; Dougherty, E.; Babady, N. E.; Sepkowitz, K.; Kamboj, M.</t>
  </si>
  <si>
    <t xml:space="preserve">Comparison of respiratory virus shedding by conventional and molecular testing methods in patients with haematological malignancy</t>
  </si>
  <si>
    <t xml:space="preserve">Influenza; molecular testing; oncology; parainfluenza; respiratory viruses</t>
  </si>
  <si>
    <t xml:space="preserve">STEM-CELL TRANSPLANTATION; PARAINFLUENZA VIRUS; SYNCYTIAL VIRUS; RISK-FACTORS; RECIPIENTS; INFECTIONS; UNIT; INFLUENZA; OUTBREAK; EPIDEMIOLOGY</t>
  </si>
  <si>
    <t xml:space="preserve">Respiratory viruses (RV) are a leading cause of infection-related morbidity and mortality for patients undergoing treatment for cancer. This analysis compared duration of RV shedding as detected by culture and PCR among patients in a high-risk oncology setting (adult patients with haematological malignancy and/or stem cell transplant and all paediatric oncology patients) and determined risk factors for extended shedding. RV infections due to influenza virus, parainfluenza virus (PIV), human metapneumovirus (HMPV) and respiratory syncytial virus (RSV) from two study periods-January 2009-September 2011 (culture-based testing) and September 2011-April 2013 (PCR-based testing)-were reviewed retrospectively. Data were collected from patients in whom re-testing for viral clearance was carried out within 5-30 days after the most recent test. During the study period 456 patients were diagnosed with RV infection, 265 by PCR and 191 by culture. The median range for duration of shedding (days) by culture and PCR, respectively, were as follows-influenza virus: 13 days (5-38 days) versus 14 days (5-58 days), p 0.5; RSV: 11 days (5-35 days) versus 16 days (5-50 days), p 0.001; PIV: 9 days (5-41 days) versus 17 days (5-45 days), p &lt;= 0.0001; HMPV 10.5 days (5-29 days) versus 14 days (5-42 days), p 0.2. In multivariable analysis, age and underlying disease or transplant were not independently associated with extended shedding regardless of testing method. In high-risk oncology settings for respiratory illness due to RSV and PIV, the virus is detectable by PCR for a longer period of time than by culture and extended shedding is observed. (C) 2015 European Society of Clinical Microbiology and Infectious Diseases. Published by Elsevier Ltd. All rights reserved.</t>
  </si>
  <si>
    <t xml:space="preserve">[Richardson, L.; Brite, J.; Childers, T.; Sheahan, A.; Dougherty, E.; Sepkowitz, K.; Kamboj, M.] Mem Sloan Kettering Canc Ctr, Infect Control, 1275 York Ave, New York, NY 10021 USA; [Del Castillo, M.; Huang, Y. -T.; Sepkowitz, K.; Kamboj, M.] Mem Sloan Kettering Canc Ctr, Dept Med, Div Infect Dis, 1275 York Ave, New York, NY 10021 USA; [Babady, N. E.] Mem Sloan Kettering Canc Ctr, Microbiol Serv, Dept Lab Med, 1275 York Ave, New York, NY 10021 USA; [Sepkowitz, K.; Kamboj, M.] Weill Cornell Med Coll, Dept Med, New York, NY USA</t>
  </si>
  <si>
    <t xml:space="preserve">Memorial Sloan Kettering Cancer Center; Memorial Sloan Kettering Cancer Center; Memorial Sloan Kettering Cancer Center; Cornell University; Weill Cornell Medicine</t>
  </si>
  <si>
    <t xml:space="preserve">Brite, J (corresponding author), 1275 York Ave, New York, NY 10065 USA.</t>
  </si>
  <si>
    <t xml:space="preserve">britej@mskcc.org</t>
  </si>
  <si>
    <t xml:space="preserve">Brite, Jennifer/0000-0001-5245-4352; Huang, Yao-Ting/0000-0001-5912-8090</t>
  </si>
  <si>
    <t xml:space="preserve">NCI NIH HHS [P30 CA008748] Funding Source: Medline</t>
  </si>
  <si>
    <t xml:space="preserve">NCI NIH HHS(United States Department of Health &amp; Human ServicesNational Institutes of Health (NIH) - USANIH National Cancer Institute (NCI))</t>
  </si>
  <si>
    <t xml:space="preserve">380. e1</t>
  </si>
  <si>
    <t xml:space="preserve">10.1016/j.cmi.2015.12.012</t>
  </si>
  <si>
    <t xml:space="preserve">DL1NW</t>
  </si>
  <si>
    <t xml:space="preserve">Bronze, Green Published, Green Accepted</t>
  </si>
  <si>
    <t xml:space="preserve">WOS:000375399900016</t>
  </si>
  <si>
    <t xml:space="preserve">Boon, H; Meinders, AJ; van Hannen, EJ; Tersmette, M; Schaftenaar, E</t>
  </si>
  <si>
    <t xml:space="preserve">Boon, Hanneke; Meinders, Arend-Jan; van Hannen, Erik Jan; Tersmette, Matthijs; Schaftenaar, Erik</t>
  </si>
  <si>
    <t xml:space="preserve">Comparative analysis of mortality in patients admitted with an infection with influenza A/B virus, respiratory syncytial virus, rhinovirus, metapneumovirus or SARS-CoV-2</t>
  </si>
  <si>
    <t xml:space="preserve">INFLUENZA AND OTHER RESPIRATORY VIRUSES</t>
  </si>
  <si>
    <t xml:space="preserve">influenza; metapneumovirus; mortality; respiratory syncytial virus; rhinovirus; SARS-CoV-2</t>
  </si>
  <si>
    <t xml:space="preserve">RISK; COVID-19; COHORT</t>
  </si>
  <si>
    <t xml:space="preserve">BackgroundWhile influenza virus and severe acute respiratory syndrome coronavirus 2 (SARS-CoV-2) are recognised as a cause of severe illness and mortality, clinical interest for respiratory syncytial virus (RSV), rhinovirus and human metapneumovirus (hMPV) infections is still limited.MethodsWe conducted a retrospective database study comparing baseline characteristics and 30-day mortality in a large cohort of adult patients admitted for an overnight stay or longer with an influenza virus (A/B), rhinovirus, hMPV, RSV or SARS-CoV-2 infection. For non-SARS-CoV-2 viruses, data were included for the period July 2017-February 2020. For SARS-CoV-2, data between March 2020 and March 2022 were included.ResultsCovariate-adjusted 30-day mortality following RSV, hMPV or rhinovirus infections was substantial (crude mortality 8-10%) and comparable with mortality following hospitalisation with an influenza A virus infection. Mortality following a SARS-CoV-2 infection was consistently higher than for any other respiratory virus, at any point in time (crude mortality 14-25%). Odds of mortality for SARS-CoV-2 compared with influenza A declined from 4.9 to 1.7 over the course of the pandemic. Patients with SARS-CoV-2 infection had less comorbidity than patients with other respiratory virus infections and were more often male. In this cohort, age was related to mortality following hospitalisation, while an association with comorbidity was not apparent.ConclusionsWith the exception of SARS-CoV-2 infections, we find the clinical outcome of common respiratory virus infections requiring hospitalisation more similar than often assumed. The observed mortality from SARS-CoV-2 was significantly higher, but the difference with other respiratory viruses became less distinct over time.</t>
  </si>
  <si>
    <t xml:space="preserve">[Boon, Hanneke; van Hannen, Erik Jan; Tersmette, Matthijs; Schaftenaar, Erik] St Antonius Hosp, Dept Med Microbiol &amp; Immunol, Postbus 2500, NL-3430 EM Nieuwegein, Netherlands; [Meinders, Arend-Jan] St Antonius Hosp, Dept Internal Med, Nieuwegein, Netherlands; [Meinders, Arend-Jan] St Antonius Hosp, Intens Care Unit, Nieuwegein, Netherlands</t>
  </si>
  <si>
    <t xml:space="preserve">St. Antonius Hospital Utrecht; St. Antonius Hospital Utrecht; St. Antonius Hospital Utrecht</t>
  </si>
  <si>
    <t xml:space="preserve">Boon, H (corresponding author), St Antonius Hosp, Dept Med Microbiol &amp; Immunol, Postbus 2500, NL-3430 EM Nieuwegein, Netherlands.</t>
  </si>
  <si>
    <t xml:space="preserve">h.boon@antoniusziekenhuis.nl</t>
  </si>
  <si>
    <t xml:space="preserve">Boon, Hanneke/0000-0003-4235-0634</t>
  </si>
  <si>
    <t xml:space="preserve">1750-2640</t>
  </si>
  <si>
    <t xml:space="preserve">1750-2659</t>
  </si>
  <si>
    <t xml:space="preserve">INFLUENZA OTHER RESP</t>
  </si>
  <si>
    <t xml:space="preserve">Influenza Other Respir. Viruses</t>
  </si>
  <si>
    <t xml:space="preserve">e13237</t>
  </si>
  <si>
    <t xml:space="preserve">10.1111/irv.13237</t>
  </si>
  <si>
    <t xml:space="preserve">FF0E1</t>
  </si>
  <si>
    <t xml:space="preserve">WOS:001144222500001</t>
  </si>
  <si>
    <t xml:space="preserve">Arango, AE; Jaramillo, S; Perez, J; Ampuero, JS; Espinal, D; Donado, J; Felices, V; Garcia, J; Laguna-Torres, A</t>
  </si>
  <si>
    <t xml:space="preserve">Eugenia Arango, Ana; Jaramillo, Sergio; Perez, Juan; Ampuero, Julia S.; Espinal, David; Donado, Jorge; Felices, Vidal; Garcia, Josefina; Laguna-Torres, Alberto</t>
  </si>
  <si>
    <t xml:space="preserve">Influenza-like illness sentinel surveillance in one hospital in Medellin, Colombia. 2007-2012</t>
  </si>
  <si>
    <t xml:space="preserve">Influenza; Medellin; respiratory viruses; surveillance</t>
  </si>
  <si>
    <t xml:space="preserve">RESPIRATORY SYNCYTIAL VIRUS; HUMAN METAPNEUMOVIRUS; PCR ASSAY; RT-PCR; CHILDREN; INFECTIONS; TRACT; BRONCHIOLITIS; DIAGNOSIS; AGE</t>
  </si>
  <si>
    <t xml:space="preserve">BackgroundThe city of Medellin in Colombia has almost no documentation of the causes of acute respiratory infections (ARIs). As part of an ongoing collaboration, we conducted an epidemiologic surveillance for influenza and other respiratory viruses. It described the influenza strains that were circulating in the region along with their distribution over time, and performing molecular characterization to some of those strains. This will contribute to the knowledge of local and national epidemiology. ObjectivesTo analyze viral etiologic agents associated with influenza like illness (ILI) in participants reporting to one General hospital in Medelllin, Colombia. ResultsFrom January 2007 to December 2012, a total of 2039 participants were enrolled. Among them, 1120 (549%) were male and 1364 (69%) were under the age of five. Only 124 (6%) were older than the age of 15. From all 2039 participants, 1040 samples were diagnosed by either isolation or RT-PCR. One or more respiratory viruses were found in 737 (36%) participants. Of those, 426 (578%) got influenza A or B. Adenoviral and parainfluenza infections represented 191% and 149% of viral infections, respectively. Influenza A was detected almost throughout the whole year except for the first quarter of 2010, right after the 2009 influenza A pandemic. Influenza B was detected in 2008, 2010, and 2012 with no pattern detected. During 2008 and 2010, both types circulated in about the same proportion. Unusually, in many months of 2012, the proportion of influenza B infections was higher than influenza A (ranging between 30% and 42%). The higher proportion of adenovirus was mainly detected in the last quarter of years 2007 and 2010. Adenoviral cases are more frequent in participants under the age of four. ConclusionsThe phylogenetic analysis of influenza viruses shows that only in the case of influenza A/H1N1, the circulating strains totally coincide with the vaccine strains each year.</t>
  </si>
  <si>
    <t xml:space="preserve">[Eugenia Arango, Ana] Univ Antioquia, Grp Inmunovirol, Medellin, Colombia; [Eugenia Arango, Ana] Univ Antioquia, Sede Invest Univ SIU Torre Lab 532 2, Medellin, Colombia; [Jaramillo, Sergio; Espinal, David; Donado, Jorge] Hosp Pablo Tobon Uribe, Medellin, Colombia; [Perez, Juan; Ampuero, Julia S.; Felices, Vidal; Garcia, Josefina; Laguna-Torres, Alberto] US Naval Med Res Unit 6, NAMRU 6, Lima, Peru</t>
  </si>
  <si>
    <t xml:space="preserve">Universidad de Antioquia; Universidad de Antioquia; Naval Medical Research Center (NMRC); Naval Medical Research Unit No. 6 (NAMRU-6)</t>
  </si>
  <si>
    <t xml:space="preserve">Arango, AE (corresponding author), Univ Antioquia, Sede Invest Univ SIU Torre Lab 532 2, Medellin, Colombia.</t>
  </si>
  <si>
    <t xml:space="preserve">aearangor@gmail.com</t>
  </si>
  <si>
    <t xml:space="preserve">Felices, Vidal/AAL-1717-2020</t>
  </si>
  <si>
    <t xml:space="preserve">Donado Gomez, Jorge Hernando/0000-0001-8581-2267; Felices, Vidal/0000-0001-5336-7293; Ampuero, Julia S./0000-0001-5486-1656</t>
  </si>
  <si>
    <t xml:space="preserve">United States Department of Defense Global Emerging Infections Systems Research Program [847705.82000.25GB.B0016]</t>
  </si>
  <si>
    <t xml:space="preserve">United States Department of Defense Global Emerging Infections Systems Research Program(United States Department of Defense)</t>
  </si>
  <si>
    <t xml:space="preserve">This study was funded by the United States Department of Defense Global Emerging Infections Systems Research Program, WORK UNIT NUMBER: 847705.82000.25GB.B0016. The funders had no role in study design, data collection and analysis, decision to publish, or preparation of the manuscript.</t>
  </si>
  <si>
    <t xml:space="preserve">10.1111/irv.12271</t>
  </si>
  <si>
    <t xml:space="preserve">AX0PJ</t>
  </si>
  <si>
    <t xml:space="preserve">WOS:000346653800001</t>
  </si>
  <si>
    <t xml:space="preserve">Kumar, D; Husain, S; Chen, MH; Moussa, G; Himsworth, D; Manuel, O; Studer, S; Pakstis, D; McCurry, K; Doucette, K; Pilewski, J; Janeczko, R; Humar, A</t>
  </si>
  <si>
    <t xml:space="preserve">Kumar, Deepali; Husain, Shahid; Chen, Maggie Hong; Moussa, George; Himsworth, David; Manuel, Oriol; Studer, Sean; Pakstis, Diana; McCurry, Kenneth; Doucette, Karen; Pilewski, Joseph; Janeczko, Richard; Humar, Atul</t>
  </si>
  <si>
    <t xml:space="preserve">A Prospective Molecular Surveillance Study Evaluating the Clinical Impact of Community-Acquired Respiratory Viruses in Lung Transplant Recipients</t>
  </si>
  <si>
    <t xml:space="preserve">Influenza; Luminex xTAG assay; Rhinovirus; Bronchiolitis obliterans syndrome; Acute rejection</t>
  </si>
  <si>
    <t xml:space="preserve">BRONCHIOLITIS-OBLITERANS-SYNDROME; HUMAN METAPNEUMOVIRUS; VIRAL-INFECTIONS; INFLUENZA; RIBAVIRIN; EFFICACY; FEATURES; OUTCOMES; RISK</t>
  </si>
  <si>
    <t xml:space="preserve">Background. Community-acquired respiratory viral infections (RVIs) are common in lung transplant patients and may be associated with acute rejection and bronchiolitis obliterans syndrome (BOS). The use of sensitive molecular methods that can simultaneously detect a large panel of respiratory viruses may help better define their effects. Methods. Lung transplant recipients undergoing serial surveillance and diagnostic bronchoalveolar lavages (BALs) during a period of 3 years were enrolled. BAL samples underwent multiplex testing for a panel of 19 respiratory viral types/subtypes using the Luminex xTAG respiratory virus panel assay. Results. Demographics, symptoms, and forced expiratory volume in 1 sec were prospectively collected for 93 lung transplant recipients enrolled. Mean number of BAL samples was 6.2+/-3.1 per patient. A respiratory virus was isolated in 48 of 93 (51.6%) patients on at least one BAL sample. Of 81 positive samples, the viruses isolated included rhinovirus (n=46), parainfluenza 1 to 4 (n=17), coronavirus (n=11), influenza (n=4), metapneumovirus (n=4), and respiratory syncytial virus (n=2). Biopsy-proven acute rejection (&gt;= grade 2) or decline in forced expiratory volume in 1 sec &gt;= 20% occurred in 16 of 48 (33.3%) patients within 3 months of RVI when compared with 3 of 45 (6.7%) RVI-negative patients within a comparable time frame (P=0.001). No significant difference was seen in incidence of acute rejection between symptomatic and asymptomatic patients. Biopsy-proven obliterative bronchiolitis or BOS was diagnosed in 10 of 16 (62.5%) patients within 1 year of infection. Conclusion. Community-acquired RVIs are frequently detected in BAL samples from lung transplant patients. In a significant percentage of patients, symptomatic or asymptomatic viral infection is a trigger for acute rejection and obliterative bronchiolitis/BOS.</t>
  </si>
  <si>
    <t xml:space="preserve">[Kumar, Deepali] Univ Alberta, Katz Rexall Ctr Hlth Res 6 030, Edmonton, AB T6G 2E1, Canada; [Chen, Maggie Hong] Univ Toronto, Dept Biostat, Toronto, ON, Canada; [Moussa, George] Mt Sinai Hosp, Dept Microbiol, Toronto, ON M5G 1X5, Canada; [Himsworth, David; Janeczko, Richard] Luminex Mol Diagnost, Toronto, ON, Canada; [Manuel, Oriol] Univ Hosp Lausanne CHUV, Infect Dis Serv, Lausanne, Switzerland; [Manuel, Oriol] Univ Hosp Lausanne CHUV, Transplantat Ctr, Lausanne, Switzerland; [Studer, Sean; Pakstis, Diana; McCurry, Kenneth; Pilewski, Joseph] Univ Pittsburgh, Med Ctr, Div Thorac Surg, Pittsburgh, PA USA</t>
  </si>
  <si>
    <t xml:space="preserve">University of Alberta; University of Toronto; University of Toronto; Sinai Health System Toronto; Lunenfeld Tanenbaum Research Institute; University of Lausanne; Centre Hospitalier Universitaire Vaudois (CHUV); University of Lausanne; Centre Hospitalier Universitaire Vaudois (CHUV); Pennsylvania Commonwealth System of Higher Education (PCSHE); University of Pittsburgh</t>
  </si>
  <si>
    <t xml:space="preserve">Kumar, D (corresponding author), Univ Alberta, Katz Rexall Ctr Hlth Res 6 030, Edmonton, AB T6G 2E1, Canada.</t>
  </si>
  <si>
    <t xml:space="preserve">deepali.kumar@ualberta.ca; shahid.husain@uhn.on.ca</t>
  </si>
  <si>
    <t xml:space="preserve">Manuel, Oriol/F-2978-2010; Pilewski, Joseph/AAF-5149-2021; cavassini, matthias/F-8987-2017</t>
  </si>
  <si>
    <t xml:space="preserve">cavassini, matthias/0000-0003-0933-7833; Doucette, Karen/0000-0002-1660-9166; Husain, Shahid/0000-0002-9216-5229; Manuel, Oriol/0000-0001-7607-0943</t>
  </si>
  <si>
    <t xml:space="preserve">10.1097/TP.0b013e3181d05a71</t>
  </si>
  <si>
    <t xml:space="preserve">590IX</t>
  </si>
  <si>
    <t xml:space="preserve">WOS:000277220200017</t>
  </si>
  <si>
    <t xml:space="preserve">Al Khatib, HA; Mathew, S; Smatti, MK; Eltai, NO; Pathan, SA; Al Thani, AA; Coyle, PV; Al Maslamani, MA; Yassine, HM</t>
  </si>
  <si>
    <t xml:space="preserve">Al Khatib, Hebah A.; Mathew, Shilu; Smatti, Maria K.; Eltai, Nahla O.; Pathan, Sameer A.; Al Thani, Asmaa A.; Coyle, Peter, V; Al Maslamani, Muna A.; Yassine, Hadi M.</t>
  </si>
  <si>
    <t xml:space="preserve">Profiling of Intestinal Microbiota in Patients Infected with Respiratory Influenza A and B Viruses</t>
  </si>
  <si>
    <t xml:space="preserve">influenza; intestine microbiome; diversity; virus shedding</t>
  </si>
  <si>
    <t xml:space="preserve">GUT MICROBIOTA; HUMAN METAPNEUMOVIRUS; FECAL MICROBIOTA; SYNCYTIAL VIRUS; SYMPTOMS; IMPACTS; MUCOSAL; DISEASE; MATURATION; DIVERSITY</t>
  </si>
  <si>
    <t xml:space="preserve">Little is known about the association between respiratory viral infections and their impact on intestinal microbiota. Here, we compared the effect of influenza types, A and B, and influenza shedding in patients' stools on the gut microbiota diversity and composition. Deep sequencing analysis was performed for the V4 region of the 16S rRNA gene. Fecal samples were collected from 38 adults with active respiratory influenza infection and 11 age-matched healthy controls. Influenza infection resulted in variations in intestinal bacterial community composition rather than in overall diversity. Overall, infected patients experienced an increased abundance of Bacteroidetes and a corresponding decrease in Firmicutes. Differential abundance testing illustrated that differences in gut microbiota composition were influenza type-dependent, identifying ten differentially abundant operational taxonomic units (OTUs) between influenza A- and influenza B-infected patients. Notably, virus shedding in fecal samples of some patients had significantly reduced gut bacterial diversity (p = 0.023). Further taxonomic analysis revealed that the abundance of Bacteroides fragilis was significantly higher among shedders compared to non-shedders (p = 0.037). These results provide fundamental evidence of the direct effect of influenza infection on gut microbiota diversity, as reported in patients shedding the virus.</t>
  </si>
  <si>
    <t xml:space="preserve">[Al Khatib, Hebah A.; Mathew, Shilu; Smatti, Maria K.; Eltai, Nahla O.; Al Thani, Asmaa A.; Yassine, Hadi M.] Qatar Univ, Biomed Res Ctr, Doha 2713, Qatar; [Pathan, Sameer A.] Hamad Med Corp, Emergency Med, Doha 3050, Qatar; [Al Thani, Asmaa A.; Yassine, Hadi M.] Qatar Univ, Coll Hlth Sci, Dept Biomed Sci, Doha 2713, Qatar; [Coyle, Peter, V] Hamad Med Corp, Virol Lab, Doha 3050, Qatar; [Al Maslamani, Muna A.] Hamad Med Corp, Communicable Dis Ctr, Doha 3050, Qatar</t>
  </si>
  <si>
    <t xml:space="preserve">Qatar University; Hamad Medical Corporation; Qatar University; Hamad Medical Corporation; Hamad Medical Corporation</t>
  </si>
  <si>
    <t xml:space="preserve">Yassine, HM (corresponding author), Qatar Univ, Biomed Res Ctr, Doha 2713, Qatar.;Yassine, HM (corresponding author), Qatar Univ, Coll Hlth Sci, Dept Biomed Sci, Doha 2713, Qatar.</t>
  </si>
  <si>
    <t xml:space="preserve">h.alkhatib@qu.edu.qa; shilu.mathew@qu.edu.qa; msmatti@qu.edu.qa; nahla.eltai@qu.edu.qa; aaja@qu.edu.qa; SPATHAN@hamad.qa; PCoyle@hamad.qa; MALMASLAMANI@hamad.qa; hyassine@qu.edu.qa</t>
  </si>
  <si>
    <t xml:space="preserve">YASSINE, HADI/AAW-6475-2020</t>
  </si>
  <si>
    <t xml:space="preserve">YASSINE, HADI M./0000-0001-7592-2788; Smatti, Maria/0000-0002-7621-0130; Pathan, Sameer Abdus Sattar/0009-0006-9948-0981; Al Khatib, Hebah/0000-0003-3321-7364</t>
  </si>
  <si>
    <t xml:space="preserve">Hamad Medical corporation grant [16335/16]; Qatar University [QUCG-BRC-2018/2019-1]; Qatar National Research Fund [NPRP11S-1212-170092]</t>
  </si>
  <si>
    <t xml:space="preserve">Hamad Medical corporation grant(Hamad Medical Corporation); Qatar University(Qatar UniversityQatar National Research Fund (QNRF)); Qatar National Research Fund(Qatar National Research Fund (QNRF))</t>
  </si>
  <si>
    <t xml:space="preserve">This study was conducted using funds provided by Hamad Medical corporation grant number 16335/16, Qatar University grant number QUCG-BRC-2018/2019-1 and Qatar National Research Fund grant number NPRP11S-1212-170092.</t>
  </si>
  <si>
    <t xml:space="preserve">10.3390/pathogens10060761</t>
  </si>
  <si>
    <t xml:space="preserve">SY8EJ</t>
  </si>
  <si>
    <t xml:space="preserve">WOS:000666114000001</t>
  </si>
  <si>
    <t xml:space="preserve">Grunberg, M; Sno, R; Adhin, MR</t>
  </si>
  <si>
    <t xml:space="preserve">Grunberg, Meritha; Sno, Rachel; Adhin, Malti R.</t>
  </si>
  <si>
    <t xml:space="preserve">Epidemiology of respiratory viruses in patients with severe acute respiratory infections and influenza-like illness in Suriname</t>
  </si>
  <si>
    <t xml:space="preserve">influenza; influenza-like illness; respiratory syncytial virus; respiratory viruses; seasonality; severe acute respiratory infection; South America; tropical</t>
  </si>
  <si>
    <t xml:space="preserve">SYNCYTIAL VIRUS; PARAINFLUENZA VIRUS</t>
  </si>
  <si>
    <t xml:space="preserve">Background Influenza has been well studied in developed countries with temperate climates, in contrast to low- and middle-income (LMIC) countries, thus hampering the effort to attain representative global data. Furthermore, data on non-influenza respiratory infections are also limited. Insight in viral respiratory infections in Suriname, a tropical LMIC in South America, would contribute to improved local preventive measures and a better global understanding of respiratory viruses. Methods From May 2016 through April 2018, all patients (n = 1096) enrolled in the national severe acute respiratory infection and influenza-like illness surveillance were screened for the presence of 10 respiratory viruses with singleplex RT-PCR. Results The overall viral-positive detection rate was 45.3%, specified as RSV (19.4%), influenza (15.5%), hMPV (4.9%), AdV (4.6%), and parainfluenza (3.8%). Co-infections were detected in 6.2% of the positive cases. Lower overall positivity was observed in the SARI vs ILI surveillance and influenza prevalence was higher in outpatients (45.0% vs 6.7%), while RSV exhibited the reverse (4.8% vs 23.8%). Respiratory infections in general were more common in children than in adults (54.4% vs 29.5%), although children were significantly less affected by influenza (11.5% vs 22.7%). None of the respiratory viruses displayed a clear seasonal pattern, and viral interference was observed between RSV and influenza. Conclusions The comprehensive information presented for Suriname, including first data on non-influenza respiratory viruses, displayed distinct differences between the viruses, in seasonality, within age groups and between SARI/ILI, accentuating the need, especially for tropical LMIC countries to continue ongoing surveillance and accumulate local data.</t>
  </si>
  <si>
    <t xml:space="preserve">[Grunberg, Meritha; Sno, Rachel; Adhin, Malti R.] Prof Dr Paul C Flu Inst Biomed Sci, Kernkampweg 5, Paramaribo, Suriname; [Adhin, Malti R.] Anton de Kom Univ Suriname, Fac Med Sci, Dept Biochem, Paramaribo, Suriname</t>
  </si>
  <si>
    <t xml:space="preserve">Anton de Kom Universiteit van Suriname</t>
  </si>
  <si>
    <t xml:space="preserve">Adhin, MR (corresponding author), Prof Dr Paul C Flu Inst Biomed Sci, Kernkampweg 5, Paramaribo, Suriname.</t>
  </si>
  <si>
    <t xml:space="preserve">m.adhin@uvs.edu</t>
  </si>
  <si>
    <t xml:space="preserve">10.1111/irv.12791</t>
  </si>
  <si>
    <t xml:space="preserve">PK5AX</t>
  </si>
  <si>
    <t xml:space="preserve">WOS:000565315500001</t>
  </si>
  <si>
    <t xml:space="preserve">Souty, C; Masse, S; Valette, M; Behillil, S; Bonmarin, I; Pino, C; Turbelin, C; Capai, L; Vilcu, AM; Lina, B; van der Werf, S; Blanchon, T; Falchi, A; Hanslik, T</t>
  </si>
  <si>
    <t xml:space="preserve">Souty, C.; Masse, S.; Valette, M.; Behillil, S.; Bonmarin, I.; Pino, C.; Turbelin, C.; Capai, L.; Vilcu, A. M.; Lina, B.; van der Werf, S.; Blanchon, T.; Falchi, A.; Hanslik, T.</t>
  </si>
  <si>
    <t xml:space="preserve">Baseline characteristics and clinical symptoms related to respiratory viruses identified among patients presenting with influenza-like illness in primary care</t>
  </si>
  <si>
    <t xml:space="preserve">Influenza; Influenza-like illness; Primary care; Respiratory infections; Respiratory viruses; Surveillance</t>
  </si>
  <si>
    <t xml:space="preserve">SYNCYTIAL VIRUS; HUMAN METAPNEUMOVIRUS; SEASONAL INFLUENZA; INFECTIONS; EPIDEMIOLOGY; ETIOLOGIES</t>
  </si>
  <si>
    <t xml:space="preserve">Objectives: We aimed to identify patients' clinical characteristics associated with respiratory viruses identified among patients presenting with influenza-like illness (ILI). Methods: A sample of patients of all ages presenting with ILI was included by physicians of the French Sentinelles network during two seasons (2015/16 and 2016/17). Nasopharyngeal samples were tested for the presence of influenza virus (IV), respiratory syncytial virus (RSV), human rhinovirus (HRV) and human metapneumovirus (HMPV). Patients' characteristics associated with each of the four virus classes were studied using multivariate logistic regressions. Results: A total of 5859 individuals were included in the study: 48.0% tested positive for IV, 7.9% for HRV, 7.5% for RSV and 4.1% for HMPV. Cough was associated with IV (OR 2.14, 95% CI 1.81-2.52) RSV (OR 2.52, 95% CI 1.75-3.74) and HMPV detection (OR 2.15, 95% CI 1.40-3.45). Rhinorrhoea was associated mainly with HRV detection (OR 1.75, 95% CI 1.34-2.32). Headache was associated with IV detection (OR 1.75, 95% CI 1.34-2.32), whereas absence of headache was associated with RSV and HMPV detection. Dyspnoea was associated with RSV detection (OR 2.33, 95% CI 1.73-3.12) and absence of dyspnoea with IV detection. Conjunctivitis was associated with IV detection (OR 1.27, 95% CI 1.08-1.50). Some associations were observed only in children: dyspnoea and cough with RSV detection (age &lt; 5 years), conjunctivitis with IV detection (age &lt; 15 years). Period of onset of symptoms differed among aetiological diagnoses. Seasonal influenza vaccination decreased the risk of IV detection (OR, 0.67, 95% CI 0.51-0.86). Conclusions: This study allowed the identification of symptoms associated with several viral aetiologies in patients with ILI. A proper knowledge and understanding of these clinical signs may improve the medical management of patients. (C) 2019 European Society of Clinical Microbiology and Infectious Diseases. Published by Elsevier Ltd. All rights reserved.</t>
  </si>
  <si>
    <t xml:space="preserve">[Souty, C.; Masse, S.; Pino, C.; Turbelin, C.; Capai, L.; Vilcu, A. M.; Blanchon, T.; Hanslik, T.] Sorbonne Univ, Inst Pierre Louis Epidemiol &amp; Sante Publ, INSERM, Paris, France; [Masse, S.; Capai, L.; Falchi, A.] Univ Corse, INSERM, Lab Virol, EA7310, Corte, France; [Valette, M.; Lina, B.] Hosp Civils Lyon, Ctr Natl Reference Virus Resp Dont Grippe, Ctr Biol &amp; Pathol Nord, Lab Virol,IAI,Grp Hosp Nord, Lyon, France; [Valette, M.; Lina, B.] Univ Claude Bernard Lyon 1, Univ Lyon, Vitpath, CIRI,INSERM,U1111,CNRS,UMR5308,ENS Lyon, Lyon, France; [Behillil, S.; van der Werf, S.] Inst Pasteur, Unite Genet Mol Virus ARN, Paris, France; [Behillil, S.; van der Werf, S.] Inst Pasteur, Ctr Coordonnateur Ctr Natl Reference Virus Infect, Paris, France; [Behillil, S.; van der Werf, S.] UMR CNRS 3569, F-75015 Paris, France; [Behillil, S.; van der Werf, S.] Univ Paris Diderot, Sorbonne Paris Cite, Unite Genet Mol Virus ARN, Paris, France; [Bonmarin, I.] French Natl Publ Hlth Agcy, Sante Publ France, St Maurice, France; [Hanslik, T.] Univ Versailles St Quentin En Yvelines, UVSQ, UFR Med, Versailles, France; [Hanslik, T.] Hop Ambroise Pare, AP HP, Serv Med Interne, Boulogne Billancourt, France</t>
  </si>
  <si>
    <t xml:space="preserve">Institut National de la Sante et de la Recherche Medicale (Inserm); Sorbonne Universite; Institut National de la Sante et de la Recherche Medicale (Inserm); CHU Lyon; Institut National de la Sante et de la Recherche Medicale (Inserm); Ecole Normale Superieure de Lyon (ENS de LYON); Centre National de la Recherche Scientifique (CNRS); Universite Claude Bernard Lyon 1; Pasteur Network; Universite Paris Cite; Institut Pasteur Paris; Pasteur Network; Universite Paris Cite; Institut Pasteur Paris; Centre National de la Recherche Scientifique (CNRS); Universite Paris Cite; Sante publique France; Universite Paris Cite; Universite Paris Saclay; Assistance Publique Hopitaux Paris (APHP); Hopital Universitaire Ambroise-Pare - APHP</t>
  </si>
  <si>
    <t xml:space="preserve">Souty, C (corresponding author), Sorbonne Univ, IPLESP, UMRS 1136, 27 Rue Chaligny, F-75571 Paris 12, France.</t>
  </si>
  <si>
    <t xml:space="preserve">cecile.souty@upmc.fr</t>
  </si>
  <si>
    <t xml:space="preserve">van der Velden, J./H-8101-2014; Martinez, Sandra/HSG-4592-2023; BLANCHON, Thierry/AAK-6254-2020; FALCHI, Alessandra/AAQ-8039-2020; lina, bruno/N-3663-2019</t>
  </si>
  <si>
    <t xml:space="preserve">lina, bruno/0000-0002-8959-2123; BLANCHON, Thierry/0000-0001-9623-3906; Alessandra, FALCHI/0000-0003-0799-1460; Capai, Lisandru/0000-0002-3618-1582; Vilcu, Ana-Maria/0000-0002-8138-6552</t>
  </si>
  <si>
    <t xml:space="preserve">European Union [634446]; Sante publique France, the national public health agency in France</t>
  </si>
  <si>
    <t xml:space="preserve">European Union(European Union (EU)); Sante publique France, the national public health agency in France</t>
  </si>
  <si>
    <t xml:space="preserve">This project has received funding from the European Union's Horizon 2020 Research and Innovation Programme under grant agreement No 634446 to conduct the study in individuals aged 65 years or older and from Sante publique France, the national public health agency in France.</t>
  </si>
  <si>
    <t xml:space="preserve">10.1016/j.cmi.2019.01.014</t>
  </si>
  <si>
    <t xml:space="preserve">IR7TE</t>
  </si>
  <si>
    <t xml:space="preserve">Green Submitted, Green Published, Bronze</t>
  </si>
  <si>
    <t xml:space="preserve">WOS:000481643000014</t>
  </si>
  <si>
    <t xml:space="preserve">Principi, N; Esposito, S</t>
  </si>
  <si>
    <t xml:space="preserve">Principi, Nicola; Esposito, Susanna</t>
  </si>
  <si>
    <t xml:space="preserve">Antigen-Based Assays for the Identification of Influenza Virus and Respiratory Syncytial Virus: Why and How to Use Them in Pediatric Practice</t>
  </si>
  <si>
    <t xml:space="preserve">Influenza; Influenza virus; Respiratory syncytial virus; Antigen-based assay; Pediatrics; Children</t>
  </si>
  <si>
    <t xml:space="preserve">SERIOUS BACTERIAL-INFECTIONS; FEBRILE INFANTS; B VIRUSES; HUMAN METAPNEUMOVIRUS; SOCIOECONOMIC IMPACT; HEALTHY-CHILDREN; RAPID DIAGNOSIS; UNITED-STATES; RISK-FACTORS; EARLY-LIFE</t>
  </si>
  <si>
    <t xml:space="preserve">This article describes the clinical and socioeconomic relevance of influenza (IV) and respiratory syncytial virus (RSV) in pediatrics, the characteristics and limitations of currently available assays, and the impact of rapid diagnostic tests. This article shows that rapid tests for the detection and identification of IV and RSV in the respiratory secretions of infants and children are useful in the diagnosis of common, and possibly severe diseases, such as influenza and bronchiolitis. The tests' specificity and sensitivity make them most reliable when the prevalence of influenza or RSV infection is high, which suggests that their routine use should be restricted to the peak periods of viral circulation. The most recently marketed tests are similarly effective in identifying viruses, and so pediatricians should choose those that are less expensive, less time consuming, and easier to perform and to interpret.</t>
  </si>
  <si>
    <t xml:space="preserve">[Principi, Nicola; Esposito, Susanna] Univ Milan, Dept Maternal &amp; Pediat Sci, Fdn IRCCS Osped Maggiore Policlin, I-20122 Milan, Italy</t>
  </si>
  <si>
    <t xml:space="preserve">University of Milan; IRCCS Ca Granda Ospedale Maggiore Policlinico</t>
  </si>
  <si>
    <t xml:space="preserve">Principi, N (corresponding author), Univ Milan, Dept Maternal &amp; Pediat Sci, Fdn IRCCS Osped Maggiore Policlin, Via Commenda 9, I-20122 Milan, Italy.</t>
  </si>
  <si>
    <t xml:space="preserve">Nicola.Principi@unimi.it</t>
  </si>
  <si>
    <t xml:space="preserve">Esposito, Susanna/AAA-8275-2022; Esposito, Susanna/K-3475-2016</t>
  </si>
  <si>
    <t xml:space="preserve">Esposito, Susanna/0000-0003-4103-2837</t>
  </si>
  <si>
    <t xml:space="preserve">Italian Ministry of Universities [2005068289_001]</t>
  </si>
  <si>
    <t xml:space="preserve">Italian Ministry of Universities(Ministry of Education, Universities and Research (MIUR))</t>
  </si>
  <si>
    <t xml:space="preserve">This work was supported in part by a grant from the Italian Ministry of Universities, Project No. 2005068289_001.</t>
  </si>
  <si>
    <t xml:space="preserve">10.1016/j.cll.2009.07.006</t>
  </si>
  <si>
    <t xml:space="preserve">WOS:000272162100004</t>
  </si>
  <si>
    <t xml:space="preserve">Chan, YW; Wong, ML; Kwok, FY; Au, AKW; Leung, ECM; Chuang, SK</t>
  </si>
  <si>
    <t xml:space="preserve">Chan, Yung-wai; Wong, Miu-ling; Kwok, Fong-yuen; Au, Albert Ka-Wing; Leung, Emily Chi-mei; Chuang, Shuk-kwan</t>
  </si>
  <si>
    <t xml:space="preserve">The effect of seasonal influenza vaccine on medically-attended influenza and non-influenza respiratory viruses infections at primary care level, Hong Kong SAR, 2017/18 to 2019/20</t>
  </si>
  <si>
    <t xml:space="preserve">Influenza; Influenza vaccine; Vaccine effectiveness; Respiratory viruses</t>
  </si>
  <si>
    <t xml:space="preserve">Effectiveness of seasonal influenza vaccine (SIV) varies with the degree of matching with the vaccine and circulating viruses. We continued our SIV effectiveness against medically-attended influenza-like illness (ILI) under the Department of Health Hong Kong's sentinel private medical practitioners (PMP) network, using the test-negative case-control design, for the 2018/19 and 2019/20 season. In addition, we studied the potential interference between SIV and ILI caused by non-influenza respiratory viruses (NIRV) based on data collated from 2017/18 to 2019/20 seasons. 3404 patients were analysed. Across the 2017/18 to 2019/20 seasons, the vaccine effectiveness (VE) of SIV was 44% (95% CI 30-56%) against pan-negative controls, 57% (95%CI 42-68%) against NIRV controls and 50% (95%CI 38-59%) against both. SIV was moderately effective against medically-attended ILI caused by influenza A/B in both 2018/19 and 2019/20 winter seasons (53.2% (95%CI 36.7-65.5%) and 41.8% (95%CI 6.3-64.1%), respectively). The VE against the main circulating subtype, influenza A(H1), was higher for the 2018/19 season (57.2% (95%CI 39.8- 69.9%), compared to 34.6% (95%CI-9.6-61.4%) in the 2019/20 season). When compared to pan negative controls, those with single NIRV infections were similarly likely to have received SIV (OR 1.05 (95%CI 0.72-1.54) within the influenza season; OR 0.97 (95%CI 0.73-1.29) when including non-influenza seasons). Analyses by type of virus showed no increased risk of SIV identified among those with single infections of EV/RV, HMPV and parainfluenza but a 2-fold increased risk was shown for those with single infections of adenovirus and parainfluenza virus (adenovirus: OR 2.54 (95%CI 1.24-5.14) within influenza season and OR 1.78 (95%CI 1.01-3.09) for the whole period; parainfluenza virus: OR 2.01 (95%CI 1.22- 3.29) within influenza season and OR 1.89 (95%CI 1.29-2.76) for the whole period). SIV programme and surveillance of influenza and NIRV, including SARS-CoV-2, should continue during the COVID-19 pandemic. (c) 2021 Published by Elsevier Ltd.</t>
  </si>
  <si>
    <t xml:space="preserve">[Chan, Yung-wai; Wong, Miu-ling; Kwok, Fong-yuen; Au, Albert Ka-Wing; Leung, Emily Chi-mei; Chuang, Shuk-kwan] Ctr Hlth Protect, Communicable Dis Branch, Dept Hlth, Hong Kong, Peoples R China</t>
  </si>
  <si>
    <t xml:space="preserve">Chan, YW (corresponding author), Ctr Hlth Protect, Communicable Dis Branch, Dept Hlth, Hong Kong, Peoples R China.</t>
  </si>
  <si>
    <t xml:space="preserve">chanyungwai@gmail.com</t>
  </si>
  <si>
    <t xml:space="preserve">CHAN, YUNG/AAS-9746-2021</t>
  </si>
  <si>
    <t xml:space="preserve">CHAN, YUNG WAI/0000-0001-9238-7051</t>
  </si>
  <si>
    <t xml:space="preserve">JUN 8</t>
  </si>
  <si>
    <t xml:space="preserve">10.1016/j.vaccine.2021.04.059</t>
  </si>
  <si>
    <t xml:space="preserve">JUN 2021</t>
  </si>
  <si>
    <t xml:space="preserve">SL6BM</t>
  </si>
  <si>
    <t xml:space="preserve">WOS:000657001300012</t>
  </si>
  <si>
    <t xml:space="preserve">Ciotti, M; Maurici, M; Santoro, V; Coppola, L; Sarmati, L; De Carolis, G; De Filippis, P; Pica, F</t>
  </si>
  <si>
    <t xml:space="preserve">Ciotti, Marco; Maurici, Massimo; Santoro, Viviana; Coppola, Luigi; Sarmati, Loredana; De Carolis, Gerardo; De Filippis, Patrizia; Pica, Francesca</t>
  </si>
  <si>
    <t xml:space="preserve">Viruses of Respiratory Tract: an Observational Retrospective Study on Hospitalized Patients in Rome, Italy</t>
  </si>
  <si>
    <t xml:space="preserve">influenza; influenza like illness; respiratory viruses; PCR; hospitalized patients</t>
  </si>
  <si>
    <t xml:space="preserve">INFECTIONS; PANEL</t>
  </si>
  <si>
    <t xml:space="preserve">Respiratory tract infections account for high morbidity and mortality around the world. Fragile patients are at high risk of developing complications such as pneumonia and may die from it. Limited information is available on the extent of the circulation of respiratory viruses in the hospital setting. Most knowledge relates to influenza viruses (FLU) but several other viruses produce flu-like illness. The study was conducted at the University Hospital Policlinico Tor Vergata, Rome, Italy. Clinical and laboratory data from hospitalized patients with respiratory tract infections during the period October 2016-March 2019 were analysed. The retrospective analysis included 17 viral agents detected by FilmArray test and clinical data from medical records and hospital discharge sheets. Models were adjusted for relevant confounders such as clinical severity and risk of death, socio-demographic characteristics and surgical procedures. From a total of 539 specimens analysed, 180 (33.39%) were positive for one or more respiratory viruses. Among them, 83 (46.1 %) were positive for influenza viruses (FLU), 36 (20%) rhino/enteroviruses (RHV/EV), 17 (9.44%) human coronaviruses (HCOV-229E, -HKU1, -NL63, and -OC43), 17 (9.44%) respiratory syncytial virus, 15 (8.33%) human metapneumovirus (HMPV), 8 (4.44%) parainfluenza viruses (PIV) and 4 (2.22%) adenoviruses (ADV). The distribution of viral agents varied across age groups and month of detection. The positive specimens were from 168 patients [102 M, 66 F; median age (range): 64 years (19-93)]. Overall, 40% of them had a high-grade clinical severity and a 27% risk of death; 27 patients died and 22 of them (81.5%) had received a clinical diagnosis of pneumonia. Respiratory viral infections may have a severe course and a poor prognosis in hospitalized patients, due to underlying comorbidities. Monitoring the circulation of respiratory viruses in hospital settings is important to improve diagnosis, prevention and treatment.</t>
  </si>
  <si>
    <t xml:space="preserve">[Ciotti, Marco] Fdn Policlin Tor Vergata, Unit Virol, I-00133 Rome, Italy; [Maurici, Massimo; Santoro, Viviana; De Filippis, Patrizia] Univ Roma Tor Vergata, Dept Biomed &amp; Prevent, I-00133 Rome, Italy; [Coppola, Luigi; Sarmati, Loredana] Fdn Policlin Tor Vergata, Clin Infect Dis, I-00133 Rome, Italy; [De Carolis, Gerardo] Fdn Policlin Tor Vergata, Hlth Management, I-00133 Rome, Italy; [Pica, Francesca] Univ Roma Tor Vergata, Dept Expt Med, I-00133 Rome, Italy</t>
  </si>
  <si>
    <t xml:space="preserve">University of Rome Tor Vergata; University of Rome Tor Vergata; University of Rome Tor Vergata; University of Rome Tor Vergata; University of Rome Tor Vergata</t>
  </si>
  <si>
    <t xml:space="preserve">Pica, F (corresponding author), Univ Roma Tor Vergata, Dept Expt Med, I-00133 Rome, Italy.</t>
  </si>
  <si>
    <t xml:space="preserve">marco.ciotti@ptvonline.it; maurici@med.uniroma2.it; vivianasant@gmail.com; luigi.coppolamed@gmail.com; sarmati@med.uniroma2.it; gerardo.decarolis@ptvonline.it; patrizia.de.filippis@uniroma2.it; pica@uniroma2.it</t>
  </si>
  <si>
    <t xml:space="preserve">PICA, FRANCESCA/HHY-9400-2022; Maurici, Massimo/F-5083-2013</t>
  </si>
  <si>
    <t xml:space="preserve">PICA, FRANCESCA/0000-0002-7899-889X; Ciotti, Marco/0000-0002-9943-9130; sarmati, loredana/0000-0003-1452-0333; Maurici, Massimo/0000-0001-5884-161X; COPPOLA, LUIGI/0009-0005-4728-261X</t>
  </si>
  <si>
    <t xml:space="preserve">10.3390/microorganisms8040501</t>
  </si>
  <si>
    <t xml:space="preserve">LO3DX</t>
  </si>
  <si>
    <t xml:space="preserve">WOS:000533510400157</t>
  </si>
  <si>
    <t xml:space="preserve">Esper, FP; Spahlinger, T; Zhou, L</t>
  </si>
  <si>
    <t xml:space="preserve">Esper, Frank P.; Spahlinger, Timothy; Zhou, Lan</t>
  </si>
  <si>
    <t xml:space="preserve">Rate and influence of respiratory virus co-infection on pandemic (H1N1) influenza disease</t>
  </si>
  <si>
    <t xml:space="preserve">Influenza; Influenza co-infection; Co-infection; Dual infection; Respiratory virus co-infection; Viral co-infection; Pneumonia; Respiratory disease</t>
  </si>
  <si>
    <t xml:space="preserve">SYNCYTIAL VIRUS; HUMAN METAPNEUMOVIRUS; RHINOVIRUS INFECTION; VIRAL-INFECTIONS; HUMAN CORONAVIRUS; DUAL INFECTIONS; TRACT DISEASE; SEVERITY; CHILDREN; INFANTS</t>
  </si>
  <si>
    <t xml:space="preserve">Objectives: Many patients with influenza have more than one viral agent with co-infection frequencies reported as high as 20%. The impact of respiratory virus copathogens on influenza disease is unclear. We sought to determine if respiratory virus co-infection with pandemic H1N1 altered clinical disease. Methods: Respiratory samples from 229 and 267 patients identified with and without H1N1 influenza respectively were screened for the presence of 13 seasonal respiratory viruses by multiplex RT-PCR. Disease severity between coinfected and monoinfected H1N1 patients were quantified using a standardized clinical severity scale. Influenza viral load was calculated by quantitative RT-PCR. Results: Thirty (13.1%) influenza samples screened positive for the presence of 31 viral copathogens. The most prominent copathogens included rhinovirus (61.3%), and coronaviruses (16.1%). Median clinical severity of both monoinfected and coinfected groups were 1. Patients coinfected with rhinovirus tended to have lower clinical severity (median 0), whereas non-rhinovirus co-infections had substantially higher clinical severity (median 2). No difference in H1N1 viral load was observed between coinfected and monoinfected groups. Conclusions: Respiratory viruses co-infect patients with influenza disease. Patients coinfected with rhinovirus had less severe disease while non-rhinovirus co-infections were associated with substantially higher severity without changes in influenza viral titer. (C) 2011 The British Infection Association. Published by Elsevier Ltd. All rights reserved.</t>
  </si>
  <si>
    <t xml:space="preserve">[Esper, Frank P.] Rainbow Babies &amp; Childrens Hosp, Div Pediat Infect Dis, Univ Hosp Case Med Ctr, Dept Pediat, Cleveland, OH 44106 USA; [Esper, Frank P.; Zhou, Lan] Case Western Reserve Univ, Cleveland, OH 44106 USA; [Spahlinger, Timothy; Zhou, Lan] Rainbow Babies &amp; Childrens Hosp, Mol Diagnost Lab, Univ Hosp Case Med Ctr, Dept Pathol, Cleveland, OH 44106 USA</t>
  </si>
  <si>
    <t xml:space="preserve">University System of Ohio; Case Western Reserve University; Case Western Reserve University Hospital; University Hospitals of Cleveland; Rainbow Babies &amp; Children's Hospital; University System of Ohio; Case Western Reserve University; University System of Ohio; Case Western Reserve University; Case Western Reserve University Hospital; University Hospitals of Cleveland; Rainbow Babies &amp; Children's Hospital</t>
  </si>
  <si>
    <t xml:space="preserve">Esper, FP (corresponding author), Rainbow Babies &amp; Childrens Hosp, Div Pediat Infect Dis, Univ Hosp Case Med Ctr, Dept Pediat, 11100 Euclid Ave, Cleveland, OH 44106 USA.</t>
  </si>
  <si>
    <t xml:space="preserve">Frank.Esper@UHhospitals.org</t>
  </si>
  <si>
    <t xml:space="preserve">zhou, lan/KWU-6108-2024</t>
  </si>
  <si>
    <t xml:space="preserve">National Institute of Allergy And Infectious Diseases [K23 AI065829]</t>
  </si>
  <si>
    <t xml:space="preserve">National Institute of Allergy And Infectious Diseases(United States Department of Health &amp; Human ServicesNational Institutes of Health (NIH) - USANIH National Institute of Allergy &amp; Infectious Diseases (NIAID))</t>
  </si>
  <si>
    <t xml:space="preserve">This study is supported by the National Institute of Allergy And Infectious Diseases K23 AI065829. We are indebted to the staff of the Department of Pathology Core Laboratory and the Molecular Diagnostics Laboratory at University Hospitals Case medical Center.</t>
  </si>
  <si>
    <t xml:space="preserve">10.1016/j.jinf.2011.04.004</t>
  </si>
  <si>
    <t xml:space="preserve">832TH</t>
  </si>
  <si>
    <t xml:space="preserve">WOS:000295830200003</t>
  </si>
  <si>
    <t xml:space="preserve">Straus, MR; Kinder, JT; Segall, M; Dutch, RE; Whittaker, GR</t>
  </si>
  <si>
    <t xml:space="preserve">Straus, Marco R.; Kinder, Jonathan T.; Segall, Michal; Dutch, Rebecca Ellis; Whittaker, Gary R.</t>
  </si>
  <si>
    <t xml:space="preserve">SPINT2 inhibits proteases involved in activation of both influenza viruses and metapneumoviruses</t>
  </si>
  <si>
    <t xml:space="preserve">Influenza; HMPV; Hemagglutinin; HMPV F; Proteases; Antiviral therapy; SPINT2; HAI-2</t>
  </si>
  <si>
    <t xml:space="preserve">HEMAGGLUTININ CLEAVAGE; FUSION PROTEIN; A VIRUS; SPIKE PROTEIN; MATRIPTASE; CORONAVIRUS; TMPRSS2; EPIDEMIOLOGY; REPLICATION; CANCER</t>
  </si>
  <si>
    <t xml:space="preserve">Viruses possessing class I fusion proteins require proteolytic activation by host cell proteases to mediate fusion with the host cell membrane. The mammalian SPINT2 gene encodes a protease inhibitor that targets trypsin-like serine proteases. Here we show the protease inhibitor, SPINT2, restricts cleavage-activation efficiently for a range of influenza viruses and for human metapneumovirus (HMPV). SPINT2 treatment resulted in the cleavage and fusion inhibition of full-length influenza A/CA/04/09 (H1N1) HA, A/Aichi/68 (H3N2) HA, A/Shanghai/2/2013 (H7N9) HA and HMPV F when activated by trypsin, recombinant matriptase or KLK5. We also demonstrate that SPINT2 was able to reduce viral growth of influenza A/CA/04/09 H1N1 and A/X31 H3N2 in cell culture by inhibiting matriptase or TMPRSS2. Moreover, inhibition efficacy did not differ whether SPINT2 was added at the time of infection or 24 h post-infection. Our data suggest that the SPINT2 inhibitor has a strong potential to serve as a novel broad-spectrum antiviral.</t>
  </si>
  <si>
    <t xml:space="preserve">[Straus, Marco R.; Segall, Michal; Whittaker, Gary R.] Cornell Univ, Coll Vet Med, Dept Microbiol &amp; Immunol, Ithaca, NY 14853 USA; [Kinder, Jonathan T.; Dutch, Rebecca Ellis] Univ Kentucky, Dept Mol &amp; Cellular Biochem, Lexington, KY 40506 USA</t>
  </si>
  <si>
    <t xml:space="preserve">Cornell University; University of Kentucky</t>
  </si>
  <si>
    <t xml:space="preserve">Whittaker, GR (corresponding author), Cornell Univ, Coll Vet Med, Dept Microbiol &amp; Immunol, Ithaca, NY 14853 USA.;Dutch, RE (corresponding author), Univ Kentucky, Dept Mol &amp; Cellular Biochem, Lexington, KY 40506 USA.</t>
  </si>
  <si>
    <t xml:space="preserve">mrs393@cornell.edu; rebecca.dutch@uky.edu; gary.whittaker@cornell.edu</t>
  </si>
  <si>
    <t xml:space="preserve">Kinder, Jonathan/0000-0001-7207-0639</t>
  </si>
  <si>
    <t xml:space="preserve">National Institutes of Health [5R21AI117300]</t>
  </si>
  <si>
    <t xml:space="preserve">National Institutes of Health(United States Department of Health &amp; Human ServicesNational Institutes of Health (NIH) - USA)</t>
  </si>
  <si>
    <t xml:space="preserve">J.T.K. and R.E.D. thank Dr. John Williams from University of Pittsburgh Children's Hospital for kindly providing the 54G10 anti-HMPV F antibody. This work was funded by National Institutes of Health grant 5R21AI117300.</t>
  </si>
  <si>
    <t xml:space="preserve">10.1016/j.virol.2020.01.004</t>
  </si>
  <si>
    <t xml:space="preserve">LE7GE</t>
  </si>
  <si>
    <t xml:space="preserve">Green Submitted, Bronze, Green Published</t>
  </si>
  <si>
    <t xml:space="preserve">WOS:000526889900007</t>
  </si>
  <si>
    <t xml:space="preserve">Farfour, E; Rouabah, L; Bargain, P; Lecuru, M; Picard, C; Tcherakian, C; Maneglier, B; Juillet, SM; Vasse, M</t>
  </si>
  <si>
    <t xml:space="preserve">Farfour, Eric; Rouabah, Lamia; Bargain, Pauline; Lecuru, Marion; Picard, Clement; Tcherakian, Colas; Maneglier, Benjamin; Juillet, Stephanie Marque; Vasse, Marc</t>
  </si>
  <si>
    <t xml:space="preserve">Trend in respiratory viruses' activity in the COVID-19 area</t>
  </si>
  <si>
    <t xml:space="preserve">ANNALES DE BIOLOGIE CLINIQUE</t>
  </si>
  <si>
    <t xml:space="preserve">influenza; flu; rhinovirus; RSV; parainfluenza; coronavirus; metapneumovirus; enterovirus; adenovirus; bocavirus; SARS-CoV-2</t>
  </si>
  <si>
    <t xml:space="preserve">Objectives: SARS-CoV-2 has impacted the detection of seasonal respiratory viruses. We retrospectively assessed the trend in the detection of 10 viruses in the COVID-19 area in 2 hospitals located in the Paris area. Methods: All patients positive for a respiratory virus in two hospitals from September 2016 to August 2021 were retrospectively included. The rate of RT-PCR positive for each virus was calculated for the 2020-2021 sea-son and the 2019-2020 season in comparison to a baseline of 3 seasons, i.e. 2016-2017, 2017-2018, and 2018-2019. Results: Overall, 7,835 patients were tested positive from September 2016 to August 2021. The detection of respiratory virus dramatically falls on week-11 of 2020, as the number of RT-PCR performed. Then, 3 trends were identified: a) almost a disappearance for influenza; b) a 10-weeks delay in the seasonal outbreak for RSV; c) a persistence of circulation with variable activity for other viruses. In comparison to a baseline of three seasons (2016-2019), the rate of positive patients was lower during the 2020-2021 season for coronavirus (4.51% vs. 1.26%, P &lt; 0.0001), adenovirus (1.93% vs. 1.34%, P = 0.14), bocavirus (0.58% vs. 0.11%, P = 0.08), and enterovirus (0.28% vs. 0.0%, P = 0.12). In contrast, the rate of hMPV-positive (1.92% vs. 2.83%, P = 0.03) and hPIV-positive (2.17% vs. 2.99%, P = 0.06) patients increased. Conclusions: The fall in the number of respiratory viruses detected might be related to the lower number of tests performed and the implementation of non pharmaceutical intervention (NPI). Then, all viruses except influenza are detected, probably as a consequence of high adherence to influenza vaccines. Despite, a lower number of tests being performed, the rate of hMPV-positive and hPIV-positive patients increased suggesting an active circulation of these viruses. Altogether, these findings suggest a persistent circulation of common respiratory viruses all over the COVID-19 era.</t>
  </si>
  <si>
    <t xml:space="preserve">[Farfour, Eric; Lecuru, Marion; Vasse, Marc] Hop Foch, Serv Biol Clin, 40 Rue Worth, F-92150 Suresnes, France; [Rouabah, Lamia; Bargain, Pauline; Maneglier, Benjamin; Juillet, Stephanie Marque] Hop Andre Mignot, Serv Biol Clin, France 177 Rue Versailles, F-78150 Le Chesnay Rocquencourt, France; [Picard, Clement; Tcherakian, Colas] Hop Foch, Serv Pneumol &amp; Transplantat Plum, France 40 Rue Worth, F-92150 Suresnes, France</t>
  </si>
  <si>
    <t xml:space="preserve">Hospital Foch; Centre Hospitalier de Versailles; Hospital Foch</t>
  </si>
  <si>
    <t xml:space="preserve">Farfour, E (corresponding author), Hop Foch, Serv Biol Clin, 40 Rue Worth, F-92150 Suresnes, France.</t>
  </si>
  <si>
    <t xml:space="preserve">e.farfour@hopital-foch.com</t>
  </si>
  <si>
    <t xml:space="preserve">JLE</t>
  </si>
  <si>
    <t xml:space="preserve">ARCUEIL</t>
  </si>
  <si>
    <t xml:space="preserve">30, RUE BERTHOLLET, BATIMENT A, 94110 ARCUEIL, ?, FRANCE</t>
  </si>
  <si>
    <t xml:space="preserve">0003-3898</t>
  </si>
  <si>
    <t xml:space="preserve">1950-6112</t>
  </si>
  <si>
    <t xml:space="preserve">ANN BIOL CLIN-PARIS</t>
  </si>
  <si>
    <t xml:space="preserve">Ann. Biol. Clin.</t>
  </si>
  <si>
    <t xml:space="preserve">10.1684/abc.2023.1827</t>
  </si>
  <si>
    <t xml:space="preserve">Medical Laboratory Technology; Medicine, Research &amp; Experimental</t>
  </si>
  <si>
    <t xml:space="preserve">Medical Laboratory Technology; Research &amp; Experimental Medicine</t>
  </si>
  <si>
    <t xml:space="preserve">X9XO1</t>
  </si>
  <si>
    <t xml:space="preserve">WOS:001101905700007</t>
  </si>
  <si>
    <t xml:space="preserve">Fleming, DM; Elliot, AJ</t>
  </si>
  <si>
    <t xml:space="preserve">The impact of influenza on the health and health care utilisation of elderly people</t>
  </si>
  <si>
    <t xml:space="preserve">influenza; elderly; healthcare</t>
  </si>
  <si>
    <t xml:space="preserve">RESPIRATORY SYNCYTIAL VIRUS; NEURAMINIDASE INHIBITOR OSELTAMIVIR; HUMAN METAPNEUMOVIRUS; PREVENTING HOSPITALIZATION; VACCINE EFFECTIVENESS; EXCESS DEATHS; RISK-FACTORS; DOUBLE-BLIND; MORTALITY; INFECTION</t>
  </si>
  <si>
    <t xml:space="preserve">Despite intensive research, influenza viruses still present one of the major causes of respiratory disease throughout the world. The elderly population and those individuals considered at risk due to presenting co-morbidity are especially vulnerable to influenza infection; this is evident from increased rates of morbidity and mortality in these populations during winter epidemic periods. Successful vaccination campaigns have targeted these groups over the last few years, providing protection to an increasing number of susceptible individuals. However, during periods of influenza virus activity there are still seasonal pressures put on both primary and secondary health care services. In the event of a serious influenza epidemic or pandemic, these burdens could jeopardise health care provision to at risk populations. In this report we discuss current issues surrounding the impact of influenza on the health care utilisation of elderly people. (c) 2005 Elsevier Ltd. All rights reserved.</t>
  </si>
  <si>
    <t xml:space="preserve">Royal Coll Gen Practitioners, Birmingham Res Unit, Birmingham B17 9DB, W Midlands, England</t>
  </si>
  <si>
    <t xml:space="preserve">Royal Coll Gen Practitioners, Birmingham Res Unit, Lordswood House,54 Lordswood Rd, Birmingham B17 9DB, W Midlands, England.</t>
  </si>
  <si>
    <t xml:space="preserve">dfleming@rcgpbhamresunit.nhs.uk</t>
  </si>
  <si>
    <t xml:space="preserve">Elliot, Alex/0000-0002-6414-3065</t>
  </si>
  <si>
    <t xml:space="preserve">JUL 8</t>
  </si>
  <si>
    <t xml:space="preserve">S9</t>
  </si>
  <si>
    <t xml:space="preserve">10.1016/j.vaccine.2005.04.018</t>
  </si>
  <si>
    <t xml:space="preserve">957IX</t>
  </si>
  <si>
    <t xml:space="preserve">WOS:000231364600001</t>
  </si>
  <si>
    <t xml:space="preserve">Giamberardin, HIG; Homsani, S; Bricks, LF; Pacheco, APO; Guedes, M; Debur, MC; Raboni, SM</t>
  </si>
  <si>
    <t xml:space="preserve">Giamberardin, Heloisa I. G.; Homsani, Sheila; Bricks, Lucia F.; Pacheco, Ana P. O.; Guedes, Matilde; Debur, Maria C.; Raboni, Sonia M.</t>
  </si>
  <si>
    <t xml:space="preserve">Clinical and Epidemiological Features of Respiratory Virus Infections in Preschool Children Over Two Consecutive Influenza Seasons in Southern Brazil</t>
  </si>
  <si>
    <t xml:space="preserve">influenza; community respiratory virus; vaccine; pediatric respiratory infection</t>
  </si>
  <si>
    <t xml:space="preserve">REAL-TIME PCR; TRACT INFECTIONS; YOUNG-CHILDREN; PEDIATRIC OUTPATIENTS; HUMAN METAPNEUMOVIRUS; VIRAL-INFECTIONS; SYNCYTIAL VIRUS; INFANTS; HOSPITALIZATION; ILLNESS</t>
  </si>
  <si>
    <t xml:space="preserve">This study reports the results of a systematic screening for respiratory viruses in pediatric outpatients from an emergency department (ED) in southern Brazil during two consecutive influenza seasons. Children eligible for enrollment in this study were aged 24-59 months and presented with acute respiratory symptoms and fever. Naso-and oropharyngeal swabs were collected and multiplex reverse transcription PCR (RT-PCR) was performed to identify the respiratory viruses involved. In total, 492 children were included in this study: 248 in 2010 and 244 in 2011. In 2010, 136 samples (55%) were found to be positive for at least one virus and the most frequently detected viruses were human rhinovirus (HRV) (18%), adenovirus (AdV) (13%), and human coronavirus (CoV) (5%). In 2011, 158 samples (65%) were found to be positive for at least one virus, and the most frequently detected were HRV (29%), AdV (12%), and enterovirus (9%). Further, the presence of asthma (OR, 3.17; 95% CI, 1.86-5.46) was independently associated with HRV infection, whereas fever was associated with AdV (OR, 3.86; 95% CI, 1.31-16.52) and influenza infections (OR, 3.74; 95% CI, 1.26-16.06). Ten patients (2%) were diagnosed with pneumonia, and six of these tested positive for viral infection (4 HRV, 1 RSV, and 1 AdV). Thus, this study identified the most common respiratory viruses found in preschool children in the study region and demonstrated their high frequency, highlighting the need for improved data collection, and case management in order to stimulate preventive measures against these infections. (C) 2016 Wiley Periodicals, Inc.</t>
  </si>
  <si>
    <t xml:space="preserve">[Giamberardin, Heloisa I. G.; Pacheco, Ana P. O.; Guedes, Matilde] Hosp Pequeno Principe, Curitiba, Parana, Brazil; [Homsani, Sheila; Bricks, Lucia F.] Sanofi Aventis, Sao Paulo, Brazil; [Debur, Maria C.] Publ Hlth Lab, Curitiba, Parana, Brazil; [Raboni, Sonia M.] Univ Fed Parana, Curitiba, Parana, Brazil</t>
  </si>
  <si>
    <t xml:space="preserve">Hospital Pequeno Principe; Sanofi-Aventis; Universidade Federal do Parana</t>
  </si>
  <si>
    <t xml:space="preserve">Raboni, SM (corresponding author), Virol Lab, 280 Padre Camargo St, BR-80060240 Curitiba, Parana, Brazil.</t>
  </si>
  <si>
    <t xml:space="preserve">sraboni@ufpr.br</t>
  </si>
  <si>
    <t xml:space="preserve">Raboni, Sonia/AAF-7142-2020</t>
  </si>
  <si>
    <t xml:space="preserve">Sanofi Aventis</t>
  </si>
  <si>
    <t xml:space="preserve">Sanofi Aventis(Sanofi-Aventis)</t>
  </si>
  <si>
    <t xml:space="preserve">Grant sponsor: Sanofi Aventis</t>
  </si>
  <si>
    <t xml:space="preserve">10.1002/jmv.24477</t>
  </si>
  <si>
    <t xml:space="preserve">DW5FU</t>
  </si>
  <si>
    <t xml:space="preserve">WOS:000383669500008</t>
  </si>
  <si>
    <t xml:space="preserve">Nicholson, KG; McNally, T; Silverman, M; Simons, P; Stockton, JD; Zambon, MC</t>
  </si>
  <si>
    <t xml:space="preserve">Rates of hospitalisation for influenza, respiratory syncytial virus and human metapneumovirus among infants and young children</t>
  </si>
  <si>
    <t xml:space="preserve">influenza; children; hospital admission rates</t>
  </si>
  <si>
    <t xml:space="preserve">HONG-KONG; INFECTION; DISEASE; IMPACT; BRONCHIOLITIS; COMMUNITY; DIAGNOSIS; ANTIBODY; ILLNESS</t>
  </si>
  <si>
    <t xml:space="preserve">To inform the development of a national influenza immunisation programme and the potential role of antiviral drugs in young children, we studied 613 children aged 71 months or younger who attended Leicester Childrens' Hospital during winter 2001-2002. During periods of respiratory syncytial virus (RSV), influenza, and human metapneumovirus activity, an estimated 12.2% (95% CI: 11.4-13.1), 7.1% (6.3-7.9), and 2.5% (2.1-2.9), respectively, of all medical cases assessed in the hospital were associated with these infections. The respective rates of hospital assessments for RSV, influenza, and human metapneumovirus (HMPV) were 1042 (95% CI: 967-1021), 394 (348-443), and 223 (189-262) per 100,000 children, and for admissions were 517 (465-574), 144 (117-175), and 126 (101-156) per 100,000. Few children with influenza had a prior risk factor. Children with influenza were admitted a median of 4 days after onset of illness and none was coded at discharge as influenza. We conclude that antivirals have little role in the hospital management of children with influenza. Our data provide health economists with information to evaluate the place of universal immunisation of young children against influenza. Hospitalisation rates decreased markedly with referral age, so vaccine would need to be given in early infancy for maximum benefit. (c) 2005 Published by Elsevier Ltd.</t>
  </si>
  <si>
    <t xml:space="preserve">Leicester Royal Infirm, Infect Dis Unit, Leicester LE1 5WW, Leics, England; Univ Leicester, Dept Child Hlth, Leicester, Leics, England; Hlth Protect Agcy, Ctr Infect, London, England</t>
  </si>
  <si>
    <t xml:space="preserve">University of Leicester; University of Leicester; Health Protection Agency</t>
  </si>
  <si>
    <t xml:space="preserve">Nicholson, KG (corresponding author), Leicester Royal Infirm, Infect Dis Unit, Leicester LE1 5WW, Leics, England.</t>
  </si>
  <si>
    <t xml:space="preserve">karl.nicholson@uhl-tr.nhs.uk</t>
  </si>
  <si>
    <t xml:space="preserve">10.1016/j.vaccine.2005.02.004</t>
  </si>
  <si>
    <t xml:space="preserve">004UK</t>
  </si>
  <si>
    <t xml:space="preserve">WOS:000234777600013</t>
  </si>
  <si>
    <t xml:space="preserve">Ratnamohan, VM; Taylor, J; Zeng, F; McPhie, K; Blyth, CC; Adamson, S; Kok, J; Dwyer, DE</t>
  </si>
  <si>
    <t xml:space="preserve">Ratnamohan, Vigneswary Mala; Taylor, Janette; Zeng, Frank; McPhie, Kenneth; Blyth, Christopher C.; Adamson, Sheena; Kok, Jen; Dwyer, Dominic E.</t>
  </si>
  <si>
    <t xml:space="preserve">Pandemic clinical case definitions are non-specific: multiple respiratory viruses circulating in the early phases of the 2009 influenza pandemic in New South Wales, Australia</t>
  </si>
  <si>
    <t xml:space="preserve">Influenza; A(H1N1)pdm09; Pandemic; Respiratory viruses</t>
  </si>
  <si>
    <t xml:space="preserve">A H1N1; CHILDREN; ADULTS; PCR</t>
  </si>
  <si>
    <t xml:space="preserve">Background: During the early phases of the 2009 pandemic, subjects with influenza-like illness only had laboratory testing specific for the new A(H1N1)pdm09 virus. Findings: Between 25th May and 7th June 2009, during the pandemic CONTAIN phase, A(H1N1) pdm09 virus was detected using nucleic acid tests in only 56 of 1466 (3.8%) samples meeting the clinical case definition required for A(H1N1) pdm09 testing. Two hundred and fifty-five randomly selected A(H1N1) pdm09 virus-negative samples were tested for other respiratory viruses using a real-time multiplex PCR assay. Of the 255 samples tested, 113 (44.3%) had other respiratory viruses detected: rhinoviruses 63.7%, seasonal influenza A 17.6%, respiratory syncytial virus 7.9%, human metapneumovirus 5.3%, parainfluenzaviruses 4.4%, influenza B virus 4.4%, and enteroviruses 0.8%. Viral co-infections were present in 4.3% of samples. Conclusions: In the very early stages of a new pandemic, limiting testing to only the novel virus will miss other clinically important co-circulating respiratory pathogens.</t>
  </si>
  <si>
    <t xml:space="preserve">[Ratnamohan, Vigneswary Mala; Zeng, Frank; McPhie, Kenneth; Kok, Jen; Dwyer, Dominic E.] Westmead Hosp, Ctr Infect Dis &amp; Microbiol Lab Serv, Inst Clin Pathol &amp; Med Res, Westmead, NSW 2145, Australia; [Taylor, Janette; Dwyer, Dominic E.] Westmead Hosp, Ctr Virus Res, Westmead Millennium Inst, Westmead, NSW 2145, Australia; [Blyth, Christopher C.] Univ Western Australia, Sch Paediat &amp; Child Hlth, Crawley, WA, Australia; [Blyth, Christopher C.] Princess Margaret Hosp, Dept Paediat &amp; Adolescent Med, Subiaco, WA, Australia; [Blyth, Christopher C.] Princess Margaret Hosp, PathWest Lab Med WA, Subiaco, WA, Australia; [Adamson, Sheena] New South Wales Hlth, Communicable Dis Branch, Hlth Protect New South Wales, Sydney, NSW, Australia; [Kok, Jen; Dwyer, Dominic E.] Univ Sydney, Westmead Hosp, Marie Bashir Inst Infect Dis &amp; Biosecur, Westmead, NSW 2145, Australia; [Kok, Jen; Dwyer, Dominic E.] Univ Sydney, Westmead Hosp, Ctr Res Excellence Crit Infect, Westmead, NSW 2145, Australia</t>
  </si>
  <si>
    <t xml:space="preserve">NSW Health; Westmead Hospital; University of Sydney; University of Sydney; Westmead Institute for Medical Research; NSW Health; Westmead Hospital; University of Western Australia; Princess Margaret Hospital for Children; Princess Margaret Hospital for Children; University of Sydney; NSW Health; Westmead Hospital; NSW Health; Westmead Hospital; University of Sydney</t>
  </si>
  <si>
    <t xml:space="preserve">Dwyer, DE (corresponding author), Westmead Hosp, Ctr Infect Dis &amp; Microbiol Lab Serv, Inst Clin Pathol &amp; Med Res, Westmead, NSW 2145, Australia.</t>
  </si>
  <si>
    <t xml:space="preserve">dominic.dwyer@sydney.edu.au</t>
  </si>
  <si>
    <t xml:space="preserve">Blyth, Christopher/ABG-8231-2020</t>
  </si>
  <si>
    <t xml:space="preserve">Kok, Jen/0000-0002-8796-283X; Blyth, Christopher Charles/0000-0003-2017-0683</t>
  </si>
  <si>
    <t xml:space="preserve">10.1186/1743-422X-11-113</t>
  </si>
  <si>
    <t xml:space="preserve">AK5IY</t>
  </si>
  <si>
    <t xml:space="preserve">WOS:000338459300001</t>
  </si>
  <si>
    <t xml:space="preserve">Dawood, FS; Jara, J; Estripeaut, D; Vergara, O; Luciani, K; Corro, M; de León, T; Saldaña, R; Baires, JMC; Flores, RR; Cazares, RA; de Fuentes, YSB; Franco, D; Gaitan, M; Schneider, E; Berman, L; Azziz-Baumgartner, E; Widdowson, MA</t>
  </si>
  <si>
    <t xml:space="preserve">Dawood, Fatimah S.; Jara, Jorge; Estripeaut, Dora; Vergara, Ofelina; Luciani, Kathia; Corro, Mary; de Leon, Tirza; Saldana, Ricardo; Baires, Juan Miguel Castillo; Flores, Rafael Rauda; Cazares, Rafael A.; de Fuentes, Yarisa Sujey Brizuela; Franco, Danilo; Gaitan, Melissa; Schneider, Eileen; Berman, LaShondra; Azziz-Baumgartner, Eduardo; Widdowson, Marc-Alain</t>
  </si>
  <si>
    <t xml:space="preserve">What Is the Added Benefit of Oropharyngeal Swabs Compared to Nasal Swabs Alone for Respiratory Virus Detection in Hospitalized Children Aged &lt;10 Years?</t>
  </si>
  <si>
    <t xml:space="preserve">influenza, human; respiratory syncytial virus infections; parainfluenza; human metapneumovirus; children, hospitalized</t>
  </si>
  <si>
    <t xml:space="preserve">NASOPHARYNGEAL ASPIRATE</t>
  </si>
  <si>
    <t xml:space="preserve">We evaluated the added value of collecting both nasal and oropharyngeal swabs, compared with collection of nasal swabs alone, for detection of common respiratory viruses by reverse transcription-polymerase chain reaction in hospitalized children aged &lt;10 years. Nasal swabs had equal or greater sensitivity than oropharyngeal swabs for detection of respiratory syncytial virus, adenovirus, human metapneumovirus, rhinovirus, and influenza virus but not parainfluenza virus. The addition of an oropharyngeal swab, compared with use of a nasal swab alone, increased the frequency of detection of each respiratory virus by no more than 10% in children aged &lt;10 years.</t>
  </si>
  <si>
    <t xml:space="preserve">[Dawood, Fatimah S.; Berman, LaShondra; Azziz-Baumgartner, Eduardo; Widdowson, Marc-Alain] Ctr Dis Control &amp; Prevent, Influenza Div, 1600 Clifton Rd,MS A-32, Atlanta, GA 30329 USA; [Schneider, Eileen] Ctr Dis Control &amp; Prevent, Div Viral Dis, Atlanta, GA 30329 USA; [Jara, Jorge] Univ Valle Guatemala, Ctr Estudios Salud, Guatemala City, Guatemala; [Estripeaut, Dora; Vergara, Ofelina] Hosp Nino, Panama City, Panama; [Luciani, Kathia; Corro, Mary] Hosp Especialidades Pediat Omar Torrijos, Panama City, Panama; [Franco, Danilo; Gaitan, Melissa] Gorgas Mem Inst Hlth Studies, Panama City, Panama; [de Leon, Tirza; Saldana, Ricardo] Hosp Materno Infantil Jose Domingo De Obaldia, David, Panama; [Baires, Juan Miguel Castillo; Flores, Rafael Rauda] Hosp San Juan Dios, Santa Ana, CA USA; [Cazares, Rafael A.; de Fuentes, Yarisa Sujey Brizuela] Hosp San Juan Dios, San Miguel, El Salvador</t>
  </si>
  <si>
    <t xml:space="preserve">Centers for Disease Control &amp; Prevention - USA; Centers for Disease Control &amp; Prevention - USA; Universidad del Valle de Guatemala; Instituto Conmemorativo Gorgas de Estudios de la Salud</t>
  </si>
  <si>
    <t xml:space="preserve">Dawood, FS (corresponding author), Ctr Dis Control &amp; Prevent, Influenza Div, 1600 Clifton Rd,MS A-32, Atlanta, GA 30329 USA.</t>
  </si>
  <si>
    <t xml:space="preserve">fdawood@cdc.gov</t>
  </si>
  <si>
    <t xml:space="preserve">Estripeaut, Dora/0000-0002-2042-0817; Jara, Jorge/0000-0003-4198-9380</t>
  </si>
  <si>
    <t xml:space="preserve">CDC; Universidad del Valle de Guatemala</t>
  </si>
  <si>
    <t xml:space="preserve">CDC(Centre National de la Recherche Scientifique (CNRS)United States Department of Health &amp; Human ServicesCenters for Disease Control &amp; Prevention - USA); Universidad del Valle de Guatemala</t>
  </si>
  <si>
    <t xml:space="preserve">This work was supported by the CDC through a cooperative agreement with the Universidad del Valle de Guatemala.</t>
  </si>
  <si>
    <t xml:space="preserve">10.1093/infdis/jiv265</t>
  </si>
  <si>
    <t xml:space="preserve">DB7BE</t>
  </si>
  <si>
    <t xml:space="preserve">WOS:000368668600012</t>
  </si>
  <si>
    <t xml:space="preserve">Alchikh, M; Conrad, TOF; Obermeier, PE; Ma, XL; Schweiger, B; Opota, O; Rath, BA</t>
  </si>
  <si>
    <t xml:space="preserve">Alchikh, Maren; Conrad, Tim O. F.; Obermeier, Patrick E.; Ma, Xiaolin; Schweiger, Brunhilde; Opota, Onya; Rath, Barbara A.</t>
  </si>
  <si>
    <t xml:space="preserve">Disease Burden and Inpatient Management of Children with Acute Respiratory Viral Infections during the Pre-COVID Era in Germany: A Cost-of-Illness Study</t>
  </si>
  <si>
    <t xml:space="preserve">influenza-like illness; respiratory virus; respiratory viral infection; direct medical cost; non-direct medical cost; social determinants of health</t>
  </si>
  <si>
    <t xml:space="preserve">INFLUENZA; VACCINE; CARE</t>
  </si>
  <si>
    <t xml:space="preserve">Respiratory viral infections (RVIs) are common reasons for healthcare consultations. The inpatient management of RVIs consumes significant resources. From 2009 to 2014, we assessed the costs of RVI management in 4776 hospitalized children aged 0-18 years participating in a quality improvement program, where all ILI patients underwent virologic testing at the National Reference Centre followed by detailed recording of their clinical course. The direct (medical or non-medical) and indirect costs of inpatient management outside the ICU ('non-ICU') versus management requiring ICU care ('ICU') added up to EUR 2767.14 (non-ICU) vs. EUR 29,941.71 (ICU) for influenza, EUR 2713.14 (non-ICU) vs. EUR 16,951.06 (ICU) for RSV infections, and EUR 2767.33 (non-ICU) vs. EUR 14,394.02 (ICU) for human rhinovirus (hRV) infections, respectively. Non-ICU inpatient costs were similar for all eight RVIs studied: influenza, RSV, hRV, adenovirus (hAdV), metapneumovirus (hMPV), parainfluenza virus (hPIV), bocavirus (hBoV), and seasonal coronavirus (hCoV) infections. ICU costs for influenza, however, exceeded all other RVIs. At the time of the study, influenza was the only RVI with antiviral treatment options available for children, but only 9.8% of influenza patients (non-ICU) and 1.5% of ICU patients with influenza received antivirals; only 2.9% were vaccinated. Future studies should investigate the economic impact of treatment and prevention of influenza, COVID-19, and RSV post vaccine introduction.</t>
  </si>
  <si>
    <t xml:space="preserve">[Alchikh, Maren; Obermeier, Patrick E.; Rath, Barbara A.] Vaccine Safety Initiat, D-10437 Berlin, Germany; [Alchikh, Maren; Rath, Barbara A.] Univ Bourgogne Franche Comte, Lab Chronoenvironm, F-25030 Besancon, France; [Alchikh, Maren; Obermeier, Patrick E.; Opota, Onya; Rath, Barbara A.] ESGREV ESCMID Resp Virus Study Grp, CH-4001 Basel, Switzerland; [Conrad, Tim O. F.] Zuse Inst Berlin, D-14195 Berlin, Germany; [Ma, Xiaolin] Capital Inst Pediat, Dept Pulmonol, Beijing 100005, Peoples R China; [Schweiger, Brunhilde] Robert Koch Inst, Natl Reference Ctr Influenza, Dept Infect Dis, Unit 17,Influenza &amp; Other Resp Viruses, D-13353 Berlin, Germany; [Opota, Onya] Univ Lausanne, Inst Microbiol, CH-1011 Lausanne, Switzerland</t>
  </si>
  <si>
    <t xml:space="preserve">Universite de Franche-Comte; Zuse Institute Berlin; Capital Institute of Pediatrics (CIP); Robert Koch Institute; University of Lausanne</t>
  </si>
  <si>
    <t xml:space="preserve">Rath, BA (corresponding author), Vaccine Safety Initiat, D-10437 Berlin, Germany.;Rath, BA (corresponding author), Univ Bourgogne Franche Comte, Lab Chronoenvironm, F-25030 Besancon, France.;Rath, BA (corresponding author), ESGREV ESCMID Resp Virus Study Grp, CH-4001 Basel, Switzerland.</t>
  </si>
  <si>
    <t xml:space="preserve">maren.alchikh@vi-vi.org; conrad@zib.de; p.e.obermeier@gmail.com; pediamaxl@outlook.com; bruni.schweiger@gmx.de; onya.opota@chuv.ch; barbara.rath@vi-vi.org</t>
  </si>
  <si>
    <t xml:space="preserve">Olsson, Stefan/H-2617-2014; Conrad, Tim/N-2742-2014; Opota, Onya/K-5851-2017</t>
  </si>
  <si>
    <t xml:space="preserve">Obermeier, Patrick E./0000-0002-5631-9112; Ma, Xiaolin/0000-0002-5348-3435; Conrad, Tim/0000-0002-5590-5726; Opota, Onya/0000-0002-5421-0607</t>
  </si>
  <si>
    <t xml:space="preserve">Ministry of research and education (BMBF) Germany [031L0302C]</t>
  </si>
  <si>
    <t xml:space="preserve">Ministry of research and education (BMBF) Germany(Federal Ministry of Education &amp; Research (BMBF))</t>
  </si>
  <si>
    <t xml:space="preserve">We acknowledge Lea Seeber, Susann Muehlhans, Xi Chen, Franziska Tief, and Katharina Karsch for their support in data collecting. T.O.F.C acknowledges support from the Ministry of research and education (BMBF) Germany (MODUS COVID, grant number 031L0302C).</t>
  </si>
  <si>
    <t xml:space="preserve">10.3390/v16040507</t>
  </si>
  <si>
    <t xml:space="preserve">QI2U8</t>
  </si>
  <si>
    <t xml:space="preserve">gold, Green Submitted, Green Published</t>
  </si>
  <si>
    <t xml:space="preserve">WOS:001220190400001</t>
  </si>
  <si>
    <t xml:space="preserve">Peng, JS; Kong, WH; Guo, DY; Liu, MQ; Wang, Y; Zhu, HH; Pang, BB; Miao, XP; Yu, B; Luo, TY; Hu, Q; Zhou, DJ</t>
  </si>
  <si>
    <t xml:space="preserve">Peng, Jinsong; Kong, Wenhua; Guo, Deyin; Liu, Manqing; Wang, Ying; Zhu, Honghao; Pang, Beibei; Miao, Xiaoping; Yu, Bin; Luo, Tongyong; Hu, Quan; Zhou, Dunjin</t>
  </si>
  <si>
    <t xml:space="preserve">The epidemiology and etiology of influenza-like illness in Chinese children from 2008 to 2010</t>
  </si>
  <si>
    <t xml:space="preserve">influenza-like illness; respiratory virus; children; China; epidemiology</t>
  </si>
  <si>
    <t xml:space="preserve">RESPIRATORY-TRACT INFECTIONS; HUMAN CORONAVIRUS NL63; HUMAN METAPNEUMOVIRUS; VIRAL-INFECTIONS; SYNCYTIAL-VIRUS; PCR; IDENTIFICATION; SURVEILLANCE; ADENOVIRUSES; AUSTRALIA</t>
  </si>
  <si>
    <t xml:space="preserve">Influenza-like illness can be caused by a wide range of respiratory viruses. In order to investigate the epidemiology of viral pathogens related to influenza-like illness in children of Wuhan, the largest city in central China, throat swab samples were collected from 1,472 young patients, from July 2008 to June 2010, before and after the occurrence of the 2009 pandemic influenza A (H1N1) virus (pH1N1). It was found that 923 patients (62.7%) were positive for at least 1 virus and 90 patients (9.8%) were detected for multiple (=2) respiratory viruses by real-time PCR detection of 16 viruses. Seasonal influenza A virus was the predominant pathogen among all the 16 viruses with a positive rate of 13.3% (196/1,472), which was followed by pH1N1 (159/1,472). It was also noted that the viral distribution pattern in Wuhan changed upon the introduction of the pH1N1 virus. J. Med. Virol. 84:672678, 2012. (C) 2011 Wiley Periodicals, Inc.</t>
  </si>
  <si>
    <t xml:space="preserve">[Peng, Jinsong; Kong, Wenhua; Liu, Manqing; Wang, Ying; Zhu, Honghao; Pang, Beibei; Yu, Bin; Luo, Tongyong; Hu, Quan; Zhou, Dunjin] Wuhan Ctr Dis Prevent &amp; Control, Wuhan 430015, Peoples R China; [Miao, Xiaoping] Huazhong Univ Sci &amp; Technol, Sch Publ Hlth, Wuhan 430074, Peoples R China; [Kong, Wenhua; Guo, Deyin] Wuhan Univ, Coll Life Sci, State Key Lab Virol &amp; Modern Virol, Res Ctr, Wuhan 430072, Peoples R China</t>
  </si>
  <si>
    <t xml:space="preserve">Huazhong University of Science &amp; Technology; Wuhan University</t>
  </si>
  <si>
    <t xml:space="preserve">Zhou, DJ (corresponding author), Wuhan Ctr Dis Prevent &amp; Control, Jiang Han Bei Lu 24, Wuhan 430015, Peoples R China.</t>
  </si>
  <si>
    <t xml:space="preserve">zdj@whcdc.org</t>
  </si>
  <si>
    <t xml:space="preserve">bin, yong/GLS-8007-2022; miao, xiaoping/C-4336-2011; Liu, Man-Qing/M-9598-2014; Guo, Deyin/A-9498-2011</t>
  </si>
  <si>
    <t xml:space="preserve">miao, xiaoping/0000-0002-6818-9722; Liu, Man-Qing/0000-0002-9754-3102; Guo, Deyin/0000-0002-8297-0814</t>
  </si>
  <si>
    <t xml:space="preserve">State Key Laboratory of Virology of China [2010007]</t>
  </si>
  <si>
    <t xml:space="preserve">State Key Laboratory of Virology of China</t>
  </si>
  <si>
    <t xml:space="preserve">Grant sponsor: Open Research Fund Program of the State Key Laboratory of Virology of China (partial support); Grant number: 2010007.</t>
  </si>
  <si>
    <t xml:space="preserve">10.1002/jmv.22247</t>
  </si>
  <si>
    <t xml:space="preserve">897XW</t>
  </si>
  <si>
    <t xml:space="preserve">WOS:000300696200017</t>
  </si>
  <si>
    <t xml:space="preserve">Bénézit, F; Loubet, P; Galtier, F; Pronier, C; Lenzi, N; Lesieur, Z; Jouneau, S; Lagathu, G; L'Honneur, AS; Foulongne, V; Vallejo, C; Alain, S; Duval, X; Houhou, N; Costa, Y; Vanhems, P; Amour, S; Carrat, F; Lina, B; Launay, O; Tattevin, P</t>
  </si>
  <si>
    <t xml:space="preserve">Benezit, Francois; Loubet, Paul; Galtier, Florence; Pronier, Charlotte; Lenzi, Nezha; Lesieur, Zineb; Jouneau, Stephane; Lagathu, Gisele; L'Honneur, Anne-Sophie; Foulongne, Vincent; Vallejo, Christine; Alain, Sophie; Duval, Xavier; Houhou, Nawal; Costa, Yolande; Vanhems, Philippe; Amour, Selilah; Carrat, Fabrice; Lina, Bruno; Launay, Odile; Tattevin, Pierre</t>
  </si>
  <si>
    <t xml:space="preserve">FLUVAC Study Grp</t>
  </si>
  <si>
    <t xml:space="preserve">Non-influenza respiratory viruses in adult patients admitted with influenza-like illness: a 3-year prospective multicenter study</t>
  </si>
  <si>
    <t xml:space="preserve">Influenza-like illness; Influenza; Picornavirus; Respiratory syncytial virus; Coronavirus; Human metapneumovirus</t>
  </si>
  <si>
    <t xml:space="preserve">COMMUNITY-ACQUIRED PNEUMONIA; EXPERIMENTAL RHINOVIRUS INFECTION; VIRAL-INFECTIONS; RISK; RELEVANCE</t>
  </si>
  <si>
    <t xml:space="preserve">Purpose To describe the burden, and characteristics, of influenza-like illness (ILI) associated with non-influenza respiratory viruses (NIRV). Methods We performed a prospective, multicenter, observational study of adults admitted with ILI during three influenza seasons (2012-2015). Patients were screened for picornavirus, respiratory syncytial virus (RSV), coronavirus, human metapneumovirus, adenovirus, bocavirus, parainfluenza virus, and influenza, by PCR on nasopharyngeal samples. We excluded patients coinfected with NIRV and influenza. Results Among 1421 patients enrolled, influenza virus was detected in 535 (38%), and NIRV in 215 (15%), mostly picornavirus (n = 61), RSV (n = 53), coronavirus 229E (n = 48), and human metapneumovirus (n = 40). In-hospital mortality was 5% (NIRV), 4% (influenza), and 5% (no respiratory virus). As compared to influenza, NIRV were associated with age (median, 73 years vs. 68, P = 0.026), chronic respiratory diseases (53% vs. 45%, P = 0.034), cancer (14% vs. 9%, P = 0.029), and immunosuppressive drugs (21% vs. 14%, P = 0.028), and inversely associated with diabetes (18% vs. 25%, P = 0.038). On multivariable analysis, only chronic respiratory diseases (OR 1.5 [1.1-2.0], P = 0.008), and diabetes (OR 0.5 [0.4-0.8], P = 0.01) were associated with NIRV detection. Conclusions NIRV are common in adults admitted with ILI during influenza seasons. Outcomes are similar in patients with NIRV, influenza, or no respiratory virus.</t>
  </si>
  <si>
    <t xml:space="preserve">[Benezit, Francois; Tattevin, Pierre] Univ Rennes 1, CHU Pontchaillou, Hop Pontchaillou, Serv Malad Infect &amp; Reanimat Med, 2 Rue Henri Le Guilloux, F-35033 Rennes, France; [Loubet, Paul; Lenzi, Nezha; Lesieur, Zineb; Launay, Odile] Univ Paris 05, AP HP, Hop Cochin, CIC Cochin Pasteur,Inserm,Sorbonne Paris Cite,Inn, Paris, France; [Galtier, Florence] INSERM, F CRIN, Innovat Clin Res Network VACcinol I REIVAC, Paris, France; [Galtier, Florence] CHU Montpellier, Hop St Eloi, CIC1411, F-34295 Montpellier, France; [Pronier, Charlotte; Lagathu, Gisele] Univ Rennes 1, Hop Pontchaillou, Virol, Rennes, France; [Jouneau, Stephane] Univ Rennes 1, Hop Pontchaillou, Pneumol, Rennes, France; [Jouneau, Stephane; Tattevin, Pierre] Univ Rennes 1, Hop Pontchaillou, INSERM, CIC 1414, Rennes, France; [L'Honneur, Anne-Sophie] AHU, Hop Cochin, Serv Virol, Paris, France; [Foulongne, Vincent] CHU Montpellier, Hop St Eloi, Serv Virol, F-34295 Montpellier, France; [Vallejo, Christine] CHU Dupuytren, INSERM CIC 1435, Limoges, France; [Alain, Sophie] Univ Limoges, CHU Limoges, INSERM, RESINFIT,U1092, F-87000 Limoges, France; [Duval, Xavier; Costa, Yolande] Hop Bichat Claude Bernard, AP HP, INSERM,CIC1125, F CRIN,Innovat Clin Res Network Vaccinol I REIVAC, Paris, France; [Houhou, Nawal] Hop Bichat Claude Bernard, Lab Virol, Paris, France; [Vanhems, Philippe; Amour, Selilah] Hosp Civils Lyon, Serv Hyg Epidemiol &amp; Prevent, F-69437 Lyon, France; [Vanhems, Philippe] Univ Claude Bernard Lyon, Ecole Normale Super Lyon, Ctr Int Rech Infectiol,UMR5308,U1111, CNRS,INSERM,Lab Pathogenes Emergents Fdn Merieux, Lyon, France; [Carrat, Fabrice] Sorbonne Univ, Hop St Antoine, AP HP, INSERM,IPLESP, F-75013 Paris, France; [Lina, Bruno] Hosp Civils Lyon, Ctr Natl Reference Virus Resp France Sud, IAI, Lab Virol, F-69317 Lyon 04, France</t>
  </si>
  <si>
    <t xml:space="preserve">Universite de Rennes; CHU Rennes; Universite Paris Cite; Institut National de la Sante et de la Recherche Medicale (Inserm); Assistance Publique Hopitaux Paris (APHP); Hopital Universitaire Cochin - APHP; Institut National de la Sante et de la Recherche Medicale (Inserm); Universite de Montpellier; CHU de Montpellier; Universite de Rennes; CHU Rennes; Universite de Rennes; CHU Rennes; Institut National de la Sante et de la Recherche Medicale (Inserm); CHU Rennes; Universite de Rennes; Assistance Publique Hopitaux Paris (APHP); Universite Paris Cite; Hopital Universitaire Cochin - APHP; Universite de Montpellier; CHU de Montpellier; CHU Limoges; Institut National de la Sante et de la Recherche Medicale (Inserm); Institut National de la Sante et de la Recherche Medicale (Inserm); CHU Limoges; Universite de Limoges; Institut National de la Sante et de la Recherche Medicale (Inserm); Assistance Publique Hopitaux Paris (APHP); Universite Paris Cite; Hopital Universitaire Bichat-Claude Bernard - APHP; Universite Paris Cite; Assistance Publique Hopitaux Paris (APHP); Hopital Universitaire Bichat-Claude Bernard - APHP; CHU Lyon; Ecole Normale Superieure de Lyon (ENS de LYON); Institut National de la Sante et de la Recherche Medicale (Inserm); Centre National de la Recherche Scientifique (CNRS); CNRS - National Institute for Biology (INSB); Universite Claude Bernard Lyon 1; Assistance Publique Hopitaux Paris (APHP); Sorbonne Universite; Hopital Universitaire Saint-Antoine - APHP; Institut National de la Sante et de la Recherche Medicale (Inserm); CHU Lyon</t>
  </si>
  <si>
    <t xml:space="preserve">Tattevin, P (corresponding author), Univ Rennes 1, CHU Pontchaillou, Hop Pontchaillou, Serv Malad Infect &amp; Reanimat Med, 2 Rue Henri Le Guilloux, F-35033 Rennes, France.;Tattevin, P (corresponding author), Univ Rennes 1, Hop Pontchaillou, INSERM, CIC 1414, Rennes, France.</t>
  </si>
  <si>
    <t xml:space="preserve">pierre.tattevin@chu-rennes.fr</t>
  </si>
  <si>
    <t xml:space="preserve">Jouneau, Stephane/K-9956-2015; Loubet, Paul/AAE-1988-2019; Alain, sophie/O-9106-2016; lina, bruno/N-3663-2019; Galtier, Florence/AFA-9074-2022; Carrat, Fabrice/AAU-8480-2020; Pronier, Charlotte/D-3036-2017; Carrat, Fabrice/P-6177-2017</t>
  </si>
  <si>
    <t xml:space="preserve">Bourdin, Arnaud/0000-0002-4645-5209; Carrat, Fabrice/0000-0002-8672-7918; Loubet, Paul/0000-0002-1218-9432; Lilamand, Matthieu/0000-0002-4622-2413; Galtier, Florence/0000-0002-0720-6277; lina, bruno/0000-0002-8959-2123; Amour, Selilah/0000-0002-4804-7209; Burdet, Charles/0000-0003-4138-0794; Sacre, Karim/0000-0002-6544-234X; laine, fabrice/0000-0001-6405-2211</t>
  </si>
  <si>
    <t xml:space="preserve">Sanofi Pasteur; Sanofi Pasteur MSD</t>
  </si>
  <si>
    <t xml:space="preserve">The current work received no funding. However, the study sites received funding from Sanofi Pasteur and Sanofi Pasteur MSD for the FLUVAC study. Vaccine producers had no role in the study design, data analysis, decision to publish or preparation of the manuscript. The FLUVAC Study group. Hopital Cochin, Paris: P. Loulergue, S. Momcilovic, JP Mira, N. Marin, A. Regent, Kanaan, F. Dumas, B. Doumenc. Hopital Bichat Claude Bernard, Paris: J.F. Alexandra, H. Becheur, K. Belghalem, J. Bernard, A. Bleitreu, M. Boisseau, R. Bories, O. Brugiere, F. Brunet, C. Burdet, E. Casalino, M. Caseris, Chansiaux, M. Chauchard, P. Chavance, C. Choquet, Cloppet-Fontaine, L. Colosi, B. Couset, B. Crestani, F. Crocket, A. Debit, Delanoe, V. Descamps, P. Dieude, A. Dossier, N. Douron, E. Dupeyrat, N. Emeyrat, Fernet, T. Goulenok, S. Harent, Jouenne, A. Justet, M. Lachatre, A. Leleu, I. Lerat, M. Lilamand, H. Mal, A. Marceau, A-C Metivier, K. Oplelatora, T. Papo, A-L. Pelletier, L. Pereira, P. Pradere, Prommier, P. Ralainnazava, M. Ranaivoision, A. RaynaudSimon, C. Rioux, K. Sacre, V. Verry, V. Vuong, Y. Yazdapanah. CHU de Montpellier: P. Geraud, V. Driss, V. Maugueret, M. Ray, F. Letois, T. Mura, C. Merle, A. Bourdin, A. Konate, X. Capdevilla, G. Du Cailar, A. Terminet, H. Blain, M.-S. Leglise, A. Le Quellec, P. Corne, L. Landreau, K. Klouche, A. Bourgeois, M. Sebbane, G. Mourad, H. Leray, M. Maarouf. CHU Dupuytren, Limoges: D. Postil, S. Alcolea, E. Couve Deacon, S. Rogez. Hopital Edouard Herriot, Lyon: L. Argaud, K. Tazarourte, R. Hernu, M. Cour, M. Simon, T. Baudry, L. Jacquin. CHU Pontchaillou, Rennes: F. Laine, B. Laviolle, J.-S. Allain, N. Belhomme, V. Thibault, S. Rochas, S. Cochennec, E. Ouamara-Digue, C. Lepape, M. Revest, S. Simon, J. Fouchard, C. Gautier, N. Nouredine, E. Thebault.</t>
  </si>
  <si>
    <t xml:space="preserve">10.1007/s15010-019-01388-1</t>
  </si>
  <si>
    <t xml:space="preserve">FEB 2020</t>
  </si>
  <si>
    <t xml:space="preserve">MU2BA</t>
  </si>
  <si>
    <t xml:space="preserve">WOS:000516117500001</t>
  </si>
  <si>
    <t xml:space="preserve">Jarju, S; Greenhalgh, K; Wathuo, M; Banda, M; Camara, B; Mendy, S; Sowe, G; Dahaba, PO; Jammeh, L; Bajinka, Y; Sanneh, P; Jallow, E; Yates, A; Lindsey, BB; Owens, S; Kampmann, B; Forrest, K; Clarke, E; de Silva, T</t>
  </si>
  <si>
    <t xml:space="preserve">Jarju, Sheikh; Greenhalgh, Khristianne; Wathuo, Miriam; Banda, Mustapha; Camara, Bakary; Mendy, Simon; Sowe, Ghata; Dahaba, Pa Omar; Jammeh, Lamin; Bajinka, Yaya; Sanneh, Papis; Jallow, Edrissa; Yates, Alexandra; Lindsey, Benjamin B.; Owens, Stephen; Kampmann, Beate; Forrest, Karen; Clarke, Ed; de Silva, Thushan</t>
  </si>
  <si>
    <t xml:space="preserve">Viral Etiology, Clinical Features and Antibiotic Use in Children &lt;5 Years of Age in the Gambia Presenting With Influenza-like Illness</t>
  </si>
  <si>
    <t xml:space="preserve">influenza-like illness; infants; children; The Gambia</t>
  </si>
  <si>
    <t xml:space="preserve">RESPIRATORY SYNCYTIAL VIRUS; HUMAN METAPNEUMOVIRUS; INFECTIONS; RHINOVIRUS; PATTERNS; DISEASE</t>
  </si>
  <si>
    <t xml:space="preserve">Background: Knowledge regarding the prevalence, clinical features and etiology of pediatric influenza-like illness (ILI) remains limited in African settings. Furthermore, it is likely that many children presenting with ILI receive antibiotics unnecessarily. More data are required to develop antimicrobial stewardship practice and guide effective vaccine strategies. We undertook a 1-year prospective study of ILI in the Gambia. Methods: Children Results: From a total of 735 ILI episodes, 530 (72.1%) nasopharyngeal swabs were positive for &gt;= 1 virus. Of these, 36.7% were positive for rhinovirus, 14.7% for respiratory syncytial virus, 8.4% for influenza and 7.2% for human metapneumovirus. Compared with children &lt;6 months of age, influenza was more common in 6- to 23-month-old children [odd ratio (OR): 5.68; 95% confidence interval (CI): 1.72-18.76;P= 0.004]. Respiratory syncytial virus and human metapneumovirus were associated with low peripheral oxygen saturations (OR: 2.13; 95% CI: 1.23-3.69;P= 0.007; and OR: 2.44; 95% CI: 1.13-5.27;P= 0.023, respectively). Antibiotics were prescribed in 78.3% of all ILI cases. Conclusions: A broad range of viruses are responsible for pediatric ILI in the Gambia. Refined treatment guidelines, improved diagnostic capacity and vaccines to prevent respiratory viruses will all play a role in reducing antimicrobial use for these cases.</t>
  </si>
  <si>
    <t xml:space="preserve">[Jarju, Sheikh; Camara, Bakary; Sowe, Ghata; Dahaba, Pa Omar; Jammeh, Lamin; Bajinka, Yaya; Sanneh, Papis; Jallow, Edrissa; Lindsey, Benjamin B.; Kampmann, Beate; Clarke, Ed; de Silva, Thushan] London Sch Hyg &amp; Trop Med, Med Res Council Unit Gambia, Dept Vaccines &amp; Immun Theme, Banjul, Gambia; [Greenhalgh, Khristianne; Owens, Stephen] Newcastle Tyne Hosp NHS Fdn Trust, Newcastle Upon Tyne, Tyne &amp; Wear, England; [Wathuo, Miriam] London Sch Hyg &amp; Trop Med, Med Res Council Unit Gambia, Dept Stat, Banjul, Gambia; [Banda, Mustapha; Mendy, Simon; Forrest, Karen] London Sch Hyg &amp; Trop Med, Med Res Council Unit Gambia, Dept Clin Serv, Banjul, Gambia; [Yates, Alexandra] Royal Hallamshire Hosp, NHS Fdn, Sheffield Teaching Hosp, Sheffield, S Yorkshire, England; [Kampmann, Beate] London Sch Hyg &amp; Trop Med, Vaccine Ctr, London, England; [de Silva, Thushan] Univ Sheffield, Med Sch, Florey Inst, Sheffield, S Yorkshire, England; [de Silva, Thushan] Univ Sheffield, Med Sch, Dept Infect Immun &amp; Cardiovasc Dis, Sheffield, S Yorkshire, England</t>
  </si>
  <si>
    <t xml:space="preserve">University of London; London School of Hygiene &amp; Tropical Medicine; Newcastle Upon Tyne Hospitals NHS Foundation Trust; University of London; London School of Hygiene &amp; Tropical Medicine; University of London; London School of Hygiene &amp; Tropical Medicine; University of Sheffield; University of London; London School of Hygiene &amp; Tropical Medicine; University of Sheffield; University of Sheffield</t>
  </si>
  <si>
    <t xml:space="preserve">de Silva, T (corresponding author), London Sch Hyg &amp; Trop Med, Med Res Council Unit Gambia, Vaccines &amp; Immun Theme, POB 273, Banjul, Fajara, Gambia.</t>
  </si>
  <si>
    <t xml:space="preserve">tdesilva@mrc.gm</t>
  </si>
  <si>
    <t xml:space="preserve">Forrest, Karen/AFE-8337-2022; de Silva, Thushan/AAT-4820-2020</t>
  </si>
  <si>
    <t xml:space="preserve">Lindsey, Dr Benjamin/0000-0003-4227-2592; Kampmann, Beate/0000-0002-6546-4709; Forrest, Karen/0000-0002-9484-0830; de Silva, Thushan/0000-0002-6498-9212</t>
  </si>
  <si>
    <t xml:space="preserve">Vaccines and Immunity Theme at the Medical Research Council Unit at the London School of Hygiene and Tropical Medicine, The Gambia [MC_UP_A900/1122]; UK Medical Research Council (MRC); UK Department for International Development (DFID); European Union; Newcastle University, United Kingdom; Wellcome Trust Intermediate Clinical Fellowship [110058/Z/15/Z]</t>
  </si>
  <si>
    <t xml:space="preserve">Vaccines and Immunity Theme at the Medical Research Council Unit at the London School of Hygiene and Tropical Medicine, The Gambia(UK Research &amp; Innovation (UKRI)Medical Research Council UK (MRC)); UK Medical Research Council (MRC)(UK Research &amp; Innovation (UKRI)Medical Research Council UK (MRC)); UK Department for International Development (DFID); European Union(European Union (EU)); Newcastle University, United Kingdom; Wellcome Trust Intermediate Clinical Fellowship(Wellcome Trust)</t>
  </si>
  <si>
    <t xml:space="preserve">This study was funded by Vaccines and Immunity Theme at the Medical Research Council Unit at the London School of Hygiene and Tropical Medicine, The Gambia (MC_UP_A900/1122). This research is jointly funded by the UK Medical Research Council (MRC) and the UK Department for International Development (DFID) under the MRC/DFID Concordat agreement and is also part of the Second European and Developing Countries Clinical Trial Partnership Programme supported by the European Union, and Newcastle University, United Kingdom (MRes bursary to K.G.). T.d.S. is funded by a Wellcome Trust Intermediate Clinical Fellowship (110058/Z/15/Z).</t>
  </si>
  <si>
    <t xml:space="preserve">10.1097/INF.0000000000002761</t>
  </si>
  <si>
    <t xml:space="preserve">NU8YS</t>
  </si>
  <si>
    <t xml:space="preserve">WOS:000573923900024</t>
  </si>
  <si>
    <t xml:space="preserve">Li, HX; Wei, QD; Tan, AJ; Wang, LY</t>
  </si>
  <si>
    <t xml:space="preserve">Li, Hongxia; Wei, Quande; Tan, Aijun; Wang, Leyi</t>
  </si>
  <si>
    <t xml:space="preserve">Epidemiological analysis of respiratory viral etiology for influenza-like illness during 2010 in Zhuhai, China</t>
  </si>
  <si>
    <t xml:space="preserve">Influenza-like illness (ILI); Respiratory viral pathogens; Epidemiological analysis; Meteorology</t>
  </si>
  <si>
    <t xml:space="preserve">HUMAN METAPNEUMOVIRUS INFECTION; SYNCYTIAL VIRUS; YOUNG-CHILDREN; ADENOVIRUS; INFANTS; SURVEILLANCE; DISEASE; PCR; HOSPITALIZATIONS; DIAGNOSIS</t>
  </si>
  <si>
    <t xml:space="preserve">Background: Influenza-like illnesses (ILI), a subset of acute respiratory infections (ARI), are a significant source of morbidity and mortality worldwide. ILI can be caused by numerous pathogens, however; there is limited information on the etiology and epidemiology of ILI in China. Methods: We performed a one-year surveillance study (2010) of viral etiology causing ILI and investigated the influence of climate on outbreaks of ILI attributed to viruses at the Outpatient Department of Zhuhai Municipal People's Hospital in Zhuhai, China. Results: Of the 337,272 outpatients who sought attention in the Outpatient Department of Zhuhai Municipal People's Hospital in 2010, 3,747 (1.11%) presented with ILI. Of these patients presenting with ILI, 24.66% (924/3,747) had available samples and were enrolled in this study. At least one respiratory virus was identified in 411 patients (44.48%) and 42 (4.55%) were co-infected with two viruses. In patients co-infected with two viruses, respiratory syncytial virus (RSV) was detected in 50% (21/42). Among common viral pathogens detected, significant differences in age distributions were observed in seasonal influenza virus A (sFulA, H3N2) and B (sFluB), pandemic H1N1 2009 influenza viruses (H1N1pdm09), RSV, and adenovirus (ADV). Infections with sFluA (H3N2), sFluB, RSV, and human metapneumovirus (HMPV) had characteristic seasonal patterns. The incidences of sFluA (H3N2), ADV, and RSV correlated with air temperature. Alternatively, the incidence of sFluB correlated with relative air humidity. Conclusions: These results demonstrate that a wide range of respiratory viral pathogens are circulating in Zhuhai city. This information needs to be considered by clinicians when treating patients presenting with ILI.</t>
  </si>
  <si>
    <t xml:space="preserve">[Li, Hongxia; Wei, Quande; Tan, Aijun] Zhuhai Ctr Dis Control &amp; Prevent, Microbiol Lab, Guangzhou 519000, Guangdong, Peoples R China; [Wang, Leyi] Cincinnati Childrens Hosp Med Ctr, Div Infect Dis, Cincinnati, OH 45229 USA</t>
  </si>
  <si>
    <t xml:space="preserve">Li, HX (corresponding author), Zhuhai Ctr Dis Control &amp; Prevent, Microbiol Lab, Guangzhou 519000, Guangdong, Peoples R China.</t>
  </si>
  <si>
    <t xml:space="preserve">hongxiast@sina.cn</t>
  </si>
  <si>
    <t xml:space="preserve">Wang, Leyi/AAB-4248-2019</t>
  </si>
  <si>
    <t xml:space="preserve">Wang, Leyi/0000-0001-5813-9505</t>
  </si>
  <si>
    <t xml:space="preserve">Chinese Center for Disease Control and Prevention (CDC); Zhuhai Health Bureau [2010092]</t>
  </si>
  <si>
    <t xml:space="preserve">Chinese Center for Disease Control and Prevention (CDC); Zhuhai Health Bureau</t>
  </si>
  <si>
    <t xml:space="preserve">We would like to express our gratitude to Lisha Zhu for assistance with meteorological data. We thank Yong Tian for laboratory support in the execution of the study. We thank Christina Quigley for critical reviews of the manuscript. This study was supported in part by a Chinese Center for Disease Control and Prevention (CDC) initiated project to identify influenza virus infection during 2010 and funded by the Zhuhai Health Bureau (grant number 2010092).</t>
  </si>
  <si>
    <t xml:space="preserve">10.1186/1743-422X-10-143</t>
  </si>
  <si>
    <t xml:space="preserve">144XS</t>
  </si>
  <si>
    <t xml:space="preserve">WOS:000318976200001</t>
  </si>
  <si>
    <t xml:space="preserve">Yavarian, J; Shafiei-Jandaghi, NZ; Rahimi-Foroushani, A; Shadab, A; Ghamarchehreh, M; Mokhtari-Azad, T</t>
  </si>
  <si>
    <t xml:space="preserve">Yavarian, Jila; Shafiei-Jandaghi, Nazanin Zahra; Rahimi-Foroushani, Abbas; Shadab, Azadeh; Ghamarchehreh, Masoumeh; Mokhtari-Azad, Talat</t>
  </si>
  <si>
    <t xml:space="preserve">Human Metapneumovirus and Influenza Viruses in Children with Severe Acute Respiratory Infections in Iran</t>
  </si>
  <si>
    <t xml:space="preserve">Influenza Viruses; Human Metapneumovirus; Severe Acute Respiratory Infections; Children; Iran</t>
  </si>
  <si>
    <t xml:space="preserve">TRACT INFECTIONS; SYNCYTIAL VIRUS; HOSPITALIZED CHILDREN; YOUNG-CHILDREN; ILLNESS; DISEASE; ADULTS; PREVALENCE; SYMPTOMS; INFANTS</t>
  </si>
  <si>
    <t xml:space="preserve">Background: Influenza viruses and human metapneumovirus (HMPV) are among the common causes of acute respiratory tract infections in children worldwide. Objectives: The aim of this study was to determine the frequency of HMPV and influenza viruses in children less than 5 years old hospitalized with severe acute respiratory infections (SARI) during 2013-2016. Methods: For this study, 770 nasopharyngeal swabs from children with SARIs were tested for detection of influenza viruses by One step real time RT-PCR method in National Influenza Center, Tehran, Iran. Influenza virus negative samples were tested for HMPV using One step RT-PCR kit. Results: Influenza viruses were detected in 263 of 770 specimens (34%) with influenza A/H1N1 being the prominent subtype. All 507 influenza negative samples were tested for HMPV. HMPV was detected in 7 (1.4%) cases. Conclusion: In this research two different viruses were detected in 35% of cases, the remaining 65% of the patients might have been infected by other viruses or bacteria. Active surveillance studies with large sample size in different geographical regions and population based studies besides hospitalized patients with SARIs are needed to obtain more data about respiratory infections epidemiology.</t>
  </si>
  <si>
    <t xml:space="preserve">[Yavarian, Jila; Shafiei-Jandaghi, Nazanin Zahra; Shadab, Azadeh; Ghamarchehreh, Masoumeh; Mokhtari-Azad, Talat] Univ Tehran Med Sci, Sch Publ Hlth, Virol Dept, Poursina St,POB 14155-6446, Tehran, Iran; [Rahimi-Foroushani, Abbas] Univ Tehran Med Sci, Sch Publ Hlth, Epidemiol &amp; Biostat Dept, Tehran, Iran</t>
  </si>
  <si>
    <t xml:space="preserve">Tehran University of Medical Sciences; Tehran University of Medical Sciences</t>
  </si>
  <si>
    <t xml:space="preserve">Mokhtari-Azad, T (corresponding author), Univ Tehran Med Sci, Sch Publ Hlth, Virol Dept, Poursina St,POB 14155-6446, Tehran, Iran.</t>
  </si>
  <si>
    <t xml:space="preserve">mokhtari@tums.ac.ir</t>
  </si>
  <si>
    <t xml:space="preserve">Jandaghi, Nazanin/AAD-6631-2020; Yavarian, Jila/A-3212-2019</t>
  </si>
  <si>
    <t xml:space="preserve">Tehran University of Medical Sciences [28370]</t>
  </si>
  <si>
    <t xml:space="preserve">We express our thanks to our colleagues in Virology Department, School of Public Health, Tehran University of Medical Sciences. We also say thanks to Dr B. Khansari Nejad for HMPV positive control. This study was supported by Tehran University of Medical Sciences, grant No. 28370.</t>
  </si>
  <si>
    <t xml:space="preserve">e60948</t>
  </si>
  <si>
    <t xml:space="preserve">10.5812/ijp.60948</t>
  </si>
  <si>
    <t xml:space="preserve">GA1VP</t>
  </si>
  <si>
    <t xml:space="preserve">WOS:000428106000012</t>
  </si>
  <si>
    <t xml:space="preserve">Chongyu, T; Guanglin, L; Fang, S; Zhuoya, D; Hao, Y; Cong, L; Xinyu, L; Wei, H; Lingyun, T; Yan, N; Penghui, Y</t>
  </si>
  <si>
    <t xml:space="preserve">Chongyu, Tian; Guanglin, Lei; Fang, Sun; Zhuoya, Deng; Hao, Yang; Cong, Li; Xinyu, Li; Wei, He; Lingyun, Tan; Yan, Niu; Penghui, Yang</t>
  </si>
  <si>
    <t xml:space="preserve">A chimeric influenza virus vaccine expressing fusion protein epitopes induces protection from human metapneumovirus challenge in mice</t>
  </si>
  <si>
    <t xml:space="preserve">influenza virus; RG technology; HMPV; fusion protein; HMPV vaccine</t>
  </si>
  <si>
    <t xml:space="preserve">RESPIRATORY SYNCYTIAL VIRUS; IMMUNITY; INFECTION; DISEASE</t>
  </si>
  <si>
    <t xml:space="preserve">Human metapneumovirus (HMPV) is a common virus associated with acute respiratory distress syndrome in pediatric patients. There are no HMPV vaccines or therapeutics that have been approved for prevention or treatment. In this study, we constructed a novel recombinant influenza virus carrying partial HMPV fusion protein (HMPV-F), termed rFLU-HMPV/F-NS, utilizing reverse genetics, which contained (HMPV-F) in the background of NS segments of influenza virus A/PuertoRico/8/34(PR8). The morphological characteristics of rFLU-HMPV/F-NS were consistent with the wild-type flu virus. Additionally, immunofluorescence results showed that fusion proteins in the chimeric rFLU-HMPV/F-NS could work well, and the virus could be stably passaged in SPF chicken embryos. Furthermore, intranasal immunization with rFLU-HMPV/F-NS in BALB/c mice induced robust humoral, mucosal and Th1-type dominant cellular immune responses in vivo. More importantly, we discovered that rFLU-HMPV/F-NS afforded significant protective efficacy against the wild-type HMPV and influenza virus challenge, with significantly attenuated pathological changes and reduced viral titers in the lung tissues of immunized mice. Collectively, these findings demonstrated that chimeric recombinant rFLU-HMPV/F-NS as a promising HMPV candidate vaccine has potentials for the development of HMPV vaccine.</t>
  </si>
  <si>
    <t xml:space="preserve">[Chongyu, Tian; Guanglin, Lei; Fang, Sun; Zhuoya, Deng; Hao, Yang; Cong, Li; Penghui, Yang] Chinese Peoples Liberat Army Gen Hosp, Med Ctr 5, Beijing, Peoples R China; [Chongyu, Tian] Shanxi Agr Univ, Coll Anim Sci &amp; Vet Med, Taigu, Peoples R China; [Xinyu, Li; Wei, He; Lingyun, Tan] Anhui Med Univ, Sch Basic Med Sci, Dept Immunol, Hefei, Peoples R China; [Yan, Niu; Penghui, Yang] Inner Mongolia Med Univ, Hohhot, Peoples R China; [Penghui, Yang] Chinese Peoples Liberat Army Gen Hosp, Med Ctr 1, Beijing, Peoples R China</t>
  </si>
  <si>
    <t xml:space="preserve">Chinese People's Liberation Army General Hospital; Fifth Medical Center of Chinese PLA General Hospital; Shanxi Agricultural University; Anhui Medical University; Inner Mongolia Medical University; Chinese People's Liberation Army General Hospital</t>
  </si>
  <si>
    <t xml:space="preserve">Penghui, Y (corresponding author), Chinese Peoples Liberat Army Gen Hosp, Med Ctr 5, Beijing, Peoples R China.;Penghui, Y (corresponding author), Inner Mongolia Med Univ, Hohhot, Peoples R China.;Penghui, Y (corresponding author), Chinese Peoples Liberat Army Gen Hosp, Med Ctr 1, Beijing, Peoples R China.</t>
  </si>
  <si>
    <t xml:space="preserve">ypenghuiamms@hotmail.com</t>
  </si>
  <si>
    <t xml:space="preserve">wei, he/KCY-2550-2024</t>
  </si>
  <si>
    <t xml:space="preserve">National Key Research and Development Program of China10.13039/501100012166</t>
  </si>
  <si>
    <t xml:space="preserve">DEC 14</t>
  </si>
  <si>
    <t xml:space="preserve">10.3389/fmicb.2022.1012873</t>
  </si>
  <si>
    <t xml:space="preserve">DJ4X1</t>
  </si>
  <si>
    <t xml:space="preserve">WOS:001131666800001</t>
  </si>
  <si>
    <t xml:space="preserve">Korsun, N; Teodosieva, A; Angelova, S</t>
  </si>
  <si>
    <t xml:space="preserve">Korsun, Neli; Teodosieva, Ani; Angelova, Svetla</t>
  </si>
  <si>
    <t xml:space="preserve">Etiological Role of Ortho- and Paramyxoviruses in Acute Respiratory Tract Infections Among Children Aged &lt; 4 Years in Bulgaria</t>
  </si>
  <si>
    <t xml:space="preserve">influenza virus; respiratory-syncytial virus; metapneumovirus; parainfluenza virus; bronchiolitis; pneumonia</t>
  </si>
  <si>
    <t xml:space="preserve">HUMAN METAPNEUMOVIRUS INFECTION; SYNCYTIAL VIRUS; YOUNG-CHILDREN; VIRAL-INFECTIONS; INFLUENZA; MANIFESTATIONS; BRONCHIOLITIS; COMPLICATIONS; EPIDEMIOLOGY; PROGRESS</t>
  </si>
  <si>
    <t xml:space="preserve">Background: Influenza viruses (family Orthomyxoviridae); respiratory-syncytial virus (RSV), human metapneumovirus (hMPV), and parainfluenza viruses (hPIV) type 1, 2 and 3 (family Paramyxoviridae) are among the most common causes of acute respiratory tract infections (ARTI) in infants and young children. The aim of this study was to determine the contribution of these viruses in cases of ARTI requiring medical attention among children aged &lt; 4 years during the 2012/13 and 2013/14 winter seasons in Bulgaria. Methods: A total of 416 nasopharyngeal swabs of children aged &lt;4 years presenting ARTI from different regions of country were tested for influenza MB viruses by real-time RT-PCR. Influenza virus negative samples were examined by individual real-time RT-PCR using specific primers/probes for RSV, hMPV, and hPIV1, 2, and 3. Results: Of the 416 specimens tested, 129 (31%) were influenza virus positive. Influenza A(H1N1)pdm09, A(H3N2), and type B viruses were found in 61(14.7%), 14(3.4%), and 49 (11.8%) of samples, respectively. Of the 287 influenza virus negative specimens, paramyxoviruses - RSV, hMPV, hPIV1, hPIV2, and hPIV3 were detected in 55(19.2%), 28(9.8%), 17 (5,9%), 5 (1,7%), and 14(4.9%) samples, respectively. RSV were the most frequently identified paramyxovirus (p &lt; 0.05). Overall, 15 (6.4%) patients were co-infected with two viruses. The contribution of respiratory viruses in cases of bronchiolitis, pneumonia, and neurological complications was analyzed. Conclusions: Influenza viruses and RSV were the most frequent viral pathogens causing ARTI among children &lt; 4 years of age during the 2012/13 and 2013/14 winter seasons in Bulgaria.</t>
  </si>
  <si>
    <t xml:space="preserve">[Korsun, Neli; Teodosieva, Ani; Angelova, Svetla] NCIPD, Dept Virol, Natl Lab Influenza &amp; ARD, Sofia 1233, Bulgaria</t>
  </si>
  <si>
    <t xml:space="preserve">Ministry of Health Bulgaria; National Centre of Infectious &amp; Parasitic Diseases</t>
  </si>
  <si>
    <t xml:space="preserve">Korsun, N (corresponding author), NCIPD, Dept Virol, Natl Lab Influenza &amp; ARD, 44A Stoletov Blvd, Sofia 1233, Bulgaria.</t>
  </si>
  <si>
    <t xml:space="preserve">Korsun, Neli/0000-0002-3188-2283; ANGELOVA, SVETLA/0000-0002-9119-6373</t>
  </si>
  <si>
    <t xml:space="preserve">3-4</t>
  </si>
  <si>
    <t xml:space="preserve">10.7754/Clin.Lab.2014.140804</t>
  </si>
  <si>
    <t xml:space="preserve">CG1BU</t>
  </si>
  <si>
    <t xml:space="preserve">WOS:000353008800002</t>
  </si>
  <si>
    <t xml:space="preserve">Wang, D; Chen, LL; Ding, YF; Zhang, J; Hua, J; Geng, Q; Ya, XR; Zeng, SS; Wu, J; Jiang, YW; Zhang, T; Zhao, GM</t>
  </si>
  <si>
    <t xml:space="preserve">Wang, Dan; Chen, Liling; Ding, Yunfang; Zhang, Jun; Hua, Jun; Geng, Qian; Ya, Xuerong; Zeng, Shanshan; Wu, Jing; Jiang, Yanwei; Zhang, Tao; Zhao, Genming</t>
  </si>
  <si>
    <t xml:space="preserve">Viral Etiology of Medically Attended Influenza-Like Illnesses in Children Less Than 5 Years Old in Suzhou, China, 2011-2014</t>
  </si>
  <si>
    <t xml:space="preserve">influenza virus; respiratory syncytial virus; parainfluenza virus</t>
  </si>
  <si>
    <t xml:space="preserve">CLINICAL CHARACTERISTICS; HOSPITALIZED CHILDREN; RESPIRATORY VIRUS; HUMAN BOCAVIRUS; YOUNG-CHILDREN; CORONAVIRUS; INFECTIONS</t>
  </si>
  <si>
    <t xml:space="preserve">Limited information is available on the non-influenza etiology and epidemiology of influenza-like illness (ILI) in China. From April 2011 to March 2014, we collected oropharyngeal swabs from children less than 5 years of age with symptoms of ILI who presented to the outpatient departments of Suzhou University Affiliated Children's Hospital (SCH). We used reverse transcription polymerase chain reaction (rt-PCR) or PCR to detect 11 respiratory viruses. Among 3,662 enrolled ILI patients, 1,292 (35.3%) tested positive for at least one virus. Influenza virus (16.9%) was detected most frequently (influenza A 7.4%, influenza B 9.5%), followed by respiratory syncytial virus (RSV) (5.6%), parainfluenza virus (PIV) types 1-4 (4.8%), human bocavirus (HBoV) (3.8%), human metapneumovirus (HMPV) (3.5%), and adenovirus (ADV) (3.0%). Co-infections were identified in 108 (2.9%) patients. Influenza virus predominantly circulated in January-March and June-July. The 2013-2014 winter peaks of RSV and influenza overlapped. Compared with other virus positive cases, influenza positive cases were more likely to present with febrile seizure, and RSV positive cases were more likely to present with cough and wheezing, and were most frequently diagnosed with pneumonia. These data provide a better understanding of the viral etiology of ILI among children less than 5 years of age in Suzhou, China. Influenza is not only the most frequently identified pathogen but it is also the only vaccine preventable illness among the 11 pathogens tested. Such findings suggest the potential value of exploring value of influenza vaccination among this influenza vaccination target group. (C) 2016 Wiley Periodicals, Inc.</t>
  </si>
  <si>
    <t xml:space="preserve">[Wang, Dan; Geng, Qian; Zeng, Shanshan; Wu, Jing; Jiang, Yanwei; Zhang, Tao; Zhao, Genming] Fudan Univ, Sch Publ Hlth, Dept Epidemiol, Key Lab Publ Hlth Safety,Minist Educ, Shanghai, Peoples R China; [Chen, Liling; Zhang, Jun; Ya, Xuerong] Suzhou Ctr Dis Prevent &amp; Control, Suzhou, Peoples R China; [Ding, Yunfang; Hua, Jun] Suzhou Univ, Affiliated Childrens Hosp, Suzhou, Peoples R China</t>
  </si>
  <si>
    <t xml:space="preserve">Fudan University</t>
  </si>
  <si>
    <t xml:space="preserve">Zhang, T; Zhao, GM (corresponding author), Fudan Univ, Sch Publ Hlth, Dept Epidemiol, Key Lab Publ Hlth Safety,Minist Educ, Shanghai, Peoples R China.</t>
  </si>
  <si>
    <t xml:space="preserve">tzhang@shmu.edu.cn; gmzhao@shmu.edu.cn</t>
  </si>
  <si>
    <t xml:space="preserve">ding, yun/HSB-4834-2023</t>
  </si>
  <si>
    <t xml:space="preserve">Disease Control and Prevention; Shanghai Leading Public Health Discipline Project [12GWZX0101]; [5U2GGH000018]</t>
  </si>
  <si>
    <t xml:space="preserve">Disease Control and Prevention; Shanghai Leading Public Health Discipline Project;</t>
  </si>
  <si>
    <t xml:space="preserve">Grant sponsor: Cooperative Agreement; Grant number: 5U2GGH000018; Grant sponsor: Disease Control and Prevention; Grant sponsor: Shanghai Leading Public Health Discipline Project; Grant number: 12GWZX0101</t>
  </si>
  <si>
    <t xml:space="preserve">10.1002/jmv.24480</t>
  </si>
  <si>
    <t xml:space="preserve">WOS:000383669500009</t>
  </si>
  <si>
    <t xml:space="preserve">Ye, CC; Zhu, WP; Yu, JX; Li, ZJ; Fu, YF; Lan, YJ; Lai, SJ; Wang, YP; Pan, LF; Sun, Q; Zhao, GM</t>
  </si>
  <si>
    <t xml:space="preserve">Ye, Chuchu; Zhu, Weiping; Yu, Jianxing; Li, Zhongjie; Fu, Yifei; Lan, Yajia; Lai, Shengjie; Wang, Yuanping; Pan, Lifeng; Sun, Qiao; Zhao, Genming</t>
  </si>
  <si>
    <t xml:space="preserve">Viral pathogens among elderly people with acute respiratory infections in Shanghai, China: Preliminary results from a laboratory-based surveillance, 2012-2015</t>
  </si>
  <si>
    <t xml:space="preserve">influenza virus; public policy; respiratory track</t>
  </si>
  <si>
    <t xml:space="preserve">INFLUENZA VACCINE EFFECTIVENESS; COMMUNITY-ACQUIRED PNEUMONIA; UNITED-STATES; POPULATION; ILLNESS; VIRUSES; BURDEN; SEASON; TRACT</t>
  </si>
  <si>
    <t xml:space="preserve">Acute respiratory infections (ARIs), with viral pathogens as the major contributors, are the most common illnesses worldwide, and increase the morbidity and mortality among the elderly population. The clinical and pathological features of elderly people with ARIs need to be identified for disease intervention. From January 1, 2012 through December 31, 2015, respiratory specimens from patients above 60 years old with ARIs were collected from the outpatient and inpatient settings of six sentinel hospitals in Pudong New Area. Each specimen was tested via multiplex polymerase chain reaction (PCR) for eight target viral etiologies including influenza, human rhinovirus (HRV), human para-influenza virus (PIV), adenovirus (ADV), respiratory syncytial virus (RSV), human metapneumovirus (hMPV), human coronavirus (hCoVs), and human bocavirus (hBoV). A total of 967 elderly patients with ARIs were enrolled, including 589 (60.91%) males, and the median age was 73 years old. 306 (31.64%) patients were tested positive for any one of the eight viruses, including 276 single infections and 30 coinfections. Influenza was the predominant virus (14.17%, 137/967), detected from 21.35% (76/356) of the outpatients and 9.98% (61/611) of the inpatients. Influenza infections presented two annual seasonal peaks during winter and summer. Compared with non-influenza patients, those with influenza were more likely to have fever, cough, sore throat, and fatigue. This study identified influenza as the leading viral pathogen among elderly with ARIs, and two seasonal epidemic peaks were observed in Shanghai. An influenza vaccination strategy needs to be advocated for the elderly population.</t>
  </si>
  <si>
    <t xml:space="preserve">[Ye, Chuchu; Zhao, Genming] Fudan Univ, Sch Publ Hlth, Shanghai, Peoples R China; [Ye, Chuchu; Zhu, Weiping; Fu, Yifei; Wang, Yuanping; Pan, Lifeng; Sun, Qiao] Shanghai Pudong New Area Ctr Dis Control &amp; Preven, Res Base, CDC, Key Lab Surveillance &amp; Early Warning Infect Dis C, Shanghai, Peoples R China; [Yu, Jianxing] Chinese Acad Med Sci, Inst Pathogen Biol, Beijing, Peoples R China; [Yu, Jianxing] Peking Union Med Coll, Beijing, Peoples R China; [Li, Zhongjie; Lai, Shengjie] Chinese Ctr Dis Control &amp; Prevent, Key Lab Surveillance &amp; Early Warning Infect Dis, Beijing, Peoples R China; [Lan, Yajia] Sichuan Univ, West China Sch Publ Hlth, Key Lab Surveillance &amp; Early Warning Infect Dis C, Res Base,CDC, Chengdu, Sichuan, Peoples R China; [Lai, Shengjie] Univ Southampton, Dept Geog &amp; Environm, Southampton, Hants, England</t>
  </si>
  <si>
    <t xml:space="preserve">Fudan University; Shanghai Center for Disease Control &amp; Prevention; Chinese Academy of Medical Sciences - Peking Union Medical College; Institute of Pathogen Biology - CAMS; Chinese Academy of Medical Sciences - Peking Union Medical College; Peking Union Medical College; Chinese Center for Disease Control &amp; Prevention; Sichuan University; University of Southampton</t>
  </si>
  <si>
    <t xml:space="preserve">Zhao, GM (corresponding author), Fudan Univ, Sch Publ Hlth, Shanghai, Peoples R China.;Sun, Q (corresponding author), Shanghai Pudong New Area Ctr Dis Control &amp; Preven, Res Base, CDC, Key Lab Surveillance &amp; Early Warning Infect Dis C, Shanghai, Peoples R China.</t>
  </si>
  <si>
    <t xml:space="preserve">qsun@pdcdc.sh.cn; gmzhao@shmu.edu.cn</t>
  </si>
  <si>
    <t xml:space="preserve">Pan, Lifeng/KCL-4047-2024; Ye, Chuchu/Y-6147-2019; Li, Zhongjie/J-1474-2018; Li, Li/AEM-3636-2022</t>
  </si>
  <si>
    <t xml:space="preserve">YU, Jianxing/0000-0002-9696-2460; Lai, Shengjie/0000-0001-9781-8148; Ye, Chuchu/0000-0003-4461-4111</t>
  </si>
  <si>
    <t xml:space="preserve">Key Discipline Construction of Health System in Pudong New Area [PWZx2014-14]</t>
  </si>
  <si>
    <t xml:space="preserve">Key Discipline Construction of Health System in Pudong New Area</t>
  </si>
  <si>
    <t xml:space="preserve">Key Discipline Construction of Health System in Pudong New Area, Grant number: PWZx2014-14</t>
  </si>
  <si>
    <t xml:space="preserve">10.1002/jmv.24751</t>
  </si>
  <si>
    <t xml:space="preserve">FF7YA</t>
  </si>
  <si>
    <t xml:space="preserve">Bronze, Green Accepted, Green Published</t>
  </si>
  <si>
    <t xml:space="preserve">WOS:000409231100003</t>
  </si>
  <si>
    <t xml:space="preserve">Meyer, D; Sielaff, F; Hammami, M; Böttcher-Friebertshäuser, E; Garten, W; Steinmetzer, T</t>
  </si>
  <si>
    <t xml:space="preserve">Meyer, Daniela; Sielaff, Frank; Hammami, Maya; Boettcher-Friebertshaeuser, Eva; Garten, Wolfgang; Steinmetzer, Torsten</t>
  </si>
  <si>
    <t xml:space="preserve">Identification of the first synthetic inhibitors of the type II transmembrane serine protease IMPRSS2 suitable for inhibition of influenza virus activation</t>
  </si>
  <si>
    <t xml:space="preserve">BIOCHEMICAL JOURNAL</t>
  </si>
  <si>
    <t xml:space="preserve">influenza virus; protease inhibitor; synthetic substrate; transmembrane serine proteinase 2 (TMPRSS2); type II transmembrane serine protease (TTSP)</t>
  </si>
  <si>
    <t xml:space="preserve">CORONAVIRUS SPIKE PROTEIN; PROSTATE-CANCER CELLS; TRYPSIN-LIKE PROTEASE; FACTOR-XA INHIBITORS; THROMBIN INHIBITOR; HIGHLY POTENT; HUMAN METAPNEUMOVIRUS; SELECTIVE INHIBITORS; ALPHA-CHYMOTRYPSIN; EPITHELIAL-CELLS</t>
  </si>
  <si>
    <t xml:space="preserve">TMPRSS2 (transmembrane serine proteinase 2) is a multidomain type II transmembrane senile protease that cleaves the surface glycoprotein HA (haemagglutinin) of influenza viruses with a monobasic cleavage site, which is a prerequisite for virus fusion and propagation. Furthermore, it, activates the fusion protein F of the human metapneumovirus and the spike protein S of the SARS-CoV (severe acute respiratory syndrome coronavirus). Increased TMPRSS2 expression was also described in several tumour entities. Therefore TMPRSS2 emerged as a potential target for drug design. The catalytic domain of TMPRSS2 was expressed in Escherichia coli and used for an inhibitor screen with previously synthesized inhibitors of various trypsin-like serine proteases. Two inhibitor types were identified which inhibit TMPRSS2 in the nanomolar range. The first series comprises substrate analogue inhibitors containing a 4-amidinobenzylamide moiety at the P1 position, whereby some of these analogues possess inhibition constants of approximately 20 nM. An improved potency was found for a second type derived from sulfonylated 3-amindinophenylalanylamide derivatives. The most potent derivative of this series inhibits TMPRSS2 with a K-i value of 0.9 nM and showed an efficient blockage of influenza virus propagation in human airway epithelial cells. On the basis of the inhibitor studies, a series of new fluorogenic substrates containing a D-arginine residue at the P3 position was synthesized, some of them were efficiently cleaved by TMPRSS2.</t>
  </si>
  <si>
    <t xml:space="preserve">[Meyer, Daniela; Sielaff, Frank; Hammami, Maya; Steinmetzer, Torsten] Univ Marburg, Inst Pharmaceut Chem, D-35037 Marburg, Germany; [Boettcher-Friebertshaeuser, Eva; Garten, Wolfgang] Univ Marburg, Inst Virol, D-35043 Marburg, Germany</t>
  </si>
  <si>
    <t xml:space="preserve">Philipps University Marburg; Philipps University Marburg</t>
  </si>
  <si>
    <t xml:space="preserve">Steinmetzer, T (corresponding author), Univ Marburg, Inst Pharmaceut Chem, Marbacher Weg 6, D-35037 Marburg, Germany.</t>
  </si>
  <si>
    <t xml:space="preserve">steinmetzer@uni-marburg.de</t>
  </si>
  <si>
    <t xml:space="preserve">Böttcher-Friebertshäuser, Eva/D-6266-2012</t>
  </si>
  <si>
    <t xml:space="preserve">Yousef Jameel Scholarship Fund</t>
  </si>
  <si>
    <t xml:space="preserve">M. Hammami was supported by a grant from the Yousef Jameel Scholarship Fund.</t>
  </si>
  <si>
    <t xml:space="preserve">PORTLAND PRESS LTD</t>
  </si>
  <si>
    <t xml:space="preserve">THIRD FLOOR, EAGLE HOUSE, 16 PROCTER STREET, LONDON WC1V 6 NX, ENGLAND</t>
  </si>
  <si>
    <t xml:space="preserve">0264-6021</t>
  </si>
  <si>
    <t xml:space="preserve">BIOCHEM J</t>
  </si>
  <si>
    <t xml:space="preserve">Biochem. J.</t>
  </si>
  <si>
    <t xml:space="preserve">10.1042/BJ20130101</t>
  </si>
  <si>
    <t xml:space="preserve">153XJ</t>
  </si>
  <si>
    <t xml:space="preserve">WOS:000319635800016</t>
  </si>
  <si>
    <t xml:space="preserve">Pokorn, M; Jevsnik, M; Petrovec, M; Steyer, A; Mrvic, T; Grosek, S; Lusa, L; Strle, F</t>
  </si>
  <si>
    <t xml:space="preserve">Pokorn, Marko; Jevsnik, Monika; Petrovec, Miroslav; Steyer, Andrej; Mrvic, Tatjana; Grosek, Stefan; Lusa, Lara; Strle, Franc</t>
  </si>
  <si>
    <t xml:space="preserve">Respiratory and Enteric Virus Detection in Children: A Prospective Study Comparing Children With Febrile Seizures and Healthy Controls</t>
  </si>
  <si>
    <t xml:space="preserve">JOURNAL OF CHILD NEUROLOGY</t>
  </si>
  <si>
    <t xml:space="preserve">influenza virus; parainfluenza virus; respiratory syncytial virus; human coronavirus; rotavirus</t>
  </si>
  <si>
    <t xml:space="preserve">TIME RT-PCR; HUMAN BOCAVIRUS; INFLUENZA-A; HUMAN METAPNEUMOVIRUS; CORONAVIRUS HKU1; VIRAL-INFECTIONS; TRACT INFECTIONS; SYNCYTIAL VIRUS; YOUNG-CHILDREN; HONG-KONG</t>
  </si>
  <si>
    <t xml:space="preserve">The majority of children with febrile seizures have viral infections and viruses were detected in 22% to 63% of children in published studies. Using molecular methods, viruses were also detected in asymptomatic persons. A prospective study was conducted to detect respiratory and enteric viruses in 192 children with febrile seizures and compare the detection rates to those found in 156 healthy age-matched controls. A respiratory or enteric virus was detected in 72.9% of children with febrile seizures and in 51.4% of healthy controls. The viruses most strongly associated with febrile seizures were influenza, respiratory syncytial virus, parainfluenza, human coronavirus, and rotavirus. Compared to healthy controls, the age-adjusted odds ratios for nasopharynx virus positivity in febrile seizure patients were 79.4, 2.8, 7.2, and 4.9 for influenza virus, parainfluenza virus, respiratory syncytial virus, and human coronavirus, respectively, and 22.0 for rotavirus in stool. The detected virus did not influence clinical features of febrile seizure.</t>
  </si>
  <si>
    <t xml:space="preserve">[Pokorn, Marko; Mrvic, Tatjana; Strle, Franc] Univ Med Ctr Ljubljana, Dept Infect Dis, Japljeva 2, SI-1525 Ljubljana, Slovenia; [Jevsnik, Monika; Petrovec, Miroslav; Steyer, Andrej] Univ Ljubljana, Inst Microbiol &amp; Immunol, Fac Med, Ljubljana, Slovenia; [Grosek, Stefan] Univ Med Ctr Ljubljana, Dept Pediat Surg &amp; Intens Care, Ljubljana, Slovenia; [Lusa, Lara] Univ Ljubljana, Inst Biostat &amp; Med Informat, Fac Med, Ljubljana, Slovenia</t>
  </si>
  <si>
    <t xml:space="preserve">University Medical Centre Ljubljana; University of Ljubljana; University Medical Centre Ljubljana; University of Ljubljana</t>
  </si>
  <si>
    <t xml:space="preserve">Pokorn, M (corresponding author), Univ Med Ctr Ljubljana, Dept Infect Dis, Japljeva 2, SI-1525 Ljubljana, Slovenia.</t>
  </si>
  <si>
    <t xml:space="preserve">marko.pokorn@mf.uni-lj.si</t>
  </si>
  <si>
    <t xml:space="preserve">Steyer, Andrej/I-6883-2019; Pokorn, Marko/H-5701-2019; Grosek, Stefan/HGA-7309-2022; Lusa, Lara/C-6692-2015</t>
  </si>
  <si>
    <t xml:space="preserve">Lusa, Lara/0000-0002-8981-2421; Jevsnik Virant, Monika/0000-0003-1754-8964</t>
  </si>
  <si>
    <t xml:space="preserve">The authors disclosed receipt of the following financial support for the research, authorship, and/or publication of this article: This work was supported by Slovenian Research Agency (Research Programs P3-0083 and P3-0296) and institutional department funds.</t>
  </si>
  <si>
    <t xml:space="preserve">0883-0738</t>
  </si>
  <si>
    <t xml:space="preserve">1708-8283</t>
  </si>
  <si>
    <t xml:space="preserve">J CHILD NEUROL</t>
  </si>
  <si>
    <t xml:space="preserve">J. Child Neurol.</t>
  </si>
  <si>
    <t xml:space="preserve">10.1177/0883073816670820</t>
  </si>
  <si>
    <t xml:space="preserve">Clinical Neurology; Pediatrics</t>
  </si>
  <si>
    <t xml:space="preserve">Neurosciences &amp; Neurology; Pediatrics</t>
  </si>
  <si>
    <t xml:space="preserve">EP2KX</t>
  </si>
  <si>
    <t xml:space="preserve">WOS:000397213000011</t>
  </si>
  <si>
    <t xml:space="preserve">Norowitz, YM; Kohlhoff, S; Smith-Norowitz, TA</t>
  </si>
  <si>
    <t xml:space="preserve">Norowitz, Yitzchok M.; Kohlhoff, Stephan; Smith-Norowitz, Tamar A.</t>
  </si>
  <si>
    <t xml:space="preserve">Relationship of influenza virus infection to associated infections in children who present with influenza-like symptoms</t>
  </si>
  <si>
    <t xml:space="preserve">Influenza virus; Influenza virus vaccine; Primary care setting</t>
  </si>
  <si>
    <t xml:space="preserve">HUMAN METAPNEUMOVIRUS INFECTION; RESPIRATORY SYNCYTIAL VIRUS; IMMUNIZATION PRACTICES ACIP; BACTERIAL PNEUMONIA; ADVISORY-COMMITTEE; DIAGNOSIS; RECOMMENDATIONS; PREVENTION; PATHOLOGY; VACCINES</t>
  </si>
  <si>
    <t xml:space="preserve">Background: Influenza virus is a major health care burden and is associated with significant morbidity and mortality. Data on morbidity and complications (pneumonia, otitis media) related to influenza virus infection in primary care settings are limited with reports mainly obtained from hospital settings. We assessed the prevalence of complications from viral/bacterial infections in influenza-positive compared with influenza- negative children presenting with influenza-like illness (ILI) in a primary care setting. Methods: This retrospective, practice-based chart review studied complications from viral/bacterial infections in 255 children and adolescents (females/males, 1-21 years) who presented with ILI. We also compared the prevalence of complications by influenza vaccination status between influenza positive (N = 32/121) and influenza negative (N = 50/134) cases (2013-2015). Comparisons for categorical variables were made using chi-squared tests. Results: The prevalence of complications was similar in influenza positive (18/121) and influenza negative (22/134) patients (P = NS). Patients presenting with ILI, who were vaccinated, were less likely to test positive for influenza compared with patients who were not vaccinated (P = 0.064). However, prevalence of infections was similar in both groups based on vaccination status. We did not find any effect of type of health insurance on influenza status (P &gt; 0.05) Conclusion: Common respiratory complications of seasonal influenza did not differ in influenza positive compared with influenza negative patients. Vaccination with influenza vaccine may result in decreased duration or severity of symptoms, and remains an important public health intervention. In primary care settings, determination of influenza status may be an important tool for clinicians to predict the likelihood of complications.</t>
  </si>
  <si>
    <t xml:space="preserve">[Norowitz, Yitzchok M.; Kohlhoff, Stephan; Smith-Norowitz, Tamar A.] Suny Downstate Med Ctr, Dept Pediat, Div Infect Dis, Brooklyn, NY 11203 USA</t>
  </si>
  <si>
    <t xml:space="preserve">State University of New York (SUNY) System; SUNY Downstate Health Sciences University</t>
  </si>
  <si>
    <t xml:space="preserve">Smith-Norowitz, TA (corresponding author), Suny Downstate Med Ctr, Dept Pediat, Div Infect Dis, Brooklyn, NY 11203 USA.</t>
  </si>
  <si>
    <t xml:space="preserve">tamar.smith-norowitz@downstate.edu</t>
  </si>
  <si>
    <t xml:space="preserve">Kohlhoff, Stephan/0000-0001-9561-0407</t>
  </si>
  <si>
    <t xml:space="preserve">NY State Divisional Grant</t>
  </si>
  <si>
    <t xml:space="preserve">The study was funded by a NY State Divisional Grant.</t>
  </si>
  <si>
    <t xml:space="preserve">10.1186/s12879-016-1642-8</t>
  </si>
  <si>
    <t xml:space="preserve">DO7GT</t>
  </si>
  <si>
    <t xml:space="preserve">WOS:000377951100003</t>
  </si>
  <si>
    <t xml:space="preserve">van Beek, J; Veenhoven, RH; Bruin, JP; van Boxtel, RAJ; de Lange, MMA; Meijer, A; Sanders, EAM; Rots, NY; Luytjes, W</t>
  </si>
  <si>
    <t xml:space="preserve">van Beek, Josine; Veenhoven, Reinier H.; Bruin, Jacob P.; van Boxtel, Renee A. J.; de Lange, Marit M. A.; Meijer, Adam; Sanders, Elisabeth A. M.; Rots, Nynke Y.; Luytjes, Willem</t>
  </si>
  <si>
    <t xml:space="preserve">Influenza-like Illness Incidence Is Not Reduced by Influenza Vaccination in a Cohort of Older Adults, Despite Effectively Reducing Laboratory-Confirmed Influenza Virus Infections</t>
  </si>
  <si>
    <t xml:space="preserve">influenza virus; influenza virus infection; influenza-like illness; older adults; vaccination</t>
  </si>
  <si>
    <t xml:space="preserve">RESPIRATORY SYNCYTIAL VIRUS; ELDERLY-PEOPLE; HAEMOPHILUS-INFLUENZAE; VIRAL-INFECTIONS; CONTROLLED-TRIAL; COMMUNITY; NETHERLANDS; A(H1N1); NETWORK; TIME</t>
  </si>
  <si>
    <t xml:space="preserve">Background. Data on the relative contribution of influenza virus and other respiratory pathogens to respiratory infections in community-dwelling older adults (&gt;= 60 years) are needed. Methods. A prospective observational cohort study was performed in the Netherlands during 2 winters. Nasopharyngeal and oropharyngeal swabs were collected during influenza-like illness (ILI) episodes and from controls. Viruses and bacteria were identified by multiplex ligation-dependent probe amplification assay and conventional bacterial culture. Results. The ILI incidence in the consecutive seasons was 7.2% and 11.6%, and influenza virus caused 18.9% and 34.2% of ILI episodes. Potential pathogen were detected in 80% of the ILI events with influenza virus, coronaviruses, rhinoviruses, human metapneumovirus, respiratory syncytial virus, parainfluenza viruses, and Haemophilus influenzae being the most common. Influenza vaccination reduced influenza virus infection by 73% (95% confidence interval [CI], 26%-90%) and 51% (95% CI, 7%-74%) in ILI patients. However, ILI incidence was similar between vaccinated (7.6% and 10.8%) and nonvaccinated (4.2% and 11.4%) participants in 2011-2012 and 2012-2013, respectively (P &gt;.05). Conclusions. Influenza virus is a frequent pathogen in older adults with ILI. Vaccination reduces the number of influenza virus infections but not the overall number of ILI episodes: other pathogens fill the gap. We suggest the existence of a pool of individuals with high susceptibility to respiratory infections.</t>
  </si>
  <si>
    <t xml:space="preserve">[van Beek, Josine; van Boxtel, Renee A. J.; de Lange, Marit M. A.; Meijer, Adam; Sanders, Elisabeth A. M.; Rots, Nynke Y.; Luytjes, Willem] Natl Inst Publ Hlth &amp; Environm, Ctr Infect Dis Control, POB 1, NL-3720 BA Bilthoven, Netherlands; [Veenhoven, Reinier H.] Spaarne Gasthuis Acad, Hoofddorp, Netherlands; [Bruin, Jacob P.] Reg Lab Publ Hlth Kennemerland, Haarlem, Netherlands; [Sanders, Elisabeth A. M.] Wilhelmina Childrens Hosp, Univ Med Ctr, Dept Pedriatr Immunol &amp; Infect Dis, Utrecht, Netherlands</t>
  </si>
  <si>
    <t xml:space="preserve">Netherlands National Institute for Public Health &amp; the Environment; Spaarne Hospital; Wilhelmina Kinderziekenhuis; Utrecht University; Utrecht University Medical Center</t>
  </si>
  <si>
    <t xml:space="preserve">van Beek, J (corresponding author), Natl Inst Publ Hlth &amp; Environm, Ctr Infect Dis Control, POB 1, NL-3720 BA Bilthoven, Netherlands.</t>
  </si>
  <si>
    <t xml:space="preserve">josine.van.beek@rivm.nl</t>
  </si>
  <si>
    <t xml:space="preserve">Dutch Ministry of Health, Welfare and Sport</t>
  </si>
  <si>
    <t xml:space="preserve">This work was supported by the Dutch Ministry of Health, Welfare and Sport.</t>
  </si>
  <si>
    <t xml:space="preserve">10.1093/infdis/jix268</t>
  </si>
  <si>
    <t xml:space="preserve">FG6TX</t>
  </si>
  <si>
    <t xml:space="preserve">WOS:000410526900005</t>
  </si>
  <si>
    <t xml:space="preserve">Watanabe, ASA; Carraro, E; Moreira, L; Camargo, C; Sinohara, J; Puerari, D; Guatura, S; Granato, C; Bellei, N</t>
  </si>
  <si>
    <t xml:space="preserve">Aranha Watanabe, Aripuana Sakurada; Carraro, Emerson; Moreira, Luciana; Camargo, Clarice; Sinohara, Juliana; Puerari, Diane; Guatura, Sandra; Granato, Celso; Bellei, Nancy</t>
  </si>
  <si>
    <t xml:space="preserve">Respiratory virus infections among hospitalized patients with suspected influenza A H1N1 2009 virus during the first pandemic wave in Brazil</t>
  </si>
  <si>
    <t xml:space="preserve">influenza virus; influenza A H1N1 2009 virus; rhinovirus; human metapneumovirus; human respiratory syncytial virus; respiratory viruses</t>
  </si>
  <si>
    <t xml:space="preserve">POLYMERASE-CHAIN-REACTION; CLINICAL-SAMPLES; SURVEILLANCE; TRACT; YOUNG; ASSAY</t>
  </si>
  <si>
    <t xml:space="preserve">Introduction: During the first pandemic wave of the influenza A H1N1 2009 virus, morbidity was particularly high in Brazil. Hospitalizations resulting from severe respiratory disease due to suspected influenza-like illness created an opportunity to identify other respiratory viruses causing lower respiratory infections. Objective: The purpose of this study was to assess viral etiologies among samples collected during the first pandemic wave of H1N1 2009 from hospitalized patients with suspected cases in a Brazilian Sentinel Hospital. Patients and methods: Viral etiologies were investigated in samples from 98 children and 61 adults with fever, cough and dyspnea who were admitted to Sao Paulo Sentinel Hospital with suspected H1N1 infection. Results: From August to November 2009, in 19.5% (31/159) of the samples 2009 H1N1 virus was detected with 23% (14/61) in adults (median age 25 years, range: 14-55 years) and 18.4% (17/92) in children (median age 5 years, range: 4 months - 11 years). Among the negative samples, a wide range of causative etiologic agents was identified. Human rhinovirus was the most frequent virus (23.91%) in children and human metapneumovirus (11.48%) was the second most frequent in adults, following 2009 H1N1 virus (22.95%). Conclusions: These data highlight the need to diagnose other viral infections that can co-circulate with influenza and may have been neglected by physicians as causes of severe respiratory diseases.</t>
  </si>
  <si>
    <t xml:space="preserve">[Aranha Watanabe, Aripuana Sakurada] Univ Fed Sao Paulo Unifesp, Dept Med, Clin Virol Lab, Infect Dis Unit, Sao Paulo, Brazil; [Carraro, Emerson; Moreira, Luciana; Camargo, Clarice; Sinohara, Juliana; Puerari, Diane] Univ Fed Sao Paulo, Dept Med, Infect Dis Unit, Clin Virol Lab, Sao Paulo, Brazil</t>
  </si>
  <si>
    <t xml:space="preserve">Universidade Federal de Sao Paulo (UNIFESP); Universidade Federal de Sao Paulo (UNIFESP)</t>
  </si>
  <si>
    <t xml:space="preserve">Watanabe, ASA (corresponding author), Rua Pedro Toledo 781,Andar 15, BR-04039032 Sao Paulo, Brazil.</t>
  </si>
  <si>
    <t xml:space="preserve">almasurfe@yahoo.com.br</t>
  </si>
  <si>
    <t xml:space="preserve">Moreira, Luciana/A-7821-2013; Bellei, Nancy/D-8641-2016; Carraro, Emerson/G-7954-2012</t>
  </si>
  <si>
    <t xml:space="preserve">Bellei, Nancy/0000-0001-6080-5693; Carraro, Emerson/0000-0001-5420-2300</t>
  </si>
  <si>
    <t xml:space="preserve">Fundacao de Amparo a Pesquisa do Estado de Sao Paulo (FAPESP) [07/01166-9]; Coordenacao de Aperfeicoamento de Pessoal de Nivel Superior (CAPES)</t>
  </si>
  <si>
    <t xml:space="preserve">Fundacao de Amparo a Pesquisa do Estado de Sao Paulo (FAPESP)(Fundacao de Amparo a Pesquisa do Estado de Sao Paulo (FAPESP)); Coordenacao de Aperfeicoamento de Pessoal de Nivel Superior (CAPES)(Coordenacao de Aperfeicoamento de Pessoal de Nivel Superior (CAPES))</t>
  </si>
  <si>
    <t xml:space="preserve">The authors acknowledge the financial support of Fundacao de Amparo a Pesquisa do Estado de Sao Paulo (FAPESP Project number: 07/01166-9), and Coordenacao de Aperfeicoamento de Pessoal de Nivel Superior (CAPES).</t>
  </si>
  <si>
    <t xml:space="preserve">10.1590/S1413-86702011000300007</t>
  </si>
  <si>
    <t xml:space="preserve">777JY</t>
  </si>
  <si>
    <t xml:space="preserve">WOS:000291613000007</t>
  </si>
  <si>
    <t xml:space="preserve">Palani, N; Sistla, S</t>
  </si>
  <si>
    <t xml:space="preserve">Palani, Nandhini; Sistla, Sujatha</t>
  </si>
  <si>
    <t xml:space="preserve">Epidemiology and phylogenetic analysis of respiratory viruses from 2012 to 2015 - A sentinel surveillance report from union territory of Puducherry, India</t>
  </si>
  <si>
    <t xml:space="preserve">Influenza virus; Epidemiology; Surveillance; Phylogenetic analysis</t>
  </si>
  <si>
    <t xml:space="preserve">INFLUENZA-LIKE ILLNESS; HUMAN METAPNEUMOVIRUS INFECTIONS; TIME PCR ASSAYS; B GENOTYPE BA; SYNCYTIAL VIRUS; GENETIC-VARIABILITY; HUMAN CORONAVIRUSES; VIRAL-INFECTIONS; CHILDREN; BOCAVIRUS</t>
  </si>
  <si>
    <t xml:space="preserve">Background: Acute respiratory infections (ARI) are the most common illnesses affecting people of all ages worldwide. Viruses contribute to 30-70% of acute respiratory infections. Identification of these respiratory viruses is not given high priority except influenza; however, the knowledge about prevalence of non-influenza viruses, their seasonal pattern and genetic evolution have significant epidemiological value. Methods: As a part of National Influenza-like illness surveillance programme, respiratory specimens were collected children and adults with symptoms of ILI or ARI, between January 2012 and March 2015 (including SARI cases). Real-time PCR was done to identify 13 respiratory viruses. Sequencing was done for representative isolates of each virus using ABI 3730 Genetic Analyzer. Results: During the study period between January 2012 and March 2015, a total of 648 patients with symptoms of ARI were included in this study. The mean age of the patients was 20.2 years (SD = 19.13, median = 18); 292 (45.1%) were children (&lt;= 13 years) and 356 (54.9%) were adults. Respiratory viruses were identified in 44% (287/648) of all patients. Influenza accounted for the maximum number of cases- 179/648 (27.6%). Among the non-influenza viruses, RSV predominated with 34 cases (5.2%), followed by HMPV 24 (3.7%) and PIV-3 20 (3%). Four patients died due to INF A/H1N1 (2012-2, 2015-2) as a result of acute respiratory distress syndrome (ARDS) (CFR 3.7%). Among the non-influenza viruses, no particular seasonality pattern was observed over the different months of the study period. Conclusion: Antibiotic usage in treating acute respiratory infections empirically is not justified as nearly half of ARI are due to viruses; nearly 28% of them were due to influenza viruses. Among the non-influenza viruses, RSV predominated, followed by HMPV. This study is based on an active influenza surveillance initiated after 2009 pandemic influenza outbreak, in the Union territory of Puducherry which has contributed significantly to the knowledge of the burden of influenza and non-influenza viruses among children and adults. Such surveillance network has paved the way for better diagnosis and timely therapeutic interventions.</t>
  </si>
  <si>
    <t xml:space="preserve">[Palani, Nandhini] Natl Inst Res TB, Natl Reference Lab TB, Chennai 600031, Tamil Nadu, India; [Sistla, Sujatha] Jawaharlal Inst Postgrad Med Educ &amp; Res, Dept Microbiol, Pondicherry 605006, India</t>
  </si>
  <si>
    <t xml:space="preserve">Indian Council of Medical Research (ICMR); ICMR - National Institute for Research in Tuberculosis (NIRT); Jawaharlal Institute of Postgraduate Medical Education &amp; Research</t>
  </si>
  <si>
    <t xml:space="preserve">Sistla, S (corresponding author), Jawaharlal Inst Postgrad Med Educ &amp; Res, Dept Microbiol, Pondicherry 605006, India.</t>
  </si>
  <si>
    <t xml:space="preserve">bhashini.nandhu@gmail.com; sujathasistla@gmail.com</t>
  </si>
  <si>
    <t xml:space="preserve">Sistla, Sujatha/IUQ-0168-2023</t>
  </si>
  <si>
    <t xml:space="preserve">Integrated Disease Surveillance Programme (IDSP), New Delhi</t>
  </si>
  <si>
    <t xml:space="preserve">We acknowledge National Center for Disease Control (NCDC), New Delhi for technical support and Integrated Disease Surveillance Programme (IDSP), New Delhi for financial support.</t>
  </si>
  <si>
    <t xml:space="preserve">10.1016/j.cegh.2020.04.019</t>
  </si>
  <si>
    <t xml:space="preserve">OA0FP</t>
  </si>
  <si>
    <t xml:space="preserve">WOS:000577473100040</t>
  </si>
  <si>
    <t xml:space="preserve">Saxena, S; Singh, D; Zia, A; Umrao, J; Srivastava, N; Pandey, A; Singh, S; Bhattacharya, P; Kumari, R; Kushwaha, R; Dhole, TN</t>
  </si>
  <si>
    <t xml:space="preserve">Saxena, Swati; Singh, Dharamveer; Zia, Amreen; Umrao, Jyoti; Srivastava, Naveen; Pandey, Ankita; Singh, Sushma; Bhattacharya, Piyali; Kumari, Reema; Kushwaha, Ramawadh; Dhole, T. N.</t>
  </si>
  <si>
    <t xml:space="preserve">Clinical characterization of influenza A and human respiratory syncytial virus among patients with influenza like illness</t>
  </si>
  <si>
    <t xml:space="preserve">influenza virus; epidemiology; respiratory tract infection</t>
  </si>
  <si>
    <t xml:space="preserve">GROUP-B GENOTYPE; HUMAN METAPNEUMOVIRUS; GENETIC-VARIABILITY; PANDEMIC INFLUENZA; INDIA; PREVALENCE; INFECTION; CHILDREN; ADULTS; COMMUNITY</t>
  </si>
  <si>
    <t xml:space="preserve">Influenza A and Respiratory Syncytial Virus (RSV) has been recognized as a major cause of acute respiratory tract infection. H1N1 is one of the subtypes of influenza A, pandemic worldwide in July 2009, causing 18,449 deaths globally. To investigate the prevalence and clinical manifestation of the influenza A, H1N1pdm09, and RSV. Throat/nasal swab collected from the patients of all age group either outpatients/inpatients having respiratory illness from 2 to 5 days. The clinical data were recorded in a predesigned questionnaire. RNA was extracted and analyzed by real time PCR at a tertiary care center, 2009-2014. Total 4,352 samples tested for influenza A and H1N1. Out of 4,352, 32.2% (median positivity 21%; range 16-41% during 6 years) were positive for influenza A and 19% were H1N1 (median positivity 16.7%; range 8.7-23% during 6 years). Total 1653 samples were analyzed for RSV from 2011 to 2014, 12% were RSV positive (median positivity 11.35%; range 10-16.3% during 4 years). Pharyngitis, dyspnea were frequent symptoms in influenza A and H1N1 (P&lt;0.005) whereas bronchiolitis and pneumonia were commonly present in RSV (P&lt;0.005). The positivity of influenza A and H1N1 was higher in age-group 21-30, whereas RSV in infant and children. H1N1 and RSV were co-circulated and have common clinical symptoms particularly in lower age group. Therefore, laboratory confirmation is necessary for further disease prognosis. Age was an important risk factor that affects the positivity of influenza A, H1N1, and RSV. Different clinical manifestation of H1N1 and RSV will be helpful for early and accurate diagnosis. J. Med. Virol. 89:49-54, 2017. (c) 2016 Wiley Periodicals, Inc.</t>
  </si>
  <si>
    <t xml:space="preserve">[Saxena, Swati; Singh, Dharamveer; Zia, Amreen; Umrao, Jyoti; Srivastava, Naveen; Pandey, Ankita; Singh, Sushma; Bhattacharya, Piyali; Dhole, T. N.] Sanjay Gandhi Postgrad Inst Med Sci, Lucknow, Uttar Pradesh, India; [Saxena, Swati; Kumari, Reema; Kushwaha, Ramawadh] Chhatrapati Shahuji Maharaj Med Univ, Lucknow, Uttar Pradesh, India</t>
  </si>
  <si>
    <t xml:space="preserve">Sanjay Gandhi Postgraduate Institute of Medical Sciences; King George's Medical University</t>
  </si>
  <si>
    <t xml:space="preserve">Dhole, TN (corresponding author), SGPGIMS, Dept Microbiol, Lucknow, Uttar Pradesh, India.</t>
  </si>
  <si>
    <t xml:space="preserve">tndhole@gmail.com</t>
  </si>
  <si>
    <t xml:space="preserve">Kushwaha, Ram Awadh Singh/0009-0009-2532-1648; Singh, Dharam Veer/0000-0002-9236-2302</t>
  </si>
  <si>
    <t xml:space="preserve">Integrated Disease Surveillance Project (IDSP) [38/412]; Indian Council of Medical Research, Government of India, New Delhi [80/773/2012-ECD-I]</t>
  </si>
  <si>
    <t xml:space="preserve">Integrated Disease Surveillance Project (IDSP); Indian Council of Medical Research, Government of India, New Delhi(Indian Council of Medical Research (ICMR))</t>
  </si>
  <si>
    <t xml:space="preserve">Grant sponsor: Integrated Disease Surveillance Project (IDSP); Grant number: 38/412; Grant sponsor: Indian Council of Medical Research, Government of India, New Delhi; Grant number: 80/773/2012-ECD-I</t>
  </si>
  <si>
    <t xml:space="preserve">10.1002/jmv.24607</t>
  </si>
  <si>
    <t xml:space="preserve">EB2CR</t>
  </si>
  <si>
    <t xml:space="preserve">WOS:000387165200008</t>
  </si>
  <si>
    <t xml:space="preserve">Kaaijk, P; Swaans, N; Nicolaie, AM; Bruin, JP; van Boxtel, RAJ; de Lange, MMA; Meijer, A; Sanders, EAM; van Houten, MA; Rots, NY; Luytjes, W; van Beek, J</t>
  </si>
  <si>
    <t xml:space="preserve">Kaaijk, Patricia; Swaans, Niels; Nicolaie, Alina M.; Bruin, Jacob P.; van Boxtel, Renee A. J.; de Lange, Marit M. A.; Meijer, Adam; Sanders, Elisabeth A. M.; van Houten, Marianne A.; Rots, Nynke Y.; Luytjes, Willem; van Beek, Josine</t>
  </si>
  <si>
    <t xml:space="preserve">Contribution of Influenza Viruses, Other Respiratory Viruses and Viral Co-Infections to Influenza-like Illness in Older Adults</t>
  </si>
  <si>
    <t xml:space="preserve">influenza virus infection; influenza-like illness; respiratory viruses; viral co-infections; viral interference; older adults</t>
  </si>
  <si>
    <t xml:space="preserve">LABORATORY-CONFIRMED INFLUENZA; INFECTIONS; COMMUNITY; INTERFERENCE; CIRCULATION; VACCINE; SEASON; TRACT</t>
  </si>
  <si>
    <t xml:space="preserve">Influenza-like illness (ILI) can be caused by a range of respiratory viruses. The present study investigates the contribution of influenza and other respiratory viruses, the occurrence of viral co-infections, and the persistence of the viruses after ILI onset in older adults. During the influenza season 2014-2015, 2366 generally healthy community-dwelling older adults (&gt;= 60 years) were enrolled in the study. Viruses were identified by multiplex ligation-dependent probe-amplification assay in naso- and oropharyngeal swabs taken during acute ILI phase, and 2 and 8 weeks later. The ILI incidence was 10.7%, which did not differ between vaccinated and unvaccinated older adults; influenza virus was the most frequently detected virus (39.4%). Other viruses with significant contribution were: rhinovirus (17.3%), seasonal coronavirus (9.8%), respiratory syncytial virus (6.7%), and human metapneumovirus (6.3%). Co-infections of influenza virus with other viruses were rare. The frequency of ILI cases in older adults in this 2014-2015 season with low vaccine effectiveness was comparable to that of the 2012-2013 season with moderate vaccine efficacy. The low rate of viral co-infections observed, especially for influenza virus, suggests that influenza virus infection reduces the risk of simultaneous infection with other viruses. Viral persistence or viral co-infections did not affect the clinical outcome of ILI.</t>
  </si>
  <si>
    <t xml:space="preserve">[Kaaijk, Patricia; Swaans, Niels; Nicolaie, Alina M.; van Boxtel, Renee A. J.; de Lange, Marit M. A.; Meijer, Adam; Sanders, Elisabeth A. M.; Rots, Nynke Y.; Luytjes, Willem; van Beek, Josine] Natl Inst Publ Hlth &amp; Environm RIVM, Ctr Infect Dis Control, NL-3721 MA Bilthoven, Netherlands; [Bruin, Jacob P.] Reg Lab Publ Hlth Kennemerland, NL-2035 RC Haarlem, Netherlands; [Sanders, Elisabeth A. M.] Univ Med Ctr, Wilhelmina Childrens Hosp, Dept Pediat Immunol &amp; Infect Dis, NL-3584 EA Utrecht, Netherlands; [van Houten, Marianne A.] Spaarne Gasthuis, Spaarne Acad, NL-2133 TM Hoofddorp, Netherlands</t>
  </si>
  <si>
    <t xml:space="preserve">Netherlands National Institute for Public Health &amp; the Environment; Utrecht University; Utrecht University Medical Center; Wilhelmina Kinderziekenhuis; Spaarne Hospital</t>
  </si>
  <si>
    <t xml:space="preserve">van Beek, J (corresponding author), Natl Inst Publ Hlth &amp; Environm RIVM, Ctr Infect Dis Control, NL-3721 MA Bilthoven, Netherlands.</t>
  </si>
  <si>
    <t xml:space="preserve">patricia.kaalik@rivm.nl; nielsswaans@gmail.com; alina.nicolaie@rivm.nl; bruin1950@gmail.com; r.a.j.vanboxtel-4@umcutrecht.nl; marit.de.lange@rivm.nl; adam.melier@rivm.nl; lieke.sanders@rivm.nl; mvanhouten2@spaamegasthuis.nl; nynke.rots@rivm.nl; willem.luytjes@rivm.nl; josine.van.beek@rivm.nl</t>
  </si>
  <si>
    <t xml:space="preserve">Kaaijk, Patricia/0000-0001-9165-1703; Nicolaie, M. A./0000-0001-8468-921X; van Beek, Josine/0000-0002-7735-9359</t>
  </si>
  <si>
    <t xml:space="preserve">This research was funded by the Dutch Ministry of Health, Welfare and Sport.</t>
  </si>
  <si>
    <t xml:space="preserve">10.3390/v14040797</t>
  </si>
  <si>
    <t xml:space="preserve">0R2VO</t>
  </si>
  <si>
    <t xml:space="preserve">WOS:000785459600001</t>
  </si>
  <si>
    <t xml:space="preserve">Gerna, G; Percivalle, E; Piralla, A; Rognoni, V; Marchi, A; Baldanti, F</t>
  </si>
  <si>
    <t xml:space="preserve">Gerna, Giuseppe; Percivalle, Elena; Piralla, Antonio; Rognoni, Vanina; Marchi, Antonietta; Baldanti, Fausto</t>
  </si>
  <si>
    <t xml:space="preserve">Surveillance of influenza virus B circulation in Northern Italy: summer-fall 2008 isolation of three strains and phylogenetic analysis</t>
  </si>
  <si>
    <t xml:space="preserve">Influenza virus B; Respiratory viruses; Vaccines; Phylogenetic analysis; Real-time RT-PCR; Hemagglutinin</t>
  </si>
  <si>
    <t xml:space="preserve">HUMAN METAPNEUMOVIRUS STRAINS; RESPIRATORY-TRACT INFECTIONS; TIME PCR ASSAYS; MONOCLONAL-ANTIBODIES; MOLECULAR CHARACTERIZATION; RAPID DETECTION; HEMAGGLUTININ; SEASON; SECRETIONS; CULTURES</t>
  </si>
  <si>
    <t xml:space="preserve">Influenza virus type B strains were unexpectedly detected and isolated in Italy during summer-fall 2008 from three patients travelling to Italy from Lebanon, Senegal and Uzbekistan. The three summer-fall strains matched to a high degree the hemagglutinin (HA1) of influenza virus type B strains circulating in Italy in the second part (January through April) of the 2007/2008 season, and HA1 of the type B strains included in the 2008/2009 vaccine (B/Yamagata/16/88 lineage). Surveillance of influenza virus circulation in Western countries also during the summer-fall season may help to trace and anticipate the appearance of new influenza vir-us variants.</t>
  </si>
  <si>
    <t xml:space="preserve">[Gerna, Giuseppe; Percivalle, Elena; Piralla, Antonio; Rognoni, Vanina; Baldanti, Fausto] Policlin San Matteo, Fdn IRCCS, Serv Virol, I-27100 Pavia, Italy; [Marchi, Antonietta] Univ Pavia, Dipartimento Pediat, I-27100 Pavia, Italy</t>
  </si>
  <si>
    <t xml:space="preserve">IRCCS Fondazione Casimiro Mondino; IRCCS Fondazione San Matteo; University of Pavia</t>
  </si>
  <si>
    <t xml:space="preserve">Gerna, G (corresponding author), Policlin San Matteo, Fdn IRCCS, Serv Virol, Vle Taramelli 5, I-27100 Pavia, Italy.</t>
  </si>
  <si>
    <t xml:space="preserve">Piralla, Antonio/K-4756-2018; Percivalle, Elena/K-7994-2016; Baldanti, Fausto/J-4924-2018</t>
  </si>
  <si>
    <t xml:space="preserve">Piralla, Antonio/0000-0002-6062-2579; Percivalle, Elena/0000-0002-3355-1410; Baldanti, Fausto/0000-0002-3358-8969; Gerna, Giuseppe/0000-0001-5956-2786</t>
  </si>
  <si>
    <t xml:space="preserve">Ministero della Salute; Ricerca Corrente [80557, 80622]; Ricerca Finalizzata [89302]; Academy of Finland (AKA) [80557] Funding Source: Academy of Finland (AKA)</t>
  </si>
  <si>
    <t xml:space="preserve">Ministero della Salute(Ministry of Health, Italy); Ricerca Corrente(Ministry of Health, ItalyMinistry of Health Italy - Ricerca Corrente (MOH-RC)); Ricerca Finalizzata(Ministry of Health, ItalyMinistry of Health Italy - Ricerca Finalizzata (MOH-RF)); Academy of Finland (AKA)(Research Council of Finland)</t>
  </si>
  <si>
    <t xml:space="preserve">The authors wish to thank all the technical staff of the Servizio di Virologia, Daniela Sartori for preparing the manuscript, and Laurene Kelly for revising the English. This work was partially supported by the Ministero della Salute, Ricerca Corrente (grants 80557 and 80622), and Ricerca Finalizzata 2006 (grant 89302).</t>
  </si>
  <si>
    <t xml:space="preserve">PAVIA</t>
  </si>
  <si>
    <t xml:space="preserve">DIV EDIMES, EDIZIONI MEDICO SCIENTIFICHE PAVIA, VIA RIVIERA, PAVIA, 39-27100, ITALY</t>
  </si>
  <si>
    <t xml:space="preserve">538SA</t>
  </si>
  <si>
    <t xml:space="preserve">WOS:000273203100012</t>
  </si>
  <si>
    <t xml:space="preserve">Percivalle, E; Rovida, F; Piralla, A; Rognoni, V; Zavattoni, M; Baldanti, F; Marchi, A; Gerna, G</t>
  </si>
  <si>
    <t xml:space="preserve">Percivalle, Elena; Rovida, Francesca; Piralla, Antonioo; Rognoni, Vanina; Zavattoni, Maurizio; Baldanti, Fausto; Marchi, Antonietta; Gerna, Giuseppe</t>
  </si>
  <si>
    <t xml:space="preserve">Rapid typing, subtyping and RNA quantification of influenza virus type A strains in respiratory secretions</t>
  </si>
  <si>
    <t xml:space="preserve">influenza virus A; typing and subtyping; RNA quantification; respiratory secretions; acute respiratory tract infections</t>
  </si>
  <si>
    <t xml:space="preserve">HUMAN METAPNEUMOVIRUS STRAINS; SHELL VIAL CULTURE; NASOPHARYNGEAL SECRETIONS; MONOCLONAL-ANTIBODIES; PCR; INFECTIONS; DIAGNOSIS; CELLS; LUNG</t>
  </si>
  <si>
    <t xml:space="preserve">During the winter-spring season 2006-2007, 38 influenza virus strains were identified in patients admitted to hospital with an acute respiratory tract infection. Infections were diagnosed in parallel by direct fluorescent antibody (DFA) staining using type-specific monoclonal antibodies and real-time reverse transcription (RT)-PCR targeting the gene M (nt 25-124). In addition, virus strains were isolated in MDCK cells. Overall, 37 influenza virus strains were type A, and one type B. Of these, 35 (80.4%) were detected and typed by real-time RT-PCR, 34 (80.1%) by DFA, and 27 (71.0%) by virus isolation. Subtyping of 37 influenza virus A strains by RT-PCR and DFA gave the following results: 4/6 H1 strains were correctly subtyped by both methods, while of the 29 H3 strains subtyped by RT-PCR 7 were missed by DFA. Thus, the overall concordance of the two subtyping methods was 28/37 (75.7%). Viral RNA quantification by real-time PCR showed that when respiratory secretion collection was done within 5 days after the onset of symptoms, viral load was greater than 1X10(6) RNA copies/ml. In conclusion, typing and subtyping of influenza virus type A strains may benefit from both MAbs and RT-PCR, while viral RNA quantification may provide an indication of symptom onset.</t>
  </si>
  <si>
    <t xml:space="preserve">[Percivalle, Elena; Rovida, Francesca; Piralla, Antonioo; Rognoni, Vanina; Zavattoni, Maurizio; Baldanti, Fausto; Gerna, Giuseppe] Fdn IRCCS Policlin San Matteo, Serv Virol, I-27100 Pavia, Italy; [Marchi, Antonietta] Univ Pavia, Dipartimento Pediat, I-27100 Pavia, Italy</t>
  </si>
  <si>
    <t xml:space="preserve">Gerna, G (corresponding author), Fdn IRCCS Policlin San Matteo, Serv Virol, Vle Taramelli 5, I-27100 Pavia, Italy.</t>
  </si>
  <si>
    <t xml:space="preserve">; Percivalle, Elena/K-7994-2016; Baldanti, Fausto/J-4924-2018; Rovida, Francesca/K-7984-2016; Piralla, Antonio/K-4756-2018</t>
  </si>
  <si>
    <t xml:space="preserve">Gerna, Giuseppe/0000-0001-5956-2786; Zavattoni, Maurizio/0000-0002-5199-0038; Percivalle, Elena/0000-0002-3355-1410; Baldanti, Fausto/0000-0002-3358-8969; Rovida, Francesca/0000-0003-2345-2790; Piralla, Antonio/0000-0002-6062-2579</t>
  </si>
  <si>
    <t xml:space="preserve">Ministero della Salute, Ricerca Finalizzata [89288]</t>
  </si>
  <si>
    <t xml:space="preserve">Ministero della Salute, Ricerca Finalizzata(Ministry of Health, Italy)</t>
  </si>
  <si>
    <t xml:space="preserve">We would like to thank all the technical staff of the Servizio di Virologia for performing the assays. We are also grateful to Daniela Sartori for typing the manuscript and preparing tables and figure, and to Laurene Kelly for revising the English.This work was partially supported by the Ministero della Salute, Ricerca Finalizzata 2004 (I. Capua), (grant 89288).</t>
  </si>
  <si>
    <t xml:space="preserve">353IL</t>
  </si>
  <si>
    <t xml:space="preserve">WOS:000259559800003</t>
  </si>
  <si>
    <t xml:space="preserve">Roth, B; Mohr, H; Enders, M; Garten, W; Gregersen, JP</t>
  </si>
  <si>
    <t xml:space="preserve">Roth, Bernhard; Mohr, Hannah; Enders, Martin; Garten, Wolfgang; Gregersen, Jens-Peter</t>
  </si>
  <si>
    <t xml:space="preserve">Isolation of influenza viruses in MDCK 33016PF cells and clearance of contaminating respiratory viruses</t>
  </si>
  <si>
    <t xml:space="preserve">Influenza vaccine; Virus isolation; Adventitious viruses; MDCK cells</t>
  </si>
  <si>
    <t xml:space="preserve">REAL-TIME PCR; POLYMERASE-CHAIN-REACTION; SYNCYTIAL VIRUS; HUMAN BOCAVIRUS; HUMAN METAPNEUMOVIRUS; ADVENTITIOUS AGENTS; RISK-ASSESSMENT; VACCINES; CHILDREN; QUANTITATION</t>
  </si>
  <si>
    <t xml:space="preserve">This paper summarizes results obtained by multiplex PCR screening of human clinical samples for respiratory viruses and corresponding data obtained after passaging of virus-positive samples in MDCK 33016PF cells. Using the ResPlex11 v2.0 (Qiagen) multiplex PCR, 393 positive results were obtained in 468 clinical samples collected during an influenza season in Germany. The overall distribution of positive results was influenza A 42.0%, influenza B 38.7%, adenovirus 1.5%, bocavirus 0.5%, coronavirus 3.3%, enterovirus 5.6%, metapneumovirus 1.0%, parainfluenza virus 0.8%, rhinovirus 4.1%, and respiratory syncytial virus (RSV) 2.5%. Double infections of influenza virus together with another virus were found for adenovirus B and E, bocavirus, coronavirus, enterovirus and for rhinovirus. These other viruses were rapidly lost upon passages in MDCK 3301 6PF cells and under conditions as applied to influenza virus passaging. Clinical samples, in which no influenza virus but other viruses were found, were also subject to passages in MDCK 33016PF cells. Using lower inoculum dilutions than those normally applied for preparations containing influenza virus (total dilution of the original sample of similar to 10(4)), the positive results for the different viruses turned negative already after 2 or 3 passages in MDCK 33016PF cells. These results demonstrate that, under practical conditions as applied to grow influenza viruses, contaminating viruses can be effectively removed by passages in MDCK cells. In combination with their superior isolation efficiency. MDCK cells appear highly suitable to be used as an alternative to embryonated eggs to isolate and propagate influenza vaccine candidate viruses. (C) 2011 Elsevier Ltd. All rights reserved.</t>
  </si>
  <si>
    <t xml:space="preserve">[Roth, Bernhard; Mohr, Hannah; Gregersen, Jens-Peter] Novartis Vaccines &amp; Diagnost GmbH, D-35041 Marburg, Germany; [Mohr, Hannah; Garten, Wolfgang] Univ Marburg, Inst Virol, D-35043 Marburg, Germany; [Enders, Martin] Lab Prof G Enders &amp; Partners, D-70193 Stuttgart, Germany</t>
  </si>
  <si>
    <t xml:space="preserve">Novartis; Philipps University Marburg</t>
  </si>
  <si>
    <t xml:space="preserve">Roth, B (corresponding author), Novartis Vaccines &amp; Diagnost GmbH, Emil von Behring Str 76, D-35041 Marburg, Germany.</t>
  </si>
  <si>
    <t xml:space="preserve">bernhard.roth@novartis.com</t>
  </si>
  <si>
    <t xml:space="preserve">10.1016/j.vaccine.2011.11.063</t>
  </si>
  <si>
    <t xml:space="preserve">912PO</t>
  </si>
  <si>
    <t xml:space="preserve">WOS:000301812300005</t>
  </si>
  <si>
    <t xml:space="preserve">Wolff, GG</t>
  </si>
  <si>
    <t xml:space="preserve">Wolff, Greg G.</t>
  </si>
  <si>
    <t xml:space="preserve">Influenza vaccination and respiratory virus interference among Department of Defense personnel during the 2017-2018 influenza season</t>
  </si>
  <si>
    <t xml:space="preserve">Influenza vaccine; Virus interference; Department of Defense; Respiratory illness</t>
  </si>
  <si>
    <t xml:space="preserve">TEST-NEGATIVE DESIGN; UNITED-STATES; PROTECTION</t>
  </si>
  <si>
    <t xml:space="preserve">Purpose: Receiving influenza vaccination may increase the risk of other respiratory viruses, a phenomenon known as virus interference. Test-negative study designs are often utilized to calculate influenza vaccine effectiveness. The virus interference phenomenon goes against the basic assumption of the test-negative vaccine effectiveness study that vaccination does not change the risk of infection with other respiratory illness, thus potentially biasing vaccine effectiveness results in the positive direction. This study aimed to investigate virus interference by comparing respiratory virus status among Department of Defense personnel based on their influenza vaccination status. Furthermore, individual respiratory viruses and their association with influenza vaccination were examined. Results: We compared vaccination status of 2880 people with non-influenza respiratory viruses to 3240 people with pan-negative results. Comparing vaccinated to non-vaccinated patients, the adjusted odds ratio for non-flu viruses was 0.97 (95% confidence interval (CI): 0.86, 1.09; p = 0.60). Additionally, the vaccination status of 3349 cases of influenza were compared to three different control groups: all controls (N = 6120), non-influenza positive controls (N = 2880), and pan-negative controls (N = 3240). The adjusted ORs for the comparisons among the three control groups did not vary much (range: 0.46-0.51). Conclusions: Receipt of influenza vaccination was not associated with virus interference among our population. Examining virus interference by specific respiratory viruses showed mixed results. Vaccine derived virus interference was significantly associated with coronavirus and human metapneumovirus; however, significant protection with vaccination was associated not only with most influenza viruses, but also parainfluenza, RSV, and non-influenza virus coinfections. Published by Elsevier Ltd.</t>
  </si>
  <si>
    <t xml:space="preserve">[Wolff, Greg G.] Armed Forces Hlth Surveillance Branch Air Force S, 2510 5th St,Bldg 840, Wright Patterson AFB, OH 45433 USA</t>
  </si>
  <si>
    <t xml:space="preserve">Wolff, GG (corresponding author), Armed Forces Hlth Surveillance Branch Air Force S, 2510 5th St,Bldg 840, Wright Patterson AFB, OH 45433 USA.</t>
  </si>
  <si>
    <t xml:space="preserve">gregory.wolff.3@us.af.mil</t>
  </si>
  <si>
    <t xml:space="preserve">Wolff, Greg/0009-0004-9511-2423</t>
  </si>
  <si>
    <t xml:space="preserve">JAN 10</t>
  </si>
  <si>
    <t xml:space="preserve">10.1016/j.vaccine.2019.10.005</t>
  </si>
  <si>
    <t xml:space="preserve">KG0DU</t>
  </si>
  <si>
    <t xml:space="preserve">WOS:000509612700033</t>
  </si>
  <si>
    <t xml:space="preserve">Alhasan, K; Al-Tawfiq, J; Aljamaan, F; Jamal, A; Al-Eyadhy, A; Temsah, MH</t>
  </si>
  <si>
    <t xml:space="preserve">Alhasan, Khalid; Al-Tawfiq, Jaffar; Aljamaan, Fadi; Jamal, Amr; Al-Eyadhy, Ayman; Temsah, Mohamad-Hani</t>
  </si>
  <si>
    <t xml:space="preserve">Mitigating the Burden of Severe Pediatric Respiratory Viruses in the Post-COVID-19 Era: ChatGPT Insights and Recommendations</t>
  </si>
  <si>
    <t xml:space="preserve">influenza vaccine; human metapneumovirus (hmpv); ai language model; ai chatbot; pediatric intensive care unit(picu); post-covid sequelae; respiratory syncytial virus (rsv); chatgpt</t>
  </si>
  <si>
    <t xml:space="preserve">In the current post-pandemic era, the rapid spread of respiratory viruses among children and infants resulted in hospitals and pediatric intensive care units (PICUs) becoming overwhelmed. Healthcare providers around the world faced a significant challenge from the outbreak of respiratory viruses like respiratory syncytial virus (RSV), metapneumovirus, and influenza viruses. The chatbot generative pre-trained transformer, ChatGPT, which was launched by OpenAI in November 2022, had both positive and negative aspects in medical writing. Still, it has the potential to generate mitigation suggestions that could be rapidly implemented. We describe the generated suggestion from ChatGPT on 27 Feb 2023 in response to the question ???What's your advice for the pediatric intensivists???? We as human authors and healthcare providers, do agree with and supplement with references these suggestions of ChatGPT. We also advocate that artificial intelligence (AI)-enabled chatbots could be utilized in seeking a vigilant and robust healthcare system to rapidly adapt to changing respiratory viruses circulating around the seasons, but AI-generated suggestions need experts to validate them, and further research is warranted.</t>
  </si>
  <si>
    <t xml:space="preserve">[Alhasan, Khalid; Al-Eyadhy, Ayman; Temsah, Mohamad-Hani] King Saud Univ, Dept Pediat, Riyadh, Saudi Arabia; [Alhasan, Khalid] King Faisal Specialist Hosp &amp; Res Ctr, Dept Kidney &amp; Pancreas Transplant, Riyadh, Saudi Arabia; [Al-Tawfiq, Jaffar] Johns Hopkins Aramco Healthcare, Dept Specialty Internal Med &amp; Qual, Dhahran, Saudi Arabia; [Al-Tawfiq, Jaffar] Indiana Univ Sch Med, Dept Med, Indianapolis, IN USA; [Al-Tawfiq, Jaffar] Johns Hopkins Univ, Dept Med, Sch Med, Baltimore, MD USA; [Aljamaan, Fadi] King Saud Univ, Dept Critical Care, Riyadh, Saudi Arabia; [Jamal, Amr] King Saud Univ, Dept Family &amp; Community Med, Riyadh, Saudi Arabia; [Al-Eyadhy, Ayman] King Saud Univ Med City, Dept Pediat, Riyadh, Saudi Arabia</t>
  </si>
  <si>
    <t xml:space="preserve">King Saud University; King Faisal Specialist Hospital &amp; Research Center; Johns Hopkins University; Johns Hopkins Medicine; Johns Hopkins Aramco Healthcare; Indiana University System; Indiana University Bloomington; Johns Hopkins University; King Saud University; King Saud University; King Saud University</t>
  </si>
  <si>
    <t xml:space="preserve">Temsah, MH (corresponding author), King Saud Univ, Dept Pediat, Riyadh, Saudi Arabia.</t>
  </si>
  <si>
    <t xml:space="preserve">temsah1@yahoo.com</t>
  </si>
  <si>
    <t xml:space="preserve">Temsah, Mohamad-Hani/AAJ-9703-2020; aljamaan, fadi/ABA-9482-2020; Al-Eyadhy, Ayman/AAQ-1411-2021; Alhasan, Khalid/AEU-7722-2022; Jamal, Amr/B-9495-2009</t>
  </si>
  <si>
    <t xml:space="preserve">Alhasan, Khalid/0000-0002-4291-8536; Temsah, Mohamad-Hani/0000-0002-4389-9322; Jamal, Amr/0000-0002-4051-6592</t>
  </si>
  <si>
    <t xml:space="preserve">e36263</t>
  </si>
  <si>
    <t xml:space="preserve">10.7759/cureus.36263</t>
  </si>
  <si>
    <t xml:space="preserve">H1SG1</t>
  </si>
  <si>
    <t xml:space="preserve">WOS:000993824800020</t>
  </si>
  <si>
    <t xml:space="preserve">Paixo, P; Piedade, C; Papoila, A; Caires, I; Pedro, C; Santos, M; Silvestre, MJ; Brum, L; Nunes, B; Guiomar, R; Curran, MD; Carvalho, A; Marques, T; Neuparth, N</t>
  </si>
  <si>
    <t xml:space="preserve">Paixo, Paulo; Piedade, Catia; Papoila, Ana; Caires, Iolanda; Pedro, Catarina; Santos, Madalena; Silvestre, Maria Jose; Brum, Laura; Nunes, Baltazar; Guiomar, Raquel; Curran, Martin D.; Carvalho, Ana; Marques, Teresa; Neuparth, Nuno</t>
  </si>
  <si>
    <t xml:space="preserve">Improving influenza surveillance in Portuguese preschool children by parents' report</t>
  </si>
  <si>
    <t xml:space="preserve">Influenza surveillance; Portuguese preschool children; Real-time PCR</t>
  </si>
  <si>
    <t xml:space="preserve">POLYMERASE-CHAIN-REACTION; REAL-TIME PCR; RESPIRATORY VIRUSES; HUMAN METAPNEUMOVIRUS; INFECTIONS; EPIDEMIOLOGY; SYMPTOMS</t>
  </si>
  <si>
    <t xml:space="preserve">Influenza surveillance is usually based on nationally organized sentinel networks of physicians and on hospital reports. This study aimed to test a different report system, based on parents' phone contact to the research team and in home collection of samples by a dedicated team. The identification of influenza and other respiratory viruses in children who attended a Hospital Emergency Department was also recorded. Real-time PCR and reverse transcription PCR were performed for influenza A and B, parainfluenza 1-4, adenovirus, human metapneumovirus, respiratory syncytial virus A and B, rhinovirus, enterovirus, group 1 coronaviruses, group 2 coronaviruses, and human bocavirus. One hundred children were included, 64 from the day care centers and 36 from the Hospital. Overall, 79 samples were positive for at least one respiratory virus. Influenza A (H3) was the virus most frequently detected: 25 cases, 20 of these in children under 5 years of age (ten from day care centers and ten who went to the hospital) which was higher than those reported by the National Influenza Surveillance Programme for this age. Conclusion: The results obtained in this study suggest that a surveillance system based on parents' reports could complement the implanted system of the National Influenza Surveillance Programme.</t>
  </si>
  <si>
    <t xml:space="preserve">[Paixo, Paulo; Caires, Iolanda; Pedro, Catarina; Brum, Laura; Marques, Teresa; Neuparth, Nuno] Univ Nova Lisboa, FCM, CEDOC, P-1169056 Lisbon, Portugal; [Paixo, Paulo; Piedade, Catia; Brum, Laura] Hosp Luz, Lab Patol Clin Labco, Lisbon, Portugal; [Papoila, Ana] Univ Nova Lisboa, CEAUL, FCM, P-1169056 Lisbon, Portugal; [Santos, Madalena; Silvestre, Maria Jose] Ctr Hosp Lisboa Cent, Hosp Curry Cabral, Lisbon, Portugal; [Nunes, Baltazar] Inst Nacl Saude Ricardo Jorge, Dept Epidemiol, Lisbon, Portugal; [Guiomar, Raquel] Inst Nacl Saude Ricardo Jorge, Lab Nacl Referencia Virus Gripe, Lisbon, Portugal; [Curran, Martin D.] Addenbrookes Hosp, Clin Microbiol &amp; Publ Hlth Lab, Publ Hlth England, Cambridge, England; [Carvalho, Ana] Hosp Luz, Unidade Pediat, Lisbon, Portugal</t>
  </si>
  <si>
    <t xml:space="preserve">Universidade Nova de Lisboa; Universidade Nova de Lisboa; Universidade de Lisboa; Centro Hospitalar de Lisboa Central, EPE; Universidade de Lisboa; Instituto Nacional de Saude Dr. Ricardo Jorge; Instituto Nacional de Saude Dr. Ricardo Jorge; Public Health England; Cambridge University Hospitals NHS Foundation Trust; Addenbrooke's Hospital; University of Cambridge</t>
  </si>
  <si>
    <t xml:space="preserve">Paixo, P (corresponding author), Hosp Luz, Lab Patol Clin Labco, Lisbon, Portugal.</t>
  </si>
  <si>
    <t xml:space="preserve">paulo.paixao@fcm.unl.pt; catia.piedade@labco.eu; apapoila@hotmail.com; iolanda.caires@gmail.com; catarina.pedro@fcm.unl.pt; mmmsantos@hccabral.min-saude.pt; mjsilvestre@hccabral.min-saude.pt; laura.brum@labco.eu; Baltazar.Nunes@insa.min-saude.pt; raquel.guiomar@insa.min-saude.pt; martin.curran@addenbrookes.nhs.uk; amcarvalho@hospitaldaluz.pt; mtmarques@chlo.min-saude.pt; nneuparth@gmail.com</t>
  </si>
  <si>
    <t xml:space="preserve">Papoila, Ana/S-2164-2019; Nunes, Baltazar/V-8903-2019; Neuparth, Nuno/P-8444-2019; Papoila, Ana Luisa/S-2515-2016</t>
  </si>
  <si>
    <t xml:space="preserve">Neuparth, Nuno/0000-0001-5149-7473; Pedro, Catarina/0000-0002-4605-304X; Caires Correia, Iolanda/0000-0003-2841-6836; Nunes, Baltazar/0000-0001-6230-7209; Papoila, Ana Luisa/0000-0002-2918-8364; Paixao, Paulo/0000-0002-4294-0872; Guiomar, Raquel/0000-0002-4563-6315</t>
  </si>
  <si>
    <t xml:space="preserve">Fundacao para a Ciencia e Tecnologia [PTDC/SAU-ESA/100275/2008]; Fundação para a Ciência e a Tecnologia [PTDC/SAU-ESA/100275/2008] Funding Source: FCT</t>
  </si>
  <si>
    <t xml:space="preserve">Fundacao para a Ciencia e Tecnologia(Fundacao para a Ciencia e a Tecnologia (FCT)); Fundação para a Ciência e a Tecnologia(Fundacao para a Ciencia e a Tecnologia (FCT))</t>
  </si>
  <si>
    <t xml:space="preserve">This study was supported by a grant from Fundacao para a Ciencia e Tecnologia (PTDC/SAU-ESA/100275/2008, project Environment and Health in children day care centers-ENVIRH).</t>
  </si>
  <si>
    <t xml:space="preserve">10.1007/s00431-014-2285-7</t>
  </si>
  <si>
    <t xml:space="preserve">AM4EW</t>
  </si>
  <si>
    <t xml:space="preserve">WOS:000339806900011</t>
  </si>
  <si>
    <t xml:space="preserve">Mukherjee, TR; Chanda, S; Mullick, S; De, P; Dey-Sarkar, M; Chawla-Sarkar, M</t>
  </si>
  <si>
    <t xml:space="preserve">Mukherjee, Tapasi Roy; Chanda, Shampa; Mullick, Satarupa; De, Papiya; Dey-Sarkar, Malay; Chawla-Sarkar, Mamta</t>
  </si>
  <si>
    <t xml:space="preserve">Spectrum of respiratory viruses circulating in eastern India: Prospective surveillance among patients with influenza-like illness during 2010-2011</t>
  </si>
  <si>
    <t xml:space="preserve">influenza like illness; respiratory viruses; Surveillance in eastern India; parainfluenza virus; metapneumovirus</t>
  </si>
  <si>
    <t xml:space="preserve">2009 PANDEMIC INFLUENZA; HUMAN METAPNEUMOVIRUS; SYNCYTIAL VIRUS; TRACT INFECTION; HUMAN BOCAVIRUS; HOSPITALIZED CHILDREN; PEDIATRIC-PATIENTS; GENETIC DIVERSITY; CO-CIRCULATION; YOUNG-CHILDREN</t>
  </si>
  <si>
    <t xml:space="preserve">In developing countries, viruses causing respiratory disease are a major concern of public health. During January 2010-December 2011, 2,737 patients with acute respiratory infection from the outpatient departments as well as patients admitted to hospitals were screened for different respiratory viruses. Nasal and or throat swabs were collected and transported to the laboratory where initial screening of influenza A and influenza B viruses was performed. The samples were tested further for influenza C virus, parainfluenza viruses 1-4, human rhinovirus, metapneumovirus and respiratory syncytial virus by conventional RT- PCR. The study revealed that the majority of the patients were under 5 years of age; both due to their higher susceptibility to respiratory infections and presentation to hospitals. Out of 2,737 patients enrolled in this study, 59% were found positive for one or more respiratory viruses. Influenza B infection was detected in 12% of patients followed by influenza A (11.7%), respiratory syncytial virus (7.1%), parainfluenza virus-2 (6%), metapneumovirus (3%), parainfluenza virus-3 (1%), parainfluenza virus-4 (0.6%), parainfluenza virus-1 (0.3%), influenza C (0.2%) and human rhinovirus (0.2%). Distinct seasonal infection was observed only for influenza A and influenza B viruses. (c) 2013 Wiley Periodicals, Inc.</t>
  </si>
  <si>
    <t xml:space="preserve">[Mukherjee, Tapasi Roy; Chanda, Shampa; Mullick, Satarupa; De, Papiya; Dey-Sarkar, Malay; Chawla-Sarkar, Mamta] Natl Inst Cholera &amp; Enter Dis, Kolkata 700010, W Bengal, India</t>
  </si>
  <si>
    <t xml:space="preserve">Indian Council of Medical Research (ICMR); ICMR - National Institute of Cholera &amp; Enteric Diseases (NICED)</t>
  </si>
  <si>
    <t xml:space="preserve">Chawla-Sarkar, M (corresponding author), Natl Inst Cholera &amp; Enter Dis, Div Virol, P-33,CIT Rd,Scheme XM, Kolkata 700010, W Bengal, India.</t>
  </si>
  <si>
    <t xml:space="preserve">chawlam70@gmail.com</t>
  </si>
  <si>
    <t xml:space="preserve">Indian Council of Medical Research (ICMR), New Delhi</t>
  </si>
  <si>
    <t xml:space="preserve">Indian Council of Medical Research (ICMR), New Delhi(Indian Council of Medical Research (ICMR))</t>
  </si>
  <si>
    <t xml:space="preserve">Grant sponsor: Indian Council of Medical Research (ICMR), New Delhi.</t>
  </si>
  <si>
    <t xml:space="preserve">10.1002/jmv.23607</t>
  </si>
  <si>
    <t xml:space="preserve">164IX</t>
  </si>
  <si>
    <t xml:space="preserve">WOS:000320403800021</t>
  </si>
  <si>
    <t xml:space="preserve">Ramay, BM; Jara, J; Moreno, MP; Lupo, P; Serrano, C; Alvis, JP; Arriola, CS; Veguilla, V; Kaydos-Daniels, SC</t>
  </si>
  <si>
    <t xml:space="preserve">Ramay, Brooke M.; Jara, Jorge; Moreno, Maria Purificacion; Lupo, Patrizia; Serrano, Carlos; Alvis, Juan P.; Arriola, C. Sofia; Veguilla, Vic; Kaydos-Daniels, S. Cornelia</t>
  </si>
  <si>
    <t xml:space="preserve">Self-medication and ILI etiologies among individuals presenting at pharmacies with influenza-like illness: Guatemala City, 2018 influenza season</t>
  </si>
  <si>
    <t xml:space="preserve">Influenza Like Illness; Antibiotics; Pharmacy based study</t>
  </si>
  <si>
    <t xml:space="preserve">TIME PCR ASSAY; STAPHYLOCOCCUS-AUREUS; DISEASE BURDEN</t>
  </si>
  <si>
    <t xml:space="preserve">Objectives We aimed to characterize the proportion of clients presenting to community pharmacies with influenza-like illness (ILI) and the severity of their illness; the proportion with detectable influenza A, influenza B, and other pathogens (i.e., parainfluenza I, II, and III, adenovirus, respiratory syncytial virus, human metapneumovirus); and to describe their self-medication practices. Methods A cross-sectional study was conducted in six pharmacies in Guatemala City. Study personnel collected nasopharyngeal and oropharyngeal swabs from participants who met the ILI case definition and who were self-medicating for the current episode. Participants were tested for influenza A and B and other pathogens using real-time RT-PCR. Participants' ILI-associated self-medication practices were documented using a questionnaire. Results Of all patients entering the pharmacy during peak hours who responded to a screening survey (n = 18,016) 6% (n = 1029) self-reported ILI symptoms, of which 45% (n = 470/1029) met the study case definition of ILI. Thirty-one percent (148/470) met inclusion criteria, of which 87% (130/148) accepted participation and were enrolled in the study. Among 130 participants, nearly half tested positive for viral infection (n = 55, 42.3%) and belonged to groups at low risk for complications from influenza. The prevalence of influenza A was 29% (n = 35). Thirteen percent of the study population (n = 17) tested positive for a respiratory virus other than influenza. Sixty-four percent of participants (n = 83) reported interest in receiving influenza vaccination if it were to become available in the pharmacy. Medications purchased included symptom-relieving multi-ingredient cold medications (n = 43/100, 43%), nonsteroidal anti-inflammatory drugs (n = 23, 23%), and antibiotics (n = 16, 16%). Antibiotic use was essentially equal among antibiotic users regardless of viral status. The broad-spectrum antibiotics ceftriaxone and azithromycin were the most common antibiotics purchased. Conclusions During a typical influenza season, a relatively low proportion of all pharmacy visitors were experiencing influenza symptoms. A high proportion of clients presenting to pharmacies with ILI tested positive for a respiratory virus. Programs that guide appropriate use of antibiotics in this population are needed and become increasingly important during pandemics caused by respiratory viral pathogens.</t>
  </si>
  <si>
    <t xml:space="preserve">[Ramay, Brooke M.; Jara, Jorge; Moreno, Maria Purificacion; Lupo, Patrizia; Serrano, Carlos; Alvis, Juan P.] Univ Valle Guatemala UVG, Res Inst, Ctr Hlth Studies, Program Influenza &amp; Other Resp Viruses, Guatemala City, Guatemala; [Arriola, C. Sofia; Veguilla, Vic; Kaydos-Daniels, S. Cornelia] US Ctr Dis Control &amp; Prevent CDC, Atlanta, GA USA</t>
  </si>
  <si>
    <t xml:space="preserve">Centers for Disease Control &amp; Prevention - USA</t>
  </si>
  <si>
    <t xml:space="preserve">Ramay, BM (corresponding author), Univ Valle Guatemala UVG, Res Inst, Ctr Hlth Studies, Program Influenza &amp; Other Resp Viruses, Guatemala City, Guatemala.</t>
  </si>
  <si>
    <t xml:space="preserve">bramay@uvg.edu.gt</t>
  </si>
  <si>
    <t xml:space="preserve">Alvis-Estrada, Juan/LHA-1573-2024</t>
  </si>
  <si>
    <t xml:space="preserve">Jara, Jorge/0000-0003-4198-9380; Alvis-Estrada, Juan/0000-0002-1226-9344</t>
  </si>
  <si>
    <t xml:space="preserve">Universidad del Valle de Guatemala [09/01/16-08/31/18]; Center for Disease Control and Prevention (CDC) [09/01/16-08/31/18]</t>
  </si>
  <si>
    <t xml:space="preserve">Universidad del Valle de Guatemala; Center for Disease Control and Prevention (CDC)(United States Department of Health &amp; Human ServicesCenters for Disease Control &amp; Prevention - USA)</t>
  </si>
  <si>
    <t xml:space="preserve">Provided by a cooperative Agreement between Universidad del Valle de Guatemala and the Center for Disease Control and Prevention (CDC), 4670: Infectious respiratory disease-Influenza 09/01/16-08/31/18, Jara (PI). The findings and conclusions in this report are those of the author(s) and do not necessarily represent the official position of the U.S. Centers for Disease Control and Prevention.</t>
  </si>
  <si>
    <t xml:space="preserve">AUG 13</t>
  </si>
  <si>
    <t xml:space="preserve">10.1186/s12889-022-13962-8</t>
  </si>
  <si>
    <t xml:space="preserve">3T1ZQ</t>
  </si>
  <si>
    <t xml:space="preserve">WOS:000840081200001</t>
  </si>
  <si>
    <t xml:space="preserve">Shimizu, Y; Abiko, C; Ikeda, T; Mizuta, K; Matsuzaki, Y</t>
  </si>
  <si>
    <t xml:space="preserve">Shimizu, Yukitoshi; Abiko, Chieko; Ikeda, Tatsuya; Mizuta, Katsumi; Matsuzaki, Yoko</t>
  </si>
  <si>
    <t xml:space="preserve">INFLUENZA C VIRUS AND HUMAN METAPNEUMOVIRUS INFECTIONS IN HOSPITALIZED CHILDREN WITH LOWER RESPIRATORY TRACT ILLNESS</t>
  </si>
  <si>
    <t xml:space="preserve">influenza C virus; human metapneumovirus; hospitalized children; wheezing; pneumonia</t>
  </si>
  <si>
    <t xml:space="preserve">REAL-TIME PCR; JAPAN; OUTBREAK; YAMAGATA; ASSAY</t>
  </si>
  <si>
    <t xml:space="preserve">A 6-month prospective study in a hospital setting detected influenza C virus and human metapneumovirus in 10.0% (29/289) and 16.6% (48/289), respectively, of children hospitalized with lower respiratory tract illness. Influenza C virus infection had a similar rate of pneumonia (53.3% vs. 57.1%), significantly lower frequency of wheezing (13.3% vs. 68.6%) and higher values of white blood cell and C-reactive protein than human metapneumovirus infection.</t>
  </si>
  <si>
    <t xml:space="preserve">[Shimizu, Yukitoshi] Yamagata City Hosp Saiseikan, Dept Pediat, Yamagata, Japan; [Abiko, Chieko; Ikeda, Tatsuya; Mizuta, Katsumi] Yamagata Prefectural Inst Publ Hlth, Dept Microbiol, Yamagata 9900031, Japan; [Matsuzaki, Yoko] Yamagata Univ, Dept Infect Dis, Yamagata 9909585, Japan</t>
  </si>
  <si>
    <t xml:space="preserve">Matsuzaki, Y (corresponding author), Yamagata Univ, Fac Med, Dept Infect Dis, Iida Nishi 2-2-2, Yamagata 9909585, Japan.</t>
  </si>
  <si>
    <t xml:space="preserve">JSPS KAKENHI grant [26461563]; Grants-in-Aid for Scientific Research [26461563] Funding Source: KAKEN</t>
  </si>
  <si>
    <t xml:space="preserve">JSPS KAKENHI grant(Ministry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</si>
  <si>
    <t xml:space="preserve">Supported by JSPS KAKENHI grant 26461563. The authors have no conflicts of interest to disclose.</t>
  </si>
  <si>
    <t xml:space="preserve">10.1097/INF.0000000000000863</t>
  </si>
  <si>
    <t xml:space="preserve">CU4WF</t>
  </si>
  <si>
    <t xml:space="preserve">WOS:000363530500028</t>
  </si>
  <si>
    <t xml:space="preserve">Ghattas, C; Mossad, SB</t>
  </si>
  <si>
    <t xml:space="preserve">Ghattas, C.; Mossad, S. B.</t>
  </si>
  <si>
    <t xml:space="preserve">Fatal human metapneumovirus and influenza B virus coinfection in an allogeneic hematopoietic stem cell transplant recipient</t>
  </si>
  <si>
    <t xml:space="preserve">influenza B virus; coinfection; human metapneumovirus; immunocompromised</t>
  </si>
  <si>
    <t xml:space="preserve">INFECTIONS; CHILDREN</t>
  </si>
  <si>
    <t xml:space="preserve">Human metapneumovirus (hMPV) infection can occur in all age groups with significant morbidity and mortality. Coinfection with influenza virus occurs mainly with influenza type A and all reported cases recovered completely. We report the case of a 61-year-old man who had hematopoietic stem cell transplant for myelodysplastic syndrome. He was admitted to hospital for septic shock and neutropenia, and blood culture was positive for Pseudomonas aeruginosa. He rapidly developed respiratory failure and required ventilator support. His respiratory culture grew P. aeruginosa and hMPV. His course was complicated by persistent shock requiring vasopressor support, and repeat nasopharyngeal swab was positive for influenza type B and hMPV. His condition rapidly deteriorated, his family elected comfort care, and the patient died shortly thereafter. Coinfection with hMPV and influenza virus type B may have a poor outcome and can be fatal, especially in immunocompromised patients.</t>
  </si>
  <si>
    <t xml:space="preserve">[Mossad, S. B.] Cleveland Clin, Inst Med, Dept Infect Dis, Cleveland, OH 44195 USA; [Ghattas, C.] St Elizabeth Hlth Ctr, Dept Internal Med, Youngstown, OH USA</t>
  </si>
  <si>
    <t xml:space="preserve">Cleveland Clinic Foundation</t>
  </si>
  <si>
    <t xml:space="preserve">Mossad, SB (corresponding author), Cleveland Clin, Inst Med, Dept Infect Dis, 9500 Euclid Ave,G21, Cleveland, OH 44195 USA.</t>
  </si>
  <si>
    <t xml:space="preserve">mossads@ccf.org</t>
  </si>
  <si>
    <t xml:space="preserve">Roche; Glaxo-SmithKline; Chimerix</t>
  </si>
  <si>
    <t xml:space="preserve">Roche(Roche Holding); Glaxo-SmithKline(GlaxoSmithKline); Chimerix</t>
  </si>
  <si>
    <t xml:space="preserve">Dr. Mossad is the site principal investigator for multicenter studies sponsored by Roche, Glaxo-SmithKline, and Chimerix.</t>
  </si>
  <si>
    <t xml:space="preserve">E41</t>
  </si>
  <si>
    <t xml:space="preserve">E43</t>
  </si>
  <si>
    <t xml:space="preserve">10.1111/j.1399-3062.2012.00766.x</t>
  </si>
  <si>
    <t xml:space="preserve">012ME</t>
  </si>
  <si>
    <t xml:space="preserve">WOS:000309239500001</t>
  </si>
  <si>
    <t xml:space="preserve">Sundell, N; Andersson, LM; Brittain-Long, R; Lindh, M; Westing, J</t>
  </si>
  <si>
    <t xml:space="preserve">Sundell, Nicklas; Andersson, Lars-Magnus; Brittain-Long, Robin; Lindh, Magnus; Westing, Johan</t>
  </si>
  <si>
    <t xml:space="preserve">A four year seasonal survey of the relationship between outdoor climate and epidemiology of viral respiratory tract infections in a temperate climate</t>
  </si>
  <si>
    <t xml:space="preserve">Influenza A; Respiratory viruses; Meteorological factors; Epidemiology</t>
  </si>
  <si>
    <t xml:space="preserve">REAL-TIME PCR; HUMAN METAPNEUMOVIRUS INFECTIONS; SYNCYTIAL VIRUS; RELATIVE-HUMIDITY; ABSOLUTE-HUMIDITY; INFLUENZA SEASONALITY; ENVIRONMENTAL-FACTORS; SURVIVAL; TRANSMISSION; MORTALITY</t>
  </si>
  <si>
    <t xml:space="preserve">Background: The relation between weather conditions, viral transmission and seasonal activity of respiratory viruses is not fully understood. Objectives: To investigate the impact of outdoor weather in a temperate climate setting on the seasonal epidemiology of viruses causing respiratory tract infections, particularly influenza A (IFA). Study design: In total, 20,062 clinical nasopharyngeal swab samples referred for detection of respiratory pathogens using a multiplex PCR panel, between October 2010 and July 2013, were included. Results of PCR detection were compared with local meteorological data for the same period. Results: Low temperature and vapor pressure (VP) were associated with weekly incidence of IFA, respiratory syncytial virus, metapneumovirus, bocavirus and adenovirus but no association with relative humidity was found. The incidence of human rhinovirus and enterovirus was independent of temperature. During seasonal IFA outbreaks, the weekly drop of average temperature (compared with the week before) was strongly associated with the IFA incidence recorded the following week. Conclusion: A sudden drop in outdoor temperature might activate the annual influenza epidemic in a temperate climate by facilitating aerosol spread in dry air. These conditions also seem to affect the incidence of other respiratory pathogens but not human rhino- or enterovirus, suggesting that routes of infection other than aerosol may be relevant for these agents. (C) 2016 Elsevier B.V. All rights reserved.</t>
  </si>
  <si>
    <t xml:space="preserve">[Sundell, Nicklas; Andersson, Lars-Magnus; Lindh, Magnus; Westing, Johan] Univ Gothenburg, Dept Infect Dis Clin Virol, Gothenburg, Sweden; [Brittain-Long, Robin] Aberdeen Royal Infirm, Dept Infect Dis, Aberdeen, Scotland</t>
  </si>
  <si>
    <t xml:space="preserve">University of Gothenburg; University of Aberdeen</t>
  </si>
  <si>
    <t xml:space="preserve">Sundell, N (corresponding author), Univ Gothenburg, Dept Infect Dis, Inst Biomed, Sahlgrenska Acad, Guldhedsgatan 10b, S-41336 Gothenburg, Sweden.</t>
  </si>
  <si>
    <t xml:space="preserve">nicklas.sundell@vgregion.se</t>
  </si>
  <si>
    <t xml:space="preserve">Region Vastra Gotaland Research Funds [162681]</t>
  </si>
  <si>
    <t xml:space="preserve">Region Vastra Gotaland Research Funds</t>
  </si>
  <si>
    <t xml:space="preserve">Region Vastra Gotaland Research Funds funded this research. Project number: 162681.</t>
  </si>
  <si>
    <t xml:space="preserve">10.1016/j.jcv.2016.10.005</t>
  </si>
  <si>
    <t xml:space="preserve">EC9HU</t>
  </si>
  <si>
    <t xml:space="preserve">WOS:000388456200012</t>
  </si>
  <si>
    <t xml:space="preserve">Girit, S; Karaaslan, A; Gençer, S; Yilmaz, E; Ayhan, Y; Vayvada, ER; Ciblak, MA; Badur, S; Akin, Y</t>
  </si>
  <si>
    <t xml:space="preserve">Girit, Saniye; Karaaslan, Ayse; Gencer, Serap; Yilmaz, Emel; Ayhan, Yetkin; Vayvada, Elif Rusen; Ciblak, Meral Akcay; Badur, Selim; Akin, Yasemin</t>
  </si>
  <si>
    <t xml:space="preserve">Active Surveillance of Influenza A and Other Respiratory Viruses in Children with Influenza-like-illness in Two Seasons</t>
  </si>
  <si>
    <t xml:space="preserve">Influenza A; influenza like illness; respiratory viruses</t>
  </si>
  <si>
    <t xml:space="preserve">VIRAL ETIOLOGY; SYNCYTIAL VIRUS; INFANTS; INFECTIONS; BURDEN</t>
  </si>
  <si>
    <t xml:space="preserve">Introduction: The aim of this study was to asses the surveillance of influenza A/other respiratory viruses and risk factors in hospitalized children with the symptoms of influenza-like illness during two consecutive influenza seasons. Methodology: All children hospitalized with adiagnosis of influenza-like illness had been investigated for Influenza A and other respiratory antigens in pharengeal/nasopharyngeal secretions. Results: A total of 132 hospitalized children between December 2013-May 2014 and December 2014-May 2015 were enrolled in this study. At least one respiratory virus was found to be positive by RT-PCR in 78 (59%) patients, influenza A (H3N2) was detected in only 8 (6%) patients. In 54 (41%) patients samples no respiratory viral pathogen was detected and in 70 (53%) patients, one non-influenza A virus was detected. The respiratory viral pathogens detected in decreasing rates were: RSV (n = 46, 35%), HCoV (n = 10, 7.5%), adenovirus (n = 7, 5%), rhinovirus (n = 6, 4.5%), HMPV (n = 5, 4%), Influenza B (n = 4, 3%) ve human Bocavirus (n = 2, 1.5%). In 10 patients, coinfection was detected, however none was with H3N2. In the H3N2 (+) group, the following risk factors were identified: age older than three years (p &lt; 0.05), asthma history (p &lt; 0.05) and chronic lung diseases (p &lt; 0.05). Conclusion: Influenza A virus was detected in 6% of hospitalized patients with influenza-like illness. Viruses other then Influenza, especially RSV, can cause similar symptoms compatible with Influenza-like-illness.</t>
  </si>
  <si>
    <t xml:space="preserve">[Girit, Saniye] Dr Lutfi Kirdar Kartal Educ &amp; Res Hosp, Dept Pediat, Div Pediat Pulmonol, Istanbul, Turkey; [Karaaslan, Ayse] Dr Lutfi Kirdar Kartal Educ &amp; Res Hosp, Dept Pediat, Div Pediat Infect Dis, Istanbul, Turkey; [Gencer, Serap] Dr Lutfi Kirdar Kartal Educ &amp; Res Hosp, Dept Infect Dis &amp; Clin Microbiol, Istanbul, Turkey; [Yilmaz, Emel; Ayhan, Yetkin; Vayvada, Elif Rusen; Akin, Yasemin] Dr Lutfi Kirdar Kartal Educ &amp; Res Hosp, Dept Pediat, Istanbul, Turkey; [Ciblak, Meral Akcay; Badur, Selim] Istanbul Univ, Dept Microbiol, Fac Med, Istanbul, Turkey</t>
  </si>
  <si>
    <t xml:space="preserve">Istanbul Kartal Dr Lutfi Kirdar Training &amp; Research Hospital; Istanbul Kartal Dr Lutfi Kirdar Training &amp; Research Hospital; Istanbul Kartal Dr Lutfi Kirdar Training &amp; Research Hospital; Istanbul Kartal Dr Lutfi Kirdar Training &amp; Research Hospital; Istanbul University</t>
  </si>
  <si>
    <t xml:space="preserve">Girit, S (corresponding author), Lutfi Kirdar Kartal Educ &amp; Res Hosp, Dept Pediat, Div Pediat Pulmonol, Semsi Denizer Cad E-5 Karayolu Cevizli Mevkii, TR-34890 Kartal Istanbul, Turkey.</t>
  </si>
  <si>
    <t xml:space="preserve">saniyegirit@gmail.com</t>
  </si>
  <si>
    <t xml:space="preserve">ayhan, yetkin/LKJ-2742-2024; Karaaslan, Ayşe/ACU-0337-2022; Girit, Saniye/AAE-6316-2019; akın, yasemin/HJI-0359-2023; Gencer, Serap/E-3471-2015</t>
  </si>
  <si>
    <t xml:space="preserve">Yilmaz Gumus, Emel/0000-0003-0220-6566; Yilmaz, Emel/0000-0002-3894-1231; Ayhan, Yetkin/0000-0002-8742-2622; Gencer, Serap/0000-0002-3217-6305</t>
  </si>
  <si>
    <t xml:space="preserve">10.3855/jidc.8867</t>
  </si>
  <si>
    <t xml:space="preserve">FS5TZ</t>
  </si>
  <si>
    <t xml:space="preserve">WOS:000419863200006</t>
  </si>
  <si>
    <t xml:space="preserve">Goto, H; Ihira, H; Morishita, K; Tsuchiya, M; Ohta, K; Yumine, N; Tsurudome, M; Nishio, M</t>
  </si>
  <si>
    <t xml:space="preserve">Goto, Hideo; Ihira, Hironobu; Morishita, Keiichi; Tsuchiya, Mitsuki; Ohta, Keisuke; Yumine, Natsuko; Tsurudome, Masato; Nishio, Machiko</t>
  </si>
  <si>
    <t xml:space="preserve">Enhanced growth of influenza A virus by coinfection with human parainfluenza virus type 2</t>
  </si>
  <si>
    <t xml:space="preserve">Influenza A virus; Human parainfluenza virus type 2; Coinfection; Cell fusion</t>
  </si>
  <si>
    <t xml:space="preserve">RESPIRATORY-SYNCYTIAL-VIRUS; HEMAGGLUTININ-NEURAMINIDASE PROTEIN; REAL-TIME PCR; V-PROTEIN; NS1 PROTEIN; HUMAN METAPNEUMOVIRUS; ANTIVIRAL RESPONSE; RNA HELICASE; ACTIVATION; INFECTIONS</t>
  </si>
  <si>
    <t xml:space="preserve">It has been reported that dual or multiple viruses can coinfect epithelial cells of the respiratory tract. However, little has been reported on in vitro interactions of coinfected viruses. To explore how coinfection of different viruses affects their biological property, we examined growth of influenza A virus (IAV) and human parainfluenza virus type 2 (hPIV2) during coinfection of Vero cells. We found that IAV growth was enhanced by coinfection with hPIV2. The enhanced growth of IAV was not reproduced by coinfection with an hPIV2 mutant with reduced cell fusion activity, or by ectopic expression of the V protein of hPIV2. In contrast, induction of cell fusion by ectopic expression of the hPIV2 HN and F proteins augments IAV growth. hPIV2 coinfection supported IAV growth in cells originated from the respiratory epithelium. The enhancement correlated closely with cell fusion ability of hPIV2 in those cells. These results indicate that cell fusion induced by hPIV2 infection is beneficial to IAV replication and that enhanced viral replication by coinfection with different viruses can modify their pathological consequences.</t>
  </si>
  <si>
    <t xml:space="preserve">[Goto, Hideo; Ihira, Hironobu; Morishita, Keiichi; Tsuchiya, Mitsuki; Ohta, Keisuke; Yumine, Natsuko; Nishio, Machiko] Wakayama Med Univ, Sch Med, Dept Microbiol, Wakayama, Japan; [Tsurudome, Masato] Mie Univ, Grad Sch Med, Dept Microbiol &amp; Mol Genet, Tsu, Mie, Japan</t>
  </si>
  <si>
    <t xml:space="preserve">Wakayama Medical University; Mie University</t>
  </si>
  <si>
    <t xml:space="preserve">Nishio, M (corresponding author), Wakayama Med Univ, Sch Med, Dept Microbiol, Wakayama, Japan.</t>
  </si>
  <si>
    <t xml:space="preserve">mnishio@wakayama-med.ac.jp</t>
  </si>
  <si>
    <t xml:space="preserve">JSPS KAKENHI [15K08500]; Grants-in-Aid for Scientific Research [15K08500] Funding Source: KAKEN</t>
  </si>
  <si>
    <t xml:space="preserve">JSPS KAKENHI(Ministry of Education, Culture, Sports, Science and Technology, Japan (MEXT)Japan Society for the Promotion of ScienceGrants-in-Aid for Scientific Research (KAKENHI)); Grants-in-Aid for Scientific Research(Ministry of Education, Culture, Sports, Science and Technology, Japan (MEXT)Japan Society for the Promotion of ScienceGrants-in-Aid for Scientific Research (KAKENHI))</t>
  </si>
  <si>
    <t xml:space="preserve">We thank Yoko Matsuzaki for kindly providing us with influenza A virus A/Puerto Rico/8/24 and Yoshihiro Kawaoka for providing us with the rabbit antiserum against influenza A virus. This work was supported by JSPS KAKENHI Grant Number 15K08500.</t>
  </si>
  <si>
    <t xml:space="preserve">10.1007/s00430-015-0441-y</t>
  </si>
  <si>
    <t xml:space="preserve">DM3QR</t>
  </si>
  <si>
    <t xml:space="preserve">WOS:000376261700002</t>
  </si>
  <si>
    <t xml:space="preserve">Smit, PM; Limper, M; van Gorp, ECM; Smits, PHM; Beijnen, JH; Brandjes, DPM; Mulder, JW</t>
  </si>
  <si>
    <t xml:space="preserve">Smit, Patrick M.; Limper, Maarten; van Gorp, Eric C. M.; Smits, Paul H. M.; Beijnen, Jos H.; Brandjes, Dees P. M.; Mulder, Jan W.</t>
  </si>
  <si>
    <t xml:space="preserve">Adult outpatient experience of the 2009 H1N1 pandemic: Clinical course, pathogens, and evaluation of case definitions</t>
  </si>
  <si>
    <t xml:space="preserve">Influenza A (H1N1); Respiratory virus; Influenza-like illness; Outpatient clinic; Epidemiology; Case definition; Performance characteristics; Sensitivity; Specificity; Predictive value</t>
  </si>
  <si>
    <t xml:space="preserve">ACUTE RESPIRATORY ILLNESS; INFLUENZA; COMMUNITY; INFECTIONS; VIRUS</t>
  </si>
  <si>
    <t xml:space="preserve">Objectives: The aim was to describe causative agents and clinical characteristics in adult outpatients with upper airway symptoms during the 2009 H1N1 pandemic and to evaluate case definitions that are used in clinical practice. Methods: From August through December 2009, 964 symptomatic adult outpatients were included. RT-PCR was used to detect the following pathogens: influenza A (H1N1) and B, parainfluenza 1-4, adenovirus, respiratory syncytial virus, human rhinovirus, human metapneumovirus, human coronavirus (OC43, 229E, NL63), Chlamydia pneumoniae, Mycoplasma pneumoniae and Legionella species. The Dutch GHOR, American CDC and WHO, and British HPA case definitions were evaluated. Results: A respiratory pathogen was detected in 41% of tested patient samples; influenza A (H1N1) and human rhinovirus were both detected in 16%. Clinical presentation of influenza cases was significantly more serious when compared to rhinovirus or negative-tested cases. Test characteristics were almost similar for all 4 case definitions, with an average sensitivity of 66%, specificity of 70%, positive predictive value of 34% and negative predictive value of 90%. Conclusions: Influenza A (H1N1) and human rhinovirus were the major pathogens responsible for respiratory disease. The 2009 H1N1 pandemic in Amsterdam followed a mild course. Test characteristics of 4 different clinical case definitions seemed comparable but rather useless. (C) 2011 The British Infection Association. Published by Elsevier Ltd. All rights reserved.</t>
  </si>
  <si>
    <t xml:space="preserve">[Smit, Patrick M.; Limper, Maarten; van Gorp, Eric C. M.; Brandjes, Dees P. M.; Mulder, Jan W.] Slotervaart Hosp, Dept Internal Med, NL-1066 EC Amsterdam, Netherlands; [van Gorp, Eric C. M.] Erasmus MC, Dept Virol, NL-3000 CA Rotterdam, Netherlands; [Smits, Paul H. M.] Slotervaart Hosp, Dept Mol Biol, NL-1066 EC Amsterdam, Netherlands; [Beijnen, Jos H.] Slotervaart Hosp, Dept Clin Pharm, NL-1066 EC Amsterdam, Netherlands; [Beijnen, Jos H.] Univ Utrecht, Dept Pharmaceut Sci, NL-3508 TB Utrecht, Netherlands</t>
  </si>
  <si>
    <t xml:space="preserve">Slotervaart Hospital; Erasmus University Rotterdam; Erasmus MC; Slotervaart Hospital; Slotervaart Hospital; Utrecht University</t>
  </si>
  <si>
    <t xml:space="preserve">Smit, PM (corresponding author), Slotervaart Hosp, Dept Internal Med, Louwesweg 6, NL-1066 EC Amsterdam, Netherlands.</t>
  </si>
  <si>
    <t xml:space="preserve">Patrick.Smit@slz.nl</t>
  </si>
  <si>
    <t xml:space="preserve">Limper, Maarten/LLK-0581-2024; Beijnen, Jos/L-3503-2016</t>
  </si>
  <si>
    <t xml:space="preserve">10.1016/j.jinf.2011.03.005</t>
  </si>
  <si>
    <t xml:space="preserve">766NR</t>
  </si>
  <si>
    <t xml:space="preserve">WOS:000290790800006</t>
  </si>
  <si>
    <t xml:space="preserve">Yeshuroon-Koffler, K; Shemer-Avni, Y; Keren-Naus, A; Goldbart, AD</t>
  </si>
  <si>
    <t xml:space="preserve">Yeshuroon-Koffler, Keren; Shemer-Avni, Yonat; Keren-Naus, Ayelet; Goldbart, Aviv D.</t>
  </si>
  <si>
    <t xml:space="preserve">Detection of Common Respiratory Viruses in Tonsillar Tissue of Children with Obstructive Sleep Apnea</t>
  </si>
  <si>
    <t xml:space="preserve">inflammation; OSA; RSV; virus</t>
  </si>
  <si>
    <t xml:space="preserve">C-REACTIVE PROTEIN; SYNCYTIAL VIRUS; NEUROGENIC INFLAMMATION; ADENOTONSILLAR TISSUE; RHINOVIRUS ILLNESSES; ADENOVIRUS; SIZE; RNA; HYPERTROPHY; PREVALENCE</t>
  </si>
  <si>
    <t xml:space="preserve">BackgroundEarly life viral infection is associated with neurogenic inflammation that is present in lymphoid tissues of the upper airway in children with obstructive sleep apnea (OSA). We hypothesized that viral genomic material is present in tonsils of children with OSA. Therefore, we examined tonsils for the presence of respiratory viruses' nucleic acids in children with OSA, and in children without OSA (undergoing surgery for recurrent throat infections (RI)). MethodsTonsillar tissue from patients with OSA and RI was subjected to multiplex quantitative real time reverse transcription PCR (mqRTPCR), analyzed for the presence of common respiratory viruses' genetic material. ResultsFifty-six patients were included, of whom 34 had OSA (age (yearsS.D), 4.22 +/- 1.14) and 22 with RI (4.35 +/- 1.36). Respiratory viruses nucleic acids (24 detections) were observed in 17 (50%) OSA samples. In contrast, no virus was detected in RI samples (relative frequency P&lt;0.0001). Viruses detected, based on frequency were Rhinovirus, Adenovirus, human metapneumovirus (hMPV), respiratory syncytial virus (RSV), and corona virus. ConclusionsRespiratory viruses are detected in OSA hypertrophic tonsils, suggestive of their role in the evolution of tonsillar inflammation and hypertrophy. Early life viral infections may contribute to the pathogenesis of pediatric OSA. Pediatr Pulmonol. 2015; 50:187-195. (c) 2014 Wiley Periodicals, Inc.</t>
  </si>
  <si>
    <t xml:space="preserve">[Yeshuroon-Koffler, Keren; Goldbart, Aviv D.] Ben Gurion Univ Negev, Fac Hlth Sci, Dept Pediat, Soroka Univ,Med Ctr, IL-84101 Beer Sheva, Israel; [Shemer-Avni, Yonat; Keren-Naus, Ayelet] Ben Gurion Univ Negev, Fac Hlth Sci, Clin Virol Lab, Soroka Univ,Med Ctr, IL-84101 Beer Sheva, Israel; [Shemer-Avni, Yonat; Keren-Naus, Ayelet] Ben Gurion Univ Negev, Fac Hlth Sci, Dept Microbiol Immunol &amp; Genet, Soroka Univ,Med Ctr, IL-84101 Beer Sheva, Israel; [Goldbart, Aviv D.] Ben Gurion Univ Negev, Fac Hlth Sci, Sleep Wake Disorders Unit, Soroka Univ,Med Ctr, IL-84101 Beer Sheva, Israel</t>
  </si>
  <si>
    <t xml:space="preserve">Ben Gurion University; Soroka Medical Center; Ben Gurion University; Soroka Medical Center; Ben Gurion University; Soroka Medical Center; Ben Gurion University; Soroka Medical Center</t>
  </si>
  <si>
    <t xml:space="preserve">Goldbart, AD (corresponding author), Ben Gurion Univ Negev, Fac Hlth Sci, Dept Pediat, Soroka Univ,Med Ctr, IL-84101 Beer Sheva, Israel.</t>
  </si>
  <si>
    <t xml:space="preserve">avivgold@bgu.ac.il</t>
  </si>
  <si>
    <t xml:space="preserve">AVNI, YONAT/F-1772-2012</t>
  </si>
  <si>
    <t xml:space="preserve">Israel Science Foundation [ISF 753/11]</t>
  </si>
  <si>
    <t xml:space="preserve">Israel Science Foundation(Israel Science Foundation)</t>
  </si>
  <si>
    <t xml:space="preserve">Funding source: Israel Science Foundation ISF 753/11.</t>
  </si>
  <si>
    <t xml:space="preserve">10.1002/ppul.23005</t>
  </si>
  <si>
    <t xml:space="preserve">AY9MT</t>
  </si>
  <si>
    <t xml:space="preserve">WOS:000347875900012</t>
  </si>
  <si>
    <t xml:space="preserve">Ni, WW; Wei, X; Wu, R</t>
  </si>
  <si>
    <t xml:space="preserve">Ni, Weiwei; Wei, Xin; Wu, Rui</t>
  </si>
  <si>
    <t xml:space="preserve">Innate Immune Response-Mediated Inflammation in Viral Pneumonia</t>
  </si>
  <si>
    <t xml:space="preserve">inflammation; innate immune response; pneumonia; viral infection</t>
  </si>
  <si>
    <t xml:space="preserve">COMMUNITY-ACQUIRED PNEUMONIA; RESPIRATORY SYNCYTIAL VIRUS; INFLUENZA-A; LYMPHOID-CELLS; NK CELLS; LUNG INJURY; BRONCHIAL EPITHELIUM; PARAINFLUENZA VIRUS; T-CELLS; INFECTION</t>
  </si>
  <si>
    <t xml:space="preserve">Objective This study aims to investigate the intricate interactions between viral infections, specifically within the context of community-acquired pneumonia. We seek to shed light on the underestimation of viral pneumonia cases, utilizing advancements in molecular diagnostic testing. Methods The investigation involves a comprehensive review of existing literature to explore the prevalence and impact of various viruses causing pneumonia in both children and adults. Our focus spans parainfluenza virus, respiratory syncytial virus, human bocavirus, human metapneumovirus, and rhinoviruses in children and coronaviruses, rhinoviruses, and influenza viruses in adults. The study further delves into the host's innate immune response, emphasizing the roles of pattern recognition receptors (PRRs), type I interferons (IFNs), proinflammatory cytokines, and other immune cells during viral infections. Results The analysis reveals a substantial global burden of viral community-acquired pneumonia, estimating approximately 200 million cases annually in children and adults combined. This study underscores viruses' significant, previously underestimated role in causing pneumonia. Insights into specific viruses affecting different age groups and their prevalence in various geographical settings are provided. Conclusion In conclusion, this review emphasizes the necessity of recognizing the substantial contribution of viral infections to community-acquired pneumonia cases. The host's innate immune response, mediated by PRRs, type I IFNs, and other immune mediators, is pivotal in preventing viral invasion and replication. The study accentuates the importance of continued research into understanding the innate immune mechanisms involved in viral infections and the resulting inflammation.</t>
  </si>
  <si>
    <t xml:space="preserve">[Ni, Weiwei] Taizhou Second Peoples Hosp, Dept Neonatol, Taizhou, Jiangsu, Peoples R China; [Wei, Xin] Dis Prevent &amp; Vaccinat Ctr Chengyang Dist, Dept Chron Dis, Qingdao, Shandong, Peoples R China; [Wu, Rui] Wuhan Univ Sci &amp; Technol, Geriatr Hosp, Dept Endocrinol, Wuhan, Hubei, Peoples R China; [Wu, Rui] Wuhan Univ Sci &amp; Technol, Geriatr Hosp, Dept Endocrinol, Wuhan 430000, Hubei, Peoples R China</t>
  </si>
  <si>
    <t xml:space="preserve">Wuhan University of Science &amp; Technology; Wuhan University of Science &amp; Technology</t>
  </si>
  <si>
    <t xml:space="preserve">Wu, R (corresponding author), Wuhan Univ Sci &amp; Technol, Geriatr Hosp, Dept Endocrinol, Wuhan 430000, Hubei, Peoples R China.</t>
  </si>
  <si>
    <t xml:space="preserve">wurui19920510@sina.com</t>
  </si>
  <si>
    <t xml:space="preserve">Wei, Xin/AEV-7024-2022; Wu, Rui-Xin/GZG-6570-2022</t>
  </si>
  <si>
    <t xml:space="preserve">10.1055/s-0044-1779444</t>
  </si>
  <si>
    <t xml:space="preserve">TN8Q2</t>
  </si>
  <si>
    <t xml:space="preserve">WOS:001182168900001</t>
  </si>
  <si>
    <t xml:space="preserve">Byington, CL; Ampofo, K; Stockmann, C; Adler, FR; Herbener, A; Miller, T; Sheng, XM; Blaschke, AJ; Crisp, R; Pavia, AT</t>
  </si>
  <si>
    <t xml:space="preserve">Byington, Carrie L.; Ampofo, Krow; Stockmann, Chris; Adler, Frederick R.; Herbener, Amy; Miller, Trent; Sheng, Xiaoming; Blaschke, Anne J.; Crisp, Robert; Pavia, Andrew T.</t>
  </si>
  <si>
    <t xml:space="preserve">Community Surveillance of Respiratory Viruses Among Families in the Utah Better Identification of Germs-Longitudinal Viral Epidemiology (BIG-LoVE) Study</t>
  </si>
  <si>
    <t xml:space="preserve">infectious diseases; respiratory viruses; rhinovirus; children; PCR</t>
  </si>
  <si>
    <t xml:space="preserve">NEW-YORK FAMILIES; FLOCKED SWABS; CONTINUING SURVEILLANCE; WATCH PROGRAM; 1ST YEAR; CHILDREN; INFECTIONS; ASSOCIATION; ILLNESS; TRACT</t>
  </si>
  <si>
    <t xml:space="preserve">Background. This study: (1) describes the viral etiology of respiratory illness by prospectively collecting weekly symptom diaries and nasal swabs from families for 1 year, (2) analyzed data by reported symptoms, virus, age, and family composition, and (3) evaluated the duration of virus detection. Methods. Twenty-six households (108 individuals) provided concurrent symptom and nasal swab data for 4166 person-weeks. The FilmArray polymerase chain reaction (PCR) platform (BioFire Diagnostics, LLC) was used to detect 16 respiratory viruses. Viral illnesses were defined as &gt;= 1 consecutive weeks with the same virus detected with symptoms reported in &gt;= 1 week. Results. Participants reported symptoms in 23% and a virus was detected in 26% of person-weeks. Children younger than 5 years reported symptoms more often and were more likely to have a virus detected than older participants (odds ratio [OR] 2.47, 95% confidence interval [CI], 2.08-2.94 and OR 3.96, 95% CI, 3.35-4.70, respectively). Compared with single person households, individuals living with children experienced 3 additional weeks of virus detection. There were 783 viral detection episodes; 440 (56%) associated with symptoms. Coronaviruses, human metapneumovirus, and influenza A detections were usually symptomatic; bocavirus and rhinovirus detections were often asymptomatic. The mean duration of PCR detection was &lt;= 2 weeks for all viruses and detections of &gt;= 3 weeks occurred in 16% of episodes. Younger children had longer durations of PCR detection. Conclusions. Viral detection is often asymptomatic and occasionally prolonged, especially for bocavirus and rhinovirus. In clinical settings, the interpretation of positive PCR tests, particularly in young children and those who live with them, may be confounded.</t>
  </si>
  <si>
    <t xml:space="preserve">[Byington, Carrie L.; Ampofo, Krow; Stockmann, Chris; Herbener, Amy; Sheng, Xiaoming; Blaschke, Anne J.; Pavia, Andrew T.] Univ Utah, Dept Pediat, Salt Lake City, UT 84112 USA; [Adler, Frederick R.] Univ Utah, Dept Biol, Salt Lake City, UT 84112 USA; [Adler, Frederick R.] Univ Utah, Dept Math, Salt Lake City, UT 84112 USA; [Miller, Trent; Crisp, Robert] BioFire Diagnost, Salt Lake City, UT USA</t>
  </si>
  <si>
    <t xml:space="preserve">Utah System of Higher Education; University of Utah; Utah System of Higher Education; University of Utah; Utah System of Higher Education; University of Utah</t>
  </si>
  <si>
    <t xml:space="preserve">Byington, CL (corresponding author), Univ Utah, Dept Pediat, 26 S 2000 E,Ste 5515, Salt Lake City, UT 84112 USA.</t>
  </si>
  <si>
    <t xml:space="preserve">carrie.byington@hsc.utah</t>
  </si>
  <si>
    <t xml:space="preserve">Stockmann, Chris/P-1996-2014; Blaschke, Anne/GOJ-7946-2022; Kumar, Praveen/KHC-7586-2024</t>
  </si>
  <si>
    <t xml:space="preserve">National Institutes of Health (NIH)/National Institute of Allergy and Infectious Diseases [5U01AI082482]; NIH/National Institute of Child Health and Human Development : NIH/National Center for Advancing Translational Sciences [K24HD047249, 1UL1TR001067]; James S. McDonnell Foundation</t>
  </si>
  <si>
    <t xml:space="preserve">National Institutes of Health (NIH)/National Institute of Allergy and Infectious Diseases(United States Department of Health &amp; Human ServicesNational Institutes of Health (NIH) - USANIH National Institute of Allergy &amp; Infectious Diseases (NIAID)); NIH/National Institute of Child Health and Human Development : NIH/National Center for Advancing Translational Sciences; James S. McDonnell Foundation</t>
  </si>
  <si>
    <t xml:space="preserve">This study was supported by National Institutes of Health (NIH)/National Institute of Allergy and Infectious Diseases 5U01AI082482 (C. L. B., K. A., C. S., T. M., X. S., A. J. B., and R. C.); NIH/National Institute of Child Health and Human Development K24HD047249 (C. L. B.): NIH/National Center for Advancing Translational Sciences 1UL1TR001067 (C. L. B.); The HA and Edna Benning Presidential Endowment (C. L. B.); The Primary Children's Hospital Foundation (K. A. and A. J. B.) and the Pediatric Clinical and Translational Scholars Program (K. A., A. J. B.), and a Complex Systems grant from the James S. McDonnell Foundation (F. R. A.).</t>
  </si>
  <si>
    <t xml:space="preserve">10.1093/cid/civ486</t>
  </si>
  <si>
    <t xml:space="preserve">CT6WN</t>
  </si>
  <si>
    <t xml:space="preserve">WOS:000362953800001</t>
  </si>
  <si>
    <t xml:space="preserve">Matsuzaki, Y; Itagaki, T; Ikeda, T; Aoki, Y; Abiko, C; Mizuta, K</t>
  </si>
  <si>
    <t xml:space="preserve">Matsuzaki, Y.; Itagaki, T.; Ikeda, T.; Aoki, Y.; Abiko, C.; Mizuta, K.</t>
  </si>
  <si>
    <t xml:space="preserve">Human metapneumovirus infection among family members</t>
  </si>
  <si>
    <t xml:space="preserve">Infectious disease epidemiology; respiratory infections</t>
  </si>
  <si>
    <t xml:space="preserve">E6 CELL-LINE; CLINICAL IMPACT; PCR ASSAY; CHILDREN; OUTBREAK; YAMAGATA; VIRUS; JAPAN; DISEASE</t>
  </si>
  <si>
    <t xml:space="preserve">The transmission of human metapneumovirus (hMPV) among family members is not well understood. We identified 15 families in which multiple members were diagnosed with hMPV infection by real-time PCR in 2008 and 2010. Index patients ranged in age from 2 years to 11 years (median 5 years), and all 15 index cases were children who attended primary school, kindergarten, or nursery school. Contact patients ranged in age from 2 months to 46 years (median 6 years). Excluding five adult cases, contact patients were significantly younger than index patients (P=0.0389). Of the 12 contact children, seven (58%) were infants who were taken care of at home. The serial interval between the onset of symptoms in an index patient and the onset of symptoms in a contact patient was estimated to be 5 days. These results suggest that the control of school-based outbreaks is important for preventing hMPV infection in infants.</t>
  </si>
  <si>
    <t xml:space="preserve">[Matsuzaki, Y.] Yamagata Univ, Dept Infect Dis, Fac Med, Yamagata 9909585, Japan; [Itagaki, T.] Yamanobe Pediat Clin, Yamagata, Japan; [Ikeda, T.; Aoki, Y.; Abiko, C.; Mizuta, K.] Yamagata Prefectural Inst Publ Hlth, Dept Microbiol, Yamagata 9900031, Japan</t>
  </si>
  <si>
    <t xml:space="preserve">Matsuzaki, Y (corresponding author), Yamagata Univ, Dept Infect Dis, Fac Med, Iida Nishi 2-2-2, Yamagata 9909585, Japan.</t>
  </si>
  <si>
    <t xml:space="preserve">Japanese Ministry of Education, Culture, Sports, Science and Technology</t>
  </si>
  <si>
    <t xml:space="preserve">Japanese Ministry of Education, Culture, Sports, Science and Technology(Ministry of Education, Culture, Sports, Science and Technology, Japan (MEXT))</t>
  </si>
  <si>
    <t xml:space="preserve">This work was supported in part by a grant-in-aid for Scientific Research from the Japanese Ministry of Education, Culture, Sports, Science and Technology. We thank Yoko Kadowaki for her assistance in the sequence analysis.</t>
  </si>
  <si>
    <t xml:space="preserve">10.1017/S095026881200129X</t>
  </si>
  <si>
    <t xml:space="preserve">096CU</t>
  </si>
  <si>
    <t xml:space="preserve">WOS:000315382400017</t>
  </si>
  <si>
    <t xml:space="preserve">Murali, S; Langston, AA; Nolte, FS; Banks, G; Martin, R; Caliendo, AM</t>
  </si>
  <si>
    <t xml:space="preserve">Murali, Sujatha; Langston, Amelia A.; Nolte, Frederick S.; Banks, Grier; Martin, Reid; Caliendo, Angela M.</t>
  </si>
  <si>
    <t xml:space="preserve">Detection of respiratory viruses with a multiplex polymerase chain reaction assay (MultiCode-PLx Respiratory Virus Panel) in patients with hematologic malignancies</t>
  </si>
  <si>
    <t xml:space="preserve">LEUKEMIA &amp; LYMPHOMA</t>
  </si>
  <si>
    <t xml:space="preserve">Infectious complications; infectious complications; clinical results</t>
  </si>
  <si>
    <t xml:space="preserve">STEM-CELL TRANSPLANTATION; ENZYME HYBRIDIZATION ASSAY; VIRAL-INFECTIONS; SYNCYTIAL-VIRUS; HUMAN METAPNEUMOVIRUS; ANTIVIRAL THERAPY; TRACT INFECTIONS; CANCER CENTER; RISK-FACTORS; PCR ASSAYS</t>
  </si>
  <si>
    <t xml:space="preserve">Respiratory viral pathogens are a common cause of morbidity in patients with hematologic malignancies. Sensitive molecular assays have increased the detection of common respiratory viruses and expanded the panel of detectable viruses. Both a rapid viral culture with direct fluorescence antibody (DFA) staining and a PCR-based assay (MultiCode-PLx Respiratory Virus Panel) were performed on patients with hematologic malignancies, who underwent collection of a nasopharyngeal swab or bronchoalveolar lavage from October 2006 to April 2007. Eighty-two samples from 70 patients were obtained; all patients had upper respiratory tract symptoms. Respiratory viruses were detected in 10 samples (12%) by conventional virological methods and in 31 samples (38%) by the MultiCode-PLx assay. This increased diagnostic yield resulted from better sensitivity for those viruses detectable by both methods and detection of viruses not covered by the antigen detection/rapid culture method (human metapneumovirus, coronaviruses and rhinoviruses). The MultiCode-PLx assay frequently identified respiratory viral infections which are not detected by rapid viral culture/DFA; 40% of these patients had pneumonia in addition to the upper respiratory tract symptoms. Improved diagnostics for respiratory viruses may lead to more effective management and better outcomes in this patient population.</t>
  </si>
  <si>
    <t xml:space="preserve">[Murali, Sujatha; Langston, Amelia A.; Martin, Reid] Emory Univ, Sch Med, Winship Canc Inst, Dept Hematol &amp; Med Oncol,MOT, Atlanta, GA 30308 USA; [Nolte, Frederick S.] Med Univ S Carolina, Dept Pathol &amp; Lab Med, Charleston, SC 29425 USA; [Banks, Grier; Caliendo, Angela M.] Emory Univ, Sch Med, Dept Pathol &amp; Lab Med, Atlanta, GA 30322 USA</t>
  </si>
  <si>
    <t xml:space="preserve">Emory University; Medical University of South Carolina; Emory University</t>
  </si>
  <si>
    <t xml:space="preserve">Murali, S (corresponding author), Emory Univ, Sch Med, Winship Canc Inst, Dept Hematol &amp; Med Oncol,MOT, 550 Peachtree St,NE 8th Floor, Atlanta, GA 30308 USA.</t>
  </si>
  <si>
    <t xml:space="preserve">sujatha.murali@emoryhealthcare.org</t>
  </si>
  <si>
    <t xml:space="preserve">4 PARK SQUARE, MILTON PARK, ABINGDON OX14 4RN, OXON, ENGLAND</t>
  </si>
  <si>
    <t xml:space="preserve">1042-8194</t>
  </si>
  <si>
    <t xml:space="preserve">LEUKEMIA LYMPHOMA</t>
  </si>
  <si>
    <t xml:space="preserve">Leuk. Lymphoma</t>
  </si>
  <si>
    <t xml:space="preserve">PII 910513777</t>
  </si>
  <si>
    <t xml:space="preserve">10.1080/10428190902777665</t>
  </si>
  <si>
    <t xml:space="preserve">Oncology; Hematology</t>
  </si>
  <si>
    <t xml:space="preserve">435RR</t>
  </si>
  <si>
    <t xml:space="preserve">WOS:000265361500018</t>
  </si>
  <si>
    <t xml:space="preserve">Dube, FS; Kaba, M; Robberts, FJL; Tow, LA; Lubbe, S; Zar, HJ; Nicol, MP</t>
  </si>
  <si>
    <t xml:space="preserve">Dube, Felix S.; Kaba, Mamadou; Robberts, F. J. Lourens; Tow, Lemese Ah; Lubbe, Sugnet; Zar, Heather J.; Nicol, Mark P.</t>
  </si>
  <si>
    <t xml:space="preserve">Respiratory microbes present in the nasopharynx of children hospitalised with suspected pulmonary tuberculosis in Cape Town, South Africa</t>
  </si>
  <si>
    <t xml:space="preserve">Infection; Nasopharynx; Microbiota; Mycobacterium tuberculosis; Tuberculosis; Respiratory microbes</t>
  </si>
  <si>
    <t xml:space="preserve">COMMUNITY-ACQUIRED PNEUMONIA; INFECTIONS; PATHOGENS; DIAGNOSIS; ETIOLOGY</t>
  </si>
  <si>
    <t xml:space="preserve">Background: Lower respiratory tract infection in children is increasingly thought to be polymicrobial in origin. Children with symptoms suggestive of pulmonary tuberculosis (PTB) may have tuberculosis, other respiratory tract infections or co-infection with Mycobacterium tuberculosis and other pathogens. We aimed to identify the presence of potential respiratory pathogens in nasopharyngeal (NP) samples from children with suspected PTB. Method: NP samples collected from consecutive children presenting with suspected PTB at Red Cross Children's Hospital (Cape Town, South Africa) were tested by multiplex real-time RT-PCR. Mycobacterial liquid culture and Xpert MTB/RIF was performed on 2 induced sputa obtained from each participant. Children were categorised as definite-TB (culture or qPCR [Xpert MTB/RIF] confirmed), unlikely-TB (improvement of symptoms without TB treatment on follow-up) and unconfirmed-TB (all other children). Results: Amongst 214 children with a median age of 36 months (interquartile range, [IQR] 19-66 months), 34 (16 %) had definite-TB, 86 (40 %) had unconfirmed-TB and 94 (44 %) were classified as unlikely-TB. Moraxella catarrhalis (64 %), Streptococcus pneumoniae (42 %), Haemophilus influenzae spp (29 %) and Staphylococcus aureus (22 %) were the most common bacteria detected in NP samples. Other bacteria detected included Mycoplasma pneumoniae (9 %), Bordetella pertussis (7 %) and Chlamydophila pneumoniae (4 %). The most common viruses detected included metapneumovirus (19 %), rhinovirus (15 %), influenza virus C (9 %), adenovirus (7 %), cytomegalovirus (7 %) and coronavirus O43 (5.6 %). Both bacteria and viruses were detected in 73, 55 and 56 % of the definite, unconfirmed and unlikely-TB groups, respectively. There were no significant differences in the distribution of respiratory microbes between children with and without TB. Using quadratic discriminant analysis, human metapneumovirus, C. pneumoniae, coronavirus 043, influenza virus C virus, rhinovirus and cytomegalovirus best discriminated children with definite-TB from the other groups of children. Conclusions: A broad range of potential respiratory pathogens was detected in children with suspected TB. There was no clear association between TB categorisation and detection of a specific pathogen. Further work is needed to explore potential pathogen interactions and their role in the pathogenesis of PTB.</t>
  </si>
  <si>
    <t xml:space="preserve">[Dube, Felix S.; Kaba, Mamadou; Robberts, F. J. Lourens; Tow, Lemese Ah; Nicol, Mark P.] Univ Cape Town, Div Med Microbiol, Dept Pathol, Fac Hlth Sci, Cape Town, South Africa; [Kaba, Mamadou; Nicol, Mark P.] Univ Cape Town, Inst Infect Dis &amp; Mol Med, Fac Hlth Sci, Cape Town, South Africa; [Lubbe, Sugnet] Univ Cape Town, Dept Stat Sci, Fac Sci, Cape Town, South Africa; [Zar, Heather J.] Univ Cape Town, Red Cross War Mem Childrens Hosp, Dept Paediat &amp; Child Hlth, Cape Town, South Africa; [Zar, Heather J.] Univ Cape Town, SAMRC Unit Child &amp; Adolescent Hlth, Cape Town, South Africa; [Nicol, Mark P.] Groote Schuur Hosp, Natl Hlth Lab Serv, Cape Town, South Africa</t>
  </si>
  <si>
    <t xml:space="preserve">University of Cape Town; University of Cape Town; University of Cape Town; University of Cape Town; University of Cape Town; University of Cape Town</t>
  </si>
  <si>
    <t xml:space="preserve">Dube, FS (corresponding author), Univ Cape Town, Div Med Microbiol, Dept Pathol, Fac Hlth Sci, Cape Town, South Africa.</t>
  </si>
  <si>
    <t xml:space="preserve">felix.dube@uct.ac.za</t>
  </si>
  <si>
    <t xml:space="preserve">Nicol, Mark/W-4149-2019; Robberts, Frans Jackop Lourens/KFR-0222-2024; Le Roux, Niel/ABC-1713-2020; Zar, Heather/GZL-5350-2022; Dube, Felix Sizwe/HQZ-3697-2023; Nicol, Mark/J-4987-2014</t>
  </si>
  <si>
    <t xml:space="preserve">Dube, Felix Sizwe/0000-0003-2775-7786; Zar, Heather/0000-0002-9046-759X; Nicol, Mark/0000-0002-1366-4805; Robberts, Lourens/0000-0003-4397-4852</t>
  </si>
  <si>
    <t xml:space="preserve">National Institutes of Health, USA (H3Africa Initiative) [1U01AI110466-01A1, 1R01HD058971-01]; Medical Research Council of South Africa (Tuberculosis Collaborating Centre for Child Health); National Research Foundation of South Africa [UID99696]; University of Cape Town Faculty Research Committee (FRC) Postgraduate Publication Incentive; Carnegie Corporation of New York (USA); Wellcome Trust, UK [102429/Z/13/Z]; Wellcome Trust [102429/Z/13/Z] Funding Source: Wellcome Trust</t>
  </si>
  <si>
    <t xml:space="preserve">National Institutes of Health, USA (H3Africa Initiative)(United States Department of Health &amp; Human ServicesNational Institutes of Health (NIH) - USAOffice of the Administrator (NIH)); Medical Research Council of South Africa (Tuberculosis Collaborating Centre for Child Health); National Research Foundation of South Africa(National Research Foundation - South Africa); University of Cape Town Faculty Research Committee (FRC) Postgraduate Publication Incentive; Carnegie Corporation of New York (USA); Wellcome Trust, UK(Wellcome Trust); Wellcome Trust(Wellcome Trust)</t>
  </si>
  <si>
    <t xml:space="preserve">This study was funded by the National Institutes of Health, USA (H3Africa Initiative 1U01AI110466-01A1 and 1R01HD058971-01) and the Medical Research Council of South Africa (Tuberculosis Collaborating Centre for Child Health). FSD is supported by the National Research Foundation of South Africa (UID99696) and further received funding from the University of Cape Town Faculty Research Committee (FRC) Postgraduate Publication Incentive. MK was supported by Carnegie Corporation of New York (USA) and now is supported by Wellcome Trust, UK (102429/Z/13/Z).</t>
  </si>
  <si>
    <t xml:space="preserve">OCT 24</t>
  </si>
  <si>
    <t xml:space="preserve">10.1186/s12879-016-1934-z</t>
  </si>
  <si>
    <t xml:space="preserve">DZ7FX</t>
  </si>
  <si>
    <t xml:space="preserve">WOS:000386031400001</t>
  </si>
  <si>
    <t xml:space="preserve">Hamedl, HM; El-Sahrigy, SAF; Moustafa, NAA; El Rifai, NME; Hasan, NS; Aziz, SMA</t>
  </si>
  <si>
    <t xml:space="preserve">Hamedl, Hanan M.; El-Sahrigy, Sally Ahmed Farid; Moustafa, Nadia Ahmed Amin; El Rifai, Nihal Mohamed El Sayed; Hasan, Nehal S.; Aziz, Sherif Moustafa Abdel</t>
  </si>
  <si>
    <t xml:space="preserve">Study on Human Metapneumovirus and Atopy as Risk Factors of Wheezy Chest in Infants and Young Children</t>
  </si>
  <si>
    <t xml:space="preserve">RESEARCH JOURNAL OF PHARMACEUTICAL BIOLOGICAL AND CHEMICAL SCIENCES</t>
  </si>
  <si>
    <t xml:space="preserve">infants; young children; human metapneumovirus; atopy; wheezes; asthma predictive index</t>
  </si>
  <si>
    <t xml:space="preserve">ASTHMA; INFECTIONS</t>
  </si>
  <si>
    <t xml:space="preserve">Wheezing in children is a common problem encountered by family physicians. Identify young children with wheezy chest at risk of developing asthma later in life using asthma predictive index (API) and study the association of human metapneumovirus (hMPV) and atopy as risk factors for wheezy chest in these children. 50 infants and children complained of wheezy chest were included. They were subjected to the following: Full history taking with stress on atopic history, physical examination; absolute eosinophil count ;skin prick test and direct Immunofluorescent-antibody test (DFA) of nasopharyngeal mucus specimens for the diagnosis of hMPV infections. 64% of our patients were at high risk for asthma development by API. The prevalence of atopy was 42%. Separate univariate analysis examining risk factors for atopic wheeze showed significant associations with, allergic rhinitis (OR, 6.5 ;95%, CI, 1.23-36.9 ;P=0.02), eczema(OR, 5.11 ;95%, CI 1.29-20.22; P=0.02), and Parental asthma(OR, 7.08 ;95% CI, 1.72-21.49 ;P=0.004). Human metapneumovirus were found in 6% of the patients. According to API, 64% of our patients were at high risk for asthma development, where atopy was the prominent risk factor while infection with hMNV was less important risk factor.</t>
  </si>
  <si>
    <t xml:space="preserve">[Hamedl, Hanan M.; El-Sahrigy, Sally Ahmed Farid; Aziz, Sherif Moustafa Abdel] Natl Res Ctr, Pediat Dept, Pediat, Cairo, Egypt; [Moustafa, Nadia Ahmed Amin; El Rifai, Nihal Mohamed El Sayed] Cairo Univ, Fac Med, Pediat, Cairo, Egypt; [Hasan, Nehal S.] Natl Res Ctr, Clin Pathol Dept, Clin Pathol, Cairo, Egypt</t>
  </si>
  <si>
    <t xml:space="preserve">Egyptian Knowledge Bank (EKB); National Research Centre (NRC); Egyptian Knowledge Bank (EKB); Cairo University; Egyptian Knowledge Bank (EKB); National Research Centre (NRC)</t>
  </si>
  <si>
    <t xml:space="preserve">Hamedl, HM (corresponding author), Natl Res Ctr, Pediat Dept, Pediat, Cairo, Egypt.</t>
  </si>
  <si>
    <t xml:space="preserve">Hamed, Hanan/0000-0002-3626-4951; El- Sahrigy, Sally/0000-0002-5871-1935; , NEHAL/0000-0002-0584-7089</t>
  </si>
  <si>
    <t xml:space="preserve">RJPBCS RESEARCH JOURNAL PHARMACEUTICAL, BIOLOGICAL &amp; CHEMICAL SCIENCES</t>
  </si>
  <si>
    <t xml:space="preserve">PRODDATUR</t>
  </si>
  <si>
    <t xml:space="preserve">RJPBCS RESEARCH JOURNAL PHARMACEUTICAL, BIOLOGICAL &amp; CHEMICAL SCIENCES, PRODDATUR, 00000, INDIA</t>
  </si>
  <si>
    <t xml:space="preserve">0975-8585</t>
  </si>
  <si>
    <t xml:space="preserve">RES J PHARM BIOL CHE</t>
  </si>
  <si>
    <t xml:space="preserve">Res. J. Pharm. Biol. Chem. Sci.</t>
  </si>
  <si>
    <t xml:space="preserve">VB1EM</t>
  </si>
  <si>
    <t xml:space="preserve">WOS:000413254900125</t>
  </si>
  <si>
    <t xml:space="preserve">Powell, E; Sumner, E; Shaw, AG; Calvez, R; Fink, CG; Kroll, JS</t>
  </si>
  <si>
    <t xml:space="preserve">Powell, Elizabeth; Sumner, Edward; Shaw, Alex G.; Calvez, Ronan; Fink, Colin G.; Kroll, J. Simon</t>
  </si>
  <si>
    <t xml:space="preserve">The temporal pattern and lifestyle associations of respiratory virus infection in a cohort study spanning the first two years of life</t>
  </si>
  <si>
    <t xml:space="preserve">Infants; Respiratory; Virus; Symptoms; Infection</t>
  </si>
  <si>
    <t xml:space="preserve">HUMAN CORONAVIRUS; VIRAL-INFECTIONS; DAY-CARE; SYMPTOMS; CHILDREN; ASTHMA</t>
  </si>
  <si>
    <t xml:space="preserve">Background Respiratory virus infection is common in early childhood, and children may be symptomatic or symptom-free. Little is known regarding the association between symptomatic/asymptomatic infection and particular clinical factors such as breastfeeding as well as the consequences of such infection. Method We followed an unselected cohort of term neonates to two years of age (220 infants at recruitment, 159 who remained in the study to 24 months), taking oral swabs at birth and oropharyngeal swabs at intervals subsequently (at 1.5, 6, 9, 12, 18 and 24 months and in a subset at 3 and 4.5 months) while recording extensive metadata including the presence of respiratory symptoms and breastfeeding status. After 2 years medical notes from the general practitioner were inspected to ascertain whether doctor-diagnosed wheeze had occurred by this timepoint. Multiplex PCR was used to detect a range of respiratory viruses: influenza (A&amp;B), parainfluenza (1-4), bocavirus, human metapneumovirus, rhinovirus, coronavirus (OC43, 229E, NL63, HKU1), adenovirus, respiratory syncytial virus (RSV), and polyomavirus (KI, WU). Logistic regression and generalised estimating equations were used to identify associations between clinical factors and virus detection. Results Overall respiratory viral incidence increased with age. Rhinovirus was the virus most frequently detected. The detection of a respiratory virus was positively associated with respiratory symptoms, male sex, season, childcare and living with another child. We did not observe breastfeeding (whether assessed as the number of completed months of breastfeeding or current feed status) to be associated with the detection of a respiratory virus. There was no association between early viral infection and doctor-diagnosed wheeze by age 2 years. Conclusion Asymptomatic and symptomatic viral infection is common in the first 2 years of life with rhinovirus infection being the most common. Whilst there was no association between early respiratory viral infection and doctor-diagnosed wheeze, we have not ruled out an association of early viral infections with later asthma, and long-term follow-up of the cohort continues.</t>
  </si>
  <si>
    <t xml:space="preserve">[Powell, Elizabeth; Kroll, J. Simon] Imperial Coll London, Fac Med, Sect Paediat Infect Dis, St Marys Hosp Campus, London W2 1PG, England; [Sumner, Edward; Calvez, Ronan; Fink, Colin G.] Micropathol Ltd, Sir William Lyons Rd, Coventry CV4 7EZ, W Midlands, England; [Shaw, Alex G.] Imperial Coll London, Sch Publ Hlth, Dept Infect Dis Epidemiol, St Marys Hosp Campus, London, England</t>
  </si>
  <si>
    <t xml:space="preserve">Imperial College London; Imperial College London</t>
  </si>
  <si>
    <t xml:space="preserve">Powell, E (corresponding author), Imperial Coll London, Fac Med, Sect Paediat Infect Dis, St Marys Hosp Campus, London W2 1PG, England.</t>
  </si>
  <si>
    <t xml:space="preserve">elizabeth.powell@imperial.ac.uk</t>
  </si>
  <si>
    <t xml:space="preserve">Shaw, Alex/GWC-7464-2022</t>
  </si>
  <si>
    <t xml:space="preserve">Shaw, Alex/0000-0002-3166-872X; Calvez, Ronan/0000-0001-5762-1244</t>
  </si>
  <si>
    <t xml:space="preserve">Winnicott Foundation; Meningitis Now; Micropathology Ltd.</t>
  </si>
  <si>
    <t xml:space="preserve">This study was supported by the Winnicott Foundation, Meningitis Now and Micropathology Ltd. EP's salary was funded by Micropathology Ltd. ES and RC are employees of Micropathology Ltd and CF is it's co-founder.</t>
  </si>
  <si>
    <t xml:space="preserve">MAR 31</t>
  </si>
  <si>
    <t xml:space="preserve">10.1186/s12887-022-03215-3</t>
  </si>
  <si>
    <t xml:space="preserve">0E5MB</t>
  </si>
  <si>
    <t xml:space="preserve">WOS:000776724400001</t>
  </si>
  <si>
    <t xml:space="preserve">Falkenstein-Hagander, K; Månsson, AS; Redmo, J; Wimar, PN; Widell, A</t>
  </si>
  <si>
    <t xml:space="preserve">Falkenstein-Hagander, Kathy; Mansson, Ann-Sofie; Redmo, Johan; Wimar, Percy Nilsson; Widell, Anders</t>
  </si>
  <si>
    <t xml:space="preserve">Viral aetiology and clinical outcomes in hospitalised infants presenting with respiratory distress</t>
  </si>
  <si>
    <t xml:space="preserve">ACTA PAEDIATRICA</t>
  </si>
  <si>
    <t xml:space="preserve">Infants; Multiplex assay; Polymerase chain reaction; Respiratory viruses</t>
  </si>
  <si>
    <t xml:space="preserve">SYNCYTIAL VIRUS-INFECTION; TRACT INFECTIONS; CHILDREN; INFLUENZA; IMPACT; BRONCHIOLITIS; CHILDHOOD; MORTALITY; SEVERITY</t>
  </si>
  <si>
    <t xml:space="preserve">AimTo determine the prevalence of various types of viruses in infants hospitalised due to respiratory distress, compare molecular diagnostic tests and evaluate symptom severity. MethodsAll 136 nasopharyngeal aspirates from infants hospitalised for respiratory distress over a 9-month period were analysed for virus type by in-house respiratory syncytial virus (RSV) polymerase chain reaction (PCR) microarray-based and/or Luminex-based multiplex molecular tests. Medical records were reviewed retrospectively for clinical data. ResultsViral aetiology was confirmed in 126 subjects (92.6%) with 26 infected by more than one virus. RSVA/B was the most common (50.9%), followed by entero/rhinovirus (21.6%), human metapneumovirus (10.5%), parainfluenza virus (5.9%) and influenza (3.3%). RSV-infected infants had significantly lower saturation levels (89% versus 92%, p&lt;0.001), higher demand for oxygen (42.7% versus 21.6%, p=0.021) and fluids (28% versus 9.8%; p=0.014) and longer hospital stays (4 versus 3days, &lt;0.001) than other viruses. Luminex assays gave repeatable, slightly less sensitive results than in-house RSV PCR. Microarray-based assays were more sensitive, however, producing some unrepeatable results. ConclusionRespiratory syncytial virus dominates as the viral cause in hospitalised infants with respiratory distress in Sweden during the winter season, resulting in a clinical course that is significantly more severe. The multiplex assays produced reasonably concordant results.</t>
  </si>
  <si>
    <t xml:space="preserve">[Falkenstein-Hagander, Kathy; Wimar, Percy Nilsson] Lund Univ, Skane Univ Hosp Malmo, Dept Pediat, Malmo, Sweden; [Falkenstein-Hagander, Kathy] Childrens Hosp Boston, Dept Anesthesiol, Boston, MA USA; [Mansson, Ann-Sofie; Widell, Anders] Lund Univ, Skane Univ Hosp Malmo, Malmo, Sweden; [Redmo, Johan] Lund Univ, Skane Univ Hosp Malmo, Dept Infect Dis, Malmo, Sweden</t>
  </si>
  <si>
    <t xml:space="preserve">Lund University; Skane University Hospital; Harvard University; Boston Children's Hospital; Lund University; Skane University Hospital; Lund University; Skane University Hospital</t>
  </si>
  <si>
    <t xml:space="preserve">Falkenstein-Hagander, K (corresponding author), Skane Univ Hosp, Dept Pediat, S-20502 Malmo, Sweden.</t>
  </si>
  <si>
    <t xml:space="preserve">kathy.falkenstein-hagander@skane.se</t>
  </si>
  <si>
    <t xml:space="preserve">0803-5253</t>
  </si>
  <si>
    <t xml:space="preserve">1651-2227</t>
  </si>
  <si>
    <t xml:space="preserve">ACTA PAEDIATR</t>
  </si>
  <si>
    <t xml:space="preserve">Acta Paediatr.</t>
  </si>
  <si>
    <t xml:space="preserve">10.1111/apa.12623</t>
  </si>
  <si>
    <t xml:space="preserve">AG9QQ</t>
  </si>
  <si>
    <t xml:space="preserve">WOS:000335754700019</t>
  </si>
  <si>
    <t xml:space="preserve">Calvo, C; García-García, ML; Blanco, C; Pozo, F; Flecha, IC; Pérez-Breña, P</t>
  </si>
  <si>
    <t xml:space="preserve">Calvo, Cristina; Luz Garcia-Garcia, Maria; Blanco, Carolina; Pozo, Francisco; Casas Flecha, Inmaculada; Perez-Brena, Pilar</t>
  </si>
  <si>
    <t xml:space="preserve">Role of rhinovirus in hospitalized infants with respiratory tract infections in Spain</t>
  </si>
  <si>
    <t xml:space="preserve">infants; influenza; respiratory tract infection; rhinovirus; respiratory syncytial virus</t>
  </si>
  <si>
    <t xml:space="preserve">HUMAN METAPNEUMOVIRUS; VIRAL-INFECTIONS; SYNCYTIAL-VIRUS; NESTED-PCR; CHILDREN; ASTHMA; EXACERBATIONS; BRONCHIOLITIS; ADULTS; COMMUNITY</t>
  </si>
  <si>
    <t xml:space="preserve">Background: Rhinovirus is a recognized cause of common cold, proven to cause asthma exacerbations in children. In Spain, no description exists, as yet, as to the degree of burden rhinovirus infections represent among hospitalized infants. Our aim was to describe rhinovirus infections in hospitalized children, under 2 years of age, and to compare these with patients infected with respiratory syncytial virus (RSV). Patients and Methods: The prospective study was performed between September 2003 and July 2005, in children &lt; 2 years of age, admitted at the Severo Ochoa Hospital (Leganes, Madrid) with fever or respiratory tract infection and with positive rhinovirus detection in the nasopharyngeal aspirate samples. Virologic diagnosis was made by multiplex reverse transcription-polymerase chain reaction and for some virus by direct immunofluorescent assay in nasopharyngeal samples. Demographic and clinical data of those patients with rhinovirus infection were described and compared with a group of 86 patients, infected only with RSV, randomly selected from the same population. Results: We detected 85 children admitted to hospital with rhinovirus infection. Rhinovirus was the cause of 25% of all admissions, among the total of 340 under 2-year olds diagnosed with fever or respiratory tract infection. Rhinovirus was the second viral agent identified, after RSV. Clinical diagnosis was recurrent wheezing in 48.2%; bronchiolitis in 36.5%; and pneumonia in 3.5%. Fever was present in 60% of the patients. Radiologic infiltrates were found in 22.4% of the children. In 50.6% of the infants, oxygen saturation under 95% was detected, at the time of admission. Hypoxia was present in RSV-infected children more frequently (P = 0.005). Also, in this group, final diagnosis was, most frequently, bronchiolitis (P = 0.0001), and rhinovirus-infected patients were most frequently males (P = 0.004). Conclusions: Rhinovirus was detected in hospitalized infants with respiratory tract disease and was the second most common virus after RSV. In our experience, it was the second etiologic agent associated with recurrent wheezing in hospitalized children, under the age of 2 years.</t>
  </si>
  <si>
    <t xml:space="preserve">ISCIII Natl Microbiol Ctr, Severo Ochoa Hosp, Dept Pediat, Madrid, Spain; ISCIII Natl Microbiol Ctr, Influenza &amp; Resp Viruses Lab, Virol Serv, Madrid, Spain</t>
  </si>
  <si>
    <t xml:space="preserve">Severo Ochoa University Hospital</t>
  </si>
  <si>
    <t xml:space="preserve">Calvo, C (corresponding author), C Viento 5 5A, Madrid 28760, Spain.</t>
  </si>
  <si>
    <t xml:space="preserve">; Pozo, Francisco/F-4426-2012; Calvo, Cristina/T-5028-2018</t>
  </si>
  <si>
    <t xml:space="preserve">GARCIA-GARCIA, MARIA LUZ/0000-0003-4906-4227; Pozo, Francisco/0000-0003-1828-733X; Calvo, Cristina/0000-0002-6503-3423</t>
  </si>
  <si>
    <t xml:space="preserve">10.1097/INF.0b013e31812e52e6</t>
  </si>
  <si>
    <t xml:space="preserve">221GM</t>
  </si>
  <si>
    <t xml:space="preserve">WOS:000250215400006</t>
  </si>
  <si>
    <t xml:space="preserve">Esen, AB; Erol, M; Kafadar, D; Gayret, ÖB; Yigit, Ö; Dilek, TD; Yilmaz, K</t>
  </si>
  <si>
    <t xml:space="preserve">Esen, Ayse Banu; Erol, Meltem; Kafadar, Didem; Gayret, Ozlem Boston; Yigit, Ozgul; Dilek, Tugce Damla; Yilmaz, Kubra</t>
  </si>
  <si>
    <t xml:space="preserve">Progression of Disease and Viral Agents in Infants Hospitalized for Lower Respiratory Tract Infections</t>
  </si>
  <si>
    <t xml:space="preserve">Infant; rhinovirus; respiratory syncytial virus; adenovirus; respiratory tract infections; hospitalization</t>
  </si>
  <si>
    <t xml:space="preserve">HUMAN BOCAVIRUS DNA; HUMAN METAPNEUMOVIRUS; HUMAN CORONAVIRUS; HUMAN RHINOVIRUS; YOUNG-CHILDREN; VIRUSES; ETIOLOGY; PNEUMONIA; ILLNESS; PCR</t>
  </si>
  <si>
    <t xml:space="preserve">Aim: Acute viral respiratory tract infection is the leading cause of hospitalization for infants and young children in developed countries and is a major cause of death in developing countries. The aim of this study was to identify the viruses in children hospitalized for lower respiratory tract infections (LRTI) during the winter period and to evaluate the relationship between the clinical features of these patients and the severity of their disease. Materials and Methods: The nasopharyngeal aspirates of 200 patients aged 0-24 months hospitalized with a diagnosis of LRTI were analyzed using the real-time polymerase chain reaction method. We looked for associations between the viral agent, duration of hospitalization and respiratory distress scale. Results: The viral factor was identified in 150 (75%) patients. Rhinovirus was the most frequent viral agent followed by respiratory syncytial virus and adenovirus; (52.67%), (16.0%) and (8.67%) respectively. The average length of hospitalization for respiratory syncytial virus (p=0.001), adenovirus (p=0.009), influenza A virus (p=0.007), and bocavirus (p=0.009) infections were significantly longer. Adenovirus (p=0.029), respiratory syncytial virus (p=0.001) and bocavirus (p=0.009) were significantly associated with length of hospitalization. No significant correlation was identified between the viruses and respiratory distress scores (p&gt;0.05). Conclusion: We conclude that in hospitalized children with LRTIs, rhinovirus was the most frequently observed viral etiological agent. A longer period of hospitalization was needed for respiratory syncytial virus, adenovirus and bocavirus in infants with LRTIs. Infants with respiratory infections should be monitored due to the risk of developing severe complications during disease progression.</t>
  </si>
  <si>
    <t xml:space="preserve">[Esen, Ayse Banu] Istanbul Bagcilar Training &amp; Res Hosp, Clin Clin Microbiol, Istanbul, Turkey; [Erol, Meltem; Gayret, Ozlem Boston; Yigit, Ozgul; Dilek, Tugce Damla; Yilmaz, Kubra] Istanbul Bagcilar Training &amp; Res Hosp, Clin Pediat, Istanbul, Turkey; [Kafadar, Didem] Istanbul Bagcilar Training &amp; Res Hosp, Clin Family Med, Istanbul, Turkey</t>
  </si>
  <si>
    <t xml:space="preserve">Istanbul Bagcilar Training &amp; Research Hospital; Istanbul Bagcilar Training &amp; Research Hospital; Istanbul Bagcilar Training &amp; Research Hospital</t>
  </si>
  <si>
    <t xml:space="preserve">Erol, M (corresponding author), Istanbul Bagcilar Training &amp; Res Hosp, Clin Pediat, Istanbul, Turkey.</t>
  </si>
  <si>
    <t xml:space="preserve">drmeltemerol@yahoo.com</t>
  </si>
  <si>
    <t xml:space="preserve">Gayret, Özlem/ACO-2089-2022; Kafadar, Didem/AAB-4539-2019</t>
  </si>
  <si>
    <t xml:space="preserve">Dilek, tugce damla/0000-0003-1794-0237; Kafadar, Didem/0000-0002-8004-5609; bostan gayret, ozlem/0000-0003-4121-8009</t>
  </si>
  <si>
    <t xml:space="preserve">Kacamak Sokak 21/1, ISTANBUL, Findikzade, TURKEY</t>
  </si>
  <si>
    <t xml:space="preserve">10.4274/jpr.galenos.2019.25348</t>
  </si>
  <si>
    <t xml:space="preserve">JI0TD</t>
  </si>
  <si>
    <t xml:space="preserve">WOS:000493179100008</t>
  </si>
  <si>
    <t xml:space="preserve">Thompson, RE; Edmonds, K; Dutch, RE</t>
  </si>
  <si>
    <t xml:space="preserve">Thompson, Rachel Erin; Edmonds, Kearstin; Dutch, Rebecca Ellis</t>
  </si>
  <si>
    <t xml:space="preserve">Specific Residues in the C-Terminal Domain of the Human Metapneumovirus Phosphoprotein Are Indispensable for Formation of Viral Replication Centers and Regulation of the Function of the Viral Polymerase Complex</t>
  </si>
  <si>
    <t xml:space="preserve">inclusion bodies; phosphoprotein; pneumovirus; protein phosphorylation; replication complex</t>
  </si>
  <si>
    <t xml:space="preserve">RESPIRATORY SYNCYTIAL VIRUS; PHOSPHORYLATION SITES; BINDING-SITE; P-PROTEIN; NUCLEOPROTEIN; IDENTIFICATION; PREDICTION; DISORDER; SEQUENCE; ORDER</t>
  </si>
  <si>
    <t xml:space="preserve">Human metapneumovirus (HMPV) is a negative-strand RNA virus that frequently causes respiratory tract infections in infants, the elderly, and the immunocompromised. A hallmark of HMPV infection is the formation of membraneless, liquid-like replication and transcription centers in the cytosol termed inclusion bodies (IBs). The HMPV phosphoprotein (P) and nucleoprotein (N) are the minimal viral proteins necessary to form IB-like structures, and both proteins are required for the viral polymerase to synthesize RNA during infection. HMPV P is a homotetramer with regions of intrinsic disorder and has several known and predicted phosphorylation sites of unknown function. In this study, we found that the P C-terminal intrinsically disordered domain (CTD) must be present to facilitate IB formation with HMPV N, while either the N-terminal intrinsically disordered domain or the central oligomerization domain was dispensable. Alanine substitution at a single tyrosine residue within the CTD abrogated IB formation and reduced coimmunoprecipitation with HMPV N. Mutations to C-terminal phosphorylation sites revealed a potential role for phosphorylation in regulating RNA synthesis and P binding partners within IBs. Phosphorylation mutations which reduced RNA synthesis in a reporter assay produced comparable results in a recombinant viral rescue system, measured as an inability to produce infectious viral particles with genomes containing these single P mutations. This work highlights the critical role HMPV P plays in facilitating a key step of the viral life cycle and reveals the potential role for phosphorylation in regulating the function of this significant viral protein.IMPORTANCE Human metapneumovirus (HMPV) infects global populations, with severe respiratory tract infections occurring in infants, the elderly, and the immunocompromised. There are currently no FDA-approved therapeutics available to prevent or treat HMPV infection. Therefore, understanding how HMPV replicates is vital for the identification of novel targets for therapeutic development. During HMPV infection, viral RNA synthesis proteins localize to membraneless structures called inclusion bodies (IBs), which are sites of genome replication and transcription. The HMPV phosphoprotein (P) is necessary for IBs to form and for the virus to synthesize RNA, but it is not known how this protein contributes to IB formation or if it is capable of regulating viral replication. We show that the C-terminal domain of P is the location of a molecular interaction driving IB formation and contains potential phosphorylation sites where amino acid charge regulates the function of the viral polymerase complex. Human metapneumovirus (HMPV) infects global populations, with severe respiratory tract infections occurring in infants, the elderly, and the immunocompromised. There are currently no FDA-approved therapeutics available to prevent or treat HMPV infection.</t>
  </si>
  <si>
    <t xml:space="preserve">[Thompson, Rachel Erin; Edmonds, Kearstin; Dutch, Rebecca Ellis] Univ Kentucky, Coll Med, Dept Mol &amp; Cellular Biochem, Lexington, KY 40506 USA</t>
  </si>
  <si>
    <t xml:space="preserve">University of Kentucky</t>
  </si>
  <si>
    <t xml:space="preserve">Dutch, RE (corresponding author), Univ Kentucky, Coll Med, Dept Mol &amp; Cellular Biochem, Lexington, KY 40506 USA.</t>
  </si>
  <si>
    <t xml:space="preserve">rebecca.dutch@uky.edu</t>
  </si>
  <si>
    <t xml:space="preserve">Dutch, Rebecca/0000-0002-5220-8247</t>
  </si>
  <si>
    <t xml:space="preserve">NIH/NIGMS COBRE [P30GM110787]; NIH/NIAID [RO1AI40758]</t>
  </si>
  <si>
    <t xml:space="preserve">NIH/NIGMS COBRE; NIH/NIAID(United States Department of Health &amp; Human ServicesNational Institutes of Health (NIH) - USANIH National Institute of Allergy &amp; Infectious Diseases (NIAID))</t>
  </si>
  <si>
    <t xml:space="preserve">We thank Makoto Takeda (National Institute of Infectious Diseases, Tokyo, Japan) for providing the HMPV rescue system, Trevor Creamer (University of Kentucky) for providing purified HMPV P, and the University of Kentucky Center for Molecular Medicine Protein Core (funded by NIH/NIGMS COBRE grant P30GM110787) for generating the HMPV P nanobody. Funding for this work was provided by NIH/NIAID grant RO1AI40758.</t>
  </si>
  <si>
    <t xml:space="preserve">10.1128/jvi.00030-23</t>
  </si>
  <si>
    <t xml:space="preserve">H6JP3</t>
  </si>
  <si>
    <t xml:space="preserve">WOS:000974805300001</t>
  </si>
  <si>
    <t xml:space="preserve">Marcone, DN; Durand, LO; Azziz-Baumgartner, E; Vidaurreta, S; Ekstrom, J; Carballal, G; Echavarria, M</t>
  </si>
  <si>
    <t xml:space="preserve">Marcone, Debora Natalia; Durand, Lizette O.; Azziz-Baumgartner, Eduardo; Vidaurreta, Santiago; Ekstrom, Jorge; Carballal, Guadalupe; Echavarria, Marcela</t>
  </si>
  <si>
    <t xml:space="preserve">Incidence of viral respiratory infections in a prospective cohort of outpatient and hospitalized children aged ≤5 years and its associated cost in Buenos Aires, Argentina</t>
  </si>
  <si>
    <t xml:space="preserve">Incidence; Children; Rhinovirus; Respiratory syncytial virus; Influenza; Hospitalized and outpatients; Charges</t>
  </si>
  <si>
    <t xml:space="preserve">YOUNG-CHILDREN; INFLUENZA; RHINOVIRUS; BANGLADESH; BURDEN; VIRUS; PCR</t>
  </si>
  <si>
    <t xml:space="preserve">Background: Although information about the incidence of viral respiratory illnesses and their associated cost can help health officials explore the value of interventions, data are limited from middle-income countries. Methods: During 2008-2010, we conducted a prospective cohort study and followed similar to 1,800 Argentinian children aged &lt;= 5 years to identify those children who were hospitalized or who sought care at an emergency room with any acute respiratory infection sign or symptom (e.g., rhinorrhea, cough, wheezing, tachypnea, retractions, or cyanosis). Respiratory samples were obtained for respiratory syncytial virus, influenza, parainfluenza, adenovirus, and metapneumovirus testing by immunofluorescence and for rhinovirus by real-time reverse transcription polymerase chain reaction. Results: The incidence of respiratory syncytial virus (24/1000 children-years), human metapneumovirus (8/1000 children-years), and influenza (8/1000 children-years) illnesses was highest among hospitalized children aged &lt; 6 months and decreased among older children. In contrast, the incidence of rhinovirus was highest (12/1000 children-years) among those aged 6-23 months. In the emergency room, the incidence of rhinovirus was 459; respiratory syncytial virus 352; influenza 185; parainfluenza 177; metapneumovirus 130; and adenovirus 73/1,000 children-years. The total cost of hospitalization was a median of US$529 (Interquartile range, US$ 362-789). Conclusions: Our findings indicate that respiratory viruses, in particular rhinovirus, respiratory syncytial virus, metapneumovirus, and influenza may be associated with severe illness causing substantial economic burden.</t>
  </si>
  <si>
    <t xml:space="preserve">[Marcone, Debora Natalia; Carballal, Guadalupe; Echavarria, Marcela] CEMIC, Virol Unit, RA-1431 Buenos Aires, DF, Argentina; [Marcone, Debora Natalia; Carballal, Guadalupe; Echavarria, Marcela] CEMIC, Clin Virol Lab, RA-1431 Buenos Aires, DF, Argentina; [Marcone, Debora Natalia; Carballal, Guadalupe; Echavarria, Marcela] Consejo Nacl Invest Cient &amp; Tecn, RA-1431 Buenos Aires, DF, Argentina; [Durand, Lizette O.; Azziz-Baumgartner, Eduardo] Ctr Dis Control &amp; Prevent, Atlanta, GA 30329 USA; [Vidaurreta, Santiago; Ekstrom, Jorge] CEMIC, Dept Pediat, Buenos Aires, DF, Argentina</t>
  </si>
  <si>
    <t xml:space="preserve">Centro de Educacion Medica e Investigaciones Clinicas (CEMIC); Centro de Educacion Medica e Investigaciones Clinicas (CEMIC); Consejo Nacional de Investigaciones Cientificas y Tecnicas (CONICET); Centers for Disease Control &amp; Prevention - USA; Centro de Educacion Medica e Investigaciones Clinicas (CEMIC)</t>
  </si>
  <si>
    <t xml:space="preserve">Azziz-Baumgartner, E (corresponding author), Ctr Dis Control &amp; Prevent, 1600 Clifton Rd NE,MS A32, Atlanta, GA 30329 USA.</t>
  </si>
  <si>
    <t xml:space="preserve">eha9@cdc.gov; mechavarria@cemic.edu.ar</t>
  </si>
  <si>
    <t xml:space="preserve">Marcone, Debora Natalia/0000-0003-4407-7280; Vidaurreta, Santiago/0000-0002-1341-4793; Durand, Lizette Olga/0000-0002-3520-0702</t>
  </si>
  <si>
    <t xml:space="preserve">Agencia Nacional de Promocion Cientifica y Tecnologica, Argentina [PICT 2006-650]; Centers for Disease Control and Prevention (an agency of the U.S. Department of Health and Human Services)</t>
  </si>
  <si>
    <t xml:space="preserve">Agencia Nacional de Promocion Cientifica y Tecnologica, Argentina(ANPCyT); Centers for Disease Control and Prevention (an agency of the U.S. Department of Health and Human Services)</t>
  </si>
  <si>
    <t xml:space="preserve">This study has been funded through a grant awarded to Dr. Echavarria from the Agencia Nacional de Promocion Cientifica y Tecnologica (PICT 2006-650), Argentina and a grant from the Centers for Disease Control and Prevention (an agency of the U.S. Department of Health and Human Services), which is administered from an Interagency Agreement between U.S. CDC, U.S. Naval Medical Research Unit Number-6 and CEMIC). None of the coauthors have any conflicts of interest to declare. The findings and conclusions in this report are those of the authors and do not necessarily represent the official position of the Centers for Disease Control and Prevention or other institutions with which the authors are affiliated.</t>
  </si>
  <si>
    <t xml:space="preserve">10.1186/s12879-015-1213-4</t>
  </si>
  <si>
    <t xml:space="preserve">CU4ND</t>
  </si>
  <si>
    <t xml:space="preserve">WOS:000363505700002</t>
  </si>
  <si>
    <t xml:space="preserve">Cleland, A; Malloy, K; Donnelly, MC; Davidson, J; Simpson, KJ; Petrik, J</t>
  </si>
  <si>
    <t xml:space="preserve">Cleland, Alexander; Malloy, Kristen; Donnelly, Mhairi C.; Davidson, Janice; Simpson, Kenneth J.; Petrik, Juraj</t>
  </si>
  <si>
    <t xml:space="preserve">Design and evaluation of Taqman low density array for monitoring post-transplant viral infections</t>
  </si>
  <si>
    <t xml:space="preserve">immunosuppresion; liver transplantation; viral infection</t>
  </si>
  <si>
    <t xml:space="preserve">HEMATOPOIETIC STEM-CELL; TORQUE TENO VIRUS; REAL-TIME PCR; TRANSPLANT RECIPIENTS; LIVER-TRANSPLANTATION; CARD; IMPACT; RISK; EPIDEMIOLOGY; PATHOGENS</t>
  </si>
  <si>
    <t xml:space="preserve">Background The majority of transplant recipients undergo immunosuppressive treatment to prevent organ or tissue rejection. Consequently, they are more susceptible to infection agents including a number of viruses causing a significant morbidity and mortality. Only a limited number of viruses are currently tested for in transplant donors and recipients due to the cost and complexity. Taqman low density array (TLDA) may provide a suitable format to address more systematic testing approach. Methods One hundred and one liver transplant recipient samples were retrospectively tested for 48 viral targets including two controls (bovine viral diarrhea virus and MS2) and two common viruses (TTV and HPgV), using a custom designed TLDA. Eight samples were analysed simultaneously on 384-well TLDA. Samples giving a signal considered positive/indeterminant were re-tested by different individual confirmatory assays. Results Infections with six previously untested for viruses-EBV, HPIV3, HuPuV9, KIV, HMPV and HPV-were detected in fourteen patients. Previously detected HCV infections were also confirmed. These infections did not seem have an effect on 5 year post-transplant outcome. 55 of 79 and 17 of 87 samples available for confirmatory assays were positive for TTV and HPgV, included for the evaluation of the TLDA performance. Conclusions The custom viral TLDA can be successfully used for simultaneous detection of a range of post-transplant viral infections. To fully exploit its potential for monitoring and intervention, a whole blood testing should be applied in a prospective setting.</t>
  </si>
  <si>
    <t xml:space="preserve">[Cleland, Alexander; Malloy, Kristen; Petrik, Juraj] Scottish Natl Blood Transfus Serv, Microbiol Res Dev &amp; Innovat, Edinburgh, Midlothian, Scotland; [Donnelly, Mhairi C.; Simpson, Kenneth J.] Univ Edinburgh Sch Med, Dept Hepatol, Div Hlth Sci, Edinburgh, Midlothian, Scotland; [Davidson, Janice] Royal Infirm, Scottish Liver Transplantat Unit, Edinburgh, Midlothian, Scotland</t>
  </si>
  <si>
    <t xml:space="preserve">University of Edinburgh; Royal Infirmary of Edinburgh</t>
  </si>
  <si>
    <t xml:space="preserve">Petrik, J (corresponding author), Scottish Natl Blood Transfus Serv, Microbiol RDI, Jack Copland Ctr, 52 Res Ave North, Edinburgh EH14 4BE, Midlothian, Scotland.</t>
  </si>
  <si>
    <t xml:space="preserve">jupetr@yahoo.co.uk</t>
  </si>
  <si>
    <t xml:space="preserve">e13499</t>
  </si>
  <si>
    <t xml:space="preserve">10.1111/tid.13499</t>
  </si>
  <si>
    <t xml:space="preserve">RQ8AX</t>
  </si>
  <si>
    <t xml:space="preserve">WOS:000595100700001</t>
  </si>
  <si>
    <t xml:space="preserve">Barbani, MT; Gorgievski-Hrisoho, M</t>
  </si>
  <si>
    <t xml:space="preserve">Barbani, Maria Teresa; Gorgievski-Hrisoho, Meri</t>
  </si>
  <si>
    <t xml:space="preserve">Rapid detection of respiratory picornaviruses in nasopharyngeal aspirates by immunofluorescence assay</t>
  </si>
  <si>
    <t xml:space="preserve">Immunofluorescence; Respiratory picornaviruses; Respiratory viruses; Enteroviruses; Rhinoviruses</t>
  </si>
  <si>
    <t xml:space="preserve">OBSTRUCTIVE PULMONARY-DISEASE; TRACT INFECTIONS; MONOCLONAL-ANTIBODIES; VIRAL-INFECTIONS; RT-PCR; VIRUSES; RHINOVIRUS; CHILDREN; EXACERBATIONS; DIAGNOSIS</t>
  </si>
  <si>
    <t xml:space="preserve">Background: Respiratory picornaviruses (enteroviruses and rhinoviruses) are commonly cited as causes of self-limited upper respiratory tract infection. However, it has recently been suggested that they may cause more severe respiratory disease. Immunofluorescence (IF) assays are rapid and inexpensive and are often used for the detection of respiratory viruses. Objectives: We sought to develop an IF procedure, using commercially available reagents, for the detection of respiratory picornaviruses directly from nasopharyngeal aspirates (NPA). Study design: From 1st November 2006 until 31st October 2007 all NPA from patients with respiratory infection were stained with the Light Diagnostic Pan-Enterovirus Reagent - Blend by IF (IF-ENVPAN). Those specimens which tested positive with this stain were further tested (subject to the availability of frozen specimen) with the xTAG respiratory viral panel, a multiplex PCR directed against respiratory picornaviruses, adenovirus (ADV), respiratory sincytial virus (RSV), influenza viruses A and B (IFA and IFB), parainfluenza virus (PIV) 1-4, human metapneurnovirus (HMPV) and coronaviruses. Results: 241/1122 NPA tested positive by IF-ENVPAN. 143 NPA were available for testing by xTAG respiratory viral panel. The multiplex PCR detected respiratory picornaviruses in 139 NPA, in 126 as the sole viral pathogen. Conclusions: Our results indicate the potential of IF-ENVPAN for the laboratory detection of respiratory picornaviruses in clinical specimens. As far as we are aware, this is the first publication of such a method. (C) 2009 Elsevier B.V. All rights reserved.</t>
  </si>
  <si>
    <t xml:space="preserve">[Barbani, Maria Teresa; Gorgievski-Hrisoho, Meri] Univ Bern, Inst Infect Dis, CH-3010 Bern, Switzerland</t>
  </si>
  <si>
    <t xml:space="preserve">University of Bern</t>
  </si>
  <si>
    <t xml:space="preserve">Gorgievski-Hrisoho, M (corresponding author), Univ Bern, Inst Infect Dis, Friedbuhlstr 51, CH-3010 Bern, Switzerland.</t>
  </si>
  <si>
    <t xml:space="preserve">meri.gorgievski@ifik.unibe.ch</t>
  </si>
  <si>
    <t xml:space="preserve">10.1016/j.jcv.2009.05.008</t>
  </si>
  <si>
    <t xml:space="preserve">475XX</t>
  </si>
  <si>
    <t xml:space="preserve">WOS:000268401800018</t>
  </si>
  <si>
    <t xml:space="preserve">Dumas, G; Bertrand, M; Lemiale, V; Canet, E; Barbier, F; Kouatchet, A; Demoule, A; Klouche, K; Moreau, AS; Argaud, L; Wallet, F; Raphalen, JH; Mokart, D; Bruneel, F; Pene, F; Azoulay, E</t>
  </si>
  <si>
    <t xml:space="preserve">Dumas, Guillaume; Bertrand, Maxime; Lemiale, Virginie; Canet, Emmanuel; Barbier, Francois; Kouatchet, Achille; Demoule, Alexandre; Klouche, Kada; Moreau, Anne-Sophie; Argaud, Laurent; Wallet, Florent; Raphalen, Jean-Herle; Mokart, Djamel; Bruneel, Fabrice; Pene, Frederic; Azoulay, Elie</t>
  </si>
  <si>
    <t xml:space="preserve">Prognosis of critically ill immunocompromised patients with virus-detected acute respiratory failure</t>
  </si>
  <si>
    <t xml:space="preserve">Immunocompromised; Respiratory virus; Influenza; Pneumonia; Mechanical ventilation</t>
  </si>
  <si>
    <t xml:space="preserve">COMMUNITY-ACQUIRED PNEUMONIA; HEMATOLOGIC MALIGNANCY PATIENTS; CELL TRANSPLANT RECIPIENTS; INTENSIVE-CARE-UNIT; INFLUENZA VACCINATION; DIAGNOSTIC STRATEGY; ONCOLOGY PATIENTS; CANCER-PATIENTS; INFECTIONS; OUTCOMES</t>
  </si>
  <si>
    <t xml:space="preserve">Background Acute respiratory failure (ARF) is the leading cause of ICU admission. Viruses are increasingly recognized as a cause of pneumonia in immunocompromised patients, but epidemiologic data are scarce. We used the Groupe de Recherche en Reanimation Respiratoire en Onco-Hematologie's database (2003-2017, 72 intensive care units) to describe the spectrum of critically ill immunocompromised patients with virus-detected ARF and to report their outcomes. Then, patients with virus-detected ARF were matched based on clinical characteristics and severity (1:3 ratio) with patients with ARF from other origins.Results Of the 4038 immunocompromised patients in the whole cohort, 370 (9.2%) had a diagnosis of virus-detected ARF and were included in the study. Influenza was the most common virus (59%), followed by respiratory syncytial virus (14%), with significant seasonal variation. An associated bacterial infection was identified in 79 patients (21%) and an invasive pulmonary aspergillosis in 23 patients (6%). The crude in-hospital mortality rate was 37.8%. Factors associated with mortality were: neutropenia (OR = 1.74, 95% confidence interval, CI [1.05-2.89]), poor performance status (OR = 1.84, CI [1.12-3.03]), and the need for invasive mechanical ventilation on the day of admission (OR = 1.97, CI [1.14-3.40]). The type of virus was not associated with mortality. After matching, patients with virus-detected ARF had lower mortality (OR = 0.77, CI [0.60-0.98]) than patients with ARF from other causes. This result was mostly driven by influenza-like viruses, namely, respiratory syncytial virus, parainfluenza virus, and human metapneumovirus (OR = 0.54, CI [0.33-0.88]).Conclusions In immunocompromised patients with virus-detected ARF, mortality is high, whatever the species, mainly influenced by clinical severity and poor general status. However, compared to non-viral ARF, in-hospital mortality was lower, especially for patients with detected viruses other than influenza.</t>
  </si>
  <si>
    <t xml:space="preserve">[Dumas, Guillaume] Univ Grenoble Alpes, Serv Med Intens Reanimat, CHU Grenoble Alpes, INSERM U1300 HP2, Grenoble, France; [Bertrand, Maxime; Lemiale, Virginie; Azoulay, Elie] St Louis Teaching Hosp, AP HP, Med Intens Care Unit, Paris, France; [Bertrand, Maxime; Lemiale, Virginie; Azoulay, Elie] Univ Paris, Ctr Epidemiol &amp; Biostat Sorbonne Paris Cite, ECSTRA Team, Biostat &amp; Clin Epidemiol,CRESS,UMR 1153, Paris, France; [Canet, Emmanuel] Nantes Univ, CHU Nantes, Med Intens Reanimat, F-44000 Nantes, France; [Barbier, Francois] CHR Orleans, La Source Hosp, Med Intens Care Unit, Orleans, France; [Kouatchet, Achille] Angers Teaching Hosp, Med Intens Care Unit, Angers, France; [Demoule, Alexandre] Sorbonne Univ, UMRS 1158 Neurophysiol Resp Expt &amp; Clin, Dept R3S, Serv Med Intens &amp; Reanimat,INSERM, F-75013 Paris, France; [Demoule, Alexandre] Sorbonne Univ, Grp Hosp Univ, APHP, Pitie Salpetriere Site, F-75013 Paris, France; [Klouche, Kada] CHU Montpellier, Intens Care Unit, Hop Roger Salengro, F-34000 Montpellier, France; [Moreau, Anne-Sophie] CHRU Lille, Hop Roger Salengro, Serv Reanimat Polyvalente, Lille, France; [Argaud, Laurent] Hop Edouard Herriot, Hosp Civils Lyon, Med Intens Care Unit, Lyon, France; [Wallet, Florent] Lyon Sud Med Ctr, Intens Care Unit, Lyon, France; [Raphalen, Jean-Herle] Hop Necker Enfants Malad, Dept Anesthesia &amp; Crit Care, Paris, France; [Mokart, Djamel] Inst Paoli Calmettes, Intens Care Unit, Marseille, France; [Bruneel, Fabrice] Andre Mignot Hosp, Med Intens Care Unit, Versailles, France; [Pene, Frederic] Cochin Hosp, AP HP, Hop Univ Paris Ctr, Med Intens Care Unit, Paris, France; [Pene, Frederic] Univ Paris, Inst Cochin, INSERM U1016, CNRS UMR 8104, Paris, France</t>
  </si>
  <si>
    <t xml:space="preserve">CHU Grenoble Alpes; Communaute Universite Grenoble Alpes; Universite Grenoble Alpes (UGA); Institut National de la Sante et de la Recherche Medicale (Inserm); Assistance Publique Hopitaux Paris (APHP); Universite Paris Cite; Hopital Universitaire Saint-Louis - APHP; Universite Paris Cite; Nantes Universite; CHU de Nantes; Centre Hospitalier Regional d'Orleans; Universite d'Angers; Centre Hospitalier Universitaire d'Angers; Sorbonne Universite; Institut National de la Sante et de la Recherche Medicale (Inserm); Assistance Publique Hopitaux Paris (APHP); Hopital Universitaire Pitie-Salpetriere - APHP; Sorbonne Universite; Universite Paris Cite; Hopital Universitaire Hotel-Dieu - APHP; Universite de Montpellier; CHU de Montpellier; Universite de Lille; CHU Lille; Universite de Lille; CHU Lille; CHU Lyon; Assistance Publique Hopitaux Paris (APHP); Universite Paris Cite; Hopital Universitaire Necker-Enfants Malades - APHP; UNICANCER; Institut Paoli-Calmette (IPC); Centre Hospitalier de Versailles; Assistance Publique Hopitaux Paris (APHP); Universite Paris Cite; Hopital Universitaire Cochin - APHP; Institut National de la Sante et de la Recherche Medicale (Inserm); Universite Paris Cite; Centre National de la Recherche Scientifique (CNRS); CNRS - National Institute for Biology (INSB)</t>
  </si>
  <si>
    <t xml:space="preserve">Dumas, G (corresponding author), Univ Grenoble Alpes, Serv Med Intens Reanimat, CHU Grenoble Alpes, INSERM U1300 HP2, Grenoble, France.</t>
  </si>
  <si>
    <t xml:space="preserve">dumas.guillaume1@gmail.com</t>
  </si>
  <si>
    <t xml:space="preserve">Azoulay, Elie/HLG-3693-2023; Demoule, Alexandre/ABG-4915-2021</t>
  </si>
  <si>
    <t xml:space="preserve">Not applicable.</t>
  </si>
  <si>
    <t xml:space="preserve">10.1186/s13613-023-01196-9</t>
  </si>
  <si>
    <t xml:space="preserve">U7QW9</t>
  </si>
  <si>
    <t xml:space="preserve">WOS:001086725300001</t>
  </si>
  <si>
    <t xml:space="preserve">Hayden, RT; Gu, ZM; Rodriguez, A; Tanioka, L; Ying, C; Morgenstern, M; Bankowski, MJ</t>
  </si>
  <si>
    <t xml:space="preserve">Hayden, Randall T.; Gu, Zhengming; Rodriguez, Alicia; Tanioka, Lisa; Ying, Claire; Morgenstern, Markus; Bankowski, Matthew J.</t>
  </si>
  <si>
    <t xml:space="preserve">Comparison of two broadly multiplexed PCR systems for viral detection in clinical respiratory tract specimens from immunocompromised children</t>
  </si>
  <si>
    <t xml:space="preserve">Immunocompromised; Multiplex real-time PCR; Respiratory tract; Viral detection</t>
  </si>
  <si>
    <t xml:space="preserve">REAL-TIME PCR; HUMAN METAPNEUMOVIRUS; VIRUS-INFECTIONS; SYNCYTIAL-VIRUS; MOLECULAR METHODS; ASSAY; PNEUMOVIRUS; CORONAVIRUS; INFLUENZA; DIAGNOSIS</t>
  </si>
  <si>
    <t xml:space="preserve">Background: The detection of viral respiratory tract infections has evolved greatly with the development of PCR based commercial systems capable of simultaneously detecting a wide variety of pathogens. Objectives: Evaluate the relative performance of two commercial broad range systems for the detection of viral agents in clinical respiratory tract specimens from immunocompromised children. Study design: A total of 176 patient samples were included in the analysis, representing only the first sample collected for each patient, and excluding failed reactions. Samples were de-identified and assayed in parallel using two different, broadly multiplexed PCR systems: ResPlex (TM) II Panel v2.0 (ResPlex), Qiagen, Hilden, Germany and FilmArray (R) Respiratory Panel (FilmArray), Idaho Technology Inc., Salt Lake City, UT. Method comparison was based upon pair-wise concordance of results according to patient age, viral target and number of targets detected. Results: The two systems showed an overall concordance, by patient, of 83.8% (p = 0.0001). FilmArray detected at least one target in 68.8% of samples, while ResPlex detected at least one target in 56.8%. ResPlex failed to detect 20.7% of FilmArray positives, and FilmArray failed to detect 4% of ResPlex positives. The relative performance of each system (including which system detected a higher number of positive samples) varied when stratified by target viral pathogen. Conclusions: Broadly multiplexed PCR is an effective means of detecting large numbers of clinically relevant respiratory viral pathogens. (C) 2011 Elsevier B. V. All rights reserved.</t>
  </si>
  <si>
    <t xml:space="preserve">[Hayden, Randall T.; Gu, Zhengming; Rodriguez, Alicia; Morgenstern, Markus] St Jude Childrens Hosp, Dept Pathol, Memphis, TN 38105 USA; [Bankowski, Matthew J.] Univ Hawaii Manoa, Honolulu, HI 96822 USA; [Bankowski, Matthew J.] Univ Hawaii, John A Burns Sch Med, Dept Pathol, Honolulu, HI 96822 USA; [Bankowski, Matthew J.] Univ Hawaii, John A Burns Sch Med, Dept Trop Med Med Microbiol &amp; Pharmacol, Honolulu, HI 96822 USA; [Tanioka, Lisa; Ying, Claire; Bankowski, Matthew J.] Diagnost Lab Serv Queens Med Ctr, Aiea, HI USA</t>
  </si>
  <si>
    <t xml:space="preserve">St Jude Children's Research Hospital; University of Hawaii System; University of Hawaii Manoa; University of Hawaii System; University of Hawaii System; The Queen's Medical Center</t>
  </si>
  <si>
    <t xml:space="preserve">Hayden, RT (corresponding author), St Jude Childrens Hosp, Dept Pathol, 262 Danny Thomas Pl,Room C5025,Mailstop 250, Memphis, TN 38105 USA.</t>
  </si>
  <si>
    <t xml:space="preserve">Randall.Hayden@stjude.org</t>
  </si>
  <si>
    <t xml:space="preserve">rodriguez, alicia/GYJ-3710-2022; Morgenstern, Markus/K-7785-2013; Hayden, Randall/N-2534-2018</t>
  </si>
  <si>
    <t xml:space="preserve">American Lebanese Syrian Associated Charities, ALSAC; Anderson Charitable Foundation</t>
  </si>
  <si>
    <t xml:space="preserve">American Lebanese Syrian Associated Charities, ALSAC(American Lebanese Syrian Associated Charities (ALSAC)); Anderson Charitable Foundation</t>
  </si>
  <si>
    <t xml:space="preserve">Funding for this study was supported in part by the American Lebanese Syrian Associated Charities, ALSAC and the Anderson Charitable Foundation. Reagents were kindly supplied by QIAGEN and Idaho Technology, Inc. Instrumentation for the FilmArray process was provided by Idaho Technology, Inc.</t>
  </si>
  <si>
    <t xml:space="preserve">10.1016/j.jcv.2011.12.020</t>
  </si>
  <si>
    <t xml:space="preserve">906PI</t>
  </si>
  <si>
    <t xml:space="preserve">WOS:000301358300007</t>
  </si>
  <si>
    <t xml:space="preserve">Ishiguro, N; Akutsu, Y; Azuma, K; Yonekawa, M; Sato, D; Ishizaka, A; Tsuchida, A; Nagano, N; Kakuya, F; Tame, A; Yamanaka, T; Morita, K; Okamura, A; Odagawa, Y; Ishizu, K; Yasoshima, K; Kikuta, H; Togashi, T; Tohmoto, T; Sakai, N; Manabe, A</t>
  </si>
  <si>
    <t xml:space="preserve">Ishiguro, Nobuhisa; Akutsu, Yasushi; Azuma, Katsuki; Yonekawa, Motoharu; Sato, Daisuke; Ishizaka, Akihito; Tsuchida, Akira; Nagano, Naoko; Kakuya, Fujio; Tame, Atsushi; Yamanaka, Tatsuru; Morita, Keisuke; Okamura, Akiko; Odagawa, Yasuhisa; Ishizu, Katsura; Yasoshima, Koichi; Kikuta, Hideaki; Togashi, Takehiro; Tohmoto, Tatsuhiro; Sakai, Noboru; Manabe, Atsushi</t>
  </si>
  <si>
    <t xml:space="preserve">Evaluation of a Novel Immunochromatographic Assay Using Monoclonal Antibodies against the Matrix Protein of Human Metapneumovirus</t>
  </si>
  <si>
    <t xml:space="preserve">immunochromatographic assay; real-time RT-PCR; ma-trix protein; human metapneumovirus</t>
  </si>
  <si>
    <t xml:space="preserve">Background: The aim of this study was to determine the sensitivity and specificity of a novel immunochromatographic (IC) assay (APD1806) using monoclonal antibodies against the matrix (M) protein of human metapneumovirus (hMPV) for detection of hMPV from nasopharyngeal swab samples based on the results of real-time RT-PCR. Methods: Nasopharyngeal swab samples taken from 189 patients aged 0 -5 years who were suspected of having respiratory tract infections associated with hMPV were used in this study. The samples were tested both by the IC assay and by real-time RT-PCR for detection of hMPV. Results: The sensitivity and specificity of the IC assay for detection of hMPV were 88.8% (95/107) and 92.7% (76/82), respectively. Conclusions: The IC assay using monoclonal antibodies against the M protein of hMPV is an accurate and fast assay that is suitable as a diagnostic tool for hMPV infection. The optimal timing of the IC assay is 12 hours or more after the onset of fever due to hMPV infection. (Clin. Lab. 2021;67:2363-2368. DOI: 10.7754/Clin.Lab.2021.210232)</t>
  </si>
  <si>
    <t xml:space="preserve">[Ishiguro, Nobuhisa; Manabe, Atsushi] Hokkaido Univ, Dept Pediat, Grad Sch Med, Sapporo, Hokkaido, Japan; [Akutsu, Yasushi] Akutsu Pediat Clin, Iwamizawa, Japan; [Azuma, Katsuki] Azuma Kodomo Katei Clin, Ebetsu, Hokkaido, Japan; [Yonekawa, Motoharu] Ohige Sensei Pediat Clin, Sapporo, Hokkaido, Japan; [Sato, Daisuke] Sato Pediat Clin, Sapporo, Hokkaido, Japan; [Ishizaka, Akihito] Sumiyoshi Pediat Clin, Chitose, Japan; [Tsuchida, Akira] Tsuchida Pediat Clin, Asahikawa, Hokkaido, Japan; [Nagano, Naoko] Nagano Pediat Clin, Asahikawa, Hokkaido, Japan; [Kakuya, Fujio] Furano Kyokai Hosp, Dept Pediat, Furano, Hokkaido, Japan; [Tame, Atsushi] Maruyama Tame Pediat Clin, Sapporo, Hokkaido, Japan; [Yamanaka, Tatsuru] Yamanaka Tatsuru Pediat Clin, Sapporo, Hokkaido, Japan; [Morita, Keisuke] Asahikawa Red Cross Hosp, Dept Pediat, Asahikawa, Hokkaido, Japan; [Okamura, Akiko] Umetsu Pediat Clin, Sapporo, Hokkaido, Japan; [Odagawa, Yasuhisa] Otaru Gen Hosp, Dept Pediat, Otaru, Hokkaido, Japan; [Ishizu, Katsura] Kids Forest Pediat &amp; Endocrinol, Sapporo, Hokkaido, Japan; [Yasoshima, Koichi] Makomanai Kids Clin, Sapporo, Hokkaido, Japan; [Kikuta, Hideaki] Hase Pediat Clin, Sapporo, Hokkaido, Japan; [Togashi, Takehiro] Hokkaido AntiTB Assoc Sapporo Fukujuji Clin, Sapporo, Hokkaido, Japan; [Tohmoto, Tatsuhiro; Sakai, Noboru] Alfresa Pharma Co, Osaka, Japan</t>
  </si>
  <si>
    <t xml:space="preserve">Hokkaido University</t>
  </si>
  <si>
    <t xml:space="preserve">Alfresa Pharma Co.</t>
  </si>
  <si>
    <t xml:space="preserve">The research funds for this study including immuno-chromatographic assay kits were provided by Alfresa Pharma Co.</t>
  </si>
  <si>
    <t xml:space="preserve">10.7754/Clin.Lab.2021.210232)</t>
  </si>
  <si>
    <t xml:space="preserve">WH4PS</t>
  </si>
  <si>
    <t xml:space="preserve">WOS:000707662400026</t>
  </si>
  <si>
    <t xml:space="preserve">Zhang, D; Lou, XY; Yan, H; Pan, JH; Mao, HY; Tang, HF; Shu, Y; Zhao, Y; Liu, L; Li, JP; Chen, J; Zhang, YJ; Ma, XJ</t>
  </si>
  <si>
    <t xml:space="preserve">Zhang, Dan; Lou, Xiuyu; Yan, Hao; Pan, Junhang; Mao, Haiyan; Tang, Hongfeng; Shu, Yan; Zhao, Yun; Liu, Lei; Li, Junping; Chen, Jiang; Zhang, Yanjun; Ma, Xuejun</t>
  </si>
  <si>
    <t xml:space="preserve">Metagenomic analysis of viral nucleic acid extraction methods in respiratory clinical samples</t>
  </si>
  <si>
    <t xml:space="preserve">Illumina Hiseq; Viral nucleic acid extraction methods; Respiratory clinical samples; Metagenomic analysis</t>
  </si>
  <si>
    <t xml:space="preserve">VIRUS IDENTIFICATION; SPECIMENS; PATHOGENS; PNEUMONIA; DISCOVERY; CHILDREN; PANEL</t>
  </si>
  <si>
    <t xml:space="preserve">Background: Numerous protocols for viral enrichment and genome amplification have been created. However, the direct identification of viral genomes from clinical specimens using next-generation sequencing (NGS) still has its challenges. As a selected viral nucleic acid extraction method may determine the sensitivity and reliability of NGS, it is still valuable to evaluate the extraction efficiency of different extraction kits using clinical specimens directly. Results: In this study, we performed qRT-PCR and viral metagenomic analysis of the extraction efficiency of four commonly used Qiagen extraction kits: QIAamp Viral RNA Mini Kit (VRMK), QIAamp MinElute Virus Spin Kit (MVSK), RNeasy Mini Kit (RMK), and RNeasy Plus Micro Kit (RPMK), using a mixed respiratory clinical sample without any pre-treatment. This sample contained an adenovirus (ADV), influenza virus A (Flu A), human parainfluenza virus 3 (PIV3), human coronavirus OC43 (OC43), and human metapneumovirus (HMPV). The quantity and quality of the viral extracts were significantly different among these kits. The highest threshold cycle(Ct) values for ADV and OC43 were obtained by using the RPMK. The MVSK had the lowest Ct values for ADV and PIV3. The RMK revealed the lowest detectability for HMPV and PIV3. The most effective rate of NGS data at 67.47% was observed with the RPMK. The other three kits ranged between 12.1-26.79% effectiveness rates for the NGS data. Most importantly, compared to the other three kits the highest proportion of non-host reads was obtained by the RPMK. The MVSK performed best with the lowest Ct value of 20.5 in the extraction of ADV, while the RMK revealed the best extraction efficiency by NGS analysis. Conclusions: The evaluation of viral nucleic acid extraction efficiency is different between NGS and qRT-PCR analysis. The RPMK was most applicable for the metagenomic analysis of viral RNA and enabled more sensitive identification of the RNA virus genome in respiratory clinical samples. In addition, viral RNA extraction kits were also applicable for metagenomic analysis of the DNA virus. Our results highlighted the importance of nucleic acid extraction kit selection, which has a major impact on the yield and number of viral reads by NGS analysis. Therefore, the choice of extraction method for a given viral pathogen needs to be carefully considered.</t>
  </si>
  <si>
    <t xml:space="preserve">[Zhang, Dan; Ma, Xuejun] Chinese Ctr Dis Control &amp; Prevent, Natl Inst Viral Dis Control &amp; Prevent, Natl Hlth &amp; Family Planning Commiss, Key Lab Med Virol, Beijing 102206, Peoples R China; [Zhang, Dan; Lou, Xiuyu; Yan, Hao; Pan, Junhang; Mao, Haiyan; Zhang, Yanjun] Zhejiang Prov Ctr Dis Control &amp; Prevent, Inst Microbiol, Hangzhou 310051, Zhejiang, Peoples R China; [Tang, Hongfeng; Shu, Yan; Zhao, Yun; Liu, Lei; Li, Junping] Zhejiang Univ, Childrens Hosp, Sch Med, Dept Pathol, Hangzhou 310013, Zhejiang, Peoples R China; [Chen, Jiang] Zhejiang Chinese Med Univ, Coll Med Technol, Hangzhou 310013, Zhejiang, Peoples R China</t>
  </si>
  <si>
    <t xml:space="preserve">Chinese Center for Disease Control &amp; Prevention; National Institute for Viral Disease Control &amp; Prevention, Chinese Center for Disease Control &amp; Prevention; Zhejiang Provincial Center for Disease Control &amp; Prevention; Zhejiang University; Zhejiang Chinese Medical University</t>
  </si>
  <si>
    <t xml:space="preserve">Ma, XJ (corresponding author), Chinese Ctr Dis Control &amp; Prevent, Natl Inst Viral Dis Control &amp; Prevent, Natl Hlth &amp; Family Planning Commiss, Key Lab Med Virol, Beijing 102206, Peoples R China.;Zhang, YJ (corresponding author), Zhejiang Prov Ctr Dis Control &amp; Prevent, Inst Microbiol, Hangzhou 310051, Zhejiang, Peoples R China.</t>
  </si>
  <si>
    <t xml:space="preserve">yjzhang@cdc.zj.cn; maxj@ivdc.chinacdc.cn</t>
  </si>
  <si>
    <t xml:space="preserve">Pan, Junhang/IUN-7656-2023; li, chunyuan/IQW-1618-2023; Zhang, Y J/HLG-1022-2023</t>
  </si>
  <si>
    <t xml:space="preserve">National key research and development plan of China [2016YFC1202700, 2016YFC1200903, 2017YFC1200503]; China Mega-Project for Infectious Disease [2017ZX10302301-004, 2017ZX10104001]; Medical Research Key Project of Hebei Province [20180616]; Key Disciplinary of Health and Family Planning Commission of Zhejiang Province [CX-9]; Monitor Technology Platform of Infectious Diseases of the State Major Science and Technology Special Projects during the 12th 5-year plan of China [2017ZX10103008-002]; Health Leading Talents Program of Zhejiang Provincial (2018) [22]; Swedish Heart-Lung Foundation [20180616] Funding Source: Swedish Heart-Lung Foundation</t>
  </si>
  <si>
    <t xml:space="preserve">National key research and development plan of China(National Key Research &amp; Development Program of China); China Mega-Project for Infectious Disease; Medical Research Key Project of Hebei Province; Key Disciplinary of Health and Family Planning Commission of Zhejiang Province; Monitor Technology Platform of Infectious Diseases of the State Major Science and Technology Special Projects during the 12th 5-year plan of China; Health Leading Talents Program of Zhejiang Provincial (2018); Swedish Heart-Lung Foundation(Swedish Heart-Lung Foundation)</t>
  </si>
  <si>
    <t xml:space="preserve">This work was supported by grants from the National key research and development plan of China (2016YFC1202700,2016YFC1200903 and 2017YFC1200503, China Mega-Project for Infectious Disease (2017ZX10302301-004 and 2017ZX10104001), Medical Research Key Project of Hebei Province (20180616), the Key Disciplinary of Health and Family Planning Commission of Zhejiang Province (CX-9), the Monitor Technology Platform of Infectious Diseases of the State Major Science and Technology Special Projects during the 12th 5-year plan of China (2017ZX10103008-002). Health Leading Talents Program of Zhejiang Provincial (2018) 22.</t>
  </si>
  <si>
    <t xml:space="preserve">OCT 25</t>
  </si>
  <si>
    <t xml:space="preserve">10.1186/s12864-018-5152-5</t>
  </si>
  <si>
    <t xml:space="preserve">HB3UI</t>
  </si>
  <si>
    <t xml:space="preserve">WOS:000450976300001</t>
  </si>
  <si>
    <t xml:space="preserve">Liu, YH; Qing, T; Zhao, XD; Dong, SF; Zhu, J; Peng, DH; Zhong, JR; Li, TY; Chen, X</t>
  </si>
  <si>
    <t xml:space="preserve">Liu, Yuhang; Qing, Tao; Zhao, Xiaodong; Dong, Shifang; Zhu, Jin; Peng, Donghong; Zhong, Jiarong; Li, Tingyu; Chen, Xin</t>
  </si>
  <si>
    <t xml:space="preserve">Skewed balance of regulatory T cell and inflammatory T cell in IL-17 defect with human metapneumovirus infection</t>
  </si>
  <si>
    <t xml:space="preserve">CELLULAR IMMUNOLOGY</t>
  </si>
  <si>
    <t xml:space="preserve">IL-17; hMPV; Foxp3; IL-4; IFN-gamma</t>
  </si>
  <si>
    <t xml:space="preserve">COLONY-STIMULATING FACTOR; NEUTROPHIL RECRUITMENT; AIRWAY HYPERRESPONSIVENESS; PSEUDOMONAS-AERUGINOSA; EPITHELIAL-CELLS; LUNG INFECTION; BALB/C MICE; TH17 CELLS; IN-VITRO; INTERLEUKIN-17</t>
  </si>
  <si>
    <t xml:space="preserve">Human metapneumovirus (hMPV) is a common cause of respiratory infections in children. However, the precise mechanisms underlying the development of hMPV-induced pulmonary pathology remain unknown. Studies show that IL-17 plays an important role in some inflammatory diseases of the airways, including asthma and chronic obstructive pulmonary disease. Here, we generated an IL-17 KO murine model of hMPV infection and used it to characterize the role of IL-17 hMPV-induced pulmonary inflammation. The results demonstrated that the defect in IL-17 resulted in less neutrophil influx into the lungs, along with reduced ventilatory function. Meanwhile, viral infection in IL-17 KO mice increased regulatory T cells (Tregs) and reduced Th1 and Th2 cells in the lung, suggesting that lack of IL-17 skews the immune response in the lung toward an anti-inflammatory profile, as exhibited by a greater number of Treg cells and fewer Th1 and Th2 cells.</t>
  </si>
  <si>
    <t xml:space="preserve">[Liu, Yuhang; Qing, Tao; Li, Tingyu] Chongqing Med Univ, Childrens Hosp, Chongqing 400014, Peoples R China; [Zhao, Xiaodong; Zhong, Jiarong] Chongqing Med Univ, Childrens Hosp, Res Ctr Immunol &amp; Infect Dis, Chongqing 400014, Peoples R China; [Zhao, Xiaodong] Chongqing Med Univ, Childrens Hosp, Div Immunol, Chongqing 400014, Peoples R China; [Zhao, Xiaodong] Minist Educ, Chongqing Int Sci &amp; Technol Cooperat Ctr Child De, Key Lab Pediat Chongqing, Key Lab Child Dev &amp; Disorders, Chongqing 400014, Peoples R China; [Dong, Shifang] Chongqing Med Univ, Childrens Hosp, Div Flow Cytometry, Chongqing 400014, Peoples R China; [Zhu, Jin] Chongqing Med Univ, Childrens Hosp, Div Pathol, Chongqing 400014, Peoples R China; [Peng, Donghong] Chongqing Med Univ, Childrens Hosp, Div Resp, Chongqing 400014, Peoples R China; [Chen, Xin] Chongqing Med Univ, Childrens Hosp, Gen Med Wards, Chongqing 400014, Peoples R China</t>
  </si>
  <si>
    <t xml:space="preserve">Chongqing Medical University; Chongqing Medical University; Chongqing Medical University; Chongqing Medical University; Chongqing Medical University; Chongqing Medical University; Chongqing Medical University</t>
  </si>
  <si>
    <t xml:space="preserve">Chen, X (corresponding author), Chongqing Med Univ, Childrens Hosp, Gen Med Wards, Chongqing 400014, Peoples R China.</t>
  </si>
  <si>
    <t xml:space="preserve">xinchen_19@hotmail.com</t>
  </si>
  <si>
    <t xml:space="preserve">Natural Science Foundation Project of CQ CSTC [cstc2011jjA10083]</t>
  </si>
  <si>
    <t xml:space="preserve">Natural Science Foundation Project of CQ CSTC(Natural Science Foundation Project of CQ CSTC)</t>
  </si>
  <si>
    <t xml:space="preserve">This work was supported by the Natural Science Foundation Project of CQ CSTC (cstc2011jjA10083). The founders had no role in the study design, data collection and analysis, decision to publish, or preparation of the manuscript.</t>
  </si>
  <si>
    <t xml:space="preserve">0008-8749</t>
  </si>
  <si>
    <t xml:space="preserve">1090-2163</t>
  </si>
  <si>
    <t xml:space="preserve">CELL IMMUNOL</t>
  </si>
  <si>
    <t xml:space="preserve">Cell. Immunol.</t>
  </si>
  <si>
    <t xml:space="preserve">10.1016/j.cellimm.2018.06.007</t>
  </si>
  <si>
    <t xml:space="preserve">Cell Biology; Immunology</t>
  </si>
  <si>
    <t xml:space="preserve">GQ0EI</t>
  </si>
  <si>
    <t xml:space="preserve">WOS:000441289200019</t>
  </si>
  <si>
    <t xml:space="preserve">Smith, SE; Busse, DC; Binter, S; Weston, S; Soria, CD; Laksono, BM; Clare, S; Van Nieuwkoop, S; Van den Hoogen, BG; Clement, M; Marsden, M; Humphreys, IR; Marsh, M; de Swart, RL; Wash, RS; Tregoning, JS; Kellam, P</t>
  </si>
  <si>
    <t xml:space="preserve">Smith, S. E.; Busse, D. C.; Binter, S.; Weston, S.; Soria, C. Diaz; Laksono, B. M.; Clare, S.; Van Nieuwkoop, S.; Van den Hoogen, B. G.; Clement, M.; Marsden, M.; Humphreys, I. R.; Marsh, M.; de Swart, R. L.; Wash, R. S.; Tregoning, J. S.; Kellam, P.</t>
  </si>
  <si>
    <t xml:space="preserve">Interferon-Induced Transmembrane Protein 1 Restricts Replication of Viruses That Enter Cells via the Plasma Membrane</t>
  </si>
  <si>
    <t xml:space="preserve">IFITM1; innate immunity; paramyxovirus; pneumovirus; restriction factor</t>
  </si>
  <si>
    <t xml:space="preserve">WEST NILE VIRUS; GENE FAMILY; INFECTION; IFITM1; SUSCEPTIBILITY; POLYMORPHISMS; ESTABLISHMENT; MODEL; LINE</t>
  </si>
  <si>
    <t xml:space="preserve">The acute antiviral response is mediated by a family of interferon-stimulated genes (ISGs), providing cell-intrinsic immunity. Mutations in genes encoding these proteins are often associated with increased susceptibility to viral infections. One family of ISGs with antiviral function is the interferon-inducible transmembrane proteins (IFITMs), of which IFITM3 has been studied extensively. In contrast, IFITM1 has not been studied in detail. Since IFITM1 can localize to the plasma membrane, we investigated its function with a range of enveloped viruses thought to infect cells by fusion with the plasma membrane. Overexpression of IFITM1 prevented infection by a number of Paramyxoviridae and Pneumoviridae, including respiratory syncytial virus (RSV), mumps virus, and human metapneumovirus (HMPV). IFITM1 also restricted infection with an enveloped DNA virus that can enter via the plasma membrane, herpes simplex virus 1 (HSV-1). To test the importance of plasma membrane localization for IFITM1 function, we identified blocks of amino acids in the conserved intracellular loop (CIL) domain that altered the subcellular localization of the protein and reduced antiviral activity. By screening reported data sets, 12 rare nonsynonymous single nucleotide polymorphisms (SNPs) were identified in human IFITM1, some of which are in the CIL domain. Using an Ifitm1(-/-) mouse, we show that RSV infection was more severe, thereby extending the range of viruses restricted in vivo by IFITM proteins and suggesting overall that IFITM1 is broadly antiviral and that this antiviral function is associated with cell surface localization. IMPORTANCE Host susceptibility to viral infection is multifactorial, but early control of viruses not previously encountered is predominantly mediated by the interferon-stimulated gene (ISG) family. There are upwards of 300 of these genes, the majority of which do not have a clearly defined function or mechanism of action. The cellular location of these proteins may have an important effect on their function. One ISG located at the plasma membrane is interferon-inducible transmembrane protein 1 (IFITM1). Here we demonstrate that IFITM1 can inhibit infection with a range of viruses that enter via the plasma membrane. Mutant IFITM1 proteins that were unable to localize to the plasma membrane did not restrict viral infection. We also observed for the first time that IFITM1 plays a role in vivo, and Ifitm1(-/-) mice were more susceptible to viral lung infection. These data contribute to our understanding of how ISGs prevent viral infections.</t>
  </si>
  <si>
    <t xml:space="preserve">[Smith, S. E.; Binter, S.; Soria, C. Diaz; Clare, S.; Wash, R. S.; Kellam, P.] Wellcome Trust Res Labs, Sanger Inst, Genome Campus, Hinxton, England; [Busse, D. C.; Tregoning, J. S.; Kellam, P.] Imperial Coll London, Sect Virol, Mucosal Infect &amp; Immun Grp, St Marys Campus, London, England; [Laksono, B. M.; Van Nieuwkoop, S.; Van den Hoogen, B. G.; de Swart, R. L.] Erasmus MC, Dept Virosci, Rotterdam, Netherlands; [Weston, S.; Marsh, M.] UCL, MRC Lab Mol Cell Biol, London, England; [Clement, M.; Marsden, M.; Humphreys, I. R.] Cardiff Univ, Div Infect &amp; Immun, Syst Immun Univ Res Inst, Cardiff, S Glam, Wales; [Smith, S. E.; Binter, S.; Wash, R. S.; Kellam, P.] Kymab Ltd, Babraham Res Campus, Cambridge, England</t>
  </si>
  <si>
    <t xml:space="preserve">Wellcome Trust Sanger Institute; Imperial College London; Erasmus University Rotterdam; Erasmus MC; MRC Laboratory Molecular Biology; University of London; University College London; Cardiff University; UK Research &amp; Innovation (UKRI); Biotechnology and Biological Sciences Research Council (BBSRC); Babraham Institute</t>
  </si>
  <si>
    <t xml:space="preserve">Kellam, P (corresponding author), Wellcome Trust Res Labs, Sanger Inst, Genome Campus, Hinxton, England.;Tregoning, JS; Kellam, P (corresponding author), Imperial Coll London, Sect Virol, Mucosal Infect &amp; Immun Grp, St Marys Campus, London, England.;Kellam, P (corresponding author), Kymab Ltd, Babraham Res Campus, Cambridge, England.</t>
  </si>
  <si>
    <t xml:space="preserve">john.tregoning@imperial.ac.uk; paul.kellam@imperial.ac.uk</t>
  </si>
  <si>
    <t xml:space="preserve">Kellam, Paul/JQW-4134-2023; Marsh, Mark/B-4105-2009; Humphreys, Ian/E-6683-2010; De Swart, Rik/E-6508-2011</t>
  </si>
  <si>
    <t xml:space="preserve">Tregoning, John/0000-0001-8093-8741; Diaz Soria, Carmen Lidia/0000-0003-1793-1074; Kellam, Paul/0000-0003-3166-4734; De Swart, Rik/0000-0003-3599-8969; Busse, David/0000-0003-3872-3557; Laksono, Brigitta Marcella/0000-0002-5727-5019; Marsh, Mark/0000-0002-0213-3259; Humphreys, Ian/0000-0002-9512-5337; Binter, Spela/0000-0003-2335-6336; Weston, Stuart/0000-0001-9840-2953</t>
  </si>
  <si>
    <t xml:space="preserve">UK Medical Research Council [MC_UU12018/1, MC_U12266B]; Wellcome Trust [109056/Z/15/A, 207503/Z/17/Z]; Wellcome Trust [207503/Z/17/Z, 109056/Z/15/A] Funding Source: Wellcome Trust; MRC [MC_UU_00012/1] Funding Source: UKRI</t>
  </si>
  <si>
    <t xml:space="preserve">UK Medical Research Council(UK Research &amp; Innovation (UKRI)Medical Research Council UK (MRC)); Wellcome Trust(Wellcome Trust); Wellcome Trust(Wellcome Trust); MRC(UK Research &amp; Innovation (UKRI)Medical Research Council UK (MRC))</t>
  </si>
  <si>
    <t xml:space="preserve">M.M. and S.W. were supported by UK Medical Research Council core funding to the MRC-UCL LMCB University Unit (grant numbers MC_UU12018/1 and MC_U12266B). D.C.B. was supported by the Wellcome Trust (109056/Z/15/A). I.R.H. is also funded by the Wellcome Trust (207503/Z/17/Z).</t>
  </si>
  <si>
    <t xml:space="preserve">e02003-18</t>
  </si>
  <si>
    <t xml:space="preserve">10.1128/JVI.02003-18</t>
  </si>
  <si>
    <t xml:space="preserve">HN6JN</t>
  </si>
  <si>
    <t xml:space="preserve">WOS:000460292400032</t>
  </si>
  <si>
    <t xml:space="preserve">Yahia, S; Kandeel, AY; Hammad, E; El-Gilany, AH</t>
  </si>
  <si>
    <t xml:space="preserve">Yahia, Sohier; Kandeel, Amina Y.; Hammad, Enas; El-Gilany, Abdel-Hady</t>
  </si>
  <si>
    <t xml:space="preserve">Human Metapneumovirus (hMPV) in Acute Respiratory Infection: A Clinic-Based Study in Egypt</t>
  </si>
  <si>
    <t xml:space="preserve">Human; Metapneumovirus; Respiratory infections; Children</t>
  </si>
  <si>
    <t xml:space="preserve">HOSPITALIZED CHILDREN; TRACT INFECTIONS; YOUNG-CHILDREN; PREVALENCE; DISEASE; PCR</t>
  </si>
  <si>
    <t xml:space="preserve">To estimate the prevalence of Human metapneumovirus (hPMV), its epidemiological and clinical features in infants and children with respiratory infections, attending outpatients' clinic of Mansoura University Children Hospital (MUCH). After taking history, clinical examination and appropriate investigations, nasopharyngeal aspirates were collected from 600 infants and children with symptoms and signs of respiratory infections. Samples were examined by RT-PCR for hMPV. The overall prevalence of hMPV infection among studied patients was 8% (95% = 6.1-10.4). The rate was significantly higher among children aged 2-24 mo compared to other age groups (11.9% vs. 3.7% and 4.0% for 2-24, 25-60, 61-108 mo respectively). Also it was significantly higher among females than males (12.6% vs. 6.6%). Cough, wheezing, rhinorrhea, fever and chest wall retraction were the most frequent presentations (81.2%, 68.8%, 66.7%, 64.6% and 56.3%; respectively). Antibiotics, bronchodilators and oxygen administration were the most common treatments offered (60.4%, 31.2% and 27.1%; respectively). hMPV is an emerging cause of acute respiratory infection in Mansoura University Children Hospital (MUCH), and may have a significant clinical impact on infants and children and thus, must be considered in etiological diagnosis.</t>
  </si>
  <si>
    <t xml:space="preserve">[El-Gilany, Abdel-Hady] Mansoura Univ, Dept Publ Hlth &amp; Prevent Med, Mansoura 35516, Egypt; [Kandeel, Amina Y.; Hammad, Enas] Mansoura Univ, Fac Med, Dept Med Microbiol &amp; Immunol, Mansoura 35516, Egypt; [Yahia, Sohier] Mansoura Univ, Fac Med, Dept Pediat, Mansoura 35516, Egypt</t>
  </si>
  <si>
    <t xml:space="preserve">Egyptian Knowledge Bank (EKB); Mansoura University; Egyptian Knowledge Bank (EKB); Mansoura University; Egyptian Knowledge Bank (EKB); Mansoura University</t>
  </si>
  <si>
    <t xml:space="preserve">El-Gilany, AH (corresponding author), Mansoura Univ, Dept Publ Hlth &amp; Prevent Med, Mansoura 35516, Egypt.</t>
  </si>
  <si>
    <t xml:space="preserve">ahgilany@gmail.com</t>
  </si>
  <si>
    <t xml:space="preserve">El-Gilany, Abdel-Hady/H-4172-2019; Hammad, Enas/HGC-6922-2022; Yahia, Sohier/ABD-6853-2020</t>
  </si>
  <si>
    <t xml:space="preserve">El-Gilany, Abdel-Hady/0000-0001-9376-6985</t>
  </si>
  <si>
    <t xml:space="preserve">10.1007/s12098-011-0677-5</t>
  </si>
  <si>
    <t xml:space="preserve">014CV</t>
  </si>
  <si>
    <t xml:space="preserve">WOS:000309353600003</t>
  </si>
  <si>
    <t xml:space="preserve">Al Oweidat, K; Toubasi, AA; Alghrabli, A; Khater, Y; Saleh, N; Albtoosh, AS; Batarseh, RS</t>
  </si>
  <si>
    <t xml:space="preserve">Al Oweidat, Khaled; Toubasi, Ahmad A.; Alghrabli, Ahmad; Khater, Yasmeen; Saleh, Noor; Albtoosh, Asma S.; Batarseh, Rawan Shafeek</t>
  </si>
  <si>
    <t xml:space="preserve">Alterations in Patients' Clinical Outcomes and Respiratory Viral Pathogen Activity following the COVID-19 Pandemic</t>
  </si>
  <si>
    <t xml:space="preserve">human; COVID-19; pandemic; viruses</t>
  </si>
  <si>
    <t xml:space="preserve">INFLUENZA; INFECTIONS; AWARENESS; ATTITUDE; CHILDREN; VIRUS</t>
  </si>
  <si>
    <t xml:space="preserve">Background: Before the COVID-19 pandemic, respiratory pathogens such as influenza, parainfluenza, and respiratory syncytial virus were the most commonly detected viruses among hospitalized patients with respiratory tract infections. Methods: This was a retrospective observational study of inpatients and outpatients who attended Jordan University Hospital and underwent Nasopharyngeal Aspiration (NPA) in the periods from December 2017 to December 2018 and from December 2021 to December 2022. The results of multiplex respiratory pathogen real-time PCR tests for nasopharyngeal swab specimens were extracted from the electronic-based molecular diagnostic laboratory record of JUH. We compared the prevalence of the detected viruses as well as the patients' characteristics and outcomes between the two periods. Results: The total number of included patients was 695. Our analysis showed that a higher percentage of patients with hypertension and diabetes presented before the pandemic compared to the same period after it (p-value &lt; 0.001). The need for O2 devices, white blood cell counts, diastolic blood pressure, and the length of hospital stay were significantly higher among patients who presented before the pandemic (p-value &lt; 0.050). Influenza H1N1 (8.70% vs. 4.03%), influenza B (1.67% vs. 0.25%), parainfluenza (1.00% vs. 0.00%), human metapneumovirus (5.35% vs. 0.76%), adenoviruses (6.35% vs. 3.02%), and coronaviruses (8.70% vs. 3.53%) were detected with higher frequency in the period before the pandemic (p-value = 0.011, 0.045, 0.045, 0.000, 0.035, 0.004). These results were similar in terms of changes in the detection rates of viruses after matching the number of tested patients between the periods before and after the pandemic. Conclusions: We have demonstrated a reduction in the detection of several viruses, which might be due to the increase in public awareness toward infection protection measures after the COVID-19 pandemic.</t>
  </si>
  <si>
    <t xml:space="preserve">[Al Oweidat, Khaled; Saleh, Noor; Albtoosh, Asma S.] Univ Jordan, Sch Med, Dept Resp &amp; Sleep Med, Dept Internal Med, Amman 11942, Jordan; [Toubasi, Ahmad A.] Univ Jordan, Fac Med, Amman 11942, Jordan; [Alghrabli, Ahmad; Khater, Yasmeen] Univ Jordan, Sch Med, Dept Internal Med, Amman 11942, Jordan; [Batarseh, Rawan Shafeek] Jordan Univ Hosp, Dept Microbiol, Amman 11942, Jordan</t>
  </si>
  <si>
    <t xml:space="preserve">University of Jordan; University of Jordan; University of Jordan; University of Jordan</t>
  </si>
  <si>
    <t xml:space="preserve">Toubasi, AA (corresponding author), Univ Jordan, Fac Med, Amman 11942, Jordan.</t>
  </si>
  <si>
    <t xml:space="preserve">k.oweidat@ju.edu.jo; tubasi_ahmad@yahoo.com; ahmmm197@hotmail.com; yasmeenkhater96@gmail.com; nourhanisaleh@hotmail.com; asmaalbtoosh@gmail.com; r.batarseh@ju.edu.jo</t>
  </si>
  <si>
    <t xml:space="preserve">Al Oweidat, khaled/P-4646-2018; Toubasi, Ahmad/AAJ-6749-2021</t>
  </si>
  <si>
    <t xml:space="preserve">Al Oweidat, Khaled/0000-0001-9335-9167; Albtoosh, Asma salameh salem/0000-0002-6361-6481; Toubasi, Ahmad/0000-0002-4688-9728</t>
  </si>
  <si>
    <t xml:space="preserve">10.3390/v15101975</t>
  </si>
  <si>
    <t xml:space="preserve">X6DH1</t>
  </si>
  <si>
    <t xml:space="preserve">WOS:001099330800001</t>
  </si>
  <si>
    <t xml:space="preserve">Melero, JA; Mas, V</t>
  </si>
  <si>
    <t xml:space="preserve">Melero, Jose A.; Mas, Vicente</t>
  </si>
  <si>
    <t xml:space="preserve">The Pneumovirinae fusion (F) protein: A common target for vaccines and antivirals</t>
  </si>
  <si>
    <t xml:space="preserve">Human RSV and human MPV; Fusion protein inhibitors and antibodies; Vaccines and antivirals</t>
  </si>
  <si>
    <t xml:space="preserve">RESPIRATORY SYNCYTIAL-VIRUS; NEUTRALIZING MONOCLONAL-ANTIBODIES; 2 DISTINCT SITES; HUMAN METAPNEUMOVIRUS; G-GLYCOPROTEIN; ATTACHMENT PROTEIN; CELLULAR GLYCOSAMINOGLYCANS; PARAMYXOVIRUS FUSION; PROTECTIVE IMMUNITY; DOUBLE-BLIND</t>
  </si>
  <si>
    <t xml:space="preserve">The Pneumovirinae fusion (F) protein mediates fusion of the virus and cell membrane, an essential step for entry of the viral genome in the cell cytoplasm and initiation of a new infectious cycle. Accordingly, potent inhibitors of virus infectivity have been found among antibodies and chemical compounds that target the Pneumovirinae F protein. Recent developments in structure-based vaccines have led to a deeper understanding of F protein antigenicity, unveiling new conformations and epitopes which should assist in development of efficacious vaccines. Similarly, structure-based studies of potent antiviral inhibitors have provided information about their mode of action and mechanisms of resistance. The advantages and disadvantages of the different options to battle against important pathogens, such as human respiratory syncytial virus (hRSV) and human metapneumovirus (hMPV) are summarized and critically discussed in this review. (C) 2015 Elsevier B.V. All rights reserved.</t>
  </si>
  <si>
    <t xml:space="preserve">[Melero, Jose A.] Inst Salud Carlos III, Ctr Nacl Microbiol, Madrid 28220, Spain; Inst Salud Carlos III, CIBER Enfermedades Resp, Madrid 28220, Spain</t>
  </si>
  <si>
    <t xml:space="preserve">Instituto de Salud Carlos III; Centro Nacional de Microbiologia (CNM); CIBER - Centro de Investigacion Biomedica en Red; CIBERES; Instituto de Salud Carlos III</t>
  </si>
  <si>
    <t xml:space="preserve">Melero, JA (corresponding author), Inst Salud Carlos III, Ctr Nacl Microbiol, Madrid 28220, Spain.</t>
  </si>
  <si>
    <t xml:space="preserve">Mas, Vicente/M-4776-2015</t>
  </si>
  <si>
    <t xml:space="preserve">Mas, Vicente/0000-0002-0887-0743; Melero, Jose A./0000-0001-8148-6521</t>
  </si>
  <si>
    <t xml:space="preserve">Ministerio de Economia y Competitividad [SAF2012-31217]</t>
  </si>
  <si>
    <t xml:space="preserve">Ministerio de Economia y Competitividad(Spanish Government)</t>
  </si>
  <si>
    <t xml:space="preserve">Work in our lab is partially funded by grant SAF2012-31217 from Ministerio de Economia y Competitividad.</t>
  </si>
  <si>
    <t xml:space="preserve">10.1016/j.virusres.2015.02.024</t>
  </si>
  <si>
    <t xml:space="preserve">CW3IU</t>
  </si>
  <si>
    <t xml:space="preserve">WOS:000364886600013</t>
  </si>
  <si>
    <t xml:space="preserve">de Paula, NT; Carneiro, BM; Yokosawa, J; Freitas, GROE; Oliveira, TFD; Costa, LF; da Silveira, HL; Queiróz, DAO</t>
  </si>
  <si>
    <t xml:space="preserve">de Paula, Nayhanne Tizzo; Carneiro, Bruno Moreira; Yokosawa, Jonny; Oliveira e Freitas, Guilherme Ramos; de Mattos Oliveira, Thelma Fatima; Costa, Lourenco Faria; da Silveira, Helio Lopes; Oliveira Queiroz, Divina Aparecida</t>
  </si>
  <si>
    <t xml:space="preserve">Human rhinovirus in the lower respiratory tract infections of young children and the possible involvement of a secondary respiratory viral agent</t>
  </si>
  <si>
    <t xml:space="preserve">human rhinoviruses; co-infection; lower respiratory tract; young children</t>
  </si>
  <si>
    <t xml:space="preserve">HUMAN METAPNEUMOVIRUS; ACUTE BRONCHIOLITIS; CLINICAL-FEATURES; VIRUS-INFECTIONS; HOSPITALIZED INFANTS; MULTIPLEX PCR; DISEASE; ASSOCIATION; UBERLANDIA; ILLNESS</t>
  </si>
  <si>
    <t xml:space="preserve">Human rhinoviruses (HRV) are usually associated with mild respiratory symptoms in children. However, some studies have found that HRV can cause severe disease, especially when the patient is co-infected with a second virus. In this study, 532 nasopharyngeal aspirates (NPAs) were collected over a nine-year period from children at the Clinics Hospital of Uberlandia. The collected NPAs were then tested for HRV RNA using the reverse transcription-polymerase chain reaction. Eighty-three specimens from children diagnosed with lower respiratory tract illness (LRTI) were positive for HRV RNA and were then tested for the presence of eight other respiratory viruses. A second virus was detected in 37.3% (31/83) of the samples. The most frequent clinical diagnosis was bronchiolitis, followed by other LRTI and then pneumonia. The frequency of severe disease in children infected with more than one virus was not significantly different from the frequency of severe disease in children infected with HRV alone. Children infected with both HRV and parainfluenza virus (1.5 m.o.) were significantly younger than those infected by HRV alone (5.0 m.o.) (p = 0.0454). Overall, these results suggest that infection with a second virus does not lead to a higher frequency of severe syndromes in children presenting with LRTI.</t>
  </si>
  <si>
    <t xml:space="preserve">[de Paula, Nayhanne Tizzo; Carneiro, Bruno Moreira; Yokosawa, Jonny; Oliveira e Freitas, Guilherme Ramos; de Mattos Oliveira, Thelma Fatima; Costa, Lourenco Faria; da Silveira, Helio Lopes; Oliveira Queiroz, Divina Aparecida] Univ Fed Uberlandia, Virol Lab, Inst Ciencias Biomed, BR-38400902 Uberlandia, MG, Brazil; [da Silveira, Helio Lopes] Univ Fed Uberlandia, Fac Med, BR-38400902 Uberlandia, MG, Brazil</t>
  </si>
  <si>
    <t xml:space="preserve">Yokosawa, J (corresponding author), Univ Fed Uberlandia, Virol Lab, Inst Ciencias Biomed, Av Para 1720,Bl 4C, BR-38400902 Uberlandia, MG, Brazil.</t>
  </si>
  <si>
    <t xml:space="preserve">jyokosawa@icbim.ufu.br</t>
  </si>
  <si>
    <t xml:space="preserve">Carneiro, Bruno/P-2415-2019</t>
  </si>
  <si>
    <t xml:space="preserve">de Paula, Nayhanne/0000-0001-9069-7902; Carneiro, Bruno/0000-0002-2355-7907</t>
  </si>
  <si>
    <t xml:space="preserve">CAPES; CNPq; FAPEMIG</t>
  </si>
  <si>
    <t xml:space="preserve">CAPES(Coordenacao de Aperfeicoamento de Pessoal de Nivel Superior (CAPES)); CNPq(Conselho Nacional de Desenvolvimento Cientifico e Tecnologico (CNPQ)); FAPEMIG(Fundacao de Amparo a Pesquisa do Estado de Minas Gerais (FAPEMIG))</t>
  </si>
  <si>
    <t xml:space="preserve">Financial support: CAPES, CNPq, FAPEMIG</t>
  </si>
  <si>
    <t xml:space="preserve">10.1590/S0074-02762011000300010</t>
  </si>
  <si>
    <t xml:space="preserve">773PM</t>
  </si>
  <si>
    <t xml:space="preserve">WOS:000291319200010</t>
  </si>
  <si>
    <t xml:space="preserve">Miller, EK; Edwards, KM; Weinberg, GA; Lwane, MK; Griffin, MR; Hall, CB; Zhu, YW; Szilagyi, PG; Morin, LL; Heil, LH; Lu, XY; Williams, JV</t>
  </si>
  <si>
    <t xml:space="preserve">Miller, E. Kathryn; Edwards, Kathryn M.; Weinberg, Geoffrey A.; Lwane, Marika K.; Griffin, Marie R.; Hall, Caroline B.; Zhu, Yuwei; Szilagyi, Peter G.; Morin, Laura-Lee; Heil, Luke H.; Lu, Xiaoyan; Williams, John V.</t>
  </si>
  <si>
    <t xml:space="preserve">New Vaccine Surveillance Network</t>
  </si>
  <si>
    <t xml:space="preserve">A novel group of rhinoviruses is associated with asthma hospitalizations</t>
  </si>
  <si>
    <t xml:space="preserve">Human rhinoviruses; asthma; children; wheezing; hospitalized; genetic diversity</t>
  </si>
  <si>
    <t xml:space="preserve">RESPIRATORY-TRACT INFECTIONS; POLYMERASE-CHAIN-REACTION; TRANSCRIPTION-PCR ASSAY; HUMAN METAPNEUMOVIRUS; SYNCYTIAL VIRUS; CHILDREN; ILLNESS; ENTEROVIRUS-68; EXACERBATIONS; EPIDEMIC</t>
  </si>
  <si>
    <t xml:space="preserve">Background: Although recent studies have identified new group C human rhinoviruses (HRVCs), their spectrum of pediatric disease is unknown. Objective: We sought to determine the presentation and burden of disease caused by HRVCs among young hospitalized children. Methods: We conducted prospective population-based surveillance in 2 US counties among children less than 5 years of age hospitalized with acute respiratory illness or fever from October 2001 through September 2003. Nasal/throat swabs were obtained and tested for HRVs, as determined by means of RT-PCR and then characterized by means of partial sequencing. Results: Of 1052 children enrolled and tested during the 2-year period, 167 (16%) had HRVs detected. Of 147 samples successfully sequenced, 64 were group A HRVs, 6 were group B HRVs, and 77 were HRVCs. Children with HRVCs were significantly more likely than those with group A HRVs to have underlying high-risk conditions, such as asthma (42% vs 23%, P = .023) and to have had a discharge diagnosis of asthma (55% vs 36%, P = .022). Conclusions: Overall, HRVCs were detected in 7% of children hospitalized for fever or respiratory conditions and constituted almost half of all rhinovirus-associated hospitalizations, suggesting that this novel group causes a substantial burden of pediatric disease. (J Allergy Clin Immunol 2009;123:98-104.)</t>
  </si>
  <si>
    <t xml:space="preserve">[Lwane, Marika K.; Lu, Xiaoyan] Ctr Dis Control &amp; Prevent, Natl Immunizat Program, Resp &amp; Enter Viruses Branch, Atlanta, GA USA; [Weinberg, Geoffrey A.; Hall, Caroline B.; Szilagyi, Peter G.] Univ Rochester, Sch Med &amp; Dent, Dept Pediat, Rochester, NY 14627 USA; [Miller, E. Kathryn; Edwards, Kathryn M.; Morin, Laura-Lee; Heil, Luke H.; Williams, John V.] Vanderbilt Univ, Med Ctr, Dept Pediat, Nashville, TN 37232 USA; [Williams, John V.] Vanderbilt Univ, Med Ctr, Dept Microbiol &amp; Immunol, Nashville, TN 37232 USA; [Zhu, Yuwei] Vanderbilt Univ, Med Ctr, Dept Biostat, Nashville, TN 37232 USA; [Griffin, Marie R.] Vanderbilt Univ, Med Ctr, Dept Prevent Med, Nashville, TN 37232 USA</t>
  </si>
  <si>
    <t xml:space="preserve">Centers for Disease Control &amp; Prevention - USA; University of Rochester; Vanderbilt University; Vanderbilt University; Vanderbilt University; Vanderbilt University</t>
  </si>
  <si>
    <t xml:space="preserve">Miller, EK (corresponding author), Vanderbilt Childrens Hosp, 2200 Childrens Way,11215 Doctors Off Tower, Nashville, TN 37232 USA.</t>
  </si>
  <si>
    <t xml:space="preserve">Williams, John/ABE-3227-2020; Weinberg, Geoffrey/W-7510-2019; Williams, John/F-6962-2010</t>
  </si>
  <si>
    <t xml:space="preserve">Weinberg, Geoffrey/0000-0002-3900-379X; Williams, John/0000-0001-8377-5175</t>
  </si>
  <si>
    <t xml:space="preserve">Centers for Disease Control and Prevention [U38/CCU417958, U01/IP000022, U38/CCU217969, U01/IP000017]; MedImmune; Agency for Healthcare Quality and Research [T32 HS 13833-02]</t>
  </si>
  <si>
    <t xml:space="preserve">Centers for Disease Control and Prevention(United States Department of Health &amp; Human ServicesCenters for Disease Control &amp; Prevention - USA); MedImmune(AstraZenecaMedimmune); Agency for Healthcare Quality and Research(United States Department of Health &amp; Human ServicesAgency for Healthcare Research &amp; Quality)</t>
  </si>
  <si>
    <t xml:space="preserve">This project was supported in part by cooperative agreement nos. U38/CCU417958, U01/IP000022, U38/CCU217969, and U01/IP000017 from the Centers for Disease Control and Prevention, by MedImmune (provided funding for PCR and DNA sequencing supplies to EKM), and by the Agency for Healthcare Quality and Research (T32 HS 13833-02 to EKM). Its contents are solely the responsibility of the authors and do not necessarily represent the official views of the Centers for Disease Control and Prevention.</t>
  </si>
  <si>
    <t xml:space="preserve">10.1016/j.jaci.2008.10.007</t>
  </si>
  <si>
    <t xml:space="preserve">399IP</t>
  </si>
  <si>
    <t xml:space="preserve">WOS:000262793900015</t>
  </si>
  <si>
    <t xml:space="preserve">Mubareka, S; Louie, L; Wong, H; Granados, A; Chong, S; Luinstra, K; Petrich, A; Smieja, M; Vearncombe, M; Mahony, J; Simor, A</t>
  </si>
  <si>
    <t xml:space="preserve">Mubareka, Samira; Louie, Lisa; Wong, Henry; Granados, Andrea; Chong, Sylvia; Luinstra, Kathy; Petrich, Astrid; Smieja, Marek; Vearncombe, Mary; Mahony, James; Simor, Andrew</t>
  </si>
  <si>
    <t xml:space="preserve">Co-circulation of multiple genotypes of human rhinovirus during a large outbreak of respiratory illness in a veterans' long-term care home</t>
  </si>
  <si>
    <t xml:space="preserve">Human rhinovirus; Outbreak; Long-term care; Genotyping</t>
  </si>
  <si>
    <t xml:space="preserve">COMMUNITY-ACQUIRED PNEUMONIA; 5' NONCODING REGION; HUMAN METAPNEUMOVIRUS; TRACT INFECTION; VIRAL-INFECTION; HIGH MORTALITY; NURSING-HOMES; TRANSMISSION; CHILDREN; FACILITY</t>
  </si>
  <si>
    <t xml:space="preserve">Background: Human rhinoviruses (HRVs) are a well-recognized cause of long-term care home (LTCH) outbreaks of respiratory illness. However, there are limited data on the molecular epidemiology of the HRV types involved. Objectives: To determine whether a large respiratory outbreak in a LTCH was caused by a single type of HRV, and to describe the clinical impact of the outbreak. Study design: Nasopharyngeal swabs were collected from residents with one or more of the following: fever, cough, rhinitis, or congestion. Specimens were interrogated by multiplex PCR using the ResPlex II assay. Samples positive for HRV were then submitted for genotyping by partial sequence analysis of the 5 untranslated (UTR) and viral protein (VP) 1 capsid regions. Results: Of 71 screened, 56 residents were positive for a HRV during an outbreak that lasted 5.5 weeks; 27 healthcare workers also had respiratory symptoms. Three residents were transferred to hospital and 2 died. Seven units in two wings of the LTCH were affected, resulting in 3152.5 resident unit closure days. Three different HRV genotypes were identified, although HRV-A1 dominated. Conclusions: This large outbreak of HRVs among residents and healthcare workers in a LTCH was associated with substantial resident and staff morbidity as well as significant unit closures. Multiple types of HRV were implicated but an HRV-A1 type dominated, warranting further investigation into viral determinants for virulence and transmission. (C) 2013 Elsevier B.V. All rights reserved.</t>
  </si>
  <si>
    <t xml:space="preserve">[Mubareka, Samira; Louie, Lisa; Wong, Henry; Vearncombe, Mary; Simor, Andrew] Sunnybrook Hlth Sci Ctr, Toronto, ON M4N 3M5, Canada; [Granados, Andrea; Chong, Sylvia; Luinstra, Kathy; Smieja, Marek; Mahony, James] St Josephs Healthcare, Hamilton, ON L8N 4A6, Canada; [Petrich, Astrid] Hosp Sick Children, Toronto, ON M5G 1X8, Canada</t>
  </si>
  <si>
    <t xml:space="preserve">University of Toronto; Sunnybrook Research Institute; Sunnybrook Health Science Center; University of Toronto; Hospital for Sick Children (SickKids)</t>
  </si>
  <si>
    <t xml:space="preserve">Mubareka, S (corresponding author), Sunnybrook Hlth Sci Ctr, 2075 Bayview Ave,Suite B103, Toronto, ON M4N 3M5, Canada.</t>
  </si>
  <si>
    <t xml:space="preserve">samira.mubareka@sunnybrook.ca; llouie@rogers.com; henry.wong@sunnybrook.ca; andrea.granados@mail.utoronto.ca; sylviachong3@gmail.com; kluinstr@stjosham.on.ca; astrid.petrich@sickkids.ca; smiejam@mcmaster.ca; mary.vearncombe@sunnybrook.ca; mahonyj@mcmaster.ca; andrew.simor@sunnybrook.ca</t>
  </si>
  <si>
    <t xml:space="preserve">Wong, Henry/KCK-5473-2024</t>
  </si>
  <si>
    <t xml:space="preserve">10.1016/j.jcv.2013.06.037</t>
  </si>
  <si>
    <t xml:space="preserve">222RY</t>
  </si>
  <si>
    <t xml:space="preserve">WOS:000324750000024</t>
  </si>
  <si>
    <t xml:space="preserve">Wan, Q; Li, YW; Cheng, Y; Hu, HB</t>
  </si>
  <si>
    <t xml:space="preserve">Wan, Qing; Li, Ya-wei; Cheng, Ying; Hu, Hongbo</t>
  </si>
  <si>
    <t xml:space="preserve">The Impact of Bacterial Co-infection on Hospitalized Children with Human Rhinovirus and Human Metapneumovirus Infections: A Retrospective Analytical Cross-sectional Study</t>
  </si>
  <si>
    <t xml:space="preserve">Human rhinovirus; Human metapneumovirus; Bacteria; Co-infections</t>
  </si>
  <si>
    <t xml:space="preserve">Background: Human rhinovirus (HRV) and human metapneumovirus (hMPV) are common viral causes of pediatric respiratory tract infections. Bacterial co -infections frequently complicate HRV and hMPV illnesses in children, but the interactions between viral and bacterial pathogens and their impacts on disease severity are not well understood. Objectives: The present research aimed to analyze and compare the clinical features of HRV and hMPV mono -infections in hospitalized children and to assess the impact of bacterial co -infection on the disease severity of HRV and hMPV infections. Methods: The present retrospective analytical cross-sectional study was conducted to compare the clinical features between HRV and hMPV mono -infections and HRV and hMPV with bacterial co -infections in hospitalized children aged 14 years or younger. Results: Between January and December 2022, we investigated 1,978 children hospitalized with HRV infection, of which 1,529 had HRV mono -infection and 1,117 hospitalized with hMPV infection, among whom 910 had hMPV mono -infection. Compared to HRV, hMPV mono -infection exhibited more pronounced symptoms of fever, cough, and rales in most age groups, while HRV showed more wheezing. Except in patients &gt;= 6 years old, hMPV was more associated with pneumonia and longer hospitalizations. In contrast to HRV mono -infections, children with bacterial co -infections had a higher proportion of coughs (P &lt; 0.001), pneumonia (P &lt; 0.001), pediatric intensive care unit (PICU) admissions (P &lt; 0.001), and longer hospitalizations (P = 0.003). Demographic characteristics, clinical presentation, diagnosis, and treatments showed no significant differences between patients with hMPV mono -infection and co -infection. Conclusions: Among hospitalized children, hMPV mono -infection resulted in more severe respiratory illnesses compared to HRV mono -infection. Bacterial co -infections exacerbated disease severity in HRV infections.</t>
  </si>
  <si>
    <t xml:space="preserve">[Wan, Qing; Li, Ya-wei; Hu, Hongbo] Maternal &amp; Child Hlth Hosp Hubei Prov, Dept Lab, Wuhan, Peoples R China; [Cheng, Ying] Maternal &amp; Child Hlth Hosp Hubei Prov, Dept Pediat, Wuhan, Peoples R China; [Hu, Hongbo] Dept Lab, 745 Wu Luo Rd, Wuhan 430070, Hubei, Peoples R China</t>
  </si>
  <si>
    <t xml:space="preserve">Hu, HB (corresponding author), Dept Lab, 745 Wu Luo Rd, Wuhan 430070, Hubei, Peoples R China.</t>
  </si>
  <si>
    <t xml:space="preserve">hongbo1172@163.com</t>
  </si>
  <si>
    <t xml:space="preserve">Hongbo, Hu/AAC-6933-2021</t>
  </si>
  <si>
    <t xml:space="preserve">BRIEFLAND</t>
  </si>
  <si>
    <t xml:space="preserve">Shertogenbosch</t>
  </si>
  <si>
    <t xml:space="preserve">25 Derde Morgen, Shertogenbosch, NETHERLANDS</t>
  </si>
  <si>
    <t xml:space="preserve">e139106</t>
  </si>
  <si>
    <t xml:space="preserve">10.5812/jjm-139106</t>
  </si>
  <si>
    <t xml:space="preserve">GX6I3</t>
  </si>
  <si>
    <t xml:space="preserve">WOS:001156007200001</t>
  </si>
  <si>
    <t xml:space="preserve">Gerna, G; Piralla, A; Rovida, F; Rognoni, V; Marchi, A; Locatelli, F; Meloni, F</t>
  </si>
  <si>
    <t xml:space="preserve">Gerna, G.; Piralla, A.; Rovida, F.; Rognoni, V.; Marchi, A.; Locatelli, F.; Meloni, F.</t>
  </si>
  <si>
    <t xml:space="preserve">Correlation of Rhinovirus Load in the Respiratory Tract and Clinical Symptoms in Hospitalized Immunocompetent and Immunocompromised Patients</t>
  </si>
  <si>
    <t xml:space="preserve">human rhinovirus load; nasopharyngeal aspirates; bronchoalveolar lavage; respiratory tract infections; immunocompromised patients</t>
  </si>
  <si>
    <t xml:space="preserve">REVERSE TRANSCRIPTION-PCR; POLYMERASE-CHAIN-REACTION; HUMAN METAPNEUMOVIRUS STRAINS; TRANSPLANT RECIPIENTS; MONOCLONAL-ANTIBODIES; RT-PCR; CORONAVIRUS INFECTIONS; FREQUENT DETECTION; SYNCYTIAL VIRUS; CHILDREN</t>
  </si>
  <si>
    <t xml:space="preserve">While human rhinoviruses (HRVs) are well accepted as a major cause of common cold syndromes (rhinitis), their role in the etiology of lower respiratory tract infections is still controversial, and their detection in asymptomatic patients is relatively common. The HRV pathogenic role in four groups of hospitalized patients (pediatric immunocompetent and immunocompromised patients, and adult immunocompetent and immunocompromised patients) was investigated by quantifying HRV load in nasopharyngeal aspirates or bronchoalveolar lavage samples by real-time reverse transcription PCR (RT-PCR). Real-time RT-PCR was performed in duplicate on all respiratory samples resulting positive by qualitative RT-PCR. In addition, molecular typing allowed detection of all known HRV species (A, B, and Q. In immunocompetent pediatric patients HRVs were mostly associated with lower respiratory tract infections (in the absence of other viral agents) and wheezing, when viral load was &gt;= 10(6) RNA copies/ml. In young immunocompromised patients (stem cell transplantation recipients), an inverse correlation between HRV persistence overtime and time at which the infection occurred after transplantation was observed, whereas in adult immunocompromised patients (lung transplant recipients) HRVs could be detected at a medium-low level (&lt;10(5) RNA copies/ml) in bronchoalveolar lavage samples taken routinely from asymptomatic patients. In conclusion, when detected at high viral load, HRVs may cause severe upper and lower respiratory tract infections, whereas when detected at a medium-low viral load, an event more frequent in immunocompromised subjects, they may represent only bystander viruses. J. Med. Virol. 81:1498-1507, 2009. (C) 2009 Wiley-Liss, Inc.</t>
  </si>
  <si>
    <t xml:space="preserve">[Gerna, G.; Piralla, A.; Rovida, F.; Rognoni, V.] Policlin San Matteo, Fdn IRCCS, Serv Virol, I-27100 Pavia, Italy; [Marchi, A.] Univ Pavia, Dipartimento Pediat, I-27100 Pavia, Italy; [Locatelli, F.] Univ Pavia, Fdn IRCCS, Policlin San Matteo, I-27100 Pavia, Italy; [Meloni, F.] Univ Pavia, Clin Malattie Apparat Resp, I-27100 Pavia, Italy</t>
  </si>
  <si>
    <t xml:space="preserve">IRCCS Fondazione San Matteo; IRCCS Fondazione Casimiro Mondino; University of Pavia; IRCCS Fondazione San Matteo; IRCCS Fondazione Casimiro Mondino; University of Pavia; University of Pavia</t>
  </si>
  <si>
    <t xml:space="preserve">Gerna, G (corresponding author), Policlin San Matteo, Fdn IRCCS, Serv Virol, I-27100 Pavia, Italy.</t>
  </si>
  <si>
    <t xml:space="preserve">; MELONI, FEDERICA/K-5828-2016; Piralla, Antonio/K-4756-2018; Rovida, Francesca/K-7984-2016</t>
  </si>
  <si>
    <t xml:space="preserve">Gerna, Giuseppe/0000-0001-5956-2786; MELONI, FEDERICA/0000-0003-4014-0617; Piralla, Antonio/0000-0002-6062-2579; Rovida, Francesca/0000-0003-2345-2790</t>
  </si>
  <si>
    <t xml:space="preserve">Ministero della Salute, Fondazione IRCCS Policlinico San Matteo, Ricerca Corrente [80541, 80622]</t>
  </si>
  <si>
    <t xml:space="preserve">Ministero della Salute, Fondazione IRCCS Policlinico San Matteo, Ricerca Corrente(Ministry of Health, Italy)</t>
  </si>
  <si>
    <t xml:space="preserve">Grant sponsor: Ministero della Salute, Fondazione IRCCS Policlinico San Matteo, Ricerca Corrente (partial support); Grant number: 80541; Grant number: 80622.</t>
  </si>
  <si>
    <t xml:space="preserve">10.1002/jmv.21548</t>
  </si>
  <si>
    <t xml:space="preserve">465TR</t>
  </si>
  <si>
    <t xml:space="preserve">WOS:000267611000023</t>
  </si>
  <si>
    <t xml:space="preserve">Piralla, A; Rovida, F; Campanini, G; Rognoni, V; Marchi, A; Locatelli, F; Gerna, G</t>
  </si>
  <si>
    <t xml:space="preserve">Piralla, A.; Rovida, F.; Campanini, G.; Rognoni, V.; Marchi, A.; Locatelli, F.; Gerna, G.</t>
  </si>
  <si>
    <t xml:space="preserve">Clinical severity and molecular typing of human rhinovirus C strains during a fall outbreak affecting hospitalized patients</t>
  </si>
  <si>
    <t xml:space="preserve">Human rhinovirus C; Respiratory tract infections; Real-time RT-PCR; Rhinovirus load; Rhinovirus type</t>
  </si>
  <si>
    <t xml:space="preserve">RESPIRATORY-TRACT INFECTIONS; REVERSE TRANSCRIPTION-PCR; POLYMERASE-CHAIN-REACTION; 5' NONCODING REGION; HUMAN METAPNEUMOVIRUS; HUMAN CORONAVIRUS; VIRUSES; ENTEROVIRUS; ASSAY; EXACERBATIONS</t>
  </si>
  <si>
    <t xml:space="preserve">Background: The circulation rate and the clinical severity of infections caused by members of the new human rhinovirus C (HRV-C) species remain to be defined. Objectives: To investigate the epidemiologic and clinical impact of HRV-C Strains in a fall outbreak interesting hospitalized patients. Study design: HRV species (A-C) were determined by phylogenetic analysis following amplification of two genome regions (5'NCR and VP4/VP2) by RT-PCR. HRV species were correlated with age, respiratory tract involvement, clinical symptoms, and HRV load in respiratory secretions. Results: During the first week of the period October-November 2008, single HRV infections were associated with 95% of all respiratory syndromes affecting hospitalized patients. Then, HRV infections (single + coinfections) interested about 90% of positive samples until the end of October, when they declined in frequency until reaching about 30% at the end of November. Overall, 104 HRV strains were detected and, of these, 90 could be classified by phylogenetic analysis, as follows: 45 HRV-A, 12 HRV-B, 28 HRV-C, and 5 human enterovirus D strains. HRV-C identity was confirmed by detection of cis-acting replication elements (cre) in 23/23 strains. As for severity of respiratory syndromes, unlike HRV-A and HRV-B strains, HRV-C strains were responsible fora significantly higher rate (p &lt; 0.05) of lower respiratory tract infections in the pediatric as compared to adult patient population. Conclusions: HRV-C strains have been shown to circulate at a rate intermediate between HRV-A and HRV-B strains, showing a greater degree of clinical severity in the pediatric population. (C) 2009 Elsevier B.V. All rights reserved.</t>
  </si>
  <si>
    <t xml:space="preserve">[Piralla, A.; Rovida, F.; Campanini, G.; Rognoni, V.; Gerna, G.] Fdn IRCCS Policlin San Matteo, Serv Virol, I-27100 Pavia, Italy; [Marchi, A.; Locatelli, F.] Univ Pavia, Dept Pediat, I-27100 Pavia, Italy</t>
  </si>
  <si>
    <t xml:space="preserve">Gerna, G (corresponding author), Fdn IRCCS Policlin San Matteo, Serv Virol, I-27100 Pavia, Italy.</t>
  </si>
  <si>
    <t xml:space="preserve">; Campanini, Giulia/J-4889-2018; Rovida, Francesca/K-7984-2016; Piralla, Antonio/K-4756-2018</t>
  </si>
  <si>
    <t xml:space="preserve">Gerna, Giuseppe/0000-0001-5956-2786; Campanini, Giulia/0000-0002-3536-2437; Rovida, Francesca/0000-0003-2345-2790; Piralla, Antonio/0000-0002-6062-2579</t>
  </si>
  <si>
    <t xml:space="preserve">Ministero della Salute, Ricerca Corrente [80221, 80622]</t>
  </si>
  <si>
    <t xml:space="preserve">Ministero della Salute, Ricerca Corrente(Ministry of Health, Italy)</t>
  </si>
  <si>
    <t xml:space="preserve">We thank all the technical staff of the Servizio di Virologia for performing the assays. We are also indebted to Daniela Sartori for preparing the manuscript, and Laurene Kelly for revision of the English. This work was partially supported by Ministero della Salute, Ricerca Corrente (grants 80221 and 80622).</t>
  </si>
  <si>
    <t xml:space="preserve">10.1016/j.jcv.2009.04.016</t>
  </si>
  <si>
    <t xml:space="preserve">480AN</t>
  </si>
  <si>
    <t xml:space="preserve">WOS:000268703900010</t>
  </si>
  <si>
    <t xml:space="preserve">Takumi-Tanimukai, Y; Yamamoto, S; Ogasawara, N; Nakabayashi, S; Mizuta, K; Yamamoto, K; Miyata, R; Kakuki, T; Jitsukawa, S; Sato, T; Tsutsumi, H; Kojima, T; Takano, K; Yokota, SI</t>
  </si>
  <si>
    <t xml:space="preserve">Takumi-Tanimukai, Yuka; Yamamoto, Soh; Ogasawara, Noriko; Nakabayashi, Sayaka; Mizuta, Katsumi; Yamamoto, Keisuke; Miyata, Ryo; Kakuki, Takuya; Jitsukawa, Sumito; Sato, Toyotaka; Tsutsumi, Hiroyuki; Kojima, Takashi; Takano, Kenichi; Yokota, Shin-ichi</t>
  </si>
  <si>
    <t xml:space="preserve">A hydroxypropyl methylcellulose plaque assay for human respiratory syncytial virus</t>
  </si>
  <si>
    <t xml:space="preserve">Human respiratory syncytial virus; Plaque assay; Human metapneumovirus; Pneumoviridae; Hydroxypropyl methylcellulose</t>
  </si>
  <si>
    <t xml:space="preserve">INFECTIONS</t>
  </si>
  <si>
    <t xml:space="preserve">Quantifying proliferative virus particles is one of the most important experimental procedures in virology. Compared with classical overlay materials, newly developed cellulose derivatives enable a plaque-forming assay to produce countable clear plaques easily. HEp-2 cells are widely used in plaque assays for human respiratory syncytial virus (RSV). It is crucial to use an overlay material to keep HEp-2 cell proliferation and prevent RSV particles from spreading over the fluid. Among four cellulose derivatives, carboxymethyl cellulose sodium salt (CMC), hydroxypropyl methylcellulose (HPMC), microcrystalline cellulose (MCC), and hydroxyethyl cellulose (HEC), we found that HPMC was the optimal overlay material because HPMC maintained HEp-2 cell proliferation and RSV infectivity. Although MCC was unsuitable for RSV, it assisted the plaque-forming by human metapneumovirus in TMPRSS2-expressing cells. Therefore, depending on the cells and viruses, it is necessary to use different overlay materials at varying concentrations.</t>
  </si>
  <si>
    <t xml:space="preserve">[Takumi-Tanimukai, Yuka; Yamamoto, Soh; Ogasawara, Noriko; Yamamoto, Keisuke; Sato, Toyotaka; Yokota, Shin-ichi] Sapporo Med Univ, Dept Microbiol, Sch Med, Sapporo, Japan; [Takumi-Tanimukai, Yuka; Ogasawara, Noriko; Yamamoto, Keisuke; Miyata, Ryo; Kakuki, Takuya; Jitsukawa, Sumito; Takano, Kenichi] Sapporo Med Univ, Dept Otolaryngol Head &amp; Neck Surg, Sch Med, Sapporo, Japan; [Nakabayashi, Sayaka] Sapporo Med Univ, Sch Med, Sapporo, Japan; [Mizuta, Katsumi] Yamagata Prefectural Inst Publ Hlth, Dept Microbiol, Yamagata, Japan; [Sato, Toyotaka] Hokkaido Univ, Fac Vet Med, Sch Vet Med, Lab Vet Hyg, Sapporo, Japan; [Sato, Toyotaka] Hokkaido Univ, Grad Sch Infect Dis, Sapporo, Japan; [Tsutsumi, Hiroyuki] Saiseikai Otaru Hosp, Midorinosato, Otaru, Japan; [Kojima, Takashi] Sapporo Med Univ, Res Inst Frontier Med, Dept Cell Sci, Sapporo, Japan</t>
  </si>
  <si>
    <t xml:space="preserve">Sapporo Medical University; Sapporo Medical University; Sapporo Medical University; Hokkaido University; Hokkaido University; Sapporo Medical University</t>
  </si>
  <si>
    <t xml:space="preserve">Ogasawara, N (corresponding author), Sapporo Med Univ, Dept Microbiol, Sch Med, Sapporo, Japan.</t>
  </si>
  <si>
    <t xml:space="preserve">ogasawara.n@sapmed.ac.jp</t>
  </si>
  <si>
    <t xml:space="preserve">Ogasawara, Noriko/K-6453-2019; Yokota, Shin-ichi/K-8139-2019; Miyata, Ryo/KMY-4846-2024; Sato, Toyotaka/J-4685-2019</t>
  </si>
  <si>
    <t xml:space="preserve">JSPS KAKENHI [18K09381, 19K07168, 20H03488, 21K19574]; Akiyama Foundation; Uehara Foundation; Takeda Science Foundation; MSD life Science Foundation; Public Interest Incorporated Foundation; Sapporo Medical University Priority Research; Grants-in-Aid for Scientific Research [18K09381, 19K07168, 21K19574, 20H03488] Funding Source: KAKEN</t>
  </si>
  <si>
    <t xml:space="preserve">JSPS KAKENHI(Ministry of Education, Culture, Sports, Science and Technology, Japan (MEXT)Japan Society for the Promotion of ScienceGrants-in-Aid for Scientific Research (KAKENHI)); Akiyama Foundation; Uehara Foundation(Uehara Memorial Foundation); Takeda Science Foundation(Takeda Science Foundation (TSF)); MSD life Science Foundation; Public Interest Incorporated Foundation; Sapporo Medical University Priority Research; Grants-in-Aid for Scientific Research(Ministry of Education, Culture, Sports, Science and Technology, Japan (MEXT)Japan Society for the Promotion of ScienceGrants-in-Aid for Scientific Research (KAKENHI))</t>
  </si>
  <si>
    <t xml:space="preserve">This research was supported in part by JSPS KAKENHI Grant Number 18K09381, 19K07168, 20H03488, 21K19574 and the Akiyama Foundation, Uehara Foundation, Takeda Science Foundation, MSD life Science Foundation, Public Interest Incorporated Foundation, and the Sapporo Medical University Priority Research-Supporting Grant for Young Investigators (2021-2022) .</t>
  </si>
  <si>
    <t xml:space="preserve">10.1016/j.jviromet.2022.114528</t>
  </si>
  <si>
    <t xml:space="preserve">1G1BG</t>
  </si>
  <si>
    <t xml:space="preserve">WOS:000795589800005</t>
  </si>
  <si>
    <t xml:space="preserve">Boivin, G; Caouette, G; Frenette, L; Carbonneau, J; Ouakki, M; De Serres, G</t>
  </si>
  <si>
    <t xml:space="preserve">Boivin, Guy; Caouette, Georges; Frenette, Line; Carbonneau, Julie; Ouakki, Manale; De Serres, Gaston</t>
  </si>
  <si>
    <t xml:space="preserve">Human respiratory syncytial virus and other viral infections in infants receiving palivizumab</t>
  </si>
  <si>
    <t xml:space="preserve">human respiratory syncytial virus; palivizumab; resistance</t>
  </si>
  <si>
    <t xml:space="preserve">HUMAN METAPNEUMOVIRUS; REDUCES HOSPITALIZATION; MONOCLONAL-ANTIBODIES; COTTON RATS; IN-VITRO; CHILDREN; PROPHYLAXIS; DISEASE; MEDI-493; MUTANTS</t>
  </si>
  <si>
    <t xml:space="preserve">Background Palivizumab is a humanized monoclonal antibody that prevents severe human respiratory syncytial virus (HRSV) infections. Objectives: We determined the etiology of respiratory viral infections in palivizumab recipients, and monitored the clinical outcome and HRSV genotype in HRSV-infected infants. Study design: Nasopharyngeal aspirates (NPAs) were collected from children receiving palivizumab who consulted or were hospitalized for acute respiratory tract infection (ARTI) during the 2004-2005 season. Viral cultures and multiplex RT-PCR for influenza A/B, HRSV and human metapneumovirus were performed. The fusion (F) gene of HRSV amplicons was also sequenced. Results: Among 116 enrolled patients, 51 (44%) had &gt;= 1 episode of ARTI for a total of 93 visits. At least one virus was identified in 33 (36%) of the 93 NPA samples; HRSV accounted for 11 (33%) of confirmed viral etiologies. Compared to subjects who had other viral ARTI, HRSV-positive subjects had less fever (p = 0.01) and tended to have more bronchiolitis (p = 0.07). Ten subjects (11 visits) developed HRSV infection, although only one was hospitalized. HRSV was detected after a median of 5.5 palivizumab doses and a median of 14 days after the last dose. One of the 11 HRSV strains tested had a F mutation located in the palivizumab-binding site. Conclusion: HRSV is still a major cause of ARTI in children receiving palivizumab, although the outcome of infected children appears mild. (c) 2007 Elsevier B.V. All rights reserved.</t>
  </si>
  <si>
    <t xml:space="preserve">[Boivin, Guy; Carbonneau, Julie] CHU Laval, CHUQ, Res Ctr Infect Dis, Quebec City, PQ G1V 4G2, Canada; [Caouette, Georges; Frenette, Line; De Serres, Gaston] Univ Laval, Quebec City, PQ, Canada; [Caouette, Georges; Frenette, Line] St Foy Pediat Clin, Quebec City, PQ, Canada; [Ouakki, Manale; De Serres, Gaston] Publ Hlth Res Unit, Quebec City, PQ, Canada</t>
  </si>
  <si>
    <t xml:space="preserve">Laval University; Laval University</t>
  </si>
  <si>
    <t xml:space="preserve">Boivin, G (corresponding author), CHU Laval, CHUQ, Res Ctr Infect Dis, Room RC-709,2705 Blvd Laurier, Quebec City, PQ G1V 4G2, Canada.</t>
  </si>
  <si>
    <t xml:space="preserve">Guy.Boivin@crchul.ulaval.ca</t>
  </si>
  <si>
    <t xml:space="preserve">10.1016/j.jcv.2007.11.012</t>
  </si>
  <si>
    <t xml:space="preserve">308LM</t>
  </si>
  <si>
    <t xml:space="preserve">WOS:000256391600009</t>
  </si>
  <si>
    <t xml:space="preserve">Singh, AK; Jain, B; Verma, AK; Kumar, A; Dangi, T; Dwivedi, M; Singh, KP; Jain, A</t>
  </si>
  <si>
    <t xml:space="preserve">Singh, Ajay K.; Jain, Bhawana; Verma, Anil K.; Kumar, Archana; Dangi, Tanushree; Dwivedi, Mukesh; Singh, Kaleshwar P.; Jain, Amita</t>
  </si>
  <si>
    <t xml:space="preserve">Hospital outbreak of human respiratory syncytial virus ( HRSV) illness in immunocompromised hospitalized children during summer</t>
  </si>
  <si>
    <t xml:space="preserve">CLINICAL RESPIRATORY JOURNAL</t>
  </si>
  <si>
    <t xml:space="preserve">human respiratory syncytial virus; immunocompromised; outbreak; real-time PCR</t>
  </si>
  <si>
    <t xml:space="preserve">REAL-TIME PCR; HUMAN METAPNEUMOVIRUS; GENETIC-VARIABILITY; INFLUENZA-A; INFECTIONS; TRANSPLANTATION; EPIDEMIOLOGY; DISEASE; ASSAYS</t>
  </si>
  <si>
    <t xml:space="preserve">PurposeThe human respiratory syncytial virus (HRSV) is a community-acquired virus that mainly causes acute respiratory tract infection in infants and children. HRSV is increasingly recognized as an important nosocomial pathogen causing morbidity in immunocompromised patients. Here, we are reporting a hospital outbreak of HRSV during summer in children receiving chemotherapy for haematological malignancies. Prompt detection and timely preventive measures could abort the devastating outbreak. MethodsIn the month of June 2013, seven children from paediatric oncology Ward at King George Medical University presented with respiratory signs and symptoms in span of 3 days. Nasal and throat swabs of children were tested for the presence of HRSV, human metapneumovirus and their subtypes A and B, influenza A and B, measles, parainfluenza virus (1, 2, 3 and 4), adenovirus, and human bocavirus by real-time polymerase chain reaction. A segment of F gene of HRSV was amplified and sequenced for phylogenetic analysis. The demographic, clinical profile, underlying diseases, clinical diagnosis and seasonal distribution were studied and analyzed. ResultsOf the total seven cases, six tested positive for HRSV A, which were genetically similar to each other. Children with respiratory symptoms were segregated from other patients, and strict implementation of restricted visiting policy was adapted, which led to control of widespread outbreak. ConclusionsHRSV A outbreak was detected in immunocompromised patients; the wider spread of which was prevented by prompt detection and application of preventive measures.</t>
  </si>
  <si>
    <t xml:space="preserve">[Singh, Ajay K.; Jain, Bhawana; Verma, Anil K.; Dangi, Tanushree; Dwivedi, Mukesh; Singh, Kaleshwar P.; Jain, Amita] King George Med Univ, Dept Microbiol, Lucknow, Uttar Pradesh, India; [Kumar, Archana] King George Med Univ, Dept Pediat, Lucknow, Uttar Pradesh, India</t>
  </si>
  <si>
    <t xml:space="preserve">King George's Medical University; King George's Medical University</t>
  </si>
  <si>
    <t xml:space="preserve">Jain, A (corresponding author), King George Med Univ, Virol Lab, Dept Microbiol, Shah Mina Rd, Lucknow, Uttar Pradesh, India.</t>
  </si>
  <si>
    <t xml:space="preserve">amita602002@yahoo.com</t>
  </si>
  <si>
    <t xml:space="preserve">jain, amita/ABA-9223-2020; Singh, Ajay/GNH-3223-2022; Verma, Anil Kumar/IYJ-8823-2023; Dangi, Tanushree/ABB-7975-2020</t>
  </si>
  <si>
    <t xml:space="preserve">SINGH, ANIL KUMAR/0000-0003-2933-4058; Dangi, Tanushree/0000-0003-1698-8087</t>
  </si>
  <si>
    <t xml:space="preserve">Indian Council of Medical Research, New Delhi, India [5/8/7/14/2009-ECD-I]</t>
  </si>
  <si>
    <t xml:space="preserve">This research was financially supported by Indian Council of Medical Research, New Delhi, India [Grant no. 5/8/7/14/2009-ECD-I (Vol. II)]. We are also grateful to the staff of influenza project and Virus Diagnostic Laboratory staff for support in lab work and collection of samples.</t>
  </si>
  <si>
    <t xml:space="preserve">1752-6981</t>
  </si>
  <si>
    <t xml:space="preserve">1752-699X</t>
  </si>
  <si>
    <t xml:space="preserve">CLIN RESPIR J</t>
  </si>
  <si>
    <t xml:space="preserve">Clin. Respir. J.</t>
  </si>
  <si>
    <t xml:space="preserve">10.1111/crj.12121</t>
  </si>
  <si>
    <t xml:space="preserve">CF4YV</t>
  </si>
  <si>
    <t xml:space="preserve">WOS:000352561500007</t>
  </si>
  <si>
    <t xml:space="preserve">Jagusic, M; Slovic, A; Ivancic-Jelecki, J; Ljubin-Sternak, S; Vilibic-Cavlek, T; Tabain, I; Forcic, D</t>
  </si>
  <si>
    <t xml:space="preserve">Jagusic, M.; Slovic, A.; Ivancic-Jelecki, J.; Ljubin-Sternak, S.; Vilibic-Cavlek, T.; Tabain, I; Forcic, D.</t>
  </si>
  <si>
    <t xml:space="preserve">Molecular epidemiology of human respiratory syncytial virus and human metapneumovirus in hospitalized children with acute respiratory infections in Croatia, 2014-2017</t>
  </si>
  <si>
    <t xml:space="preserve">INFECTION GENETICS AND EVOLUTION</t>
  </si>
  <si>
    <t xml:space="preserve">Human respiratory syncytial virus; Human metapneumovirus; Small hydrophobic protein; Glycoprotein; Epidemiology; Evolution</t>
  </si>
  <si>
    <t xml:space="preserve">SMALL HYDROPHOBIC PROTEIN; 60-NUCLEOTIDE DUPLICATION; GENETIC-VARIABILITY; G-GLYCOPROTEIN; SUBGROUP-B; SH GENE; EVOLUTION; DIVERSITY; GENOTYPE; FEATURES</t>
  </si>
  <si>
    <t xml:space="preserve">Acute respiratory infection (ARI) is the most common infection in children under 5 years of age and it is frequently caused by two pneumoviruses, human respiratory syncytial virus (HRSV) and human metapneumovirus (HMPV). Epidemic seasons of these viruses overlap and disease manifestations are highly similar, including severe lower ARI such as bronchiolitis or pneumonia. Reinfections with pneumoviruses are frequent and limited prevention treatment is available. Genetic diversity of HRSV and HMPV strains circulating in Croatia was monitored during four consecutive years (2014-2017). Co-circulation of multiple lineages was observed for both viruses. Within HRSV group A, ON1 strains gained strong predominance during the 4-year period, while previously dominant genotype NA1 was detected only sporadically. Similarly, newly occurring HMPV genotype A2c gained predominance over genotype A2b during this period, resulting in all infection in 2017 being caused by A2c. Along with phylogenetic analysis based on the commonly used fragments for detection and genotyping of these viruses, full length G and SH genes were also analysed. Evolutionary dynamics showed that inferred substitution rates of HRSV and HMPV are between 2.51 x 10(-3) and 3.61 x 10(-3) substitutions/site/year. This study established presence of recently described HMPV strains containing large duplications in the G gene in Croatia. Viruses with either of the two duplications belong to a subcluster A2c, which has completely replaced all other group A subclusters in 2017.</t>
  </si>
  <si>
    <t xml:space="preserve">[Jagusic, M.; Slovic, A.; Ivancic-Jelecki, J.; Forcic, D.] Univ Zagreb, Ctr Res &amp; Knowledge Transfer Biotechnol, Rockefellerova 10, Zagreb 10000, Croatia; [Jagusic, M.; Slovic, A.; Ivancic-Jelecki, J.; Forcic, D.] CERVirVac, Ctr Excellence Viral Immunol &amp; Vaccines, Zagreb, Croatia; [Ljubin-Sternak, S.] Dr Andrija Stampar Teaching Inst Publ Hlth, Zagreb, Croatia; [Ljubin-Sternak, S.; Vilibic-Cavlek, T.] Univ Zagreb, Sch Med, Zagreb, Croatia; [Vilibic-Cavlek, T.; Tabain, I] Croatian Natl Inst Publ Hlth, Zagreb, Croatia</t>
  </si>
  <si>
    <t xml:space="preserve">University of Zagreb; University of Zagreb</t>
  </si>
  <si>
    <t xml:space="preserve">Slovic, A (corresponding author), Univ Zagreb, Ctr Res &amp; Knowledge Transfer Biotechnol, Rockefellerova 10, Zagreb 10000, Croatia.</t>
  </si>
  <si>
    <t xml:space="preserve">Vilibić-Čavlek, Tatjana/AAI-2010-2019</t>
  </si>
  <si>
    <t xml:space="preserve">Slovic, Anamarija/0000-0003-3137-0576; Jagusic (nee Markusic), Maja/0000-0003-4952-9776</t>
  </si>
  <si>
    <t xml:space="preserve">Croatian Science Foundation [6255, KK.01.1.1.01.0006]; European Regional Development Fund</t>
  </si>
  <si>
    <t xml:space="preserve">Croatian Science Foundation; European Regional Development Fund(European Union (EU))</t>
  </si>
  <si>
    <t xml:space="preserve">This work was supported by a grant from the Croatian Science Foundation (project number 6255 to DF) and by the grant Strengthening the capacity of CerVirVac for research in virus immunology and vaccinology, KK.01.1.1.01.0006, awarded to the Scientific Centre of Excellence for Virus Immunology and Vaccines and co-financed by the European Regional Development Fund.</t>
  </si>
  <si>
    <t xml:space="preserve">1567-1348</t>
  </si>
  <si>
    <t xml:space="preserve">1567-7257</t>
  </si>
  <si>
    <t xml:space="preserve">INFECT GENET EVOL</t>
  </si>
  <si>
    <t xml:space="preserve">Infect. Genet. Evol.</t>
  </si>
  <si>
    <t xml:space="preserve">10.1016/j.meegid.2019.104039</t>
  </si>
  <si>
    <t xml:space="preserve">JN6GY</t>
  </si>
  <si>
    <t xml:space="preserve">WOS:000496995600005</t>
  </si>
  <si>
    <t xml:space="preserve">Sastre, P; Ruiz, T; Schildgen, O; Schildgen, V; Vela, C; Rueda, P</t>
  </si>
  <si>
    <t xml:space="preserve">Sastre, Patricia; Ruiz, Tamara; Schildgen, Oliver; Schildgen, Verena; Vela, Carmen; Rueda, Paloma</t>
  </si>
  <si>
    <t xml:space="preserve">Seroprevalence of human respiratory syncytial virus and human metapneumovirus in healthy population analyzed by recombinant fusion protein-based enzyme linked immunosorbent assay</t>
  </si>
  <si>
    <t xml:space="preserve">Human respiratory syncytial virus; Human metapneumovirus; Seroprevalence and immunoassay</t>
  </si>
  <si>
    <t xml:space="preserve">NUCLEOCAPSID PROTEIN; YOUNG-CHILDREN; INFECTION; VACCINE; RESPONSES; IMMUNITY; DISEASE; ADULTS; HMPV</t>
  </si>
  <si>
    <t xml:space="preserve">Background: Human respiratory syncytial virus (hRSV) and human metapneumovirus (hMPV) are two of the most frequent respiratory pathogens that circulate worldwide. Infection with either virus can lead to hospitalization of young children, immunocompromised people and the elderly. A better understanding of the epidemiological aspects, such as prevalence of these viruses in the population will be of significant importance to the scientific community. The aim of this study was to gain some detailed knowledge on the humoral immune response to both viruses in different populations of individuals. Findings: The fusion protein (F) of hRSV and hMPV was expressed in the baculovirus and Escherichia coli systems, respectively, and used as antigen in two independent enzyme-linked immunosorbent assays (ELISAs) for detection of specific antibodies in human sera. The seroprevalence of each virus in a large cohort of individuals with ages ranging from 0 to 89 years old was determined. Although the general distribution of the antibody response to each virus in the different age group was similar, the prevalence of hRSV appeared to be higher than that of hMPV in most of them. The group of children with ages between 0 and 2 showed the highest seronegative rates. After this age, an increase in the antibody response was observed, most likely as the result of new infections or even due to reinfections. Conclusions: The use of these specific F-ELISAs in seroepidemiological studies might be helpful for a better understanding of the human antibody response to these viruses.</t>
  </si>
  <si>
    <t xml:space="preserve">[Sastre, Patricia; Ruiz, Tamara; Vela, Carmen; Rueda, Paloma] Inmunol &amp; Genet Aplicada SA INGENASA, Madrid, Spain; [Schildgen, Oliver; Schildgen, Verena] Private Univ Witten Herdecke, Inst Pathol, Kliniken Stadt Koln gGmbH, Cologne, Germany</t>
  </si>
  <si>
    <t xml:space="preserve">University of Cologne; Witten Herdecke University</t>
  </si>
  <si>
    <t xml:space="preserve">Sastre, P (corresponding author), Inmunol &amp; Genet Aplicada SA INGENASA, Madrid, Spain.</t>
  </si>
  <si>
    <t xml:space="preserve">psastre@ingenasa.es</t>
  </si>
  <si>
    <t xml:space="preserve">EU FP6-LIFESCHEALTH-7 [37276]; Else Kroner-Fresenius Stiftung (Germany)</t>
  </si>
  <si>
    <t xml:space="preserve">EU FP6-LIFESCHEALTH-7; Else Kroner-Fresenius Stiftung (Germany)</t>
  </si>
  <si>
    <t xml:space="preserve">We thank Ramona-Liza Tillmann for her technical assistance. This research was supported by EU FP6-2005-LIFESCHEALTH-7 (GRANT 37276 RespViruses) and partially by a grant from the Else Kroner-Fresenius Stiftung (Germany).</t>
  </si>
  <si>
    <t xml:space="preserve">JUL 2</t>
  </si>
  <si>
    <t xml:space="preserve">10.1186/1743-422X-9-130</t>
  </si>
  <si>
    <t xml:space="preserve">992XH</t>
  </si>
  <si>
    <t xml:space="preserve">WOS:000307813400001</t>
  </si>
  <si>
    <t xml:space="preserve">Yu, XF; Kou, Y; Xia, DZ; Li, J; Yang, XH; Zhou, YY; He, XY</t>
  </si>
  <si>
    <t xml:space="preserve">Yu, Xinfen; Kou, Yu; Xia, Daozong; Li, Jun; Yang, Xuhui; Zhou, Yinyan; He, Xiaoyan</t>
  </si>
  <si>
    <t xml:space="preserve">Human respiratory syncytial virus in children with lower respiratory tract infections or influenza-like illness and its co-infection characteristics with viruses and atypical bacteria in Hangzhou, China</t>
  </si>
  <si>
    <t xml:space="preserve">Human respiratory syncytial virus; Co-infection; Epidemic pattern; Genotype; Children</t>
  </si>
  <si>
    <t xml:space="preserve">REAL-TIME PCR; GROUP-A; MOLECULAR EPIDEMIOLOGY; GENETIC-VARIABILITY; CIRCULATION PATTERNS; SOUTH-AFRICA; SUBGROUP-B; G-PROTEIN; GENOTYPES; DUPLICATION</t>
  </si>
  <si>
    <t xml:space="preserve">Background: Human respiratory syncytial virus (RSV) is the most important viral pathogen in children. However, its epidemic patterns and co-infection characteristics are not fully understood. Objectives: We attempted to determine the level of genetic variation of RSV, and describe the prevalence and co-infection characteristics of RSV in Hangzhou during two epidemic seasons. Study design: Single respiratory samples from 1820 pediatric patients were screened for RSV and geno-typed by RT-PCR and sequencing. In all RSV positive specimens, we screened for viruses and atypical bacteria. Demographic and clinical information was recorded and analyzed. Results: A total of 34.5% and 3.8% of samples from acute lower respiratory tract infections (ALRI) and influenza-like illness (ILI) were positive for RSV, respectively. Phylogenetic analysis revealed that 61.1% of the selected 167 RSV strains were NA1, 31.1% were BA, 3.6% were ON1, 2.4% were CB1, and 1.8% were NA3. A new genotype, BA11 was identified, which comprised 98.1% of BA strains in this study, while the rest were BA10. A total of 36.4% and 9.1% of RSV-positive children with ALRI and ILI respectively were found to be co-infected. Rhinovirus was the most common additional respiratory virus, followed by human metapneumovirus. Except for fever, no significant differences in other clinical presentation between the RSV mono-infection and co-infection groups were observed. Conclusions: The circulating RSV strains had high genetic variability with RSV-B showing a more local pattern. In ALRI cases, co-infection of RSV with other viruses or atypical bacteria has no significant effect on the clinical presentation except fever. (C) 2015 Elsevier B.V. All rights reserved.</t>
  </si>
  <si>
    <t xml:space="preserve">[Yu, Xinfen; Kou, Yu; Li, Jun; Yang, Xuhui; Zhou, Yinyan; He, Xiaoyan] Hangzhou Ctr Dis Control &amp; Prevent, Microbiol Lab, Hangzhou, Zhejiang, Peoples R China; [Xia, Daozong] Zhejiang Chinese Med Univ, Coll Pharmaceut Sci, Hangzhou, Zhejiang, Peoples R China</t>
  </si>
  <si>
    <t xml:space="preserve">Zhejiang Chinese Medical University</t>
  </si>
  <si>
    <t xml:space="preserve">Yu, XF (corresponding author), Hangzhou Ctr Dis Control &amp; Prevent, Microbiol Lab, 1 Mingshi Rd, Hangzhou, Zhejiang, Peoples R China.</t>
  </si>
  <si>
    <t xml:space="preserve">yuxin-fen@163.com</t>
  </si>
  <si>
    <t xml:space="preserve">Xia, Daozong/AAG-3143-2020; Zhang, Xiao-Hua/AAI-8899-2021; he, xiaoyan/GXW-1307-2022</t>
  </si>
  <si>
    <t xml:space="preserve">Hangzhou Scientific and Technological Development Program of China [20120533Q24]</t>
  </si>
  <si>
    <t xml:space="preserve">Hangzhou Scientific and Technological Development Program of China</t>
  </si>
  <si>
    <t xml:space="preserve">This work was supported by Hangzhou Scientific and Technological Development Program of China (Grant No. 20120533Q24).</t>
  </si>
  <si>
    <t xml:space="preserve">10.1016/j.jcv.2015.05.015</t>
  </si>
  <si>
    <t xml:space="preserve">CN3IH</t>
  </si>
  <si>
    <t xml:space="preserve">WOS:000358318400001</t>
  </si>
  <si>
    <t xml:space="preserve">Sastre, P; Cusi, MG; Manoha, C; Schidgen, O; Ruiz, T; Vela, C; Rueda, P</t>
  </si>
  <si>
    <t xml:space="preserve">Sastre, P.; Cusi, M. G.; Manoha, C.; Schidgen, O.; Ruiz, T.; Vela, C.; Rueda, P.</t>
  </si>
  <si>
    <t xml:space="preserve">Serum antibody response to respiratory syncytial virus F and N proteins in two populations at high risk of infection: Children and elderly</t>
  </si>
  <si>
    <t xml:space="preserve">Human respiratory syncytial virus; Antibody; Immunoassay; Elderly</t>
  </si>
  <si>
    <t xml:space="preserve">LINKED-IMMUNOSORBENT-ASSAY; HUMAN METAPNEUMOVIRUS; NUCLEOCAPSID PROTEIN; FUSION PROTEIN; INSECT CELLS; BACULOVIRUS EXPRESSION; MATRIX PROTEIN; IMMUNE; GLYCOPROTEINS; VALIDATION</t>
  </si>
  <si>
    <t xml:space="preserve">Human respiratory syncytial virus (hRSV) is the main viral cause of severe respiratory infections in children and a common cause of morbidity in the elderly. The nucleocapsid (N) and fusion (F) proteins of hRSV were expressed in insect cells and used as antigens in two independent enzyme-linked immunosorbent assays (ELISAs) to measure the serum antibody response in two populations at high risk of hRSV infection, children and the elderly. Fifty-seven serum specimens from children aged from 1 to 10 years old and 91 sera from adults over 60 years old were tested. The ELISA results were compared with those obtained by an immunofluorescence assay (IFA) based on hRSV-infected cells, which was considered as the reference technique. Sensitivity and specificity were 94% and 85% for the N-ELISA and 86% and 81% for the F-ELISA, respectively. When the immune responses of the two groups of individuals were compared, it appeared that almost 100% of the elderly had antibodies against the N or F protein whereas only 50% of the sera from children had antibodies against either of the two viral proteins. In conclusion, the F and N ELISAs can be used successfully for detecting a specific antibody response to hRSV. (C) 2010 Elsevier B.V. All rights reserved.</t>
  </si>
  <si>
    <t xml:space="preserve">[Sastre, P.; Ruiz, T.; Vela, C.; Rueda, P.] INGENASA, Madrid 28037, Spain; [Cusi, M. G.] Univ Siena, Dept Mol Biol, I-53100 Siena, Italy; [Manoha, C.] CHU Dijon, Virol Lab, Dijon, France; [Schidgen, O.] Univ Hosp Bonn, Bonn, Germany</t>
  </si>
  <si>
    <t xml:space="preserve">University of Siena; CHU Dijon Bourgogne; University of Bonn</t>
  </si>
  <si>
    <t xml:space="preserve">Sastre, P (corresponding author), INGENASA, Hnos Garcia Noblejas 41, Madrid 28037, Spain.</t>
  </si>
  <si>
    <t xml:space="preserve">Manoha, Catherine/AAP-4178-2021; Schildgen, Oliver/D-5327-2014; CUSI, MARIA GRAZIA/K-2377-2018</t>
  </si>
  <si>
    <t xml:space="preserve">Manoha, Catherine/0000-0003-3934-6132; Schildgen, Oliver/0000-0003-4297-9627; CUSI, MARIA GRAZIA/0000-0001-8869-8164</t>
  </si>
  <si>
    <t xml:space="preserve">This work was supported by EEC FP6-2005-LIFESCHEALTH-7 (GRANT 37276 RespViruses). We thank Dr. Jose Antonio Melero for providing us with specific antibodies to the hRSV F and N proteins. We also thank Dr. Brian Sproat for English corrections and Dr. Angel Venteo for critical discussion of the data.</t>
  </si>
  <si>
    <t xml:space="preserve">10.1016/j.jviromet.2010.05.011</t>
  </si>
  <si>
    <t xml:space="preserve">638CS</t>
  </si>
  <si>
    <t xml:space="preserve">WOS:000280869400029</t>
  </si>
  <si>
    <t xml:space="preserve">Zhang, YG; Brooks, WA; Goswami, D; Rahman, M; Luby, SP; Erdman, DD</t>
  </si>
  <si>
    <t xml:space="preserve">Zhang, Yange; Brooks, W. Abdullah; Goswami, Doli; Rahman, Mustafizur; Luby, Stephen P.; Erdman, Dean D.</t>
  </si>
  <si>
    <t xml:space="preserve">A duplex recombinant viral nucleoprotein microbead immunoassay for simultaneous detection of seroresponses to human respiratory syncytial virus and metapneumovirus infections</t>
  </si>
  <si>
    <t xml:space="preserve">Human respiratory syncytial virus (hRSV); Human metapneumovirus (hMPV); Immunoassay; Serology</t>
  </si>
  <si>
    <t xml:space="preserve">LINKED-IMMUNOSORBENT-ASSAY; GROUP-A; ANTIBODIES; SEROLOGY; CHILDREN; PROTEIN; DIAGNOSIS; SEROPREVALENCE; SURVEILLANCE; STRAINS</t>
  </si>
  <si>
    <t xml:space="preserve">Serologic diagnosis of human respiratory syncytial virus (hRSV) and human metapneumovirus (hMPV) infections has been shown to complement virus detection methods in epidemiologic studies. Enzyme immunoassays (EIAs) using cultured virus lysate antigens are often used to diagnose infection by demonstration of a &gt;= 4-fold rises in antibody titer between acute and convalescent serum pairs. In this study, hRSV and hMPV nucleocapsid (recN) proteins were expressed in a baculovirus system and their performance compared with virus culture lysate antigen in EIAs using paired serum specimens collected from symptomatic children. The recN proteins were also used to develop a duplex assay based on the Luminex microbead-based suspension array technology, where diagnostic rises in antibody levels could be determined simultaneously at a single serum dilution. Antibody levels measured by the recN and viral lysate EIAs correlated moderately (hRSV, r(2) = 0.72; hMPV, r(2) = 0.76); the recN EIAs identified correctly 35 of 37 (94.6%) and 48 of 50 (96%) serum pairs showing diagnostic antibody rises by viral lysate EIAs. Purified recN proteins were then coupled to microbeads and serum pairs were tested at a single dilution on a Luminex MAGPIX (R) analyzer. The duplex recN assay identified correctly 33 of 39 (85%) and 41 of 47 (86.7%) serum pairs showing diagnostic rises to hRSV and hMPV, respectively. The recN assay permits simultaneous testing for acute hRSV and hMPV infections and offers a platform for expanded multiplexing of other respiratory virus assays. Published by Elsevier B.V.</t>
  </si>
  <si>
    <t xml:space="preserve">[Zhang, Yange; Erdman, Dean D.] Ctr Dis Control &amp; Prevent, Gastroenteritis &amp; Resp Viruses Lab Branch, Div Viral Dis, Atlanta, GA 30333 USA; [Zhang, Yange] Battelle Mem Inst, Atlanta, GA 30341 USA; [Brooks, W. Abdullah; Goswami, Doli; Rahman, Mustafizur] Int Ctr Diarrheal Dis Res Bangladesh ICDDR B, Dhaka, Bangladesh; [Luby, Stephen P.] Stanford Univ, Woods Inst Environm, Stanford, CA 94305 USA</t>
  </si>
  <si>
    <t xml:space="preserve">Centers for Disease Control &amp; Prevention - USA; International Centre for Diarrhoeal Disease Research (ICDDR); Stanford University</t>
  </si>
  <si>
    <t xml:space="preserve">Erdman, DD (corresponding author), Ctr Dis Control &amp; Prevent, Gastroenteritis &amp; Resp Viruses Lab Branch, Div Viral Dis, Atlanta, GA 30333 USA.</t>
  </si>
  <si>
    <t xml:space="preserve">Brooks, W./AAD-3876-2021</t>
  </si>
  <si>
    <t xml:space="preserve">Luby, Stephen/0000-0001-5385-899X</t>
  </si>
  <si>
    <t xml:space="preserve">Intramural CDC HHS [CC999999] Funding Source: Medline</t>
  </si>
  <si>
    <t xml:space="preserve">Intramural CDC HHS</t>
  </si>
  <si>
    <t xml:space="preserve">10.1016/j.jviromet.2014.05.008</t>
  </si>
  <si>
    <t xml:space="preserve">AM9RQ</t>
  </si>
  <si>
    <t xml:space="preserve">WOS:000340219100010</t>
  </si>
  <si>
    <t xml:space="preserve">Hossen, MS; Hasan, MN; Haque, M; Al Arian, T; Halder, SK; Uddin, MJ; Abdullah-Al-Mamun, M; Shakil, MS</t>
  </si>
  <si>
    <t xml:space="preserve">Hossen, Md Sakib; Hasan, Md. Nazmul; Haque, Munima; Al Arian, Tawsif; Halder, Sajal Kumar; Uddin, Md. Jasim; Abdullah-Al-Mamun, M.; Shakil, Md Salman</t>
  </si>
  <si>
    <t xml:space="preserve">Immunoinformatics-aided rational design of multiepitope-based peptide vaccine (MEBV) targeting human parainfluenza virus 3 (HPIV-3) stable proteins</t>
  </si>
  <si>
    <t xml:space="preserve">JOURNAL OF GENETIC ENGINEERING AND BIOTECHNOLOGY</t>
  </si>
  <si>
    <t xml:space="preserve">Human parainfluenza virus 3; Multiepitope vaccine; Molecular docking; Molecular dynamics simulation; pET32a (+) vector</t>
  </si>
  <si>
    <t xml:space="preserve">TOLL-LIKE RECEPTORS; HUMAN METAPNEUMOVIRUS; INNATE IMMUNITY; PREDICTION; INFECTION; CHILDREN</t>
  </si>
  <si>
    <t xml:space="preserve">BackgroundHuman parainfluenza viruses (HPIVs) are common RNA viruses responsible for respiratory tract infections. Human parainfluenza virus 3 (HPIV-3) is particularly pathogenic, causing severe illnesses with no effective vaccine or therapy available.ResultsThe current study employed a systematic immunoinformatic/reverse vaccinology approach to design a multiple epitope-based peptide vaccine against HPIV-3 by analyzing the virus proteome. On the basis of a number of therapeutic features, all three stable and antigenic proteins with greater immunological relevance, namely matrix protein, hemagglutinin neuraminidase, and RNA-directed RNA polymerase L, were chosen for predicting and screening suitable T-cell and B-cell epitopes. All of our desired epitopes exhibited no homology with human proteins, greater population coverage (99.26%), and high conservancy among reported HPIV-3 isolates worldwide. All of the T- and B-cell epitopes are then joined by putative ligands, yielding a 478-amino acid-long final construct. Upon computational refinement, validation, and thorough screening, several programs rated our peptide vaccine as biophysically stable, antigenic, allergenic, and non-toxic in humans. The vaccine protein demonstrated sufficiently stable interaction as well as binding affinity with innate immune receptors TLR3, TLR4, and TLR8. Furthermore, codon optimization and virtual cloning of the vaccine sequence in a pET32a ( +) vector showed that it can be readily expressed in the bacterial system.ConclusionThe in silico designed HPIV-3 vaccine demonstrated potential in evoking an effective immune response. This study paves the way for further preclinical and clinical evaluation of the vaccine, offering hope for a future solution to combat HPIV-3 infections.</t>
  </si>
  <si>
    <t xml:space="preserve">[Hossen, Md Sakib] Primeasia Univ, Dept Biochem &amp; Mol Biol, Dhaka 1213, Bangladesh; [Hossen, Md Sakib; Hasan, Md. Nazmul; Shakil, Md Salman] BioAid, Div Comp Aided Drug Design, Dhaka 1216, Bangladesh; [Hasan, Md. Nazmul] Hajee Mohammad Danesh Sci &amp; Technol Univ, Dept Biochem &amp; Mol Biol, Dinajpur 5200, Bangladesh; [Haque, Munima] Brac Univ, Dept Math &amp; Nat Sci MNS, Biotechnol Program, Kha 208,1 Bir Uttam Rafiqul Islam Ave, Dhaka 1212, Bangladesh; [Al Arian, Tawsif] Jahangirnagar Univ, Fac Biol Sci, Dept Pharm, Dhaka 1342, Bangladesh; [Halder, Sajal Kumar; Uddin, Md. Jasim; Abdullah-Al-Mamun, M.] Jahangirnagar Univ, Dept Biochem &amp; Mol Biol, Dhaka 1342, Bangladesh; [Shakil, Md Salman] BRAC Univ, Dept Math &amp; Nat Sci MNS, Microbiol Program, 66 Mohakhali, Dhaka 1212, Bangladesh</t>
  </si>
  <si>
    <t xml:space="preserve">Bangladesh Rural Advancement Committee BRAC; BRAC University; Jahangirnagar University; Jahangirnagar University; Bangladesh Rural Advancement Committee BRAC; BRAC University</t>
  </si>
  <si>
    <t xml:space="preserve">Hossen, MS (corresponding author), Primeasia Univ, Dept Biochem &amp; Mol Biol, Dhaka 1213, Bangladesh.;Hossen, MS; Hasan, MN (corresponding author), BioAid, Div Comp Aided Drug Design, Dhaka 1216, Bangladesh.;Hasan, MN (corresponding author), Hajee Mohammad Danesh Sci &amp; Technol Univ, Dept Biochem &amp; Mol Biol, Dinajpur 5200, Bangladesh.</t>
  </si>
  <si>
    <t xml:space="preserve">sakib.hossen@primeasia.edu.bd; nhasan@hstu.ac.bd</t>
  </si>
  <si>
    <t xml:space="preserve">Uddin, Jasim/J-6451-2019; Haque, Munima/AGZ-0511-2022; Halder, Sajal/AAR-6075-2021</t>
  </si>
  <si>
    <t xml:space="preserve">Haque, Munima/0000-0002-6712-6447; Halder, Sajal Kumar/0000-0001-7316-6210</t>
  </si>
  <si>
    <t xml:space="preserve">2090-5920</t>
  </si>
  <si>
    <t xml:space="preserve">J GENET ENG BIOTECHN</t>
  </si>
  <si>
    <t xml:space="preserve">J Genet. Eng. Biotechnol.</t>
  </si>
  <si>
    <t xml:space="preserve">DEC 6</t>
  </si>
  <si>
    <t xml:space="preserve">10.1186/s43141-023-00623-5</t>
  </si>
  <si>
    <t xml:space="preserve">Biotechnology &amp; Applied Microbiology; Environmental Sciences; Toxicology</t>
  </si>
  <si>
    <t xml:space="preserve">Biotechnology &amp; Applied Microbiology; Environmental Sciences &amp; Ecology; Toxicology</t>
  </si>
  <si>
    <t xml:space="preserve">Z8QS4</t>
  </si>
  <si>
    <t xml:space="preserve">WOS:001114671700001</t>
  </si>
  <si>
    <t xml:space="preserve">Ali, AAM; Vishal, A; Nelson, EJR</t>
  </si>
  <si>
    <t xml:space="preserve">Ali, Anees Ahmed Mahaboob; Vishal, Adarsh; Nelson, Everette Jacob Remington</t>
  </si>
  <si>
    <t xml:space="preserve">Targeting host-virus interactions: in silico analysis of the binding of human milk oligosaccharides to viral proteins involved in respiratory infections</t>
  </si>
  <si>
    <t xml:space="preserve">Human milk oligosaccharides; Respiratory viral infections; Host-virus interactions; Molecular docking; MD simulations; Antiviral therapy</t>
  </si>
  <si>
    <t xml:space="preserve">SIALIC-ACID; REVEALS; INHIBIT; SPIKE</t>
  </si>
  <si>
    <t xml:space="preserve">Respiratory viral infections, a major public health concern, necessitate continuous development of novel antiviral strategies, particularly in the face of emerging and re-emerging pathogens. In this study, we explored the potential of human milk oligosaccharides (HMOs) as broad-spectrum antiviral agents against key respiratory viruses. By examining the structural mimicry of host cell receptors and their known biological functions, including antiviral activities, we assessed the ability of HMOs to bind and potentially inhibit viral proteins crucial for host cell entry. Our in silico analysis focused on viral proteins integral to host-virus interactions, namely the hemagglutinin protein of influenza, fusion proteins of respiratory syncytial and human metapneumovirus, and the spike protein of SARS-CoV-2. Using molecular docking and simulation studies, we demonstrated that HMOs exhibit varying binding affinities to these viral proteins, suggesting their potential as viral entry inhibitors. This study identified several HMOs with promising binding profiles, highlighting their potential in antiviral drug development. This research provides a foundation for utilizing HMOs as a natural source for designing new therapeutics, offering a novel approach in the fight against respiratory viral infections.</t>
  </si>
  <si>
    <t xml:space="preserve">[Ali, Anees Ahmed Mahaboob; Vishal, Adarsh; Nelson, Everette Jacob Remington] Vellore Inst Technol, Sch Bio Sci &amp; Technol, Dept Integrat Biol, Gene Therapy Lab, Vellore 632014, India</t>
  </si>
  <si>
    <t xml:space="preserve">Vellore Institute of Technology (VIT); VIT Vellore</t>
  </si>
  <si>
    <t xml:space="preserve">Nelson, EJR (corresponding author), Vellore Inst Technol, Sch Bio Sci &amp; Technol, Dept Integrat Biol, Gene Therapy Lab, Vellore 632014, India.</t>
  </si>
  <si>
    <t xml:space="preserve">everette.nelson@gmail.com</t>
  </si>
  <si>
    <t xml:space="preserve">Mahaboob Ali, Anees Ahmed/AAZ-3540-2020</t>
  </si>
  <si>
    <t xml:space="preserve">Mahaboob Ali, Anees Ahmed/0000-0002-2135-0865</t>
  </si>
  <si>
    <t xml:space="preserve">FEB 19</t>
  </si>
  <si>
    <t xml:space="preserve">10.1038/s41598-024-54624-6</t>
  </si>
  <si>
    <t xml:space="preserve">IN9Y1</t>
  </si>
  <si>
    <t xml:space="preserve">WOS:001167137100029</t>
  </si>
  <si>
    <t xml:space="preserve">Nazareth, R; Chasqueira, MJ; Rodrigues, ML; Paulino, C; Conceiçao, C; Lêdo, L; Segura, U; Santos, M; Messias, A; Póvoa, P; Paixao, P</t>
  </si>
  <si>
    <t xml:space="preserve">Nazareth, Raquel; Chasqueira, Maria-Jesus; Rodrigues, Maria-Lucia; Paulino, Carolina; Conceicao, Catarina; Ledo, Lia; Segura, Ursula; Santos, Madalena; Messias, Antonio; Povoa, Pedro; Paixao, Paulo</t>
  </si>
  <si>
    <t xml:space="preserve">Respiratory viruses in mechanically ventilated patients: a pilot study</t>
  </si>
  <si>
    <t xml:space="preserve">Human microbiome; Respiratory virome; Respiratory viruses; Real-time PCR</t>
  </si>
  <si>
    <t xml:space="preserve">MICROBIOME; PNEUMONIA</t>
  </si>
  <si>
    <t xml:space="preserve">Background Respiratory virome is an integral part of the human microbiome and its characterization may contribute to a better understanding of the changes that arise in the disease and, consequently, influence the approach and treatment of patients with acute lower respiratory infections. The aim of this study was to evaluate the presence of respiratory viruses in the lower airways of individuals undergoing invasive mechanical ventilation, with and without acute lower respiratory infection (respectively WRI and WORI groups). Methods We studied 44 mini-bronchoalveolar lavage samples (collected with a double catheter, Combicath (R) kit) from patients with mean age in the seventh decade, 20 from WORI group and 24 from WRI group, who were hospitalized for acute respiratory failure in Intensive Care Units of two hospitals in the Lisbon area. Real-time PCR was applied to verify analyse the presence of 15 common respiratory viruses (adenovirus, human bocavirus, influenza virus A and B, repiratory syncytial virus, human parainfluenza virus types 1, 2, 3 and 4, human enterovirus, human rhinovirus, human metapneumovirus, human coronavirus group 1 (229E, NL63) and 2 (OC43, HKU1). Results Respiratory viruses were detected in six of the 20 patients in the WORI group: influenza AH3 (n = 2), parainfluenza virus 1/3 (n = 2), human rhinovirus (n = 2), respiratory syncytial virus (n = 1) and human metapneumovirus (n = 1). In the WRI group, respiratory viruses were detected in 12 of the 24 patients: influenza AH3 (n = 3), human rhinovirus (n = 3), respiratory syncytial virus (n = 3), human metapneumovirus (n = 3), human bocavirus (n = 2) and human enterovirus (n = 1). Simultaneous detection of two viruses was recorded in two samples in both groups. Conclusions The results of this study suggest the presence of common respiratory viruses in the lower respiratory tract without causing symptomatic infection, even in carefully collected lower samples. This may have important implications on the interpretation of the results on the diagnostic setting.</t>
  </si>
  <si>
    <t xml:space="preserve">[Nazareth, Raquel; Segura, Ursula; Messias, Antonio] Hosp Beatriz Angelo, Ave Carlos Teixeira 3, P-2674514 Loures, Portugal; [Nazareth, Raquel; Chasqueira, Maria-Jesus; Rodrigues, Maria-Lucia; Povoa, Pedro; Paixao, Paulo] NOVA Med Sch, Fac Ciencias Med, Ctr Estudos Doencas Cron, CEDOC, Campo Martires da Patria 130, P-1169056 Lisbon, Portugal; [Paulino, Carolina; Conceicao, Catarina; Ledo, Lia; Povoa, Pedro] Hosp Sao Francisco Xavier, Estr Forte Alto Duque, P-1449005 Lisbon, Portugal; [Santos, Madalena] Hosp Curry Cabral, Ctr Hosp Lisboa Cent, Rua Beneficiencia 8, P-1069166 Lisbon, Portugal; [Povoa, Pedro] OUH, Ctr Clin Epidemiol, Odense, Denmark; [Povoa, Pedro] OUH, Res Unit Clin Epidemiol, Odense, Denmark; [Paixao, Paulo] Hosp Luz, Clin Pathol Lab Synlab, Av Lusiada 100, P-1500650 Lisbon, Portugal</t>
  </si>
  <si>
    <t xml:space="preserve">Universidade Nova de Lisboa; Centro Hospitalar de Lisboa Central, EPE; Universidade de Lisboa; University of Southern Denmark; Odense University Hospital; University of Southern Denmark; Odense University Hospital</t>
  </si>
  <si>
    <t xml:space="preserve">Nazareth, R (corresponding author), Hosp Beatriz Angelo, Ave Carlos Teixeira 3, P-2674514 Loures, Portugal.;Nazareth, R (corresponding author), NOVA Med Sch, Fac Ciencias Med, Ctr Estudos Doencas Cron, CEDOC, Campo Martires da Patria 130, P-1169056 Lisbon, Portugal.</t>
  </si>
  <si>
    <t xml:space="preserve">raquelnazareth@gmail.com</t>
  </si>
  <si>
    <t xml:space="preserve">Paulino, Maria/AAT-2708-2021; Povoa, Pedro/I-1669-2013</t>
  </si>
  <si>
    <t xml:space="preserve">Povoa, Pedro/0000-0002-7069-7304; Paixao, Paulo/0000-0002-4294-0872</t>
  </si>
  <si>
    <t xml:space="preserve">Infection unit of the NOVA Medical School; academic unit of the NOVA University of Lisbon</t>
  </si>
  <si>
    <t xml:space="preserve">The work was funded by the Infection unit of the NOVA Medical School, an academic unit of the NOVA University of Lisbon.</t>
  </si>
  <si>
    <t xml:space="preserve">FEB 13</t>
  </si>
  <si>
    <t xml:space="preserve">10.1186/s12890-020-1082-5</t>
  </si>
  <si>
    <t xml:space="preserve">KN6BP</t>
  </si>
  <si>
    <t xml:space="preserve">WOS:000514921200001</t>
  </si>
  <si>
    <t xml:space="preserve">Horthongkham, N; Athipanyasilp, N; Sirijatuphat, R; Assanasen, S; Sutthent, R</t>
  </si>
  <si>
    <t xml:space="preserve">Horthongkham, Navin; Athipanyasilp, Niracha; Sirijatuphat, Rujipas; Assanasen, Susan; Sutthent, Ruengpung</t>
  </si>
  <si>
    <t xml:space="preserve">Prevalence and Molecular Characterization of Human Metapneumovirus in Influenza A Negative Sample in Thailand</t>
  </si>
  <si>
    <t xml:space="preserve">JOURNAL OF CLINICAL LABORATORY ANALYSIS</t>
  </si>
  <si>
    <t xml:space="preserve">human metapnuemovirus; prevalence; influenza-like illness; Thailand</t>
  </si>
  <si>
    <t xml:space="preserve">RESPIRATORY-TRACT INFECTIONS; YOUNG-CHILDREN; SYNCYTIAL VIRUS; TRANSPLANT RECIPIENTS; GENOTYPE VARIABILITY; DISEASE; BRONCHIOLITIS; INFANTS; ILLNESS; ADULTS</t>
  </si>
  <si>
    <t xml:space="preserve">Background: Human metapneumovirus (hMPV) causes respiratory tract infection in influenza-like illness. The role of hMPV infections in all age groups in Thailand has not yet been investigated. Thus, the objective of this study was to determine prevalence of hMPV infection in all age groups in Thailand during 2011. Methods: A total of 1,184 nasopharyngeal washes were collected from hospitalized patients and sent to the Department of Microbiology, Siriraj Hospital, for influenza A virus detection. Real-time polymerase chain reaction (PCR) was used to detect hMPV infection. Partially, F gene from hMPV positive samples were sequenced and used for genotyping by phylogenetic tree analysis. Results: The prevalence of hMPV for all age groups was 6.3%. The highest prevalence of hMPV infection was in children aged &lt;2 years. Of 71 hMPV-positive patients, three (4.2%) were coinfected with respiratory syncytial virus (RSV), two with rhinovirus (2.8%), one with coronavirus (1.4%), and one with RSV and adenovirus (1.4%). Phylogenetic analysis of F gene revealed that 96.8% of hMPV detected was subgenotype B1, 1.6% was sublineage A2a, and 1.6% was A2b. Genetic variation of F gene was much conserved. Conclusion: We demonstrated the prevalence of hMPV subgenotype B1 circulating in Thailand during 2011. (C) 2014 Wiley Periodicals, Inc.</t>
  </si>
  <si>
    <t xml:space="preserve">[Horthongkham, Navin; Athipanyasilp, Niracha; Sutthent, Ruengpung] Mahidol Univ, Fac Med, Siriraj Hosp, Dept Microbiol, Bangkok 10700, Thailand; [Sirijatuphat, Rujipas; Assanasen, Susan] Mahidol Univ, Fac Med, Siriraj Hosp, Div Infect Dis &amp; Trop Med,Dept Med, Bangkok 10700, Thailand</t>
  </si>
  <si>
    <t xml:space="preserve">Mahidol University; Mahidol University</t>
  </si>
  <si>
    <t xml:space="preserve">Sutthent, R (corresponding author), Mahidol Univ, Fac Med, Siriraj Hosp, Dept Microbiol, Bangkok 10700, Thailand.</t>
  </si>
  <si>
    <t xml:space="preserve">ruengpung.sut@mahidol.ac.th</t>
  </si>
  <si>
    <t xml:space="preserve">SIRIJATUPHAT, RUJIPAS/0000-0003-1486-5550</t>
  </si>
  <si>
    <t xml:space="preserve">Faculty of Medicine Siriraj Hospital, Mahidol University</t>
  </si>
  <si>
    <t xml:space="preserve">This research was supported by Faculty of Medicine Siriraj Hospital, Mahidol University.</t>
  </si>
  <si>
    <t xml:space="preserve">111 RIVER ST, HOBOKEN, NJ 07030 USA</t>
  </si>
  <si>
    <t xml:space="preserve">0887-8013</t>
  </si>
  <si>
    <t xml:space="preserve">1098-2825</t>
  </si>
  <si>
    <t xml:space="preserve">J CLIN LAB ANAL</t>
  </si>
  <si>
    <t xml:space="preserve">J. Clin. Lab. Anal.</t>
  </si>
  <si>
    <t xml:space="preserve">10.1002/jcla.21700</t>
  </si>
  <si>
    <t xml:space="preserve">AO8XK</t>
  </si>
  <si>
    <t xml:space="preserve">WOS:000341638900010</t>
  </si>
  <si>
    <t xml:space="preserve">Mirazo, S; Ruchansky, D; Blanc, A; Arbiza, J</t>
  </si>
  <si>
    <t xml:space="preserve">Serologic evidence of human metapneumovirus circulation in Uruguay</t>
  </si>
  <si>
    <t xml:space="preserve">human metapneurnovirus; serological evidence; immunofluorescence assay; Uruguay</t>
  </si>
  <si>
    <t xml:space="preserve">YOUNG-CHILDREN; SEROPREVALENCE</t>
  </si>
  <si>
    <t xml:space="preserve">First identified in 2001, the human metapneumovirus (hMPV), is a respiratory tract pathogen that affects young children, elderly, and immunocompromised patients. The present work represents the first serologic study carried out it? Uruguay. It was performed with the purpose of obtaining serological evidence of hMPV circulation in Uruguay and to contribute to the few serologic reports described until now. Sixty nine serum samples collected between 1998 and 2001 by vein puncture from patients without respiratory symptoms or underlying pathology aged 6 days to 60 years were examined using an indirect immunofluorescence assay (IFA). The global seropositivity rate of the samples was 80% (55/69). Rates of 60% (15/25) and 91% (40/44) were observed for the pediatric and adult cohorts, respectively. Results obtained from a longitudinal analysis of 6 children aged 6 days to 18 months are discussed. These results are a clear evidence of hMPV circulation in Uruguay, at least since 1998, and reinforce the previous data on worldwide circulation of this virus.</t>
  </si>
  <si>
    <t xml:space="preserve">Univ Republica, Fac Ciencias, Secc Virol, Montevideo 11400, Uruguay</t>
  </si>
  <si>
    <t xml:space="preserve">Universidad de la Republica, Uruguay</t>
  </si>
  <si>
    <t xml:space="preserve">Univ Republica, Fac Ciencias, Secc Virol, Igua 4225, Montevideo 11400, Uruguay.</t>
  </si>
  <si>
    <t xml:space="preserve">jarbiza@fcien.edu.uy</t>
  </si>
  <si>
    <t xml:space="preserve">Mirazo, Santiago/0000-0003-0121-5268</t>
  </si>
  <si>
    <t xml:space="preserve">10.1590/S0074-02762005000700005</t>
  </si>
  <si>
    <t xml:space="preserve">001AL</t>
  </si>
  <si>
    <t xml:space="preserve">WOS:000234504200005</t>
  </si>
  <si>
    <t xml:space="preserve">Tulloch, RL; Kok, J; Carter, I; Dwyer, DE; Eden, JS</t>
  </si>
  <si>
    <t xml:space="preserve">Tulloch, Rachel L.; Kok, Jen; Carter, Ian; Dwyer, Dominic E.; Eden, John-Sebastian</t>
  </si>
  <si>
    <t xml:space="preserve">An Amplicon-Based Approach for the Whole-Genome Sequencing of Human Metapneumovirus</t>
  </si>
  <si>
    <t xml:space="preserve">human metapneumovirus; whole-genome sequencing; genomic epidemiology</t>
  </si>
  <si>
    <t xml:space="preserve">RESPIRATORY SYNCYTIAL VIRUS; TRANSMISSION; OUTBREAKS; EVOLUTION</t>
  </si>
  <si>
    <t xml:space="preserve">Human metapneumovirus (HMPV) is an important cause of upper and lower respiratory tract disease in individuals of all ages. It is estimated that most individuals will be infected by HMPV by the age of five years old. Despite this burden of disease, there remain caveats in our knowledge of global genetic diversity due to a lack of HMPV sequencing, particularly at the whole-genome scale. The purpose of this study was to create a simple and robust approach for HMPV whole-genome sequencing to be used for genomic epidemiological studies. To design our assay, all available HMPV full-length genome sequences were downloaded from the National Center for Biotechnology Information (NCBI) GenBank database and used to design four primer sets to amplify long, overlapping amplicons spanning the viral genome and, importantly, specific to all known HMPV subtypes. These amplicons were then pooled and sequenced on an Illumina iSeq 100 (Illumina, San Diego, CA, USA); however, the approach is suitable to other common sequencing platforms. We demonstrate the utility of this method using a representative subset of clinical samples and examine these sequences using a phylogenetic approach. Here we present an amplicon-based method for the whole-genome sequencing of HMPV from clinical extracts that can be used to better inform genomic studies of HMPV epidemiology and evolution.</t>
  </si>
  <si>
    <t xml:space="preserve">[Tulloch, Rachel L.; Eden, John-Sebastian] Westmead Inst Med Res, Ctr Virus Res, Westmead, NSW 2145, Australia; [Tulloch, Rachel L.; Dwyer, Dominic E.; Eden, John-Sebastian] Univ Sydney, Marie Bashir Inst Infect Dis &amp; Biosecur, Sydney Med Sch, Sydney, NSW 2006, Australia; [Kok, Jen; Carter, Ian; Dwyer, Dominic E.] Westmead Hosp, NSW Hlth Pathol, Inst Clin Pathol &amp; Med Res, Westmead, NSW 2145, Australia</t>
  </si>
  <si>
    <t xml:space="preserve">University of Sydney; Westmead Institute for Medical Research; University of Sydney; NSW Health; Westmead Hospital; University of Sydney</t>
  </si>
  <si>
    <t xml:space="preserve">Eden, JS (corresponding author), Westmead Inst Med Res, Ctr Virus Res, Westmead, NSW 2145, Australia.;Eden, JS (corresponding author), Univ Sydney, Marie Bashir Inst Infect Dis &amp; Biosecur, Sydney Med Sch, Sydney, NSW 2006, Australia.</t>
  </si>
  <si>
    <t xml:space="preserve">rachel.tulloch@sydney.edu.au; jen.kok@health.nsw.gov.au; ian.carter@health.nsw.gov.au; dominic.dwyer@sydney.edu.au; js.eden@sydney.edu.au</t>
  </si>
  <si>
    <t xml:space="preserve">Eden, John-Sebastian/H-7076-2019</t>
  </si>
  <si>
    <t xml:space="preserve">Dwyer, Dominic/0000-0002-7163-2844; CARTER, IAN/0000-0002-1911-3561; Eden, John-Sebastian/0000-0003-1374-3551; Kok, Jen/0000-0002-8796-283X; Tulloch, Rachel/0000-0002-8358-3066</t>
  </si>
  <si>
    <t xml:space="preserve">ICPMR Private Practice Trust fund; National Health and Medical Research Council Center of Research Excellence in Emerging Infectious Diseases [1102962]; Marie Bashir Institute for Infectious Diseases and Biosecurity at the University of Sydney; National Health and Medical Research Council of Australia [1102962] Funding Source: NHMRC</t>
  </si>
  <si>
    <t xml:space="preserve">ICPMR Private Practice Trust fund; National Health and Medical Research Council Center of Research Excellence in Emerging Infectious Diseases; Marie Bashir Institute for Infectious Diseases and Biosecurity at the University of Sydney; National Health and Medical Research Council of Australia(National Health &amp; Medical Research Council (NHMRC) of Australia)</t>
  </si>
  <si>
    <t xml:space="preserve">Funding was provided through the ICPMR Private Practice Trust fund, the National Health and Medical Research Council Center of Research Excellence in Emerging Infectious Diseases (1102962) and the Marie Bashir Institute for Infectious Diseases and Biosecurity at the University of Sydney.</t>
  </si>
  <si>
    <t xml:space="preserve">10.3390/v13030499</t>
  </si>
  <si>
    <t xml:space="preserve">RE6IY</t>
  </si>
  <si>
    <t xml:space="preserve">WOS:000634256400001</t>
  </si>
  <si>
    <t xml:space="preserve">Groen, K; van Nieuwkoop, S; Bestebroer, TM; Fraaij, PL; Fouchier, RAM; van den Hoogen, BG</t>
  </si>
  <si>
    <t xml:space="preserve">Groen, Kevin; van Nieuwkoop, Stefan; Bestebroer, Theo M.; Fraaij, Pieter L.; Fouchier, Ron A. M.; Hoogen, Bernadette G. van den</t>
  </si>
  <si>
    <t xml:space="preserve">Whole genome sequencing of human metapneumoviruses from clinical specimens using MinION nanopore technology</t>
  </si>
  <si>
    <t xml:space="preserve">Human metapneumovirus; Whole genome sequencing; Nanopore technology; MinION sequencing</t>
  </si>
  <si>
    <t xml:space="preserve">GENETIC DIVERSITY; INFECTIONS; CHILDREN; YOUNG</t>
  </si>
  <si>
    <t xml:space="preserve">Human metapneumovirus (HMPV), a member of the Pneumoviridae family, is a causative agent of respiratory illness in young children, the elderly, and immunocompromised individuals. Globally, viruses belonging to two main genetic lineages circulate, A and B, which are further divided into four genetic sublineages (A1, A2, B1, B2). Classical genotyping of HMPV is based on the sequence of the fusion (F) and attachment (G) glycoprotein genes, which are under direct antibody-mediated immune pressure. Whole genome sequencing provides more information than sequencing of subgenomic fragments and is therefore a powerful tool for studying virus evolution and disease epidemiology and for identifying transmission events and nosocomial outbreaks. Here, we report a robust method to obtain whole genome sequences for HMPV using MinION Nanopore technology. This assay is able to generate HMPV whole genome sequences from clinical specimens with good coverage of the highly variable G gene and is equally sensitive for strains of all four genetic HMPV sublineages. This method can be used for studying HMPV genetics, epidemiology, and evolutionary dynamics.</t>
  </si>
  <si>
    <t xml:space="preserve">[Groen, Kevin; van Nieuwkoop, Stefan; Bestebroer, Theo M.; Fraaij, Pieter L.; Fouchier, Ron A. M.; Hoogen, Bernadette G. van den] Erasmus MC, Dept Virosci, Wijtemaweg 80, NL-3015 CN Rotterdam, Netherlands</t>
  </si>
  <si>
    <t xml:space="preserve">van den Hoogen, BG (corresponding author), Erasmus MC, Dept Virosci, Wijtemaweg 80, NL-3015 CN Rotterdam, Netherlands.</t>
  </si>
  <si>
    <t xml:space="preserve">b.vandenhoogen@erasmusmc.nl</t>
  </si>
  <si>
    <t xml:space="preserve">van den Hoogen, Bernadette/0000-0003-1996-8559; Fouchier, Ron/0000-0001-8095-2869; Groen, Kevin/0000-0001-6352-1346</t>
  </si>
  <si>
    <t xml:space="preserve">10.1016/j.virusres.2021.198490</t>
  </si>
  <si>
    <t xml:space="preserve">TP6TE</t>
  </si>
  <si>
    <t xml:space="preserve">WOS:000677729200006</t>
  </si>
  <si>
    <t xml:space="preserve">Wei, TL; Wang, C; Ma, FL; Guo, JQ; Chen, AJ; Huang, YM; Xie, ZP; Zheng, LS</t>
  </si>
  <si>
    <t xml:space="preserve">Wei, Tianli; Wang, Chao; Ma, Fenlian; Guo, Jianqiang; Chen, Aijun; Huang, Yiman; Xie, Zhiping; Zheng, Lishu</t>
  </si>
  <si>
    <t xml:space="preserve">Whole genome sequencing and evolution analyses of Human metapneumovirus</t>
  </si>
  <si>
    <t xml:space="preserve">VIRUS GENES</t>
  </si>
  <si>
    <t xml:space="preserve">Human metapneumovirus; Whole genome sequence; Genetic diversity</t>
  </si>
  <si>
    <t xml:space="preserve">RESPIRATORY SYNCYTIAL VIRUS; GENETIC DIVERSITY; DUPLICATION; INFECTION; CHILDREN; PROTEIN</t>
  </si>
  <si>
    <t xml:space="preserve">Human metapneumovirus (HMPV) is a major pathogen of acute respiratory tract infections (ARTIs) in children. Whole genome sequence analyses could help understand the evolution and transmission events of this virus. In this study, we sequenced HMPV whole genomes to improve the identification of molecular epidemiology in Beijing, China. Nasopharyngeal aspirates of hospitalized children aged &lt; 14 years old with ARTIs were screened for HMPV infection using qPCR. Fourteen pairs of overlapping primers were used to amplify whole genome sequences of HMPV from positive samples with high viral loads. The epidemiology of HMPV was analysed and 27 HMPV whole genome sequences were obtained. Sequence identity and the positional entropy analyses showed that most regions of HMPV genome are conserved, whereas the G gene contained many variations. Phylogenetic analysis identified 25 HMPV sequences that belonged to a newly defined subtype A2b1; G gene sequences from 24 of these contained a 111-nucleotide duplication. HMPV is an important respiratory pathogen in paediatric patients. The new subtype A2b1 with a 111-nucleotide duplication has become predominate in Beijing, China.</t>
  </si>
  <si>
    <t xml:space="preserve">[Wei, Tianli] Capital Med Univ, Beijing Friendship Hosp, Dept Pediat, 95 Yong An St, Beijing 100050, Peoples R China; [Wang, Chao; Ma, Fenlian; Guo, Jianqiang; Chen, Aijun; Huang, Yiman; Xie, Zhiping; Zheng, Lishu] China CDC, Natl Inst Viral Dis Control &amp; Prevent, NHC Key Lab Med Virol &amp; Viral Dis, 100 Ying Xin St, Beijing 100052, Peoples R China</t>
  </si>
  <si>
    <t xml:space="preserve">Capital Medical University; Chinese Center for Disease Control &amp; Prevention; National Institute for Viral Disease Control &amp; Prevention, Chinese Center for Disease Control &amp; Prevention</t>
  </si>
  <si>
    <t xml:space="preserve">Xie, ZP; Zheng, LS (corresponding author), China CDC, Natl Inst Viral Dis Control &amp; Prevent, NHC Key Lab Med Virol &amp; Viral Dis, 100 Ying Xin St, Beijing 100052, Peoples R China.</t>
  </si>
  <si>
    <t xml:space="preserve">xiezhiping@126.com; zhengls@ivdc.chinacdc.cn</t>
  </si>
  <si>
    <t xml:space="preserve">Zhang, Bo/JVD-9890-2024</t>
  </si>
  <si>
    <t xml:space="preserve">DORDRECHT</t>
  </si>
  <si>
    <t xml:space="preserve">VAN GODEWIJCKSTRAAT 30, 3311 GZ DORDRECHT, NETHERLANDS</t>
  </si>
  <si>
    <t xml:space="preserve">0920-8569</t>
  </si>
  <si>
    <t xml:space="preserve">1572-994X</t>
  </si>
  <si>
    <t xml:space="preserve">Virus Genes</t>
  </si>
  <si>
    <t xml:space="preserve">10.1007/s11262-023-02001-2</t>
  </si>
  <si>
    <t xml:space="preserve">MAY 2023</t>
  </si>
  <si>
    <t xml:space="preserve">Genetics &amp; Heredity; Virology</t>
  </si>
  <si>
    <t xml:space="preserve">L5PD9</t>
  </si>
  <si>
    <t xml:space="preserve">WOS:000982400200001</t>
  </si>
  <si>
    <t xml:space="preserve">Tzannou, I; Nicholas, SK; Lulla, P; Aguayo-Hiraldo, PI; Misra, A; Martinez, CA; Machado, AA; Orange, JS; Piedra, PA; Vera, JF; Leen, AM</t>
  </si>
  <si>
    <t xml:space="preserve">Tzannou, Ifigeneia; Nicholas, Sarah K.; Lulla, Premal; Aguayo-Hiraldo, Paibel I.; Misra, Anisha; Martinez, Caridad A.; Machado, Annette A.; Orange, Jordan S.; Piedra, Pedro A.; Vera, Juan F.; Leen, Ann M.</t>
  </si>
  <si>
    <t xml:space="preserve">Immunologic Profiling of Human Metapneumovirus for the Development of Targeted Immunotherapy</t>
  </si>
  <si>
    <t xml:space="preserve">Human metapneumovirus; virus-specific T cells; immunotherapy</t>
  </si>
  <si>
    <t xml:space="preserve">HEMATOPOIETIC-CELL TRANSPLANTATION; RESPIRATORY SYNCYTIAL VIRUS; T-CELLS; VIRAL-INFECTIONS; PARAINFLUENZA VIRUS; TRACT INFECTIONS; AGE-GROUPS; RECIPIENTS; EBV; LYMPHOCYTES</t>
  </si>
  <si>
    <t xml:space="preserve">Human metapneumovirus (hMPV) is a respiratory virus detected in &gt;= 9% of allogeneic hematopoietic stem cell transplant (HSCT) recipients, in whom it can cause significant morbidity and mortality. Given the lack of effective antivirals, we investigated the potential for immunotherapeutic intervention, using adoptively transferred T cells. Thus, we characterized the cellular immune response to the virus and identified F, N, M2-1, M, and P as immunodominant target antigens. Reactive T cells were polyclonal (ie, they expressed CD4 and CD8), T-helper type 1 polarized, and polyfunctional (ie, they produced interferon gamma, tumor necrosis factor alpha, granulocyte-macrophage colony-stimulating factor, and granzyme B), and they were able to kill autologous antigen-loaded targets. The detection of hMPV-specific T cells in HSCT recipients who endogenously controlled active infections support the clinical importance of T-cell immunity in mediating protective antiviral effects. Our results demonstrate the feasibility of developing an immunotherapy for immunocompromised patients with uncontrolled infections.</t>
  </si>
  <si>
    <t xml:space="preserve">[Tzannou, Ifigeneia; Lulla, Premal; Aguayo-Hiraldo, Paibel I.; Martinez, Caridad A.; Vera, Juan F.; Leen, Ann M.] Texas Childrens Hosp, Baylor Coll Med, Ctr Cell &amp; Gene Therapy, Houston, TX 77030 USA; [Tzannou, Ifigeneia; Lulla, Premal; Aguayo-Hiraldo, Paibel I.; Martinez, Caridad A.; Vera, Juan F.; Leen, Ann M.] Houston Methodist Hosp, Houston, TX USA; [Nicholas, Sarah K.] Baylor Coll Med, Sect Immunol Allergy &amp; Rheumatol, Solid Organ Transplant Immunol, Houston, TX 77030 USA; [Misra, Anisha; Machado, Annette A.; Piedra, Pedro A.] Baylor Coll Med, Dept Mol Virol &amp; Microbiol, Houston, TX 77030 USA; [Orange, Jordan S.] Baylor Coll Med, Ctr Human Immunobiol, Houston, TX 77030 USA; [Orange, Jordan S.] Texas Childrens Hosp, Houston, TX 77030 USA</t>
  </si>
  <si>
    <t xml:space="preserve">Baylor College of Medicine; Baylor College Medical Hospital; Houston Methodist; Baylor College of Medicine; Baylor College of Medicine; Baylor College of Medicine; Baylor College of Medicine; Baylor College Medical Hospital</t>
  </si>
  <si>
    <t xml:space="preserve">Tzannou, I (corresponding author), Baylor Coll Med, Ctr Cell &amp; Gene Therapy, 1102 Bates St,1770-00, Houston, TX 77030 USA.</t>
  </si>
  <si>
    <t xml:space="preserve">ixtzanno@txch.org</t>
  </si>
  <si>
    <t xml:space="preserve">Orange, Jordan/D-5239-2009</t>
  </si>
  <si>
    <t xml:space="preserve">MACHADO, ANNETTE/0000-0002-7996-4907; orange, jordan/0000-0001-7117-7725</t>
  </si>
  <si>
    <t xml:space="preserve">National Institutes of Health [T32 HL92332-12]; American Cancer Society (Mentored Research Scholars Grant in Applied and Clinical Research grant) [MRSG-14-197-01-LIB]</t>
  </si>
  <si>
    <t xml:space="preserve">National Institutes of Health(United States Department of Health &amp; Human ServicesNational Institutes of Health (NIH) - USA); American Cancer Society (Mentored Research Scholars Grant in Applied and Clinical Research grant)</t>
  </si>
  <si>
    <t xml:space="preserve">This work was supported by the National Institutes of Health (grant T32 HL92332-12 to P. I. A.) and the American Cancer Society (Mentored Research Scholars Grant in Applied and Clinical Research grant MRSG-14-197-01-LIB to J. F. V.).</t>
  </si>
  <si>
    <t xml:space="preserve">10.1093/infdis/jix358</t>
  </si>
  <si>
    <t xml:space="preserve">FH0CB</t>
  </si>
  <si>
    <t xml:space="preserve">WOS:000410805700008</t>
  </si>
  <si>
    <t xml:space="preserve">Loo, LH; Jumat, MR; Fu, Y; Ayi, TC; Wong, PS; Tee, NWS; Tan, BH; Sugrue, RJ</t>
  </si>
  <si>
    <t xml:space="preserve">Loo, Liat Hui; Jumat, Muhammad Raihan; Fu, Yi; Ayi, Teck Choon; Wong, Pui San; Tee, Nancy W. S.; Tan, Boon Huan; Sugrue, Richard J.</t>
  </si>
  <si>
    <t xml:space="preserve">Evidence for the interaction of the human metapneumovirus G and F proteins during virus-like particle formation</t>
  </si>
  <si>
    <t xml:space="preserve">Human metapneumovirus; Virus-like particle; Recombinant expression; HMPV F protein; HMPV G protein; Protein interactions</t>
  </si>
  <si>
    <t xml:space="preserve">RESPIRATORY SYNCYTIAL VIRUS; FUSION PROTEIN; G-GLYCOPROTEIN; MATRIX PROTEIN; REPLICATION; REQUIREMENTS; INFECTION; MEMBRANE; COMPLEX; SURFACE</t>
  </si>
  <si>
    <t xml:space="preserve">Background: Human metapneumovirus (HMPV) is now a major cause of lower respiratory infection in children. Although primary isolation of HMPV has been achieved in several different cell lines, the low level of virus replication and the subsequent recovery of low levels of infectious HMPV have hampered biochemical studies on the virus. These experimental methodologies usually require higher levels of biological material that can be achieved following HMPV infection. In this study we demonstrate that expression of the HMPV F, G and M proteins in mammalian cells leads to HMPV virus-like particles (VLP) formation. This experimental strategy will serve as a model system to allow the process of HMPV virus assembly to be examined. Methods: The HMPV F, G and M proteins were expressed in mammalian cell lines. Protein cross-linking studies, sucrose gradient centrifugation and in situ imaging was used to examine interactions between the virus proteins. VLP formation was examined using sucrose density gradient centrifugation and electron microscopy analysis. Results: Analysis of cells co-expressing the F, G and M proteins demonstrated that these proteins interacted. Furthermore, in cells co-expression the three HMPV proteins the formation VLPs was observed. Image analysis revealed the VLPs had a similar morphology to the filamentous virus morphology that we observed on HMPV-infected cells. The capacity of each protein to initiate VLP formation was examined using a VLP formation assay. Individual expression of each virus protein showed that the G protein was able to form VLPs in the absence of the other virus proteins. Furthermore, co-expression of the G protein with either the M or F proteins facilitated their incorporation into the VLP fraction. Conclusion: Co-expression of the F, G and M proteins leads to the formation of VLPs, and that incorporation of the F and M proteins into VLPs is facilitated by their interaction with the G protein. Our data suggests that the G protein plays a central role in VLP formation, and further suggests that the G protein may also play a role in the recruitment of the F and M proteins to sites of virus particle formation during HMPV infection.</t>
  </si>
  <si>
    <t xml:space="preserve">[Loo, Liat Hui; Jumat, Muhammad Raihan; Fu, Yi; Sugrue, Richard J.] Nanyang Technol Univ, Div Mol Genet &amp; Cell Biol, Sch Biol Sci, Singapore 637551, Singapore; [Loo, Liat Hui; Tee, Nancy W. S.] KK Womens &amp; Childrens Hosp, Microbiol Lab, Singapore 229899, Singapore; [Ayi, Teck Choon; Wong, Pui San; Tan, Boon Huan] Def Med &amp; Environm Res Inst, DSO Natl Labs, Detect &amp; Diagnost Lab, Singapore 117510, Singapore</t>
  </si>
  <si>
    <t xml:space="preserve">Nanyang Technological University; KK Women's &amp; Children's Hospital</t>
  </si>
  <si>
    <t xml:space="preserve">Sugrue, RJ (corresponding author), Nanyang Technol Univ, Div Mol Genet &amp; Cell Biol, Sch Biol Sci, 60 Nanyang Dr, Singapore 637551, Singapore.</t>
  </si>
  <si>
    <t xml:space="preserve">rjsugrue@ntu.edu.sg</t>
  </si>
  <si>
    <t xml:space="preserve">Tan, Boon Huan/ABB-8381-2021; Jumat, Raihan/AAK-2938-2021; Sugrue, Richard/A-2214-2011; Loo, Liat-Hui/AAS-9179-2020</t>
  </si>
  <si>
    <t xml:space="preserve">Jumat, Muhammad Raihan/0000-0002-5098-6707; Loo, Liat Hui/0000-0003-2747-9544; Tan, Boon Huan/0000-0002-4976-7988</t>
  </si>
  <si>
    <t xml:space="preserve">National Medical Research Council, Singapore [NMRC/0956/2005]; NMRC-Lee foundation PhD scholarship</t>
  </si>
  <si>
    <t xml:space="preserve">National Medical Research Council, Singapore(National Medical Research Council, Singapore); NMRC-Lee foundation PhD scholarship</t>
  </si>
  <si>
    <t xml:space="preserve">We acknowledge the National Medical Research Council, Singapore, for research funding (NMRC/0956/2005). We thank Geoff Toms for the HMPV A2 stain NCL03-4/174 and the AT1 (anti-G) and Mab58 antibodies. L.H. Loo was a recipient of a NMRC-Lee foundation PhD scholarship.</t>
  </si>
  <si>
    <t xml:space="preserve">SEP 25</t>
  </si>
  <si>
    <t xml:space="preserve">10.1186/1743-422X-10-294</t>
  </si>
  <si>
    <t xml:space="preserve">227KW</t>
  </si>
  <si>
    <t xml:space="preserve">WOS:000325112800001</t>
  </si>
  <si>
    <t xml:space="preserve">de Graaf, M; Herfst, S; Schrauwen, EJA; van den Hoogen, BG; Osterhaus, ADME; Fouchier, RAM</t>
  </si>
  <si>
    <t xml:space="preserve">de Graaf, Miranda; Herfst, Sander; Schrauwen, Eefje J. A.; van den Hoogen, Bernadette G.; Osterhaus, Albert D. M. E.; Fouchier, Ron A. M.</t>
  </si>
  <si>
    <t xml:space="preserve">An improved plaque reduction virus neutralization assay for human metapneumovirus</t>
  </si>
  <si>
    <t xml:space="preserve">human metapneumovirus; virus neutralization assay; plaque assays; GFP; trypsin</t>
  </si>
  <si>
    <t xml:space="preserve">PROTECTIVE IMMUNITY; FUSION PROTEIN; IN-VITRO; ANTIBODIES; EXPRESSION; RECOVERY; YOUNG; CDNA; HMPV</t>
  </si>
  <si>
    <t xml:space="preserve">Virus-neutralizing antibodies against human metapneumovirus (hMPV) have been shown to be important indicators for protection in experimental animal models. An improved plaque reduction virus neutralization assay to detect hMPV-specific neutralizing antibodies was designed using two prototype recombinant hMPV strains expressing green fluorescent protein (GFP). These prototypes represented each of the main antigenic variants of hMPV, because antigenic variability could have implications for vaccine development. The utility of mutations in the F gene resulting in trypsin -independent replication was also tested. Although these mutant hMPV strains could replicate in the absence of trypsin, bigger plaque size was achieved with the addition of trypsin. Insertion of the GFP gene in the genome of hMPV did not affect replication of the virus in vitro. Plaques could be detected by measuring expression of GFP after 5 days by automated scanning. Ferret, hamster, and macaque sera positive for hMPV were compared in a conventional virus neutralization assay and the plaque reduction virus neutralization assay. The results obtained with the two assays were in agreement but the improved plaque reduction virus neutralization assay was faster, more suitable for high throughput testing, and 10-fold more sensitive than the conventional virus neutralization assay. (C) 2007 Elsevier B.V. All rights reserved.</t>
  </si>
  <si>
    <t xml:space="preserve">Erasmus MC, Dept Virol, NL-3000 DR Rotterdam, Netherlands</t>
  </si>
  <si>
    <t xml:space="preserve">Fouchier, RAM (corresponding author), Erasmus MC, Dept Virol, PO Box 1738, NL-3000 DR Rotterdam, Netherlands.</t>
  </si>
  <si>
    <t xml:space="preserve">Herfst, Sander/HZK-7555-2023; de Graaf, Miranda/K-1262-2018; van den Hoogen, Bernadette/J-5461-2013; Fouchier, Ron/A-1911-2014</t>
  </si>
  <si>
    <t xml:space="preserve">Fouchier, Ron/0000-0001-8095-2869; Herfst, Sander/0000-0001-9866-8903; Osterhaus, Albert/0000-0002-6074-1172</t>
  </si>
  <si>
    <t xml:space="preserve">10.1016/j.jviromet.2007.03.005</t>
  </si>
  <si>
    <t xml:space="preserve">191DK</t>
  </si>
  <si>
    <t xml:space="preserve">WOS:000248110000007</t>
  </si>
  <si>
    <t xml:space="preserve">Ma, FL; Chen, AJ; Yao, LH; Gao, HC; Zhang, Q; Hou, WZ; Zheng, LS</t>
  </si>
  <si>
    <t xml:space="preserve">Ma, Fenlian; Chen, Aijun; Yao, Lihong; Gao, Hanchun; Zhang, Qian; Hou, Wenzhe; Zheng, Lishu</t>
  </si>
  <si>
    <t xml:space="preserve">Immunogenicity and protective efficacy of human metapneumovirus virus-like particles produced by a recombinant baculovirus in mice</t>
  </si>
  <si>
    <t xml:space="preserve">Human metapneumovirus; Virus -like particle; Immunogenicity; Protective efficacy</t>
  </si>
  <si>
    <t xml:space="preserve">VACCINE; INFECTIONS; PROTEIN</t>
  </si>
  <si>
    <t xml:space="preserve">Background: Human metapneumovirus (HMPV) causes respiratory tract infections among infant, elderly, and immunocompromised patients, with significant mortality. Currently no licensed vaccines or therapeutic agents of HMPV exist.Methods: HMPV virus-like particle (VLP) was constructed by co-expressing fusion protein of HMPV and matrix 1 protein of influenza virus using the baculovirus expression. Mice were immunized with VLP with or without aluminum hydroxide (alum) adjuvant by intramuscular route respectively. Sera were determined for titers of IgG and neutralizing antibody. Splenic lymphocytes were determined by IFN-gamma and IL-4 ELISPOT. Mice were chal-lenged with HMPV, and protective efficacy was evaluated.Results: We generated HMPV VLP in baculovirus expression system. After three times immunization, IgG anti-body titers induced by VLP formulated with or without alum adjuvant group were 273,066 +/- 100,331 and 136,533 +/- 47,269 respectively, there was no difference (p &gt; 0.05); the neutralizing antibody titers vaccinated with VLP plus with alum adjuvant (266 +/- 92) were higher than those of the VLP alone group (106 +/- 37). For IFN-gamma, mice vaccinated with VLP with or without alum adjuvant are 151 +/- 36.4 and 77.0 +/- 17.1SFC/106 respectively, there was difference (p = 0.03); For IL-4, they are 261.3 +/- 38.7 versus 125.67 +/- 29.78SFC/106 respectively, the difference was significant (p = 0.009). After challenge, in pathological analysis, the overall lesion scores in the VLP plus with and without alum adjuvant were 3.25 and 5.6 respectively, those of control group is 8. For immunohistochemical analyses, the average optical density of the lungs in the VLP immunized group containing adjuvant (9.07 +/- 1.74) was lower than that in the VLP group without adjuvant (12.83 +/- 2.31, p = 0.14).Conclusions: This is the first study to demonstrate that HMPV VLP was successfully prepared in the baculovirus expression system. HMPV VLP could induce specific humoral and cellular immune responses as well as protective efficacy, and aluminum hydroxide may be an effective adjuvant in mice.</t>
  </si>
  <si>
    <t xml:space="preserve">[Ma, Fenlian; Chen, Aijun; Yao, Lihong; Gao, Hanchun; Zhang, Qian; Hou, Wenzhe; Zheng, Lishu] China CDC, NHC Key Lab Med Virol &amp; Viral Dis, Natl Inst Viral Dis Control &amp; Prevent, 100 Ying Xin St, Beijing 100052, Peoples R China</t>
  </si>
  <si>
    <t xml:space="preserve">Chinese Center for Disease Control &amp; Prevention; National Institute for Viral Disease Control &amp; Prevention, Chinese Center for Disease Control &amp; Prevention</t>
  </si>
  <si>
    <t xml:space="preserve">Zheng, LS (corresponding author), China CDC, NHC Key Lab Med Virol &amp; Viral Dis, Natl Inst Viral Dis Control &amp; Prevent, 100 Ying Xin St, Beijing 100052, Peoples R China.</t>
  </si>
  <si>
    <t xml:space="preserve">zhengls@ivdc.chinacdc.cn</t>
  </si>
  <si>
    <t xml:space="preserve">xiang, li/JDN-4098-2023; Zhang, Bo/JVD-9890-2024</t>
  </si>
  <si>
    <t xml:space="preserve">National Key R&amp;D Program of China [2022YFC2602202]</t>
  </si>
  <si>
    <t xml:space="preserve">Funding This work was supported by the National Key R&amp;D Program of China (2022YFC2602202) .</t>
  </si>
  <si>
    <t xml:space="preserve">10.1016/j.virusres.2023.199215</t>
  </si>
  <si>
    <t xml:space="preserve">W3OI9</t>
  </si>
  <si>
    <t xml:space="preserve">WOS:001090751800001</t>
  </si>
  <si>
    <t xml:space="preserve">Galiano, M; Videla, C; Puch, SS; Martínez, A; Echavarría, M; Carballal, G</t>
  </si>
  <si>
    <t xml:space="preserve">Evidence of human metapneumovirus in children in Argentina</t>
  </si>
  <si>
    <t xml:space="preserve">human metapneumovirus; viral respiratory infections in Argentina; acute lower respiratory infections in children</t>
  </si>
  <si>
    <t xml:space="preserve">RESPIRATORY-TRACT INFECTIONS; YOUNG; BRONCHIOLITIS; FEATURES</t>
  </si>
  <si>
    <t xml:space="preserve">Human metapneumovirus (hMPV) is a virus, which was first associated with acute lower respiratory infection in children but is detected currently in all age groups. Clinical symptoms are similar to those described for respiratory syncytial virus (RSV) infections, ranging from mild respiratory illness to severe bronchiolitis and pneumonia in children. To date, no cases of hMPV have been reported in Argentina. In this study, 440 respiratory samples obtained during the period 1998-2002 from children under 5 years old with acute respiratory infection were evaluated. Routine detection for RSV, adenovirus, influenza, and parainfluenza was undertaken by immunofluorescent assay. Of the samples negative for these viruses, only 100 were available. All these samples were tested for hMPV by RTPCR using primers for the L gene. Eleven out of 100 (11%) respiratory samples were positive for hMPV by RT-PCR. A higher frequency of detection was observed in spring. hMPV was detected in all the years studied, except in 2001. Ten out of 11 children positive for hMPV were hospitalized. Median age was 5 months. Of seven patients, five (71%) required oxygen supplementation. The most frequent diagnosis was bronchiolitis (86%), sometimes accompanied by conjunctivitis and otitis media. The present study showed that hMPV was associated with acute lower respiratory infections in children in Buenos Aires, Argentina. This evidence strongly suggests that hMPV is a common pathogen with a wide geographical distribution, which should be included in the routine diagnosis of respiratory viruses in young children. (C) 2004 Wiley-Liss, Inc.</t>
  </si>
  <si>
    <t xml:space="preserve">Univ Hosp, CEMIC, Lab Virol Clin, Buenos Aires, DF, Argentina</t>
  </si>
  <si>
    <t xml:space="preserve">Centro de Educacion Medica e Investigaciones Clinicas (CEMIC); University of Buenos Aires</t>
  </si>
  <si>
    <t xml:space="preserve">Videla, C (corresponding author), Univ Hosp, CEMIC, Lab Virol Clin, Galvan 4120,C1431FWO, Buenos Aires, DF, Argentina.</t>
  </si>
  <si>
    <t xml:space="preserve">Echavarria, Marcela/AAQ-2897-2021</t>
  </si>
  <si>
    <t xml:space="preserve">DIV JOHN WILEY &amp; SONS INC, 605 THIRD AVE, NEW YORK, NY 10158-0012 USA</t>
  </si>
  <si>
    <t xml:space="preserve">10.1002/jmv.10536</t>
  </si>
  <si>
    <t xml:space="preserve">757PZ</t>
  </si>
  <si>
    <t xml:space="preserve">WOS:000187571800017</t>
  </si>
  <si>
    <t xml:space="preserve">Ulloa-gutierrez, R; Skippen, P; Synnes, A; Seear, M; Bastien, N; Li, Y; Forbes, JC</t>
  </si>
  <si>
    <t xml:space="preserve">Life-threatening human metapneumovirus pneumonia requiring extracorporeal membrane oxygenation in a preterm infant</t>
  </si>
  <si>
    <t xml:space="preserve">human metapneumovirus; viral pneumonia; prematurity; respiratory failure; ECMO; mechanical ventilation</t>
  </si>
  <si>
    <t xml:space="preserve">RESPIRATORY-TRACT DISEASE; INFECTION; CHILDREN; SUPPORT; NEWBORN</t>
  </si>
  <si>
    <t xml:space="preserve">We present the first report in the literature of a child with human metapneumovirus pneumonia who required extracorporeal membrane oxygenation for survival. This was a 3-month-old premature boy from British Columbia, Canada, who developed severe respiratory failure, experienced failure of high-frequency oscillatory mechanical ventilation, and required extracorporeal membrane oxygenation support for 10 days. This case illustrates the importance of including this newly discovered pathogen among the causes of childhood pneumonia.</t>
  </si>
  <si>
    <t xml:space="preserve">British Columbia Childrens Hosp, Pediat Infect Dis Div, Vancouver, BC V6H 3V4, Canada; Univ British Columbia, Dept Pediat, Div Infect Dis, Vancouver, BC V6T 1W5, Canada; Univ British Columbia, Dept Pediat, Pediat Crit Care Div, Vancouver, BC V6T 1W5, Canada; Univ British Columbia, Dept Pediat, Div Neonatol, Vancouver, BC V6T 1W5, Canada; Canadian Sci Ctr Human &amp; Anim Hlth, Natl Microbiol Lab, Winnipeg, MB, Canada</t>
  </si>
  <si>
    <t xml:space="preserve">BC Childrens Hospital; University of British Columbia; University of British Columbia; University of British Columbia; University of British Columbia; Canadian Science Centre for Human &amp; Animal Health</t>
  </si>
  <si>
    <t xml:space="preserve">British Columbia Childrens Hosp, Pediat Infect Dis Div, 4480 Oak St,Room K4-166, Vancouver, BC V6H 3V4, Canada.</t>
  </si>
  <si>
    <t xml:space="preserve">rgut@cw.bc.ca</t>
  </si>
  <si>
    <t xml:space="preserve">Ulloa-Gutierrez, Rolando/U-3513-2019</t>
  </si>
  <si>
    <t xml:space="preserve">Ulloa-Gutierrez, Rolando/0000-0002-9157-9227; Seear, Michael/0000-0002-5899-7208</t>
  </si>
  <si>
    <t xml:space="preserve">E517</t>
  </si>
  <si>
    <t xml:space="preserve">E519</t>
  </si>
  <si>
    <t xml:space="preserve">10.1542/peds.2004-0345</t>
  </si>
  <si>
    <t xml:space="preserve">859DI</t>
  </si>
  <si>
    <t xml:space="preserve">WOS:000224242200017</t>
  </si>
  <si>
    <t xml:space="preserve">Roussy, JF; Carbonneau, J; Ouakki, M; Papenburg, J; Hamelin, MÉ; De Serres, G; Boivin, G</t>
  </si>
  <si>
    <t xml:space="preserve">Roussy, Jean-Francois; Carbonneau, Julie; Ouakki, Manale; Papenburg, Jesse; Hamelin, Marie-Eve; De Serres, Gaston; Boivin, Guy</t>
  </si>
  <si>
    <t xml:space="preserve">Human metapneumovirus viral load is an important risk factor for disease severity in young children</t>
  </si>
  <si>
    <t xml:space="preserve">Human metapneumovirus; Viral load; Hospitalization; Severity; Pediatric</t>
  </si>
  <si>
    <t xml:space="preserve">RESPIRATORY SYNCYTIAL VIRUS; INFECTION; GENOTYPE</t>
  </si>
  <si>
    <t xml:space="preserve">Background: The role of viral load in human metapneumovirus (HMPV) disease severity has not yet been clearly determined. Objective: We evaluated the importance of viral load along with other factors in HMPV disease severity among children aged &lt;3 years old. Study design: HMPV-positive cases were selected from a cohort of outpatients and hospitalized children with lower respiratory tract infections. HMPV groups (A or B) and viral loads were determined in their nasopharyngeal aspirates. Disease severity was defined by assessing risk for hospitalization and by using two validated clinical severity scores. Results: Of the 118 HMPV cases detected over 4 years for which viral load could be determined, 60 belonged to genotype A and 58 to genotype B. Baseline characteristics were similar in HMPV-A and HMPV-B mono-infected patients. In multivariate analysis, HMPV hospitalization was associated with viral load &gt;= 1000 copies/10(4) cells (OR, 3.2; 95%CI, 1.4-7.4), age &lt;6 months (OR, 3.1; 95%CI, 1.2-8.6) and presence of &gt;= 3 children in the household (OR, 2.7; 95%CI, 1.04-6.9). A high HMPV viral load was also associated with pulmonary rales (p= 03), use of bronchodilators (p=.02) and inhaled corticosteroids (p=.01). Conclusion: HMPV viral load is associated with disease severity in young children along with young age and household crowding. (C) 2014 Elsevier B.V. All rights reserved.</t>
  </si>
  <si>
    <t xml:space="preserve">[Roussy, Jean-Francois; Carbonneau, Julie; Hamelin, Marie-Eve; Boivin, Guy] CHU Quebec, Res Ctr Infect Dis, Quebec City, PQ, Canada; [Roussy, Jean-Francois; Carbonneau, Julie; Hamelin, Marie-Eve; Boivin, Guy] Univ Laval, Quebec City, PQ, Canada; [Ouakki, Manale; De Serres, Gaston] Inst Natl Sante Publ Quebec, Quebec City, PQ, Canada; [Papenburg, Jesse] McGill Univ, Ctr Hlth, Montreal, PQ, Canada</t>
  </si>
  <si>
    <t xml:space="preserve">Laval University; Laval University; Institut national de sante publique du Quebec (INSPQ); McGill University</t>
  </si>
  <si>
    <t xml:space="preserve">Boivin, G (corresponding author), CHUL, Room RC-709,2705 Blvd Laurier, Ste Foy, PQ G1V 4G2, Canada.</t>
  </si>
  <si>
    <t xml:space="preserve">Papenburg, Jesse/I-7847-2019</t>
  </si>
  <si>
    <t xml:space="preserve">Papenburg, Jesse/0000-0003-4232-871X; Boivin, Guy/0000-0003-3027-4662</t>
  </si>
  <si>
    <t xml:space="preserve">Canadian Institutes of Health Research [151504, 273261]; MedImmune</t>
  </si>
  <si>
    <t xml:space="preserve">Canadian Institutes of Health Research(Canadian Institutes of Health Research (CIHR)); MedImmune(AstraZenecaMedimmune)</t>
  </si>
  <si>
    <t xml:space="preserve">This work was supported by the Canadian Institutes of Health Research (grants 151504 and 273261 to G.B.) and a research grant from MedImmune (to G.B.). G.B. is the holder of the Canada Research Chair on emerging viruses and antiviral resistance.</t>
  </si>
  <si>
    <t xml:space="preserve">10.1016/j.jcv.2014.03.001</t>
  </si>
  <si>
    <t xml:space="preserve">AG9KL</t>
  </si>
  <si>
    <t xml:space="preserve">WOS:000335738000009</t>
  </si>
  <si>
    <t xml:space="preserve">Nokso-Koivisto, J; Pyles, RB; Miller, AL; Patel, JA; Loeffelholz, M; Chonmaitree, T</t>
  </si>
  <si>
    <t xml:space="preserve">Nokso-Koivisto, Johanna; Pyles, Richard B.; Miller, Aaron L.; Patel, Janak A.; Loeffelholz, Michael; Chonmaitree, Tasnee</t>
  </si>
  <si>
    <t xml:space="preserve">VIRAL LOAD AND ACUTE OTITIS MEDIA DEVELOPMENT AFTER HUMAN METAPNEUMOVIRUS UPPER RESPIRATORY TRACT INFECTION</t>
  </si>
  <si>
    <t xml:space="preserve">human metapneumovirus; upper respiratory tract infection; acute otitis media; viral load</t>
  </si>
  <si>
    <t xml:space="preserve">YOUNG-CHILDREN; SYNCYTIAL VIRUS; DISEASE; ASSOCIATION; DIAGNOSIS; SYMPTOMS</t>
  </si>
  <si>
    <t xml:space="preserve">The role of human metapneumovirus (hMPV) in acute otitis media complicating upper respiratory tract infection (URI) was studied. Nasopharyngeal specimens from 700 URI episodes in 200 children were evaluated; 47 (7%) were positive for hMPV, 25 (3.6%) with hMPV as the only virus. Overall, 24% of URI episodes with hMPV only were complicated by acute otitis media, which was the lowest rate compared with other respiratory viruses. hMPV viral load was significantly higher in children with fever, but there was no difference in viral load in children with hMPV-positive URI with or without acute otitis media complication.</t>
  </si>
  <si>
    <t xml:space="preserve">[Nokso-Koivisto, Johanna; Pyles, Richard B.; Miller, Aaron L.; Patel, Janak A.; Chonmaitree, Tasnee] Univ Texas Med Branch, Dept Pediat, Galveston, TX 77555 USA; [Pyles, Richard B.] Univ Texas Med Branch, Dept Microbiol &amp; Immunol, Galveston, TX 77555 USA; [Loeffelholz, Michael; Chonmaitree, Tasnee] Univ Texas Med Branch, Dept Pathol, Galveston, TX 77555 USA</t>
  </si>
  <si>
    <t xml:space="preserve">Chonmaitree, T (corresponding author), Univ Texas Med Branch, Dept Pediat, 301 Univ Blvd, Galveston, TX 77555 USA.</t>
  </si>
  <si>
    <t xml:space="preserve">tchonmai@utmb.edu</t>
  </si>
  <si>
    <t xml:space="preserve">National Institute of Deafness and Other Communication Disorders [R01 DC005841]; National Center for Research Resources, National Institutes of Health [UL1 RR029876]</t>
  </si>
  <si>
    <t xml:space="preserve">National Institute of Deafness and Other Communication Disorders(United States Department of Health &amp; Human ServicesNational Institutes of Health (NIH) - USANIH National Institute on Deafness &amp; Other Communication Disorders (NIDCD)); National Center for Research Resources, National Institutes of Health(United States Department of Health &amp; Human ServicesNational Institutes of Health (NIH) - USANIH National Center for Research Resources (NCRR))</t>
  </si>
  <si>
    <t xml:space="preserve">Supported by the National Institute of Deafness and Other Communication Disorders [grant number R01 DC005841], and from the National Center for Research Resources [grant number UL1 RR029876], National Institutes of Health. The authors have no other funding or conflicts of interest to disclose.</t>
  </si>
  <si>
    <t xml:space="preserve">10.1097/INF.0b013e3182539d92</t>
  </si>
  <si>
    <t xml:space="preserve">964PJ</t>
  </si>
  <si>
    <t xml:space="preserve">WOS:000305708300022</t>
  </si>
  <si>
    <t xml:space="preserve">Zhu, RN; Qian, Y; Zhao, LQ; Deng, J; Sun, Y; Wang, F; Liao, B; Li, Y; Huang, RY</t>
  </si>
  <si>
    <t xml:space="preserve">Zhu Ru-nan; Qian Yuan; Zhao Lin-qing; Deng Jie; Sun Yu; Wang Fang; Liao Bin; Li Yan; Huang Rong-yan</t>
  </si>
  <si>
    <t xml:space="preserve">Characterization of human metapneumovirus from pediatric patients with acute respiratory infections in a 4-year period in Beijing, China</t>
  </si>
  <si>
    <t xml:space="preserve">human metapneumovirus; surveillance; respiratory infection; children</t>
  </si>
  <si>
    <t xml:space="preserve">TRACT INFECTIONS; SYNCYTIAL VIRUS; YOUNG-CHILDREN; BRONCHIOLITIS; GENOTYPE; EXPERIENCE; FEATURES; ILLNESS; INFANTS; DISEASE</t>
  </si>
  <si>
    <t xml:space="preserve">Background Human metapneumovirus (hMPV) was discovered by scientists in the Netherlands as a novel respiratory virus in 2001 and had been found in children with acute respiratory tract infections (ARTI) in China. The objective of this study was to determine the importance of hMPV infection in children in Beijing and the genotypes of the circulating virus by the surveillance during a four-consecutive-year period. Methods Clinical specimens collected from children with ARTI from January 2006 to December 2009 were tested for hMPV by RT-PCR using primers targeting the matrix (M) gene, followed by genotyping of hMPV directly from positive samples by diplex PCR with primers for glycoprotein (G) genes. Sequence analysis was used for genotyping of those un-typable samples. Common respiratory viruses in these clinical specimens were tested by virus isolation and antigen detection, in addition to hMPV detection. Results Of 4730 tested specimens, 191 (4.0%) were positive for hMPV and 62.8% of 191 were identified as genotype A. The positive rate of hMPV from hospitalized patients was higher than that from outpatients each year. Most of hMPV positive children were under five years old. The peak of hMPV activity mostly occurred in late spring and overlapped with or followed that of respiratory syncytial virus (RSV) and followed by parainfluenza virus 3. Of hMPV infected cases, 68.6% were lower respiratory tract infection, among which 79.4% were hospitalized, and upper respiratory tract infection was diagnosed for 31.4% of hMPV infected children. The 9.4% of hMPV positive samples were found to co-exist with other respiratory viruses. Conclusions hMPV was an important pathogen for ARTI in pediatric patients, especially those under five years old. Both genotypes A and B circulated simultaneously in Beijing. Chin Med J 2011;124(11):1623-1628</t>
  </si>
  <si>
    <t xml:space="preserve">[Zhu Ru-nan; Qian Yuan] Peking Univ, Capital Inst Pediat, Teaching Hosp, Virol Lab, Beijing 100020, Peoples R China; [Zhu Ru-nan; Qian Yuan; Zhao Lin-qing; Deng Jie; Sun Yu; Wang Fang] Capital Inst Pediat, Virol Lab, Beijing 100020, Peoples R China; [Liao Bin; Huang Rong-yan] Capital Inst Pediat, Affiliated Childrens Hosp, Beijing 100020, Peoples R China; [Li Yan] Publ Hlth Agcy Canada, Influenza &amp; Resp Viruses Sect, Natl Microbiol Lab, Winnipeg, MB R3E 3R2, Canada</t>
  </si>
  <si>
    <t xml:space="preserve">Peking University; Capital Institute of Pediatrics (CIP); Capital Institute of Pediatrics (CIP); Capital Institute of Pediatrics (CIP); Public Health Agency of Canada</t>
  </si>
  <si>
    <t xml:space="preserve">wang, fang/GYD-4295-2022; Deng, Jie/F-2413-2017</t>
  </si>
  <si>
    <t xml:space="preserve">National Natural Science Foundation of China [30570080, 30872153]; Natural Science Foundation of Beijing [7052020]; Beijing Municipal Government [2004B34]</t>
  </si>
  <si>
    <t xml:space="preserve">National Natural Science Foundation of China(National Natural Science Foundation of China (NSFC)); Natural Science Foundation of Beijing(Beijing Natural Science Foundation); Beijing Municipal Government</t>
  </si>
  <si>
    <t xml:space="preserve">This study was supported by the grants from the National Natural Science Foundation of China (No. 30570080 and No. 30872153), the Natural Science Foundation of Beijing (No. 7052020) and the Special Grant for Outstanding Young Scientist from Beijing Municipal Government (No. 2004B34).</t>
  </si>
  <si>
    <t xml:space="preserve">MEDKNOW PUBLICATIONS &amp; MEDIA PVT LTD</t>
  </si>
  <si>
    <t xml:space="preserve">B-9, KANARA BUSINESS CENTRE, OFF LINK RD, GHAKTOPAR-E, MUMBAI, 400075, INDIA</t>
  </si>
  <si>
    <t xml:space="preserve">JUN 5</t>
  </si>
  <si>
    <t xml:space="preserve">10.3760/cma.j.issn.0366-6999.2011.11.004</t>
  </si>
  <si>
    <t xml:space="preserve">787AW</t>
  </si>
  <si>
    <t xml:space="preserve">WOS:000292350000004</t>
  </si>
  <si>
    <t xml:space="preserve">Debur, MC; Vidal, LRR; Stroparo, E; Nogueira, MB; Almeida, SM; Takahashi, GA; Rotta, I; Pereira, LA; Silveira, CS; Delfraro, A; Nakatani, SM; Skraba, I; Raboni, SM</t>
  </si>
  <si>
    <t xml:space="preserve">Debur, Maria C.; Vidal, Luine R. R.; Stroparo, Elenice; Nogueira, Meri B.; Almeida, Sergio M.; Takahashi, Gislene A.; Rotta, Indianara; Pereira, Luciane A.; Silveira, Clyete S.; Delfraro, Adriana; Nakatani, Sueli M.; Skraba, Irene; Raboni, Sonia M.</t>
  </si>
  <si>
    <t xml:space="preserve">Impact of human metapneumovirus infection on in and outpatients for the years 2006-2008 in southern Brazil</t>
  </si>
  <si>
    <t xml:space="preserve">human metapneumovirus; subtypes; respiratory infection; inpatients; outpatients</t>
  </si>
  <si>
    <t xml:space="preserve">RESPIRATORY SYNCYTIAL VIRUS; TRACT INFECTIONS; PHYLOGENETIC ANALYSIS; SEASONAL DISTRIBUTION; GENETIC-VARIABILITY; ACUTE BRONCHIOLITIS; CLINICAL IMPACT; FRENCH CHILDREN; DISEASE; INFANTS</t>
  </si>
  <si>
    <t xml:space="preserve">The human metapneumovirus (hMPV), member of the Paramyxoviridae family, has been reported as an important agent involved with acute respiratory infections (ARIs). The aim of this study is to identify hMPV as the etiological agent of ARIs on in and outpatients in the city of Curitiba, southern Brazil, and describe clinical data of hMPV subtyping. A retrospective study was performed in 1,572 respiratory samples over a period of three years. hMPV was detected by reverse transcription-polymerase chain reaction and subtyping was performed by nucleotide sequencing. hMPV was present in 61 (3.9%) samples and subtypes A1, A2a, B1 and B2 were detected. The incidence of hMPV was higher in outpatients (5.9%), whose mean age was 19.7 years (range 6 months-75 years old), than in inpatients (3%), whose mean age was 7.6 months (range 1 month-26 years old). The outpatients had upper respiratory tract infections with flu-like symptoms and all hospitalized children had lower respiratory tract infections. A pediatric patient died from complications associated with hMPV A2a infection. hMPV has been reported as a respiratory pathogen in all age groups. No correlation was observed between viral subtype and disease severity in the samples of this study.</t>
  </si>
  <si>
    <t xml:space="preserve">[Debur, Maria C.; Vidal, Luine R. R.; Stroparo, Elenice; Nogueira, Meri B.; Almeida, Sergio M.; Takahashi, Gislene A.; Rotta, Indianara; Pereira, Luciane A.; Silveira, Clyete S.; Raboni, Sonia M.] Univ Fed Parana, Hosp Clin, Virol Lab, BR-82060240 Curitiba, Parana, Brazil; [Delfraro, Adriana] Univ Republica, Fac Ciencias, Secc Virol, Montevideo, Uruguay; [Nakatani, Sueli M.; Skraba, Irene] Lab Cent Saude Publ, Curitiba, Parana, Brazil</t>
  </si>
  <si>
    <t xml:space="preserve">Universidade Federal do Parana; Universidad de la Republica, Uruguay</t>
  </si>
  <si>
    <t xml:space="preserve">Raboni, SM (corresponding author), Univ Fed Parana, Hosp Clin, Virol Lab, Rua Padre Camargo 280,Sala 202, BR-82060240 Curitiba, Parana, Brazil.</t>
  </si>
  <si>
    <t xml:space="preserve">Delfraro, Adriana/D-4518-2013; Raboni, Sonia/AAF-7142-2020; NOGUEIRA, MERI/AAX-9795-2021</t>
  </si>
  <si>
    <t xml:space="preserve">Delfraro, Adriana/0000-0003-3701-9621</t>
  </si>
  <si>
    <t xml:space="preserve">10.1590/S0074-02762010000800010</t>
  </si>
  <si>
    <t xml:space="preserve">705CV</t>
  </si>
  <si>
    <t xml:space="preserve">WOS:000286107400010</t>
  </si>
  <si>
    <t xml:space="preserve">Seki, M; Yoshida, H; Gotoh, K; Hamada, N; Motooka, D; Nakamura, S; Yamamoto, N; Hamaguchi, S; Akeda, Y; Watanabe, H; Iida, T; Tomono, K</t>
  </si>
  <si>
    <t xml:space="preserve">Seki, Masafumi; Yoshida, Hisao; Gotoh, Kazuyoshi; Hamada, Nobuyuki; Motooka, Daisuke; Nakamura, Shota; Yamamoto, Norihisa; Hamaguchi, Shigeto; Akeda, Yukihiro; Watanabe, Hiroshi; Iida, Tetsuya; Tomono, Kazunori</t>
  </si>
  <si>
    <t xml:space="preserve">Severe respiratory failure due to co-infection with human metapneumovirus and Streptococcus pneumoniae</t>
  </si>
  <si>
    <t xml:space="preserve">RESPIRATORY MEDICINE CASE REPORTS</t>
  </si>
  <si>
    <t xml:space="preserve">Human metapneumovirus; Streptococcus pneumoniae; Next-generation sequencer; Real-time PCR; Co-infection</t>
  </si>
  <si>
    <t xml:space="preserve">A 64-year-old male patient was admitted with respiratory failure, although chest X-rays revealed only mild bronchiolitis. Streptococcus pneumoniae, which usually presents as massive lobular pneumonia, was isolated from sputum, however, pan-pathogen screening using a next-generation sequencer also detected human metapneumovirus genome fragments. (C) 2014 The Authors. Published by Elsevier Ltd. Open access under CC BY-NC-ND license.</t>
  </si>
  <si>
    <t xml:space="preserve">[Seki, Masafumi; Yoshida, Hisao; Yamamoto, Norihisa; Hamaguchi, Shigeto; Tomono, Kazunori] Osaka Univ, Grad Sch Med, Div Infect Control &amp; Prevent, Suita, Osaka, Japan; [Gotoh, Kazuyoshi; Motooka, Daisuke; Nakamura, Shota; Iida, Tetsuya] Osaka Univ, Genome Informat Res Ctr, Res Inst Microbial Dis, Dept Infect Metagen, Suita, Osaka, Japan; [Hamada, Nobuyuki; Watanabe, Hiroshi] Kurume Univ, Sch Med, Dept Infect Med, Div Infect Dis, Kurume, Fukuoka, Japan; [Akeda, Yukihiro] Osaka Univ, Res Inst Microbial Dis, Lab Clin Clin Res Infect Dis, Suita, Osaka, Japan</t>
  </si>
  <si>
    <t xml:space="preserve">Osaka University; Osaka University; Kurume University; Osaka University</t>
  </si>
  <si>
    <t xml:space="preserve">Seki, M (corresponding author), Osaka Univ Hosp, Div Infect Control &amp; Prevent, 2-15 Yamadaoka, Suita, Osaka 5650871, Japan.</t>
  </si>
  <si>
    <t xml:space="preserve">seki@hp-infect.med.osaka-u.ac.jp</t>
  </si>
  <si>
    <r>
      <rPr>
        <sz val="10"/>
        <rFont val="Noto Sans CJK SC"/>
        <family val="2"/>
        <charset val="1"/>
      </rPr>
      <t xml:space="preserve">はまぐち しげと</t>
    </r>
    <r>
      <rPr>
        <sz val="10"/>
        <rFont val="Arial"/>
        <family val="0"/>
        <charset val="1"/>
      </rPr>
      <t xml:space="preserve">, </t>
    </r>
    <r>
      <rPr>
        <sz val="10"/>
        <rFont val="Noto Sans CJK SC"/>
        <family val="2"/>
        <charset val="1"/>
      </rPr>
      <t xml:space="preserve">濱口 重人</t>
    </r>
    <r>
      <rPr>
        <sz val="10"/>
        <rFont val="Arial"/>
        <family val="0"/>
        <charset val="1"/>
      </rPr>
      <t xml:space="preserve">/GQZ-8515-2022; Nakamura, Shota/E-3033-2010</t>
    </r>
  </si>
  <si>
    <t xml:space="preserve">Hamaguchi, Shigeto/0000-0003-2560-9982; Nakamura, Shota/0000-0003-2058-5942</t>
  </si>
  <si>
    <t xml:space="preserve">Grants-in-Aid for Scientific Research [24890103, 24591495, 26461158] Funding Source: KAKEN</t>
  </si>
  <si>
    <t xml:space="preserve">2213-0071</t>
  </si>
  <si>
    <t xml:space="preserve">RESPIR MED CASE REP</t>
  </si>
  <si>
    <t xml:space="preserve">Respir. Med. Case Rep.</t>
  </si>
  <si>
    <t xml:space="preserve">10.1016/j.rmcr.2013.12.007</t>
  </si>
  <si>
    <t xml:space="preserve">V1S7R</t>
  </si>
  <si>
    <t xml:space="preserve">WOS:000217201400005</t>
  </si>
  <si>
    <t xml:space="preserve">Cane, PA; van den Hoogen, BG; Chakrabarti, S; Fegan, CD; Osterhaus, ADME</t>
  </si>
  <si>
    <t xml:space="preserve">Human metapneumovirus in a haematopoietic stem cell transplant recipient with fatal lower respiratory tract disease</t>
  </si>
  <si>
    <t xml:space="preserve">BONE MARROW TRANSPLANTATION</t>
  </si>
  <si>
    <t xml:space="preserve">human metapneumovirus; stem cell transplant</t>
  </si>
  <si>
    <t xml:space="preserve">VIRUS-INFECTIONS</t>
  </si>
  <si>
    <t xml:space="preserve">Respiratory viruses are increasingly recognized as a cause of pneumonitis following haematopoietic stem cell transplantation (HSCT). However, frequently, no pathogen is identified in cases of suspected viral pneumonia. Recently, a previously undescribed paramyxovirus, designated 'human metapneumovirus' (hMPV), was isolated from children with respiratory illness. We have detected hMPV as the sole pathogen in the nasopharyngeal aspirate of an HSCT recipient who succumbed to progressive respiratory failure following an upper respiratory prodrome. This report highlights the importance of further studies to elucidate the role of hMPV in causing respiratory illnesses in the HSCT population.</t>
  </si>
  <si>
    <t xml:space="preserve">Royal Hosp Sick Children, Bone Marrow Transplant Unit, Bristol BS2 8BJ, Avon, England; Univ Birmingham, Sch Med, Div Immun &amp; Infect, Birmingham B15 2TT, W Midlands, England; Erasmus Med Ctr, Dept Virol, Rotterdam, Netherlands; Birmingham Heartlands Hosp, Dept Haematol, Birmingham B9 5ST, W Midlands, England</t>
  </si>
  <si>
    <t xml:space="preserve">Bristol Royal Hospital For Children; University of Birmingham; Erasmus University Rotterdam; Erasmus MC; Heart of England NHS Foundation Trust; University of Birmingham</t>
  </si>
  <si>
    <t xml:space="preserve">Chakrabarti, S (corresponding author), Royal Hosp Sick Children, Bone Marrow Transplant Unit, Bristol BS2 8BJ, Avon, England.</t>
  </si>
  <si>
    <t xml:space="preserve">van den Hoogen, Bernadette/J-5461-2013</t>
  </si>
  <si>
    <t xml:space="preserve">NATURE PUBLISHING GROUP</t>
  </si>
  <si>
    <t xml:space="preserve">MACMILLAN BUILDING, 4 CRINAN ST, LONDON N1 9XW, ENGLAND</t>
  </si>
  <si>
    <t xml:space="preserve">0268-3369</t>
  </si>
  <si>
    <t xml:space="preserve">BONE MARROW TRANSPL</t>
  </si>
  <si>
    <t xml:space="preserve">Bone Marrow Transplant.</t>
  </si>
  <si>
    <t xml:space="preserve">10.1038/sj.bmt.1703849</t>
  </si>
  <si>
    <t xml:space="preserve">Biophysics; Oncology; Hematology; Immunology; Transplantation</t>
  </si>
  <si>
    <t xml:space="preserve">653JX</t>
  </si>
  <si>
    <t xml:space="preserve">WOS:000181433000013</t>
  </si>
  <si>
    <t xml:space="preserve">Rogers, MC; Miranda-Katz, M; Zhang, Y; Oury, TD; Uccellini, MB; García-Sastre, A; Williams, JV</t>
  </si>
  <si>
    <t xml:space="preserve">Rogers, Meredith C.; Miranda-Katz, Margot; Zhang, Yu; Oury, Tim D.; Uccellini, Melissa B.; Garcia-Sastre, Adolfo; Williams, John, V</t>
  </si>
  <si>
    <t xml:space="preserve">STAT2 Limits Host Species Specificity of Human Metapneumovirus</t>
  </si>
  <si>
    <t xml:space="preserve">human metapneumovirus; STAT2; STAT1; virus tropism; innate immunity; type I interferon; acute respiratory infection</t>
  </si>
  <si>
    <t xml:space="preserve">RESPIRATORY SYNCYTIAL VIRUS; TRACT INFECTIONS; INFLUENZA-VIRUS; YOUNG-CHILDREN; INTERFERON; PATHOGENESIS; ACTIVATION; INHIBITION; ADAPTATION; EXPRESSION</t>
  </si>
  <si>
    <t xml:space="preserve">The host tropism of viral infection is determined by a variety of factors, from cell surface receptors to innate immune signaling. Many viruses encode proteins that interfere with host innate immune recognition in order to promote infection. STAT2 is divergent between species and therefore has a role in species restriction of some viruses. To understand the role of STAT2 in human metapneumovirus (HMPV) infection of human and murine tissues, we first infected STAT2(-/-)mice and found that HMPV could be serially passaged in STAT2(-/-), but not WT, mice. We then used in vitro methods to show that HMPV inhibits expression of both STAT1 and STAT2 in human and primate cells, but not in mouse cells. Transfection of the murine form of STAT2 into STAT2-deficient human cells conferred resistance to STAT2 inhibition. Finally, we sought to understand the in vivo role of STAT2 by infecting hSTAT2 knock-in mice with HMPV, and found that mice had increased weight loss, inhibition of type I interferon signaling, and a Th2-polarized cytokine profile compared to WT mice. These results indicate that STAT2 is a target of HMPV in human infection, while the murine version of STAT2 restricts tropism of HMPV for murine cells and tissue.</t>
  </si>
  <si>
    <t xml:space="preserve">[Rogers, Meredith C.; Miranda-Katz, Margot; Zhang, Yu; Williams, John, V] Univ Pittsburgh, Dept Pediat, Sch Med, Pittsburgh, PA 15224 USA; [Rogers, Meredith C.; Miranda-Katz, Margot; Zhang, Yu; Williams, John, V] UPMC Childrens Hosp Pittsburgh, Pittsburgh, PA 15224 USA; [Rogers, Meredith C.] Vanderbilt Univ, Med Ctr, Dept Pathol Microbiol &amp; Immunol, Nashville, TN 37212 USA; [Oury, Tim D.] Univ Pittsburgh, Dept Pathol, Sch Med, Pittsburgh, PA 15261 USA; [Uccellini, Melissa B.; Garcia-Sastre, Adolfo] Icahn Sch Med Mt Sinai, Dept Microbiol, New York, NY 10029 USA; [Uccellini, Melissa B.; Garcia-Sastre, Adolfo] Icahn Sch Med Mt Sinai, Global Hlth &amp; Emerging Pathogens Inst, New York, NY 10029 USA; [Garcia-Sastre, Adolfo] Icahn Sch Med Mt Sinai, Dept Med, Div Infect Dis, New York, NY 10029 USA; [Garcia-Sastre, Adolfo] Icahn Sch Med Mt Sinai, Tisch Canc Inst, New York, NY 10029 USA; [Williams, John, V] Univ Pittsburgh, Inst Infect Inflammat &amp; Immun Children i4Kids, Pittsburgh, PA 15224 USA</t>
  </si>
  <si>
    <t xml:space="preserve">Pennsylvania Commonwealth System of Higher Education (PCSHE); University of Pittsburgh; Pennsylvania Commonwealth System of Higher Education (PCSHE); University of Pittsburgh; Vanderbilt University; Pennsylvania Commonwealth System of Higher Education (PCSHE); University of Pittsburgh; Icahn School of Medicine at Mount Sinai; Icahn School of Medicine at Mount Sinai; Icahn School of Medicine at Mount Sinai; Icahn School of Medicine at Mount Sinai; Pennsylvania Commonwealth System of Higher Education (PCSHE); University of Pittsburgh</t>
  </si>
  <si>
    <t xml:space="preserve">Williams, JV (corresponding author), Univ Pittsburgh, Dept Pediat, Sch Med, Pittsburgh, PA 15224 USA.;Williams, JV (corresponding author), UPMC Childrens Hosp Pittsburgh, Pittsburgh, PA 15224 USA.;Williams, JV (corresponding author), Univ Pittsburgh, Inst Infect Inflammat &amp; Immun Children i4Kids, Pittsburgh, PA 15224 USA.</t>
  </si>
  <si>
    <t xml:space="preserve">meredith.rogers@vanderbilt.edu; mirandakatz@wisc.edu; yuz113@pitt.edu; tdoury@pitt.edu; Melissa.Uccellini@mssm.edu; Adolfo.Garcia-Sastre@mssm.edu; jvw@pitt.edu</t>
  </si>
  <si>
    <t xml:space="preserve">Williams, John/ABE-3227-2020; Garcia-Sastre, Adolfo/ABF-3070-2021; Zhang, Yu/AAE-3574-2022</t>
  </si>
  <si>
    <t xml:space="preserve">Garcia-Sastre, Adolfo/0000-0002-6551-1827; Rogers, Meredith/0000-0003-1798-6294</t>
  </si>
  <si>
    <t xml:space="preserve">National Institutes of Health/National Institute of Allergy and Infectious Diseases [AI085062]</t>
  </si>
  <si>
    <t xml:space="preserve">National Institutes of Health/National Institute of Allergy and Infectious Diseases(United States Department of Health &amp; Human ServicesNational Institutes of Health (NIH) - USANIH National Institute of Allergy &amp; Infectious Diseases (NIAID))</t>
  </si>
  <si>
    <t xml:space="preserve">This work was supported by the National Institutes of Health/National Institute of Allergy and Infectious Diseases, grant AI085062 (J.V.W.).</t>
  </si>
  <si>
    <t xml:space="preserve">10.3390/v12070724</t>
  </si>
  <si>
    <t xml:space="preserve">MW7FH</t>
  </si>
  <si>
    <t xml:space="preserve">WOS:000557197200001</t>
  </si>
  <si>
    <t xml:space="preserve">Lüsebrink, J; Schildgen, O</t>
  </si>
  <si>
    <t xml:space="preserve">Luesebrink, Jessica; Schildgen, Oliver</t>
  </si>
  <si>
    <t xml:space="preserve">Proceedings in human metapneumovirus vaccine and treatment development</t>
  </si>
  <si>
    <t xml:space="preserve">REVIEWS IN MEDICAL MICROBIOLOGY</t>
  </si>
  <si>
    <t xml:space="preserve">human metapneumovirus; siRNA; vaccines</t>
  </si>
  <si>
    <t xml:space="preserve">RESPIRATORY-SYNCYTIAL-VIRUS; FUSION PROTEIN; COTTON RATS; PROTECTIVE IMMUNITY; MONOCLONAL-ANTIBODY; TRACT INFECTION; YOUNG-CHILDREN; IN-VITRO; DISEASE; IMMUNIZATION</t>
  </si>
  <si>
    <t xml:space="preserve">Human metapneumovirus is a pathogen causing mild-to-severe upper and lower respiratory tract infections. Primary infections occur during early childhood and reinfections happen throughout later life, leading to a severe outcome, especially in the immunocompromised and the elderly. This review briefly summarizes current progress in the development of prophylaxis and treatment options for human metapneumovirus infections. (C) 2012 Wolters Kluwer Health vertical bar Lippincott Williams &amp; Wilkins</t>
  </si>
  <si>
    <t xml:space="preserve">[Luesebrink, Jessica; Schildgen, Oliver] Klinikum Privaten Univ Witten Herdecke, Inst Pathol, Krankenhaus Merheim, Kliniken Stadt Koln gG mbH, Cologne, Germany</t>
  </si>
  <si>
    <t xml:space="preserve">University of Cologne</t>
  </si>
  <si>
    <t xml:space="preserve">Schildgen, O (corresponding author), Kliniken Stadt Koln, D-51109 Cologne, Nrw Germany, Germany.</t>
  </si>
  <si>
    <t xml:space="preserve">schildgeno@kliniken-koeln.de</t>
  </si>
  <si>
    <t xml:space="preserve">0954-139X</t>
  </si>
  <si>
    <t xml:space="preserve">1473-5601</t>
  </si>
  <si>
    <t xml:space="preserve">REV MED MICROBIOL</t>
  </si>
  <si>
    <t xml:space="preserve">Rev. Med. Microbiol.</t>
  </si>
  <si>
    <t xml:space="preserve">10.1097/MRM.0b013e3283530823</t>
  </si>
  <si>
    <t xml:space="preserve">930NO</t>
  </si>
  <si>
    <t xml:space="preserve">WOS:000303146300004</t>
  </si>
  <si>
    <t xml:space="preserve">Ballegeer, M; van Scherpenzeel, RC; Delgado, T; Iglesias-Caballero, M; Barreno, BG; Pandey, S; Rush, SA; Kolkman, JA; Mas, V; Mclellan, JS; Saelens, X</t>
  </si>
  <si>
    <t xml:space="preserve">Ballegeer, Marlies; van Scherpenzeel, Revina C.; Delgado, Teresa; Iglesias-Caballero, Maria; Garcia Barreno, Blanca; Pandey, Shubham; Rush, Scott A.; Kolkman, Joost A.; Mas, Vicente; Mclellan, Jason S.; Saelens, Xavier</t>
  </si>
  <si>
    <t xml:space="preserve">A neutralizing single-domain antibody that targets the trimer interface of the human metapneumovirus fusion protein</t>
  </si>
  <si>
    <t xml:space="preserve">human metapneumovirus; single-domain antibody; fusion protein; structure</t>
  </si>
  <si>
    <t xml:space="preserve">COTTON RAT; INFECTION; VACCINE; MODEL; CHILDREN; DESIGN; BURDEN</t>
  </si>
  <si>
    <t xml:space="preserve">Human metapneumovirus (hMPV) is a leading cause of viral lower respiratory tract disease in children and adults. The hMPV fusion protein F is a trimeric class I fusion protein that is initially synthesized as a precursor (F0) and requires proteolytic activation by a host cell protease to generate the metastable, fusion-competent prefusion conformation of F. hMPV F is considered the main target of the neutralizing antibody response against hMPV infection. We isolated single-domain antibodies (sdAbs) directed against hMPV F that potently neutralize hMPV A and B strains. One of these sdAbs, sdHMPV16, specifically bound to cleaved and uncleaved prefusion F. Co-crystal structure analysis revealed that sdHMPV16 binds to a site located at the trimer interface of prefusion F. Moreover, prophylactic treatment with a sdHMPV16-Fc fusion protein reduced viral titers in the lungs of hMPV-infected cotton rats. In summary, sdHMPV16 broadly neutralizes hMPV, can be turned into a candidate biologic that restricts hMPV replication in an in vivo model, and, unexpectedly, binds to an unconventional epitope at the prefusion F trimer interface.IMPORTANCEHuman metapneumovirus (hMPV) is an important respiratory pathogen for which no licensed antivirals or vaccines exist. Single-domain antibodies represent promising antiviral biologics that can be easily produced and formatted. We describe the isolation and detailed characterization of two hMPV-neutralizing single-domain antibodies that are directed against the fusion protein F. One of these single-domain antibodies broadly neutralizes hMPV A and B strains, can prevent proteolytic maturation of F, and binds to an epitope in the F trimer interface. This suggests that hMPV pre-F undergoes trimer opening or breathing on infectious virions, exposing a vulnerable site for neutralizing antibodies. Finally, we show that this single-domain antibody, fused to a human IgG1 Fc, can protect cotton rats against hMPV replication, an important finding for potential future clinical applications. Human metapneumovirus (hMPV) is an important respiratory pathogen for which no licensed antivirals or vaccines exist. Single-domain antibodies represent promising antiviral biologics that can be easily produced and formatted. We describe the isolation and detailed characterization of two hMPV-neutralizing single-domain antibodies that are directed against the fusion protein F. One of these single-domain antibodies broadly neutralizes hMPV A and B strains, can prevent proteolytic maturation of F, and binds to an epitope in the F trimer interface. This suggests that hMPV pre-F undergoes trimer opening or breathing on infectious virions, exposing a vulnerable site for neutralizing antibodies. Finally, we show that this single-domain antibody, fused to a human IgG1 Fc, can protect cotton rats against hMPV replication, an important finding for potential future clinical applications.</t>
  </si>
  <si>
    <t xml:space="preserve">[Ballegeer, Marlies; Pandey, Shubham; Saelens, Xavier] VIB, Ctr Med Biotechnol, Ghent, Belgium; [Ballegeer, Marlies; Pandey, Shubham; Saelens, Xavier] Univ Ghent, Dept Biochem &amp; Microbiol, Ghent, Belgium; [van Scherpenzeel, Revina C.; Kolkman, Joost A.] Janssen Infect Dis &amp; Vaccines, Beerse, Belgium; [Delgado, Teresa; Iglesias-Caballero, Maria; Garcia Barreno, Blanca; Mas, Vicente] Inst Salud Carlos III, Ctr Nacl Microbiol, Madrid, Spain; [Rush, Scott A.; Mclellan, Jason S.] Univ Texas Austin, Dept Mol Biosci, Austin, TX USA</t>
  </si>
  <si>
    <t xml:space="preserve">Flanders Institute for Biotechnology (VIB); Ghent University; Instituto de Salud Carlos III; Centro Nacional de Microbiologia (CNM); University of Texas System; University of Texas Austin</t>
  </si>
  <si>
    <t xml:space="preserve">Saelens, X (corresponding author), VIB, Ctr Med Biotechnol, Ghent, Belgium.;Saelens, X (corresponding author), Univ Ghent, Dept Biochem &amp; Microbiol, Ghent, Belgium.</t>
  </si>
  <si>
    <t xml:space="preserve">xavier.saelens@vib-ugent.be</t>
  </si>
  <si>
    <t xml:space="preserve">Mas, Vicente/M-4776-2015; Iglesias-Caballero, María/AAB-1627-2020; Saelens, Xavier/N-5728-2015; McLellan, Jason/A-6874-2010</t>
  </si>
  <si>
    <t xml:space="preserve">McLellan, Jason/0000-0003-3991-542X</t>
  </si>
  <si>
    <t xml:space="preserve">Auris | J&amp;J | Janssen Pharmaceuticals (Janssen Pharmaceuticals, Inc.)</t>
  </si>
  <si>
    <t xml:space="preserve">We thank Aline Moliere and Anne-Sophie Desmet for their technical support.</t>
  </si>
  <si>
    <t xml:space="preserve">JAN 16</t>
  </si>
  <si>
    <t xml:space="preserve">10.1128/mbio.02122-23</t>
  </si>
  <si>
    <t xml:space="preserve">FD1O0</t>
  </si>
  <si>
    <t xml:space="preserve">WOS:001128900100001</t>
  </si>
  <si>
    <t xml:space="preserve">Reina, J; Ferres, F; Alcoceba, E; Mena, A; Ruiz de Gopegui, ER; Figuerola, J</t>
  </si>
  <si>
    <t xml:space="preserve">Reina, Jordi; Ferres, Francesc; Alcoceba, Eva; Mena, Aina; Ruiz de Gopegui, Enrique; Figuerola, Joan</t>
  </si>
  <si>
    <t xml:space="preserve">Comparison of different cell lines and incubation times in the isolation by the shell vial culture of human metapneumovirus from pediatric respiratory samples</t>
  </si>
  <si>
    <t xml:space="preserve">human metapneumovirus; shell vial culture; LLC-MK2 cell line; respiratory samples</t>
  </si>
  <si>
    <t xml:space="preserve">TRACT INFECTIONS; CHILDREN; SECRETIONS; DISEASE</t>
  </si>
  <si>
    <t xml:space="preserve">We report a prospective study concerning the efficacy of LLC-MK2 (continuous monkey kidney cell), Hep-2, MDCK (Madin-Darby Canine Kidney), Vero and MRC-5 cell lines, by shell vial assay, and incubation time in the isolation of hMPV from pediatric respiratory samples. The overall sensitivity of the cell lines studied were: 100% for the LLC-MK2, 68.7% for the Hep-2, 28.1% for the Vero, 3.1% for the MDCK and 0% for the MRC-5. Only one strain (3.1%) showed growth in the four cell lines studied and 10 (31.2%) strains only grew in the LLC-MK2 cell line. The analysis of incubation times showed that only 14 strains (43.7%) were able to grow after 3 days of incubation, while all strains (100%) showed growth after 5 days. The use of shell vials with commercial LLC-MK2 cells could be a method for isolating hMPV from respiratory samples in the pediatric population. (C) 2007 Elsevier B.V. All rights reserved.</t>
  </si>
  <si>
    <t xml:space="preserve">Univ Hosp Son Dureta, Clin Microbiol Serv, Virol Unit, Palma de Mallorca 07014, Spain; Univ Hosp Son Dureta, Serv Pediat, Palma de Mallorca, Spain</t>
  </si>
  <si>
    <t xml:space="preserve">Hospital Universitari Son Espases; Hospital Universitari Son Dureta; Hospital Universitari Son Espases; Hospital Universitari Son Dureta</t>
  </si>
  <si>
    <t xml:space="preserve">Reina, J (corresponding author), Univ Hosp Son Dureta, Clin Microbiol Serv, Virol Unit, Andrea Doria 55, Palma de Mallorca 07014, Spain.</t>
  </si>
  <si>
    <t xml:space="preserve">jreina@hsd.es</t>
  </si>
  <si>
    <t xml:space="preserve">, Alcoceba/ABE-7847-2020; Mena, Ana/AAI-1339-2020; Reina, Jordi/L-9386-2017</t>
  </si>
  <si>
    <t xml:space="preserve">, Alcoceba/0000-0003-2570-3469</t>
  </si>
  <si>
    <t xml:space="preserve">10.1016/j.jcv.2007.06.006</t>
  </si>
  <si>
    <t xml:space="preserve">220MQ</t>
  </si>
  <si>
    <t xml:space="preserve">WOS:000250161200009</t>
  </si>
  <si>
    <t xml:space="preserve">Souza, JS; Watanabe, A; Carraro, E; Granato, C; Bellei, N</t>
  </si>
  <si>
    <t xml:space="preserve">Souza, Juliana Sinohara; Watanabe, Aripuana; Carraro, Emerson; Granato, Celso; Bellei, Nancy</t>
  </si>
  <si>
    <t xml:space="preserve">Severe metapneumovirus infections among immunocompetent and immunocompromised patients admitted to hospital with respiratory infection</t>
  </si>
  <si>
    <t xml:space="preserve">human metapneumovirus; severe outcome; immunocompromised patients; immunocompetent patients</t>
  </si>
  <si>
    <t xml:space="preserve">CELL TRANSPLANT RECIPIENTS; 1ST PANDEMIC WAVE; TRACT INFECTIONS; GENETIC-VARIABILITY; CLINICAL-FEATURES; H1N1 2009; GENOTYPE; INFLUENZA; CHILDREN; YOUNG</t>
  </si>
  <si>
    <t xml:space="preserve">Human metapneumovirus (hMPV) is considered an important cause of acute respiratory infections. hMPV can cause morbidity in hematopoietic stem cell transplant recipients and recent research has demonstrated that it is an important virus in patients admitted to hospital with respiratory infections and suspected of having pandemic 2009 influenza A (H1N1pdm09) virus. The purpose of this study was to investigate infections caused by hMPV in two groups of patients admitted to hospital: Immunocompromized patients with a potential risk of severe outcomes and immunocompetent patients with severe acute respiratory syndrome. A total of 288 samples were tested: 165 samples were collected from patients with suspected influenza A (H1N1) pdm09 infection during the first pandemic wave in 2009; and 123 samples were collected from patients of a hematopoietic stem cell transplantation program in 20082009. Amplification of the hMPV genes was performed by polymerase chain reaction. This was followed by sequencing and phylogenetic analysis. hMPV was detected in 14.2% (41/288) of all samples: 17% (28/165) of immunocompetent patients with suspected H1N1 infection and 10.6% (13/123) among hematopoietic stem cell transplant recipients. hMPV accounted for 12.1% (8/66) of immunocompetent adults patients with severe respiratory infections (median age, 55.9 years). Two hMPV subtypes were identified, A2 (26.9%; 7/26) and B2 (73.1%; 19/26) but no difference was observed between the patient groups in terms of age or immunosuppression level. This study highlights the significance of hMPV in immunocompetent adult patients with severe infections and further investigations are recommended for understanding the impact of this virus. J. Med. Virol. 85:530536, 2013. (c) 2012 Wiley Periodicals, Inc.</t>
  </si>
  <si>
    <t xml:space="preserve">[Souza, Juliana Sinohara; Watanabe, Aripuana; Granato, Celso; Bellei, Nancy] Univ Fed Sao Paulo, Dept Med, Clin Virol Lab, Infect Dis Unit, BR-04039032 Sao Paulo, Brazil; [Carraro, Emerson] Middle W State Univ, Unictr, Guarapuava, Parana, Brazil</t>
  </si>
  <si>
    <t xml:space="preserve">Watanabe, A (corresponding author), Univ Fed Sao Paulo, Dept Med, Clin Virol Lab, Infect Dis Unit, Rua Pedro Toledo 781,Andar 15 Vila Clementino, BR-04039032 Sao Paulo, Brazil.</t>
  </si>
  <si>
    <t xml:space="preserve">aripuana77@hotmail.com</t>
  </si>
  <si>
    <t xml:space="preserve">Carraro, Emerson/G-7954-2012; Bellei, Nancy/D-8641-2016</t>
  </si>
  <si>
    <t xml:space="preserve">Coordenacao de aperfeicoamento de pessoal de nivel superior (CAPES)</t>
  </si>
  <si>
    <t xml:space="preserve">Coordenacao de aperfeicoamento de pessoal de nivel superior (CAPES)(Coordenacao de Aperfeicoamento de Pessoal de Nivel Superior (CAPES))</t>
  </si>
  <si>
    <t xml:space="preserve">Grant sponsor: Coordenacao de aperfeicoamento de pessoal de nivel superior (CAPES).</t>
  </si>
  <si>
    <t xml:space="preserve">10.1002/jmv.23477</t>
  </si>
  <si>
    <t xml:space="preserve">076HH</t>
  </si>
  <si>
    <t xml:space="preserve">WOS:000313946600022</t>
  </si>
  <si>
    <t xml:space="preserve">Yu, CM; Li, RP; Chen, X; Liu, P; Zhao, XD</t>
  </si>
  <si>
    <t xml:space="preserve">Yu, Chun-mei; Li, Rong-pei; Chen, Xin; Liu, Ping; Zhao, Xiao-dong</t>
  </si>
  <si>
    <t xml:space="preserve">Replication and pathogenicity of attenuated human metapneumovirus F mutants in severe combined immunodeficiency mice</t>
  </si>
  <si>
    <t xml:space="preserve">Human metapneumovirus; Severe combined immunodeficiency mice; F protein; Mutation</t>
  </si>
  <si>
    <t xml:space="preserve">RESPIRATORY SYNCYTIAL VIRUS; POLARIZED EPITHELIAL-CELLS; TRACT INFECTIONS; YOUNG-CHILDREN; PROTEIN; PNEUMOVIRUS; INFANTS; DISEASE; ILLNESS; LACKING</t>
  </si>
  <si>
    <t xml:space="preserve">This study was to evaluate the replication and pathogenicity of attenuated human metapneumovirus (HMPV) mutants in severe combined immunodeficiency (SCID) mice. SCID mice were intranasally infected with either wild type GFP-rHMPV (WT), or mutant viruses (M1, M2 and m4) with the N-linked glycosylation(s) of the F protein removed. The organs were collected for viral isolation, titration, pulmonary histopathology and mRNA detection by PCR at different time points. WT or mutant viruses were successfully isolated from the lungs of infected mice after inoculation. The titers of WT and M1 peaked on 5th day and remained detectable until 14th day post-inoculation. M2 reached approximately 4 logs lower titer on 5th and 9th day post-inoculation as compared to WT and M1. M4 showed similar growth kinetics to M2. Viral signal was never detected from the heart, liver, spleen, kidney and brain on 5th day post-inoculation. The pulmonary pathology score in the M1 infected mice was similar to WT infected mice but higher than in M2 or M4 infected mice. WT and HMPV mutants can thus only replicate in the lungs of SCID mice. Attenuated M2 and M4 may be considered as candidates for the preparation of vaccine against HMPV. (C) 2011 Elsevier Ltd. All rights reserved.</t>
  </si>
  <si>
    <t xml:space="preserve">[Zhao, Xiao-dong] Chongqing Med Univ, Div Immunol, Childrens Hosp, Chongqing 400014, Peoples R China</t>
  </si>
  <si>
    <t xml:space="preserve">Zhao, XD (corresponding author), Chongqing Med Univ, Div Immunol, Childrens Hosp, Chongqing 400014, Peoples R China.</t>
  </si>
  <si>
    <t xml:space="preserve">National Natural Science Foundation of China [30730098]; Excellent Youth Foundation of Chongqing Scientific Committee (CSTC) [2008BA5040]</t>
  </si>
  <si>
    <t xml:space="preserve">National Natural Science Foundation of China(National Natural Science Foundation of China (NSFC)); Excellent Youth Foundation of Chongqing Scientific Committee (CSTC)</t>
  </si>
  <si>
    <t xml:space="preserve">National Natural Science Foundation of China (30730098), Excellent Youth Foundation of Chongqing Scientific Committee (CSTC, 2008BA5040)</t>
  </si>
  <si>
    <t xml:space="preserve">JAN 5</t>
  </si>
  <si>
    <t xml:space="preserve">10.1016/j.vaccine.2011.11.008</t>
  </si>
  <si>
    <t xml:space="preserve">887YU</t>
  </si>
  <si>
    <t xml:space="preserve">WOS:000299971800020</t>
  </si>
  <si>
    <t xml:space="preserve">Bell, C; He, C; Norton, D; Goss, M; Chen, GH; Temte, J</t>
  </si>
  <si>
    <t xml:space="preserve">Bell, Cristalyne; He, Cecilia; Norton, Derek; Goss, Maureen; Chen, Guanhua; Temte, Jonathan</t>
  </si>
  <si>
    <t xml:space="preserve">Household transmission of human metapneumovirus and seasonal coronavirus</t>
  </si>
  <si>
    <t xml:space="preserve">human metapneumovirus; seasonal coronavirus; acute respiratory infections; coronavirus OC43; coronavirus HKU1</t>
  </si>
  <si>
    <t xml:space="preserve">We analyzed data from a community-based acute respiratory illness study involving K-12 students and their families in southcentral Wisconsin and assessed household transmission of two common seasonal respiratory viruses - human metapneumovirus (HMPV) and human coronaviruses OC43 and HKU1 (HCOV). We found secondary infection rates of 12.2% (95% CI: 8.1%-17.4%) and 19.2% (95% CI: 13.8%-25.7%) for HMPV and HCOV, respectively. We performed individual- and family-level regression models and found that HMPV transmission was positively associated age of the index case (individual model: p = .016; family model: p = .004) and HCOV transmission was positively associated with household density (family model: p = .048). We also found that the age of the non-index case was negatively associated with transmission of both HMPV (individual model: p = .049) and HCOV (individual model: p = .041), but we attributed this to selection bias from the original study design. Understanding household transmission of common respiratory viruses like HMPV and HCOV may help to broaden our understanding of the overall disease burden and establish methods to prevent the spread of disease from low- to high-risk populations.</t>
  </si>
  <si>
    <t xml:space="preserve">[Bell, Cristalyne; He, Cecilia; Goss, Maureen; Temte, Jonathan] Univ Wisconsin, Sch Med &amp; Publ Hlth, Dept Family Med &amp; Community Hlth, Madison, WI 53706 USA; [Norton, Derek; Chen, Guanhua] Univ Wisconsin, Sch Med &amp; Publ Hlth, Dept Biostat &amp; Med Informat, Madison, WI USA</t>
  </si>
  <si>
    <t xml:space="preserve">University of Wisconsin System; University of Wisconsin Madison; University of Wisconsin System; University of Wisconsin Madison</t>
  </si>
  <si>
    <t xml:space="preserve">Bell, C (corresponding author), Univ Wisconsin, Sch Med &amp; Publ Hlth, Dept Family Med &amp; Community Hlth, Madison, WI 53706 USA.</t>
  </si>
  <si>
    <t xml:space="preserve">Cristalyne.Bell@fammed.wisc.edu</t>
  </si>
  <si>
    <t xml:space="preserve">Temte, Jonathan/0000-0001-7097-583X; Bell, Cristalyne/0000-0002-1525-4922</t>
  </si>
  <si>
    <t xml:space="preserve">UW Madison Department of Family Medicine and Community Health; Centers for Disease Control and Prevention [5U01CK000542-02-00]</t>
  </si>
  <si>
    <t xml:space="preserve">UW Madison Department of Family Medicine and Community Health; Centers for Disease Control and Prevention(United States Department of Health &amp; Human ServicesCenters for Disease Control &amp; Prevention - USA)</t>
  </si>
  <si>
    <t xml:space="preserve">This work was supported through an internal grants program from the UW Madison Department of Family Medicine and Community Health. Specimens were originally collected through ORCHARDS, which is supported by the Centers for Disease Control and Prevention (www.cdc.gov)through cooperative agreement # 5U01CK000542-02-00. The findings and conclusions in this study are those of the authors and do not necessarily represent the official position of the Centers for Disease Control and Prevention.</t>
  </si>
  <si>
    <t xml:space="preserve">MAY 21</t>
  </si>
  <si>
    <t xml:space="preserve">e90</t>
  </si>
  <si>
    <t xml:space="preserve">10.1017/S0950268824000517</t>
  </si>
  <si>
    <t xml:space="preserve">C6V8S</t>
  </si>
  <si>
    <t xml:space="preserve">WOS:001290739000001</t>
  </si>
  <si>
    <t xml:space="preserve">Yajima, T; Takahashi, H; Kimura, N; Sato, K; Jingu, D; Ubukata, S; Shoji, M; Watanabe, H; Kodama, EN; Nishimura, H</t>
  </si>
  <si>
    <t xml:space="preserve">Yajima, Takehiro; Takahashi, Hiroshi; Kimura, Nozomu; Sato, Kosuke; Jingu, Daisuke; Ubukata, Satoshi; Shoji, Makoto; Watanabe, Hiroshi; Kodama, Eiichi N.; Nishimura, Hidekazu</t>
  </si>
  <si>
    <t xml:space="preserve">Comparison of sputum specimens and nasopharyngeal swab specimens for diagnosis of acute human metapneumovirus-related lower respiratory tract infections in adults</t>
  </si>
  <si>
    <t xml:space="preserve">Human metapneumovirus; Rt-per; Immunochromatography assay; Nasopharyngeal swab; Sputum</t>
  </si>
  <si>
    <t xml:space="preserve">REVERSE TRANSCRIPTION-PCR; VIRAL DETECTION; IMMUNOCHROMATOGRAPHY; SEROLOGY</t>
  </si>
  <si>
    <t xml:space="preserve">Background: To detect human metapneumovirus, tests besides reverse transcription-polymerase chain reaction (RT-PCR) on nasopharyngeal swab specimens are less accessible. Immunochromatography assays are rapid and simple without the need of any special equipment but sometimes are insufficiently sensitive. This study describes the usefulness of immunochromatography assays to detect human metapneumovirus in adult patients with human metapneumovirus-related acute lower respiratory tract infection using sputum specimens. Methods: This prospective single-center study enrolled adults and adolescents aged &gt;= 16 years with signs and symptoms of an acute respiratory illness who were diagnosed with acute lower respiratory tract infection. The presence of human metapneumovirus infection was confirmed by semconversion. Immunochromatography assays and real-time RT-PCR were performed to compare the efficacy of nasopharyngeal swab specimens and sputum specimens. Comparative results were obtained via McNemar's test. Results: Overall, 337 patients were recruited in this study; 63 (18.7%) patients were seroconverted. Sputum specimens showed significantly higher positivity rates than nasopharyngeal swab specimens with both immunochromatography assays (p = 0.0008) and real-time RT-PCR = 0.014). Among 29 patients with pneumonia who had concordant positive real-time RT-PCR results for both nasopharyngeal swab specimens and sputum specimens, 21 (72.4%) had a higher viral load in the sputum specimens. Conclusions: Sputum specimens are more useful in detecting human metapneumovirus than nasopharyngeal swab specimens in adult patients with acute lower respiratory tract infection.</t>
  </si>
  <si>
    <t xml:space="preserve">[Yajima, Takehiro; Takahashi, Hiroshi; Kimura, Nozomu; Sato, Kosuke; Jingu, Daisuke; Ubukata, Satoshi; Shoji, Makoto; Watanabe, Hiroshi] Saka Gen Hosp, Dept Resp Med, Shiogama, Japan; [Kodama, Eiichi N.] Tohoku Univ, Int Res Inst Disaster Sci, Div Infect Dis, Tohoku Med Megabank Org,Grad Sch Med, Sendai, Japan; [Nishimura, Hidekazu] Natl Hosp Org, Sendai Med Ctr, Virus Res Ctr, Div Clin Res, Sendai, Japan; [Kimura, Nozomu] Tohoku Univ, Dept Resp Med, Grad Sch Med, Sendai, Japan</t>
  </si>
  <si>
    <t xml:space="preserve">Tohoku University; Tohoku University</t>
  </si>
  <si>
    <t xml:space="preserve">Takahashi, H (corresponding author), Saka Gen Hosp, Dept Resp Med, Shiogama, Japan.</t>
  </si>
  <si>
    <t xml:space="preserve">hirotaka-hp@hkg.odn.ne.jp</t>
  </si>
  <si>
    <t xml:space="preserve">Kodama, Eiichi/C-4032-2009</t>
  </si>
  <si>
    <t xml:space="preserve">Grants-in-Aid for Scientific Research [21K19366] Funding Source: KAKEN</t>
  </si>
  <si>
    <t xml:space="preserve">10.1016/j.jcv.2022.105238</t>
  </si>
  <si>
    <t xml:space="preserve">JUL 2022</t>
  </si>
  <si>
    <t xml:space="preserve">6L5LQ</t>
  </si>
  <si>
    <t xml:space="preserve">WOS:000888226500002</t>
  </si>
  <si>
    <t xml:space="preserve">Wang, X; Zhang, Q; Zhang, F; Ma, FL; Zheng, WZ; Zhao, ZH; Bai, YL; Zheng, LS</t>
  </si>
  <si>
    <t xml:space="preserve">Wang, Xiang; Zhang, Qian; Zhang, Fang; Ma, Fenlian; Zheng, Wenzhi; Zhao, Zhihui; Bai, Yinglong; Zheng, Lishu</t>
  </si>
  <si>
    <t xml:space="preserve">Visual detection of the human metapneumovirus using reverse transcription loop-mediated isothermal amplification with hydroxynaphthol blue dye</t>
  </si>
  <si>
    <t xml:space="preserve">Human metapneumovirus; RT-LAMP; RT-PCR</t>
  </si>
  <si>
    <t xml:space="preserve">RAPID DETECTION; VIRUS; LAMP; INFECTION; CHILDREN</t>
  </si>
  <si>
    <t xml:space="preserve">Background: Human metapneumovirus (hMPV) is a major cause of acute respiratory infections ranging from wheezing to bronchiolitis and pneumonia in children worldwide. The objective of this study is to develop a visual reverse transcription loop-mediated isothermal amplification (RT-LAMP) assay for the detection of hMPV and applied to the clinical samples. Results: In this study, visual RT-LAMP assay for hMPV was performed in one step with the addition of hydroxynaphthol blue (HNB), and were used to detect respiratory samples. Six primers, including two outer primers (F3 and B3), two inner primers (FIP, BIP) and two loop primers (LF and LB), were designed for hMPV N gene by the online software. Moreover, the RT-LAMP assay showed good specificity and no cross-reactivity was observed with human rhinovirus (HRV), human respiratory syncytial Virus (RSV), or influenza virus A/PR/8/34 (H1N1). The detection limit of the RT-LAMP assay was approximately ten viral RNA copies, lower than that of traditional reverse transcriptase polymerase chain reaction (RT-PCR) 100 RNA copies. In the 176 nasopharyngeal samples, 23 (13.1%) were conformed as hMPV positive by RT-LAMP, but 18 (10.2%) positive by RT-PCR. Conclusion: Compared with conventional RT-PCR, the visual hMPV RT-LAMP assay performed well in the aspect of detect time, sensitivity, specificity and visibility. It is anticipated that the RT-LAMP will be used for clinical tests in hospital or field testing during outbreaks and in emergency.</t>
  </si>
  <si>
    <t xml:space="preserve">[Bai, Yinglong] China Med Univ, Dept Children &amp; Adolescent Hlth, Shenyang 110001, Peoples R China; [Wang, Xiang; Zhang, Qian; Zhang, Fang; Ma, Fenlian; Zheng, Wenzhi; Zhao, Zhihui; Zheng, Lishu] Chinese Ctr Dis Control &amp; Prevent, State Key Lab Mol Virol &amp; Genet Engn, Natl Inst Viral Dis Control &amp; Prevent, Beijing 100052, Peoples R China</t>
  </si>
  <si>
    <t xml:space="preserve">China Medical University; Chinese Center for Disease Control &amp; Prevention; National Institute for Viral Disease Control &amp; Prevention, Chinese Center for Disease Control &amp; Prevention</t>
  </si>
  <si>
    <t xml:space="preserve">Bai, YL (corresponding author), China Med Univ, Dept Children &amp; Adolescent Hlth, N 2nd Rd 92, Shenyang 110001, Peoples R China.</t>
  </si>
  <si>
    <t xml:space="preserve">baiyinglong@yahoo.com; zhenglishu2000@sina.com</t>
  </si>
  <si>
    <r>
      <rPr>
        <sz val="10"/>
        <rFont val="Noto Sans CJK SC"/>
        <family val="2"/>
        <charset val="1"/>
      </rPr>
      <t xml:space="preserve">白</t>
    </r>
    <r>
      <rPr>
        <sz val="10"/>
        <rFont val="Arial"/>
        <family val="0"/>
        <charset val="1"/>
      </rPr>
      <t xml:space="preserve">, </t>
    </r>
    <r>
      <rPr>
        <sz val="10"/>
        <rFont val="Noto Sans CJK SC"/>
        <family val="2"/>
        <charset val="1"/>
      </rPr>
      <t xml:space="preserve">英龙</t>
    </r>
    <r>
      <rPr>
        <sz val="10"/>
        <rFont val="Arial"/>
        <family val="0"/>
        <charset val="1"/>
      </rPr>
      <t xml:space="preserve">/AAF-6124-2020</t>
    </r>
  </si>
  <si>
    <t xml:space="preserve">Wang, Xiang/0000-0003-2603-1895</t>
  </si>
  <si>
    <t xml:space="preserve">China Mega-Project for Infectious Disease [2009ZX10004-101, 2011ZX10004-001]</t>
  </si>
  <si>
    <t xml:space="preserve">China Mega-Project for Infectious Disease</t>
  </si>
  <si>
    <t xml:space="preserve">This study was supported by the China Mega-Project for Infectious Disease (2009ZX10004-101,2011ZX10004-001).</t>
  </si>
  <si>
    <t xml:space="preserve">JUL 27</t>
  </si>
  <si>
    <t xml:space="preserve">10.1186/1743-422X-9-138</t>
  </si>
  <si>
    <t xml:space="preserve">032QJ</t>
  </si>
  <si>
    <t xml:space="preserve">WOS:000310733700001</t>
  </si>
  <si>
    <t xml:space="preserve">Kuypers, J; Wright, N; Corey, L; Morrow, R</t>
  </si>
  <si>
    <t xml:space="preserve">Detection and quantification of human metapneumovirus in pediatric specimens by real-time RT-PCR</t>
  </si>
  <si>
    <t xml:space="preserve">human metapneumovirus; reverse transcription-polymerase chain reaction; quantitative</t>
  </si>
  <si>
    <t xml:space="preserve">RESPIRATORY-TRACT INFECTIONS; SYNCYTIAL VIRUS; YOUNG-CHILDREN; DISEASE; ASSAYS; PREVALENCE; INFANTS</t>
  </si>
  <si>
    <t xml:space="preserve">Background: Human metapneumovirus (hMPV), a recently identified virus, causes respiratory illness in children. Objectives: A real-time reverse transcription-polymerase chain reaction (RT-PCR) assay was developed and used to detect and quantify hMPV in respiratory specimens. Study design: The quantitative RT-PCR assay amplified an approximately 70 base pair fragment from the hMPV fusion protein gene. The assay was validated and used to test respiratory specimens obtained from children seen at a hospital in Seattle, Washington, from December 2002 through May 2003. Results: The assay detected 1000hMPV copies/mL of specimen, did not detect 19 other respiratory viruses, and was able to detect and accurately quantify isolates from the four known hMPV genetic lineages in a proficiency panel of 20 previously tested samples. hMPV was detected in 52 (7.2%) of 719 pediatric respiratory specimens. The mean log 10 copies/mL of hMPV in the 52 positive specimens was 7.67 (range = 4.59-10.60). Children aged 7-12 months had a significantly higher hMPV prevalence (12.4%) than did children younger than 7 months (4.7%) (P &lt; 0.005). Children in this age group also had significantly higher levels of hMPV in their respiratory specimens (mean log 8.43 copies/mL) than did the younger children (mean log 6.93 copies/mL) (P = 0.0025). Conclusions: The rapid real-time RT-PCR assay described here is a sensitive test for clarifying the epidemiology of and diseases associated with hMPV. (C) 2005 Elsevier B.V. All rights reserved.</t>
  </si>
  <si>
    <t xml:space="preserve">Univ Washington, Dept Lab Med, CHRMC, Virol Off, Seattle, WA 98105 USA</t>
  </si>
  <si>
    <t xml:space="preserve">University of Washington; University of Washington Seattle</t>
  </si>
  <si>
    <t xml:space="preserve">Univ Washington, Dept Lab Med, CHRMC, Virol Off, 4800 Sand Point Way NE,G-815,8G-3, Seattle, WA 98105 USA.</t>
  </si>
  <si>
    <t xml:space="preserve">jane.kuypers@seattlechildrens.org</t>
  </si>
  <si>
    <t xml:space="preserve">Corey, Lawrence/AAE-1796-2020</t>
  </si>
  <si>
    <t xml:space="preserve">10.1016/j.jcv.2004.11.023</t>
  </si>
  <si>
    <t xml:space="preserve">WOS:000231136100007</t>
  </si>
  <si>
    <t xml:space="preserve">Song, QW; Zhu, RA; Sun, Y; Zhao, LQ; Wang, F; Deng, J; Qian, Y</t>
  </si>
  <si>
    <t xml:space="preserve">Song, Qinwei; Zhu, Runan; Sun, Yu; Zhao, Linqing; Wang, Fang; Deng, Jie; Qian, Yuan</t>
  </si>
  <si>
    <t xml:space="preserve">Identification of human metapneumovirus genotypes A and B from clinical specimens by reverse transcription loop-mediated isothermal amplification</t>
  </si>
  <si>
    <t xml:space="preserve">Human metapneumovirus; Reverse transcription loop-mediated; isothermal amplification; Clinical specimen</t>
  </si>
  <si>
    <t xml:space="preserve">HYDROXYNAPHTHOL BLUE-DYE; HUMAN CORONAVIRUS; VISUAL DETECTION; YOUNG-CHILDREN; ASSAY; INFECTIONS; DISEASE; VIRUS; LAMP; DNA</t>
  </si>
  <si>
    <t xml:space="preserve">Human metapneumovirus (hMPV) has been recognized as an important pathogen for acute respiratory infections in children worldwide and classified into genotypes A and B. Reverse transcription loop-mediated isothermal amplification (RI-LAMP) assay is a rapid diagnostic method for detecting nucleic acids with a single step under isothermal conditions in less than 1 h. RI-LAMP targeting the M gene of hMPV was developed for detecting and identifying hMPV genotypes A and B. The detection limit of the genotype-specific hMPV RI-LAMP assay was 10 times greater than that of conventional reverse transcription polymerase chain reaction (RT-PCR). No cross-reactivity was found with respiratory syncytial virus, parainfluenza virus 1-3, adenovirus, human bocavirus, human rhinovirus, influenza virus A and B, human coronaviruses and enteroviruses. One hundred and fifteen clinical specimens were detected for hMPV genotypes A and B with RI-LAMP, RT-PCR and real-time SYBR PCR. Kappa coefficients showed that there was a good agreement among these three methods. Compared with RI-PCR and real-time SYBR PCR, the genotype-specific RI-LAMP showed better specificity, sensitivity and is more convenient to perform with reduced turn-around time. (C) 2013 Elsevier B.V. All rights reserved.</t>
  </si>
  <si>
    <t xml:space="preserve">[Song, Qinwei; Zhu, Runan; Sun, Yu; Zhao, Linqing; Wang, Fang; Deng, Jie; Qian, Yuan] Capital Inst Pediat, Virol Lab, Beijing 100020, Peoples R China</t>
  </si>
  <si>
    <t xml:space="preserve">Zhu, RN (corresponding author), Capital Inst Pediat, 2 Yabao Rd, Beijing 100020, Peoples R China.</t>
  </si>
  <si>
    <t xml:space="preserve">songtsinwei@163.com; runanzhu@163.com; sunyu780312@163.com; linqingzhao@gmail.com; fangwang1128@sina.com; jie_deng@sina.com; yqianbjc@263.net</t>
  </si>
  <si>
    <t xml:space="preserve">Beijing Municipal Science 87 Technology Commission [Z111107056811041]; Natural Science Foundation of China [30872153]</t>
  </si>
  <si>
    <t xml:space="preserve">Beijing Municipal Science 87 Technology Commission; Natural Science Foundation of China(National Natural Science Foundation of China (NSFC))</t>
  </si>
  <si>
    <t xml:space="preserve">The authors of this paper would like to thank all doctors and nurses in the Affiliated Children's Hospital to Capital Institute of Pediatrics for collecting samples from patients and information from their parents. This work was supported by the grant No. Z111107056811041 from the Beijing Municipal Science &amp; Technology Commission and the grant No. 30872153 from the Natural Science Foundation of China.</t>
  </si>
  <si>
    <t xml:space="preserve">10.1016/j.jviromet.2013.10.037</t>
  </si>
  <si>
    <t xml:space="preserve">AH7UH</t>
  </si>
  <si>
    <t xml:space="preserve">WOS:000336340300022</t>
  </si>
  <si>
    <t xml:space="preserve">Jun, KR; Woo, YD; Sung, H; Kim, MN</t>
  </si>
  <si>
    <t xml:space="preserve">Jun, Kyung Ran; Woo, Young Dae; Sung, Heungsup; Kim, Mi-Na</t>
  </si>
  <si>
    <t xml:space="preserve">Detection of human metapneumovirus by direct antigen test and shell vial cultures using immunofluorescent antibody staining</t>
  </si>
  <si>
    <t xml:space="preserve">human metapneumovirus; reverse transcriptase polymerase chain reaction; antigen; shell vial culture</t>
  </si>
  <si>
    <t xml:space="preserve">RESPIRATORY-TRACT DISEASE; MONOCLONAL-ANTIBODIES; INFECTION; CHILDREN; CORONAVIRUS; STRAINS; INFANTS; YOUNG</t>
  </si>
  <si>
    <t xml:space="preserve">Human metapneumovirus (hMPV) has emerged as an important etiologic agent of upper and lower respiratory tract infections, especially in young children. Although rapid and simple diagnostic methods for hMPV are needed in clinical laboratories, routine diagnostic tests are not readily available. The purpose of this study was to evaluate a commercial anti-hMPV monoclonal antibody for a direct antigen test and a shell vial culture of hMPV. In the pilot study, 15 nasopharyngeal aspirates from 15 children with acute respiratory tract infections positive for hMPV by reverse transcriptase polymerase chain reaction (RT-PCR) were tested. Both direct antigen test and shell vial culture detected hMPV in 14 of 15 (93.3%) nasopharyngeal aspirates at initial diagnosis. In the larger group prospective study, nasopharyngeal aspirates from 92 children with acute respiratory tract infections were tested for hMPV with RT-PCR, direct antigen test, and shell vial culture. Both direct antigen test and shell vial culture showed positivity for 4 out of 5 specimens positive by RT-PCP. These findings indicate that direct antigen test and shell vial culture would be reliable and timely methods for the diagnosis of hMPV infection in clinical laboratories. (C) 2008 Elsevier B.V. All rights reserved.</t>
  </si>
  <si>
    <t xml:space="preserve">[Sung, Heungsup] Asan Med Ctr, Dept Lab Med, Seoul 138736, South Korea; Univ Ulsan, Coll Med, Seoul 138736, South Korea</t>
  </si>
  <si>
    <t xml:space="preserve">University of Ulsan; Asan Medical Center; University of Ulsan</t>
  </si>
  <si>
    <t xml:space="preserve">Sung, H (corresponding author), Asan Med Ctr, Dept Lab Med, 388-1 Pungnap Dong, Seoul 138736, South Korea.</t>
  </si>
  <si>
    <t xml:space="preserve">sung@amc.seoul.kr</t>
  </si>
  <si>
    <t xml:space="preserve">Jun, Kyung Ran/0000-0001-8904-2327</t>
  </si>
  <si>
    <t xml:space="preserve">Asan Institute for Life Sciences, Seoul, Korea [08-443]</t>
  </si>
  <si>
    <t xml:space="preserve">Asan Institute for Life Sciences, Seoul, Korea</t>
  </si>
  <si>
    <t xml:space="preserve">The authors would like to thank Seegene Inc. for their kind support for this study. This study was supported by a grant (08-443) from the Asan Institute for Life Sciences, Seoul, Korea.</t>
  </si>
  <si>
    <t xml:space="preserve">10.1016/j.jviromet.2008.06.008</t>
  </si>
  <si>
    <t xml:space="preserve">344BR</t>
  </si>
  <si>
    <t xml:space="preserve">WOS:000258900800019</t>
  </si>
  <si>
    <t xml:space="preserve">Komaravelli, N; Kelley, JP; Garofalo, MP; Wu, HT; Casola, A; Kolli, D</t>
  </si>
  <si>
    <t xml:space="preserve">Komaravelli, Narayana; Kelley, John P.; Garofalo, Matteo P.; Wu, Haotian; Casola, Antonella; Kolli, Deepthi</t>
  </si>
  <si>
    <t xml:space="preserve">Role of dietary antioxidants in human metapneumovirus infection</t>
  </si>
  <si>
    <t xml:space="preserve">Human metapneumovirus; Resveratrol; Quercetin</t>
  </si>
  <si>
    <t xml:space="preserve">RESPIRATORY SYNCYTIAL VIRUS; NF-KAPPA-B; AIRWAY EPITHELIAL-CELLS; RESVERATROL INHIBITION; REPLICATION; QUERCETIN; SIRT1; INTERFERON; PROTEIN; TRANSCRIPTION</t>
  </si>
  <si>
    <t xml:space="preserve">Human metapneumovirus (hMPV) is a major cause of respiratory tract infections in children, elderly and immunocompromised hosts, for which no vaccine or treatment are currently available. Oxidative stress and inflammatory responses represent important pathogenic mechanism(s) of hMPV infection. Here, we explored the potential protective role of dietary antioxidants in hMPV infection. Treatment of airway epithelial cells with resveratrol and quercetin during hMPV infection significantly reduced cellular oxidative damage, inflammatory mediator secretion and viral replication, without affecting viral gene transcription and protein synthesis, indicating that inhibition of viral replication occurred at the level of viral assembly and/or release. Modulation of proinflammatory mediator expression occurred through the inhibition of transcription factor nuclear factor (NF)-kappa B and interferon regulatory factor (IRF)-3 binding to their cognate site of endogenous gene promoters. Our results indicate the use of dietary antioxidants as an effective treatment approach for modulating hMPV induced lung oxidative damage and inflammation. (C) 2015 Elsevier B.V. All rights reserved.</t>
  </si>
  <si>
    <t xml:space="preserve">[Komaravelli, Narayana; Kelley, John P.; Garofalo, Matteo P.; Wu, Haotian; Casola, Antonella; Kolli, Deepthi] Univ Texas Med Branch, Dept Pediat, Galveston, TX 77555 USA; [Casola, Antonella] Univ Texas Med Branch, Sealy Ctr Mol Med, Galveston, TX 77555 USA</t>
  </si>
  <si>
    <t xml:space="preserve">University of Texas System; University of Texas Medical Branch Galveston; University of Texas System; University of Texas Medical Branch Galveston</t>
  </si>
  <si>
    <t xml:space="preserve">Komaravelli, N (corresponding author), Univ Texas Med Branch, Dept Pediat, 301 Univ Blvd, Galveston, TX 77555 USA.</t>
  </si>
  <si>
    <t xml:space="preserve">nakomara@utmb.edu</t>
  </si>
  <si>
    <t xml:space="preserve">Komaravelli, Narayana/0000-0002-2679-2558</t>
  </si>
  <si>
    <t xml:space="preserve">[R01 AI062885]; [P01 AI07924602]; [P30 ES006676]</t>
  </si>
  <si>
    <t xml:space="preserve">; ;</t>
  </si>
  <si>
    <t xml:space="preserve">This project was supported by R01 AI062885, P01 AI07924602 and P30 ES006676. The authors would like to thank Tianshuang Liu for technical assistance and Cynthia Tribble for manuscript submission.</t>
  </si>
  <si>
    <t xml:space="preserve">10.1016/j.virusres.2015.01.018</t>
  </si>
  <si>
    <t xml:space="preserve">CE4KF</t>
  </si>
  <si>
    <t xml:space="preserve">WOS:000351798800003</t>
  </si>
  <si>
    <t xml:space="preserve">Gray, GC; Capuano, AW; Setterquist, SF; Erdman, DD; Nobbs, ND; Abed, Y; Doern, GV; Starks, SE; Boivin, G</t>
  </si>
  <si>
    <t xml:space="preserve">Gray, Gregory C.; Capuano, Ana W.; Setterquist, Sharon F.; Erdman, Dean D.; Nobbs, Newell D.; Abed, Yacine; Doern, Gary V.; Starks, Sarah E.; Boivin, Guy</t>
  </si>
  <si>
    <t xml:space="preserve">Multi-year study of human metapneumovirus infection at a large US Midwestern medical referral center</t>
  </si>
  <si>
    <t xml:space="preserve">human metapneumovirus; respiratory viruses; epidemiology; genotyping</t>
  </si>
  <si>
    <t xml:space="preserve">LINKED-IMMUNOSORBENT-ASSAY; SEROPREVALENCE; YOUNG</t>
  </si>
  <si>
    <t xml:space="preserve">Background: Because of its recent identification, few multi-year epidemiologic studies of hMPV infection have been reported. Objective: We sought to retrospectively describe hMPV infections among patients evaluated by a large US Midwestern referral laboratory. Study design: Clinical specimens were submitted to a large US Midwest referral hospital from 1 October 2001 to 18 May 2004. RT-PCR was used to retrospectively screen the clinical specimens for human metapneumovirus. Demographic and clinical data were retrieved. Results: 34 (2.6%) of 1294 specimens were hMPV positive. Among these, 21 (62%) were culture positive and available for genetic typing. A previously considered rare genotype of hMPV, B1, was the most common single genotype identified, comprising 9 (43%) of the 21 isolates. Multivariate logistic regression modeling identified patients aged 0.4-9 years (OR = 8.9; 95% CI = 2.0-38.5) and those under intensive care (OR = 3.2; 95% CI = 1.1-8.7) as more likely to have hMPV infection than their peers. Conclusion: In this large referral hospital viral assays more often had evidence of hMPV when they were collected from children receiving intensive care. (c) 2006 Elsevier B.V. All rights reserved.</t>
  </si>
  <si>
    <t xml:space="preserve">Univ Iowa, Coll Publ Hlth, Ctr Emerging Infect Dis, Dept Epidemiol, Iowa City, IA 52242 USA; Ctr Dis Control &amp; Prevent, Resp &amp; Enter Viruses Branch, Atlanta, GA 30333 USA; Univ Iowa, Coll Publ Hlth, Hosp Informat Syst, Iowa City, IA 52242 USA; CHU Laval, Chuq, Lab Infectiol, Quebec City, PQ G1V 4G2, Canada; Univ Iowa, Hosp &amp; Clin, Iowa City, IA 52242 USA</t>
  </si>
  <si>
    <t xml:space="preserve">University of Iowa; Centers for Disease Control &amp; Prevention - USA; University of Iowa; Laval University; University of Iowa</t>
  </si>
  <si>
    <t xml:space="preserve">Gray, GC (corresponding author), Univ Iowa, Coll Publ Hlth, Ctr Emerging Infect Dis, Dept Epidemiol, 200 Hawkins Dr,C21-K GH, Iowa City, IA 52242 USA.</t>
  </si>
  <si>
    <t xml:space="preserve">gregory-gray@uiowa.edu</t>
  </si>
  <si>
    <t xml:space="preserve">Kleinschmidt, Sarah/0000-0002-1715-9427; Gray, Gregory/0000-0002-4628-5908</t>
  </si>
  <si>
    <t xml:space="preserve">NIAID NIH HHS [R03 AI054570-01A1, R03 AI054570] Funding Source: Medline</t>
  </si>
  <si>
    <t xml:space="preserve">10.1016/j.jcv.2006.08.016</t>
  </si>
  <si>
    <t xml:space="preserve">114VW</t>
  </si>
  <si>
    <t xml:space="preserve">WOS:000242694700008</t>
  </si>
  <si>
    <t xml:space="preserve">Sivaprakasam, V; Collins, TC; Aitken, C; Carman, WF</t>
  </si>
  <si>
    <t xml:space="preserve">Sivaprakasam, V.; Collins, T. C.; Aitken, C.; Carman, W. F.</t>
  </si>
  <si>
    <t xml:space="preserve">Life-threatening human metapneumovirus infections in West of Scotland</t>
  </si>
  <si>
    <t xml:space="preserve">human metapneumovirus; respiratory virus; pneumonitis; ITU; immunocopromised patients</t>
  </si>
  <si>
    <t xml:space="preserve">RESPIRATORY-TRACT INFECTIONS; HEMATOLOGIC MALIGNANCIES; YOUNG-CHILDREN; DISEASE; SEROPREVALENCE; RECIPIENTS; VIRUSES; ADULTS</t>
  </si>
  <si>
    <t xml:space="preserve">Gartnavel Royal Hosp, W Scotland Specialist Virol Ctr, Glasgow G12 0ZA, Lanark, Scotland</t>
  </si>
  <si>
    <t xml:space="preserve">Gartnavel Royal Hospital</t>
  </si>
  <si>
    <t xml:space="preserve">Sivaprakasam, V (corresponding author), Gartnavel Royal Hosp, W Scotland Specialist Virol Ctr, Glasgow G12 0ZA, Lanark, Scotland.</t>
  </si>
  <si>
    <t xml:space="preserve">ventakra@yahoo.com</t>
  </si>
  <si>
    <t xml:space="preserve">10.1016/j.jcv.2007.03.011</t>
  </si>
  <si>
    <t xml:space="preserve">191CS</t>
  </si>
  <si>
    <t xml:space="preserve">WOS:000248108100015</t>
  </si>
  <si>
    <t xml:space="preserve">Souverbielle, CT; Sánchez, PJ; Erdem, G</t>
  </si>
  <si>
    <t xml:space="preserve">Souverbielle, Cristina Tomatis; Sanchez, Pablo J.; Erdem, Guliz</t>
  </si>
  <si>
    <t xml:space="preserve">Metapneumovirus Infections are Uncommon in Infants Younger than 60 Days of Age Admitted for Sepsis Evaluation</t>
  </si>
  <si>
    <t xml:space="preserve">human metapneumovirus; respiratory viral infection; young infants; polymerase chain reaction</t>
  </si>
  <si>
    <t xml:space="preserve">EPIDEMIOLOGY; BURDEN</t>
  </si>
  <si>
    <t xml:space="preserve">The epidemiology and clinical manifestations of human metapneumovirus are not well studied in infants younger than 60 days of age. In this retrospective review of infants admitted for sepsis evaluation, we identified HMPV less frequently than other viral etiologies via nasopharyngeal multiplex polymerase chain reaction testing; in only 16 (1.9%) infants. Two infants had apneic episodes, but none had wheezing.</t>
  </si>
  <si>
    <t xml:space="preserve">[Souverbielle, Cristina Tomatis; Sanchez, Pablo J.; Erdem, Guliz] Ohio State Univ, Nationwide Childrens Hosp, Coll Med, Dept Pediat,Div Infect Dis, Columbus, OH USA; [Sanchez, Pablo J.] Ohio State Univ, Nationwide Childrens Hosp, Abigail Wexner Res Inst,Coll Med, Ctr Perinatal Res,Dept Pediat,Div Neonatol, Columbus, OH USA</t>
  </si>
  <si>
    <t xml:space="preserve">University System of Ohio; Ohio State University; Nationwide Childrens Hospital; University System of Ohio; Ohio State University; Nationwide Childrens Hospital; Research Institute at Nationwide Children's Hospital</t>
  </si>
  <si>
    <t xml:space="preserve">Erdem, G (corresponding author), Sect Infect Dis, 700 Childrens Dr, Columbus, OH 43205 USA.</t>
  </si>
  <si>
    <t xml:space="preserve">Guliz.erdem@nation-widechildrens.org</t>
  </si>
  <si>
    <t xml:space="preserve">E53</t>
  </si>
  <si>
    <t xml:space="preserve">10.1097/INF.0000000000003769</t>
  </si>
  <si>
    <t xml:space="preserve">8A5KH</t>
  </si>
  <si>
    <t xml:space="preserve">WOS:000916277100005</t>
  </si>
  <si>
    <t xml:space="preserve">Wolf, DG; Greenberg, D; Kalkstein, D; Shemer-Avni, Y; Givon-Lavi, N; Saleh, N; Goldberg, MD; Dagan, R</t>
  </si>
  <si>
    <t xml:space="preserve">Comparison of human metapneumovirus, respiratory syncytial virus and influenza A virus lower respiratory tract infections in hospitalized young children</t>
  </si>
  <si>
    <t xml:space="preserve">human metapneumovirus; respiratory tract infection; respiratory syncytial virus; influenza; coinfection</t>
  </si>
  <si>
    <t xml:space="preserve">DISEASE; BRONCHIOLITIS; ILLNESS; INFANTS; SEROPREVALENCE; AGE</t>
  </si>
  <si>
    <t xml:space="preserve">Background: We compared the clinical and demographic features of children with lower respiratory tract infection (LRI) caused by human metapneumovirus (HMPV), respiratory syncytial virus (RSV) and influenza A virus and sought to determine whether coinfection by HMPV and other respiratory viruses leads to increased disease severity. Methods: Nasal wash specimens were prospectively obtained from 516 children hospitalized for LRI during a 1-year period and tested for the presence of HMPV by reverse transcription-polymerase chain reaction and for RSV and influenza A by direct immunofluorescence. Results: HMPV was detected in 68 (13%) patients and was the third most common viral pathogen; 16 of 68 HMPV-positive children (24%) had coinfection with other respiratory viruses (HMPVco). HMPV patients were older than RSV patients (17.6 +/- 16.8 months versus 10.5 +/- 11.8 months, P = 0.02). HMPV was associated with wheezing and hypoxemia at a rate similar to that of RSV and higher than that of influenza A. Atelectasis was more common among HMPV (40%) than among RSV and influenza patients (13%, P &lt; 0.05 for each). HMPV infection was more often associated with a diagnosis of pneumonia than RSV and influenza A and was more often associated with a diagnosis of asthma and less often associated with a diagnosis of bronchiolitis than RSV infection (P &lt; 0.05 for each), even when corrected for age. Children with HMPVco had a higher rate of gastrointestinal symptoms but did not show a more severe respiratory picture. Conclusions: The clinical pattern of HMPV more closely resembles that of RSV than that of influenza A LRI, yet the differences in age, radiographic findings and clinical diagnosis suggest that HMPV pathogenesis may differ from that of RSV.</t>
  </si>
  <si>
    <t xml:space="preserve">Hadassah Univ Hosp, Dept Clin Microbiol &amp; Infect Dis, IL-91120 Jerusalem, Israel; Soroka Univ, Ctr Med, Pediat Infect Dis Unit, Beer Sheva, Israel; Soroka Univ, Ctr Med, Clin Virol Lab, Beer Sheva, Israel; Ben Gurion Univ Negev, Fac Hlth Sci, IL-84105 Beer Sheva, Israel</t>
  </si>
  <si>
    <t xml:space="preserve">Hebrew University of Jerusalem; Ben Gurion University; Soroka Medical Center; Ben Gurion University; Soroka Medical Center; Ben Gurion University</t>
  </si>
  <si>
    <t xml:space="preserve">Wolf, DG (corresponding author), Hadassah Univ Hosp, Dept Clin Microbiol &amp; Infect Dis, IL-91120 Jerusalem, Israel.</t>
  </si>
  <si>
    <t xml:space="preserve">wolfd@md.huji.ac.il</t>
  </si>
  <si>
    <t xml:space="preserve">Givon-Lavi, Noga/AHD-9772-2022; AVNI, YONAT/F-1772-2012</t>
  </si>
  <si>
    <t xml:space="preserve">Givon-Lavi, Noga/0000-0002-5219-9256</t>
  </si>
  <si>
    <t xml:space="preserve">10.1097/01.inf.0000207395.80657.cf</t>
  </si>
  <si>
    <t xml:space="preserve">034HR</t>
  </si>
  <si>
    <t xml:space="preserve">WOS:000236920400007</t>
  </si>
  <si>
    <t xml:space="preserve">Veronese, A; Ursic, T; Vojinovic, SB; Berlot, JR</t>
  </si>
  <si>
    <t xml:space="preserve">Veronese, Airin; Ursic, Tina; Vojinovic, Simona Bizjak; Berlot, Jasna Rodman</t>
  </si>
  <si>
    <t xml:space="preserve">Exploring Clinical Predictors of Severe Human Metapneumovirus Respiratory Tract Infections in Children: Insights from a Recent Outbreak</t>
  </si>
  <si>
    <t xml:space="preserve">human metapneumovirus; respiratory tract infection; oxygen therapy; wheezing; atopy; asthma; children</t>
  </si>
  <si>
    <t xml:space="preserve">ASTHMA; RISK; PATHOGENESIS; PREVALENCE; VIRUS; MODEL</t>
  </si>
  <si>
    <t xml:space="preserve">Human metapneumovirus (hMPV) is an important pathogen that causes both upper (URTIs) and lower respiratory tract infections (LRTIs) in children. The virus can be implicated in severe bronchiolitis and pneumonia, necessitating hospitalization, with certain cases requiring intensive care unit intervention. As part of a retrospective observational study, we aimed to identify indicators of severe hMPV respiratory tract infections in children referred to the University Children's Hospital Ljubljana and the Department of Infectious Diseases Ljubljana, Slovenia, during a recent outbreak. We analyzed clinical data from November 2022 to January 2023 and compared the characteristics of children presenting with URTIs and LRTIs. We also examined the characteristics of children with hMPV LRTIs, distinguishing between children with and without LRTI-associated hypoxemia. Of 78 hMPV-PCR-positive pediatric patients (mean age 3.1 years; 60.3% boys), 36% had a URTI, and 64% had an LRTI. Hospitalization was required in 64% (50/78), with 42% (21/50) requiring oxygen therapy. LRTI-associated hypoxemia was more common in patients with atopy who showed dyspnea, tachypnea, crackles, and wheezing on lung auscultation. In a multivariable logistic regression analysis, wheezing detected on lung auscultation was a significant predictive factor for hypoxemic hMPV-LRTI. Specifically, children presenting with wheezing were found to be ten times more likely to experience hypoxemia. Prematurity and chronic conditions did not influence the presentation or severity of hMPV infection. This study highlights wheezing and atopy as crucial indicators of severe hMPV LRTI in children, emphasizing the importance of early recognition and intervention.</t>
  </si>
  <si>
    <t xml:space="preserve">[Veronese, Airin; Berlot, Jasna Rodman] Univ Childrens Hosp, Univ Med Ctr Ljubljana, Dept Paediat Pulmonol, Ljubljana 1000, Slovenia; [Ursic, Tina] Univ Ljubljana, Inst Microbiol &amp; Immunol, Fac Med, Ljubljana 1000, Slovenia; [Vojinovic, Simona Bizjak] Univ Med Ctr Ljubljana, Dept Infect Dis, Ljubljana 1000, Slovenia; [Berlot, Jasna Rodman] Univ Ljubljana, Fac Med, Ljubljana 1000, Slovenia</t>
  </si>
  <si>
    <t xml:space="preserve">Berlot, JR (corresponding author), Univ Childrens Hosp, Univ Med Ctr Ljubljana, Dept Paediat Pulmonol, Ljubljana 1000, Slovenia.;Ursic, T (corresponding author), Univ Ljubljana, Inst Microbiol &amp; Immunol, Fac Med, Ljubljana 1000, Slovenia.;Berlot, JR (corresponding author), Univ Ljubljana, Fac Med, Ljubljana 1000, Slovenia.</t>
  </si>
  <si>
    <t xml:space="preserve">tina.ursic@mf.uni-lj.si; simona.bizjakvojinovic@kclj.si; jasna.rodman@kclj.si</t>
  </si>
  <si>
    <t xml:space="preserve">Rodman Berlot, Jasna/0000-0003-3903-5596; ursic, tina/0000-0002-5621-7167</t>
  </si>
  <si>
    <t xml:space="preserve">10.3390/microorganisms12040641</t>
  </si>
  <si>
    <t xml:space="preserve">OX5N3</t>
  </si>
  <si>
    <t xml:space="preserve">WOS:001210590500001</t>
  </si>
  <si>
    <t xml:space="preserve">Ji, L; Chen, LP; Xu, DS; Wu, XF</t>
  </si>
  <si>
    <t xml:space="preserve">Ji, Lei; Chen, Liping; Xu, Deshun; Wu, Xiaofang</t>
  </si>
  <si>
    <t xml:space="preserve">Molecular typing and epidemiologic profiles of human metapneumovirus infection among children with severe acute respiratory infection in Huzhou, China</t>
  </si>
  <si>
    <t xml:space="preserve">MOLECULAR BIOLOGY REPORTS</t>
  </si>
  <si>
    <t xml:space="preserve">Human metapneumovirus; Respiratory tract infection; Epidemiology</t>
  </si>
  <si>
    <t xml:space="preserve">GENETIC DIVERSITY; HOSPITALIZED CHILDREN; YOUNG-CHILDREN; GENOTYPES; DISEASE</t>
  </si>
  <si>
    <t xml:space="preserve">Background Human metapneumovirus (hMPV) is one of the important pathogens in infant respiratory tract infection. However, the molecular epidemiology of hMPV among children &lt; 14 years of age hospitalized with severe acute respiratory infection (SARI) is unclear. We investigated the hMPV infection status and genotypes of children hospitalized with SARI from January 2016 to December 2020 in Huzhou, China. Methods A nasopharyngeal flocked swab, nasal wash, or nasopharyngeal swab/or opharyngeal swab combination sample was collected from children with SARI in Huzhou from January 2016 to December 2020. Quantitative reverse transcription-polymerase chain reaction was performed to detect hMPV RNA. The hMPV F gene was amplified and sequenced, followed by analysis using MEGA software (ver. 7.0). Epidemiological data were analyzed using Microsoft Excel 2010 and SPSS (ver. 22.0) software. Results A total of 1133 children with SARI were recruited from 2016 to 2020. Among them, 56 (4.94%) were positive for hMPV-RNA. Children &lt; 5 years of age accounted for 85.71% of the positive cases. The hMPV incidence was high in spring and winter, especially in December and January to March. Phylogenetic analysis of the F-gene sequences of 28 hMPV strains showed that the A1, B1, and B2 genotypes were prevalent in Huzhou, and the dominant hMPV genotype varied according to surveillance year. Conclusions HMPV is an important respiratory pathogen in children in Huzhou, with a high incidence in winter and spring in children &lt; 5 years of age. In this study, genotypes A1, B1, and B2 were the most prevalent.</t>
  </si>
  <si>
    <t xml:space="preserve">[Ji, Lei; Chen, Liping; Xu, Deshun; Wu, Xiaofang] Huzhou Ctr Dis Control &amp; Prevent, Huzhou, Zhejiang, Peoples R China</t>
  </si>
  <si>
    <t xml:space="preserve">Xu, DS (corresponding author), Huzhou Ctr Dis Control &amp; Prevent, Huzhou, Zhejiang, Peoples R China.</t>
  </si>
  <si>
    <t xml:space="preserve">jileichn@163.com; lipingchen1106@hotmail.com; xds666092@126.com; xf980718@126.com</t>
  </si>
  <si>
    <t xml:space="preserve">Ji, Lei/K-1665-2015; chen, liping/AIC-2499-2022</t>
  </si>
  <si>
    <t xml:space="preserve">xu, deshun/0000-0001-5580-1997</t>
  </si>
  <si>
    <t xml:space="preserve">0301-4851</t>
  </si>
  <si>
    <t xml:space="preserve">1573-4978</t>
  </si>
  <si>
    <t xml:space="preserve">MOL BIOL REP</t>
  </si>
  <si>
    <t xml:space="preserve">Mol. Biol. Rep.</t>
  </si>
  <si>
    <t xml:space="preserve">10.1007/s11033-021-06776-1</t>
  </si>
  <si>
    <t xml:space="preserve">XA5BF</t>
  </si>
  <si>
    <t xml:space="preserve">WOS:000708832300003</t>
  </si>
  <si>
    <t xml:space="preserve">Foulongne, V; Guyon, G; Rodière, M; Segondy, M</t>
  </si>
  <si>
    <t xml:space="preserve">Human metapneumovirus infection in young children hospitalized with respiratory tract disease</t>
  </si>
  <si>
    <t xml:space="preserve">human metapneumovirus; respiratory tract disease; children</t>
  </si>
  <si>
    <t xml:space="preserve">REVERSE-TRANSCRIPTASE PCR; SYNCYTIAL VIRUS; ACUTE BRONCHIOLITIS; FRENCH CHILDREN; INFANTS; PREVALENCE; SEVERITY; FEATURES</t>
  </si>
  <si>
    <t xml:space="preserve">Background: Human metapneumovirus (hMPV) is a newly recognized pathogen associated with respiratory tract disease (RTD). Objectives: To evaluate the incidence of hMPV infection in children hospitalized with RTD and to analyze the virologic and clinical features of hMPV infection. Study Design: All children younger than 5 years of age hospitalized for RTD were included in this 1-year prospective study. hMPV was detected in nasopharyngeal secretions by reverse transcription polymerase chain reaction. The hMPV F gene amplification products were sequenced, and a phylogenetic tree was constructed. Samples were also tested for other respiratory viruses by both direct immunofluorescence assay and virus culture. Results: hMPV, detected in 50 of 589 (8.5%) children, represented the second leading cause of RTD after respiratory syncytial virus (RSV). Infections with hMPV occurred mainly between December and April. hMPV isolates clustered into the 4 subgroups (A1, A2, B1 and B2) currently recognized; the majority (72%) of hMPV isolates belonged to subgroup A1. Among the 35 children infected with hMPV alone, 23 (65.7%) had bronchiolitis, 5 (14.3%) had pneumonia, 2 (5.7%) had asthma exacerbation and 5 (14.3%) had a limited upper RTD. Fifteen (30%) of the hMPV-infected children were coinfected with RSV. As compared with children infected with hMPV or RSV alone, duration of hospitalization and requirement for supplemental oxygen were increased in the hMPV/RSV-coinfected children. Conclusions: hMPV is a frequent cause of RTD in young children. hMPV/RSV coinfection is frequent and could be more severe than a single hMPV or RSV infection.</t>
  </si>
  <si>
    <t xml:space="preserve">Montpellier Univ Hosp, Dept Virol, Montpellier, France; Montpellier Univ Hosp, Dept Pediat, Montpellier, France</t>
  </si>
  <si>
    <t xml:space="preserve">Universite de Montpellier; CHU de Montpellier; Universite de Montpellier; CHU de Montpellier</t>
  </si>
  <si>
    <t xml:space="preserve">Montpellier Univ Hosp, Dept Virol, Montpellier, France.</t>
  </si>
  <si>
    <t xml:space="preserve">m-segondy@chu-montpellier.fr</t>
  </si>
  <si>
    <t xml:space="preserve">Foulongne, Vincent/K-6309-2013</t>
  </si>
  <si>
    <t xml:space="preserve">10.1097/01.inf.0000207480.55201.f6</t>
  </si>
  <si>
    <t xml:space="preserve">WOS:000236920400013</t>
  </si>
  <si>
    <t xml:space="preserve">Wilkesmann, A; Schildgen, O; Eis-Hübinger, AM; Geikowski, T; Glatzel, T; Lentze, MJ; Bode, U; Simon, A</t>
  </si>
  <si>
    <t xml:space="preserve">Wilkesmann, Anja; Schildgen, Oliver; Eis-Huebinger, Anna Maria; Geikowski, Tilman; Glatzel, Thomas; Lentze, Michael J.; Bode, Udo; Simon, Arne</t>
  </si>
  <si>
    <t xml:space="preserve">Human metapneumovirus infections cause similar symptoms and clinical severity as respiratory syncytial virus infections</t>
  </si>
  <si>
    <t xml:space="preserve">human metapneumovirus; respiratory syncytial virus; viral respiratory tract infection</t>
  </si>
  <si>
    <t xml:space="preserve">TRACT INFECTIONS; YOUNG-CHILDREN; PNEUMONIA; INFANTS; BACTERIAL; DISEASE; PROTEIN; IMPACT; HMPV</t>
  </si>
  <si>
    <t xml:space="preserve">Human metapneumovirus (hMPV) is a recently discovered pathogen in respiratory tract infection. The published literature suggests milder illness severity in hMPV compared with respiratory syncytial virus (RSV) infection. In two consecutive seasons, 637 nasopharyngeal aspirates from pediatric patients were tested by hMPV polymerase chain reaction, and risk factors and clinical and laboratory items were analyzed. The hMPV patients were compared with hMPV-negative but RSV-positive patients by matched pair analysis. HMPV was detected in 17.9% of all samples. In total, 88 hMPV-infected patients with complete datasets were considered. More than half of all hMPV patients were older than 12 months, 45.5% had at least one risk factor for a severe course of viral respiratory tract infection, and 27.3% were born prematurely, 15.9% with a birth weight &lt; 1,500 g. At least one other virus was also detected in 39 patients (44.3%; RSV in 29.5%). Coinfection did not result in greater severity of illness. On matched pair analysis (hMPV-positive/RSV-negative vs. hMPV-negative/RSV-positive), the epidemiological and clinical features of hMPV infection were similar to those of RSV infection, as in the hMPV group higher proportions of patients with hypoxemia on admission (33% vs. 21%) and of intensive care treatment (20.8% vs. 10.4%) were observed. More hMPV patients showed lobar infiltrates in radiological chest examination. In 60% of all hMPV infections, the attending physicians prescribed antimicrobial chemotherapy. We conclude that in hospitalized children, hMPV infection is as serious as RSV infection and therefore deserves the same attention. Virologic diagnosis from respiratory secretions is mandatory because clinical, laboratory, and radiological signs cannot sufficiently discriminate between viral and bacterial respiratory tract infection in infants and children.</t>
  </si>
  <si>
    <t xml:space="preserve">Univ Bonn, Childrens Hosp, Med Ctr, Dept Pediat Hematol &amp; Oncol, D-53113 Bonn, Germany; Univ Bonn, Inst Med Microbiol &amp; Immunol, Bonn, Germany</t>
  </si>
  <si>
    <t xml:space="preserve">University of Bonn; University of Bonn</t>
  </si>
  <si>
    <t xml:space="preserve">Simon, A (corresponding author), Univ Bonn, Childrens Hosp, Med Ctr, Dept Pediat Hematol &amp; Oncol, Adenauerallee 119, D-53113 Bonn, Germany.</t>
  </si>
  <si>
    <t xml:space="preserve">asimon@ukb.uni-bonn.de</t>
  </si>
  <si>
    <t xml:space="preserve">10.1007/s00431-006-0105-4</t>
  </si>
  <si>
    <t xml:space="preserve">046EG</t>
  </si>
  <si>
    <t xml:space="preserve">WOS:000237793600009</t>
  </si>
  <si>
    <t xml:space="preserve">Kolli, D; Gupta, MR; Sbrana, E; Velayutham, TS; Chao, H; Casola, A; Garofalo, RP</t>
  </si>
  <si>
    <t xml:space="preserve">Kolli, Deepthi; Gupta, Meera R.; Sbrana, Elena; Velayutham, Thangam S.; Chao, Hong; Casola, Antonella; Garofalo, Roberto P.</t>
  </si>
  <si>
    <t xml:space="preserve">Alveolar Macrophages Contribute to the Pathogenesis of Human Metapneumovirus Infection while Protecting against Respiratory Syncytial Virus Infection</t>
  </si>
  <si>
    <t xml:space="preserve">human metapneumovirus; respiratory syncytial virus; viral infection; pathogenesis; alveolar macrophages</t>
  </si>
  <si>
    <t xml:space="preserve">GROWTH-FACTOR-BETA; T-CELL RESPONSES; DENDRITIC CELLS; PULMONARY TUBERCULOSIS; HOSPITALIZED CHILDREN; AIRWAY INFLAMMATION; IMMUNE-RESPONSES; EPITHELIAL-CELLS; VIRAL-INFECTION; YOUNG-CHILDREN</t>
  </si>
  <si>
    <t xml:space="preserve">Human metapneumovirus (hMPV) and respiratory syncytial virus (RSV) are leading causes of upper and lower respiratory tract infections in young children and among elderly and immunocompromised patients. The pathogenesis of hMPV-induced lung disease is poorly understood. The lung macrophage population consists of alveolar macrophages (AMs) residing at the luminal surface of alveoli and interstitial macrophages present within the parenchymal lung interstitium. The involvement of AMs in innate immune responses to virus infections remains elusive. In this study, BALB/c mice depleted of AMs by intranasal instillation of dichloromethylene bisphosphonate (L-CL2MBP) liposomes were examined for disease, lung inflammation, and viral replication after infection with hMPV or RSV. hMPV-infected mice lacking AMs exhibited improved disease in terms of body weight loss, lung inflammation, airway obstruction, and hyperresponsiveness compared with AM-competent mice. AM depletion was associated with significantly reduced hMPV titers in the lungs, suggesting that hMPV required AMs for early entry and replication in the lung. In contrast, AM depletion in the context of RSV infection was characterized by an increase in viral replication, worsened disease, and inflammation, with increased airway neutrophils and inflammatory dendritic cells. Overall, lack of AMs resulted in a broad-spectrum disruption in type I IFN and certain inflammatory cytokine production, including TNF and IL-6, while causing a virus-specific alteration in the profile of several immunomodulatory cytokines, chemokines, and growth factors. Our study demonstrates that AMs have distinct roles in the context of human infections caused by members of the Paramyxoviridae family.</t>
  </si>
  <si>
    <t xml:space="preserve">[Kolli, Deepthi; Velayutham, Thangam S.; Chao, Hong; Casola, Antonella; Garofalo, Roberto P.] Univ Texas Med Branch, Dept Pediat, Galveston, TX 77555 USA; [Gupta, Meera R.] Univ Texas Med Branch, Dept Internal Med, Galveston, TX 77555 USA; [Sbrana, Elena; Casola, Antonella; Garofalo, Roberto P.] Univ Texas Med Branch, Dept Microbiol &amp; Immunol, Galveston, TX 77555 USA; [Casola, Antonella; Garofalo, Roberto P.] Univ Texas Med Branch, Sealy Ctr Vaccine Dev, Galveston, TX 77555 USA</t>
  </si>
  <si>
    <t xml:space="preserve">Kolli, D (corresponding author), Univ Texas Med Branch, Dept Pediat, 301 Univ Blvd, Galveston, TX 77555 USA.</t>
  </si>
  <si>
    <t xml:space="preserve">dekolli@utmb.edu; rpgarofa@utmb.edu</t>
  </si>
  <si>
    <t xml:space="preserve">John Sealy Memorial Endowment fund; Department of Defense [W81XWH-10-1-0146]; National Institute of Allergy and Infectious Diseases [P01 062, 885]; National Institutes of Health [R01 AI079246]</t>
  </si>
  <si>
    <t xml:space="preserve">John Sealy Memorial Endowment fund; Department of Defense(United States Department of Defense); National Institute of Allergy and Infectious Diseases(United States Department of Health &amp; Human ServicesNational Institutes of Health (NIH) - USANIH National Institute of Allergy &amp; Infectious Diseases (NIAID)); National Institutes of Health(United States Department of Health &amp; Human ServicesNational Institutes of Health (NIH) - USA)</t>
  </si>
  <si>
    <t xml:space="preserve">This work was supported by the John Sealy Memorial Endowment fund (D.K.), by Department of Defense grant W81XWH-10-1-0146 (R.P.G.), by National Institute of Allergy and Infectious Diseases grant P01 062,885 (R.P.G., A.C.), and by National Institutes of Health grant R01 AI079246 (A.C.).</t>
  </si>
  <si>
    <t xml:space="preserve">1535-4989</t>
  </si>
  <si>
    <t xml:space="preserve">10.1165/rcmb.2013-0414OC</t>
  </si>
  <si>
    <t xml:space="preserve">AY2KK</t>
  </si>
  <si>
    <t xml:space="preserve">WOS:000347418700005</t>
  </si>
  <si>
    <t xml:space="preserve">von Linstow, ML; Eugen-Olsen, J; Koch, A; Winther, TN; Westh, H; Hogh, B</t>
  </si>
  <si>
    <t xml:space="preserve">von Linstow, M. -L.; Eugen-Olsen, J.; Koch, A.; Winther, T. N.; Westh, H.; Hogh, B.</t>
  </si>
  <si>
    <t xml:space="preserve">Excretion patterns of human metapneumovirus and respiratory syncytial virus among young children</t>
  </si>
  <si>
    <t xml:space="preserve">EUROPEAN JOURNAL OF MEDICAL RESEARCH</t>
  </si>
  <si>
    <t xml:space="preserve">human metapneumovirus; respiratory syncytial virus; shedding; excretion; children</t>
  </si>
  <si>
    <t xml:space="preserve">REVERSE-TRANSCRIPTASE PCR; PERIPHERAL-BLOOD; TRANSMISSION; PATHOGENESIS; INFECTIONS; TRACT; CELLS; CORONAVIRUS; INFANTS; RNA</t>
  </si>
  <si>
    <t xml:space="preserve">Background: As respiratory syncytial virus (RSV) and human metapneumovirus (hMPV) cause serious respiratory tract infections, the routes of transmission of these viruses are important to elucidate. We examined the modes of virus shedding and shedding duration of RSV and hMPV in young children. Methods: From each child in a group of 44 children (37 RSV-positive, 6 hMPV-positive, and 1 co-infected child), aged between 0.5-38 months, hospitalised at Hvidovre Hospital, Copenhagen, Denmark, one nasopharyngeal aspirate (NPA), saliva, urine, and faeces sample were collected at inclusion and weekly in a three-week period. Sweat and blood samples were obtained at inclusion. The presence of RSV and hMPV RNA was detected using real-time RT-PCR. Results: We detected RSV RNA in 28 saliva specimens, 5 stool samples, and 3 sweat samples. hMPV RNA was detected in one saliva specimen and two sweat samples. Four of the five children shedding RNA in faeces had diarrhoea and children shedding RNA in sweat were either less than five weeks of age or had a chronic lung disease. RSV and hMPV RNA was shed in nasal secretions for a median of 11.5 and 5.0 days respectively (p=0.001). More than 75% of the family members of the infected children showed to have an upper respiratory tract infection when following up. Conclusion: Viral RNA was present in nasal secretions, saliva, sweat, and faeces, but whether or not the virions were infectious and constitute a potential mode of transmission remains to be shown in future studies.</t>
  </si>
  <si>
    <t xml:space="preserve">Univ Copenhagen, Hvidovre Hosp, Dept Paediat, DK-2650 Hvidovre, Denmark; Univ Copenhagen, Hvidovre Hosp, Clin Res Unit, DK-2650 Hvidovre, Denmark; Univ Copenhagen, Hvidovre Hosp, Dept Microbiol, DK-2650 Hvidovre, Denmark; Statens Serum Inst, Dept Epidemiol Res, DK-2300 Copenhagen, Denmark</t>
  </si>
  <si>
    <t xml:space="preserve">University of Copenhagen; University of Copenhagen; University of Copenhagen; Statens Serum Institut</t>
  </si>
  <si>
    <t xml:space="preserve">von Linstow, ML (corresponding author), Univ Copenhagen, Hvidovre Hosp, Dept Paediat 531, Kettegard Alle 30, DK-2650 Hvidovre, Denmark.</t>
  </si>
  <si>
    <t xml:space="preserve">Koch, Anders/0000-0001-9205-1048; von Linstow, Marie-Louise/0000-0002-9956-7941; Eugen-Olsen, Jesper/0000-0002-4630-4275; Westh, Henrik/0000-0001-5681-647X</t>
  </si>
  <si>
    <t xml:space="preserve">0949-2321</t>
  </si>
  <si>
    <t xml:space="preserve">2047-783X</t>
  </si>
  <si>
    <t xml:space="preserve">EUR J MED RES</t>
  </si>
  <si>
    <t xml:space="preserve">Eur. J. Med. Res.</t>
  </si>
  <si>
    <t xml:space="preserve">087FR</t>
  </si>
  <si>
    <t xml:space="preserve">WOS:000240728800003</t>
  </si>
  <si>
    <t xml:space="preserve">Akhras, N; Weinberg, JB; Newton, D</t>
  </si>
  <si>
    <t xml:space="preserve">Akhras, Nour; Weinberg, Jason B.; Newton, Duane</t>
  </si>
  <si>
    <t xml:space="preserve">Human metapneumovirus and respiratory syncytial virus: subtle differences but comparable severity</t>
  </si>
  <si>
    <t xml:space="preserve">INFECTIOUS DISEASE REPORTS</t>
  </si>
  <si>
    <t xml:space="preserve">human metapneumovirus; respiratory syncytial virus; severity</t>
  </si>
  <si>
    <t xml:space="preserve">Human metapneumovirus (hMPV) is a recently discovered virus that causes respiratory illness in children that can lead to hospitalization. Our study was undertaken to further understand hMPV-associated illness, compare clinical characteristics of hMPV and respiratory syncytial virus (RSV), and establish the utility of routine screening for hMPV. We retrospectively identified hMPV-associated illnesses described among children with respiratory symptoms admitted to a tertiary care center in southeast Michigan during the 2006-2007 respiratory viral season. A convenience sample of 256 nasopharyngeal specimens was subjected to nucleic acid extraction and amplification to identify those specimens positive for hMPV. A medical record review was undertaken to retrieve demographic and clinical data of patients with hMPV, comparing them to RSV-positive patients and patients evaluated for respiratory symptoms who were negative for hMPV and RSV. We found that hMPV was the second most commonly identified virus after RSV. hMPV-positive patients were older than RSV-positive patients. Among hMPV-positive patients, pneumonia was diagnosed in 37.5% and bronchiolitis in 31.2%, peribronchial cuffing was present on chest radiographs of 37.5%, antibiotic treatment was used in 81.2%, and admission to the ICU was seen in 37.5%. Finally, hMPV-positive patients were more likely to have fever than RSV-positive patients or patients negative for hMPV and RSV. We concluded that hMPV is a major pathogen associated with hospitalization of children and with the same severity of illness as RSV but in a slightly older population. Because of the apparent prevalence and severity of illness, routine screening should be implemented.</t>
  </si>
  <si>
    <t xml:space="preserve">[Akhras, Nour; Weinberg, Jason B.] Univ Michigan, Dept Pediat &amp; Communicable Dis, Ann Arbor, MI 48109 USA; [Weinberg, Jason B.] Univ Michigan, Dept Microbiol &amp; Immunol, Ann Arbor, MI 48109 USA; [Newton, Duane] Univ Michigan, Dept Pathol, Ann Arbor, MI 48109 USA</t>
  </si>
  <si>
    <t xml:space="preserve">Newton, D (corresponding author), Univ Michigan Hosp &amp; Hlth Ctr, Dept Pathol, UH2G332, 1500 East Med Ctr Dr, Ann Arbor, MI 48109 USA.</t>
  </si>
  <si>
    <t xml:space="preserve">dnewton@med.umich.edu</t>
  </si>
  <si>
    <t xml:space="preserve">Weinberg, Jason/KLZ-3436-2024</t>
  </si>
  <si>
    <t xml:space="preserve">Weinberg, Jason/0000-0002-4768-4361</t>
  </si>
  <si>
    <t xml:space="preserve">PAGEPRESS PUBL</t>
  </si>
  <si>
    <t xml:space="preserve">MEDITGROUP, VIA G BELLI, 4, PAVIA, 27100, ITALY</t>
  </si>
  <si>
    <t xml:space="preserve">2036-7430</t>
  </si>
  <si>
    <t xml:space="preserve">2036-7449</t>
  </si>
  <si>
    <t xml:space="preserve">INFECT DIS REP</t>
  </si>
  <si>
    <t xml:space="preserve">Infect. Dis. Rep.</t>
  </si>
  <si>
    <t xml:space="preserve">e12</t>
  </si>
  <si>
    <t xml:space="preserve">10.4081/idr.2010.e12</t>
  </si>
  <si>
    <t xml:space="preserve">V15PZ</t>
  </si>
  <si>
    <t xml:space="preserve">WOS:000214561800003</t>
  </si>
  <si>
    <t xml:space="preserve">Darniot, M; Pitoiset, C; Millière, L; Aho-Glèlè, LS; Florentin, E; Bour, JB; Manoha, C</t>
  </si>
  <si>
    <t xml:space="preserve">Darniot, Magali; Pitoiset, Cecile; Milliere, Laurine; Aho-Glele, Ludwig Serge; Florentin, Emmanuel; Bour, Jean-Baptiste; Manoha, Catherine</t>
  </si>
  <si>
    <t xml:space="preserve">Different meteorological parameters influence metapneumovirus and respiratory syncytial virus activity</t>
  </si>
  <si>
    <t xml:space="preserve">Human metapneumovirus; Respiratory syncytial virus; Seasons; Meteorological factors; Epidemiology; Temperature; Relative humidity</t>
  </si>
  <si>
    <t xml:space="preserve">TRACT INFECTIONS; EPIDEMIC ACTIVITY; TRANSMISSION; SEASONALITY; CHILDREN; CLIMATE; ENVIRONMENT; COUNTRIES; EXPOSURE; BURDEN</t>
  </si>
  <si>
    <t xml:space="preserve">Background: Both human metapneumovirus (hMPV) and respiratory syncytial virus (RSV) cause epidemics during the cold season in temperate climates. Objectives: The purpose of this study was to find out whether climatic factors are associated with RSV and hMPV epidemics. Study design: Our study was based on data from 4300 patients admitted to the Dijon University Hospital for acute respiratory infection (ARI) over three winter seasons chosen for their dissimilar meteorological and virological patterns. Cases of hMPV and RSV were correlated with meteorological parameters recorded in the Dijon area. The relationship between virus data and local meteorological conditions was analyzed by univariate and multivariate negative binomial regression analysis. Results: RSV detection was inversely associated with temperature and positively with relative humidity and air pressure, whereas hMPV was inversely associated with temperature and positively with wind speed. Conclusions: The association among meteorological variables and weekly ARIs cases due to RSV and hMPV demonstrated the relevance of climate factors as contributors to both hMPV and RSV activities. Meteorological drivers of RSV and hMPV epidemics are different. Low temperatures influence both hMPV and RSV activity. Relative humidity is an important predictor of RSV activity, but it does not influence hMPV activity.</t>
  </si>
  <si>
    <t xml:space="preserve">[Darniot, Magali; Pitoiset, Cecile; Bour, Jean-Baptiste; Manoha, Catherine] CHU Dijon, Lab Virol, F-21079 Dijon, France; [Milliere, Laurine] CHU Amiens, Lab Bacteriol Virol, F-80080 Amiens, France; [Aho-Glele, Ludwig Serge] CHU Dijon, Serv Epidemiol &amp; Hyg Hosp, F-21079 Dijon, France; [Florentin, Emmanuel] CHU Dijon, Lab Biochim, F-21079 Dijon, France</t>
  </si>
  <si>
    <t xml:space="preserve">CHU Dijon Bourgogne; Universite de Picardie Jules Verne (UPJV); CHU Amiens; CHU Dijon Bourgogne; CHU Dijon Bourgogne</t>
  </si>
  <si>
    <t xml:space="preserve">Manoha, C (corresponding author), CHU Dijon, Lab Virol, F-21079 Dijon, France.</t>
  </si>
  <si>
    <t xml:space="preserve">Centre Hospitalier Universitaire of Dijon, France</t>
  </si>
  <si>
    <t xml:space="preserve">This work was supported by the Centre Hospitalier Universitaire of Dijon, France. We thank Mrs Vourc'h and Rastoix of Dijon Hospital for their help in extracting patient data and Suzanne Rankin for editorial assistance.</t>
  </si>
  <si>
    <t xml:space="preserve">10.1016/j.jcv.2018.05.002</t>
  </si>
  <si>
    <t xml:space="preserve">GI6GF</t>
  </si>
  <si>
    <t xml:space="preserve">WOS:000434466900014</t>
  </si>
  <si>
    <t xml:space="preserve">Jroundi, I; Mahraoui, C; Benmessaoud, R; Moraleda, C; Tligui, H; Seffar, M; El Kettani, SEC; Benjelloun, BS; Chaacho, S; Muñoz-Almagro, C; Ruiz, J; Alonso, PL; Bassat, Q</t>
  </si>
  <si>
    <t xml:space="preserve">Jroundi, I.; Mahraoui, C.; Benmessaoud, R.; Moraleda, C.; Tligui, H.; Seffar, M.; El Kettani, S. E. C.; Benjelloun, B. S.; Chaacho, S.; Munoz-Almagro, C.; Ruiz, J.; Alonso, P. L.; Bassat, Q.</t>
  </si>
  <si>
    <t xml:space="preserve">A comparison of human metapneumovirus and respiratory syncytial virus WHO-defined severe pneumonia in Moroccan children</t>
  </si>
  <si>
    <t xml:space="preserve">Human metapneumovirus; respiratory syncytial virus; pneumonia; Morocco; children</t>
  </si>
  <si>
    <t xml:space="preserve">RISK-FACTORS; INFECTIONS; ETIOLOGY; EPIDEMIOLOGY; COINFECTION; PREVALENCE; DIAGNOSIS; SYMPTOMS; FEATURES; OUTCOMES</t>
  </si>
  <si>
    <t xml:space="preserve">Acute respiratory infections remain the principal cause of morbidity and mortality in Moroccan children. Besides bacterial infections, respiratory syncytial virus (RSV) and human metapneumovirus (hMPV) are prominent among other viruses due to their high prevalence and association with severe clinical episodes. We aimed to describe and compare RSV- and hMPV-associated cases of WHO-defined severe pneumonia in a paediatric population admitted to Morocco's reference hospital. Children aged 2-59 months admitted to the Hopital d'Enfants de Rabat, Morocco meeting WHO-defined severe pneumonia criteria were recruited during 14 months and thoroughly investigated to ascertain a definitive diagnosis. Viral prevalence of RSV, hMPV and other viruses causing respiratory symptoms was investigated in nasopharyngeal aspirate samples through the use of molecular methods. Of the 683 children recruited and included in the final analysis, 61/683 (8.9%) and 124/683 (18.2%) were infected with hMPV and RSV, respectively. Besides a borderline significant tendency for higher age in hMPV cases, patients infected with either of the viruses behaved similarly in terms of demographics, patient history, past morbidity and comorbidity, vaccination history, socioeconomic background and family environment. Clinical presentation on arrival was also similar for both viruses, but hMPV cases were associated with more severity than RSV cases, had a higher risk of intensive care need, and received antibiotic treatment more frequently. RSV and hMPV are common and potentially life-threatening causes of WHO-defined pneumonia in Moroccan children. Both viruses show indistinctive clinical symptomatology, but in Moroccan children, hMPV was associated with a more severe evolution.</t>
  </si>
  <si>
    <t xml:space="preserve">[Jroundi, I.; Benmessaoud, R.; Moraleda, C.; Chaacho, S.; Ruiz, J.; Alonso, P. L.; Bassat, Q.] Univ Barcelona, Barcelona Ctr Int Hlth Res CRESIB, ISGlobal, Hosp Clin, Rossello 132, E-08036 Barcelona, Spain; [Jroundi, I.] Minist Sante, ENSP, Rabat, Morocco; [Mahraoui, C.; Tligui, H.; Seffar, M.; El Kettani, S. E. C.; Benjelloun, B. S.] Ctr Hosp Univ Ibn Sina, HER, Rabat, Morocco; [Mahraoui, C.; Tligui, H.; El Kettani, S. E. C.; Benjelloun, B. S.] Fac Med &amp; Pharm Rabat, Rabat, Morocco; [Chaacho, S.] Ctr Hop Univ CHU Ibn Sina, Rabat, Morocco; [Munoz-Almagro, C.] Univ Hosp St Joan de Deu, Barcelona, Spain</t>
  </si>
  <si>
    <t xml:space="preserve">University of Barcelona; Hospital Clinic de Barcelona; ISGlobal; CRESIB; Mohammed V University in Rabat; Ibn sina University Hospital Center of Rabat; Mohammed V University in Rabat; Ibn sina University Hospital Center of Rabat; Mohammed V University in Rabat; Ibn sina University Hospital Center of Rabat</t>
  </si>
  <si>
    <t xml:space="preserve">Bassat, Q (corresponding author), Univ Barcelona, Barcelona Ctr Int Hlth Res CRESIB, ISGlobal, Hosp Clin, Rossello 132, E-08036 Barcelona, Spain.</t>
  </si>
  <si>
    <t xml:space="preserve">quique.bassat@cresib.cat</t>
  </si>
  <si>
    <t xml:space="preserve">Ruiz, Joaquim/D-2704-2013; Munoz-Almagro, Carmen/N-7248-2015; Alonso, Pedro Luis/AAZ-3645-2020; Bassat, Quique/P-2341-2016</t>
  </si>
  <si>
    <t xml:space="preserve">Ruiz, Joaquim/0000-0002-4431-2036; Munoz-Almagro, Carmen/0000-0001-5586-404X; SEFFAR, MYRIAM/0000-0003-0383-4150; Alonso, Pedro Luis/0000-0003-3292-3443; Moraleda, Cinta/0000-0002-8335-903X; Bassat, Quique/0000-0003-0875-7596</t>
  </si>
  <si>
    <t xml:space="preserve">Spanish Agency of International Cooperation for Development (AECID) [07-CO1-021]; European Union [621216]; Program I3, of the ISCIII [CES11/012]; program Miguel Servet of the ISCIII (Plan Nacional de I + D + I) [CP11/00269]</t>
  </si>
  <si>
    <t xml:space="preserve">Spanish Agency of International Cooperation for Development (AECID); European Union(European Union (EU)); Program I3, of the ISCIII; program Miguel Servet of the ISCIII (Plan Nacional de I + D + I)</t>
  </si>
  <si>
    <t xml:space="preserve">This study received funding from the Spanish Agency of International Cooperation for Development (AECID) through grant 07-CO1-021 awarded to Fundacio Clinic per a la Recerca Biomedica (Convenio de Fortalecimiento del sistema nacional de salud, con especial atencion a la salud materno-infantil, Marruecos, 2008-2012). The research leading to these results also received funding from the People Programme (Marie Curie Actions) of the European Union's Seventh Framework Programme FP7/2007-2013 under REA grant agreement no. 621216. J.R. has a fellowship from Program I3, of the ISCIII (grant no.: CES11/012). Q.B. has a fellowship from the program Miguel Servet of the ISCIII (Plan Nacional de I + D + I 2008-2011, grant no.: CP11/00269).</t>
  </si>
  <si>
    <t xml:space="preserve">10.1017/S095026881500151X</t>
  </si>
  <si>
    <t xml:space="preserve">DB6PE</t>
  </si>
  <si>
    <t xml:space="preserve">WOS:000368636200007</t>
  </si>
  <si>
    <t xml:space="preserve">Oketch, JW; Kamau, E; Otieno, JR; Mwema, A; Lewa, C; Isoe, E; Nokes, DJ; Agoti, CN</t>
  </si>
  <si>
    <t xml:space="preserve">Oketch, John W.; Kamau, Everlyn; Otieno, James R.; Mwema, Anthony; Lewa, Clement; Isoe, Everlyne; Nokes, D. James; Agoti, Charles N.</t>
  </si>
  <si>
    <t xml:space="preserve">Comparative analysis of spatial-temporal patterns of human metapneumovirus and respiratory syncytial virus in Africa using genetic data, 2011-2014</t>
  </si>
  <si>
    <t xml:space="preserve">Human metapneumovirus; Respiratory syncytial virus; Phylogeographic analysis; Spatial-temporal</t>
  </si>
  <si>
    <t xml:space="preserve">PNEUMONIA ETIOLOGY RESEARCH; CHILDREN; REINFECTION; DUPLICATION; VARIABILITY; INFECTIONS; SELECTION</t>
  </si>
  <si>
    <t xml:space="preserve">Background Human metapneumovirus (HMPV) and respiratory syncytial virus (RSV) are leading causes of viral severe acute respiratory illnesses in childhood. Both the two viruses belong to the Pneumoviridae family and show overlapping clinical, epidemiological and transmission features. However, it is unknown whether these two viruses have similar geographic spread patterns which may inform designing and evaluating their epidemic control measures. Methods We conducted comparative phylogenetic and phylogeographic analyses to explore the spatial-temporal patterns of HMPV and RSV across Africa using 232 HMPV and 842 RSV attachment (G) glycoprotein gene sequences obtained from 5 countries (The Gambia, Zambia, Mali, South Africa, and Kenya) between August 2011 and January 2014. Results Phylogeographic analyses found frequently similar patterns of spread of RSV and HMPV. Viral sequences commonly clustered by region, i.e., West Africa (Mali, Gambia), East Africa (Kenya) and Southern Africa (Zambia, South Africa), and similar genotype dominance patterns were observed between neighbouring countries. Both HMPV and RSV country epidemics were characterized by co-circulation of multiple genotypes. Sequences from different African sub-regions (East, West and Southern Africa) fell into separate clusters interspersed with sequences from other countries globally. Conclusion The spatial clustering patterns of viral sequences and genotype dominance patterns observed in our analysis suggests strong regional links and predominant local transmission. The geographical clustering further suggests independent introduction of HMPV and RSV variants in Africa from the global pool, and local regional diversification.</t>
  </si>
  <si>
    <t xml:space="preserve">[Oketch, John W.; Kamau, Everlyn; Otieno, James R.; Mwema, Anthony; Lewa, Clement; Nokes, D. James; Agoti, Charles N.] Kenya Med Res Inst KEMRI, Wellcome Trust Res Programme, Kilifi, Kenya; [Isoe, Everlyne; Nokes, D. James; Agoti, Charles N.] Pwani Univ, Sch Pure &amp; Appl Sci, Kilifi, Kenya; [Nokes, D. James] Univ Warwick, Sch Life Sci, Coventry, W Midlands, England; [Nokes, D. James] Univ Warwick, Zeeman Inst Syst Biol &amp; Infect Dis Epidemiol Res, Coventry, W Midlands, England</t>
  </si>
  <si>
    <t xml:space="preserve">Kenya Medical Research Institute; Pwani University; University of Warwick; University of Warwick</t>
  </si>
  <si>
    <t xml:space="preserve">Oketch, JW (corresponding author), Kenya Med Res Inst KEMRI, Wellcome Trust Res Programme, Kilifi, Kenya.</t>
  </si>
  <si>
    <t xml:space="preserve">jwo5@leicester.ac.uk</t>
  </si>
  <si>
    <t xml:space="preserve">Nokes, James/0000-0001-5426-1984; Agoti, Charles Nyaigoti/0000-0002-2160-567X; Oketch, John/0000-0002-8020-0787; Otieno, James/0000-0001-9790-2307; ANTHONY WAITHAKA, MWEMA/0000-0001-5296-5232</t>
  </si>
  <si>
    <t xml:space="preserve">Wellcome Trust [102975]; Bill &amp; Melinda Gates Foundation [48968]</t>
  </si>
  <si>
    <t xml:space="preserve">Wellcome Trust(Wellcome Trust); Bill &amp; Melinda Gates Foundation(Bill &amp; Melinda Gates FoundationBill &amp; Melinda Gates Foundation Grand Challenges Explorations InitiativeCGIAR)</t>
  </si>
  <si>
    <t xml:space="preserve">The current study was supported by the Wellcome Trust [grant 102975]. PERCH study was supported by grant 48968 from The Bill &amp; Melinda Gates Foundation to the International Vaccine Access Center, Department of International Health, Johns Hopkins Bloomberg School of Public Health.</t>
  </si>
  <si>
    <t xml:space="preserve">MAY 29</t>
  </si>
  <si>
    <t xml:space="preserve">10.1186/s12985-021-01570-8</t>
  </si>
  <si>
    <t xml:space="preserve">SO7JD</t>
  </si>
  <si>
    <t xml:space="preserve">WOS:000659150000001</t>
  </si>
  <si>
    <t xml:space="preserve">Eggleston, HA; Gunville, CF; Miller, JI; Sontag, MK; Mourani, PM</t>
  </si>
  <si>
    <t xml:space="preserve">Eggleston, Heath A.; Gunville, Cameron F.; Miller, Joshua I.; Sontag, Marci K.; Mourani, Peter M.</t>
  </si>
  <si>
    <t xml:space="preserve">A Comparison of Characteristics and Outcomes in Severe Human Metapneumovirus and Respiratory Syncytial Virus Infections in Children Treated in an Intensive Care Unit</t>
  </si>
  <si>
    <t xml:space="preserve">human metapneumovirus; respiratory syncytial virus; pediatric intensive care; bronchiolitis</t>
  </si>
  <si>
    <t xml:space="preserve">SYMPTOMS; FEATURES; ASTHMA</t>
  </si>
  <si>
    <t xml:space="preserve">Background: Human metapneumovirus (HMPV) and respiratory syncytial virus (RSV) are among the leading causes of respiratory tract infections requiring admission to the pediatric intensive care unit (PICU). We evaluated the risk factors, clinical courses and outcomes of severe HMPV disease relative to severe RSV in children admitted to the PICU. Methods: Retrospective chart review of children 18 years old admitted to a tertiary PICU between October 2008 through July 2010 with acute respiratory tract infection and positive direct antigen stain or polymerase chain reaction for RSV or HMPV. Results: One hundred thirty-three patients met inclusion criteria: 107 (80.5%) with RSV and 26 (19.5%) with HMPV. HMPV-infected patients were older than RSV children (3.4 vs. 1.5 years, P = 0.002) and more likely to have congenital heart disease (34.6% vs. 10.3%, P = 0.002). Although HMPV children required longer duration of mechanical ventilation (11 vs. 7 days, P = 0.01), there were no other differences in hospital course. HMPV patients were more likely to be discharged receiving inhaled steroids (53.8% vs. 30.8%, P = 0.03), but there were no differences in other outcome assessments. Conclusions: Children admitted to the PICU with HMPV are significantly older and more likely to have congenital heart disease than those with RSV. The course of illness was similar between the 2 groups, but HMPV-infected children were more likely to be discharged with inhaled steroid therapy.</t>
  </si>
  <si>
    <t xml:space="preserve">[Eggleston, Heath A.] Univ Colorado, Sch Med, Denver, CO USA; [Gunville, Cameron F.; Mourani, Peter M.] Univ Colorado, Dept Pediat, Sect Crit Care, Denver, CO 80202 USA; [Miller, Joshua I.; Sontag, Marci K.] Univ Colorado Denver, Colorado Sch Publ Hlth, Dept Epidemiol, Aurora, CO 80045 USA</t>
  </si>
  <si>
    <t xml:space="preserve">University of Colorado System; University of Colorado Denver; University of Colorado Anschutz Medical Campus; University of Colorado System; University of Colorado Denver; Children's Hospital Colorado; University of Colorado System; University of Colorado Anschutz Medical Campus; Colorado School of Public Health</t>
  </si>
  <si>
    <t xml:space="preserve">Mourani, PM (corresponding author), Univ Colorado Denver, Mail Stop 8414,13121 East 17th Ave, Aurora, CO 80045 USA.</t>
  </si>
  <si>
    <t xml:space="preserve">Peter.Mourani@childrenscolorado.org</t>
  </si>
  <si>
    <t xml:space="preserve">Sontag, Marci/0000-0003-2501-652X</t>
  </si>
  <si>
    <t xml:space="preserve">10.1097/INF.0b013e3182a2261b</t>
  </si>
  <si>
    <t xml:space="preserve">254UH</t>
  </si>
  <si>
    <t xml:space="preserve">WOS:000327192800017</t>
  </si>
  <si>
    <t xml:space="preserve">Bosis, S; Esposito, S; Niesters, HGM; Crovari, P; Osterhaus, ADME; Principi, N</t>
  </si>
  <si>
    <t xml:space="preserve">Impact of human metapneumovirus in childhood: Comparison with respiratory syncytial virus and influenza viruses</t>
  </si>
  <si>
    <t xml:space="preserve">human metapneumovirus; respiratory syncytial virus; influenza viruses; acute respiratory infection; children</t>
  </si>
  <si>
    <t xml:space="preserve">TRACT DISEASE; CHILDREN; INFECTION; SEROPREVALENCE</t>
  </si>
  <si>
    <t xml:space="preserve">This study evaluated the overall impact of human metapneumovirus (hMPV) infection in 1,505 children and their households, and compared it with infections due to respiratory syncytial virus (RSV) and influenza viruses. Nasopharyngeal swabs were used at enrollment to collect specimens for the detection of hMPV, RSV, and influenza virus RNA by reverse-transcriptase polymerase chain reaction (RT-PCR). hMPV was detected in 42 children (2.8%), RSV in 143 (9.5%; P &lt; 0.0001 vs. hMPV), and influenza viruses in 230 (15.3%; P &lt; 0.0001 vs. hMPV). Of the 42 hMPVpositive samples, one was also positive for RSV and six for influenza viruses, for a co-infection rate of 16.7%. Clinically, hMPV was identified only in patients with acute respiratory infection, whereas RSV and influenza viruses were also detected in patients with different clinical manifestations. Symptoms with statistically significant different proportions at presentation were fever (more frequent in the hMPV- and influenza-positive children) and wheezing with bronchiolitis or asthma exacerbation (more frequent among hMPV- and RSV-positive cases). The households of the hMPV- and the influenza-positive children had significantly more illnesses, needed significantly more medical visits, received more antipyretics, and missed significantly more work or school days than those of the RSV-positive children. Results show that hMPV is an emerging cause of acute respiratory infection in childhood, and may have a significant clinical and socioeconomic impact on children and their families. (C) 2005 Wiley-Liss, Inc.</t>
  </si>
  <si>
    <t xml:space="preserve">Univ Milan, Inst Pediat, I-20122 Milan, Italy; Erasmus Med Ctr, Dept Virol, Rotterdam, Netherlands; Univ Genoa, Dept Hlth Sci, Genoa, Italy</t>
  </si>
  <si>
    <t xml:space="preserve">University of Milan; Erasmus University Rotterdam; Erasmus MC; University of Genoa</t>
  </si>
  <si>
    <t xml:space="preserve">Univ Milan, Inst Pediat, Via Commenda 9, I-20122 Milan, Italy.</t>
  </si>
  <si>
    <t xml:space="preserve">Bert, Niesters/AAH-6808-2019; Esposito, Susanna/AAA-8275-2022; Bosis, Samantha/K-2754-2016; Esposito, Susanna/K-3475-2016</t>
  </si>
  <si>
    <t xml:space="preserve">Osterhaus, Albert/0000-0002-6074-1172; Bosis, Samantha/0000-0003-2288-2633; Niesters, Hubert/0000-0002-1758-0430; Esposito, Susanna/0000-0003-4103-2837</t>
  </si>
  <si>
    <t xml:space="preserve">10.1002/jmv.20243</t>
  </si>
  <si>
    <t xml:space="preserve">WOS:000225408900015</t>
  </si>
  <si>
    <t xml:space="preserve">García-García, ML; Calvo, C; Casas, I; Bracamonte, T; Rellán, A; Gozalo, F; Tenorio, T; Perez-Brena, P</t>
  </si>
  <si>
    <t xml:space="preserve">Garcia-Garcia, M. L.; Calvo, C.; Casas, I.; Bracamonte, T.; Rellan, A.; Gozalo, F.; Tenorio, T.; Pérez-Breña, P.</t>
  </si>
  <si>
    <t xml:space="preserve">Human Metapneumovirus bronchiolitis in infancy is an important risk factor for asthma at age 5</t>
  </si>
  <si>
    <t xml:space="preserve">human metapneumovirus; respiratory syncytial virus; infants; children; asthma; wheezing</t>
  </si>
  <si>
    <t xml:space="preserve">RESPIRATORY-SYNCYTIAL-VIRUS; HOSPITALIZED INFANTS; TRACT INFECTIONS; YOUNG-CHILDREN; ALLERGY; PREVALENCE; RHINOVIRUS; DISEASE</t>
  </si>
  <si>
    <t xml:space="preserve">Background Human metapneumovirus (hMPV) infection plays an important role in the pediatric respiratory infections. However, little is known about the relationship between hMPV-bronchiolitis and the development of subsequent wheezing. The aim of this study was to evaluate the outcome at third to fifth year after admission for hMPV-bronchiolitis and to compare it with children admitted for respiratory syncytial virus (RSV)-bronchiolitis and with children without lower respiratory disease in the first 2 years of life. Methods We studied 55 children (23 hMPV and 32 RSV acute bronchiolitis) aged 3-5 years and hospitalized during the seasons 2000-2005. Thirty-eight children admitted due to acute rotavirus gastroenteritis in the same seasons, and without bronchiolitis during infancy, were also analyzed. Clinical data were collected through structured clinical interviews at the follow-up visit. Skin prick tests to food and inhaled allergens were performed. Results Asthma was significantly more frequent in children with hMPV-bronchiolitis (odds ratio (OR) = 5.21), RSV-bronchiolitis (OR = 4.68), allergic rhinitis (OR = 1.7), and siblings with atopy (OR = 1.75). In the multivariate analyses, hMPV was the most important risk factor for asthma in preschool years (OR = 15.9), followed by RSV-bronchiolitis (OR = 10. 1) and allergic rhinitis (OR = 4.9). No differences were found with respect to allergic rhinitis, atopic dermatitis, food allergy, proportion of positive prick tests, family history of atopy, and asthma. Conclusions hMPV-bronchiolitis in infancy was strongly associated with asthma as well as other forms of bronchial obstructive disease at third and fifth year of life. This association is, at least, as strong as the association observed with RSV infections. Pediatr Pulmonol. 2007; 42:458-464. (C) 2007 Wiley-Liss, Inc.</t>
  </si>
  <si>
    <t xml:space="preserve">Hosp Severo Ochoa, Serv Pediat, Madrid 28911, Spain; ISCIII, Natl Ctr Microbiol, Virol Serv, Influenza &amp; Resp Viruses Lab, Madrid, Spain</t>
  </si>
  <si>
    <t xml:space="preserve">Calvo, Cristina/0000-0002-6503-3423; GARCIA-GARCIA, MARIA LUZ/0000-0003-4906-4227; Casas, Inmaculada/0000-0003-1840-1198</t>
  </si>
  <si>
    <t xml:space="preserve">10.1002/ppul.20597</t>
  </si>
  <si>
    <t xml:space="preserve">165ED</t>
  </si>
  <si>
    <t xml:space="preserve">WOS:000246285800007</t>
  </si>
  <si>
    <t xml:space="preserve">Renaud, C; Xie, H; Seo, S; Kuypers, J; Cent, A; Corey, L; Leisenring, W; Boeckh, M; Englund, JA</t>
  </si>
  <si>
    <t xml:space="preserve">Renaud, Christian; Xie, Hu; Seo, Sachiko; Kuypers, Jane; Cent, Anne; Corey, Lawrence; Leisenring, Wendy; Boeckh, Michael; Englund, Janet A.</t>
  </si>
  <si>
    <t xml:space="preserve">Mortality Rates of Human Metapneumovirus and Respiratory Syncytial Virus Lower Respiratory Tract Infections in Hematopoietic Cell Transplantation Recipients</t>
  </si>
  <si>
    <t xml:space="preserve">Human metapneumovirus; Respiratory syncytial virus; Immunocompromised; Hematopoietic stem cell transplant; Pneumonia</t>
  </si>
  <si>
    <t xml:space="preserve">AEROSOLIZED RIBAVIRIN; CT FINDINGS; PCR ASSAYS; VIRAL LOAD; PNEUMONIA; DIAGNOSIS; DISEASE; ADULTS</t>
  </si>
  <si>
    <t xml:space="preserve">Human metapneumovirus (HMPV), a common respiratory virus, can cause severe disease in pre- and post-hematopoietic cell transplantation (HCT) recipients. We conducted a retrospective cohort analysis in HCT patients with HMPV (n = 23) or respiratory syncytial virus (n = 23) detected in bronchoalveolar lavage samples by reverse transcription PCR between 2006 and 2011 to determine disease characteristics and factors associated with outcome. Mortality rates at 100 days were 43% for both HMPV and respiratory syncytial virus lower respiratory tract disease. Steroid therapy, oxygen requirement &gt;2 L or mechanical ventilation, and bone marrow as cell source were significant risk factors for overall and virus-related mortality in multivariable models, whereas the virus type was not. The presence of centrilobular/nodular radiographic infiltrates was a possible protective factor for mechanical ventilation. Thus, HMPV lower respiratory tract disease is associated with high mortality in HCT recipients. Earlier detection in combination with new antiviral therapy is needed to reduce mortality among HCT recipients. (C) 2013 American Society for Blood and Marrow Transplantation.</t>
  </si>
  <si>
    <t xml:space="preserve">[Renaud, Christian; Xie, Hu; Seo, Sachiko; Kuypers, Jane; Corey, Lawrence; Leisenring, Wendy; Boeckh, Michael; Englund, Janet A.] Fred Hutchinson Canc Res Ctr, Seattle, WA 98109 USA; [Renaud, Christian; Englund, Janet A.] Seattle Childrens Hosp, Seattle, WA USA; [Kuypers, Jane; Cent, Anne; Corey, Lawrence; Leisenring, Wendy; Boeckh, Michael; Englund, Janet A.] Univ Washington, Seattle, WA 98195 USA</t>
  </si>
  <si>
    <t xml:space="preserve">Boeckh, M (corresponding author), Fred Hutchinson Canc Res Ctr, 1100 Fairview Ave North,POB 19024, Seattle, WA 98109 USA.</t>
  </si>
  <si>
    <t xml:space="preserve">mboeckh@fhcrc.org</t>
  </si>
  <si>
    <t xml:space="preserve">Englund, Janet/ABV-6379-2022; Boeckh, Michael/AAA-1607-2022; Corey, Lawrence/AAE-1796-2020</t>
  </si>
  <si>
    <t xml:space="preserve">Xie, Hu/0000-0003-0556-6591; Leisenring, Wendy/0000-0001-7405-0906</t>
  </si>
  <si>
    <t xml:space="preserve">National Institutes of Health [CA18029, HL093294, HL081595, CA15704]; Novartis; MedImmune Inc; ADMA</t>
  </si>
  <si>
    <t xml:space="preserve">National Institutes of Health(United States Department of Health &amp; Human ServicesNational Institutes of Health (NIH) - USA); Novartis(Novartis); MedImmune Inc(AstraZenecaMedimmune); ADMA</t>
  </si>
  <si>
    <t xml:space="preserve">Supported by grants from the National Institutes of Health (CA18029, HL093294, HL081595, CA15704).J.A.E. received research funding from Novartis, MedImmune Inc, and ADMA. M.B. received research funding from ADMA and served as a consultant to Gilead and Microbiotix. The remaining authors declare no competing financial interests.</t>
  </si>
  <si>
    <t xml:space="preserve">10.1016/j.bbmt.2013.05.005</t>
  </si>
  <si>
    <t xml:space="preserve">194BW</t>
  </si>
  <si>
    <t xml:space="preserve">hybrid, Green Published, Green Accepted</t>
  </si>
  <si>
    <t xml:space="preserve">WOS:000322607000015</t>
  </si>
  <si>
    <t xml:space="preserve">Cunha, BA</t>
  </si>
  <si>
    <t xml:space="preserve">Cunha, B. A.</t>
  </si>
  <si>
    <t xml:space="preserve">Viral influenza-like illnesses: dynamic interrelationships during the 2015-2016 influenza season in hospitalized patients</t>
  </si>
  <si>
    <t xml:space="preserve">Human metapneumovirus; Respiratory syncytial virus; Human parainfluenza viruses; Rhinovirus; Enterovirus; Community-acquired viral pneumonia</t>
  </si>
  <si>
    <t xml:space="preserve">ADULTS</t>
  </si>
  <si>
    <t xml:space="preserve">In hospitalized children and adults, the temporal relationship of viruses causing influenza-like illnesses (ILIs) and influenza has not been well described. During the 2015-2016 influenza season at our hospital, the dynamic interrelationships between ILI viruses (human metapneumovirus, respiratory syncytial virus, human parainfluenza viruses 3 and 4, rhinoviruses/enteroviruses, and coronaviruses) and influenza A were characterized in 768 hospitalized children and adults. (C) 2017 The Healthcare Infection Society. Published by Elsevier Ltd. All rights reserved.</t>
  </si>
  <si>
    <t xml:space="preserve">[Cunha, B. A.] Winthrop Univ Hosp, Div Infect Dis, 222 Stn Plaza North,Suite 432, Mineola, NY 11501 USA; [Cunha, B. A.] SUNY Stony Brook, Sch Med, Stony Brook, NY 11794 USA</t>
  </si>
  <si>
    <t xml:space="preserve">Cunha, BA (corresponding author), Winthrop Univ Hosp, Div Infect Dis, 222 Stn Plaza North,Suite 432, Mineola, NY 11501 USA.</t>
  </si>
  <si>
    <t xml:space="preserve">1532-2939</t>
  </si>
  <si>
    <t xml:space="preserve">10.1016/j.jhin.2016.12.015</t>
  </si>
  <si>
    <t xml:space="preserve">EL3KN</t>
  </si>
  <si>
    <t xml:space="preserve">WOS:000394518100007</t>
  </si>
  <si>
    <t xml:space="preserve">Cattoir, L; Vankeerberghen, A; Boel, A; Van Vaerenbergh, K; De Beenhouwer, H</t>
  </si>
  <si>
    <t xml:space="preserve">Cattoir, Lien; Vankeerberghen, Anne; Boel, An; Van Vaerenbergh, Kristien; De Beenhouwer, Hans</t>
  </si>
  <si>
    <t xml:space="preserve">Epidemiology of RSV and hMPV in Belgium: a 10-year follow-up</t>
  </si>
  <si>
    <t xml:space="preserve">Human metapneumovirus; respiratory syncytial virus; epidemiology; Belgium</t>
  </si>
  <si>
    <t xml:space="preserve">RESPIRATORY SYNCYTIAL VIRUS; HUMAN METAPNEUMOVIRUS INFECTIONS; PREVALENCE; SEASONS; EXPERIENCE; PATHOGENS; FEATURES; PCR</t>
  </si>
  <si>
    <t xml:space="preserve">Objectives: Respiratory syncytial virus (RSV) and human metapneumovirus (hMPV) are important respiratory pathogens. Both viral pathogens have similar clinical manifestations. The epidemiology of RSV is well known, that of hMPV is less clear. We reviewed the results of 10 consecutive years of molecular testing for RSV and hMPV in respiratory samples of Flemish patients. Methods: In the laboratory of the OLV hospital Aalst, Belgium, multiplex RT-PCR assays are used for the detection of RSV and hMPV. The lab receives invasive and noninvasive respiratory samples of patients from all over Flanders. Results: Between September 2006 and August 2016, 16,826 respiratory samples were analyzed for RSV and hMPV. Of these samples, 18% tested positive for RSV and 7.3% for hMPV. RSV consistently peaked in November/December each year within a very narrow time frame. The occurrence of hMPV was less predictable and spreaded more widely throughout the winter and spring. Both viruses were mainly found in samples from young children. RSV was most frequently detected in samples from infants &lt;3 months, while hMPV peaked between 6 and 9 months. After the age of 1 year, RSV rapidly dropped. hMPV dropped a little later and slower. Both viruses slightly increased again at older age (&gt;50 years). Conclusions: Despite their similarities, some of the epidemiologic characteristics of hMPV and RSV differ. The most striking difference is the annual distribution of RSV and hMPV infections.</t>
  </si>
  <si>
    <t xml:space="preserve">[Cattoir, Lien; Vankeerberghen, Anne; Boel, An; Van Vaerenbergh, Kristien; De Beenhouwer, Hans] OLVZ Aalst, Clin Lab Microbiol, Moorselbaan 164, Aalst, Belgium</t>
  </si>
  <si>
    <t xml:space="preserve">Cattoir, L (corresponding author), OLVZ Aalst, Clin Lab Microbiol, Moorselbaan 164, Aalst, Belgium.</t>
  </si>
  <si>
    <t xml:space="preserve">lien.cattoir@olvz-aalst.be</t>
  </si>
  <si>
    <t xml:space="preserve">JUL 4</t>
  </si>
  <si>
    <t xml:space="preserve">10.1080/17843286.2018.1492509</t>
  </si>
  <si>
    <t xml:space="preserve">IE0XI</t>
  </si>
  <si>
    <t xml:space="preserve">WOS:000472109700002</t>
  </si>
  <si>
    <t xml:space="preserve">Garcia, DF; Hiatt, PW; Jewell, A; Schoonover, SL; Cron, SG; Riggs, M; Grace, S; Oermann, CM; Piedra, PA</t>
  </si>
  <si>
    <t xml:space="preserve">Garcia, Daniel F.; Hiatt, Peter W.; Jewell, Alan; Schoonover, Shauna L.; Cron, Stanley G.; Riggs, Mark; Grace, Susan; Oermann, Christopher M.; Piedra, Pedro A.</t>
  </si>
  <si>
    <t xml:space="preserve">Human metapneumovirus and respiratory syncytial virus infections in older children with cystic fibrosis</t>
  </si>
  <si>
    <t xml:space="preserve">human metapneumovirus; respiratory syncytial virus; cystic fibrosis</t>
  </si>
  <si>
    <t xml:space="preserve">FUSION PROTEIN VACCINE; VIRAL-INFECTIONS; CLINICAL-MANIFESTATIONS; YOUNG-CHILDREN; US CHILDREN; INFANTS; TRACT; DISEASE; IMPACT; RSV</t>
  </si>
  <si>
    <t xml:space="preserve">Background: Human metapneumovirus (hMPV) has been isolated from children with acute respiratory infection worldwide. Its epidemiology remains to be defined in children with cystic fibrosis (CF). We describe the epidemiology and clinical impact of hMPV in CIF children and compared it to respiratory syncytial virus (RSV). Methods: CF children ages 7-18 years were studied prospectively during the 1998-1999 RSV season. Nasopharyngeal specimens were collected during acute respiratory illnesses and tested for respiratory viruses. Blood specimens were drawn early, mid, and end of the RSV season, and tested for serological evidence of hMPV and RSV infections. Rates of lower respiratory tract illnesses (LRTI) and hospitalizations for pulmonary exacerbations were compared during the time intervals they developed serological evidence of infection to their non-infection intervals. Results: Six of 44 CF children had a virus positive respiratory illness in 56 LTRI events and 18 hospitalizations. Serological evidence of hMPV and RSV infections occurred in 16 and 20 CIF children, respectively; 8 had infections with both viruses. A greater proportion of CF children had &gt;= 1 LRTI during their infection intervals compared to their non-infection intervals (13/25 vs. 5/25; P = 0.03). A trend for higher rates of LRTI was observed in the infection intervals compared to non-infection intervals (9.5 +/- 11.0 vs. 4.2 +/- 9.9 per 1,000 child-days; P = 0.06), and it was significantly greater with a more conservative estimate (one event per child per interval; 7.4 +/- 7.7 vs. 2.6 +/- 5.4 per 1,000 child-days; P &lt;= 0.01). No differences in hospitalizations rates were detected. Conclusion: The infection rates and clinical impact observed for hMPV were comparable to that for RSV in CIF children 7-18 years of age.</t>
  </si>
  <si>
    <t xml:space="preserve">Baylor Coll Med, Dept Mol Virol &amp; Microbiol, Houston, TX 77030 USA; Baylor Coll Med, Dept Pediat, Houston, TX 77030 USA; Abilene Christian Univ, Dept Math &amp; Comp Sci, Abilene, TX 79699 USA</t>
  </si>
  <si>
    <t xml:space="preserve">Baylor College of Medicine; Baylor College of Medicine; Abilene Christian University</t>
  </si>
  <si>
    <t xml:space="preserve">Piedra, PA (corresponding author), Baylor Coll Med, Dept Mol Virol &amp; Microbiol, Room 248E,1 Baylor Pl, Houston, TX 77030 USA.</t>
  </si>
  <si>
    <t xml:space="preserve">ppiedra@bcm.tmc.edu</t>
  </si>
  <si>
    <t xml:space="preserve">10.1002/ppul.20546</t>
  </si>
  <si>
    <t xml:space="preserve">123GY</t>
  </si>
  <si>
    <t xml:space="preserve">WOS:000243285600011</t>
  </si>
  <si>
    <t xml:space="preserve">Lu, GL; Li, JG; Xie, ZD; Liu, CY; Guo, L; Vernet, G; Shen, KL; Wang, JW</t>
  </si>
  <si>
    <t xml:space="preserve">Lu, Guilan; Li, Jianguo; Xie, Zhengde; Liu, Chunyan; Guo, Li; Vernet, Guy; Shen, Kunling; Wang, Jianwei</t>
  </si>
  <si>
    <t xml:space="preserve">Human metapneumovirus associated with community-acquired pneumonia in children in Beijing, China</t>
  </si>
  <si>
    <t xml:space="preserve">human metapneumovirus; respiratory syncytial virus; community-acquired pneumonia; children; etiology; epidemiology</t>
  </si>
  <si>
    <t xml:space="preserve">RESPIRATORY-TRACT INFECTIONS; GENETIC-VARIABILITY; SEQUENCE-ANALYSIS; YOUNG-CHILDREN; DISEASE; PREVALENCE; INFANTS; ILLNESS; KOREA</t>
  </si>
  <si>
    <t xml:space="preserve">Community-acquired pneumonia is a major cause of morbidity and mortality in children worldwide. However, few studies have been conducted on the infection of human metapneumovirus (hMPV) associated with pediatric community-acquired pneumonia in China. Nasopharyngeal aspirates were collected between July 2008 and June 2010 from 1,028 children, aged =16.5 years, who were diagnosed with community-acquired pneumonia in Beijing, China. Reverse-transcriptase polymerase chain reaction was used to screen the samples for hMPV and common respiratory viruses. hMPV was detected in 6.3% of the patients with community-acquired pneumonia. This detection rate is the third highest for a respiratory virus in children with community-acquired pneumonia, after that of rhinovirus (30.9%) and respiratory syncytial virus (30.7%). The detection rate of hMPV in 2008/2009 (42/540, 7.8%) was significantly higher than in 2009/2010 (23/488, 4.7%; ?2?=?4.065, P?=?0.044). The hMPV subtypes A2, B1, and B2 were found to co-circulate, with A2 being most prevalent. These results indicate that hMPV plays a substantial role in pediatric community-acquired pneumonia in China. Overall, these findings provide a better understanding of the epidemiological and clinical features of hMPV infections. J. Med. Virol. 85:138143, 2012. (c) 2012 Wiley Periodicals, Inc.</t>
  </si>
  <si>
    <t xml:space="preserve">[Lu, Guilan; Li, Jianguo; Guo, Li; Wang, Jianwei] Chinese Acad Med Sci, MOH Key Lab Syst Pathogen Biol, Beijing 100730, Peoples R China; [Lu, Guilan; Li, Jianguo; Guo, Li; Wang, Jianwei] Chinese Acad Med Sci, Christophe Merieux Lab, IPB, CAMS Fdn Merieux,Inst Pathogen Biol IPB, Beijing 100730, Peoples R China; [Lu, Guilan; Li, Jianguo; Guo, Li; Wang, Jianwei] Peking Union Med Coll, Beijing 100021, Peoples R China; [Lu, Guilan] Beijing Ctr Dis Prevent &amp; Control, Beijing, Peoples R China; [Xie, Zhengde; Liu, Chunyan; Shen, Kunling] Capital Univ Med Sci, Beijing Childrens Hosp, Beijing, Peoples R China; [Vernet, Guy] Fdn Merieux, Lyon, France</t>
  </si>
  <si>
    <t xml:space="preserve">Chinese Academy of Medical Sciences - Peking Union Medical College; Chinese Academy of Medical Sciences - Peking Union Medical College; Institute of Pathogen Biology - CAMS; Chinese Academy of Medical Sciences - Peking Union Medical College; Peking Union Medical College; Capital Medical University</t>
  </si>
  <si>
    <t xml:space="preserve">Wang, JW (corresponding author), 9 Dong Dan San Tiao, Beijing 100730, Peoples R China.</t>
  </si>
  <si>
    <t xml:space="preserve">kunling_shen@hotmail.com; wangjw28@163.com</t>
  </si>
  <si>
    <t xml:space="preserve">Guo, li/LTC-6893-2024; Wang, Jianwei/W-5916-2019; li, yukun/AIB-3253-2022; LI, JIANGUO/ADZ-3303-2022</t>
  </si>
  <si>
    <t xml:space="preserve">LI, JIANGUO/0000-0002-1147-4864; Wang, Jianwei/0000-0002-1116-4559; vernet, guy/0000-0002-5120-1297</t>
  </si>
  <si>
    <t xml:space="preserve">National Major Science and Technology Research Projects for the Control and Prevention of Major Infectious Diseases in China [2009ZX10004-206, 2012ZX10004-206]</t>
  </si>
  <si>
    <t xml:space="preserve">National Major Science and Technology Research Projects for the Control and Prevention of Major Infectious Diseases in China</t>
  </si>
  <si>
    <t xml:space="preserve">Grant sponsor: National Major Science and Technology Research Projects for the Control and Prevention of Major Infectious Diseases in China; Grant numbers: 2009ZX10004-206. 2012ZX10004-206.</t>
  </si>
  <si>
    <t xml:space="preserve">10.1002/jmv.23438</t>
  </si>
  <si>
    <t xml:space="preserve">036TM</t>
  </si>
  <si>
    <t xml:space="preserve">WOS:000311054400020</t>
  </si>
  <si>
    <t xml:space="preserve">Parsania, M; Poopak, B; Pouriayevali, MH; Haghighi, S; Amirkhani, A; Nateghian, A</t>
  </si>
  <si>
    <t xml:space="preserve">Parsania, Masoud; Poopak, Behzad; Pouriayevali, Mohammad Hassan; Haghighi, Sama; Amirkhani, Aref; Nateghian, Alireza</t>
  </si>
  <si>
    <t xml:space="preserve">Detection of Human Metapneumovirus and Respiratory Syncytial Virus by Real-Time Polymerase Chain Reaction Among Hospitalized Young Children in Iran</t>
  </si>
  <si>
    <t xml:space="preserve">Human Metapneumovirus; Respiratory Syncytial Virus; Children; PCR</t>
  </si>
  <si>
    <t xml:space="preserve">TRACT INFECTIONS; RT-PCR; DISEASE; EPIDEMIOLOGY</t>
  </si>
  <si>
    <t xml:space="preserve">Background: Acute respiratory infection plays an important role in hospitalization of children in developing countries; detection of viral causes in such infections is very important. The respiratory syncytial virus (RSV) is the most common etiological agent of viral lower respiratory tract infection in children, and human metapneumovirus (hMPV) is associated with both upper and lower respiratory tract infections among infants and children. Objectives: This study evaluated the frequency and seasonal prevalence of hMPV and RSV in hospitalized children under the age of five, who were admitted to Aliasghar children's hospital of Iran University of Medical Sciences from March 2010 until March 2013. Patients and Methods: Nasopharyngeal or throat swabs from 158 hospitalized children with fever and respiratory distress were evaluated for RSV and hMPV RNA by the real-time polymerase chain reaction (PCR) method. Results: Among the 158 children evaluated in this study, 49 individuals (31.1%) had RSV infection while nine individuals (5.7%) had hMPV infection. Five (55.5%) of the hMPV-infected children were male while four (44.5%) were female and 27 (55.2%) of the RSV-infected patients were females and 22 (44.8%) were males. The RSV infections were detected in mainly &lt; one year old children and hMPV infections were detected mainly in &gt; one year old children. Both RSV and hMPV infections had occurred mainly during winter and spring seasons. Conclusions: Respiratory syncytial virus was the major cause of acute respiratory infection in children under one-year of age while human metapneumovirus had a low prevalence in this group. The seasonal occurrence of both viruses was the same.</t>
  </si>
  <si>
    <t xml:space="preserve">[Parsania, Masoud] Islamic Azad Univ, Tehran Med Sci Branch, Dept Microbiol, Tehran, Iran; [Poopak, Behzad] Islamic Azad Univ, Tehran Med Sci Branch, Dept Hematol, Tehran, Iran; [Pouriayevali, Mohammad Hassan] Inst Pasteur, Dept Hepatitis &amp; AIDS, Tehran, Iran; [Haghighi, Sama] Iran Univ Med Sci, Tehran, Iran; [Amirkhani, Aref] Islamic Azad Univ, Dept Epidemiol, Tehran Med Sci Branch, Tehran, Iran; [Nateghian, Alireza] Iran Univ Med Sci, Dept Pediat, Tehran, Iran</t>
  </si>
  <si>
    <t xml:space="preserve">Islamic Azad University; Islamic Azad University; Pasteur Network; Pasteur Institute of Iran; Iran University of Medical Sciences; Islamic Azad University; Iran University of Medical Sciences</t>
  </si>
  <si>
    <t xml:space="preserve">Nateghian, A (corresponding author), Iran Univ Med Sci, Dept Pediat, Tehran, Iran.</t>
  </si>
  <si>
    <t xml:space="preserve">nateghian.ar@iums.ac.ir</t>
  </si>
  <si>
    <t xml:space="preserve">Haghighi, Sama/AAF-4958-2021; Poopak, Behzad/AAO-3186-2021; Pouriayevali, Mohammad/I-6785-2018; Nateghian, Alireza/F-2447-2018; Parsania, Masoud/V-1139-2019</t>
  </si>
  <si>
    <t xml:space="preserve">Nateghian, Alireza/0000-0001-8235-1389; Parsania, Masoud/0000-0002-4739-7442; Poopak, Behzad/0000-0002-3576-767X; Pouriayevali, Mohammad Hassan/0000-0003-0133-1517</t>
  </si>
  <si>
    <t xml:space="preserve">Tehran medical sciences branch, Islamic Azad University</t>
  </si>
  <si>
    <t xml:space="preserve">This research was funded by the Tehran medical sciences branch, Islamic Azad University.</t>
  </si>
  <si>
    <t xml:space="preserve">KOWSAR PUBL</t>
  </si>
  <si>
    <t xml:space="preserve">HOENSBROEK</t>
  </si>
  <si>
    <t xml:space="preserve">PATERSWEG 22,, HOENSBROEK, LIMBURG 6431 GC, NETHERLANDS</t>
  </si>
  <si>
    <t xml:space="preserve">e32974</t>
  </si>
  <si>
    <t xml:space="preserve">10.5812/jjm.32974</t>
  </si>
  <si>
    <t xml:space="preserve">DJ0XN</t>
  </si>
  <si>
    <t xml:space="preserve">WOS:000373927800010</t>
  </si>
  <si>
    <t xml:space="preserve">Chen, X; Zhang, ZY; Zhao, Y; Liu, EM; Zhao, XD</t>
  </si>
  <si>
    <t xml:space="preserve">Chen, Xin; Zhang, Zhi Yong; Zhao, Yao; Liu, En Mei; Zhao, Xiao Dong</t>
  </si>
  <si>
    <t xml:space="preserve">Acute Lower Respiratory Tract Infections by Human Metapneumovirus in Children in Southwest China: A 2-Year Study</t>
  </si>
  <si>
    <t xml:space="preserve">human metapneumovirus; respiratory syncytial virus; children; acute lower respiratory tract infections; epidemiology</t>
  </si>
  <si>
    <t xml:space="preserve">YOUNG-CHILDREN; HOSPITALIZED CHILDREN; CLINICAL CHARACTERISTICS; GENETIC-VARIABILITY; HIGH SEROPREVALENCE; SYNCYTIAL VIRUS; PREVALENCE; DIVERSITY; GENOTYPE; FEATURES</t>
  </si>
  <si>
    <t xml:space="preserve">Human metapneumovirus (hMPV) has been reported to cause both upper and lower respiratory tract diseases in susceptible populations, particularly in children and the elderly. In this study, we describe a hospital-based epidemiological study of hMPV in patients presenting to a children's hospital and show the demographic and clinical characteristics associated with hMPV infection in China, retrospectively. Specimens were collected over a 2-year period from children hospitalized with acute lower respiratory tract infections (ALRTI) and analyzed for the presence of hMPV using real-time RT-PCR assays. The presence of hMPV was detected in 227 (25.9%) of the 878 children studied and may circulate year-round in the area, peaking during the winter spring season. Younger children (aged less than 6 months) had the highest positive rate. Infections by hMPV showed similar epidemiology and clinical manifestations as for respiratory syncytial virus (RSV) and were found in high co-infections with RSV. Subgroup A2 hMPV was the most predominant genotype identified during the study period. This study indicates that hMPV is one of the major respiratory pathogens found in children in southwest China and vaccine development should be under consideration. Pediatr Pulmonol. 2010; 45:824-831. (C) 2010 Wiley-Liss, Inc.</t>
  </si>
  <si>
    <t xml:space="preserve">[Chen, Xin; Zhang, Zhi Yong; Zhao, Yao] Chongqing Med Univ, Lab Biosafety 2, Childrens Hosp, Inst Pediat, Chongqing 400014, Peoples R China; [Liu, En Mei] Chongqing Med Univ, Div Pulm, Childrens Hosp, Chongqing 400014, Peoples R China; [Zhao, Xiao Dong] Chongqing Med Univ, Div Nephrol &amp; Immunol, Childrens Hosp, Chongqing 400014, Peoples R China</t>
  </si>
  <si>
    <t xml:space="preserve">Chongqing Medical University; Chongqing Medical University; Chongqing Medical University</t>
  </si>
  <si>
    <t xml:space="preserve">National Natural Science Foundation of China [30730098]; The New Century Excellent Talents in University of China [NCET-05-0774]; Program for the New Century Excellent Talents in University of China [NCET-05-0774]</t>
  </si>
  <si>
    <t xml:space="preserve">National Natural Science Foundation of China(National Natural Science Foundation of China (NSFC)); The New Century Excellent Talents in University of China; Program for the New Century Excellent Talents in University of China(Program for New Century Excellent Talents in University (NCET))</t>
  </si>
  <si>
    <t xml:space="preserve">National Natural Science Foundation of China, Number 30730098; The New Century Excellent Talents in University of China, Number NCET-05-0774.This study was supported by the National Natural Science Foundation of China (No. 30730098), the Program for the New Century Excellent Talents in University of China (No. NCET-05-0774). We thank Dr. Fushier (Department of Virology, Erasmus Medical Center, The Netherlands) for the kind gift of the cDNA clones to produce recombinant hMPV virus. We also thank Jin Ying Ge, Zhi Gao Bu, and Wang Yong (Harbin Veterinary research institute, Chinese Agricultural Academy of Science) for excellent technical assistance for the production of recombinant hMPV virus. We would also like to appreciate Mr. Qianglin Duan for critical reading of the manuscript.</t>
  </si>
  <si>
    <t xml:space="preserve">10.1002/ppul.21264</t>
  </si>
  <si>
    <t xml:space="preserve">635XC</t>
  </si>
  <si>
    <t xml:space="preserve">WOS:000280690000011</t>
  </si>
  <si>
    <t xml:space="preserve">Montejano-Elías, L; Alpuche-Solís, AG; Zárate-Chávez, V; Sánchez-Alvarado, J; Hernández-Salinas, AE; Noyola, DE</t>
  </si>
  <si>
    <t xml:space="preserve">Montejano-Elias, Lizette; Alpuche-Solis, Angel G.; Zarate-Chavez, Veronica; Sanchez-Alvarado, Josefina; Hernandez-Salinas, Alba E.; Noyola, Daniel E.</t>
  </si>
  <si>
    <t xml:space="preserve">HUMAN METAPNEUMOVIRUS AND OTHER RESPIRATORY VIRAL INFECTIONS IN CHILDREN ATTENDING A DAY CARE CENTER</t>
  </si>
  <si>
    <t xml:space="preserve">human metapneumovirus; respiratory syncytial virus; acute respiratory infections; day care center</t>
  </si>
  <si>
    <t xml:space="preserve">DISEASE; INFANTS; IMPACT; VIRUS</t>
  </si>
  <si>
    <t xml:space="preserve">Human metapneumovirus (hMPV) is an important cause of acute respiratory infections (ARI). We studied 335 ARI episodes in 74 children &lt;5 years of age attending a day care center during a 1-year period to detect the presence of hMPV and other viruses. Seven (9.5%) children were infected by hMPV and this virus accounted for 2.1% of the ARI episodes.</t>
  </si>
  <si>
    <t xml:space="preserve">[Montejano-Elias, Lizette; Sanchez-Alvarado, Josefina; Hernandez-Salinas, Alba E.; Noyola, Daniel E.] Univ Autonoma San Luis Potosi, Fac Med, Dept Microbiol, San Luis Potosi 78210, Mexico; [Alpuche-Solis, Angel G.; Zarate-Chavez, Veronica] Inst Potosino Invest Cient &amp; Tecnol, Div Mol Biol, San Luis Potosi, Mexico</t>
  </si>
  <si>
    <t xml:space="preserve">Universidad Autonoma de San Luis Potosi; Instituto Potosino Investigacion Cientifica y Tecnologica</t>
  </si>
  <si>
    <t xml:space="preserve">Noyola, DE (corresponding author), Univ Autonoma San Luis Potosi, Fac Med, Dept Microbiol, Ave Venustiano Carranza 2405, San Luis Potosi 78210, Mexico.</t>
  </si>
  <si>
    <t xml:space="preserve">Noyola, Daniel/AAL-9773-2020</t>
  </si>
  <si>
    <t xml:space="preserve">Alpuche-Solis, Angel/0000-0002-3342-0365; Noyola, Daniel/0000-0002-4840-6742</t>
  </si>
  <si>
    <t xml:space="preserve">CONACYT [62146]; Universiclad Autonoma de San Luis Potosi [C06-FAI-03-1.4]</t>
  </si>
  <si>
    <t xml:space="preserve">CONACYT(Consejo Nacional de Ciencia y Tecnologia (CONACyT)); Universiclad Autonoma de San Luis Potosi</t>
  </si>
  <si>
    <t xml:space="preserve">Supported by a grant from CONACYT (Fondo SEP-CONACYT; Convocatoria 2006, proyecto 62146) and the Universiclad Autonoma de San Luis Potosi (Fondo de Apoyo a la Investigacion; Convenio C06-FAI-03-1.4).</t>
  </si>
  <si>
    <t xml:space="preserve">10.1097/INF.0b013e3181aa6c3e</t>
  </si>
  <si>
    <t xml:space="preserve">512MO</t>
  </si>
  <si>
    <t xml:space="preserve">WOS:000271253800020</t>
  </si>
  <si>
    <t xml:space="preserve">Zhang, SX; Tellier, R; Zafar, R; Cheung, R; Adachi, D; Richardson, SE</t>
  </si>
  <si>
    <t xml:space="preserve">Zhang, Sean X.; Tellier, Raymond; Zafar, Rubeena; Cheung, Rose; Adachi, Dena; Richardson, Susan E.</t>
  </si>
  <si>
    <t xml:space="preserve">COMPARISON OF HUMAN METAPNEUMOVIRUS INFECTION WITH RESPIRATORY SYNCYTIAL VIRUS INFECTION IN CHILDREN</t>
  </si>
  <si>
    <t xml:space="preserve">human metapneumovirus; respiratory syncytial virus</t>
  </si>
  <si>
    <t xml:space="preserve">We aimed to validate a direct immunofluorescence assay (DFA) for the detection of human metapneumovirus (hMPV) from nasal swabs and to determine the incidence and clinical features of this viral infection in a pediatric population. One hundred twenty-one of 3026 nasal swabs were positive for hMPV by DFA (4.0%). Compared with reverse transcriptase polymerase chain reaction, the sensitivity and specificity of DFA were 90%, and 100%, respectively. Compared with RSV, hMTV infection was more common in children with congenital abnormalities, particularly those with cardio-pulmonary dysplasia and was associated with an increased ventilatory requirement.</t>
  </si>
  <si>
    <t xml:space="preserve">[Richardson, Susan E.] Hosp Sick Children, Dept Paediat Lab Med, Div Microbiol, Toronto, ON M5G 1X8, Canada; [Zhang, Sean X.; Richardson, Susan E.] Ontario Agcy Hlth Protect &amp; Promot, Publ Hlth Labs Toronto, Toronto, ON, Canada; [Zhang, Sean X.; Tellier, Raymond; Richardson, Susan E.] Univ Toronto, Dept Lab Med &amp; Pathobiol, Toronto, ON, Canada</t>
  </si>
  <si>
    <t xml:space="preserve">University of Toronto; Hospital for Sick Children (SickKids); University of Toronto</t>
  </si>
  <si>
    <t xml:space="preserve">Richardson, SE (corresponding author), Hosp Sick Children, Dept Paediat Lab Med, Div Microbiol, 555 Univ Ave, Toronto, ON M5G 1X8, Canada.</t>
  </si>
  <si>
    <t xml:space="preserve">susan.richardson@sickkids.ca</t>
  </si>
  <si>
    <t xml:space="preserve">10.1097/INF.0b013e3181aa6853</t>
  </si>
  <si>
    <t xml:space="preserve">WOS:000271253800019</t>
  </si>
  <si>
    <t xml:space="preserve">Debur, MC; Vidal, LR; Stroparo, E; Nogueira, MB; Almeida, SM; Takahashi, GA; Rotta, I; Pereira, LA; Silveira, CS; Bonfim, CM; Raboni, SM</t>
  </si>
  <si>
    <t xml:space="preserve">Debur, M. C.; Vidal, L. R.; Stroparo, E.; Nogueira, M. B.; Almeida, S. M.; Takahashi, G. A.; Rotta, I.; Pereira, L. A.; Silveira, C. S.; Bonfim, C. M.; Raboni, S. M.</t>
  </si>
  <si>
    <t xml:space="preserve">Human metapneumovirus infection in hematopoietic stem cell transplant recipients</t>
  </si>
  <si>
    <t xml:space="preserve">human metapneumovirus; respiratory infection; immunocompromised patients; hematopoietic stem cell transplant</t>
  </si>
  <si>
    <t xml:space="preserve">RESPIRATORY-TRACT INFECTIONS; VIRAL-INFECTIONS; CHILDREN; DIAGNOSIS; VIRUSES; PNEUMONIA; INFANTS; DISEASE</t>
  </si>
  <si>
    <t xml:space="preserve">P&gt;Human metapneumovirus (hMPV) was described in 2001 and has been associated with both upper and lower respiratory tract infection (URTI and LRTI, respectively), especially in children, the elderly, and in immunocompromised patients. The objective of this study was to identify hMPV as the etiological agent of acute respiratory infection in hematopoietic stem cell transplant (HSCT) patients and to determine the clinical features of hMPV infection in these patients. Methods The study was performed retrospectively in 769 respiratory samples obtained from immunocompromised patients submitted to HSCT over a period of 6 years. RNA was extracted by the guanidinium thiocyanate method, and reverse transcription polymerase chain reaction assay was performed to amplify a 928pb fragment of the hMPV N gene. Results hMPV was present in 19 (2.5%) samples. The mean age of infected patients was 18.3 +/- 10.8 (range, 3-41). Sixty-six percent of hMPV infections occurred during autumn, winter, and spring months. Three episodes showed co-infection with more than 1 virus. Two patients (11.1%) were infected a few days into the conditioning period and 9 (50%) in the first 3 months after the transplant. The majority of patients (72.2%) presented URTI alone with flu-like symptoms (cough, fever, headache, wheezing), while 5 patients (27.8%) had LRTI (pneumonia). No patient died from complications associated with the hMPV infection. Conclusions hMPV has been reported as a respiratory pathogen in HSCT patients. We suggest that hMPV infection should be routinely investigated in this population, mainly in children, to prevent nosocomial transmission during transplant proceedings and to avoid the risk of progressing to complications due to LRTI.</t>
  </si>
  <si>
    <t xml:space="preserve">[Debur, M. C.; Vidal, L. R.; Stroparo, E.; Nogueira, M. B.; Almeida, S. M.; Takahashi, G. A.; Rotta, I.; Pereira, L. A.; Silveira, C. S.; Raboni, S. M.] UFPR, Virol Lab, Hosp Clin, BR-82060240 Curitiba, Parana, Brazil; [Bonfim, C. M.] UFPR, Bone Marrow Transplant Unit, Hosp Clin, BR-82060240 Curitiba, Parana, Brazil</t>
  </si>
  <si>
    <t xml:space="preserve">Universidade Federal do Parana; Universidade Federal do Parana</t>
  </si>
  <si>
    <t xml:space="preserve">Raboni, SM (corresponding author), UFPR, Virol Lab, Hosp Clin, Rua Padre Camargo 280,2 Andar,Sala 202, BR-82060240 Curitiba, Parana, Brazil.</t>
  </si>
  <si>
    <t xml:space="preserve">virologiahc@ufpr.br</t>
  </si>
  <si>
    <t xml:space="preserve">NOGUEIRA, MERI/AAX-9795-2021; Raboni, Sonia/AAF-7142-2020</t>
  </si>
  <si>
    <t xml:space="preserve">10.1111/j.1399-3062.2009.00465.x</t>
  </si>
  <si>
    <t xml:space="preserve">579ES</t>
  </si>
  <si>
    <t xml:space="preserve">WOS:000276351200016</t>
  </si>
  <si>
    <t xml:space="preserve">Freymuth, F; Vabret, A; Legrand, L; Eterradossi, N; Lafay-Delaire, F; Brouard, J; Guillois, B</t>
  </si>
  <si>
    <t xml:space="preserve">Presence of the new human metapneumovirus in French children with bronchiolitis</t>
  </si>
  <si>
    <t xml:space="preserve">human metapneumovirus; respiratory illness; France</t>
  </si>
  <si>
    <t xml:space="preserve">We developed a polymerase chain reaction (PCR) to detect human metapneumovirus (hMPV) in French children hospitalized for acute respiratory tract disease during the winter of 2001 to 2002. This assay showed that 19 (6.6%) of 337 respiratory specimens that were negative for other respiratory viruses were positive for hMPV. Seven hMPV infections were also detected in the previous winter. The patients had the following clinical syndromes: bronchiolitis, 16; acute exacerbation of asthma, 4; bronchitis, 1; laryngitis, 1; high fever with diarrhea, 2; high fever with rhinopharyngitis, 1; rhinopharyngitis with conjunctivitis and otitis, 1. The sequences of the seven amplified products were similar for all cases and had 99% homology with the previously described N gene sequence.</t>
  </si>
  <si>
    <t xml:space="preserve">Caen Univ Hosp, Lab Human &amp; Mol Virol, Caen, France; Caen Univ Hosp, Dept Pediat, Caen, France; Flers Hosp, Dept Pediat, Caen, France; French Agcy Food Safety, Avian &amp; Rabbit Virol Immunol &amp; Parasitol Unit, Ploufragan, France</t>
  </si>
  <si>
    <t xml:space="preserve">CHU de Caen NORMANDIE; Universite de Caen Normandie; Universite de Caen Normandie; CHU de Caen NORMANDIE; Agence Nationale de Securite Sanitaire de l'Alimentation, de l'Environnement du Travail (ANSES)</t>
  </si>
  <si>
    <t xml:space="preserve">Freymuth, F (corresponding author), Caen Univ Hosp, Lab Human &amp; Mol Virol, Caen, France.</t>
  </si>
  <si>
    <t xml:space="preserve">Brouard, Jacques/AAH-3387-2020; VABRET, Astrid/HTO-5810-2023</t>
  </si>
  <si>
    <t xml:space="preserve">10.1097/00006454-200301000-00024</t>
  </si>
  <si>
    <t xml:space="preserve">636KY</t>
  </si>
  <si>
    <t xml:space="preserve">WOS:000180455900019</t>
  </si>
  <si>
    <t xml:space="preserve">Webster, DL; Gardner, AH; Dye, TJ; Chima, RS</t>
  </si>
  <si>
    <t xml:space="preserve">Webster, Danielle L.; Gardner, Aaron H.; Dye, Thomas J.; Chima, Ranjit S.</t>
  </si>
  <si>
    <t xml:space="preserve">Status Epilepticus: A Possible Association With Human Metapneumovirus Infection</t>
  </si>
  <si>
    <t xml:space="preserve">human metapneumovirus; respiratory failure; status epilepticus</t>
  </si>
  <si>
    <t xml:space="preserve">RESPIRATORY-TRACT DISEASE; YOUNG-CHILDREN; ENCEPHALITIS; PATIENT</t>
  </si>
  <si>
    <t xml:space="preserve">Human metapneumovirus (hMPV) is a relatively recent addition to the multiplicity of viruses causing respiratory illness in infants and children. Although well described in its ability to cause respiratory illness, there is limited data detailing the association of hMPV with neurologic complications. In this report, we describe 2 toddlers with hMPV infection who presented in status epilepticus and went on to develop respiratory failure. Both patients fully recovered over 2 weeks and were discharged from the hospital with no sequelae. The association between hMPV infection and neurologic complications is increasingly being reported in the literature. Clinicians should be aware of these uncommon manifestations of a common respiratory pathogen and consider testing for hMPV when managing pediatric patients who present with unexplained status epilepticus or encephalitis.</t>
  </si>
  <si>
    <t xml:space="preserve">[Webster, Danielle L.; Gardner, Aaron H.; Dye, Thomas J.; Chima, Ranjit S.] Cincinnati Childrens Hosp Med Ctr, Cincinnati, OH 45229 USA; [Webster, Danielle L.; Dye, Thomas J.; Chima, Ranjit S.] Univ Cincinnati, Coll Med, Cincinnati, OH USA</t>
  </si>
  <si>
    <t xml:space="preserve">Cincinnati Children's Hospital Medical Center; University System of Ohio; University of Cincinnati</t>
  </si>
  <si>
    <t xml:space="preserve">Webster, DL (corresponding author), Cincinnati Childrens Hosp Med Ctr, MLC 2005,3333 Burnet Ave, Cincinnati, OH 45229 USA.</t>
  </si>
  <si>
    <t xml:space="preserve">danielle.webster@cchmc.org</t>
  </si>
  <si>
    <t xml:space="preserve">Dye, Thomas/D-6414-2016</t>
  </si>
  <si>
    <t xml:space="preserve">Dye, Thomas/0000-0001-5665-9523</t>
  </si>
  <si>
    <t xml:space="preserve">E747</t>
  </si>
  <si>
    <t xml:space="preserve">E750</t>
  </si>
  <si>
    <t xml:space="preserve">10.1542/peds.2013-0929</t>
  </si>
  <si>
    <t xml:space="preserve">AG3PB</t>
  </si>
  <si>
    <t xml:space="preserve">WOS:000335330700059</t>
  </si>
  <si>
    <t xml:space="preserve">Sugimoto, S; Kawase, M; Suwa, R; Kakizaki, M; Kume, Y; Chishiki, M; Ono, T; Okabe, H; Norito, S; Hosoya, M; Hashimoto, K; Shirato, K</t>
  </si>
  <si>
    <t xml:space="preserve">Sugimoto, Satoko; Kawase, Miyuki; Suwa, Reiko; Kakizaki, Masatoshi; Kume, Yohei; Chishiki, Mina; Ono, Takashi; Okabe, Hisao; Norito, Sakurako; Hosoya, Mitsuaki; Hashimoto, Koichi; Shirato, Kazuya</t>
  </si>
  <si>
    <t xml:space="preserve">Development of a duplex real-time RT-PCR assay for the detection and identification of two subgroups of human metapneumovirus in a single tube</t>
  </si>
  <si>
    <t xml:space="preserve">Human metapneumovirus; Real-time RT-PCR; Duplex assay; Subgroup</t>
  </si>
  <si>
    <t xml:space="preserve">RESPIRATORY SYNCYTIAL VIRUS; INFECTION; CHILDREN; EVOLUTION; SPECIMENS; DIAGNOSIS; INFANTS; IMPACT; RNA</t>
  </si>
  <si>
    <t xml:space="preserve">Human metapneumovirus (hMPV) is a common cause of respiratory infections in children. Many genetic diagnostic assays have been developed, but most detect hMPV regardless of the subgroup. In this study, we developed a real-time RT-PCR assay that can detect and identify the two major subgroups of hMPV (A and B) in one tube. Primers and probes were designed based on the sequences of recent clinical isolates in Japan. The assay showed comparable analytical sensitivity to a previously reported real-time RT-PCR assay and specific reactions to hMPV subgroups. The assay also showed no cross-reactivity to clinical isolates of 19 species of other respiratory viruses. In a validation assay using post-diagnosed clinical specimens, 98% (167/170) positivity was confirmed for the duplex assay, and the three specimens not detected were of low copy number. The duplex assay also successfully distinguished the two major subgroups for all 12 clinical specimens, for which the subgroup had already been determined by genomic sequencing analysis. The duplex assay described here will contribute to the rapid and accurate identification and surveillance of hMPV infections.</t>
  </si>
  <si>
    <t xml:space="preserve">[Sugimoto, Satoko; Kawase, Miyuki; Suwa, Reiko; Kakizaki, Masatoshi; Shirato, Kazuya] Natl Inst Infect Dis, Dept Virol 3, Musashimurayama, Tokyo, Japan; [Sugimoto, Satoko] Natl Inst Infect Dis, Management Dept Biosafety, Lab Anim &amp; Pathogen Bank, Musashimurayama, Tokyo, Japan; [Kume, Yohei; Chishiki, Mina; Ono, Takashi; Okabe, Hisao; Norito, Sakurako; Hosoya, Mitsuaki; Hashimoto, Koichi] Fukushima Med Univ, Sch Med, Dept Pediat, Fukushima, Japan; [Shirato, Kazuya] Natl Inst Infect Dis, Dept Virol 3, Murayama Branch, Lab Resp Virus Vaccines, 4-7-1 Gakuen, Musashimurayama, Tokyo 2080011, Japan</t>
  </si>
  <si>
    <t xml:space="preserve">National Institute of Infectious Diseases (NIID); National Institute of Infectious Diseases (NIID); Fukushima Medical University; National Institute of Infectious Diseases (NIID)</t>
  </si>
  <si>
    <t xml:space="preserve">Shirato, K (corresponding author), Natl Inst Infect Dis, Dept Virol 3, Murayama Branch, Lab Resp Virus Vaccines, 4-7-1 Gakuen, Musashimurayama, Tokyo 2080011, Japan.</t>
  </si>
  <si>
    <t xml:space="preserve">shirato@niid.go.jp</t>
  </si>
  <si>
    <t xml:space="preserve">Hashimoto, Hiroshi/AAD-3667-2020</t>
  </si>
  <si>
    <t xml:space="preserve">Shirato, Kazuya/0000-0002-3375-9799; Sugimoto, Satoko/0009-0002-5042-1543</t>
  </si>
  <si>
    <t xml:space="preserve">Japan Agency for Medical Research and Development [23fk0108661j0001, 22fk0108543j0201]</t>
  </si>
  <si>
    <t xml:space="preserve">Japan Agency for Medical Research and Development(Japan Agency for Medical Research and Development (AMED))</t>
  </si>
  <si>
    <t xml:space="preserve">This work was supported by Grants-in-Aid (23fk0108661j0001 and 22fk0108543j0201) from the Japan Agency for Medical Research and Development.</t>
  </si>
  <si>
    <t xml:space="preserve">10.1016/j.jviromet.2023.114812</t>
  </si>
  <si>
    <t xml:space="preserve">U1DV7</t>
  </si>
  <si>
    <t xml:space="preserve">WOS:001082288600001</t>
  </si>
  <si>
    <t xml:space="preserve">Oketch, JW; Kamau, E; Otieno, GP; Otieno, JR; Agoti, CN; Nokes, DJ</t>
  </si>
  <si>
    <t xml:space="preserve">Oketch, John W.; Kamau, Everlyn; Otieno, Grieven P.; Otieno, James R.; Agoti, Charles N.; Nokes, D. James</t>
  </si>
  <si>
    <t xml:space="preserve">Human metapneumovirus prevalence and patterns of subgroup persistence identified through surveillance of pediatric pneumonia hospital admissions in coastal Kenya, 2007-2016</t>
  </si>
  <si>
    <t xml:space="preserve">Human metapneumovirus; Prevalence; Subgroup; Epidemic; Temporal</t>
  </si>
  <si>
    <t xml:space="preserve">180-NUCLEOTIDE DUPLICATION; GENETIC DIVERSITY; YOUNG-CHILDREN; INFECTIONS; EVOLUTION; SEVERITY; SELECTION; INFANTS; VIRUSES; DISEASE</t>
  </si>
  <si>
    <t xml:space="preserve">Background Human metapneumovirus (HMPV) is an important respiratory pathogen that causes seasonal epidemics of acute respiratory illness and contributes significantly to childhood pneumonia. Current knowledge and understanding on its patterns of spread, prevalence and persistence in communities in low resource settings is limited. Methods We present findings of a molecular-epidemiological analysis of nasal samples from children &lt; 5 years of age admitted with syndromic pneumonia between 2007 and 2016 to Kilifi County Hospital, coastal Kenya. HMPV infection was detected using real-time RT-PCR and positives sequenced in the fusion (F) and attachment (G) genes followed by phylogenetic analysis. The association between disease severity and HMPV subgroup was assessed using Fisher's exact test. Results Over 10 years, 274/6756 (4.1%) samples screened were HMPV positive. Annual prevalence fluctuated between years ranging 1.2 to 8.7% and lowest in the recent years (2014-2016). HMPV detections were most frequent between October of one year to April of the following year. Genotyping was successful for 205/274 (74.8%) positives revealing clades A2b (41.0%) and A2c (10.7%), and subgroups B1 (23.4%) and B2 (24.9%). The dominance patterns were: clade A2b between 2007 and 11, subgroup B1 between 2012 and 14, and clade A2c in more recent epidemics. Subgroup B2 viruses were present in all the years. Temporal phylogenetic clustering within the subgroups for both local and global sequence data was seen. Subgroups occurring in each epidemic season were comprised of multiple variants. Pneumonia severity did not vary by subgroup (p = 0.264). In both the F and G gene, the sequenced regions were found to be predominantly under purifying selection. Conclusion Subgroup patterns from this rural African setting temporally map with global strain distribution, suggesting a well-mixed global virus transmission pool of HMPV. Persistence in the local community is characterized by repeated introductions of HMPV variants from the global pool. The factors underlying the declining prevalence of HMPV in this population should be investigated.</t>
  </si>
  <si>
    <t xml:space="preserve">[Oketch, John W.; Kamau, Everlyn; Otieno, Grieven P.; Otieno, James R.; Agoti, Charles N.; Nokes, D. James] KEMRI Ctr Geog Med Res Coast, Kenya Medi Iesearch Inst KEMRI Wellcome Trust Res, Kilifi, Kenya; [Agoti, Charles N.; Nokes, D. James] Pwani Univ, Sch Hlth &amp; Human Sci, Kilifi, Kenya; [Nokes, D. James] Univ Warwick, Sch Life Sci, Coventry, W Midlands, England; [Nokes, D. James] Univ Warwick, Zeeman Inst Syst Biol &amp; Infect Dis Epidemiol Res, Coventry, W Midlands, England</t>
  </si>
  <si>
    <t xml:space="preserve">Pwani University; University of Warwick; University of Warwick</t>
  </si>
  <si>
    <t xml:space="preserve">Oketch, JW (corresponding author), KEMRI Ctr Geog Med Res Coast, Kenya Medi Iesearch Inst KEMRI Wellcome Trust Res, Kilifi, Kenya.</t>
  </si>
  <si>
    <t xml:space="preserve">joketch@kemri-wellcome.org</t>
  </si>
  <si>
    <t xml:space="preserve">Nokes, James/0000-0001-5426-1984; Otieno, James/0000-0001-9790-2307; Oketch, John/0000-0002-8020-0787</t>
  </si>
  <si>
    <t xml:space="preserve">Wellcome Trust, United Kingdom [102975, 100542, 084633, 077092]</t>
  </si>
  <si>
    <t xml:space="preserve">Wellcome Trust, United Kingdom(Wellcome Trust)</t>
  </si>
  <si>
    <t xml:space="preserve">This study was supported by the Wellcome Trust, United Kingdom (grants 102975, 100542, 084633, and 077092). The funder had no role in other aspects of the study including its design, data collection, data analysis, data interpretation, or writing of this manuscript.</t>
  </si>
  <si>
    <t xml:space="preserve">10.1186/s12879-019-4381-9</t>
  </si>
  <si>
    <t xml:space="preserve">IU4YB</t>
  </si>
  <si>
    <t xml:space="preserve">WOS:000483591800002</t>
  </si>
  <si>
    <t xml:space="preserve">Egli, A; Bucher, C; Dumoulin, A; Stern, M; Buser, A; Bubendorf, L; Gregor, M; Servida, P; Sommer, G; Bremerich, J; Gratwohl, A; Khanna, N; Widmer, AF; Battegay, M; Tamm, M; Hirsch, HH; Halter, JP</t>
  </si>
  <si>
    <t xml:space="preserve">Egli, A.; Bucher, C.; Dumoulin, A.; Stern, M.; Buser, A.; Bubendorf, L.; Gregor, M.; Servida, P.; Sommer, G.; Bremerich, J.; Gratwohl, A.; Khanna, N.; Widmer, A. F.; Battegay, M.; Tamm, M.; Hirsch, H. H.; Halter, J. P.</t>
  </si>
  <si>
    <t xml:space="preserve">Human metapneumovirus infection after allogeneic hematopoietic stem cell transplantation</t>
  </si>
  <si>
    <t xml:space="preserve">Human metapneumovirus; Posttransplant infection; Treatment; Allogeneic hematopoietic stem cell transplantation; Respiratory virus</t>
  </si>
  <si>
    <t xml:space="preserve">RESPIRATORY VIRUS-INFECTIONS; VIRAL-INFECTIONS; RIBAVIRIN; RECIPIENTS; THERAPY; DIAGNOSTICS; DISEASES</t>
  </si>
  <si>
    <t xml:space="preserve">Background The clinical characteristics of human metapneumovirus (hMPV)-associated lower respiratory tract infection (LRTI) after allogeneic hematopoietic stem cell transplantation (HSCT) is not well described. We describe the clinical course in eight HSCT recipients suffering from hMPV infection. Methods We prospectively included all patients with hMPV-associated LRTI after allogeneic HSCT during a period of 1 year. hMPV was diagnosed by multiplex polymerase chain reaction (PCR) from bronchoalveolar lavage (BAL). Results Eight patients with hMPV-associated LRTI were identified from 93 BAL samples. Three of the eight patients had co-infections with other pathogens. The median age of the patients was 45 years [interquartile range (IQR) 36.8-53.5], the median time posttransplant was 473 days (IQR 251-1,165), 5/8 patients had chronic graft-versus-host disease (cGvHD), and 6/8 patients received immunosuppression. Chest computed tomography (CT) scanning showed a ground-glass pattern in 7/8 patients. Seven of eight patients required hospitalization due to severe symptoms and hypoxemia. All were treated with intravenous immunoglobulin (IVIG), which was combined with oral ribavirin in six patients. The mortality rate was 12.5 % (1/8). Conclusions hMPV-associated LRTI in allogeneic HSCT recipients are not uncommon and present with unspecific respiratory symptoms, ground-glass pattern in CT scanning, and co-infection.</t>
  </si>
  <si>
    <t xml:space="preserve">[Egli, A.; Dumoulin, A.; Hirsch, H. H.] Univ Basel, Dept Biomed, Inst Med Microbiol, Basel, Switzerland; [Egli, A.; Bucher, C.; Stern, M.; Buser, A.; Gratwohl, A.; Halter, J. P.] Univ Basel Hosp, CH-4031 Basel, Switzerland; [Buser, A.] Univ Basel Hosp, Ctr Blood Transfus, CH-4031 Basel, Switzerland; [Bubendorf, L.] Univ Basel, Inst Pathol, Basel, Switzerland; [Gregor, M.] Kantonsspital Luzern, Div Hematol, Luzern, Switzerland; [Servida, P.] EOC Bellinzona, Div Hematol, Bellinzona, Switzerland; [Sommer, G.; Bremerich, J.] Univ Basel Hosp, Clin Radiol &amp; Nucl Med, CH-4031 Basel, Switzerland; [Tamm, M.] Univ Basel Hosp, Clin Pneumol, CH-4031 Basel, Switzerland</t>
  </si>
  <si>
    <t xml:space="preserve">University of Basel; University of Basel; University of Basel; University of Basel; Lucerne Cantonal Hospital; University of Basel; University of Basel</t>
  </si>
  <si>
    <t xml:space="preserve">Egli, A (corresponding author), Univ Basel, Dept Biomed, Inst Med Microbiol, Basel, Switzerland.</t>
  </si>
  <si>
    <t xml:space="preserve">adrian.egli@unibas.ch</t>
  </si>
  <si>
    <t xml:space="preserve">Bremerich, Jens/F-5274-2010; Khanna, Nina/AAL-7648-2021; bucher, christoph/A-2520-2008; Bubendorf, Lukas/G-5299-2015; Buser, Andreas/A-2660-2008</t>
  </si>
  <si>
    <t xml:space="preserve">Khanna, Nina/0000-0002-2642-419X; Sommer, Gregor/0000-0002-8952-0808; Egli, Adrian/0000-0002-3564-8603; Bremerich, Jens/0000-0002-1002-8483; Hirsch, Hans H./0000-0003-0883-0423; Gratwohl, Alois/0000-0002-4821-1726</t>
  </si>
  <si>
    <t xml:space="preserve">10.1007/s15010-012-0279-9</t>
  </si>
  <si>
    <t xml:space="preserve">040ZU</t>
  </si>
  <si>
    <t xml:space="preserve">WOS:000311366800011</t>
  </si>
  <si>
    <t xml:space="preserve">Kitagawa, Y; Zhou, M; Yamaguchi, M; Komatsu, T; Takeuchi, K; Itoh, M; Gotoh, B</t>
  </si>
  <si>
    <t xml:space="preserve">Kitagawa, Yoshinori; Zhou, Min; Yamaguchi, Mayu; Komatsu, Takayuki; Takeuchi, Kenji; Itoh, Masae; Gotoh, Bin</t>
  </si>
  <si>
    <t xml:space="preserve">Human metapneumovirus M2-2 protein inhibits viral transcription and replication</t>
  </si>
  <si>
    <t xml:space="preserve">MICROBES AND INFECTION</t>
  </si>
  <si>
    <t xml:space="preserve">Human metapneumovirus; Pneumovirus; Paramyxovirus; M2-2; Transcription; Replication; Minigenome</t>
  </si>
  <si>
    <t xml:space="preserve">RESPIRATORY SYNCYTIAL VIRUS; ACCESSORY C PROTEINS; SENDAI-VIRUS; MESSENGER-RNA; IN-VITRO; GENOME REPLICATION; ELONGATION-FACTOR; INTERFERON-BETA; YOUNG-CHILDREN; CLONED CDNA</t>
  </si>
  <si>
    <t xml:space="preserve">M2-2 protein of human metapneumovirus (HMPV) is encoded by one of two overlapping open reading frames within M2 mRNA. The precise function of HMPV M2-2 protein remains unknown. We here examined effect of M2-2 protein on HMPV transcription and replication using a minigenome construct and monitoring luciferase reporter gene expression. The minigenome assays demonstrated that M2-2 protein inhibited both transcription and RNA replication. The inhibitory function of M2-2 protein was completely abrogated by removal of eight or four amino acids from its N- or C-terminus, respectively, demonstrating importance of both short terminal sequences for maintaining its functional structure. Immunoprecipitation experiments revealed interaction of M2-2 protein with L protein, which might be involved in inhibition of HMPV transcription and replication. Prior accumulation of intracellular M2-2 protein severely restrained HMPV from replicating. Thus inherent viral control of the M2-2 gene expression in infected cells seems to be essential for efficient HMPV replication. (C) 2009 Elsevier Masson SAS. All rights reserved.</t>
  </si>
  <si>
    <t xml:space="preserve">[Kitagawa, Yoshinori; Zhou, Min; Yamaguchi, Mayu; Gotoh, Bin] Shiga Univ Med Sci, Dept Pathol, Div Microbiol &amp; Infect Dis, Shiga 5202192, Japan; [Zhou, Min; Yamaguchi, Mayu; Itoh, Masae] Nagahama Inst Biosci &amp; Technol, Fac Biosci, Shiga 5260829, Japan; [Komatsu, Takayuki] Aichi Med Univ, Sch Med, Dept Microbiol &amp; Immunol, Aichi 4801195, Japan; [Takeuchi, Kenji] Univ Fukui, Fac Med Sci, Dept Pathol Sci, Microbiol Sect, Eiheiji, Fukui 9101193, Japan</t>
  </si>
  <si>
    <t xml:space="preserve">Shiga University of Medical Science; Aichi Medical University; University of Fukui</t>
  </si>
  <si>
    <t xml:space="preserve">Gotoh, B (corresponding author), Shiga Univ Med Sci, Dept Pathol, Div Microbiol &amp; Infect Dis, Seta Tsukinowa Cho, Shiga 5202192, Japan.</t>
  </si>
  <si>
    <t xml:space="preserve">Japan Society for the Promotion of Science [18590446, 19790337]; Shiga University of Medical Science, Wajinkai; Yakult foundation, Japan; Grants-in-Aid for Scientific Research [18590446, 19790337, 22590414] Funding Source: KAKEN</t>
  </si>
  <si>
    <t xml:space="preserve">Japan Society for the Promotion of Science(Ministry of Education, Culture, Sports, Science and Technology, Japan (MEXT)Japan Society for the Promotion of Science); Shiga University of Medical Science, Wajinkai(Shiga University of Medical Science); Yakult foundation, Japan; Grants-in-Aid for Scientific Research(Ministry of Education, Culture, Sports, Science and Technology, Japan (MEXT)Japan Society for the Promotion of ScienceGrants-in-Aid for Scientific Research (KAKENHI))</t>
  </si>
  <si>
    <t xml:space="preserve">We thank Goto I. (Sendai) in Miyagi Prefectural Institute of Public Health and Environment for providing HMPV Jpn03-1, Conzelmann K.K. (Munich) for providing BSR T7/5, Yanagi Y. (Fukuoka) for providing pCA7, Miyazaki J. (Osaka) for his permission to use the CAG promoter of pCA7. Sequence analyses were performed using the ABI PRISM 310 Genetic Analyzer in the Central Research Laboratory Shiga University of Medical Science. This work was supported by Grants-inAid (No. 18590446 and No. 19790337) for Scientific Research from the Japan Society for the Promotion of Science and by grants from Shiga University of Medical Science, Wajinkai, and Yakult foundation, Japan.</t>
  </si>
  <si>
    <t xml:space="preserve">1286-4579</t>
  </si>
  <si>
    <t xml:space="preserve">1769-714X</t>
  </si>
  <si>
    <t xml:space="preserve">MICROBES INFECT</t>
  </si>
  <si>
    <t xml:space="preserve">Microbes Infect.</t>
  </si>
  <si>
    <t xml:space="preserve">10.1016/j.micinf.2009.11.002</t>
  </si>
  <si>
    <t xml:space="preserve">561OY</t>
  </si>
  <si>
    <t xml:space="preserve">WOS:000274988700007</t>
  </si>
  <si>
    <t xml:space="preserve">Alvarez, R; Jones, LP; Seal, BS; Kapczynski, DR; Tripp, RA</t>
  </si>
  <si>
    <t xml:space="preserve">Serological cross-reactivity of members of the Metapneumovirus genus</t>
  </si>
  <si>
    <t xml:space="preserve">human metapneumovirus; pneumovirus; avian metapneumovirus; respiratory syncytial virus; antibody</t>
  </si>
  <si>
    <t xml:space="preserve">ACQUIRED RESPIRATORY ILLNESS; NEWCASTLE-DISEASE VIRUS; AVIAN PNEUMOVIRUS; G-GLYCOPROTEIN; SUBGROUP-A; SEQUENCE-ANALYSIS; ESCHERICHIA-COLI; YOUNG-CHILDREN; INFECTION; TURKEYS</t>
  </si>
  <si>
    <t xml:space="preserve">Respiratory tract infections are a leading cause of morbidity and mortality worldwide. Human metapneumovirus (HMPV) is a recently discovered respiratory pathogen of the Paramyxovirus family in the Metapneumovirus genus. HMPV was first isolated from young children in The Netherlands with respiratory illness similar to human respiratory syncytial virus (RSV) infection. Epidemiological data indicates that HMPV co-circulates with RSV in the community. Few immunological tools are available to study the virological features of HMPV infection, thus current studies rely on reverse-transcription (RT) polymerase chain reaction (PCR) for detection. In this study, we examine serological cross-reactivity of RSV, HMPV and other Metapneumovirus members, i.e. avian metapneumovirus (AMPV), and show that polyclonal and monoclonal antibodies reactive to a conserved region in AMPV nucleoprotein (N) cross-react with HMPV N protein, but not with RSV N protein by ELISA,Western blot and immunohistochemical assays. In addition, we show that HMPV infection in the lungs of BALB/c mice can be detected using anti-N protein antibody. These reagents provide new tools and methods for investigating HMPV infection, for differentiating HMPV from RSV infection, and may be useful for characterizing potential links between HMPV with other respiratory complications. (C) 2004 Elsevier B.V. All rights reserved.</t>
  </si>
  <si>
    <t xml:space="preserve">Ctr Dis Control &amp; Prevent, Natl Ctr Infect Dis, Div Resp &amp; Enter Viruses, Atlanta, GA 30333 USA; USDA ARS, SE Poultry Res Lab, Athens, GA 30605 USA</t>
  </si>
  <si>
    <t xml:space="preserve">Centers for Disease Control &amp; Prevention - USA; United States Department of Agriculture (USDA)</t>
  </si>
  <si>
    <t xml:space="preserve">Univ Georgia, Coll Vet Med, Dept Med Microbiol, Room 356, Athens, GA 30602 USA.</t>
  </si>
  <si>
    <t xml:space="preserve">rtripp@vet.uga.edu</t>
  </si>
  <si>
    <t xml:space="preserve">Tripp, Ralph/F-5218-2011</t>
  </si>
  <si>
    <t xml:space="preserve">Tripp, Ralph/0000-0002-2924-9956</t>
  </si>
  <si>
    <t xml:space="preserve">10.1016/j.virusres.2004.04.019</t>
  </si>
  <si>
    <t xml:space="preserve">853GI</t>
  </si>
  <si>
    <t xml:space="preserve">WOS:000223814800007</t>
  </si>
  <si>
    <t xml:space="preserve">Philippot, Q; Rammaert, B; Dauriat, G; Daubin, C; Schlemmer, F; Costantini, A; Tandjaoui-Lambiotte, Y; Neuville, M; Desrochettes, E; Ferré, A; Contentin, LB; Lescure, FX; Megarbane, B; Belle, A; Dellamonica, J; Jaffuel, S; Meynard, JL; Messika, J; Lau, N; Terzi, N; Runge, I; Sanchez, O; Zuber, B; Guerot, E; Rouze, A; Pavese, P; Bénézit, F; Quenot, JP; Souloy, X; Fanton, AL; Boutoille, D; Bunel, V; Vabret, A; Gaillat, J; Bergeron, A; Lapidus, N; Fartoukh, M; Voiriot, G</t>
  </si>
  <si>
    <t xml:space="preserve">Philippot, Quentin; Rammaert, Blandine; Dauriat, Gaelle; Daubin, Cedric; Schlemmer, Frederic; Costantini, Adrien; Tandjaoui-Lambiotte, Yacine; Neuville, Mathilde; Desrochettes, Emmanuelle; Ferre, Alexis; Contentin, Laetitia Bodet; Lescure, Francois-Xavier; Megarbane, Bruno; Belle, Antoine; Dellamonica, Jean; Jaffuel, Sylvain; Meynard, Jean-Luc; Messika, Jonathan; Lau, Nicolas; Terzi, Nicolas; Runge, Isabelle; Sanchez, Olivier; Zuber, Benjamin; Guerot, Emmanuel; Rouze, Anahita; Pavese, Patricia; Benezit, Francois; Quenot, Jean-Pierre; Souloy, Xavier; Fanton, Anne Lyse; Boutoille, David; Bunel, Vincent; Vabret, Astrid; Gaillat, Jacques; Bergeron, Anne; Lapidus, Nathanael; Fartoukh, Muriel; Voiriot, Guillaume</t>
  </si>
  <si>
    <t xml:space="preserve">Human metapneumovirus infection is associated with a substantial morbidity and mortality burden in adult inpatients</t>
  </si>
  <si>
    <t xml:space="preserve">Human metapneumovirus; Pneumonia; Viral pneumonia; Respiratory viruses</t>
  </si>
  <si>
    <t xml:space="preserve">COMMUNITY-ACQUIRED PNEUMONIA; RESPIRATORY SYNCYTIAL VIRUS; REQUIRING HOSPITALIZATION; CHILDREN</t>
  </si>
  <si>
    <t xml:space="preserve">Background: Human metapneumovirus (hMPV) is one of the leading respiratory viruses. This prospective observational study aimed to describe the clinical features and the outcomes of hMPV-associated lower respiratory tract infections in adult inpatients. Methods: Consecutive adult patients admitted to one of the 31 participating centers with an acute lower respiratory tract infection and a respiratory multiplex PCR positive for hMPV were included. A primary composite end point of complicated course (hospital death and/or the need for invasive mechanical ventilation) was used. Results: Between March 2018 and May 2019, 208 patients were included. The median age was 74 [62 -84] years. Ninety-seven (47 %) patients were men, 187 (90 %) had at least one coexisting illness, and 67 (31 %) were immunocompromised. Median time between first symptoms and hospital admission was 3 [2 -7] days. The two most frequent symptoms were dyspnea (86 %) and cough (85 %). The three most frequent clinical diagnoses were pneumonia (42 %), acute bronchitis (20 %) and acute exacerbation of chronic obstructive pulmonary disease (16 %). Among the 52 (25 %) patients who had a lung CT -scan, the most frequent abnormality was ground glass opacity (41 %). While over four -fifths of patients (81 %) received empirical antibiotic therapy, a bacterial coinfection was diagnosed in 61 (29 %) patients. Mixed flora (16 %) and enterobacteria (5 %) were the predominant documentations. The composite criterion of complicated course was assessable in 202 (97 %) patients, and present in 37 (18 %) of them. In the subpopulation of pneumonia patients (42 %), we observed a more complicated course in those with a bacterial coinfection (8/24, 33 %) as compared to those without (5/60, 8 %) (p = 0.02). Sixty (29 %) patients were admitted to the intensive care unit. Among them, 23 (38 %) patients required invasive mechanical ventilation. In multivariable analysis, tachycardia and alteration of consciousness were identified as risk factors for complicated course. Conclusion: hMPV-associated lower respiratory tract infections in adult inpatients mostly involved elderly people with pre-existing conditions. Bacterial coinfection was present in nearly 30 % of the patients. The need for mechanical ventilation and/or the hospital death were observed in almost 20 % of the patients.</t>
  </si>
  <si>
    <t xml:space="preserve">[Philippot, Quentin] Sorbonne Univ, Hop Tenon, Assistance Publ Hop Paris, Serv Med Intens Reanimat, Paris, France; [Rammaert, Blandine] CHU Poitiers, Malad infect &amp; trop, Poitiers, France; [Dauriat, Gaelle; Bunel, Vincent] Hop Bichat Claude Bernard, Serv Pneumol B, Paris, France; [Daubin, Cedric] CHU Caen Normandie, med intens reanimat, F-14000 Caen, France; [Schlemmer, Frederic] Univ Paris Est Creteil, Fac Sante, INSERM, IMRB, Creteil, France; [Schlemmer, Frederic] Hop Univ Henri Mondor, AP HP, Serv Med Intens &amp; Reanimat, Unite Pneumol, Creteil, France; [Costantini, Adrien] Hop St Louis, APHP, Serv Pneumol, Paris, France; [Tandjaoui-Lambiotte, Yacine] Hop Avicenne, AP HP, Serv med intens reanimat, Bobigny, France; [Neuville, Mathilde] Hop Bichat Claude Bernard, Serv med intens reanimat, AP HP, Paris, France; [Desrochettes, Emmanuelle] St Antoine Hosp, AP HP, Paris, France; [Ferre, Alexis] Ctr hosp Versailles, Serv reanimat Med chirurg, Versailles, France; [Contentin, Laetitia Bodet] Univ Tours, Med Intens Reanimat, INSERM CIC 1415, CHRU Tours,CRICS TriGGERSep Network, Tours, France; [Contentin, Laetitia Bodet] Univ Tours, methodS Patient Ctr Outcomes &amp; Hlth Res SPHERE, INSERM UMR 1246, Tours, France; [Lescure, Francois-Xavier] Hop Bichat Claude Bernard, APHP, Malad infect &amp; trop, Paris, France; [Megarbane, Bruno] Hop Lariboisiere, Serv med intens reanimat, AP HP, Paris, France; [Belle, Antoine] Ctr hosp intercommunal Compiegne Moyon, Serv pneumol, Compiegne, France; [Dellamonica, Jean] UR2CA Univ Cote Azur, Serv med intens reanimat, CHU Nice, Nice, France; [Jaffuel, Sylvain] CHRU Brest, Serv Malad infect &amp; trop, Brest, France; [Meynard, Jean-Luc] Hop St Antoine, AP HP, Malad infect &amp; trop, Paris, France; [Messika, Jonathan] Hop Louis Mourier, AP HP, Reanimat Med chirurgicale, Colombes, France; [Lau, Nicolas] Hosp Nord Essone, Reanimat surveillance continue Site Longjumeau Grp, Longjumeau, France; [Terzi, Nicolas] CHU Grenoble Alpes, Med Intens Reanimat, Grenoble, France; [Runge, Isabelle] CHR Orleans, Med intens reanimat, Orleans, France; [Sanchez, Olivier] Univ Paris Cite, HEGP, AP HP Ctr Univ Paris Cite, Serv pneumol &amp; soins Intens, Paris, France; [Zuber, Benjamin] Hop Foch, Reanimat polyvalente, Suresnes, France; [Guerot, Emmanuel] HEGP, AP HP, Serv medecine intens reanimat, Paris, France; [Rouze, Anahita] Univ Lille, Serv Med Intens Reanimat, UGSF Unite Glycobiol Struct &amp; Fonct, Inserm U1285,CHU Lille,CNRS,UMR 8576, F-59000 Lille, France; [Pavese, Patricia] CHU Grenoble Alpes, Serv Malad infect, Grenoble, France; [Benezit, Francois] CHU Rennes, Serv Malad Infect &amp; Reanimat Med, Rennes, France; [Quenot, Jean-Pierre] CHU Dijon, Serv med intens reanimat, Dijon, France; [Souloy, Xavier] Ctr hosp publ Cotentin, Reanimat polyvalente, Cherbourg En Cotentin, France; [Fanton, Anne Lyse] CHU Dijon Bourgogne, Serv pneumol &amp; soins intens respiratoires, Dijon, France; [Boutoille, David] CHU Nantes, Serv Malad infect &amp; trop, Nantes, France; [Vabret, Astrid] Normandie Univ, FeNoMIH, CHU Caen &amp; Rouen, GRAM EA2656,Lab virol,CHU Caen, Caen, France; [Gaillat, Jacques] Hop Annecy, Serv Malad infect, Epagny Metz Tessy, France; [Bergeron, Anne] Hop Univ Geneve, Serv pneumol, Geneva, Switzerland; [Lapidus, Nathanael] Sorbonne Univ, Hop St Antoine, Assistance Publ Hop Paris, Publ Hlth Dept,Inst Pierre Louis Epidemiol &amp; Sante, Paris, France; [Fartoukh, Muriel] Sorbonne Univ, Hop Tenon, Assistance Publ Hop Paris, Grp Rech Clin CARMAS,Univ Paris Est Creteil,Serv M, Paris, France; [Voiriot, Guillaume] Sorbonne Univ, Hop Tenon, Assistance Publ Hop Paris, Ctr Rech St Antoine UMRS 938 INSERM,Serv Med Inten, Paris, France</t>
  </si>
  <si>
    <t xml:space="preserve">Assistance Publique Hopitaux Paris (APHP); Universite Paris Cite; Hopital Universitaire Saint-Louis - APHP; Sorbonne Universite; Hopital Universitaire Tenon - APHP; CHU Poitiers; Universite de Poitiers; Assistance Publique Hopitaux Paris (APHP); Universite Paris Cite; Hopital Universitaire Bichat-Claude Bernard - APHP; Universite de Caen Normandie; CHU de Caen NORMANDIE; Assistance Publique Hopitaux Paris (APHP); Universite Paris-Est-Creteil-Val-de-Marne (UPEC); Hopital Universitaire Henri-Mondor - APHP; Institut National de la Sante et de la Recherche Medicale (Inserm); Assistance Publique Hopitaux Paris (APHP); Universite Paris-Est-Creteil-Val-de-Marne (UPEC); Hopital Universitaire Henri-Mondor - APHP; Assistance Publique Hopitaux Paris (APHP); Universite Paris Cite; Hopital Universitaire Saint-Louis - APHP; Hopital Universitaire Hotel-Dieu - APHP; Universite Paris 13; Assistance Publique Hopitaux Paris (APHP); Hopital Universitaire Avicenne - APHP; Universite Paris Cite; Assistance Publique Hopitaux Paris (APHP); Hopital Universitaire Bichat-Claude Bernard - APHP; Assistance Publique Hopitaux Paris (APHP); Sorbonne Universite; Hopital Universitaire Saint-Antoine - APHP; Universite Paris Saclay; Centre Hospitalier de Versailles; Institut National de la Sante et de la Recherche Medicale (Inserm); CHU Tours; Universite de Tours; Institut National de la Sante et de la Recherche Medicale (Inserm); Universite de Tours; Assistance Publique Hopitaux Paris (APHP); Universite Paris Cite; Hopital Universitaire Bichat-Claude Bernard - APHP; Assistance Publique Hopitaux Paris (APHP); Universite Paris Cite; Hopital Universitaire Lariboisiere-Fernand-Widal - APHP; CHU Nice; Universite de Bretagne Occidentale; CHU Brest; Assistance Publique Hopitaux Paris (APHP); Sorbonne Universite; Hopital Universitaire Saint-Antoine - APHP; Assistance Publique Hopitaux Paris (APHP); Universite Paris Cite; Hopital Universitaire Louis-Mourier - APHP; CHU Grenoble Alpes; Centre Hospitalier Regional d'Orleans; Universite Paris Cite; Assistance Publique Hopitaux Paris (APHP); Hopital Universitaire Europeen Georges-Pompidou - APHP; Hospital Foch; Assistance Publique Hopitaux Paris (APHP); Universite Paris Cite; Hopital Universitaire Europeen Georges-Pompidou - APHP; Institut National de la Sante et de la Recherche Medicale (Inserm); Centre National de la Recherche Scientifique (CNRS); CNRS - National Institute for Biology (INSB); Universite de Lille; CHU Lille; CHU Grenoble Alpes; CHU Rennes; Universite de Rennes; CHU Dijon Bourgogne; CHU Dijon Bourgogne; Nantes Universite; CHU de Nantes; Universite de Caen Normandie; CHU de Caen NORMANDIE; Centre Hospitalier Annecy Genevois; University of Geneva; Assistance Publique Hopitaux Paris (APHP); Sorbonne Universite; Hopital Universitaire Saint-Antoine - APHP; Universite Paris Cite; Hopital Universitaire Saint-Louis - APHP; Assistance Publique Hopitaux Paris (APHP); Universite Paris Cite; Hopital Universitaire Saint-Louis - APHP; Universite Paris-Est-Creteil-Val-de-Marne (UPEC); CHI Creteil; Sorbonne Universite; Hopital Universitaire Tenon - APHP; Assistance Publique Hopitaux Paris (APHP); Universite Paris Cite; Hopital Universitaire Saint-Louis - APHP; Sorbonne Universite; Hopital Universitaire Tenon - APHP</t>
  </si>
  <si>
    <t xml:space="preserve">Philippot, Q (corresponding author), Hop Bichat Claude Bernard, Serv Pneumol A, 46 rue Henri Huchard, F-75018 Paris, France.;Voiriot, G (corresponding author), Hop Tenon, Med Intens Reanimat, 4 rue Chine, F-75020 Paris, France.</t>
  </si>
  <si>
    <t xml:space="preserve">philippot.quentin@gmail.com; guillaume.voiriot@aphp.fr</t>
  </si>
  <si>
    <t xml:space="preserve">Rouze, Anahita/JDC-3371-2023; Costantini, Adrien/U-9915-2019</t>
  </si>
  <si>
    <t xml:space="preserve">ROUZE, ANAHITA/0000-0002-1330-3161</t>
  </si>
  <si>
    <t xml:space="preserve">European Research Network on Artificial Ventilation (REVA Network); French Clinical Research Network on Infectious Diseases (RENARCI Network); French Research Network on Lung Infectious Diseases (GREPI Network)</t>
  </si>
  <si>
    <t xml:space="preserve">This study has been supported by the European Research Network on Artificial Ventilation (REVA Network), the French Clinical Research Network on Infectious Diseases (RENARCI Network) and the French Research Network on Lung Infectious Diseases (GREPI Network).</t>
  </si>
  <si>
    <t xml:space="preserve">e33231</t>
  </si>
  <si>
    <t xml:space="preserve">10.1016/j.heliyon.2024.e33231</t>
  </si>
  <si>
    <t xml:space="preserve">XP3Q0</t>
  </si>
  <si>
    <t xml:space="preserve">WOS:001262850100001</t>
  </si>
  <si>
    <t xml:space="preserve">Dokos, C; Masjosthusmann, K; Rellensmann, G; Werner, C; Schuler-Lüttmann, S; Müller, KM; Schiborr, M; Ehlert, K; Groll, AH</t>
  </si>
  <si>
    <t xml:space="preserve">Dokos, C.; Masjosthusmann, K.; Rellensmann, G.; Werner, C.; Schuler-Luettmann, S.; Mueller, K. -M.; Schiborr, M.; Ehlert, K.; Groll, A. H.</t>
  </si>
  <si>
    <t xml:space="preserve">Fatal human metapneumovirus infection following allogeneic hematopoietic stem cell transplantation</t>
  </si>
  <si>
    <t xml:space="preserve">human metapneumovirus; pneumonia; mortality; cancer; transplantation; children</t>
  </si>
  <si>
    <t xml:space="preserve">INTRAVENOUS RIBAVIRIN THERAPY; RESPIRATORY-TRACT INFECTIONS; VIRAL-INFECTIONS; RT-PCR; CHILDREN; PNEUMONIA; RECIPIENTS; VIRUSES; DISEASE; YOUNG</t>
  </si>
  <si>
    <t xml:space="preserve">Respiratory viruses are an important yet underestimated cause of infectious morbidity and mortality in immunocompromised children and adolescents. Here, we report the occurrence of fatal lower respiratory tract disease associated with human metapneumovirus (HMPV) infection in a 10-year-old girl with chronic graft-versus-host disease following allogeneic hematopoietic stem cell transplantation (HSCT) for secondary chronic myeloid leukemia. Symptoms occurred 8months after HSCT while on immunosuppression with 0.2mg/kg/day of prednisone, and presented as dry cough, bilateral pneumonitis, and progressive respiratory distress. Non-invasive and invasive microbiological investigations revealed HMPV type B as the sole pathogen. Histopathological findings showed interstitial and intra-alveolar pneumonitis with profound alveolar cell damage. The patient was treated with intravenous and oral ribavirin and polyvalent immunoglobulins, but ultimately died from respiratory failure. The case reflects the potentially fatal impact of infections by respiratory viruses in immunocompromised patients and the need for effective approaches to their prevention and treatment.</t>
  </si>
  <si>
    <t xml:space="preserve">[Dokos, C.; Ehlert, K.; Groll, A. H.] Univ Childrens Hosp Munster, Ctr Bone Marrow Transplantat, Infect Dis Res Program, Munster, Germany; [Dokos, C.; Ehlert, K.; Groll, A. H.] Univ Childrens Hosp Munster, Dept Pediat Hematol Oncol, Munster, Germany; [Masjosthusmann, K.; Rellensmann, G.; Werner, C.] Univ Childrens Hosp Munster, Dept Gen Pediat, Munster, Germany; [Schuler-Luettmann, S.] Univ Med Ctr, Univ Hosp Munster, Dept Med Microbiol, Munster, Germany; [Mueller, K. -M.] Univ Med Ctr, Univ Hosp Munster, Dept Clin Pathol, Munster, Germany; [Schiborr, M.] Univ Med Ctr, Univ Hosp Munster, Dept Diagnost Radiol, Munster, Germany</t>
  </si>
  <si>
    <t xml:space="preserve">University of Munster; University of Munster; University of Munster; University of Munster; University of Munster; University of Munster</t>
  </si>
  <si>
    <t xml:space="preserve">Groll, AH (corresponding author), Childrens Univ Hosp, Ctr Bone Marrow Transplantat, Infect Dis Res Program, Albert Schweitzer Campus 1,Bldg A1, D-48129 Munster, Germany.</t>
  </si>
  <si>
    <t xml:space="preserve">grollan@ukmuenster.de</t>
  </si>
  <si>
    <t xml:space="preserve">Masjosthusmann, Katja/V-3563-2019</t>
  </si>
  <si>
    <t xml:space="preserve">E97</t>
  </si>
  <si>
    <t xml:space="preserve">E101</t>
  </si>
  <si>
    <t xml:space="preserve">10.1111/tid.12074</t>
  </si>
  <si>
    <t xml:space="preserve">156OM</t>
  </si>
  <si>
    <t xml:space="preserve">WOS:000319832000002</t>
  </si>
  <si>
    <t xml:space="preserve">Madhi, SA; Ludewick, H; Kuwanda, L; van Niekerk, N; Cutland, C; Klugman, KP</t>
  </si>
  <si>
    <t xml:space="preserve">Madhi, Shabir A.; Ludewick, Herbert; Kuwanda, Locadiah; van Niekerk, Nadia; Cutland, Clare; Klugman, Keith P.</t>
  </si>
  <si>
    <t xml:space="preserve">Seasonality, incidence, and repeat human metapneumovirus lower respiratory tract infections in an area with a high prevalence of human immunodeficiency virus type-1 infection</t>
  </si>
  <si>
    <t xml:space="preserve">human metapneumovirus; pneumonia; HIV; epidemiology</t>
  </si>
  <si>
    <t xml:space="preserve">PNEUMOCOCCAL CONJUGATE VACCINE; SYNCYTIAL VIRUS; UNINFECTED CHILDREN; DISEASE; PNEUMONIA; INFANTS; ADULTS; MANIFESTATIONS; BRONCHIOLITIS; DIAGNOSIS</t>
  </si>
  <si>
    <t xml:space="preserve">Background: There is limited information regarding the epidemiology of human metapneumovirus (hMPV) from Africa, despite it being identified as a common pathogen in children with pneumonia. Objectives: Determine the epidemiology of severe hMPV-associated lower respiratory tract infection (LRTI) in human immunodeficiency virus type-1 (HIV) infected and uninfected children. Methods: Nasopharyngeal aspirate samples from children hospitalized for LRTI between January 2000 and December 2002 were analyzed for common respiratory viruses using an immunfluorescence assay; and 2715 available nasopharyngeal aspirate samples were tested for hMPV by reverse-transcriptase polymerase chain reaction targeting its fusion protein. Phylogenetic analysis of the fusion (F) gene was performed on samples associated with repeat hMPV infections in the same child. Results: hMPV was identified perennially and was the second most commonly identified respiratory virus (11.3% versus 21.1% for respiratory syncytial virus, P &lt; 0.0001) in HIV-uninfected children. The burden of hospitalization for hMPV-LRTI was 5.4 (95% CI: 3.5-7.5) fold greater in HIV-infected (2935 per 100,000) compared with HIV-uninfected children [575 (95% CI: 472-695) per 100,000]. HIV-infected children had greater evidence of bacteria] coinfection and a higher mortality rate than did uninfected children. Repeat hMPV associated hospitalizations involved homologous (B2 subgroup) and heterologous (A1 and B2) hMPV. Conclusions: There is a high burden of hMPV-LRTI and repeat severe infections occur from homologous and heterologous subgroups of the virus.</t>
  </si>
  <si>
    <t xml:space="preserve">Univ Witwatersrand, MRC, Resp &amp; Meningeal Pathogens Res Unit, Chris Hani Baragwanath Hosp, ZA-2013 Bertsham, South Africa; Emory Univ, Sch Med, Dept Global Hlth, Rollins Sch Publ Hlth, Atlanta, GA 30322 USA; Emory Univ, Sch Med, Div Infect Dis, Atlanta, GA 30322 USA</t>
  </si>
  <si>
    <t xml:space="preserve">University of Witwatersrand; Emory University; Rollins School Public Health; Emory University</t>
  </si>
  <si>
    <t xml:space="preserve">Madhi, SA (corresponding author), Univ Witwatersrand, MRC, Resp &amp; Meningeal Pathogens Res Unit, Chris Hani Baragwanath Hosp, 1st Floor W Wing Nurses Residence, ZA-2013 Bertsham, South Africa.</t>
  </si>
  <si>
    <t xml:space="preserve">madhis@hivsa.com</t>
  </si>
  <si>
    <t xml:space="preserve">; Cutland, Clare/JCD-8654-2023</t>
  </si>
  <si>
    <t xml:space="preserve">Ludewick, Herbert/0000-0001-5398-5112; Cutland, Clare/0000-0001-8250-8307; Madhi, Shabir/0000-0002-7629-0636</t>
  </si>
  <si>
    <t xml:space="preserve">10.1097/INF.0b013e3180621192</t>
  </si>
  <si>
    <t xml:space="preserve">198SJ</t>
  </si>
  <si>
    <t xml:space="preserve">WOS:000248647500006</t>
  </si>
  <si>
    <t xml:space="preserve">Ji, WQ; Chen, Y; Han, SJ; Dai, BW; Li, K; Li, S; Li, ZJ; Chen, SH; Zhang, YD; Zhang, XL; Li, XL; Wang, QM; Zheng, JY; Wang, CY; Liang, QJ; Han, SJ; Zhang, RY; Wang, F; Jin, YF</t>
  </si>
  <si>
    <t xml:space="preserve">Ji, Wangquan; Chen, Yu; Han, Shujie; Dai, Bowen; Li, Kang; Li, Shuang; Li, Zijie; Chen, Shouhang; Zhang, Yaodong; Zhang, Xiaolong; Li, Xiaolong; Wang, Qingmei; Zheng, Jiaying; Wang, Chenyu; Liang, Qiujing; Han, Shujuan; Zhang, Ruyu; Wang, Fang; Jin, Yuefei</t>
  </si>
  <si>
    <t xml:space="preserve">Clinical and epidemiological characteristics of 96 pediatric human metapneumovirus infections in Henan, China after COVID-19 pandemic: a retrospective analysis</t>
  </si>
  <si>
    <t xml:space="preserve">Human metapneumovirus; Pneumonia; Epidemiological characteristics; Clinical characteristics; Coinfection</t>
  </si>
  <si>
    <t xml:space="preserve">RESPIRATORY-INFECTIONS; GLOBAL BURDEN; CHILDREN; VACCINE</t>
  </si>
  <si>
    <t xml:space="preserve">Background In the aftermath of the COVID-19 pandemic, there has been a surge in human metapneumovirus (HMPV) transmission, surpassing pre-epidemic levels. We aim to elucidate the clinical and epidemiological characteristics of HMPV infections in the post-COVID-19 pandemic era. Methods In this retrospective single-center study, participants diagnosed with laboratory confirmed HMPV infection through Targeted Next Generation Sequencing were included. The study encompassed individuals admitted to Henan Children's Hospital between April 29 and June 5, 2023. Demographic information, clinical records, and laboratory indicators were analyzed. Results Between April 29 and June 5, 2023, 96 pediatric patients were identified as infected with HMPV with a median age of 33.5 months (interquartile range, 12 similar to 48 months). The majority (87.5%) of infected children were under 5 years old. Notably, severe cases were statistically younger. Predominant symptoms included fever (81.3%) and cough (92.7%), with wheezing more prevalent in the severe group (56% vs 21.1%). Coinfection with other viruses was observed in 43 patients, with Epstein-Barr virus (EBV) (15.6%) or human rhinovirus A (HRV type A) (12.5%) being the most common. Human respiratory syncytial virus (HRSV) coinfection rate was significantly higher in the severe group (20% vs 1.4%). Bacterial coinfection occurred in 74 patients, with Haemophilus influenzae (Hin) and Streptococcus pneumoniae (SNP) being the most prevalent (52.1% and 41.7%, respectively). Severe patients demonstrated evidence of multi-organ damage. Noteworthy alterations included lower concentration of IL-12p70, decreased lymphocytes percentages, and elevated B lymphocyte percentages in severe cases, with statistical significance. Moreover, most laboratory indicators exhibited significant changes approximately 4 to 5 days after onset. Conclusions Our data systemically elucidated the clinical and epidemiological characteristics of pediatric patients with HMPV infection, which might be instructive to policy development for the prevention and control of HMPV infection and might provide important clues for future HMPV research endeavors.</t>
  </si>
  <si>
    <t xml:space="preserve">[Ji, Wangquan; Chen, Shouhang; Wang, Qingmei; Zheng, Jiaying; Wang, Chenyu; Liang, Qiujing; Han, Shujuan; Zhang, Ruyu; Wang, Fang; Jin, Yuefei] Zhengzhou Univ, Childrens Hosp, Henan Childrens Hosp, Zhengzhou Childrens Hosp,Dept Infect Dis, Zhengzhou 450018, Henan, Peoples R China; [Ji, Wangquan; Chen, Yu; Han, Shujie; Dai, Bowen; Li, Kang; Li, Shuang; Li, Zijie; Li, Xiaolong; Jin, Yuefei] Zhengzhou Univ, Coll Publ Hlth, Dept Epidemiol, Zhengzhou 450001, Henan, Peoples R China; [Zhang, Yaodong] Zhengzhou Univ, Henan Int Joint Lab Childrens Infect Dis, Zhengzhou Childrens Hosp, Henan Childrens Hosp,Childrens Hosp, Zhengzhou 450018, Henan, Peoples R China; [Zhang, Xiaolong] NHC Key Lab Birth Defects Prevent, Zhengzhou 450002, Henan, Peoples R China; [Zhang, Xiaolong] Henan Key Lab Populat Defects Prevent, Zhengzhou 450002, Henan, Peoples R China</t>
  </si>
  <si>
    <t xml:space="preserve">Zhengzhou University; Zhengzhou University; Zhengzhou University</t>
  </si>
  <si>
    <t xml:space="preserve">Wang, F; Jin, YF (corresponding author), Zhengzhou Univ, Childrens Hosp, Henan Childrens Hosp, Zhengzhou Childrens Hosp,Dept Infect Dis, Zhengzhou 450018, Henan, Peoples R China.;Jin, YF (corresponding author), Zhengzhou Univ, Coll Publ Hlth, Dept Epidemiol, Zhengzhou 450001, Henan, Peoples R China.</t>
  </si>
  <si>
    <t xml:space="preserve">13783637576@139.com; jyf201907@zzu.edu.cn</t>
  </si>
  <si>
    <t xml:space="preserve">zhang, xiaoyu/KEJ-0657-2024; Zhang, Xiaolong/AAX-3276-2020; Zhang, Yaodong/JFA-4778-2023; wang, lili/HDL-7210-2022; zhang, ruyu/KEE-9476-2024; Dai, Bowen/ABB-6070-2021</t>
  </si>
  <si>
    <t xml:space="preserve">National Natural Science Foundation of China [82002147, 82372229]; China Postdoctoral Science Foundation [2019M662543]; Open Research Fund of National Health Commission Key Laboratory of Birth Defects Prevention &amp; Henan Key Laboratory of Population Defects Prevention [ZD202301]</t>
  </si>
  <si>
    <t xml:space="preserve">National Natural Science Foundation of China(National Natural Science Foundation of China (NSFC)); China Postdoctoral Science Foundation(China Postdoctoral Science Foundation); Open Research Fund of National Health Commission Key Laboratory of Birth Defects Prevention &amp; Henan Key Laboratory of Population Defects Prevention</t>
  </si>
  <si>
    <t xml:space="preserve">This work was supported by the National Natural Science Foundation of China (YJ., NO. 82002147 and NO. 82372229), China Postdoctoral Science Foundation (YJ., NO. 2019M662543), and by Open Research Fund of National Health Commission Key Laboratory of Birth Defects Prevention &amp; Henan Key Laboratory of Population Defects Prevention (YJ., NO. ZD202301).</t>
  </si>
  <si>
    <t xml:space="preserve">10.1186/s12985-024-02376-0</t>
  </si>
  <si>
    <t xml:space="preserve">PB0J3</t>
  </si>
  <si>
    <t xml:space="preserve">WOS:001211499800001</t>
  </si>
  <si>
    <t xml:space="preserve">Kapandji, N; Darmon, M; Valade, S; Salmona, M; Legoff, J; Zafrani, L; Azoulay, E; Lemiale, V</t>
  </si>
  <si>
    <t xml:space="preserve">Kapandji, Natacha; Darmon, Michael; Valade, Sandrine; Salmona, Maud; Legoff, Jerome; Zafrani, Lara; Azoulay, Elie; Lemiale, Virginie</t>
  </si>
  <si>
    <t xml:space="preserve">Clinical significance of human metapneumovirus detection in critically ill adults with lower respiratory tract infections</t>
  </si>
  <si>
    <t xml:space="preserve">Human Metapneumovirus; Pneumonia; Coinfection; Immunocompromised</t>
  </si>
  <si>
    <t xml:space="preserve">PUBLICATION BIAS; FILL; TRIM</t>
  </si>
  <si>
    <t xml:space="preserve">BackgroundUnlike other viruses, the pathogenicity of human metapneumovirus (hMPV) in adults remains uncertain. To address this question, a retrospective monocentric cohort including all patients admitted to ICU with hMPV infection between January 1, 2010, and June 30, 2018 was performed. The characteristics of hMPV infected patients were studied and compared to matched influenza infected patients. Consecutively, a systematic review and meta-analyses investigating PUBMED, EMBASE and COCHRANE databases was conducted to explore the hMPV infections in adult patients (PROSPERO number: CRD42018106617). Trials, case series, and cohorts published between January 1, 2008 and August 31, 2019 compiling adults presenting hMPV infections were included. Pediatric studies were excluded. Data were extracted from published reports. Primary endpoint was the rate of low respiratory tract infections (LRTIs) among all hMPV infected patients.ResultsDuring the study period, 402 patients were tested positive for hMPV. Among them 26 (6.5%) patients were admitted to the ICU, 19 (4.7%) for acute respiratory failure. Twenty-four (92%) were immunocompromised. Bacterial coinfections were frequent 53.8%. Hospital mortality rate was 30.8%. In the case-control analysis, the clinical and imaging characteristics were not different between hMPV and influenza infected patients. The systematic review identified 156 studies and 69 of them (1849 patients) were eligible for analysis. Although there was heterogeneity between the studies, the rate of hMPV LRTIs was 45% (95% CI 31-60%; I-2 = 98%). Intensive care unit (ICU) admission was required for 33% (95% CI 21-45%; I-2 = 99%). Hospital mortality rate was 10% (95% CI 7-13%; I-2 = 83%) and ICU mortality rate was 23% (95% CI 12-34%; I-2 = 65%). Underlying malignancy was independently associated with increased mortality rate.ConclusionsThis preliminary work suggested that hMPV may be associated with severe infection and high mortality in patients with underlying malignancies. However, regarding the small size of the cohort and the heterogeneity of the review, more cohort studies are warranted.</t>
  </si>
  <si>
    <t xml:space="preserve">[Kapandji, Natacha; Darmon, Michael; Valade, Sandrine; Zafrani, Lara; Azoulay, Elie; Lemiale, Virginie] St Louis Acad Hosp, Med ICU, APHP, 1 Ave Claude Vellefaux, F-75010 Paris, France; [Salmona, Maud; Legoff, Jerome] St Louis Hosp, Virol Dept, Paris, France</t>
  </si>
  <si>
    <t xml:space="preserve">Assistance Publique Hopitaux Paris (APHP); Universite Paris Cite; Hopital Universitaire Hotel-Dieu - APHP; Hopital Universitaire Saint-Louis - APHP; Assistance Publique Hopitaux Paris (APHP); Universite Paris Cite; Hopital Universitaire Saint-Louis - APHP</t>
  </si>
  <si>
    <t xml:space="preserve">Kapandji, N (corresponding author), St Louis Acad Hosp, Med ICU, APHP, 1 Ave Claude Vellefaux, F-75010 Paris, France.</t>
  </si>
  <si>
    <t xml:space="preserve">natacha.kapandji@aphp.fr</t>
  </si>
  <si>
    <t xml:space="preserve">le goff, jerome/B-3447-2016; Darmon, Michael/KEH-1125-2024; salmona, mario/AAA-7116-2020; Azoulay, Elie/HLG-3693-2023</t>
  </si>
  <si>
    <t xml:space="preserve">Kapandji, Natacha/0000-0002-3350-3689</t>
  </si>
  <si>
    <t xml:space="preserve">MAR 20</t>
  </si>
  <si>
    <t xml:space="preserve">10.1186/s13613-023-01117-w</t>
  </si>
  <si>
    <t xml:space="preserve">9Z0ZN</t>
  </si>
  <si>
    <t xml:space="preserve">WOS:000950878700001</t>
  </si>
  <si>
    <t xml:space="preserve">Xu, JY; Zhang, Y; Williams, JV</t>
  </si>
  <si>
    <t xml:space="preserve">Xu, Jiuyang; Zhang, Yu; Williams, John, V</t>
  </si>
  <si>
    <t xml:space="preserve">Development and optimization of a direct plaque assay for trypsin-dependent human metapneumovirus strains</t>
  </si>
  <si>
    <t xml:space="preserve">Human metapneumovirus; Plaque assay; Quantification</t>
  </si>
  <si>
    <t xml:space="preserve">PNEUMONIA REQUIRING HOSPITALIZATION; RESPIRATORY SYNCYTIAL VIRUS; NEUTRALIZATION ASSAY; TRACT DISEASE; CLONED CDNA; INFECTION; CHILDREN; RECOVERY; CELLS; PATHOGENESIS</t>
  </si>
  <si>
    <t xml:space="preserve">Human metapneumovirus (HMPV) is a non-segmented, negative strand RNA virus belonging to the family Pneumoviridae, previously a subfamily of Paramyxoviridae. It is a leading cause of lower respiratory tract infection in infants, children, and adults with underlying medical conditions. HMPV grows poorly in cell culture and requires trypsin to cleave and mature the virus particles, which adds to the challenge of HMPV research. Currently, an indirect immuno-staining assay is commonly used to titrate HMPV, which is time-consuming and costly. In order to simplify virus quantification for HMPV, a direct plaque assay was developed. By optimizing trypsin concentration and other supplements in the agarose overlay, it was found that HMPV strains from all four subgroups formed clear and countable plaques 5-7 days post-infection. Animal tissue homogenate can also be directly titrated with this assay. Compared with the traditional assay, the direct plaque assay yields similar titer result, but saves time and eliminates the use of antibodies. Potentially, it can also be applied to plaque purification for HMPV clinical isolates. The direct plaque assay will be a valuable tool in HMPV research.</t>
  </si>
  <si>
    <t xml:space="preserve">[Xu, Jiuyang; Zhang, Yu; Williams, John, V] Univ Pittsburgh, Childrens Hosp Pittsburgh, Dept Pediat, Sch Med,UPMC, Pittsburgh, PA 15224 USA; [Xu, Jiuyang] Tsinghua Univ, Dept Basic Med Sci, Sch Med, Beijing 100084, Peoples R China</t>
  </si>
  <si>
    <t xml:space="preserve">Pennsylvania Commonwealth System of Higher Education (PCSHE); University of Pittsburgh; Tsinghua University</t>
  </si>
  <si>
    <t xml:space="preserve">Williams, John/ABE-3227-2020; Zhang, Yu/AAE-3574-2022; Williams, John/F-6962-2010</t>
  </si>
  <si>
    <t xml:space="preserve">Xu, Jiuyang/0000-0002-1906-5918; Williams, John/0000-0001-8377-5175</t>
  </si>
  <si>
    <t xml:space="preserve">NIH/NIAID [R01 AI085062-06]; Research Advisory Council (RAC) fellowship award from Children's Hospital of Pittsburgh of UPMC; China Scholarship Council [[2016]3097]</t>
  </si>
  <si>
    <t xml:space="preserve">NIH/NIAID(United States Department of Health &amp; Human ServicesNational Institutes of Health (NIH) - USANIH National Institute of Allergy &amp; Infectious Diseases (NIAID)); Research Advisory Council (RAC) fellowship award from Children's Hospital of Pittsburgh of UPMC; China Scholarship Council(China Scholarship Council)</t>
  </si>
  <si>
    <t xml:space="preserve">This work was supported by NIH/NIAID grant R01 AI085062-06 to JVW. YZ received a Research Advisory Council (RAC) fellowship award from the Children's Hospital of Pittsburgh of UPMC. JX received funding as visiting scholar to the University of Pittsburgh from China Scholarship Council([2016]3097). We thank Dr. Bernadette G. van den Hoogen, Dr. Martin L. Moore, and Dr. Jianrong Li for the HMPV and RSV reverse genetics systems, and we thank Dr. Ursula Buchholz for BSR-T7/5 cells to generate recombinant viruses.</t>
  </si>
  <si>
    <t xml:space="preserve">10.1016/j.jviromet.2018.05.012</t>
  </si>
  <si>
    <t xml:space="preserve">GO0YX</t>
  </si>
  <si>
    <t xml:space="preserve">WOS:000439673700001</t>
  </si>
  <si>
    <t xml:space="preserve">Carr, MJ; Waters, A; Fenwick, F; Toms, GL; Hall, WW; O'Kelly, E</t>
  </si>
  <si>
    <t xml:space="preserve">Carr, Michael J.; Waters, Allison; Fenwick, Fiona; Toms, Geoffrey L.; Hall, William W.; O'Kelly, Edwin</t>
  </si>
  <si>
    <t xml:space="preserve">Molecular epidemiology of human metapneumovirus in Ireland</t>
  </si>
  <si>
    <t xml:space="preserve">human metapneumovirus; phylogenetics; molecular epidemiology; immunofluorescence; quantitative real-time RT-PCR</t>
  </si>
  <si>
    <t xml:space="preserve">RESPIRATORY SYNCYTIAL VIRUS; GENETIC DIVERSITY; TRACT INFECTIONS; YOUNG-CHILDREN; COINFECTION; PREVALENCE; SECRETIONS; CULTURES; INFANTS; ASSAY</t>
  </si>
  <si>
    <t xml:space="preserve">Human metapneumovirus (hMPV) is a cause of respiratory illness ranging from wheezing to bronchiolitis and pneumonia in children. A quantitative real-time reverse-transcriptase polymerase chain reaction (RT-PCR) assay was developed for the detection of all four main genetic lineages of hMPV and employed to validate an indirect immunofluorescence (IF) assay to detect hMPV positive specimens. The IF assay detected 24 positives from a screen of 625 randomly selected pediatric respiratory specimens collected (3.8% prevalence). From this cohort of 625 specimens, 229 were also tested by real-time RT-PCR assay. This included the 24 IF positive specimens and 205 randomly selected specimens from both study periods. In addition to confirming all the IF positives, the real-time assay detected an additional six hMPV positive specimens giving rise to a combined prevalence of 4.8%. Phylogenetic analysis showed that hMPV subtypes A2b and B2 to be the most prevalent genotypes circulating in our population and surprisingly no hMPV subgroups A1 or B1 were detected during this study period. Based on this phylogenetic analysis, we propose the existence of sub-clusters of hMPV genotype B2 present in our population which we term subtypes B2a and B2b. The mean log 10 copies/ml of quantitative RT-PCR determinations from these 30 hMPV positive respiratory specimens was 6.35 (range = 4.44-8.15). Statistical analysis of quantitative RT-PCR determinations of viral load from these 30 respiratory specimens suggests that hMPV genotype B specimens have a higher viral load than hMPV genotype A isolates (P &lt; 0.03).</t>
  </si>
  <si>
    <t xml:space="preserve">[Carr, Michael J.; Waters, Allison; Hall, William W.; O'Kelly, Edwin] Univ Coll Dublin, Natl Virus Reference Lab, Dublin 4, Ireland; [Fenwick, Fiona; Toms, Geoffrey L.] Newcastle Univ, Sch Clin Med Sci, Newcastle Upon Tyne, Tyne &amp; Wear, England; [Hall, William W.] Univ Coll Dublin, Ctr Res Infect Dis, Dublin 2, Ireland</t>
  </si>
  <si>
    <t xml:space="preserve">University College Dublin; Newcastle University - UK; University College Dublin</t>
  </si>
  <si>
    <t xml:space="preserve">O'Kelly, E (corresponding author), Univ Coll Dublin, Natl Virus Reference Lab, Dublin 4, Ireland.</t>
  </si>
  <si>
    <t xml:space="preserve">edwin.okelly@ucd.ie</t>
  </si>
  <si>
    <t xml:space="preserve">chen, yaling/HOH-6338-2023</t>
  </si>
  <si>
    <t xml:space="preserve">Carr, Michael/0000-0003-0011-6209; Waters, Allison/0000-0002-5048-5021</t>
  </si>
  <si>
    <t xml:space="preserve">10.1002/jmv.21081</t>
  </si>
  <si>
    <t xml:space="preserve">256UX</t>
  </si>
  <si>
    <t xml:space="preserve">WOS:000252756500019</t>
  </si>
  <si>
    <t xml:space="preserve">Pollett, S; Trovao, NS; Tan, Y; Eden, JS; Halpin, RA; Bera, J; Das, SR; Wentworth, D; Ocaña, V; Mendocilla, SM; Alvarez, C; Calisto, ME; Garcia, J; Halsey, E; Ampuero, JS; Nelson, MI; Leguia, M</t>
  </si>
  <si>
    <t xml:space="preserve">Pollett, Simon; Trovao, Nidia S.; Tan, Yi; Eden, John-Sebastian; Halpin, Rebecca A.; Bera, Jayati; Das, Suman R.; Wentworth, David; Ocana, Victor; Mendocilla, Silvia M.; Alvarez, Carlos; Calisto, Maria E.; Garcia, Josefina; Halsey, Eric; Ampuero, Julia S.; Nelson, Martha I.; Leguia, Mariana</t>
  </si>
  <si>
    <t xml:space="preserve">The transmission dynamics and diversity of human metapneumovirus in Peru</t>
  </si>
  <si>
    <t xml:space="preserve">human metapneumovirus; Peru; phylogeography; transmission dynamics</t>
  </si>
  <si>
    <t xml:space="preserve">BackgroundThe transmission dynamics of human metapneumovirus (HMPV) in tropical countries remain unclear. Further understanding of the genetic diversity of the virus could aid in HMPV vaccine design and improve our understanding of respiratory virus transmission dynamics in low- and middle-income countries. Materials &amp; MethodsWe examined the evolution of HMPV in Peru through phylogenetic analysis of 61 full genome HMPV sequences collected in three ecologically diverse regions of Peru (Lima, Piura, and Iquitos) during 2008-2012, comprising the largest data set of HMPV whole genomes sequenced from any tropical country to date. ResultsWe revealed extensive genetic diversity generated by frequent viral introductions, with little evidence of local persistence. While considerable viral traffic between non-Peruvian countries and Peru was observed, HMPV epidemics in Peruvian locales were more frequently epidemiologically linked with other sites within Peru. We showed that Iquitos experienced greater HMPV traffic than the similar sized city of Piura by both Bayesian and maximum likelihood methods. ConclusionsThere is extensive HMPV genetic diversity even within smaller and relatively less connected cities of Peru and this virus is spatially fluid. Greater diversity of HMPV in Iquitos compared to Piura may relate to higher volumes of human movement, including air traffic to this location.</t>
  </si>
  <si>
    <t xml:space="preserve">[Pollett, Simon; Eden, John-Sebastian] Univ Sydney, Sydney, NSW, Australia; [Pollett, Simon] Walter Reed Army Inst Res, Silver Spring, MD 20910 USA; [Trovao, Nidia S.; Nelson, Martha I.] NIH, Bldg 10, Bethesda, MD 20892 USA; [Trovao, Nidia S.] Mt Sinai Univ, New York, NY USA; [Tan, Yi; Halpin, Rebecca A.; Bera, Jayati; Das, Suman R.; Wentworth, David] J Craig Venter Inst, Rockville, MD USA; [Ocana, Victor] Minist Salud, Pachitea Hlth Ctr, Piura, Peru; [Mendocilla, Silvia M.] Minist Salud, Hosp Daniel Alcides Carrion, Callao, Peru; [Alvarez, Carlos] Direcc Reg Salud Loreto, Loreto, Peru; [Calisto, Maria E.] Seguro Social Salud EsSalud, Hosp Nacl Edgardo Rebagliati Martins, Lima, Peru; [Garcia, Josefina; Halsey, Eric; Ampuero, Julia S.; Leguia, Mariana] US Naval Med Res Unit 6, Lima, Peru; [Das, Suman R.] Vanderbilt Univ, Med Ctr, Nashville, TN USA</t>
  </si>
  <si>
    <t xml:space="preserve">University of Sydney; United States Department of Defense; United States Army; Walter Reed Army Institute of Research (WRAIR); National Institutes of Health (NIH) - USA; Icahn School of Medicine at Mount Sinai; J. Craig Venter Institute; Seguro Social de Salud del Peru; Naval Medical Research Center (NMRC); Naval Medical Research Unit No. 6 (NAMRU-6); Vanderbilt University</t>
  </si>
  <si>
    <t xml:space="preserve">Pollett, S (corresponding author), Walter Reed Army Inst Res, Silver Spring, MD 20910 USA.</t>
  </si>
  <si>
    <t xml:space="preserve">spollett@med.usyd.edu.au</t>
  </si>
  <si>
    <t xml:space="preserve">Das, Suman/ABB-7273-2020; Trovão, Nídia/GPX-3458-2022; Halsey, Eric/AAC-8110-2022; Eden, John-Sebastian/H-7076-2019; OCANA GUTIERREZ, VICTOR R./KQV-2605-2024</t>
  </si>
  <si>
    <t xml:space="preserve">Das, Suman/0000-0003-2496-9724; OCANA GUTIERREZ, VICTOR R./0000-0002-6518-4926; Leguia, Mariana/0000-0002-7297-0263; Eden, John-Sebastian/0000-0003-1374-3551; Halsey, Eric/0000-0001-6291-8923; Sequeira Trovao, Nidia/0000-0002-2106-1166; Ampuero, Julia S./0000-0001-5486-1656</t>
  </si>
  <si>
    <t xml:space="preserve">US Department of Defense Global Emerging Infections Surveillance and Response System (DoD-GEIS) [847705.82000.25GB.B0016]; National Institute of Allergy and Infectious Diseases, National Institutes of Health, Department of Health and Human Services [HHSN272200900007C]; JCVI Genomic Centers for Infectious Diseases Program [NIH/NIAID U19 AI110819]</t>
  </si>
  <si>
    <t xml:space="preserve">US Department of Defense Global Emerging Infections Surveillance and Response System (DoD-GEIS)(United States Department of Defense); National Institute of Allergy and Infectious Diseases, National Institutes of Health, Department of Health and Human Services(United States Department of Health &amp; Human ServicesNational Institutes of Health (NIH) - USANIH National Institute of Allergy &amp; Infectious Diseases (NIAID)); JCVI Genomic Centers for Infectious Diseases Program</t>
  </si>
  <si>
    <t xml:space="preserve">The influenza-like illness surveillance study from which specimens were derived was funded by the US Department of Defense Global Emerging Infections Surveillance and Response System (DoD-GEIS), a division of the Armed Forces Health Surveillance Center, WORK UNIT NUMBER: 847705.82000.25GB.B0016. The sequencing was funded by federal funds from the National Institute of Allergy and Infectious Diseases, National Institutes of Health, Department of Health and Human Services under Contract No. HHSN272200900007C, and data analyses were performed under the JCVI Genomic Centers for Infectious Diseases Program grant support (NIH/NIAID U19 AI110819).</t>
  </si>
  <si>
    <t xml:space="preserve">10.1111/irv.12537</t>
  </si>
  <si>
    <t xml:space="preserve">GJ5SP</t>
  </si>
  <si>
    <t xml:space="preserve">WOS:000435443000010</t>
  </si>
  <si>
    <t xml:space="preserve">Hani, N; Gornick, W; Huff, B; Atienza, J; Singh, J</t>
  </si>
  <si>
    <t xml:space="preserve">Hani, Nellie; Gornick, Wendi; Huff, Beth; Atienza, Jamie; Singh, Jasjit</t>
  </si>
  <si>
    <t xml:space="preserve">Human Metapneumovirus Infection in a Children's Hospital - It Should Get More Attention</t>
  </si>
  <si>
    <t xml:space="preserve">human metapneumovirus; pediatric; respiratory illness</t>
  </si>
  <si>
    <t xml:space="preserve">RESPIRATORY SYNCYTIAL VIRUS; YOUNG-CHILDREN; BURDEN; MORTALITY; INFANTS; DISEASE; RISK</t>
  </si>
  <si>
    <t xml:space="preserve">Background: Respiratory syncytial virus (RSV) and influenza infections are a major cause of hospitalization and intensive care unit (ICU) admission to children's hospitals and are closely tracked. We compared data over 6 seasons of human metapneumovirus (hMPV), RSV and influenza infections. Methods: During the 2014-2019 winter viral seasons, hMPV, RSV and influenza infections were tracked. For hMPV admissions, rates of hospitalizations, ICU admissions, hospital-acquired infections (HAIs) and mortalities were assessed and compared with RSV and influenza admissions. Retrospective data was used to study patients infected with hMPV. Results: During the winter seasons of 2014-2019, the rates of hospitalization due to hMPV were significantly higher than both RSV and influenza. ICU admissions, deaths and HAIs for hMPV were similar to RSV and influenza. Of the 471 total cases with hMPV, 58 (12.3%) had chronic lung disease (CLD) and 23 (4.9%) were tracheostomy dependent. Among 104 hMPV ICU admissions from 2013 to 2019, 86 (82%) had an underlying medical diagnosis, 30 (29%) had CLD, 21 (20%) had tracheostomies and 33 (32%) required mechanical ventilation. The average age of hMPV infected children in our ICU is 3 years and 10 months. Conclusions: Our large descriptive study of hMPV infected children over 6 seasons showed higher rates of hospitalization compared with RSV and influenza, similar ICU and HAI rates, and deaths. ICU admitted children often had associated co-morbidities, including CLD. Further studies for focused disease surveillance and potential vaccine development for high-risk children are needed.</t>
  </si>
  <si>
    <t xml:space="preserve">[Hani, Nellie] Univ Michigan, Dept Med, Div Pediat Endocrinol, 1500 East Med Ctr Dr,D1205 MPB, Ann Arbor, MI 48109 USA; [Gornick, Wendi; Huff, Beth] CHOC childrens hosp, Infect Prevent &amp; Epidemiol, Santa Ana, CA USA; [Atienza, Jamie] UCI Sch Med, Irvine, CA USA; [Singh, Jasjit] CHOC Childrens Hosp, Div Infect Dis, Santa Ana, CA USA</t>
  </si>
  <si>
    <t xml:space="preserve">University of Michigan System; University of Michigan</t>
  </si>
  <si>
    <t xml:space="preserve">Hani, N (corresponding author), Univ Michigan, Dept Med, Div Pediat Endocrinol, 1500 East Med Ctr Dr,D1205 MPB, Ann Arbor, MI 48109 USA.</t>
  </si>
  <si>
    <t xml:space="preserve">nelliesa@med.umich.edu</t>
  </si>
  <si>
    <t xml:space="preserve">10.1097/INF.0000000000003416</t>
  </si>
  <si>
    <t xml:space="preserve">ZX0RR</t>
  </si>
  <si>
    <t xml:space="preserve">WOS:000771609900021</t>
  </si>
  <si>
    <t xml:space="preserve">Ravindranath, TM; Gomez, A; Harwayne-Gidansky, I; Connors, TJ; Neill, N; Levin, B; Howell, JD; Saiman, L; Baird, JS</t>
  </si>
  <si>
    <t xml:space="preserve">Ravindranath, Thyyar M.; Gomez, Amanda; Harwayne-Gidansky, Ilana; Connors, Thomas J.; Neill, Nathan; Levin, Bruce; Howell, Joy D.; Saiman, Lisa; Baird, John S.</t>
  </si>
  <si>
    <t xml:space="preserve">Pediatric acute respiratory distress syndrome associated with human metapneumovirus and respiratory syncytial virus</t>
  </si>
  <si>
    <t xml:space="preserve">human metapneumovirus; pediatric acute respiratory distress syndrome; pediatric intensive care unit; respiratory syncytial virus</t>
  </si>
  <si>
    <t xml:space="preserve">EXTRACORPOREAL MEMBRANE-OXYGENATION; INTENSIVE-CARE-UNIT; YOUNG-CHILDREN; TRACT INFECTION; LUNG INJURY; INFLUENZA; INFANTS; DISEASE; SEVERITY; PATHOGEN</t>
  </si>
  <si>
    <t xml:space="preserve">ObjectivesTo study the incidence, risk factors, clinical course, and outcome of ARDS in children with HMP and RSV. Working HypothesisWe hypothesized that ARDS in children with HMP was similar in incidence, risk factors, clinical course, and outcomes to ARDS in children with RSV. Study DesignRetrospective, observational study over 2 years. Patient-Subject SelectionPatients included were &lt;18 years old with HMP or RSV detected from nasopharyngeal specimens by commercial reverse transcriptase polymerase chain reaction assay admitted to a study site. MethodologyWe described the incidence of ARDS within 1 week following the detection of HMP or RSV using recently developed Pediatric ARDS (PARDS) criteria. We also assessed risk factors, clinical course, and outcomes of children in the PICU with HMP or RSV and PARDS or non-PARDS. ResultsWe identified 57 patients with HMP and 161 patients with RSV: the proportions of patients with either virus who developed PARDS (HMP: 23%, RSV: 20%) and severe PARDS (HMP: 9%, RSV: 7%) were similar, as were the proportions of patients with acute (or acute-on-chronic) respiratory failure who developed PARDS (HMP: 41%, RSV: 31%). In a logistic regression model, risk factors associated with PARDS included neurologic comorbidity and PIM 3 probability of mortality, but not virus type. The risk factors, clinical course, and outcomes were similar for patients with PARDS associated with HMP and RSV. ConclusionsAbout 1/3 of children with HMP or RSV and acute (or acute-on-chronic) respiratory failure developed PARDS. Children with either virus and a neurologic comorbidity or an increased PIM 3 probability of mortality were at increased risk for PARDS.</t>
  </si>
  <si>
    <t xml:space="preserve">[Ravindranath, Thyyar M.; Gomez, Amanda; Connors, Thomas J.; Saiman, Lisa; Baird, John S.] Columbia Univ, Dept Pediat, NewYork Presbyterian Hosp, Med Ctr, 3959 Broadway,CHN 10-24, New York, NY 10032 USA; [Harwayne-Gidansky, Ilana; Howell, Joy D.] NewYork Presbyterian Hosp, Weill Cornell Med Ctr, Dept Pediat, New York, NY USA; [Neill, Nathan; Levin, Bruce] Columbia Univ, Dept Biostat, Mailman Sch Publ Hlth, New York, NY USA; [Saiman, Lisa] NewYork Presbyterian Hosp, Dept Infect Prevent &amp; Control, New York, NY USA</t>
  </si>
  <si>
    <t xml:space="preserve">NewYork-Presbyterian Hospital; Columbia University; Cornell University; NewYork-Presbyterian Hospital; Weill Cornell Medicine; Columbia University; NewYork-Presbyterian Hospital</t>
  </si>
  <si>
    <t xml:space="preserve">Ravindranath, TM (corresponding author), Columbia Univ, Dept Pediat, NewYork Presbyterian Hosp, Med Ctr, 3959 Broadway,CHN 10-24, New York, NY 10032 USA.</t>
  </si>
  <si>
    <t xml:space="preserve">tr2148@cumc.columbia.edu</t>
  </si>
  <si>
    <t xml:space="preserve">Harwayne-Gidansky, Ilana/I-9528-2019; Baird, John/AFV-0936-2022; Ravindrana, Thyyar/J-8081-2019</t>
  </si>
  <si>
    <t xml:space="preserve">Connors, Thomas/0000-0002-0199-7733</t>
  </si>
  <si>
    <t xml:space="preserve">10.1002/ppul.24044</t>
  </si>
  <si>
    <t xml:space="preserve">GK0MQ</t>
  </si>
  <si>
    <t xml:space="preserve">WOS:000435804700012</t>
  </si>
  <si>
    <t xml:space="preserve">Dashti, AS; Emamifar, SMH; Hashempour, T; Malekan, MA</t>
  </si>
  <si>
    <t xml:space="preserve">Dashti, Anahita Sanaei; Emamifar, Seyed Mohammad Hadi; Hashempour, Tayebeh; Malekan, Mohammad Ali</t>
  </si>
  <si>
    <t xml:space="preserve">Human metapneumovirus frequency in Iranian children with respiratory symptoms</t>
  </si>
  <si>
    <t xml:space="preserve">FUTURE VIROLOGY</t>
  </si>
  <si>
    <t xml:space="preserve">human metapneumovirus; PCR; respiratory tract infection</t>
  </si>
  <si>
    <t xml:space="preserve">HOSPITALIZED INFANTS; TRACT INFECTIONS; PREVALENCE; DISEASE; VIRUSES</t>
  </si>
  <si>
    <t xml:space="preserve">Aim: Characterization of epidemiologic features of human metapneumovirus (hMPV) infection is not well defined in Iran. We studied the prevalence of hMPV infection among children who had upper respiratory tract complaints (February-May 2013). Materials &amp; methods: The nasal Dacron swab specimens of 200 children with upper respiratory tract complaints were collected and tested for hMPV by RT-PCR assay. Results: A total of 10% of patients were positive for hMPV. There was no significant difference in symptoms between positive or negative patients for hMPV. However, respiratory symptoms, such as cough, coryza and fever had higher rates in hMPV-positive patients. Conclusion: hMPV may be an important cause of respiratory tract infection in Iranian children.</t>
  </si>
  <si>
    <t xml:space="preserve">[Dashti, Anahita Sanaei] Shiraz Univ Med Sci, Shiraz HIV AIDS Res Ctr, Shiraz, Iran; [Emamifar, Seyed Mohammad Hadi] Qom Univ Med Sci, Qom, Iran; [Hashempour, Tayebeh] Shiraz Univ Med Sci, Nemazee Hosp, Alborzi Clin Microbiol Res Ctr, Shiraz, Iran; [Malekan, Mohammad Ali] Pasteur Inst Iran, Dept Bacteriol, Tehran, Iran</t>
  </si>
  <si>
    <t xml:space="preserve">Shiraz University of Medical Science; Shiraz University of Medical Science; Pasteur Network; Pasteur Institute of Iran</t>
  </si>
  <si>
    <t xml:space="preserve">Dashti, AS (corresponding author), Shiraz Univ Med Sci, Shiraz HIV AIDS Res Ctr, Shiraz, Iran.</t>
  </si>
  <si>
    <t xml:space="preserve">anahita_sanaei@yahoo.com</t>
  </si>
  <si>
    <t xml:space="preserve">Dashti, Anahita/P-8891-2016; Hashempour, Ava/U-4040-2017</t>
  </si>
  <si>
    <t xml:space="preserve">Malekan, Mohammad/0000-0002-0600-7049; Hashempour, Ava/0000-0002-5249-209X</t>
  </si>
  <si>
    <t xml:space="preserve">Pediatric Infections Research Center, Shahid Beheshti University of Medical Sciences, Tehran, Iran</t>
  </si>
  <si>
    <t xml:space="preserve">The authors would like to thank the Pediatric Infections Research Center affiliated with Shahid Beheshti University of Medical Sciences, Tehran, Iran for their financial support of this research. The authors have no other relevant affiliations or financial involvement with any organization or entity with a financial interest in or financial conflict with the subject matter or materials discussed in the manuscript apart from those disclosed.</t>
  </si>
  <si>
    <t xml:space="preserve">FUTURE MEDICINE LTD</t>
  </si>
  <si>
    <t xml:space="preserve">UNITEC HOUSE, 3RD FLOOR, 2 ALBERT PLACE, FINCHLEY CENTRAL, LONDON, N3 1QB, ENGLAND</t>
  </si>
  <si>
    <t xml:space="preserve">1746-0794</t>
  </si>
  <si>
    <t xml:space="preserve">1746-0808</t>
  </si>
  <si>
    <t xml:space="preserve">FUTURE VIROL</t>
  </si>
  <si>
    <t xml:space="preserve">Future Virol.</t>
  </si>
  <si>
    <t xml:space="preserve">10.2217/fvl-2015-0017</t>
  </si>
  <si>
    <t xml:space="preserve">DG4EH</t>
  </si>
  <si>
    <t xml:space="preserve">WOS:000372023500006</t>
  </si>
  <si>
    <t xml:space="preserve">Jumat, MR; Huong, TN; Wong, PS; Loo, LH; Tan, BH; Fenwick, F; Toms, GL; Sugrue, RJ</t>
  </si>
  <si>
    <t xml:space="preserve">Jumat, Muhammad Raihan; Tra Nguyen Huong; Wong, Puisan; Loo, Liat Hui; Tan, Boon Huan; Fenwick, Fiona; Toms, Geoffrey L.; Sugrue, Richard J.</t>
  </si>
  <si>
    <t xml:space="preserve">Imaging analysis of human metapneumovirus-infected cells provides evidence for the involvement of F-actin and the raft-lipid microdomains in virus morphogenesis</t>
  </si>
  <si>
    <t xml:space="preserve">Human metapneumovirus; Paramyxovirus; Virus filaments; Virus assembly; Lipid-raft; F-actin</t>
  </si>
  <si>
    <t xml:space="preserve">RESPIRATORY SYNCYTIAL VIRUS; PARTICLES REVEALS; EPITHELIAL-CELLS; FUSION PROTEIN; CELLULAR ACTIN; SURFACE; GLYCOPROTEIN; MEMBRANE; REPLICATION; EXPRESSION</t>
  </si>
  <si>
    <t xml:space="preserve">Backgound: Due to difficulties of culturing Human metapneumovirus (HMPV) much of the current understanding of HMPV replication can be inferred from other closely related viruses. The slow rates of virus replication prevent many biochemical analyses of HMPV particles. In this study imaging was used to examine the process of HMPV morphogenesis in individually infected LLC-MK2 cells, and to better characterise the sites of HMPV assembly. This strategy has circumvented the problems associated with slow replication rates and allowed us to characterise both the HMPV particles and the sites of HMPV morphogenesis. Methods: HMPV-infected LLC-MK2 cells were stained with antibodies that recognised the HMPV fusion protein (F protein), attachment protein (G protein) and matrix protein (M protein), and fluorescent probes that detect GM1 within lipid-raft membranes (CTX-B-AF488) and F-actin (Phalloidin-FITC). The stained cells were examined by confocal microscopy, which allowed imaging of F-actin, GM1 and virus particles in HMPV-infected cells. Cells co-expressing recombinant HMPV G and F proteins formed virus-like particles and were co-stained with antibodies that recognise the recombinant G and F proteins and phalloidin-FITC and CTX-B-AF594, and the distribution of the G and F proteins, GM1 and F-actin determined. Results: HMPV-infected cells stained with anti-F, anti-G or anti-M revealed a filamentous staining pattern, indicating that the HMPV particles have a filamentous morphology. Staining of HMPV-infected cells with anti-G and either phalloidin-FITC or CTX-B-AF488 exhibited extensive co-localisation of these cellular probes within the HMPV filaments. This suggested that lipid-raft membrane domains and F-actin structures are present at the site of the virus morphogenesis, and are subsequently incorporated into the HMPV filaments. Furthermore, the filamentous virus-like particles that form in cells expressing the G protein formed in cellular structures containing GM1 and F-actin, suggesting the G protein contains intrinsic targeting signals to the sites of virus assembly. Conclusions: These data suggest that HMPV matures as filamentous particles and that virus morphogenesis occurs within lipid-raft microdomains containing localized concentrations of F-actin. The similarity between HMPV morphogenesis and the closely related human respiratory syncytial virus suggests that involvement of F-actin and lipid-raft microdomains in virus morphogenesis may be a common feature of the Pneumovirinae.</t>
  </si>
  <si>
    <t xml:space="preserve">[Jumat, Muhammad Raihan; Tra Nguyen Huong; Loo, Liat Hui; Sugrue, Richard J.] Nanyang Technol Univ, Sch Biol Sci, Div Mol Genet &amp; Cell Biol, Nanyang 637551, Singapore; [Wong, Puisan; Tan, Boon Huan] DSO Natl Labs, Detect &amp; Diagnost Lab, Singapore 117510, Singapore; [Fenwick, Fiona; Toms, Geoffrey L.] Newcastle Univ, Sch Clin Med Sci, Newcastle Upon Tyne NE2 4HH, Tyne &amp; Wear, England</t>
  </si>
  <si>
    <t xml:space="preserve">Nanyang Technological University; Newcastle University - UK</t>
  </si>
  <si>
    <t xml:space="preserve">Sugrue, RJ (corresponding author), Nanyang Technol Univ, Sch Biol Sci, Div Mol Genet &amp; Cell Biol, 60 Nanyang Dr, Nanyang 637551, Singapore.</t>
  </si>
  <si>
    <t xml:space="preserve">Sugrue, Richard/A-2214-2011; Loo, Liat-Hui/AAS-9179-2020; Tan, Boon Huan/ABB-8381-2021; Jumat, Raihan/AAK-2938-2021</t>
  </si>
  <si>
    <t xml:space="preserve">Tan, Boon Huan/0000-0002-4976-7988; Loo, Liat Hui/0000-0003-2747-9544; Jumat, Muhammad Raihan/0000-0002-5098-6707</t>
  </si>
  <si>
    <t xml:space="preserve">National Medical Research Council (Singapore) [NMRC/0956/2005]; NMRC-Lee foundation</t>
  </si>
  <si>
    <t xml:space="preserve">National Medical Research Council (Singapore)(National Medical Research Council, Singapore); NMRC-Lee foundation</t>
  </si>
  <si>
    <t xml:space="preserve">We acknowledge the National Medical Research Council (Singapore) for research support (NMRC/0956/2005). L.H. Loo was a recipient of a NMRC-Lee foundation scholarship.</t>
  </si>
  <si>
    <t xml:space="preserve">10.1186/s12985-014-0198-8</t>
  </si>
  <si>
    <t xml:space="preserve">AU9PF</t>
  </si>
  <si>
    <t xml:space="preserve">WOS:000345926300001</t>
  </si>
  <si>
    <t xml:space="preserve">Hastings, AK; Gilchuk, P; Joyce, S; Williams, JV</t>
  </si>
  <si>
    <t xml:space="preserve">Hastings, Andrew K.; Gilchuk, Pavlo; Joyce, Sebastian; Williams, John V.</t>
  </si>
  <si>
    <t xml:space="preserve">Novel HLA-A2-restricted human metapneumovirus epitopes reduce viral titers in mice and are recognized by human T cells</t>
  </si>
  <si>
    <t xml:space="preserve">Human metapneumovirus; Paramyxovirus; Vaccine; T cell response; Respiratory infections</t>
  </si>
  <si>
    <t xml:space="preserve">RESPIRATORY SYNCYTIAL VIRUS; YOUNG-CHILDREN; FUSION PROTEIN; RSV VACCINE; PEPTIDE EXCHANGE; TRACT INFECTIONS; COTTON RATS; BALB/C MICE; DISEASE; ADULTS</t>
  </si>
  <si>
    <t xml:space="preserve">Human metapneumovirus (HMPV) is a major cause of morbidity and mortality from acute lower respiratory tract illness, with most individuals seropositive by age five. Despite the presence of neutralizing antibodies, secondary infections are common and can be severe in young, elderly, and immunocompromised persons. Preclinical vaccine studies for HMPV have suggested a need for a balanced antibody and T cell immune response to enhance protection and avoid lung immunopathology. We infected transgenic mice expressing human HLA-A*0201 with HMPV and used ELISPOT to screen overlapping and predicted epitope peptides. We identified six novel HLA-A2 restricted CD8(+) T cell (T-CD8) epitopes, with M39-47 (M39) immunodominant. Tetramer staining detected M39-specific T-CD8 in lungs and spleen of HMPV-immune mice. Immunization with adjuvant-formulated M39 peptide reduced lung virus titers upon challenge. Finally, we show that T-CD8 from HLA-A*0201 positive humans recognize M39 by IFN gamma ELISPOT and tetramer staining. These results will facilitate HMPV vaccine development and human studies. (C) 2016 Elsevier Ltd. All rights reserved.</t>
  </si>
  <si>
    <t xml:space="preserve">[Hastings, Andrew K.; Gilchuk, Pavlo; Joyce, Sebastian] Vanderbilt Univ, Sch Med, Dept Pathol Microbiol &amp; Immunol, Nashville, TN 37232 USA; [Joyce, Sebastian] Vet Adm Tennessee Valley Healthcare Syst, Nashville, TN 37332 USA; [Williams, John V.] Univ Pittsburgh, Sch Med, Dept Pediat, Childrens Hosp Pittsburgh,Med Ctr, Pittsburgh, PA 15260 USA</t>
  </si>
  <si>
    <t xml:space="preserve">Vanderbilt University; US Department of Veterans Affairs; Veterans Health Administration (VHA); VA Tennessee Valley Healthcare System; Pennsylvania Commonwealth System of Higher Education (PCSHE); University of Pittsburgh</t>
  </si>
  <si>
    <t xml:space="preserve">Williams, JV (corresponding author), Childrens Hosp Pittsburgh, 4401 Penn Ave,Rangos 9122, Pittsburgh, PA 15224 USA.</t>
  </si>
  <si>
    <t xml:space="preserve">Williams, John/0000-0001-8377-5175; JOYCE, Sebastian/0000-0002-3183-1451</t>
  </si>
  <si>
    <t xml:space="preserve">NIH [AI085062, AI040079, AI042286, HL054977]; VA Merit Award [BX001444]; Vanderbilt Ingram Cancer Center [P30 CA68485]; Vanderbilt Digestive Disease Research Center [DK058404]</t>
  </si>
  <si>
    <t xml:space="preserve">NIH(United States Department of Health &amp; Human ServicesNational Institutes of Health (NIH) - USA); VA Merit Award(US Department of Veterans Affairs); Vanderbilt Ingram Cancer Center; Vanderbilt Digestive Disease Research Center</t>
  </si>
  <si>
    <t xml:space="preserve">We thank D. Flaherty, B. Matlock, and K. Weller at the Vanderbilt Flow Cytometry Shared Resource for providing technical support and assistance with development of flow cytometry reagents. Supported by NIH AI085062 (JVW), AI040079 (SJ), AI042286 (SJ), and HL054977 (SJ) and a VA Merit Award BX001444 (SJ). The VMC Flow Cytometry Shared Resource is supported by the Vanderbilt Ingram Cancer Center (P30 CA68485) and the Vanderbilt Digestive Disease Research Center (DK058404).</t>
  </si>
  <si>
    <t xml:space="preserve">MAY 23</t>
  </si>
  <si>
    <t xml:space="preserve">10.1016/j.vaccine.2016.04.034</t>
  </si>
  <si>
    <t xml:space="preserve">DN1FK</t>
  </si>
  <si>
    <t xml:space="preserve">WOS:000376811500005</t>
  </si>
  <si>
    <t xml:space="preserve">Yang, SL; Chiu, TY; Tsai, KL; Li, CH; Yang, JY; Liu, MT; Wu, FT</t>
  </si>
  <si>
    <t xml:space="preserve">Yang, Su-Lin; Chiu, Tai-Yuan; Tsai, Kun-Lin; Li, Chung-Hao; Yang, Jyh-Yuan; Liu, Ming-Tsan; Wu, Fang-Tzy</t>
  </si>
  <si>
    <t xml:space="preserve">Epidemiology of human metapneumovirus in Taiwan from 2013 to 2023</t>
  </si>
  <si>
    <t xml:space="preserve">ARCHIVES OF VIROLOGY</t>
  </si>
  <si>
    <t xml:space="preserve">human metapneumovirus; paramyxovirus; community-based surveillance</t>
  </si>
  <si>
    <t xml:space="preserve">RESPIRATORY SYNCYTIAL VIRUS; INFECTIONS; CHILDREN; YOUNG; FEATURES; DISEASE</t>
  </si>
  <si>
    <t xml:space="preserve">Human metapneumovirus (HMPV) is a member of the genus Metapneumovirus in the family Pneumoviridae of the order Mononegavirales that can cause upper and lower respiratory tract disease. This retrospective study describes the epidemiology of hMPV based on community viral surveillance results from sentinel sites across Taiwan from 2013 to 2023. A total of 114 hMPV strains were isolated and analyzed to assess viral evolution through sequencing of their fusion protein genes. This study revealed that hMPV cases occur almost year-round in Taiwan, with a peak occurring during spring (March to May). Of the 114 infected patients, 68.4% were children under 4 years old. The geographical distribution of hMPV positivity was highest in Penghu County, followed by Changhua County and Hsinchu County. The clinical symptoms of hMPV infection are nonspecific, with fever (56.1%), cough (44.7%), rhinorrhea (21.1%), and sore throat (14.9%) being the most common. However, a few patients also developed severe central nervous system symptoms (1.8%) or dyspnea (0.9%). Phylogenetic analysis revealed genetic diversity among the 114 isolated hMPV strains, with the A2 lineage (57.9%) being the most frequently observed, followed by the B2 lineage (33.3%), in the Taiwanese community from 2013 to 2023. In conclusion, hMPV causes a serious acute respiratory disease in Taiwan that should not be neglected. Further epidemiological surveillance and investigations of the clinical characteristics of hMPV should be performed continually for prevention and control of this virus.</t>
  </si>
  <si>
    <t xml:space="preserve">[Yang, Su-Lin; Chiu, Tai-Yuan; Tsai, Kun-Lin; Li, Chung-Hao; Yang, Jyh-Yuan; Liu, Ming-Tsan; Wu, Fang-Tzy] Ctr Dis Control, Minist Hlth &amp; Welf, Ctr Diagnost &amp; Vaccine Dev, 128 Acad Rd, Taipei City 115201, Taiwan</t>
  </si>
  <si>
    <t xml:space="preserve">Centers For Disease Control - Taiwan</t>
  </si>
  <si>
    <t xml:space="preserve">Wu, FT (corresponding author), Ctr Dis Control, Minist Hlth &amp; Welf, Ctr Diagnost &amp; Vaccine Dev, 128 Acad Rd, Taipei City 115201, Taiwan.</t>
  </si>
  <si>
    <t xml:space="preserve">cerline@cdc.gov.tw; tychiu@as.edu.tw; orange63@gapp.nthu.edu.tw; mdsize@cdc.gov.tw; jyyang@cdc.gov.tw; mtliu@cdc.gov.tw; fang@cdc.gov.tw</t>
  </si>
  <si>
    <t xml:space="preserve">TSAI, KUN-LIN/AAK-5283-2020; LI, CHUNG-HAO/W-6529-2019</t>
  </si>
  <si>
    <t xml:space="preserve">Taiwan Centers for Disease Control; National Taiwan University Hospital, Linkou Chang Gung Memorial Hospital, Tri-Service General Hospital, Taichung Veterans General Hospital, Changhua Christian Hospital, National Cheng Kung University Hospital, Kaohsiung Medical University Chung-Ho Memorial</t>
  </si>
  <si>
    <t xml:space="preserve">We thank the contract laboratories for viral infectious diseases, including National Taiwan University Hospital, Linkou Chang Gung Memorial Hospital, Tri-Service General Hospital, Taichung Veterans General Hospital, Changhua Christian Hospital, National Cheng Kung University Hospital, Kaohsiung Medical University Chung-Ho Memorial Hospital, Hualien Tzu Chi Hospital, and their out-of-hospital sentinel sites, for providing assistance and technical support to the community virus surveillance network.</t>
  </si>
  <si>
    <t xml:space="preserve">SPRINGER WIEN</t>
  </si>
  <si>
    <t xml:space="preserve">Vienna</t>
  </si>
  <si>
    <t xml:space="preserve">Prinz-Eugen-Strasse 8-10, A-1040 Vienna, AUSTRIA</t>
  </si>
  <si>
    <t xml:space="preserve">0304-8608</t>
  </si>
  <si>
    <t xml:space="preserve">1432-8798</t>
  </si>
  <si>
    <t xml:space="preserve">ARCH VIROL</t>
  </si>
  <si>
    <t xml:space="preserve">Arch. Virol.</t>
  </si>
  <si>
    <t xml:space="preserve">10.1007/s00705-024-06147-8</t>
  </si>
  <si>
    <t xml:space="preserve">J8Y9K</t>
  </si>
  <si>
    <t xml:space="preserve">WOS:001339876000001</t>
  </si>
  <si>
    <t xml:space="preserve">Osbourn, M; McPhie, KA; Ratnamohan, VM; Dwyer, DE; Durrheim, DN</t>
  </si>
  <si>
    <t xml:space="preserve">Osbourn, Maggi; McPhie, Kenneth A.; Ratnamohan, V. Mala; Dwyer, Dominic E.; Durrheim, David N.</t>
  </si>
  <si>
    <t xml:space="preserve">OUTBREAK OF HUMAN METAPNEUMOVIRUS INFECTION IN A RESIDENTIAL AGED CARE FACILITY</t>
  </si>
  <si>
    <t xml:space="preserve">human metapneumovirus; outbreak</t>
  </si>
  <si>
    <t xml:space="preserve">Summer outbreaks of respiratory illness in residential aged care facilities are uncommonly reported in New South Wales. A respiratory illness outbreak in an aged care facility during January 2008 prompted a response to contain the outbreak by implementing infection control measures, including cohorting of symptomatic residents, cohorting nursing care, closure to new admissions and the use of personal protective equipment by staff. In addition, respiratory tract specimens were collected to determine the causative agent. Human metapneumovirus (hMPV) was detected by polymerase chain reaction assay in 3 specimens with no other respiratory pathogens found. This is the 1st reported outbreak of hMPV in an aged care facility in Australia. hPMV should be considered as the possible cause of outbreaks in aged care facilities when influenza and respiratory syncytial virus have been excluded.</t>
  </si>
  <si>
    <t xml:space="preserve">[Osbourn, Maggi; Durrheim, David N.] Hunter New England Populat Hlth, Hunter New England Area Hlth, Wallsend, NSW, England; [McPhie, Kenneth A.; Ratnamohan, V. Mala; Dwyer, Dominic E.] Westmead Hosp Westmead, ICPMR, Ctr Infect Dis &amp; Microbiol Lab Serv, Westmead, NSW, Australia; [Durrheim, David N.] Univ Newcastle, Callaghan, NSW, Australia</t>
  </si>
  <si>
    <t xml:space="preserve">University of Sydney; NSW Health; Westmead Hospital; University of Newcastle</t>
  </si>
  <si>
    <t xml:space="preserve">Osbourn, M (corresponding author), Hunter New England Populat Hlth, Locked Bag 10, Wallsend 2287, NSW, England.</t>
  </si>
  <si>
    <t xml:space="preserve">maggi.osbourn@hnehealth.nsw.gov.au</t>
  </si>
  <si>
    <t xml:space="preserve">1445-4866</t>
  </si>
  <si>
    <t xml:space="preserve">V95PT</t>
  </si>
  <si>
    <t xml:space="preserve">WOS:000213209200008</t>
  </si>
  <si>
    <t xml:space="preserve">Ribó-Molina, P; van Nieuwkoop, S; Mykytyn, AZ; van Run, P; Lamers, MM; Haagmans, BL; Fouchier, RAM; van den Hoogen, BG</t>
  </si>
  <si>
    <t xml:space="preserve">Ribo-Molina, Pau; van Nieuwkoop, Stefan; Mykytyn, Anna Z.; van Run, Peter; Lamers, Mart M.; Haagmans, Bart L.; Fouchier, Ron A. M.; van den Hoogen, Bernadette G.</t>
  </si>
  <si>
    <t xml:space="preserve">Human metapneumovirus infection of organoid-derived human bronchial epithelium represents cell tropism and cytopathology as observed in in vivo models</t>
  </si>
  <si>
    <t xml:space="preserve">human metapneumovirus; organoids; primary cell cultures; tropism; cytopathology</t>
  </si>
  <si>
    <t xml:space="preserve">CHILDREN; YOUNG</t>
  </si>
  <si>
    <t xml:space="preserve">Human metapneumovirus (HMPV), a member of the Pneumoviridae family, causes upper and lower respiratory tract infections in humans. In vitro studies with HMPV have mostly been performed in monolayers of undifferentiated epithelial cells. In vivo studies in cynomolgus macaques and cotton rats have shown that ciliated epithelial cells are the main target of HMPV infection, but these observations cannot be studied in monolayer systems. Here, we established an organoid-derived bronchial culture model that allows physiologically relevant studies on HMPV. Inoculation with multiple prototype HMPV viruses and recent clinical virus isolates led to differences in replication among HMPV isolates. Prolific HMPV replication in this model caused damage to the ciliary layer, including cilia loss at advanced stages post-infection. These cytopathic effects correlated with those observed in previous in vivo studies with cynomolgus macaques. The assessment of the innate immune responses in three donors upon HMPV and RSV inoculation highlighted the importance of incorporating multiple donors to account for donor-dependent variation. In conclusion, these data indicate that the organoid-derived bronchial cell culture model resembles in vivo findings and is therefore a suitable and robust model for future HMPV studies.</t>
  </si>
  <si>
    <t xml:space="preserve">[Ribo-Molina, Pau; van Nieuwkoop, Stefan; Mykytyn, Anna Z.; van Run, Peter; Lamers, Mart M.; Haagmans, Bart L.; Fouchier, Ron A. M.; van den Hoogen, Bernadette G.] Erasmus MC, Dept Viroscience, Rotterdam, Netherlands; [Lamers, Mart M.] Natl Univ Singapore, Singapore, Singapore</t>
  </si>
  <si>
    <t xml:space="preserve">Erasmus University Rotterdam; Erasmus MC; National University of Singapore</t>
  </si>
  <si>
    <t xml:space="preserve">van den Hoogen, BG (corresponding author), Erasmus MC, Dept Viroscience, Rotterdam, Netherlands.</t>
  </si>
  <si>
    <t xml:space="preserve">Lamers, Mart M./JOZ-4481-2023; Haagmans, Bart L./E-9791-2015</t>
  </si>
  <si>
    <t xml:space="preserve">Haagmans, Bart L./0000-0001-6221-2015; van den Hoogen, Bernadette/0000-0003-1996-8559</t>
  </si>
  <si>
    <t xml:space="preserve">EC | Horizon Europe | Excellent Science | HORIZON EUROPE Marie Sklodowska-Curie Actions (MSCA)</t>
  </si>
  <si>
    <t xml:space="preserve">The authors would like to thank Dr. Laurine C. Rijsbergen for assistance with the ALI bronchial cultures and Professor Dr. Thijs Kuiken for assistance with the cytopathology assessment.</t>
  </si>
  <si>
    <t xml:space="preserve">FEB 28</t>
  </si>
  <si>
    <t xml:space="preserve">10.1128/msphere.00743-23</t>
  </si>
  <si>
    <t xml:space="preserve">IX5G7</t>
  </si>
  <si>
    <t xml:space="preserve">WOS:001148789200001</t>
  </si>
  <si>
    <t xml:space="preserve">Kitanovski, L; Kopriva, S; Pokorn, M; Dolnicar, MB; Rajic, V; Stefanovic, M; Jazbec, J</t>
  </si>
  <si>
    <t xml:space="preserve">Kitanovski, Lidija; Kopriva, Silvester; Pokorn, Marko; Dolnicar, Majda B.; Rajic, Vladan; Stefanovic, Milica; Jazbec, Janez</t>
  </si>
  <si>
    <t xml:space="preserve">Treatment of Severe Human Metapneumovirus (hMPV) Pneumonia in an Immunocompromised Child With Oral Ribavirin and IVIG</t>
  </si>
  <si>
    <t xml:space="preserve">human metapneumovirus; oral ribavirin; Burkitt lymphoma; intravenous immunoglobulin</t>
  </si>
  <si>
    <t xml:space="preserve">RESPIRATORY SYNCYTIAL VIRUS; INFECTION</t>
  </si>
  <si>
    <t xml:space="preserve">Background:The clinical manifestations of human metapneumovirus (hMPV) infection resemble those of respiratory syncytial virus with the most severe disease occurring in infants, the elderly, chronically ill, and immunocompromised hosts.Observation:We present a case of a 2-year-old girl undergoing intensive chemotherapy for Burkitt lymphoma who developed severe hMPV pneumonia. Rapid and complete recovery was observed after treatment with oral ribavirin and intravenous immunoglobulin.Conclusion:As hMPV can cause severe pneumonia in immunocompromised patients and due to the reports of effective treatment with ribavirin, clinical studies to elucidate the role of ribavirin in treatment of hMPV pneumonia may be needed.</t>
  </si>
  <si>
    <t xml:space="preserve">[Kitanovski, Lidija; Dolnicar, Majda B.; Rajic, Vladan; Stefanovic, Milica; Jazbec, Janez] Univ Med Ctr Ljubljana, Unit Hematooncol, Div Pediat, Ljubljana 1000, Slovenia; [Kopriva, Silvester] Univ Med Ctr Ljubljana, Dept Pediat Surg &amp; Intens Care, Ljubljana 1000, Slovenia; [Pokorn, Marko] Univ Med Ctr Ljubljana, Ljubljana 1000, Slovenia</t>
  </si>
  <si>
    <t xml:space="preserve">University Medical Centre Ljubljana; University Medical Centre Ljubljana; University Medical Centre Ljubljana</t>
  </si>
  <si>
    <t xml:space="preserve">Stefanovic, M (corresponding author), Univ Med Ctr Ljubljana, Unit Hematooncol, Div Pediat, Bohoriceva 20, Ljubljana 1000, Slovenia.</t>
  </si>
  <si>
    <t xml:space="preserve">micastrbacki@gmail.com</t>
  </si>
  <si>
    <t xml:space="preserve">Pokorn, Marko/H-5701-2019</t>
  </si>
  <si>
    <t xml:space="preserve">Pokorn, Marko/0000-0002-2341-2791</t>
  </si>
  <si>
    <t xml:space="preserve">1536-3678</t>
  </si>
  <si>
    <t xml:space="preserve">E311</t>
  </si>
  <si>
    <t xml:space="preserve">E313</t>
  </si>
  <si>
    <t xml:space="preserve">10.1097/MPH.0b013e3182915d2d</t>
  </si>
  <si>
    <t xml:space="preserve">228VS</t>
  </si>
  <si>
    <t xml:space="preserve">WOS:000325220400012</t>
  </si>
  <si>
    <t xml:space="preserve">Petraityte-Burneikiene, R; Nalivaiko, K; Lasickiene, R; Firantiene, R; Emuzyte, R; Sasnauskas, K; Zvirbliene, A</t>
  </si>
  <si>
    <t xml:space="preserve">Petraityte-Burneikiene, Rasa; Nalivaiko, Kristina; Lasickiene, Rita; Firantiene, Regina; Emuzyte, Regina; Sasnauskas, Kestutis; Zvirbliene, Aurelija</t>
  </si>
  <si>
    <t xml:space="preserve">Generation of recombinant metapneumovirus nucleocapsid protein as nucleocapsid-like particles and development of virus-specific monoclonal antibodies</t>
  </si>
  <si>
    <t xml:space="preserve">Human metapneumovirus; Nucleocapsid protein; Nucleocapsid-like particles; Monoclonal antibodies</t>
  </si>
  <si>
    <t xml:space="preserve">HIGH-LEVEL EXPRESSION; MEASLES-VIRUS; ANTIGENIC CHARACTERIZATION; SACCHAROMYCES-CEREVISIAE; NUCLEOPROTEIN GENE; IGM; EPITOPES; CHILDREN; MATRIX; ASSAY</t>
  </si>
  <si>
    <t xml:space="preserve">Human metapneumovirus (hMPV) is a member of the Pneumovirinea subfamily within the Paramyxoviridea family. Since its discovery in 2001, hMPV has been isolated in several continents, which suggests its prevalence worldwide. hMPV resembles human respiratory syncytial virus with regard to disease symptoms and its ability to infect and cause disease in young infants as well as individuals of all ages. The aim of the current study was to construct an efficient high-level yeast expression system for the generation of hMPV nucleocapsid (N) protein and to develop monoclonal antibodies (MAbs) suitable for hMPV detection. The genome of hMPV was isolated from oral fluid of an infected patient by using specific primers and reverse transcriptase polymerase chain reaction (RT-PCR). DNA sequence corresponding to the N protein gene was inserted into yeast expression vector under inducible GAL7 promoter. SDS-PAGE analysis of crude lysates of yeast Saccharomyces cerevisiae harbouring recombinant plasmid revealed the presence of a protein band of approximately 43 kDa corresponding to the molecular weight of hMPV N protein. Electron microscopy analysis of purified N protein revealed nucleocapsid-like structures with typical herring-bone morphology: rods of 20 nm diameter with repeated serration along the edges and central core of 5 nm. Recombinant hMPV N protein was reactive with human serum specimens collected from patients with confirmed hMPV infection. After immunization of mice with recombinant hMPV N protein, a panel of MAbs was generated. The specificity of newly generated MAbs was proven by immunofluorescence analysis of hMPV-infected cells. Epitope mapping using truncated variants of hMPV N revealed localization of linear MAb epitopes at the N-terminus of hMPV N protein, between amino acid residues 1 and 90. The MAbs directed against conformational epitopes did not recognize hMPV N protein variants containing either N- or C-terminal truncations. The reactivity of recombinant hMPV N protein with hMPV-positive serum specimens and the ability of MAbs to recognize virus-infected cells confirms the antigenic similarity between yeast-expressed hMPV N protein and native viral nucleocapsids. In conclusion, recombinant hMPV N protein and hMPV-specific MAbs provide new diagnostic reagents for hMPV infection. (C) 2011 Elsevier B.V. All rights reserved.</t>
  </si>
  <si>
    <t xml:space="preserve">[Petraityte-Burneikiene, Rasa; Nalivaiko, Kristina; Lasickiene, Rita; Sasnauskas, Kestutis; Zvirbliene, Aurelija] Vilnius Univ, Inst Biotechnol, LT-02241 Vilnius, Lithuania; [Firantiene, Regina; Emuzyte, Regina] Vilnius Univ, Clin Childrens Dis, Fac Med, LT-08406 Vilnius, Lithuania</t>
  </si>
  <si>
    <t xml:space="preserve">Vilnius University; Vilnius University</t>
  </si>
  <si>
    <t xml:space="preserve">Petraityte-Burneikiene, R (corresponding author), Vilnius Univ, Inst Biotechnol, V Graiciuno 8, LT-02241 Vilnius, Lithuania.</t>
  </si>
  <si>
    <t xml:space="preserve">prasa@ibt.lt</t>
  </si>
  <si>
    <t xml:space="preserve">Petraityte-Burneikiene, Rasa/CAI-0394-2022</t>
  </si>
  <si>
    <t xml:space="preserve">Petraityte-Burneikiene, Rasa/0000-0001-5676-2993</t>
  </si>
  <si>
    <t xml:space="preserve">Lithuanian Science and Study Foundation [B37]; Research Council of Lithuania [AUT-14]</t>
  </si>
  <si>
    <t xml:space="preserve">Lithuanian Science and Study Foundation(Research Council of Lithuania (LMTLT)); Research Council of Lithuania(Research Council of Lithuania (LMTLT))</t>
  </si>
  <si>
    <t xml:space="preserve">This work was supported by the grants No. B37 from the Lithuanian Science and Study Foundation and No. AUT-14 from the Research Council of Lithuania.</t>
  </si>
  <si>
    <t xml:space="preserve">10.1016/j.virusres.2011.07.009</t>
  </si>
  <si>
    <t xml:space="preserve">835NP</t>
  </si>
  <si>
    <t xml:space="preserve">WOS:000296043400004</t>
  </si>
  <si>
    <t xml:space="preserve">Ishiguro, N; Ebihara, T; Endo, R; Ma, XM; Kawai, E; Ishiko, H; Kikuta, H</t>
  </si>
  <si>
    <t xml:space="preserve">Ishiguro, Nobuhisa; Ebihara, Takashi; Endo, Rika; Ma, Xiaoming; Kawai, Eri; Ishiko, Hiroaki; Kikuta, Hideaki</t>
  </si>
  <si>
    <t xml:space="preserve">Detection of antibodies against human metapneumovirus by Western blot using recombinant nucleocapsid and matrix proteins</t>
  </si>
  <si>
    <t xml:space="preserve">human metapneumovirus; nucleocapsid protein; matrix protein</t>
  </si>
  <si>
    <t xml:space="preserve">RESPIRATORY SYNCYTIAL VIRUS; LINKED-IMMUNOSORBENT-ASSAY; GENETIC DIVERSITY; INFECTIONS; EXPRESSION; CHILDREN; YOUNG</t>
  </si>
  <si>
    <t xml:space="preserve">Detection of antibodies against individual proteins of human metapneumovirus (hMPV) is important in the analysis of immune responses to hMPV. Specific antibodies against nucleocapsid (N) and matrix (M) proteins in 97 serum samples were tested by Western blot using recombinant N and M proteins of hMPV expressed in Escherichia coli. The results were compared with those of immunofluorescence assays (IFAs) based on hMPV-infected LLC-MK2 cells, which expressed the whole hMPV proteins. Thirty (61.2%) and 31 (63.3%) of 49 serum samples with titers of &gt;/ =1:160 by IFA reacted with N and M proteins, respectively. Only 2 (4.2%) of 11 serum samples with titers of 1:80 by IFA reacted with N and M proteins. Antibodies against N and M proteins were not detected in 37 serum samples with titers of &lt; 1:40 by IFA. These results indicate that the antibodies against N and M proteins are highly specific (100%) but less sensitive (42.1%, N protein; 40.8%, M protein) than those against whole proteins of hMPV detected by IFA. The reactivity of sera with the recombinant N protein and that with the recombinant M protein correlated well (correlation coefficient of 0.79), and the concordance of reactivities was 91% (kappa = 0.79). In summary, both recombinant N and M proteins of hMPV were antigenic, and the responses to N and M protein varied among patients. Therefore, Western blot using N and M proteins provide a useful tool for analysis of immune responses to hMPV.</t>
  </si>
  <si>
    <t xml:space="preserve">Hokkaido Univ, Grad Sch Med, Dept Pediat, Kita Ku, Sapporo, Hokkaido 0608638, Japan; Mitsubishi Kagaku Bioclin Labs, Dept Infect Dis, Tokyo, Japan</t>
  </si>
  <si>
    <t xml:space="preserve">Hokkaido University; Mitsubishi Kagaku Bio-Clinical Laboratories</t>
  </si>
  <si>
    <t xml:space="preserve">Kikuta, H (corresponding author), Hokkaido Univ, Grad Sch Med, Dept Pediat, Kita Ku, N-15,W-7, Sapporo, Hokkaido 0608638, Japan.</t>
  </si>
  <si>
    <t xml:space="preserve">hide-ki@med.hokudai.ac.jp</t>
  </si>
  <si>
    <t xml:space="preserve">Ishiguro, Nobuhisa/A-5199-2012</t>
  </si>
  <si>
    <t xml:space="preserve">Ebihara, Takashi/0000-0002-6056-3230</t>
  </si>
  <si>
    <t xml:space="preserve">10.1002/jmv.20667</t>
  </si>
  <si>
    <t xml:space="preserve">059EM</t>
  </si>
  <si>
    <t xml:space="preserve">WOS:000238716100014</t>
  </si>
  <si>
    <t xml:space="preserve">Liu, L; Bastien, N; Sidaway, F; Chan, E; Li, Y</t>
  </si>
  <si>
    <t xml:space="preserve">Liu, Li; Bastien, Nathalie; Sidaway, Fred; Chan, Edward; Li, Yan</t>
  </si>
  <si>
    <t xml:space="preserve">Seroprevalence of human metapneumovirus (hMPV) in the Canadian province of Saskatchewan analyzed by a recombinant nucleocapsid protein-based enzyme-linked immunosorbent assay</t>
  </si>
  <si>
    <t xml:space="preserve">human metapneumovirus; nucleocapsid protein; enzyme-linked immunosorbent assay</t>
  </si>
  <si>
    <t xml:space="preserve">AVIAN PNEUMOVIRUS; SEQUENCE-ANALYSIS; YOUNG-CHILDREN; G-GLYCOPROTEIN; VIRUS; ANTIBODIES; GENE; BACULOVIRUS; PREVALENCE; EXPRESSION</t>
  </si>
  <si>
    <t xml:space="preserve">Human metapneumovirus (hMPV) is a newly identified respiratory virus associated with respiratory tract infection in both adults and children. Previous reports showed that infection of hMPV appeared to be ubiquitous. To determine the seroprevalence of hMPV, a total of 576 human sera from patients in Saskatchewan, Canada, were screened by enzyme-linked immunosorbent assay (ELISA) based on expression of the nucleocapsid (N) protein of hMPV in recombinant baculovirus. The recombinant N protein with a molecular mass of 43.5 kDa was abundantly produced in insect cells. Moreover, the recombinant N proteins of the prototype viruses for the two major groups of hMPV have cross-antigenicity. The seropositive rate for each age group was 13.5% (13/96) (0-5 years), 26.1% (25/96) (6-10 years), 32.3% (31/96) (11-15 years), 99.0% (95/96) (16-30 years), 91.7% (88/96) (3160 years), and 93.8% (90/96) (61+ years), respectively. The data indicated that exposure to hMPV is a common phenomenon. The ELISA based on recombinant baculovirus produced N protein of hMPV provides a useful tool for seroepidemiological study of this virus.</t>
  </si>
  <si>
    <t xml:space="preserve">Publ Hlth Agcy Canada, Natl Microbiol Lab, Winnipeg, MB R3E 3R2, Canada; Univ Manitoba, Dept Med Microbiol, Winnipeg, MB R3T 2N2, Canada; Saskatchewan Hlth, Provincial Lab, Regina, SK, Canada</t>
  </si>
  <si>
    <t xml:space="preserve">Public Health Agency of Canada; University of Manitoba</t>
  </si>
  <si>
    <t xml:space="preserve">Li, Y (corresponding author), Publ Hlth Agcy Canada, Natl Microbiol Lab, 1015 Arlington St, Winnipeg, MB R3E 3R2, Canada.</t>
  </si>
  <si>
    <t xml:space="preserve">yan_li@phac-aspc.gc.ca</t>
  </si>
  <si>
    <t xml:space="preserve">Liu, Li/B-3545-2012</t>
  </si>
  <si>
    <t xml:space="preserve">10.1002/jmv.20799</t>
  </si>
  <si>
    <t xml:space="preserve">132OD</t>
  </si>
  <si>
    <t xml:space="preserve">WOS:000243951200013</t>
  </si>
  <si>
    <t xml:space="preserve">Cho, SJ; Kim, SH; Lee, HS; Lee, YU; Mun, J; Park, S; Park, J; Park, JS; Lee, KH; Lee, CM; Seo, J; Kim, Y; Chung, YS</t>
  </si>
  <si>
    <t xml:space="preserve">Cho, Sun-Ju; Kim, Sun-Hee; Lee, Hongsu; Lee, Yeong-Un; Mun, Jeongeun; Park, Sujung; Park, Jungwook; Park, Ji-Su; Lee, Kwangho; Lee, Cheong-mi; Seo, Jinjong; Kim, Yonghwan; Chung, Yoon-Seok</t>
  </si>
  <si>
    <t xml:space="preserve">Re-Emergence of HMPV in Gwangju, South Korea, after the COVID-19 Pandemic</t>
  </si>
  <si>
    <t xml:space="preserve">human metapneumovirus; non-pharmaceutical interventions; whole-genome sequencing</t>
  </si>
  <si>
    <t xml:space="preserve">HUMAN METAPNEUMOVIRUS INFECTIONS; ACUTE RESPIRATORY-INFECTION; GENETIC-VARIABILITY; DUPLICATION; EPIDEMIOLOGY; PREVALENCE; DIVERSITY; INFLUENZA; OUTBREAKS; VARIANTS</t>
  </si>
  <si>
    <t xml:space="preserve">The non-pharmaceutical interventions implemented to prevent the spread of COVID-19 have affected the epidemiology of other respiratory viruses. In South Korea, Human metapneumovirus (HMPV) typically occurs from winter to the following spring; however, it was not detected for two years during the COVID-19 pandemic and re-emerged in the fall of 2022, which is a non-epidemic season. To examine the molecular genetic characteristics of HMPV before and after the COVID-19 pandemic, we analyzed 427 HMPV-positive samples collected in the Gwangju area from 2018 to 2022. Among these, 24 samples were subjected to whole-genome sequencing. Compared to the period before the COVID-19 pandemic, the incidence rate of HMPV in 2022 increased by 2.5-fold. Especially in the age group of 6-10 years, the incidence rate increased by more than 4.5-fold. In the phylogenetic analysis results, before the COVID-19 pandemic, the A2.2.2 lineage was predominant, while in 2022, the A2.2.1 and B2 lineage were observed. The non-pharmaceutical interventions implemented after COVID-19, such as social distancing, have reduced opportunities for exposure to HMPV, subsequently leading to decreased acquisition of immunity. As a result, HMPV occurred during non-epidemic seasons, influencing the age distribution of its occurrences.</t>
  </si>
  <si>
    <t xml:space="preserve">[Cho, Sun-Ju; Kim, Sun-Hee; Lee, Hongsu; Lee, Yeong-Un; Mun, Jeongeun; Park, Sujung; Park, Jungwook; Park, Ji-Su; Lee, Kwangho; Lee, Cheong-mi; Seo, Jinjong; Kim, Yonghwan] Hlth &amp; Environm Res Inst Gwangju, Dept Infect Dis Res, Div Emerging Infect Dis, Gwangju 61954, South Korea; [Chung, Yoon-Seok] Korea Dis Control &amp; Prevent Agcy KDCA, Bur Infect Dis Diag Control, Div High Risk Pathogen, Cheongju 28159, South Korea</t>
  </si>
  <si>
    <t xml:space="preserve">Kim, SH (corresponding author), Hlth &amp; Environm Res Inst Gwangju, Dept Infect Dis Res, Div Emerging Infect Dis, Gwangju 61954, South Korea.;Chung, YS (corresponding author), Korea Dis Control &amp; Prevent Agcy KDCA, Bur Infect Dis Diag Control, Div High Risk Pathogen, Cheongju 28159, South Korea.</t>
  </si>
  <si>
    <t xml:space="preserve">sj0426@korea.kr; sunny1989@korea.kr; lhs9213@korea.kr; gloryw3@korea.kr; mjo3214@korea.kr; sujung9421@korea.kr; jwpvet@korea.kr; nyoil658@korea.kr; twilight0930@korea.kr; thefirstlee@korea.kr; sjj21@korea.kr; vetkyh@korea.kr; rollstone93@korea.kr</t>
  </si>
  <si>
    <t xml:space="preserve">Park, Jisu/LIA-9688-2024; Kim, Seongman/N-6910-2014; Chung, Yoon-Seok/GQA-3042-2022</t>
  </si>
  <si>
    <t xml:space="preserve">Chung, Yoon-Seok/0000-0003-4562-5533; Lee, Yeong-Un/0000-0002-8421-3198</t>
  </si>
  <si>
    <t xml:space="preserve">We would like to express our gratitude to the cooperative hospitals in Gwangju who assisted us in monitoring respiratory viral pathogens.</t>
  </si>
  <si>
    <t xml:space="preserve">10.3390/pathogens12101218</t>
  </si>
  <si>
    <t xml:space="preserve">W1SY7</t>
  </si>
  <si>
    <t xml:space="preserve">WOS:001089513900001</t>
  </si>
  <si>
    <t xml:space="preserve">Foley, DA; Yeoh, DK; Minney-Smith, CA; Shin, C; Hazelton, B; Hoeppner, T; Moore, HC; Nicol, M; Sikazwe, C; Borland, ML; Levy, A; Blyth, CC</t>
  </si>
  <si>
    <t xml:space="preserve">Foley, David A.; Yeoh, Daniel K.; Minney-Smith, Cara A.; Shin, Christine; Hazelton, Briony; Hoeppner, Tobias; Moore, Hannah C.; Nicol, Mark; Sikazwe, Chisha; Borland, Meredith L.; Levy, Avram; Blyth, Chris C.</t>
  </si>
  <si>
    <t xml:space="preserve">A surge in human metapneumovirus paediatric respiratory admissions in Western Australia following the reduction of SARS-CoV-2 non-pharmaceutical interventions</t>
  </si>
  <si>
    <t xml:space="preserve">JOURNAL OF PAEDIATRICS AND CHILD HEALTH</t>
  </si>
  <si>
    <t xml:space="preserve">human metapneumovirus; non-pharmaceutical interventions; paediatric; respiratory infection; SARS-CoV-2</t>
  </si>
  <si>
    <t xml:space="preserve">SYNCYTIAL VIRUS; CHILDREN; INFLUENZA</t>
  </si>
  <si>
    <t xml:space="preserve">AimWestern Australian laboratory data demonstrated a decrease in human metapneumovirus (hMPV) detections through 2020 associated with SARS-CoV-2-related non-pharmaceutical interventions (NPIs), followed by a subsequent surge in metropolitan region in mid-2021. We aimed to assess the impact of the surge in hMPV on paediatric hospital admissions and the contribution of changes in testing. MethodsAll respiratory-coded admissions of children aged &lt;16 years at a tertiary paediatric centre between 2017 and 2021 were matched with respiratory virus testing data. Patients were grouped by age at presentation and by ICD-10 AM codes into bronchiolitis, other acute lower respiratory infection (OALRI), wheeze and upper respiratory tract infection (URTI). For analysis, 2017-2019 was utilised as a baseline period. ResultshMPV-positive admissions in 2021 were more than 2.8 times baseline. The largest increase in incidence was observed in the 1-4 years group (incidence rate ratio (IRR) 3.8; 95% confidence interval (CI): 2.5-5.9) and in OALRI clinical phenotype (IRR 2.8; 95% CI: 1.8-4.2). The proportion of respiratory-coded admissions tested for hMPV in 2021 doubled (32-66.2%, P &lt; 0.001), with the greatest increase in wheeze (12-75% in 2021, P &lt; 0.001). hMPV test percentage positivity in 2021 was higher than in the baseline period (7.6% vs. 10.1% in 2021, P = 0.004). ConclusionThe absence and subsequent surge underline the susceptibility of hMPV to NPIs. Increased hMPV-positive admissions in 2021 can be partially attributable to testing, but test-positivity remained high, consistent with a genuine increase. Continued comprehensive testing will help ascertain true burden of hMPV respiratory diseases.</t>
  </si>
  <si>
    <t xml:space="preserve">[Foley, David A.; Minney-Smith, Cara A.; Hazelton, Briony; Sikazwe, Chisha; Levy, Avram; Blyth, Chris C.] PathWest Lab Med WA, Dept Microbiol, Perth, WA, Australia; [Foley, David A.; Moore, Hannah C.; Blyth, Chris C.] Univ Western Australia, Telethon Kids Inst, Wesfarmers Ctr Vaccines &amp; Infect Dis, Perth, WA, Australia; [Foley, David A.; Borland, Meredith L.; Blyth, Chris C.] Univ Western Australia, Sch Med, Biomed Sci, Perth, WA, Australia; [Nicol, Mark; Sikazwe, Chisha; Levy, Avram] Univ Western Australia, Marshall Ctr, Biomed Sci, Perth, WA, Australia; [Yeoh, Daniel K.; Blyth, Chris C.] Perth Childrens Hosp, Dept Infect Dis, Perth, WA, Australia; [Hoeppner, Tobias; Borland, Meredith L.] Perth Childrens Hosp, Emergency Dept, Perth, WA, Australia; [Moore, Hannah C.] Curtin Univ, Sch Populat Hlth, Perth, WA, Australia; [Yeoh, Daniel K.; Hazelton, Briony] Univ Melbourne, Sir Peter MacCallum Dept Oncol, Melbourne, Vic, Australia; [Shin, Christine] Princeton Univ, Princeton, NJ USA; [Foley, David A.] PathWest Lab Med, QEII MC, PP Block,Hosp Ave, Perth, WA 6009, Australia</t>
  </si>
  <si>
    <t xml:space="preserve">The Kids Research Institute Australia; Wesfarmers Limited; University of Western Australia; University of Western Australia; University of Western Australia; Perth Childrens Hospital; Perth Childrens Hospital; Curtin University; University of Melbourne; Peter Maccallum Cancer Center; Princeton University; Pathwest Laboratory Medicine</t>
  </si>
  <si>
    <t xml:space="preserve">Foley, DA (corresponding author), PathWest Lab Med, QEII MC, PP Block,Hosp Ave, Perth, WA 6009, Australia.</t>
  </si>
  <si>
    <t xml:space="preserve">Moore, Hannah/G-3690-2011; Nicol, Mark/W-4149-2019; Hoeppner, Tobias/AAH-6120-2021; Blyth, Christopher/ABG-8231-2020; Nicol, Mark/J-4987-2014; Moore, Hannah/W-4727-2018</t>
  </si>
  <si>
    <t xml:space="preserve">Foley, David Anthony/0000-0002-8622-7809; Levy, Avram/0000-0002-0934-2387; Yeoh, Daniel/0000-0002-6284-612X; Nicol, Mark/0000-0002-1366-4805; Moore, Hannah/0000-0001-6434-8290; Blyth, Christopher Charles/0000-0003-2017-0683; Sikazwe, Chisha/0000-0002-1052-9018</t>
  </si>
  <si>
    <t xml:space="preserve">1034-4810</t>
  </si>
  <si>
    <t xml:space="preserve">1440-1754</t>
  </si>
  <si>
    <t xml:space="preserve">J PAEDIATR CHILD H</t>
  </si>
  <si>
    <t xml:space="preserve">J. Paediatr. Child Health</t>
  </si>
  <si>
    <t xml:space="preserve">10.1111/jpc.16445</t>
  </si>
  <si>
    <t xml:space="preserve">FO4S9</t>
  </si>
  <si>
    <t xml:space="preserve">WOS:000992663900001</t>
  </si>
  <si>
    <t xml:space="preserve">Skiadopoulos, MH; Biacchesi, S; Buchholz, UJ; Amaro-Carambot, E; Surman, SR; Collins, PL; Murphy, BR</t>
  </si>
  <si>
    <t xml:space="preserve">Individual contributions of the human metapneumovirus F, G, and SH surface glycoproteins to the induction of neutralizing antibodies and protective immunity</t>
  </si>
  <si>
    <t xml:space="preserve">human metapneumovirus; neutralizing antibodies; protective immunity; glycoprotein</t>
  </si>
  <si>
    <t xml:space="preserve">RESPIRATORY SYNCYTIAL VIRUS; RECOMBINANT VACCINIA VIRUSES; SENDAI-VIRUS; G-PROTEIN; HEMAGGLUTININ-NEURAMINIDASE; MUCOSAL IMMUNIZATION; IN-VITRO; TYPE-3; REPLICATION; HN</t>
  </si>
  <si>
    <t xml:space="preserve">We evaluated the individual contributions of the three Surface glycoproteins of human metapneumovirus (HMPV), namely the fusion F, attachment G, and small hydrophobic SH proteins, to the induction of serum HMPV-binding antibodies, serum HMPV-neutralizing antibodies, and protective immunity. Using reverse genetics, each HMPV protein was expressed individually from an added gene in recombinant human parainfluenza virus type 1 (rHPIV 1) and used to infect hamsters once or twice by the intranasal route. The F protein was highly immunogenic and protective, whereas G and SH were only weakly or negligibly immunogenic and protective,. respectively. Thus, in contrast to other paramyxoviruses, the HMPV attachment G protein is not a major neutralization or protective antigen. Also, although the SH protein of HMPV is a virion protein that is Much larger than its counterparts in previously Studied paramyxoviruses, it does not appear to be a significant neutralization or protective antigen. Published by Elsevier Inc.</t>
  </si>
  <si>
    <t xml:space="preserve">NIAID, Resp Viruses Sect, Infect Dis Lab, NIH,DHHS, Bethesda, MD 20892 USA</t>
  </si>
  <si>
    <t xml:space="preserve">NIAID, Resp Viruses Sect, Infect Dis Lab, NIH,DHHS, Bldg 50,Room 6511,50 S Dr MSC 8007, Bethesda, MD 20892 USA.</t>
  </si>
  <si>
    <t xml:space="preserve">mskiadopoulos@niaid.nih.gov</t>
  </si>
  <si>
    <t xml:space="preserve">Intramural NIH HHS Funding Source: Medline</t>
  </si>
  <si>
    <t xml:space="preserve">FEB 20</t>
  </si>
  <si>
    <t xml:space="preserve">10.1016/j.virol.2005.10.016</t>
  </si>
  <si>
    <t xml:space="preserve">014GT</t>
  </si>
  <si>
    <t xml:space="preserve">WOS:000235468300018</t>
  </si>
  <si>
    <t xml:space="preserve">Zhou, M; Kitagawa, Y; Yamaguchi, M; Uchiyama, C; Itoh, M; Gotoh, B</t>
  </si>
  <si>
    <t xml:space="preserve">Zhou, Min; Kitagawa, Yoshinori; Yamaguchi, Mayu; Uchiyama, Chika; Itoh, Masae; Gotoh, Bin</t>
  </si>
  <si>
    <t xml:space="preserve">Expeditious neutralization assay for human metapneumovirus based on a recombinant virus expressing Renilla luciferase</t>
  </si>
  <si>
    <t xml:space="preserve">Human metapneumovirus; Neutralization assay; Renilla luciferase</t>
  </si>
  <si>
    <t xml:space="preserve">RESPIRATORY SYNCYTIAL VIRUS; YOUNG-CHILDREN; IN-VITRO; PROTEIN; INFECTION; AGE; REPLICATION; RECOVERY; GROWTH; GENES</t>
  </si>
  <si>
    <t xml:space="preserve">Background: Human metapneumovirus (HMPV) is a common cause of respiratory diseases in persons of all ages. Because of its slow replication and weak cytopathic effect in cultured cells, conventional neutralization assays for HMPV require around one week for completion. Objectives: The purpose of this study is to establish a rapid neutralization assay based on a recombinant virus expressing Renilla luciferase (Rluc). Study design: A recombinant HMPV expressing both Rluc and green fluorescent protein (GFP) was created by reverse genetics method. Two-fold serial dilutions of human 23 sera were made in a 96-well plate and incubated with 50 pfu/well of the recombinant virus at 4 degrees C for 1 h. The mixtures were then transferred to LLC-MK2 cells in a 96-well plate, incubated for 2 h, and replaced with trypsin-free fresh media. After incubation at 32 degrees C for 24 h, the cells were lysed and measured for Rluc activity. The neutralization titer was defined as the reciprocal of the highest serum dilution that resulted in 50% reduction of Rluc activity. Results: The novel assay could be completed within 24 h and eliminated the requirement of trypsin supporting multistep replication in cultured cells, as well as laborious processes including the plaque assay with immunostaining. Neutralization titers correlated well with those determined by a GFP-based assay previously developed. Conclusions: The neutralization assay based on Rluc activity is the fastest and the most straightforward of all previous assays, and may be available for high throughput screening of neutralizing antibodies. (C) 2012 Elsevier B.V. All rights reserved.</t>
  </si>
  <si>
    <t xml:space="preserve">[Zhou, Min; Kitagawa, Yoshinori; Yamaguchi, Mayu; Uchiyama, Chika; Gotoh, Bin] Shiga Univ Med Sci, Div Microbiol &amp; Infect Dis, Dept Pathol, Otsu, Shiga 5202192, Japan; [Itoh, Masae] Nagahama Inst Biosci &amp; Technol, Fac Biosci, Nagahama, Shiga 5260829, Japan</t>
  </si>
  <si>
    <t xml:space="preserve">Gotoh, B (corresponding author), Shiga Univ Med Sci, Div Microbiol &amp; Infect Dis, Dept Pathol, Seta Tsukinowa Cho, Otsu, Shiga 5202192, Japan.</t>
  </si>
  <si>
    <t xml:space="preserve">Japan Society for the Promotion of Science [22590414, 11020436]; Shiga University of Medical Science, Wajinkai; Yakult Foundation, Japan; Grants-in-Aid for Scientific Research [22590414, 23790499, 24591589] Funding Source: KAKEN</t>
  </si>
  <si>
    <t xml:space="preserve">Japan Society for the Promotion of Science(Ministry of Education, Culture, Sports, Science and Technology, Japan (MEXT)Japan Society for the Promotion of Science); Shiga University of Medical Science, Wajinkai(Shiga University of Medical Science); Yakult Foundation, Japan; Grants-in-Aid for Scientific Research(Ministry of Education, Culture, Sports, Science and Technology, Japan (MEXT)Japan Society for the Promotion of ScienceGrants-in-Aid for Scientific Research (KAKENHI))</t>
  </si>
  <si>
    <t xml:space="preserve">This study was supported by Grants-in-Aid (No. 22590414 and No. 11020436) for Scientific Research from the Japan Society for the Promotion of Science and by grants from Shiga University of Medical Science, Wajinkai, and Yakult Foundation, Japan.</t>
  </si>
  <si>
    <t xml:space="preserve">10.1016/j.jcv.2012.09.014</t>
  </si>
  <si>
    <t xml:space="preserve">061YG</t>
  </si>
  <si>
    <t xml:space="preserve">WOS:000312885600007</t>
  </si>
  <si>
    <t xml:space="preserve">Yakut, K; Varan, B; Erdogan, I; Tokel, K</t>
  </si>
  <si>
    <t xml:space="preserve">Yakut, Kahraman; Varan, Birgul; Erdogan, Ilkay; Tokel, Kursad</t>
  </si>
  <si>
    <t xml:space="preserve">Acute Respiratory Distress Syndrome and Myocarditis Caused by Human Metapneumovirus in a Child</t>
  </si>
  <si>
    <t xml:space="preserve">BEZMIALEM SCIENCE</t>
  </si>
  <si>
    <t xml:space="preserve">Human metapneumovirus; myocarditis; child</t>
  </si>
  <si>
    <t xml:space="preserve">SYNCYTIAL VIRUS</t>
  </si>
  <si>
    <t xml:space="preserve">Human metapneumovirus (hMPV), a recently described paramyxovirus, has commonly been associated with upper and lower respiratory tract infections in young children. Severe infections including cardiovascular disease associated with hMPV have been particularly reported in older and immunocompromised patients; however, there has been no previous report of hMPV causing myocarditis in a child. In this article, we present a rare case with acute respiratory distress syndrome and myocarditis associated with hMPV in a child.</t>
  </si>
  <si>
    <t xml:space="preserve">[Yakut, Kahraman; Varan, Birgul; Erdogan, Ilkay; Tokel, Kursad] Baskent Univ, Fac Med, Dept Pediat Cardiol, Ankara, Turkey</t>
  </si>
  <si>
    <t xml:space="preserve">Baskent University</t>
  </si>
  <si>
    <t xml:space="preserve">Yakut, K (corresponding author), Baskent Univ, Fac Med, Dept Pediat Cardiol, Ankara, Turkey.</t>
  </si>
  <si>
    <t xml:space="preserve">kahramanyakut@gmail.com</t>
  </si>
  <si>
    <t xml:space="preserve">erdoğan, ilkay/AAJ-2305-2021; VARAN, BIRGUL/ABB-1767-2021; Tokel, Niyazi Kursad/AAF-3253-2021</t>
  </si>
  <si>
    <t xml:space="preserve">VARAN, BIRGUL/0000-0002-6719-8563; Tokel, Niyazi Kursad/0000-0002-6759-1795; Yakut, Kahraman/0000-0002-9221-5636</t>
  </si>
  <si>
    <t xml:space="preserve">BEZMIALEM VAKIF UNIV</t>
  </si>
  <si>
    <t xml:space="preserve">ADNAN MENDERES BOULEVARD 34093 FATIH, ISTANBUL, 00000, TURKEY</t>
  </si>
  <si>
    <t xml:space="preserve">2148-2373</t>
  </si>
  <si>
    <t xml:space="preserve">BEZMIALEM SCI</t>
  </si>
  <si>
    <t xml:space="preserve">Bezmialem Sci.</t>
  </si>
  <si>
    <t xml:space="preserve">10.14235/bas.galenos.2020.3919</t>
  </si>
  <si>
    <t xml:space="preserve">NB7PL</t>
  </si>
  <si>
    <t xml:space="preserve">WOS:000560706400018</t>
  </si>
  <si>
    <t xml:space="preserve">Schuster, JE; Cox, RG; Hastings, AK; Boyd, KL; Wadia, J; Chen, ZF; Burton, DR; Williamson, RA; Williams, JV</t>
  </si>
  <si>
    <t xml:space="preserve">Schuster, Jennifer E.; Cox, Reagan G.; Hastings, Andrew K.; Boyd, Kelli L.; Wadia, Jay; Chen, Zhifeng; Burton, Dennis R.; Williamson, R. Anthony; Williams, John V.</t>
  </si>
  <si>
    <t xml:space="preserve">A Broadly Neutralizing Human Monoclonal Antibody Exhibits In Vivo Efficacy Against Both Human Metapneumovirus and Respiratory Syncytial Virus</t>
  </si>
  <si>
    <t xml:space="preserve">human metapneumovirus; monoclonal antibody; paramyxovirus; respiratory syncytial virus; DBA/2 mouse</t>
  </si>
  <si>
    <t xml:space="preserve">FUSION PROTEIN; YOUNG-CHILDREN; RHEUMATOID-ARTHRITIS; PROTECTIVE IMMUNITY; ANTIGENIC SITE; TRACT DISEASE; COTTON RATS; F PROTEIN; INFECTION; MODEL</t>
  </si>
  <si>
    <t xml:space="preserve">Background. Human metapneumovirus (HMPV) is a leading cause of acute respiratory tract infection, with significant morbidity and mortality. No licensed vaccines or therapeutic agents exist. Monoclonal antibodies (mAbs) are effective at preventing other infectious diseases and could be used against HMPV in high-risk hosts. Methods. In vitro assays were performed to assess the neutralizing activity and affinity kinetics of human mAb 54G10. A new mouse model was developed to assess prophylactic and therapeutic efficacy in vivo. The epitope of 54G10 was identified by generating mAb-resistant mutants (MARMs). Results. At low concentrations, 54G10 neutralized all 4 subgroups of HMPV in vitro and had subnanomolar affinity for the fusion protein. DBA/2 mice were permissive for all 4 HMPV subgroups, and 54G10 was effective both prophylactically and therapeutically against HMPV in vivo. Sequencing of HMPV MARMs identified the 54G10 epitope, which was similar to an antigenic site on respiratory syncytial virus (RSV). 54G10 also exhibited in vitro neutralizing activity and in vivo protective and therapeutic efficacy against RSV. Conclusions. Human mAb 54G10 has broad neutralizing activity against HMPV and could have prophylactic and therapeutic utility clinically. The conserved epitope could represent a structural vaccine target for HMPV and RSV.</t>
  </si>
  <si>
    <t xml:space="preserve">[Schuster, Jennifer E.; Williams, John V.] Vanderbilt Univ, Dept Pediat, Nashville, TN 37232 USA; [Cox, Reagan G.; Hastings, Andrew K.; Boyd, Kelli L.; Williams, John V.] Vanderbilt Univ, Dept Pathol Microbiol &amp; Immunol, Nashville, TN 37232 USA; [Wadia, Jay] Crucell Vaccine Inst, San Diego, CA USA; [Chen, Zhifeng; Burton, Dennis R.] Scripps Res Inst, Immunol &amp; Microbial Sci, La Jolla, CA 92037 USA; [Williamson, R. Anthony] Crucell Vaccine Inst, London, England</t>
  </si>
  <si>
    <t xml:space="preserve">Vanderbilt University; Vanderbilt University; Scripps Research Institute</t>
  </si>
  <si>
    <t xml:space="preserve">Williams, JV (corresponding author), Vanderbilt Univ, Div Pediat Infect Dis, Med Ctr, Med Ctr North D 7235, 1161 21st Ave South, Nashville, TN 37232 USA.</t>
  </si>
  <si>
    <t xml:space="preserve">Williams, John/ABE-3227-2020; Burton, Dennis/AEY-0908-2022; wadia, jay/AAQ-9944-2021; Williams, John/F-6962-2010</t>
  </si>
  <si>
    <t xml:space="preserve">Chen, Zhifeng/0000-0002-9390-6527; Williams, John/0000-0001-8377-5175</t>
  </si>
  <si>
    <t xml:space="preserve">National Institutes of Health [R01 AI085062, R01AI072414, 5T32HD060554]; National Center for Advancing Translational Sciences (CTSA) [UL1TR000445]</t>
  </si>
  <si>
    <t xml:space="preserve">National Institutes of Health(United States Department of Health &amp; Human ServicesNational Institutes of Health (NIH) - USA); National Center for Advancing Translational Sciences (CTSA)(United States Department of Health &amp; Human ServicesNational Institutes of Health (NIH) - USANIH National Center for Advancing Translational Sciences (NCATS))</t>
  </si>
  <si>
    <t xml:space="preserve">This work was supported by the National Institutes of Health (grants R01 AI085062 to J. V. W., R01AI072414 to D. R. B., and 5T32HD060554 to J. E. S.) and the National Center for Advancing Translational Sciences (CTSA award UL1TR000445).</t>
  </si>
  <si>
    <t xml:space="preserve">JAN 15</t>
  </si>
  <si>
    <t xml:space="preserve">10.1093/infdis/jiu307</t>
  </si>
  <si>
    <t xml:space="preserve">CC3CC</t>
  </si>
  <si>
    <t xml:space="preserve">WOS:000350221000008</t>
  </si>
  <si>
    <t xml:space="preserve">Hamelin, ME; Gagnon, C; Prince, GA; Kiener, P; Suzich, J; Ulbrandt, N; Boivin, G</t>
  </si>
  <si>
    <t xml:space="preserve">Hamelin, Marie-Eve; Gagnon, Constance; Prince, Gregory A.; Kiener, Peter; Suzich, Joann; Ulbrandt, Nancy; Boivin, Guy</t>
  </si>
  <si>
    <t xml:space="preserve">Prophylactic and therapeutic benefits of a monoclonal antibody against the fusion protein of human metapneumovirus in a mouse model</t>
  </si>
  <si>
    <t xml:space="preserve">Human metapneumovirus; Monoclonal antibody; Fusion; Mouse; Treatment</t>
  </si>
  <si>
    <t xml:space="preserve">RESPIRATORY-SYNCYTIAL-VIRUS; YOUNG-CHILDREN; REDUCES HOSPITALIZATION; PALIVIZUMAB PROPHYLAXIS; PROTECTIVE IMMUNITY; AIRWAY-OBSTRUCTION; TRACT DISEASE; BALB/C MICE; IN-VITRO; INFECTION</t>
  </si>
  <si>
    <t xml:space="preserve">Human metapneumovirus (HMPV) is a paramyxovirus causing acute respiratory tract infections in humans. The effects of a monoclonal antibody (MAb 338, MedImmune, Inc.) directed against the HMPV fusion protein were assessed in vivo. Different groups of BALB/c mice received an intraperitoneal injection of 25 or 50 mg/kg of MAb 338 either 24 h before or 48 h after viral infection. Lung samples were collected on days 5 and 42 after infection for determination of viral titers and histopathological changes. Pulmonary functions were also evaluated by plethysmography. On day 5 post-infection, lung viral titers were significantly decreased in mice treated with 25 or 50 mg/kg before or after viral infection compared to HMPV-infected control mice. Similarly, HMPV copy numbers on day 42 were decreased for all prophylactic and therapeutic interventions. Histopathological changes were also less severe in all treated groups of mice on days 5 and 42 post-infection, correlating with decreased airways obstruction. Finally, on day 42, all treated groups had a significant decrease in airways hyperresponsiveness following treatment with MAb 338. Both prophylactic and, to a lesser extent, therapeutic administration of MAb 338 improved acute and late consequences of HMPV infection in a relevant mouse model. (C) 2010 Elsevier B.V. All rights reserved.</t>
  </si>
  <si>
    <t xml:space="preserve">[Hamelin, Marie-Eve; Gagnon, Constance; Boivin, Guy] CHU Quebec, Res Ctr Infect Dis, Quebec City, PQ G1V 4G2, Canada; [Hamelin, Marie-Eve; Gagnon, Constance; Boivin, Guy] Univ Laval, Quebec City, PQ G1V 4G2, Canada; [Prince, Gregory A.] Vir Syst Inc, Rockville, MD USA; [Kiener, Peter; Suzich, Joann; Ulbrandt, Nancy] MedImmune LLC, Gaithersburg, MD USA</t>
  </si>
  <si>
    <t xml:space="preserve">Laval University; Laval University; AstraZeneca; Medimmune</t>
  </si>
  <si>
    <t xml:space="preserve">Boivin, G (corresponding author), CHUQ CHUL, Room RC-709,2705 Laurier Blvd, Quebec City, PQ G1V 4G2, Canada.</t>
  </si>
  <si>
    <t xml:space="preserve">MedImmune LLC; Canadian Institutes of Health Research [MOP-151504]; Canada Research Chair</t>
  </si>
  <si>
    <t xml:space="preserve">MedImmune LLC(AstraZenecaMedimmune); Canadian Institutes of Health Research(Canadian Institutes of Health Research (CIHR)); Canada Research Chair(Natural Resources CanadaCanadian Forest ServiceCanada Research Chairs)</t>
  </si>
  <si>
    <t xml:space="preserve">This study was supported by grants from MedImmune LLC and the Canadian Institutes of Health Research to G.B. (MOP-151504). G.B. holds a Canada Research Chair on Emerging Viruses and Antiviral Resistance.</t>
  </si>
  <si>
    <t xml:space="preserve">1872-9096</t>
  </si>
  <si>
    <t xml:space="preserve">10.1016/j.antiviral.2010.07.001</t>
  </si>
  <si>
    <t xml:space="preserve">669ZH</t>
  </si>
  <si>
    <t xml:space="preserve">WOS:000283388400005</t>
  </si>
  <si>
    <t xml:space="preserve">Banerjee, A; Huang, JC; Rush, SA; Murray, J; Gingerich, AD; Royer, F; Hsieh, CL; Tripp, RA; McLellan, JS; Mousa, JJ</t>
  </si>
  <si>
    <t xml:space="preserve">Banerjee, Avik; Huang, Jiachen; Rush, Scott A.; Murray, Jackelyn; Gingerich, Aaron D.; Royer, Fredejah; Hsieh, Ching-Lin; Tripp, Ralph A.; McLellan, Jason S.; Mousa, Jarrod J.</t>
  </si>
  <si>
    <t xml:space="preserve">Structural basis for ultrapotent antibody-mediated neutralization of human metapneumovirus</t>
  </si>
  <si>
    <t xml:space="preserve">human metapneumovirus; monoclonal antibody; cryo-EM</t>
  </si>
  <si>
    <t xml:space="preserve">FUSION PROTEIN; TRANSPLANT RECIPIENTS; MONOCLONAL-ANTIBODY; VIRUS-INFECTION; DISEASE; VACCINE; YOUNG; POSTFUSION; CHILDREN; BINDING</t>
  </si>
  <si>
    <t xml:space="preserve">Human metapneumovirus (hMPV) is a leading cause of morbidity and hospitalization among children worldwide, however, no vaccines or therapeutics are currently available for hMPV disease prevention and treatment. The hMPV fusion (F) protein is the sole target of neutralizing antibodies. To map the immunodominant epitopes on the hMPV F protein, we isolated a panel of human monoclonal antibodies (mAbs), and the mAbs were assessed for binding avidity, neutralization potency, and epitope specificity. We found the majority of the mAbs target diverse epitopes on the hMPV F protein, and we discovered multiple mAb binding approaches for antigenic site III. The most potent mAb, MPV467, which had picomolar potency, was examined in prophylactic and therapeutic mouse challenge studies, and MPV467 limited virus replication in mouse lungs when administered 24 h before or 72 h after viral infection. We determined the structure of MPV467 in complex with the hMPV F protein using cryo-electron microscopy to a resolution of 3.3 angstrom, which revealed a complex novel prefusion-specific epitope overlapping antigenic sites II and V on a single protomer. Overall, our data reveal insights into the immunodominant antigenic epitopes on the hMPV F protein, identify a mAb therapy for hMPV F disease prevention and treatment, and provide the discovery of a prefusion-specific epitope on the hMPV F protein.</t>
  </si>
  <si>
    <t xml:space="preserve">[Banerjee, Avik; Huang, Jiachen; Gingerich, Aaron D.; Royer, Fredejah; Mousa, Jarrod J.] Univ Georgia, Coll Vet Med, Ctr Vaccines &amp; Immunol, Athens, GA 30602 USA; [Huang, Jiachen; Murray, Jackelyn; Tripp, Ralph A.; Mousa, Jarrod J.] Univ Georgia, Coll Vet Med, Dept Infect Dis, Athens, GA 30602 USA; [Rush, Scott A.; Hsieh, Ching-Lin; McLellan, Jason S.] Univ Texas Austin, Dept Mol Biosci, Austin, TX 78712 USA; [Mousa, Jarrod J.] Univ Georgia, Franklin Coll Arts &amp; Sci, Dept Biochem &amp; Mol Biol, Athens, GA 30602 USA</t>
  </si>
  <si>
    <t xml:space="preserve">University System of Georgia; University of Georgia; University System of Georgia; University of Georgia; University of Texas System; University of Texas Austin; University System of Georgia; University of Georgia</t>
  </si>
  <si>
    <t xml:space="preserve">Mousa, JJ (corresponding author), Univ Georgia, Coll Vet Med, Ctr Vaccines &amp; Immunol, Athens, GA 30602 USA.;Mousa, JJ (corresponding author), Univ Georgia, Coll Vet Med, Dept Infect Dis, Athens, GA 30602 USA.;Mousa, JJ (corresponding author), Univ Georgia, Franklin Coll Arts &amp; Sci, Dept Biochem &amp; Mol Biol, Athens, GA 30602 USA.</t>
  </si>
  <si>
    <t xml:space="preserve">McLellan, Jason/A-6874-2010; Tripp, Ralph/F-5218-2011; Huang, Jiachen/GON-5679-2022; Hsieh, Ching-Lin/ABA-6461-2021</t>
  </si>
  <si>
    <t xml:space="preserve">National Institutes of Health [1R01AI143865, 1K01OD026569]; Welch Foundation [F-0003-19620604]; Georgia Research Alliance; University of Texas College of Natural Sciences; Cancer Prevention and Research Institute of Texas [RR160023]; National Institutes of Health NIGMS [GM109435]</t>
  </si>
  <si>
    <t xml:space="preserve">National Institutes of Health(United States Department of Health &amp; Human ServicesNational Institutes of Health (NIH) - USA); Welch Foundation(The Welch Foundation); Georgia Research Alliance; University of Texas College of Natural Sciences; Cancer Prevention and Research Institute of Texas(Cancer Prevention &amp; Research Institute of Texas); National Institutes of Health NIGMS(United States Department of Health &amp; Human ServicesNational Institutes of Health (NIH) - USANIH National Institute of General Medical Sciences (NIGMS))</t>
  </si>
  <si>
    <t xml:space="preserve">These studies were supported by National Institutes of Health (1R01AI143865 and 1K01OD026569 to J.J.M.). This work was funded in part by Welch Foundation (F-0003-19620604 to J.S.M.), and the Georgia Research Alliance (to R.A.T.). We thank the University of Georgia Clinical and Translational Research Unit for assistance with human subject identification and blood draws, and the University of Georgia Center for Tropical and Emerging Global Diseases flow cytometry core for assistance with cell sorting. We acknowledge the University of Texas College of Natural Sciences and award RR160023 of the Cancer Prevention and Research Institute of Texas for support of the EM facility at the University of Texas at Austin. F.R. was supported by National Institutes of Health NIGMS (GM109435), Post-Baccalaureate Training in Infectious Diseases Research.</t>
  </si>
  <si>
    <t xml:space="preserve">1091-6490</t>
  </si>
  <si>
    <t xml:space="preserve">JUN 21</t>
  </si>
  <si>
    <t xml:space="preserve">e2203326119</t>
  </si>
  <si>
    <t xml:space="preserve">10.1073/pnas.2203326119</t>
  </si>
  <si>
    <t xml:space="preserve">3R1VE</t>
  </si>
  <si>
    <t xml:space="preserve">WOS:000838706900015</t>
  </si>
  <si>
    <t xml:space="preserve">Bar-Peled, Y; Diaz, D; Pena-Briseno, A; Murray, J; Huang, J; Tripp, RA; Mousa, JJ</t>
  </si>
  <si>
    <t xml:space="preserve">Bar-Peled, Yael; Diaz, Darren; Pena-Briseno, Alma; Murray, Jackelyn; Huang, Jiachen; Tripp, Ralph A.; Mousa, Jarrod J.</t>
  </si>
  <si>
    <t xml:space="preserve">A Potent Neutralizing Site III-Specific Human Antibody Neutralizes Human Metapneumovirus In Vivo</t>
  </si>
  <si>
    <t xml:space="preserve">human metapneumovirus; monoclonal antibodies</t>
  </si>
  <si>
    <t xml:space="preserve">RESPIRATORY SYNCYTIAL VIRUS; HUMAN MONOCLONAL-ANTIBODY; FUSION PROTEIN; TRANSPLANT RECIPIENTS; CROSS-NEUTRALIZATION; STRUCTURAL BASIS; ANTIGENIC SITE; INFECTION; GLYCOPROTEIN; YOUNG</t>
  </si>
  <si>
    <t xml:space="preserve">Human metapneumovirus (hMPV) is a leading cause of viral lower respiratory tract infection in children. The sole target of neutralizing antibodies targeting hMPV is the fusion (F) protein, a class I viral fusion protein mediating virus-cell membrane fusion. There have been several monoclonal antibodies (mAbs) isolated that neutralize hMPV; however, determining the antigenic sites on the hMPV F protein mediating such neutralizing antibody generation would assist efforts for effective vaccine design. In this report, the isolation and characterization of four new human mAbs, termed MPV196, MPV201, MPV314, and MPV364, are described. Among the four mAbs, MPV364 was found to be the most potent neutralizing mAb in vitro. Binding studies with monomeric and trimeric hMPV F revealed that MPV364 had the weakest binding affinity for monomeric hMPV F compared to the other three mAbs, yet binding experiments with trimeric hMPV F showed limited differences in binding affinity, suggesting that MPV364 targets an antigenic site incorporating two protomers. Epitope binning studies showed that MPV364 targets antigenic site III on the hMPV F protein and competes for binding with previously discovered mAbs MPE8 and 25P13, both of which cross-react with the respiratory syncytial virus (RSV) F protein. However, MPV364 does not cross-react with the RSV F protein, and the competition profile suggests that it binds to the hMPV F protein in a binding pose slightly shifted from mAbs MPE8 and 25P13. MPV364 was further assessed in vivo and was shown to substantially reduce viral replication in the lungs of BALB/c mice. Overall, these data reveal a new binding region near antigenic site III of the hMPV F protein that elicits potent neutralizing hMPV F-specific mAbs and provide a new panel of neutralizing mAbs that are candidates for therapeutic development. IMPORTANCE Recent progress in understanding the human immune response to respiratory syncytial virus has paved the way for new vaccine antigens and therapeutics to prevent and treat disease. Progress toward understanding the immune response to human metapneumovirus (hMPV) has lagged behind, although hMPV is a leading cause of lower respiratory tract infection in children. In this report, we advanced the field by isolating a panel of human mAbs to the hMPV F protein. One potent neutralizing mAb, MPV364, targets antigenic site III on the hMPV F protein and incorporates two protomers into its epitope yet is unique from previously discovered site III mAbs, as it does not cross-react with the RSV F protein. We further examined MPV364 in vivo and found that it limits viral replication in BALB/c mice. Altogether, these data provide new mAb candidates for therapeutic development and provide insights into hMPV vaccine development.</t>
  </si>
  <si>
    <t xml:space="preserve">[Bar-Peled, Yael; Diaz, Darren; Pena-Briseno, Alma; Huang, Jiachen; Mousa, Jarrod J.] Univ Georgia, Coll Vet Med, Ctr Vaccines &amp; Immunol, Athens, GA 30602 USA; [Diaz, Darren; Murray, Jackelyn; Huang, Jiachen; Tripp, Ralph A.; Mousa, Jarrod J.] Univ Georgia, Coll Vet Med, Dept Infect Dis, Athens, GA 30602 USA</t>
  </si>
  <si>
    <t xml:space="preserve">Mousa, JJ (corresponding author), Univ Georgia, Coll Vet Med, Ctr Vaccines &amp; Immunol, Athens, GA 30602 USA.;Mousa, JJ (corresponding author), Univ Georgia, Coll Vet Med, Dept Infect Dis, Athens, GA 30602 USA.</t>
  </si>
  <si>
    <t xml:space="preserve">Huang, Jiachen/GON-5679-2022; Tripp, Ralph/F-5218-2011</t>
  </si>
  <si>
    <t xml:space="preserve">Tripp, Ralph/0000-0002-2924-9956; Diaz, Darren Austin/0000-0002-0114-3973; Mousa, Jarrod/0000-0003-4709-2478</t>
  </si>
  <si>
    <t xml:space="preserve">University of Georgia Office of the Vice President for Research; University of Georgia Center for Vaccines and Immunology; National Center for Advancing Translational Sciences [UL1TR002378]; National Institutes of Health [1K01OD026569-01]; University of Georgia Department of Infectious Diseases</t>
  </si>
  <si>
    <t xml:space="preserve">University of Georgia Office of the Vice President for Research; University of Georgia Center for Vaccines and Immunology; National Center for Advancing Translational Sciences(United States Department of Health &amp; Human ServicesNational Institutes of Health (NIH) - USANIH National Center for Advancing Translational Sciences (NCATS)); National Institutes of Health(United States Department of Health &amp; Human ServicesNational Institutes of Health (NIH) - USA); University of Georgia Department of Infectious Diseases</t>
  </si>
  <si>
    <t xml:space="preserve">These studies were supported by the University of Georgia Office of the Vice President for Research, Department of Infectious Diseases, and Center for Vaccines and Immunology, and by National Center for Advancing Translational Sciences award number UL1TR002378. J.J.M. was supported by National Institutes of Health award number 1K01OD026569-01. The content is solely the responsibility of the authors and does not necessarily represent the official views of the National Institutes of Health.</t>
  </si>
  <si>
    <t xml:space="preserve">e00342-19</t>
  </si>
  <si>
    <t xml:space="preserve">10.1128/JVI.00342-19</t>
  </si>
  <si>
    <t xml:space="preserve">IX6JL</t>
  </si>
  <si>
    <t xml:space="preserve">WOS:000485789300004</t>
  </si>
  <si>
    <t xml:space="preserve">Groen, K; van Nieuwkoop, S; Meijer, A; van der Veer, B; van Kampen, JJA; Fraaij, PL; Fouchier, RAM; van den Hoogen, BG</t>
  </si>
  <si>
    <t xml:space="preserve">Groen, Kevin; van Nieuwkoop, Stefan; Meijer, Adam; van der Veer, Bas; van Kampen, Jeroen J. A.; Fraaij, Pieter L.; Fouchier, Ron A. M.; van den Hoogen, Bernadette G.</t>
  </si>
  <si>
    <t xml:space="preserve">Emergence and Potential Extinction of Genetic Lineages of Human Metapneumovirus between 2005 and 2021</t>
  </si>
  <si>
    <t xml:space="preserve">human metapneumovirus; molecular evolution; next-generation sequencing; Nanopore technology; classification; phylogeny; duplication in G</t>
  </si>
  <si>
    <t xml:space="preserve">MOLECULAR EPIDEMIOLOGY; CHILDREN; DUPLICATION; EVOLUTION</t>
  </si>
  <si>
    <t xml:space="preserve">Human metapneumovirus (HMPV) is one of the major causative agents of human respiratory tract infections. Monitoring of virus evolution could aid toward the development of new antiviral treatments or vaccine designs. Human metapneumovirus (HMPV) is one of the leading causes of respiratory illness (RI), primarily in infants. Worldwide, two genetic lineages (A and B) of HMPV are circulating that are antigenically distinct and can each be further divided into genetic sublineages. Surveillance combined with large-scale whole-genome sequencing studies of HMPV are scarce but would help to identify viral evolutionary dynamics. Here, we analyzed 130 whole HMPV genome sequences obtained from samples collected from individuals hospitalized with RI and partial fusion (n = 144) and attachment (n = 123) protein gene sequences obtained from samples collected from patients with RI visiting general practitioners between 2005 and 2021 in the Netherlands. Phylogenetic analyses demonstrated that HMPV continued to group in the four sublineages described in 2004 (A1, A2, B1, and B2). However, one sublineage (A1) was no longer detected in the Netherlands after 2006, while the others continued to evolve. No differences were observed in dominant (sub)lineages between samples obtained from patients with RI being hospitalized and those consulting general practitioners. In both populations, viruses of lineage A2 carrying a 180-nucleotide or 111-nucleotide duplication in the attachment protein gene became the most frequently detected genotypes. In the past, different names for the newly energing lineages have been proposed, demonstrating the need for a consistent naming convention. Here, criteria are proposed for the designation of new genetic lineages to aid in moving toward a systematic HMPV classification.IMPORTANCE Human metapneumovirus (HMPV) is one of the major causative agents of human respiratory tract infections. Monitoring of virus evolution could aid toward the development of new antiviral treatments or vaccine designs. Here, we studied HMPV evolution between 2005 and 2021, with viruses obtained from samples collected from hospitalized individuals and patients with respiratory infections consulting general practitioners. Phylogenetic analyses demonstrated that HMPV continued to group in the four previously described sublineages (A1, A2, B1, and B2). However, one sublineage (A1) was no longer detected after 2006, while the others continued to evolve. No differences were observed in dominant (sub)lineages between patients being hospitalized and those consulting general practitioners. In both populations, viruses of lineage A2 carrying a 180-nucleotide or 111-nucleotide duplication in the attachment protein gene became the most frequently detected genotypes. These data were used to propose criteria for the designation of new genetic lineages to aid toward a systematic HMPV classification.</t>
  </si>
  <si>
    <t xml:space="preserve">[Groen, Kevin; van Nieuwkoop, Stefan; van Kampen, Jeroen J. A.; Fraaij, Pieter L.; Fouchier, Ron A. M.; van den Hoogen, Bernadette G.] Erasmus MC, Dept Viroscience, Rotterdam, Netherlands; [Meijer, Adam; van der Veer, Bas] Natl Inst Publ Hlth &amp; Environm, Ctr Infect Dis Control, Bilthoven, Netherlands; [Fraaij, Pieter L.] Erasmus MC Sophia Childrens Hosp, Pediat Infect Dis &amp; Immunol, Rotterdam, Netherlands</t>
  </si>
  <si>
    <t xml:space="preserve">Erasmus University Rotterdam; Erasmus MC; Netherlands National Institute for Public Health &amp; the Environment; Erasmus University Rotterdam; Erasmus MC</t>
  </si>
  <si>
    <t xml:space="preserve">Fouchier, Ron/A-1911-2014</t>
  </si>
  <si>
    <t xml:space="preserve">Fouchier, Ron/0000-0001-8095-2869; Groen, Kevin/0000-0001-6352-1346; van den Hoogen, Bernadette/0000-0003-1996-8559</t>
  </si>
  <si>
    <t xml:space="preserve">Horizon 2020 research and innovation program from European Union [874735]; European Union; Dutch Ministry of Health, Welfare and Sport</t>
  </si>
  <si>
    <t xml:space="preserve">Horizon 2020 research and innovation program from European Union; European Union(European Union (EU)); Dutch Ministry of Health, Welfare and Sport</t>
  </si>
  <si>
    <t xml:space="preserve">We thank Eunice Then for helping with qRT-PCR analysis of clinical specimens and sequencing of viruses obtained from specimens from patients visiting general practitioners; Ge Donker, Mariette Hooiveld, and Janneke Hendriksen from Nivel and the Nivel Primary Care Database GP's for collecting specimens from patients with RTI consulting the GP's; and the Erasmus MC virology diagnostics department for performing qRT-PCR analysis on clinical specimens from hospitalized patients. We thank the Dutch Working Group for Clinical Virology for the opportunity to use the virology weekly records database to determine HMPV epidemic periods in the Netherlands.This work was supported in part by Horizon 2020 research and innovation program grant number 874735 (VEO) from the European Union. The Dutch Ministry of Health, Welfare and Sport funded the GP sentinel surveillance.</t>
  </si>
  <si>
    <t xml:space="preserve">10.1128/mbio.02280-22</t>
  </si>
  <si>
    <t xml:space="preserve">9G3MT</t>
  </si>
  <si>
    <t xml:space="preserve">WOS:000898213300001</t>
  </si>
  <si>
    <t xml:space="preserve">Gaunt, E; McWilliam-Leitch, EC; Templeton, K; Simmonds, P</t>
  </si>
  <si>
    <t xml:space="preserve">Gaunt, Eleanor; McWilliam-Leitch, E. Carol; Templeton, Kate; Simmonds, Peter</t>
  </si>
  <si>
    <t xml:space="preserve">Incidence, molecular epidemiology and clinical presentations of human metapneumovirus; assessment of its importance as a diagnostic screening target</t>
  </si>
  <si>
    <t xml:space="preserve">Human metapneumovirus; Molecular epidemiology; Genotype; Respiratory syncytial virus; Molecular diagnostics</t>
  </si>
  <si>
    <t xml:space="preserve">RESPIRATORY-SYNCYTIAL-VIRUS; GENETIC DIVERSITY; SUBGROUP-A; DISEASE SEVERITY; TRACT INFECTIONS; SOUTH-AFRICA; B STRAINS; CHILDREN; GENOTYPE; YOUNG</t>
  </si>
  <si>
    <t xml:space="preserve">Background: Human metapneumovirus(HMPV) is a recently discovered human paramyxovirus associated with a spectrum of respiratory symptoms from the common cold to pneumonia and bronchiolitis. Objectives: To assess the clinical significance and epidemiology of HMPV, standardized comparison of frequencies of infection, age profiles and disease associations were made with other respiratory viruses in Scotland. Study design: 7091 respiratory samples collected in Scotland between 1 July 2006 and 30 June 2008 from 4282 individuals were screened by multiplex RT-PCR for respiratory syncytial virus (HRSV), adenovirus (AdV), parainfluenzaviruses 1-3 (PIV-1, -2 and -3), influenza A and B and by nested RT-PCR for HMPV. Results: HMPV was the fifth most prevalent virus (2.0% of samples), found predominantly in young children in winter months. In the 2006-2007 respiratory season, 70% of HMPV isolates were genotype A, but a switch to predominantly type B infections occurred next winter. For samples with information on clinical presentations, 26% of HMPV infections were from subjects with lower respiratory tract presentations, lower than recorded for HRSV, but similar to adenovirus, parainfluenza viruses and influenza viruses A and B. Around 13% of HMPV infections were associated with upper respiratory tract symptoms or disease, comparable with other respiratory virus infections. Conclusions: Numerically and through its association with respiratory disease, HMPV represents a diagnostically significant target that should be included in PCR-based routine screening of respiratory samples. Understanding the biological basis of observed rapid turnover of HMPV variants, including the observed HMPV genotype change between respiratory seasons requires further longitudinal studies. (C) 2009 Elsevier B. V. All rights reserved.</t>
  </si>
  <si>
    <t xml:space="preserve">[Gaunt, Eleanor; McWilliam-Leitch, E. Carol; Simmonds, Peter] Univ Edinburgh, Ctr Infect Dis, Edinburgh EH9 1QH, Midlothian, Scotland; [Templeton, Kate] Royal Infirm, Dept Virol, Edinburgh EH16 4SA, Midlothian, Scotland</t>
  </si>
  <si>
    <t xml:space="preserve">Gaunt, E (corresponding author), Univ Edinburgh, Ctr Infect Dis, Summerhall, Edinburgh EH9 1QH, Midlothian, Scotland.</t>
  </si>
  <si>
    <t xml:space="preserve">E.Gaunt@sms.ed.ac.uk</t>
  </si>
  <si>
    <t xml:space="preserve">Simmonds, Peter/ACG-0918-2022</t>
  </si>
  <si>
    <t xml:space="preserve">Simmonds, Peter/0000-0002-7964-4700; Templeton, Kate/0000-0001-7414-1277; Leitch, Carol/0000-0002-0910-9593; Gaunt, Eleanor/0000-0002-4473-6373</t>
  </si>
  <si>
    <t xml:space="preserve">BBSRC</t>
  </si>
  <si>
    <t xml:space="preserve">BBSRC(UK Research &amp; Innovation (UKRI)Biotechnology and Biological Sciences Research Council (BBSRC))</t>
  </si>
  <si>
    <t xml:space="preserve">This research was supported by a studentship awarded to E. G. by the BBSRC. Competing interests: None declared. Ethical approval: Lothian Regional Ethics Committee (08/S11/02/2).</t>
  </si>
  <si>
    <t xml:space="preserve">10.1016/j.jcv.2009.09.016</t>
  </si>
  <si>
    <t xml:space="preserve">528QF</t>
  </si>
  <si>
    <t xml:space="preserve">WOS:000272460900005</t>
  </si>
  <si>
    <t xml:space="preserve">Saikusa, M; Kawakami, C; Nao, N; Takeda, M; Usuku, S; Sasao, T; Nishimoto, K; Toyozawa, T</t>
  </si>
  <si>
    <t xml:space="preserve">Saikusa, Miwako; Kawakami, Chiharu; Nao, Naganori; Takeda, Makoto; Usuku, Shuzo; Sasao, Tadayoshi; Nishimoto, Kimiko; Toyozawa, Takahiro</t>
  </si>
  <si>
    <t xml:space="preserve">180-Nucleotide Duplication in the G Gene of Human metapneumovirus A2b Subgroup Strains Circulating in Yokohama City, Japan, since 2014</t>
  </si>
  <si>
    <t xml:space="preserve">Human metapneumovirus; molecular epidemiology; G gene; duplication; surveillance</t>
  </si>
  <si>
    <t xml:space="preserve">RESPIRATORY SYNCYTIAL VIRUS; MOLECULAR EPIDEMIOLOGY; PHYLOGENETIC ANALYSIS; G-PROTEIN; FUSION PROTEIN; INFECTIONS; CHILDREN; DIVERSITY; YAMAGATA; BINDING</t>
  </si>
  <si>
    <t xml:space="preserve">Human metapneumovirus (HMPV), a member of the family Paramyxoviridae, was first isolated in 2001. Seroepidemiological studies have shown that HMPV has been a major etiological agent of acute respiratory infections in humans for more than 50 years. Molecular epidemiological, genetic, and antigenetic evolutionary studies of HMPV will strengthen our understanding of the epidemic behavior of the virus and provide valuable insight for the control of HMPV and the development of vaccines and antiviral drugs against HMPV infection. In this study, the nucleotide sequence of and genetic variations in the G gene were analyzed in HMPV strains prevalent in Yokohama City, in the Kanto area, Japan, between January 2013 and June 2016. As a part of the National Epidemiological Surveillance of Infectious Diseases, Japan, 1308 clinical specimens (throat swabs, nasal swabs, nasal secretions, and nasal aspirate fluids) collected at 24 hospitals or clinics in Yokohama City were screened for 15 major respiratory viruses with a multiplex reverse transcription-PCR assay. HMPV was detected in 91 specimens, accounting for 7.0% of the total specimens, and the nucleotide sequences of the G genes of 84 HMPV strains were determined. Among these 84 strains, 6, 43, 10, and 25 strains were classified into subgroups A2a, A2b, B1, and B2, respectively. Approximately half the HMPV A2b subgroup strains detected since 2014 had a 180nucleotide duplication (180nt-dup) in the G gene and clustered on a phylogenic tree with four classical 180nt-dup-lacking HMPV A2b strains prevalent between 2014 and 2015. The 180nt-dup causes a 60-amino-acid duplication (60aa-dup) in the G protein, creating 23-25 additional potential acceptor sites for O-linked sugars. Our data suggest that 180nt-dup occurred between 2011 and 2013 and that HMPV A2b strains with 180nt-dup (A2b180nt dup HMPV) became major epidemic strains within 3 years. The detailed mechanism by which the A2b180nt dup HMPV strains gained an advantage that allowed their efficient spread in the community and the effects of 60aa-dup on HMPV virulence must be clarified.</t>
  </si>
  <si>
    <t xml:space="preserve">[Saikusa, Miwako; Kawakami, Chiharu; Usuku, Shuzo; Sasao, Tadayoshi; Nishimoto, Kimiko] Yokohama City Inst Publ Hlth, Yokohama, Kanagawa, Japan; [Nao, Naganori; Takeda, Makoto] Natl Inst Infect Dis, Dept Virol 2, Musashimurayama, Japan; [Toyozawa, Takahiro] Yokohama City Publ Hlth Ctr, Yokohama, Kanagawa, Japan</t>
  </si>
  <si>
    <t xml:space="preserve">National Institute of Infectious Diseases (NIID)</t>
  </si>
  <si>
    <t xml:space="preserve">Saikusa, M (corresponding author), Yokohama City Inst Publ Hlth, Yokohama, Kanagawa, Japan.</t>
  </si>
  <si>
    <t xml:space="preserve">mi00-saikusa@city.yokohama.jp</t>
  </si>
  <si>
    <t xml:space="preserve">Takeda, Makoto/J-2550-2018</t>
  </si>
  <si>
    <t xml:space="preserve">Takeda, Makoto/0000-0002-8194-7727</t>
  </si>
  <si>
    <t xml:space="preserve">Ministry of Education, Science, Sports and Culture of Japan; Japan Foundation for Pediatric Research [15004]</t>
  </si>
  <si>
    <t xml:space="preserve">Ministry of Education, Science, Sports and Culture of Japan(Ministry of Education, Culture, Sports, Science and Technology, Japan (MEXT)); Japan Foundation for Pediatric Research</t>
  </si>
  <si>
    <t xml:space="preserve">This work was partly supported by Grants-in-Aid from the Ministry of Education, Science, Sports and Culture of Japan and the Japan Foundation for Pediatric Research (No 15004).</t>
  </si>
  <si>
    <t xml:space="preserve">MAR 14</t>
  </si>
  <si>
    <t xml:space="preserve">10.3389/fmicb.2017.00402</t>
  </si>
  <si>
    <t xml:space="preserve">EN6DE</t>
  </si>
  <si>
    <t xml:space="preserve">WOS:000396093900001</t>
  </si>
  <si>
    <t xml:space="preserve">Bruno, R; Marsico, S; Minini, C; Apostoli, P; Fiorentini, S; Caruso, A</t>
  </si>
  <si>
    <t xml:space="preserve">Bruno, Rosalinda; Marsico, Stefania; Minini, Chiara; Apostoli, Paola; Fiorentini, Simona; Caruso, Arnaldo</t>
  </si>
  <si>
    <t xml:space="preserve">Human metapneumovirus infection in a cohort of young asymptomatic subjects</t>
  </si>
  <si>
    <t xml:space="preserve">Human metapneumovirus; molecular epidemiology</t>
  </si>
  <si>
    <t xml:space="preserve">RESPIRATORY SYNCYTIAL VIRUS; TRACT INFECTIONS; GENETIC DIVERSITY; CHILDREN; ADULTS; SEROPREVALENCE; DISEASE; ISRAEL</t>
  </si>
  <si>
    <t xml:space="preserve">Human metapneumovirus (HMPV) is a recently described cause of respiratory infection. The purpose of this study was to to further the available information on the circulation of HMPV among young asymptomatic subjects. The epidemiology of HMPV was examined in a cohort of 73 university students during a winter season by using polymerase chain reaction. HPMV was detected in 3/73 (4.1%) asymptomatic subjects. Phylogenetic analysis has shown that circulating viruses belonged to different HMPV sublineages. Our findings indicate that asymptomatic carriage of HMPV might be a neglected source of viral transmission in the community.</t>
  </si>
  <si>
    <t xml:space="preserve">[Minini, Chiara; Apostoli, Paola; Fiorentini, Simona; Caruso, Arnaldo] Univ Brescia, Dept Expt &amp; Appl Med, Microbiol Sect, I-25123 Brescia, Italy; [Bruno, Rosalinda; Marsico, Stefania] Univ Calabria, Dept Pharmacobiol, Microbiol Sect, I-87036 Arcavacata Di Rende, Cosenza, Italy</t>
  </si>
  <si>
    <t xml:space="preserve">University of Brescia; University of Calabria</t>
  </si>
  <si>
    <t xml:space="preserve">Caruso, A (corresponding author), Univ Brescia, Dept Expt &amp; Appl Med, Microbiol Sect, Piazzale Spedali Civili 1, I-25123 Brescia, Italy.</t>
  </si>
  <si>
    <t xml:space="preserve">caruso@med.unibs.it</t>
  </si>
  <si>
    <t xml:space="preserve">MARSICO, Stefania/J-9938-2019; Caruso, Arnaldo/H-7818-2014; Apostoli, Pietro/E-7609-2010</t>
  </si>
  <si>
    <t xml:space="preserve">FIORENTINI, SIMONA/0000-0002-1866-314X; CARUSO, Arnaldo/0000-0001-5178-566X; MARSICO, Stefania/0000-0003-1598-0526</t>
  </si>
  <si>
    <t xml:space="preserve">497ZP</t>
  </si>
  <si>
    <t xml:space="preserve">WOS:000270104700009</t>
  </si>
  <si>
    <t xml:space="preserve">Da Silva, LHA; Spilki, FR; Riccetto, AGL; de Almeida, RS; Baracat, ECE; Arns, CW</t>
  </si>
  <si>
    <t xml:space="preserve">Da Silva, Luciana Helena Antoniassi; Spilki, Fernando Rosado; Riccetto, Adriana Gut Lopes; de Almeida, Renata Servan; Baracat, Emilio Carlos Elias; Arns, Clarice Weis</t>
  </si>
  <si>
    <t xml:space="preserve">Variant isolates of human metapneumovirus subgroup B genotype 1 in Campinas, Brazil</t>
  </si>
  <si>
    <t xml:space="preserve">human metapneumovirus; molecular characterization; genotype B subgroup 1</t>
  </si>
  <si>
    <t xml:space="preserve">GENETIC DIVERSITY; P-GENE; INFECTION</t>
  </si>
  <si>
    <t xml:space="preserve">Background: Human metapneumovirus (HMPV) is a paramyxovirus associated with respiratory illness. The genotypes of HMPV isolates in Brazil have not been well characterized. Objectives: To investigate the presence of HMPV in clinical samples collected from pediatric patients of two university hospitals in the region of Campinas (Sao Paulo, Brazil) and to genotype them by partial sequencing of the HMPV F gene. Study design: Nasopharyngeal aspirates were collected from children hospitalized between April and September, 2004 because of acute respiratory infections (ARI). Results: We identified HMPV in 8 of 142 (5.6%) clinical samples. We determined through phylogenetic analysis that HMPV isolates in Campinas during the study were clustered within subgroup B genotype 1. Two of the isolates analyzed showed significant differences from previously isolated B I viruses, when compared to HMPV isolated in South Africa and,Canada, and clustered in a separate branch within this genotype. Conclusions: In 2004 in our geographic region all HMPV isolates from pediatric patients were in the B I HMPV genetic group, with two variant isolates. (c) 2007 Elsevier B.V. All rights reserved.</t>
  </si>
  <si>
    <t xml:space="preserve">[Da Silva, Luciana Helena Antoniassi; Spilki, Fernando Rosado; Arns, Clarice Weis] Univ Estadual Campinas, Inst Biol Unicamp, Dept Microbiol &amp; Immunol, Virol Lab, BR-13081970 Campinas, SP, Brazil; [Da Silva, Luciana Helena Antoniassi] Univ Estadual Campinas, Fac Ciencias Med, Program Pos Grad, Med Clin, Campinas, Brazil; [Riccetto, Adriana Gut Lopes; Baracat, Emilio Carlos Elias] Univ Estadual Campinas, Hosp Clin, Fac Ciencias Med, Dept Pediat, Campinas, Brazil; [de Almeida, Renata Servan] CIRAD, Dept Syst Biol, Montpellier, France</t>
  </si>
  <si>
    <t xml:space="preserve">Universidade Estadual de Campinas; Universidade Estadual de Campinas; Universidade Federal de Sao Paulo (UNIFESP); Universidade Estadual de Campinas; Universidade de Sao Paulo; CIRAD</t>
  </si>
  <si>
    <t xml:space="preserve">Arns, CW (corresponding author), Univ Estadual Campinas, Inst Biol Unicamp, Dept Microbiol &amp; Immunol, Virol Lab, POB 6109, BR-13081970 Campinas, SP, Brazil.</t>
  </si>
  <si>
    <t xml:space="preserve">arns@unicamp.br</t>
  </si>
  <si>
    <t xml:space="preserve">Riccetto, Adriana/L-8339-2013; elias baracat, emilio carlos/H-1021-2012; Spilki, Fernando/E-3736-2010; Arns, Clarice/F-2762-2015</t>
  </si>
  <si>
    <t xml:space="preserve">elias baracat, emilio carlos/0000-0003-0449-301X; Spilki, Fernando/0000-0001-5804-7045; Arns, Clarice/0000-0002-7308-460X</t>
  </si>
  <si>
    <t xml:space="preserve">10.1016/j.jcv.2007.11.010</t>
  </si>
  <si>
    <t xml:space="preserve">WOS:000256391600015</t>
  </si>
  <si>
    <t xml:space="preserve">Zhao, YH; Chahar, HS; Komaravelli, N; Dossumekova, A; Casola, A</t>
  </si>
  <si>
    <t xml:space="preserve">Zhao, Yanhua; Chahar, Harendra Singh; Komaravelli, Narayana; Dossumekova, Anar; Casola, Antonella</t>
  </si>
  <si>
    <t xml:space="preserve">Human metapneumovirus infection of airway epithelial cells is associated with changes in core metabolic pathways</t>
  </si>
  <si>
    <t xml:space="preserve">Human metapneumovirus; Metabolism; Glycolysis; TCA cycle; Virus replication</t>
  </si>
  <si>
    <t xml:space="preserve">VIRUS-INFECTION; FUSION PROTEIN; ACTIVATION; REPLICATION</t>
  </si>
  <si>
    <t xml:space="preserve">Human metapneumovirus (hMPV) is an important cause of acute lower respiratory tract infections in infants, elderly and immunocompromised individuals. Ingenuity pathway analysis of microarrays data showed that 20% of genes affected by hMPV infection of airway epithelial cells (AECs) were related to metabolism. We found that levels of the glycolytic pathway enzymes hexokinase 2, pyruvate kinase M2, and lactate dehydrogenase A were significantly upregulated in normal human AECs upon hMPV infection, as well as levels of enzymes belonging to the hexosamine biosynthetic and glycosylation pathways. On the other hand, expression of the majority of the enzymes belonging to the tricarboxylic acid cycle was significantly diminished. Inhibition of hexokinase 2 and of the glycosylating enzyme O-linked N-acetylglucosamine transferase led to a significant reduction in hMPV titer, indicating that metabolic changes induced by hMPV infection play a major role during the virus life cycle, and could be explored as potential antiviral targets.</t>
  </si>
  <si>
    <t xml:space="preserve">[Zhao, Yanhua; Chahar, Harendra Singh; Komaravelli, Narayana; Dossumekova, Anar; Casola, Antonella] Univ Texas Med Branch, Dept Pediat, 301 Univ Blvd, Galveston, TX 77555 USA; [Casola, Antonella] Univ Texas Med Branch, Dept Microbiol, Galveston, TX 77555 USA; [Casola, Antonella] Univ Texas Med Branch, Sealy Ctr Vaccine Dev, Galveston, TX 77555 USA; [Casola, Antonella] Univ Texas Med Branch, Sealy Ctr Mol Med, Galveston, TX 77555 USA</t>
  </si>
  <si>
    <t xml:space="preserve">Casola, A (corresponding author), Univ Texas Med Branch, Dept Pediat, 301 Univ Blvd, Galveston, TX 77555 USA.</t>
  </si>
  <si>
    <t xml:space="preserve">ancasola@utmb.edu</t>
  </si>
  <si>
    <t xml:space="preserve">Zhao, Yanhua/E-9669-2014</t>
  </si>
  <si>
    <t xml:space="preserve">National Institutes of Health [AI0799246, AI062885]; [DK097153]</t>
  </si>
  <si>
    <t xml:space="preserve">National Institutes of Health(United States Department of Health &amp; Human ServicesNational Institutes of Health (NIH) - USA);</t>
  </si>
  <si>
    <t xml:space="preserve">This work was partially supported by National Institutes of Health grants AI0799246 and AI062885 and it utilized Core Services supported by grant DK097153 to the University of Michigan.</t>
  </si>
  <si>
    <t xml:space="preserve">10.1016/j.virol.2019.03.011</t>
  </si>
  <si>
    <t xml:space="preserve">HW6SX</t>
  </si>
  <si>
    <t xml:space="preserve">WOS:000466822000017</t>
  </si>
  <si>
    <t xml:space="preserve">Kou, Y; Sun, Z; Li, F; Yu, XF; Yang, XH; Li, J; Pan, JC</t>
  </si>
  <si>
    <t xml:space="preserve">Kou, Yu; Sun, Zhou; Li, Feng; Yu, Xinfen; Yang, Xuhui; Li, Jun; Pan, Jingcao</t>
  </si>
  <si>
    <t xml:space="preserve">Outbreak of coinfection with human metapneumovirus and measles virus resulting in the death of a child at a hospital in China</t>
  </si>
  <si>
    <t xml:space="preserve">Human metapneumovirus; Measles virus; Nosocomial infection; Epidemiology</t>
  </si>
  <si>
    <t xml:space="preserve">REAL-TIME PCR; ASSAYS</t>
  </si>
  <si>
    <t xml:space="preserve">Two children with different digestive diseases were admitted to the gastroenterology department of a children's hospital in Hangzhou, Zhejiang Province, China, in May 2010. They manifested successively acute lower respiratory tract infection symptoms during their stay in the hospital. The epidemiologic and experimental evidence supports that one child acquired nosocomial coinfection with measles virus and human metapneumovirus from another child while they shared the same ward. Copyright (C) 2015 by the Association for Professionals in Infection Control and Epidemiology, Inc. Published by Elsevier Inc. All rights reserved.</t>
  </si>
  <si>
    <t xml:space="preserve">[Kou, Yu; Sun, Zhou; Yu, Xinfen; Yang, Xuhui; Li, Jun; Pan, Jingcao] Hangzhou Ctr Dis Control &amp; Prevent, Microbiol Lab, Hangzhou 310021, Zhejiang, Peoples R China; [Li, Feng] Baylor Coll Med, Dept Surg Mol Virol &amp; Microbiol, Houston, TX 77030 USA</t>
  </si>
  <si>
    <t xml:space="preserve">Pan, JC (corresponding author), Hangzhou Ctr Dis Control &amp; Prevent, Microbiol Lab, Room 221,Bldg 5,Mingshi Rd, Hangzhou 310021, Zhejiang, Peoples R China.</t>
  </si>
  <si>
    <t xml:space="preserve">jingcaopan@gmail.com</t>
  </si>
  <si>
    <t xml:space="preserve">Zhang, Xiao-Hua/AAI-8899-2021; Li, Feng/M-5334-2016</t>
  </si>
  <si>
    <t xml:space="preserve">Programme of Science and Technology Development of Hangzhou City [20110833B36]; S&amp;T Innovation Group of Key Technology for Public Health Surveillance [2011R50021]; Emergency Preparedness and Response - Zhejiang government [2011R50021]</t>
  </si>
  <si>
    <t xml:space="preserve">Programme of Science and Technology Development of Hangzhou City; S&amp;T Innovation Group of Key Technology for Public Health Surveillance; Emergency Preparedness and Response - Zhejiang government</t>
  </si>
  <si>
    <t xml:space="preserve">Funding/Support: This work was supported by a grant from the Programme of Science and Technology Development of Hangzhou City (grant no. 20110833B36), and the S&amp;T Innovation Group of Key Technology for Public Health Surveillance (grant no. 2011R50021) and Emergency Preparedness and Response sponsored by the Zhejiang government (grant no. 2011R50021).</t>
  </si>
  <si>
    <t xml:space="preserve">10.1016/j.ajic.2015.01.002</t>
  </si>
  <si>
    <t xml:space="preserve">CE8PW</t>
  </si>
  <si>
    <t xml:space="preserve">WOS:000352107000010</t>
  </si>
  <si>
    <t xml:space="preserve">Aberle, SW; Aberle, JH; Sandhofer, MJ; Pracher, E; Popow-Kraupp, T</t>
  </si>
  <si>
    <t xml:space="preserve">Aberle, Stephan W.; Aberle, Judith H.; Sandhofer, Michael J.; Pracher, Elisabeth; Popow-Kraupp, Therese</t>
  </si>
  <si>
    <t xml:space="preserve">Biennial Spring Activity of Human Metapneumovirus in Austria</t>
  </si>
  <si>
    <t xml:space="preserve">human metapneumovirus; lower respiratory tract infection; respiratory virus; respiratory syncytial virus</t>
  </si>
  <si>
    <t xml:space="preserve">RESPIRATORY SYNCYTIAL VIRUS; YOUNG-CHILDREN; TRACT DISEASE; INFECTIONS; INFANTS; SURVEILLANCE; VARIABILITY; SWITZERLAND; PREVALENCE; EXPERIENCE</t>
  </si>
  <si>
    <t xml:space="preserve">Background: Human metapneumovirus (HMPV) is considered an important respiratory pathogen in young children. To gain insight into the seasonality and epidemiologic characteristics of HMPV infection, this study determined the frequency of HMPV infections in hospitalized infants during a 7-year period. Methods: By use of real-time reverse-transcriptase polymerase chain reaction, nasopharyngeal aspirates from 1612 infants less than 2 years of age who were hospitalized for acute respiratory tract illness were tested for the presence of HMPV. Weekly HMPV testing data were analyzed to assess the timing of HMPV activity. Season variability was estimated by comparing the onset, duration, peak, and end of outbreaks from October 2000 through October 2007. Results: Overall, 109 (6.8%) of 1612 Cases of acute respiratory illness were associated with HMPV infection. Seasonal HMPV activity varied substantially from year to year, both in prevalence rates of HMPV cases and in seasonal timing of outbreaks. HMPV activity was characterized by a biennial rhythm, with spring seasons occurring every second year, and these accounted for a substantial proportion, up to 30%, of hospitalized cases of acute respiratory tract illness. Conclusions: HMPV activity varies substantially from year to year, both in the frequency and timing of illness and shows a biennial pattern of alternating winter and spring activity.</t>
  </si>
  <si>
    <t xml:space="preserve">[Aberle, Stephan W.; Aberle, Judith H.; Sandhofer, Michael J.; Popow-Kraupp, Therese] Med Univ Vienna, Clin Inst Virol, A-1095 Vienna, Austria; [Pracher, Elisabeth] St Anna Childrens Hosp, Dept Paediat, Vienna, Austria</t>
  </si>
  <si>
    <t xml:space="preserve">Medical University of Vienna; Saint Anna Children's Hospital</t>
  </si>
  <si>
    <t xml:space="preserve">Aberle, SW (corresponding author), Med Univ Vienna, Clin Inst Virol, Kinderspitalgasse 15, A-1095 Vienna, Austria.</t>
  </si>
  <si>
    <t xml:space="preserve">judith.aberle@meduniwien.ac.at</t>
  </si>
  <si>
    <t xml:space="preserve">10.1097/INF.0b013e31817ef4fd</t>
  </si>
  <si>
    <t xml:space="preserve">377BD</t>
  </si>
  <si>
    <t xml:space="preserve">WOS:000261225800004</t>
  </si>
  <si>
    <t xml:space="preserve">Aberle, JH; Aberle, SW; Redlberger-Fritz, M; Sandhofer, MJ; Popow-Kraupp, T</t>
  </si>
  <si>
    <t xml:space="preserve">Aberle, Judith H.; Aberle, Stephan W.; Redlberger-Fritz, Monika; Sandhofer, Michael J.; Popow-Kraupp, Therese</t>
  </si>
  <si>
    <t xml:space="preserve">Human Metapneumovirus Subgroup Changes and Seasonality During Epidemics</t>
  </si>
  <si>
    <t xml:space="preserve">human metapneumovirus; lower respiratory tract infection; respiratory virus; epidemiology</t>
  </si>
  <si>
    <t xml:space="preserve">GENETIC-VARIABILITY; GENOTYPE; CHILDREN; INFECTION; DIVERSITY; AUSTRALIA</t>
  </si>
  <si>
    <t xml:space="preserve">Background: Human metapneumovirus (HMPV) is a major cause of respiratory tract illness in young children and causes annual outbreaks in winter and spring seasons. We evaluated the subgroups of HMPV that caused annual outbreaks and its seasonal occurrence during a 21-year period. Methods: Real-time PCR was used for detection of HMPV in 3576 nasopharyngeal aspirates that had been continuously collected year-round for the years 1987 to 2008 from infants hospitalized with acute respiratory tract illness. Phylogenetic analysis was used to assess HMPV subgroups. Results: Of the 3576 samples obtained, 202 (5.6%) tested positive for HMPV. All known HMPV subgroups (A1, A2a, A2b, B1, B2) could be identified as important respiratory tract pathogens in infants. We found that one HMPV subgroup predominated each year, and it was displaced by another subgroup every 1 to 3 years. Besides the frequent change in predominant HMPV subgroups, we observed a yearly shift in the seasonal occurrence, with a strong peak of HMPV activity in late spring-summer months every second year. Conclusion: HMPV activity is characterized by a periodic change in the predominant subgroup and it shows a stable seasonal rhythm of alternating winter and spring activity.</t>
  </si>
  <si>
    <t xml:space="preserve">[Aberle, Judith H.; Aberle, Stephan W.; Redlberger-Fritz, Monika; Sandhofer, Michael J.; Popow-Kraupp, Therese] Med Univ Vienna, Dept Virol, A-1095 Vienna, Austria</t>
  </si>
  <si>
    <t xml:space="preserve">Medical University of Vienna</t>
  </si>
  <si>
    <t xml:space="preserve">Aberle, SW (corresponding author), Med Univ Vienna, Dept Virol, Kinderspitalgasse 15, A-1095 Vienna, Austria.</t>
  </si>
  <si>
    <t xml:space="preserve">stephan.aberle@meduniwien.ac.at</t>
  </si>
  <si>
    <t xml:space="preserve">10.1097/INF.0b013e3181e3331a</t>
  </si>
  <si>
    <t xml:space="preserve">671HT</t>
  </si>
  <si>
    <t xml:space="preserve">WOS:000283492400008</t>
  </si>
  <si>
    <t xml:space="preserve">Peng, DH; Zhao, XD; Liu, EM; Huang, Y; Yang, XQ; Zhao, Y; Chen, X; Zhang, ZY</t>
  </si>
  <si>
    <t xml:space="preserve">Peng, Donghong; Zhao, Xiaodong; Liu, Enmei; Huang, Ying; Yang, Xiqiang; Zhao, Yao; Chen, Xin; Zhang, Zhiyong</t>
  </si>
  <si>
    <t xml:space="preserve">Analysis of Viral Load in Children Infected with Human Metapneumovirus</t>
  </si>
  <si>
    <t xml:space="preserve">Human metapneumovirus; Lower respiratory tract infection; Real-time RT-PCR; Nasopharyngeal aspirate; Viral load</t>
  </si>
  <si>
    <t xml:space="preserve">RESPIRATORY SYNCYTIAL VIRUS; REAL-TIME PCR; HOSPITALIZED INFANTS; SEVERE BRONCHIOLITIS; PEDIATRIC-PATIENTS; TRACT INFECTIONS; YOUNG-CHILDREN; DISEASE; IMPACT; PATHOGENS</t>
  </si>
  <si>
    <t xml:space="preserve">Objective: Human metapneumovirus (hMPV) is a respiratory pathogen responsible for disease and subsequent hospitalizations in young children around the world. The disease pathology, including how viral load correlates with respiratory disease severity, remains unclear. This study investigated the correlation between viral load and clinical characteristics of hMPV infections. Methods: Nasopharyngeal aspirate (NPA) samples collected from 18 infants hospitalized for lower respiratory tract infections (LRTIs) in winter were tested for hMPV by reverse transcriptase polymerase chain reaction (RT-PCR) and real-time RT-PCR. Their NPA samples were collected every-other-day to monitor changes in hMPV viral load during hospitalization. Also all these 18 patients were monitored to characterize clinically their illness. Findings: hMPV load was not correlated with infection severity (P=0.5, 0.9, 0.5). In contrast, the log(10) of hMPV viral load was significantly different between those lasted for 6-11 days and those for less than 5 days (P=0.01), also the significant difference was shown between those of 6-11 days duration and those of more than 11 days (P=0.006), but there was no significant difference between those lasted for less than 5 days and those for more than 11 days (P=0.4). Additionally, high hMPV viral shedding occured between 6 and 11 days. Conclusion: hMPV load was significantly correlated with the course of illness. The association between hMPV viral load and the course of disease suggested that hMPV is an important pathogen in lower respiratory tract infection in children. But hMPV did not always lead to more severe respiratory illness</t>
  </si>
  <si>
    <t xml:space="preserve">[Peng, Donghong; Liu, Enmei; Huang, Ying] Chongqing Med Univ, Ctr Resp, Chongqing 400014, Peoples R China; [Zhao, Xiaodong; Yang, Xiqiang] Chongqing Med Univ, Dept Immunol &amp; Nephrol, Chongqing 400014, Peoples R China; [Peng, Donghong; Zhao, Yao; Chen, Xin; Zhang, Zhiyong] Chongqing Med Univ, Biosafety Lab, Childrens Hosp, Chongqing 400014, Peoples R China</t>
  </si>
  <si>
    <t xml:space="preserve">Peng, DH (corresponding author), Chongqing Med Univ, Childrens Hosp, Biosafety Lab, 136 Zhongshan 2nd Rd, Chongqing 400014, Peoples R China.</t>
  </si>
  <si>
    <t xml:space="preserve">pdhdxy@yahoo.cn</t>
  </si>
  <si>
    <t xml:space="preserve">705YF</t>
  </si>
  <si>
    <t xml:space="preserve">WOS:000286175900002</t>
  </si>
  <si>
    <t xml:space="preserve">Kim, YK; Lee, HJ</t>
  </si>
  <si>
    <t xml:space="preserve">Human metapneumovirus-associated lower respiratory tract infections in Korean infants and young children</t>
  </si>
  <si>
    <t xml:space="preserve">human metapneumovirus; lower respiratory tract infection; pneumonia; bronchiolitis</t>
  </si>
  <si>
    <t xml:space="preserve">EPIDEMIOLOGY; VIRUSES</t>
  </si>
  <si>
    <t xml:space="preserve">To define the role of human metapneumovirus (hMPV) in previously healthy Korean children, a retrospective study was done on 166 children with lower respiratory tract infections and oil their stored nasal aspirates. The hMPV gene was detected by reverse transcriptase-polymerase chain reaction. Twenty-six of 166 individuals tested positive for hMPV. The clinical diagnoses of hMPV infection were pneumonia in 15 children and bronchiolitis in 11 children.</t>
  </si>
  <si>
    <t xml:space="preserve">Korea Univ, Coll Med, Dept Pediat, Seoul, South Korea; Seoul Natl Univ, Coll Med, Dept Pediat, Seoul, South Korea; Seoul Natl Univ Hosp, Virus Res Ctr, Clin Res Inst, Seoul 110744, South Korea</t>
  </si>
  <si>
    <t xml:space="preserve">Korea University; Korea University Medicine (KU Medicine); Seoul National University (SNU); Seoul National University (SNU); Seoul National University Hospital</t>
  </si>
  <si>
    <t xml:space="preserve">Seoul Natl Univ, Childrens Hosp, Dept Pediat, 28 Yongon Dong, Seoul 110744, South Korea.</t>
  </si>
  <si>
    <t xml:space="preserve">hoanlee@snu.ac.kr</t>
  </si>
  <si>
    <t xml:space="preserve">Lee, Hoan/J-5616-2012; KIM, YUN/E-8331-2011</t>
  </si>
  <si>
    <t xml:space="preserve">KIM, YUN-KYUNG/0000-0003-4396-8671</t>
  </si>
  <si>
    <t xml:space="preserve">10.1097/01.inf.0000190042.65120.23</t>
  </si>
  <si>
    <t xml:space="preserve">996KU</t>
  </si>
  <si>
    <t xml:space="preserve">WOS:000234173600018</t>
  </si>
  <si>
    <t xml:space="preserve">Kiymet, E; Böncüoglu, E; Çaglar, I; Sorguç, Y; Genel, F; Ecevit, CÖ; Soylu, OB; Apa, H; Çelik, T; Devrim, I; Bayram, N</t>
  </si>
  <si>
    <t xml:space="preserve">Kiymet, Elif; Boncuoglu, Elif; Caglar, Ilknur; Sorguc, Yelda; Genel, Ferah; Ecevit, Cigdem Omur; Soylu, Ozlem Bekem; Apa, Hursit; Celik, Tanju; Devrim, Ilker; Bayram, Nuri</t>
  </si>
  <si>
    <t xml:space="preserve">Evaluation of children diagnosed with a lower respiratory tract infection due to Human metapneumovirus</t>
  </si>
  <si>
    <t xml:space="preserve">human metapneumovirus; lower respiratory tract infection; hospitalized; length of stay</t>
  </si>
  <si>
    <t xml:space="preserve">DISEASE; INFANTS</t>
  </si>
  <si>
    <t xml:space="preserve">Background. Human metapneumovirus (hMPV) is one of the leading causes of acute respiratory infections and bronchiolitis in infants. A history of prematurity and chronic diseases such as congenital heart disease or asthma/reactive airway disease (RAD) increases the risk of severe lower respiratory tract infection (LRTI) due to hMPV. In this cross-sectional study, we aimed to analyze the clinical outcome and risk factors for severe disease in children with LRTI due to hMPV. Methods. The current cross-sectional study included children between 28 days and 18 years of age with the diagnosis of hMPV-associated LRTI hospitalizations, over two years from January 2016 to September 2018 in Health Science University Dr. Behcet Uz Child Disease and Pediatric Surgery Training and Research Hospital. hMPV virus was detected by the multiplex polymerase chain test (PCR) (Commercial Multiplex Real-Time PCR: FTD Respiratory 21 plus, Fast Track Diagnostics, Luxembourg) from a nasopharyngeal swab. Patients who had positive results in multiplex PCR tests with other viral agents simultaneously were not included in the study. Data were retrospectively collected from the computerized hospital system. Results. In this cross-sectional study, 62 patients who were hospitalized with the diagnosis of LRTI due to hMPV infection were included. Thirty-five (55.7%) of the patients were male. The median age was one year (2 months-15 years). Fifty-one (82.2%) patients were younger than two years. The median hospital length of stay was found to be 10 days (2-33 days) in patients with an underlying disease and 7,5 days (ranging from 2 to 20 days) in the patients without an underlying disease, this difference was significant (p=0.031). Conclusions. Clinicians should consider hMPV as an important pathogen of LRTI even in healthy children, although we expect a poor course of disease in children with an underlying disease.</t>
  </si>
  <si>
    <t xml:space="preserve">[Kiymet, Elif; Boncuoglu, Elif; Caglar, Ilknur; Devrim, Ilker; Bayram, Nuri] Dr Behcet Uz Childrens Hosp, Dept Pediat Infect Dis, Izmir, Turkey; [Sorguc, Yelda] Dr Behcet Uz Childrens Hosp, Dept Microbiol, Izmir, Turkey; [Genel, Ferah] Dr Behcet Uz Childrens Hosp, Dept Pediat Allergy &amp; Immunol, Izmir, Turkey; [Ecevit, Cigdem Omur; Soylu, Ozlem Bekem; Celik, Tanju] Dr Behcet Uz Childrens Hosp, Dept Pediat, Izmir, Turkey; [Apa, Hursit] Dr Behcet Uz Childrens Hosp, Dept Pediat Emergency, Izmir, Turkey</t>
  </si>
  <si>
    <t xml:space="preserve">Izmir Dr Behcet Uz Children's Disease &amp; Surgery Training &amp; Research Hospital; Izmir Dr Behcet Uz Children's Disease &amp; Surgery Training &amp; Research Hospital; Izmir Dr Behcet Uz Children's Disease &amp; Surgery Training &amp; Research Hospital; Izmir Dr Behcet Uz Children's Disease &amp; Surgery Training &amp; Research Hospital; Izmir Dr Behcet Uz Children's Disease &amp; Surgery Training &amp; Research Hospital</t>
  </si>
  <si>
    <t xml:space="preserve">Kiymet, E (corresponding author), Dr Behcet Uz Childrens Hosp, Dept Pediat Infect Dis, Izmir, Turkey.</t>
  </si>
  <si>
    <t xml:space="preserve">elifkiymet_1264@hotmail.com</t>
  </si>
  <si>
    <t xml:space="preserve">Kıymet, Elif/GRO-2188-2022; Bayram, Nuri/HJP-3189-2023; boncuoglu, elif/GWR-1946-2022</t>
  </si>
  <si>
    <t xml:space="preserve">Bayram, Nuri/0000-0003-1802-2518; boncuoglu, elif/0000-0002-3521-0484</t>
  </si>
  <si>
    <t xml:space="preserve">10.24953/turkjped.2020.399</t>
  </si>
  <si>
    <t xml:space="preserve">3F8DH</t>
  </si>
  <si>
    <t xml:space="preserve">WOS:000830892400003</t>
  </si>
  <si>
    <t xml:space="preserve">Zaki, ME; Raafat, D; El-Metaal, AA; Ismail, M</t>
  </si>
  <si>
    <t xml:space="preserve">Zaki, Maysaa El Sayed; Raafat, Douaa; El-Metaal, Amal Abd; Ismail, Mona</t>
  </si>
  <si>
    <t xml:space="preserve">Study of human metapneumovirus-associated lower respiratory tract infections in Egyptian adults</t>
  </si>
  <si>
    <t xml:space="preserve">human metapneumovirus; lower respiratory tract infection</t>
  </si>
  <si>
    <t xml:space="preserve">COMMUNITY-ACQUIRED PNEUMONIA; REQUIRING HOSPITALIZATION; EXACERBATIONS; PREVALENCE; CHILDREN; VIRUS; YOUNG; COPD; AGE</t>
  </si>
  <si>
    <t xml:space="preserve">There is a deficiency in the data concerning the role of hMPV in lower respiratory tract infections in adults, and until now there has been no data available regarding the prevalence of hMPV in adults in our region. In the present study the association of hMPV with varieties of lower respiratory tract disorders in immunocompetent adult patients, either alone or with bacterial pathogens, has been highlighted. Eighty-eight patients were included in the study. They included 46 males and 42 females with an age range of 38-65 years. Patients presented with lower respiratory tract infections associated with acute exacerbation of asthma (67%), pneumonia (17%), and acute exacerbation of chronic obstructive lung diseases. Sputum and nasopharyngeal samples were obtained from the patients and subjected to a full microbiological study. In addition, detection of hMPV was performed by nested reverse transcriptase polymerase chain reaction. The pathogens isolated were Streptococcus pneumoniae 46.6%, Staphylococci aureus 35.2%, and human metapneumovirus 13.6%. Influenza virus and rhinovirus were each isolated from 4.5% of patients. Human metapneumovirus was associated with S. pneumoniae in 4.5% in studied patients, while in 9.1% it was the only pathogen found in those patients. The commonest clinical condition with significant association with human metapneumovirus was pneumonia. The clinical and laboratory studies demonstrated an association between lower respiratory tract infections in adults and hMPV either as sole pathogen or in association with Streptococcus pneumoniae. It was a common pathogen in community-acquired pneumonia.</t>
  </si>
  <si>
    <t xml:space="preserve">[Zaki, Maysaa El Sayed; Raafat, Douaa] Mansoura Univ, Fac Med, Dept Clin Pathol, Mansoura 35516, Egypt; [El-Metaal, Amal Abd; Ismail, Mona] Mansoura Univ, Fac Med, Dept Resp Med, Mansoura 35516, Egypt</t>
  </si>
  <si>
    <t xml:space="preserve">Egyptian Knowledge Bank (EKB); Mansoura University; Egyptian Knowledge Bank (EKB); Mansoura University</t>
  </si>
  <si>
    <t xml:space="preserve">Zaki, ME (corresponding author), Mansoura Univ, Fac Med, Dept Clin Pathol, El Gomhoria St 60, Mansoura 35516, Egypt.</t>
  </si>
  <si>
    <t xml:space="preserve">may_s65@hotmail.com</t>
  </si>
  <si>
    <t xml:space="preserve">El Sayed Zaki, Maysaa/C-1522-2013</t>
  </si>
  <si>
    <t xml:space="preserve">El Sayed Zaki, Maysaa/0000-0001-5431-0248</t>
  </si>
  <si>
    <t xml:space="preserve">1348-0421</t>
  </si>
  <si>
    <t xml:space="preserve">10.1111/j.1348-0421.2009.00162.x</t>
  </si>
  <si>
    <t xml:space="preserve">510BO</t>
  </si>
  <si>
    <t xml:space="preserve">WOS:000271063200003</t>
  </si>
  <si>
    <t xml:space="preserve">Kawataki, M; Ito, A; Koyama, T; Ishida, T</t>
  </si>
  <si>
    <t xml:space="preserve">Kawataki, Masanori; Ito, Akihiro; Koyama, Takashi; Ishida, Tadashi</t>
  </si>
  <si>
    <t xml:space="preserve">Lobar pneumonia due to human metapneumovirus: a case report</t>
  </si>
  <si>
    <t xml:space="preserve">Human metapneumovirus; Lobar pneumonia; Multiplex PCR; FilmArray Respiratory Panel 2.1; Viral pneumonia</t>
  </si>
  <si>
    <t xml:space="preserve">INFECTIONS; LESIONS; YOUNG</t>
  </si>
  <si>
    <t xml:space="preserve">Human metapneumovirus (hMPV) is a respiratory pathogen that can cause lower respiratory tract infections and pneumonia in immunocompetent adults. Pneumonia caused by hMPV is reportedly more likely to cause bronchial wall thickening and ground-glass opacity (GGO). A 44-year-old woman with no significant medical history developed fever, cough, and nausea. Computed tomography of the chest showed scattered GGOs in the right upper lobe and infiltrating shadows with air bronchograms in the left lingual and bilateral lower lobes. The patient was admitted to our hospital for further evaluation. Atypical pneumonia was suspected and lascufloxacin (LSFX) was started. Multiplex polymerase chain reaction (PCR) detected hMPV on hospital day 2 using the FilmArray Respiratory Panel 2.1. Pneumonia due to hMPV was suspected and LSFX was discontinued. The patient subsequently showed spontaneous improvement and was discharged on hospital day 6 after admission. After discharge, pneumonia continued to improve. Early detection of respiratory pathogens using multiplex PCR can help determine the appropriate treatment strategy. As hMPV can also cause lobar pneumonia, we should consider pneumonia due to hMPV in the differential diagnosis of lobar pneumonia. (c) 2024 The Author(s). Published by Elsevier Ltd on behalf of International Society for Infectious Diseases. This is an open access article under the CC BY-NC-ND license ( http://creativecommons.org/licenses/by-nc-nd/4.0/ )</t>
  </si>
  <si>
    <t xml:space="preserve">[Kawataki, Masanori; Ito, Akihiro; Ishida, Tadashi] Kurashiki Cent Hosp, Ohara Healthcare Fdn, Dept Resp Med, Kurashiki, Okayama, Japan; [Koyama, Takashi] Kurashiki Cent Hosp, Ohara Healthcare Fdn, Dept Radiol Ctr &amp; Diagnost Radiol, Kurashiki, Okayama, Japan</t>
  </si>
  <si>
    <t xml:space="preserve">Kurashiki Central Hospital; Kurashiki Central Hospital</t>
  </si>
  <si>
    <t xml:space="preserve">Kawataki, M (corresponding author), Kurashiki Cent Hosp, Ohara Healthcare Fdn, Dept Resp Med, Kurashiki, Okayama, Japan.</t>
  </si>
  <si>
    <t xml:space="preserve">masanori19881027@gmail.com</t>
  </si>
  <si>
    <t xml:space="preserve">Kawataki, Masanori/0000-0001-7511-3024</t>
  </si>
  <si>
    <t xml:space="preserve">The author would like to thank FORTE Science Communications for English editing.</t>
  </si>
  <si>
    <t xml:space="preserve">10.1016/j.ijid.2024.107162</t>
  </si>
  <si>
    <t xml:space="preserve">A9K9J</t>
  </si>
  <si>
    <t xml:space="preserve">WOS:001285666800001</t>
  </si>
  <si>
    <t xml:space="preserve">Ramírez-Sánchez, IC; Diaz-Sanabria, RA; Alza-Arcila, J</t>
  </si>
  <si>
    <t xml:space="preserve">Ramirez-Sanchez, Isabel Cristina; Diaz-Sanabria, Ricardo Augusto; Alza-Arcila, Jhongert</t>
  </si>
  <si>
    <t xml:space="preserve">Invasive pulmonary aspergillosis following human metapneumovirus infection in solid-organ transplant recipients: Another virus to add to the list</t>
  </si>
  <si>
    <t xml:space="preserve">human metapneumovirus; invasive aspergillosis; kidney transplant</t>
  </si>
  <si>
    <t xml:space="preserve">RISK-FACTORS</t>
  </si>
  <si>
    <t xml:space="preserve">There is increasing recognition that respiratory viral infections such as influenza, respiratory syncytial virus, parainfluenza virus, adenovirus, and SARS-CoV-2 can promote the development of invasive fungal pulmonary coinfections, particularly invasive aspergillosis, both in immunocompetent and immunocompromised patients. To date, there are no case reports exploring the role of human metapneumovirus as a risk factor for fungal coinfection. Below, we describe the case of a 63-year-old woman who received a kidney transplant and developed invasive pulmonary aspergillosis after a human metapneumovirus infection and discuss the possible phenomena that could favor this association</t>
  </si>
  <si>
    <t xml:space="preserve">[Ramirez-Sanchez, Isabel Cristina] Hosp Pablo Tobon Uribe, Med Sch, Internal Med Dept, Infect Dis Sect, Calle 78B 69-240, Medellin, Colombia; [Ramirez-Sanchez, Isabel Cristina; Diaz-Sanabria, Ricardo Augusto; Alza-Arcila, Jhongert] Univ Antioquia, Med Sch, Internal Med Dept, Infect Dis Sect, Medellin, Colombia</t>
  </si>
  <si>
    <t xml:space="preserve">Universidad de Antioquia</t>
  </si>
  <si>
    <t xml:space="preserve">Ramírez-Sánchez, IC (corresponding author), Hosp Pablo Tobon Uribe, Med Sch, Internal Med Dept, Infect Dis Sect, Calle 78B 69-240, Medellin, Colombia.</t>
  </si>
  <si>
    <t xml:space="preserve">iramirez@hptu.org.co</t>
  </si>
  <si>
    <t xml:space="preserve">Diaz Sanabria, Ricardo Augusto/0000-0002-2187-3842; /0000-0003-4698-1871; Alza Arcila, Jhongert/0000-0002-7585-3783</t>
  </si>
  <si>
    <t xml:space="preserve">10.1111/tid.14188</t>
  </si>
  <si>
    <t xml:space="preserve">HV6P5</t>
  </si>
  <si>
    <t xml:space="preserve">WOS:001098425000001</t>
  </si>
  <si>
    <t xml:space="preserve">McMichael, TM; Zhang, Y; Kenney, AD; Zhang, LZ; Zani, A; Lu, MJ; Chemudupati, M; Li, JR; Yount, JS</t>
  </si>
  <si>
    <t xml:space="preserve">McMichael, Temet M.; Zhang, Yu; Kenney, Adam D.; Zhang, Lizhi; Zani, Ashley; Lu, Mijia; Chemudupati, Mahesh; Li, Jianrong; Yount, Jacob S.</t>
  </si>
  <si>
    <t xml:space="preserve">IFITM3 Restricts Human Metapneumovirus Infection</t>
  </si>
  <si>
    <t xml:space="preserve">human metapneumovirus; interferon; interferon-induced transmembrane protein; IFITM; IFITM3; toll-like receptor; TLR7; virus entry; virus fusion; restriction factor</t>
  </si>
  <si>
    <t xml:space="preserve">RESPIRATORY SYNCYTIAL VIRUS; ANTIVIRAL ACTIVITY; INFLUENZA-VIRUS; YOUNG-CHILDREN; TRACT DISEASE; FUSION; METHYLTRANSFERASE; PHOSPHORYLATION; PALMITOYLATION; PATHOGENESIS</t>
  </si>
  <si>
    <t xml:space="preserve">Human metapneumovirus (hMPV) utilizes a bifurcated cellular entry strategy, fusing either with the plasma membrane or, after endocytosis, with the endosome membrane. Whether cellular factors restrict or enhance either entry pathway is largely unknown. We found that the interferon-induced transmembrane protein 3 (IFITM3) inhibits hMPV infection to an extent similar to endocytosis-inhibiting drugs, and an IFITM3 variant that accumulates at the plasma membrane in addition to its endosome localization provided increased virus restriction. Mechanistically, IFITM3 blocks hMPV F protein-mediated membrane fusion, and inhibition of infection was reversed by the membrane destabilizing drug amphotericin B. Conversely, we found that infection by some hMPV strains is enhanced by the endosomal protein toll-like receptor 7 (TLR7), and that IFITM3 retains the ability to restrict hMPV infection even in cells expressing TLR7. Overall, our results identify IFITM3 as an endosomal restriction factor that limits hMPV infection of cells.</t>
  </si>
  <si>
    <t xml:space="preserve">[McMichael, Temet M.; Kenney, Adam D.; Zhang, Lizhi; Zani, Ashley; Chemudupati, Mahesh; Yount, Jacob S.] Ohio State Univ, Dept Microbial Infect &amp; Immun, 460 W 12th Ave,Biomed Res Tower 790, Columbus, OH 43210 USA; [Zhang, Yu; Lu, Mijia; Li, Jianrong] Ohio State Univ, Dept Vet Biosci, Columbus, OH 43210 USA; [McMichael, Temet M.; Kenney, Adam D.; Zhang, Lizhi; Zani, Ashley; Lu, Mijia; Chemudupati, Mahesh; Li, Jianrong; Yount, Jacob S.] Ohio State Univ, Infect Dis Inst, Columbus, OH 43210 USA</t>
  </si>
  <si>
    <t xml:space="preserve">University System of Ohio; Ohio State University; University System of Ohio; Ohio State University; University System of Ohio; Ohio State University</t>
  </si>
  <si>
    <t xml:space="preserve">Yount, JS (corresponding author), Ohio State Univ, Dept Microbial Infect &amp; Immun, 460 W 12th Ave,Biomed Res Tower 790, Columbus, OH 43210 USA.</t>
  </si>
  <si>
    <t xml:space="preserve">yount.37@osu.edu</t>
  </si>
  <si>
    <t xml:space="preserve">Yount, Jacob/F-9905-2014; Li, Jianrong/E-3510-2011</t>
  </si>
  <si>
    <t xml:space="preserve">Yount, Jacob/0000-0002-6128-4575; Chemudupati, Mahesh/0000-0002-6430-2484</t>
  </si>
  <si>
    <t xml:space="preserve">National Institutes of Health (NIH) [AI130110, AI090060]; Gilliam Fellowship for Advanced Study from the Howard Hughes Medical Institute; Ohio State University Systems and Integrative Biology Training Program - NIH [GM068412]</t>
  </si>
  <si>
    <t xml:space="preserve">National Institutes of Health (NIH)(United States Department of Health &amp; Human ServicesNational Institutes of Health (NIH) - USA); Gilliam Fellowship for Advanced Study from the Howard Hughes Medical Institute; Ohio State University Systems and Integrative Biology Training Program - NIH</t>
  </si>
  <si>
    <t xml:space="preserve">This work was supported by National Institutes of Health (NIH) (grant numbers AI130110 to J. S. Y. and AI090060 to J. L.). T. M. M. was supported by a Gilliam Fellowship for Advanced Study from the Howard Hughes Medical Institute. A. D. K. was supported by The Ohio State University Systems and Integrative Biology Training Program funded by NIH (grant number GM068412).</t>
  </si>
  <si>
    <t xml:space="preserve">10.1093/infdis/jiy361</t>
  </si>
  <si>
    <t xml:space="preserve">GW4IF</t>
  </si>
  <si>
    <t xml:space="preserve">WOS:000446875300008</t>
  </si>
  <si>
    <t xml:space="preserve">Dinwiddie, DL; Harrod, KS</t>
  </si>
  <si>
    <t xml:space="preserve">Dinwiddie, Darrell L.; Harrod, Kevin S.</t>
  </si>
  <si>
    <t xml:space="preserve">Human metapneumovirus inhibits IFN-α signaling through inhibition of STAT1 phosphorylation</t>
  </si>
  <si>
    <t xml:space="preserve">human metapneumovirus; interferon-alpha; type I interferon; innate immune response; STAT</t>
  </si>
  <si>
    <t xml:space="preserve">RESPIRATORY SYNCYTIAL VIRUS; OBSTRUCTIVE PULMONARY-DISEASE; V-PROTEIN; NUCLEAR ACCUMULATION; INTERFERON-ALPHA; PREVENTING STAT1; EPITHELIAL-CELLS; RNA VIRUSES; INFECTION; TRANSDUCTION</t>
  </si>
  <si>
    <t xml:space="preserve">The recently discovered human metapneumovirus (hMPV) is a major cause of lower and upper respiratory tract infections worldwide. Acute viral infection initiates the interferon response that is critical in mediating viral clearance, viral host defense, and development of adaptive immunity. Mouse models of infection suggest that hMPV can cause persistent lung infections, yet the mechanisms of evading host viral clearance are unknown. Here we report that hMPV can subvert host type I interferon signaling by a mechanism distinct from other paramyxoviruses. Two lung epithelial cell lines and primary normal human bronchial epithelial cells (NHBE) were permissive for hMPV, consistent with its tropism for the respiratory tract. Treatment of hMPV-infected cells with exogenous IFN-alpha failed to reduce viral replication. Moreover, in lung epithelial cells, hMPV infection prevented IFN-alpha-mediated transactivation of the interferon-stimulated response element (ISRE) and up-regulation of interferon-stimulated genes (ISGs). Further examination of the IFN-alpha signaling cascade showed that hMPV infection prevented IFN-alpha-incluced phosphorylation and nuclear translocation of STAT1. The inhibitory effects of hMPV on STAT1 phosphorylation and translocation were abolished by ultraviolet inactivation. Regulation of STAT1 by hMPV was specific, as phosphorylation of STAT2, Tyk2, and Jak1 by IFN-alpha. and the surface expression of the IFN-a receptor were unaltered by hMPV infection. These findings demonstrate that hMPV can inhibit the type I interferon response through regulation of STAT1 phosphorylation, and provide important insight into the viral pathogenesis of hMPV infection in the respiratory tract.</t>
  </si>
  <si>
    <t xml:space="preserve">[Dinwiddie, Darrell L.; Harrod, Kevin S.] Lovelace Resp Res Inst, Program Infect Dis, Albuquerque, NM USA</t>
  </si>
  <si>
    <t xml:space="preserve">Lovelace Respiratory Research Institute</t>
  </si>
  <si>
    <t xml:space="preserve">Harrod, KS (corresponding author), 2425 Ridgecrest Dr SE, Albuquerque, NM 87108 USA.</t>
  </si>
  <si>
    <t xml:space="preserve">kharrod@lrri.org</t>
  </si>
  <si>
    <t xml:space="preserve">Harrod, Kevin/0000-0003-0780-9470</t>
  </si>
  <si>
    <t xml:space="preserve">10.1165/rcmb.2007-0285OC</t>
  </si>
  <si>
    <t xml:space="preserve">303NC</t>
  </si>
  <si>
    <t xml:space="preserve">WOS:000256046200005</t>
  </si>
  <si>
    <t xml:space="preserve">Barr, R; McGalliard, R; Drysdale, SB</t>
  </si>
  <si>
    <t xml:space="preserve">Barr, Rachael; McGalliard, Rachel; Drysdale, Simon B.</t>
  </si>
  <si>
    <t xml:space="preserve">Human metapneumovirus in paediatric intensive care unit (PICU) admissions in the United Kingdom (UK) 2006-2014</t>
  </si>
  <si>
    <t xml:space="preserve">Human metapneumovirus; Intensive care; PICU; Cost</t>
  </si>
  <si>
    <t xml:space="preserve">YOUNG-CHILDREN; INFECTION</t>
  </si>
  <si>
    <t xml:space="preserve">Background: Human metapneumovirus (HMPV) is a pneumovirus known to cause respiratory disease in children. It was identified as a pathogen in 2001 and its healthcare burden and associated costs are not fully understood. Objectives: This study aimed to assess the clinical characteristics of children with HMPV infection admitted to paediatric intensive care units (PICUs) across the United Kingdom (UK) over a nine-year period and to estimate the associated costs of care. Study design: Data were collected from the UK paediatric intensive care audit network (PICANet) and costs calculated using the National Health Service (NHS) reference costing scheme. Results: There were 114 admissions in which HMPV was detected. The number of admissions associated with a code of HMPV rose steadily over the study period (three in 2006 to 28 in 2014) and showed significant seasonal variability, with the peak season being from November to May. Children required varying levels of intensive care support from minimal to complex support including invasive ventilation, inotropes, renal replacement therapy and extracorporeal membrane oxygenation (ECMO). HMPV was associated with five deaths during the study period. The associated costs of PICU admissions were estimated to be between 2,256,823 pound and 3,997,823 pound over the study period, with estimated annual costs rising over the study period due to increasing HMPV admissions. Conclusions: HMPV is associated with a significant healthcare burden and associated cost of care in PICUs in the UK.</t>
  </si>
  <si>
    <t xml:space="preserve">[Barr, Rachael; McGalliard, Rachel; Drysdale, Simon B.] Oxford Univ Hosp NHS Fdn Trust, Childrens Hosp, Headley Way, Oxford OX3 9DU, England; [Drysdale, Simon B.] Univ Oxford, Dept Paediat, Oxford Vaccine Grp, Oxford OX3 9DU, England; [Drysdale, Simon B.] Childrens Hosp, NIHR Oxford Biomed Res Ctr, Level 2, Oxford OX3 9DU, England; [Barr, Rachael] Taunton &amp; Somerset NHS Fdn Trust, Childrens Hosp, Parkfield Dr, Taunton TA1 5DA, Somerset, England</t>
  </si>
  <si>
    <t xml:space="preserve">University of Oxford; Oxford University Hospitals NHS Foundation Trust; University of Oxford; University of Oxford</t>
  </si>
  <si>
    <t xml:space="preserve">Barr, R (corresponding author), Taunton &amp; Somerset NHS Fdn Trust, Musgrove Pk Hosp, Parkfield Dr, Taunton TA1 5DA, Somerset, England.</t>
  </si>
  <si>
    <t xml:space="preserve">rb9608@my.bristol.ac.uk</t>
  </si>
  <si>
    <t xml:space="preserve">Drysdale, Simon/K-3601-2012</t>
  </si>
  <si>
    <t xml:space="preserve">Barr, Rachael/0009-0004-8418-1714; Barr, Rachael/0000-0002-9703-2521; Drysdale, Simon/0000-0002-6350-6557</t>
  </si>
  <si>
    <t xml:space="preserve">10.1016/j.jcv.2019.01.006</t>
  </si>
  <si>
    <t xml:space="preserve">HN4BF</t>
  </si>
  <si>
    <t xml:space="preserve">WOS:000460128500003</t>
  </si>
  <si>
    <t xml:space="preserve">Melendi, GA; Laham, FR; Monsalvo, AC; Casellas, JM; Israele, V; Polack, NR; Kleeberger, SR; Polack, FP</t>
  </si>
  <si>
    <t xml:space="preserve">Melendi, Guillermina A.; Laham, Federico R.; Monsalvo, A. Clara; Casellas, Javier M.; Israele, Victor; Polack, Norberto R.; Kleeberger, Steven R.; Polack, Fernando P.</t>
  </si>
  <si>
    <t xml:space="preserve">Cytokine profiles in the respiratory tract during primary infection with human metapneumovirus, respiratory syncytial virus, or influenza virus in infants</t>
  </si>
  <si>
    <t xml:space="preserve">human metapneumovirus; influenza; respiratory syncytial virus; T helper</t>
  </si>
  <si>
    <t xml:space="preserve">G-GLYCOPROTEIN; RESPONSES; GAMMA; IMMUNITY</t>
  </si>
  <si>
    <t xml:space="preserve">Objectives. We characterized the T helper cytokine profiles in the respiratory tract of infants infected with influenza virus, human metapneumovirus, and respiratory syncytial virus to examine whether these agents elicit similar cytokine responses and whether T helper type 2 polarization is associated with wheezing and severe disease. Methods. A prospective study of infants who were seeking medical help for acute upper and/or lower respiratory tract infection symptoms for the first time and were found to be infected with influenza, human metapneumovirus, or respiratory syncytial virus was performed. Respiratory viruses were detected in nasal secretions with reverse transcriptase-polymerase chain reaction assays. The study was performed in emergency departments and outpatient clinics in Buenos Aires, Argentina. T cell cytokine responses were determined in nasal secretions with immunoassays and reverse transcriptase-polymerase chain reaction assays. Results. Influenza elicited higher levels of interferon-gamma, interleukin- 4, and interleukin-2 than did the other agents. Human metapneumovirus had the lowest interferon-gamma/ interleukin- 4 ratio (T helper type 2 bias). However, no association was found between T helper type 2 bias and overall wheezing or hospitalization rates. Conclusions. These findings show that viral respiratory infections in infants elicit different cytokine responses and that the pathogeneses of these agents should be studied individually.</t>
  </si>
  <si>
    <t xml:space="preserve">Johns Hopkins Univ, Dept Pediat, Sch Med, Baltimore, MD 21205 USA; Johns Hopkins Univ, Dept Mol Microbiol &amp; Immunol, Baltimore, MD 21205 USA; Johns Hopkins Univ, Dept Int Hlth, Bloomberg Sch Publ Hlth, Baltimore, MD 21205 USA; Fdn INFANT, Buenos Aires, DF, Argentina; Hosp Materno Infantil San Isidro, Div Infect Dis, Buenos Aires, DF, Argentina; Natl Inst Environm Hlth Sci, Res Triangle Pk, NC USA</t>
  </si>
  <si>
    <t xml:space="preserve">Johns Hopkins University; Johns Hopkins University; Johns Hopkins University; Johns Hopkins Bloomberg School of Public Health; National Institutes of Health (NIH) - USA; NIH National Institute of Environmental Health Sciences (NIEHS)</t>
  </si>
  <si>
    <t xml:space="preserve">Melendi, GA (corresponding author), Johns Hopkins Univ, Dept Pediat, Sch Med, 615 N Wolfe St,E5202, Baltimore, MD 21205 USA.</t>
  </si>
  <si>
    <t xml:space="preserve">Kleeberger, Steven/F-1807-2019</t>
  </si>
  <si>
    <t xml:space="preserve">Kleeberger, Steven/0000-0003-2948-8452</t>
  </si>
  <si>
    <t xml:space="preserve">Intramural NIH HHS Funding Source: Medline; NIAID NIH HHS [AI-054952] Funding Source: Medline</t>
  </si>
  <si>
    <t xml:space="preserve">E410</t>
  </si>
  <si>
    <t xml:space="preserve">E415</t>
  </si>
  <si>
    <t xml:space="preserve">10.1542/peds.2006-3283</t>
  </si>
  <si>
    <t xml:space="preserve">196SY</t>
  </si>
  <si>
    <t xml:space="preserve">WOS:000248503500065</t>
  </si>
  <si>
    <t xml:space="preserve">Ison, MG; Michaels, MG</t>
  </si>
  <si>
    <t xml:space="preserve">Ison, M. G.; Michaels, M. G.</t>
  </si>
  <si>
    <t xml:space="preserve">AST Infect Dis Community Practice</t>
  </si>
  <si>
    <t xml:space="preserve">RNA Respiratory Viral Infections in Solid Organ Transplant Recipients</t>
  </si>
  <si>
    <t xml:space="preserve">Human metapneumovirus; influenza; organ transplantation; parainfluenza virus; rhinovirus; RSV</t>
  </si>
  <si>
    <t xml:space="preserve">STEM-CELL TRANSPLANTATION; SYNCYTIAL VIRUS; BRONCHIOLITIS OBLITERANS; HUMAN METAPNEUMOVIRUS; ADULT RECIPIENTS; INFLUENZA-VIRUS; CLINICAL IMPACT; BONE-MARROW; PCR ASSAYS; RIBAVIRIN</t>
  </si>
  <si>
    <t xml:space="preserve">[Ison, M. G.] Northwestern Univ, Feinberg Sch Med, Div Infect Dis, Chicago, IL 60611 USA; [Ison, M. G.] Northwestern Univ, Feinberg Sch Med, Div Organ Transplantat, Chicago, IL 60611 USA; [Michaels, M. G.] Univ Pittsburgh, Sch Med, Div Pediat Infect Dis, Dept Pediat, Pittsburgh, PA USA; [Michaels, M. G.] Univ Pittsburgh, Sch Med, Div Pediat Infect Dis, Dept Surg, Pittsburgh, PA USA</t>
  </si>
  <si>
    <t xml:space="preserve">Northwestern University; Feinberg School of Medicine; Northwestern University; Feinberg School of Medicine; Pennsylvania Commonwealth System of Higher Education (PCSHE); University of Pittsburgh; Pennsylvania Commonwealth System of Higher Education (PCSHE); University of Pittsburgh</t>
  </si>
  <si>
    <t xml:space="preserve">Ison, MG (corresponding author), Northwestern Univ, Feinberg Sch Med, Div Infect Dis, Chicago, IL 60611 USA.</t>
  </si>
  <si>
    <t xml:space="preserve">Sanofi Pasteur; Roche</t>
  </si>
  <si>
    <t xml:space="preserve">Sanofi Pasteur; Roche(Roche Holding)</t>
  </si>
  <si>
    <t xml:space="preserve">Michaels M.: Grant Support, Sanofi Pasteur, Roche. Ison M. G.: Consultant: BioCryst, Adamas, Roche; Lectures Fees, Abbott Molecular, ViraCor; Site PI, ViraCor, BioCryst, Roche.</t>
  </si>
  <si>
    <t xml:space="preserve">S166</t>
  </si>
  <si>
    <t xml:space="preserve">S172</t>
  </si>
  <si>
    <t xml:space="preserve">10.1111/j.1600-6143.2009.02908.x</t>
  </si>
  <si>
    <t xml:space="preserve">533ZG</t>
  </si>
  <si>
    <t xml:space="preserve">WOS:000272864500023</t>
  </si>
  <si>
    <t xml:space="preserve">Civljak, R; Tot, T; Falsey, AR; Huljev, E; Vranes, J; Ljubin-Sternak, S</t>
  </si>
  <si>
    <t xml:space="preserve">Civljak, Rok; Tot, Tatjana; Falsey, Ann R.; Huljev, Eva; Vranes, Jasmina; Ljubin-Sternak, Suncanica</t>
  </si>
  <si>
    <t xml:space="preserve">Viral pathogens associated with acute respiratory illness in hospitalized adults and elderly from Zagreb, Croatia, 2016 to 2018n</t>
  </si>
  <si>
    <t xml:space="preserve">human metapneumovirus; influenza; multiplex reverse; transcription polymerase chain reaction; respiratory syncytial virus</t>
  </si>
  <si>
    <t xml:space="preserve">SYNCYTIAL VIRUS-INFECTION; OLDER-ADULTS; ANTIBIOTIC USE; CORONAVIRUS; SEASONALITY; RHINOVIRUS; PNEUMONIA; INFLUENZA; DIAGNOSIS; IMPACT</t>
  </si>
  <si>
    <t xml:space="preserve">Aims: To investigate the viral etiology of acute respiratory infection (ARI) in hospitalized adults and elderly patients in Croatia, compare the prevalence of detected viruses, and to determine clinical characteristics and seasonal occurrence of investigated infections. Methods: From January 2016 to June 2018, a total of 182 adult patients presented with symptoms of ARI and admitted to the hospital were tested for 15 respiratory viruses by multiplex reverse-transcription polymerase chain reaction. Clinical data were collected by retrospective analysis of the patient's chart. Results: A virus was identified in 106 (58.5%) of the patients. The most commonly detected virus was influenza virus (41.5%), followed by respiratory syncytial virus (13.8%), human metapneumovirus (13.0%), parainfluenza viruses (12.2%), rhinoviruses (11.4%), adenovirus and coronaviruses with equal frequencies (3.3%), and enterovirus (1.6%). The serum level of C-reactive protein and white blood cell count were significantly lower in patients with respiratory viruses identified when compared with those in whom no virus was detected (P &lt; 0.001 and P = 0.007, respectively). There were no differences in clinical symptoms according to the type of the detected virus, except for more frequent illness exposure recall for influenza infection (P = 0.010). Influenza, parainfluenza, and pneumoviruses were detected mostly in winter months, while rhinoviruses in autumn and spring. Conclusions: In addition to influenza, pneumoviruses, rhinoviruses, and parainfluenza viruses play an important role in etiology of ARIs in adults. Fast and accurate laboratory diagnosis for respiratory viruses in routine practice is needed for clinicians optimally manage patients with ARI and potentially avoid the unnecessary use of antimicrobial drugs.</t>
  </si>
  <si>
    <t xml:space="preserve">[Civljak, Rok; Huljev, Eva] Univ Zagreb, Sch Med, Dr Fran Mihaljev Univ Hosp Infect Dis, Dept Resp Tract Infect, Zagreb, Croatia; [Tot, Tatjana] Gen Hosp Karlovac, Dept Microbiol, Karlovac, Croatia; [Falsey, Ann R.] Rochester Gen Hosp, Dept Med, Rochester, NY 14621 USA; [Falsey, Ann R.] Univ Rochester, Sch Med &amp; Dent, Rochester, NY USA; [Vranes, Jasmina; Ljubin-Sternak, Suncanica] Dr Andrija Stampar Teaching Inst Publ Hlth, Dept Clin Microbiol, Mirogojska 16, Zagreb 10000, Croatia; [Vranes, Jasmina; Ljubin-Sternak, Suncanica] Univ Zagreb, Sch Med, Dept Med Microbiol, Zagreb, Croatia</t>
  </si>
  <si>
    <t xml:space="preserve">University of Zagreb; Rochester General Hospital; University of Rochester; University of Zagreb</t>
  </si>
  <si>
    <t xml:space="preserve">Ljubin-Sternak, S (corresponding author), Dr Andrija Stampar Teaching Inst Publ Hlth, Dept Clin Microbiol, Mirogojska 16, Zagreb 10000, Croatia.</t>
  </si>
  <si>
    <t xml:space="preserve">sljsternak@stampar.hr</t>
  </si>
  <si>
    <t xml:space="preserve">Civljak, Rok/AAL-4002-2020</t>
  </si>
  <si>
    <t xml:space="preserve">Vranes, Jasmina/0000-0002-3282-0973; Ljubin-Sternak, Suncanica/0000-0002-6405-6922; Civljak, Rok/0000-0001-8766-7438</t>
  </si>
  <si>
    <t xml:space="preserve">Hrvatska Zaklada za Znanost [IP-2016-06-7556]</t>
  </si>
  <si>
    <t xml:space="preserve">Hrvatska Zaklada za Znanost</t>
  </si>
  <si>
    <t xml:space="preserve">Hrvatska Zaklada za Znanost, Grant/Award Number: IP-2016-06-7556</t>
  </si>
  <si>
    <t xml:space="preserve">10.1002/jmv.25437</t>
  </si>
  <si>
    <t xml:space="preserve">ID5ZD</t>
  </si>
  <si>
    <t xml:space="preserve">WOS:000471755300004</t>
  </si>
  <si>
    <t xml:space="preserve">Aminisani, N; Wood, T; Jelley, L; Wong, CR; Huang, QS</t>
  </si>
  <si>
    <t xml:space="preserve">Aminisani, Nayyereh; Wood, Timothy; Jelley, Lauren; Wong, Conroy; Sue Huang, Q.</t>
  </si>
  <si>
    <t xml:space="preserve">The Burden of Human Metapneumovirus- and Influenza-Associated Hospitalizations in Adults in New Zealand, 2012-2015</t>
  </si>
  <si>
    <t xml:space="preserve">human metapneumovirus; influenza; burden of disease; hospitalizations; acute respiratory infection</t>
  </si>
  <si>
    <t xml:space="preserve">RESPIRATORY SYNCYTIAL VIRUS; MULTIPLE IMPUTATION; UNITED-STATES; INFECTIONS; CHILDREN; IMPACT; YOUNG</t>
  </si>
  <si>
    <t xml:space="preserve">Background Unlike influenza, information on the burden of human metapneumovirus (HMPV) as a cause of hospitalizations in adults with acute respiratory illness (ARI) is limited.Methods We compared the population-based incidence, seasonality, and clinical characteristics of these 2 viral infections among adults aged &gt;= 20 years with ARI hospitalizations in Auckland, New Zealand, during 2012-2015 through the Southern Hemisphere Influenza Vaccine Effectiveness Research and Surveillance (SHIVERS) project.Results Of the 14 139 ARI hospitalizations, 276 of 6484 (4.3%) tested positive for HMPV and 1342 of 7027 (19.1%) tested positive for influenza. Crude rates of 9.8 (95% confidence interval [CI], 8.7-11.0) HMPV-associated and 47.6 (95% CI, 45.1-50.1) influenza-associated ARI hospitalizations were estimated for every 100 000 adult residents annually. The highest rates for both viruses were in those aged &gt;= 80 years, of Maori or Pacific ethnicity, or living in low socioeconomic status (SES) areas. HMPV infections were more common than influenza in those with chronic medical conditions.Conclusions Although HMPV infections accounted for fewer hospitalizations than influenza in adults aged &gt;= 20 years, HMPV-associated ARI hospitalization rates were higher than influenza in older adults, Maori and Pacific people, and those of low SES. This highlights a need for vaccine/antiviral development. Human metapneumovirus (HMPV) infections led to fewer hospitalizations than influenza overall. Hospitalization rates rose with age for both viruses, peaking in those aged &gt;= 80 years. Ethnic and socioeconomic disparities were significant in HMPV- and influenza-related hospitalizations.</t>
  </si>
  <si>
    <t xml:space="preserve">[Aminisani, Nayyereh; Wood, Timothy; Jelley, Lauren; Sue Huang, Q.] Inst Environm Sci &amp; Res, Wellington, New Zealand; [Wong, Conroy] Hlth New Zealand Cty Manukau, Te Whatu Ora, Auckland, New Zealand; [Aminisani, Nayyereh] Inst Environm Sci &amp; Res, 66 Ward St, Wallaceville 5018, Upper Hutt, New Zealand</t>
  </si>
  <si>
    <t xml:space="preserve">Institute of Environmental Science &amp; Research (ESR) - New Zealand</t>
  </si>
  <si>
    <t xml:space="preserve">Aminisani, N (corresponding author), Inst Environm Sci &amp; Res, 66 Ward St, Wallaceville 5018, Upper Hutt, New Zealand.</t>
  </si>
  <si>
    <t xml:space="preserve">nayyereh.aminisani@esr.cri.nz</t>
  </si>
  <si>
    <t xml:space="preserve">Huang, Q. Sue/0000-0002-3923-5195</t>
  </si>
  <si>
    <t xml:space="preserve">Centers for Disease Control and Prevention [U01IP000480]</t>
  </si>
  <si>
    <t xml:space="preserve">The SHIVERS project is funded by the Centers for Disease Control and Prevention (grant number U01IP000480). Support in kind was provided by the New Zealand Ministry of Health.</t>
  </si>
  <si>
    <t xml:space="preserve">10.1093/infdis/jiae064</t>
  </si>
  <si>
    <t xml:space="preserve">I7Y8N</t>
  </si>
  <si>
    <t xml:space="preserve">WOS:001180822900001</t>
  </si>
  <si>
    <t xml:space="preserve">Jallow, MM; Fall, A; Kiori, D; Sy, S; Goudiaby, D; Barry, MA; Fall, M; Niang, MN; Dia, N</t>
  </si>
  <si>
    <t xml:space="preserve">Jallow, Mamadou Malado; Fall, Amary; Kiori, Davy; Sy, Sara; Goudiaby, Deborah; Barry, Mamadou Aliou; Fall, Malick; Niang, Mbayame Ndiaye; Dia, Ndongo</t>
  </si>
  <si>
    <t xml:space="preserve">Epidemiological, clinical and genotypic features of human Metapneumovirus in patients with influenza-like illness in Senegal, 2012 to 2016</t>
  </si>
  <si>
    <t xml:space="preserve">Human metapneumovirus; Influenza-like illness; Epidemiology</t>
  </si>
  <si>
    <t xml:space="preserve">ACUTE RESPIRATORY-INFECTIONS; HOSPITALIZED CHILDREN; GENETIC DIVERSITY; VIRAL ETIOLOGY; PREVALENCE; VARIABILITY; CAMEROON</t>
  </si>
  <si>
    <t xml:space="preserve">Background: Human metapneumovirus (HMPV) is a causal agent of acute respiratory infection, especially in primarily children. At the clinical level, HMPV is associated to several diseases including bronchitis, croup, pneumonia, bronchiolitis, reactive airway disease, chronic obstructive pulmonary disease and asthma exacerbations, specifically in children less than 5 years. Here, we carried out a retrospective pilot study, based on the processing of nasopharyngeal swabs, with a focus on the epidemiology and molecular characteristics of HMPV in Senegal. Methods: This retrospective study was conducted from January 2012 to December 2016. Briefly, all outpatients presenting to healthcare sentinel sites were screened for surveillance enrollment and included if they met criteria for ILI. Naso-oropharyngeal swabs were collected from eligible participants. For viral respiratory pathogens detection, including HMPV, the Anyplex (TM) II RV16 Detection kit was used. A fragment of the hMPV F gene was targeted for sequencing. Results: In total, 8209 patients with ILI were enrolled. Half of them (49.7%) were children under 5 years. Fever was the most common symptom followed by cough, and rhinitis. Three hundred eight patients were positive for HMPV (3.75%). 89 (28.9%) were detected as single infection. In co-infection cases, the most common co-infecting viruses were influenza, adenovirus and rhinovirus. HMPV detection rates in the different age groups varied significantly with the children under 5 years group accounting for 71.7% of positive patients. The temporal distribution pattern for HMPV infection showed a clear seasonal pattern with a higher activity during the rainy period (July-September). Phylogenetic analyses revealed that HMPV specimens circulating in Senegal were distributed into the two main genetic lineages, A and B. We also noted a co-circulation of both genetic lineages during the whole study period except in 2014. Conclusion: In summary, the present study characterized the recent prevalence, seasonality and genetic diversity of HMPV in a large outpatient population presented with ILI in Senegal between 2012 and 2016. Globally our results show a clear seasonal circulation pattern of HMPV in Senegal. Our findings identified children less than 5 years as more susceptible group to HMPV infection. Molecular studies identified A2, B1 and B2 as the major genotypes circulating.</t>
  </si>
  <si>
    <t xml:space="preserve">[Jallow, Mamadou Malado; Fall, Amary; Kiori, Davy; Sy, Sara; Goudiaby, Deborah; Niang, Mbayame Ndiaye; Dia, Ndongo] Inst Pasteur, Dept Virol, 36 Ave Pasteur,BP 220, Dakar, Senegal; [Barry, Mamadou Aliou] Inst Pasteur, Unite Epidemiol Malad Infect, Dakar, Senegal; [Fall, Malick] Univ Cheikh Anta DIOP Dakar, Fac Sci &amp; Tech, Dept Biol Anim, Dakar, Senegal</t>
  </si>
  <si>
    <t xml:space="preserve">Pasteur Network; Institut Pasteur Dakar; Pasteur Network; Institut Pasteur Dakar; University Cheikh Anta Diop Dakar</t>
  </si>
  <si>
    <t xml:space="preserve">Dia, N (corresponding author), Inst Pasteur, Dept Virol, 36 Ave Pasteur,BP 220, Dakar, Senegal.</t>
  </si>
  <si>
    <t xml:space="preserve">mamadoumaladojallow@gmail.com; ndia@pasteur.sn</t>
  </si>
  <si>
    <t xml:space="preserve">Fall, Amary/AAR-8776-2021; BARRY, ALIOU/ABA-2652-2021</t>
  </si>
  <si>
    <t xml:space="preserve">Jallow, Mamadou Malado/0000-0002-9815-4563</t>
  </si>
  <si>
    <t xml:space="preserve">US Department of Human Health services via the International division of Pasteur Institutes [IDSEP140020-01-00]</t>
  </si>
  <si>
    <t xml:space="preserve">US Department of Human Health services via the International division of Pasteur Institutes</t>
  </si>
  <si>
    <t xml:space="preserve">This study was supported by the US Department of Human Health services by grant number IDSEP140020-01-00 via the International division of Pasteur Institutes. These funds enabled the set up of the sentinel surveillance network for influenza in Senegal.</t>
  </si>
  <si>
    <t xml:space="preserve">MAY 22</t>
  </si>
  <si>
    <t xml:space="preserve">10.1186/s12879-019-4096-y</t>
  </si>
  <si>
    <t xml:space="preserve">HZ4AJ</t>
  </si>
  <si>
    <t xml:space="preserve">WOS:000468789200011</t>
  </si>
  <si>
    <t xml:space="preserve">Madi, N; Al-Nakib, W; Mustafa, AS; Habibi, N</t>
  </si>
  <si>
    <t xml:space="preserve">Madi, Nada; Al-Nakib, Widad; Mustafa, Abu Salim; Habibi, Nazima</t>
  </si>
  <si>
    <t xml:space="preserve">Metagenomic analysis of viral diversity in respiratory samples from patients with respiratory tract infections in Kuwait</t>
  </si>
  <si>
    <t xml:space="preserve">human metapneumovirus; influenza virus; research and analysis methods; respiratory syncytial virus; RNA extraction</t>
  </si>
  <si>
    <t xml:space="preserve">TT VIRUS-INFECTION; SYNCYTIAL VIRUS; DISEASE SEVERITY; GENOMIC ANALYSIS; CHILDREN; GASTROENTERITIS; COINFECTION; ROTAVIRUS; DISCOVERY; PATHOGENS</t>
  </si>
  <si>
    <t xml:space="preserve">A metagenomic approach based on target independent next-generation sequencing has become a known method for the detection of both known and novel viruses in clinical samples. This study aimed to use the metagenomic sequencing approach to characterize the viral diversity in respiratory samples from patients with respiratory tract infections. We have investigated 86 respiratory samples received from various hospitals in Kuwait between 2015 and 2016 for the diagnosis of respiratory tract infections. A metagenomic approach using the next-generation sequencer to characterize viruses was used. According to the metagenomic analysis, an average of 145, 019 reads were identified, and 2% of these reads were of viral origin. Also, metagenomic analysis of the viral sequences revealed many known respiratory viruses, which were detected in 30.2% of the clinical samples. Also, sequences of non-respiratory viruses were detected in 14% of the clinical samples, while sequences of non-human viruses were detected in 55.8% of the clinical samples. The average genome coverage of the viruses was 12% with the highest genome coverage of 99.2% for respiratory syncytial virus, and the lowest was 1% for torque teno midi virus 2. Our results showed 47.7% agreement between multiplex Real-Time PCR and metagenomics sequencing in the detection of respiratory viruses in the clinical samples. Though there are some difficulties in using this method to clinical samples such as specimen quality, these observations are indicative of the promising utility of the metagenomic sequencing approach for the identification of respiratory viruses in patients with respiratory tract infections.</t>
  </si>
  <si>
    <t xml:space="preserve">[Madi, Nada; Al-Nakib, Widad; Mustafa, Abu Salim] Kuwait Univ, Dept Microbiol, Virol Unit, Fac Med, Safat, Kuwait; [Habibi, Nazima] Kuwait Univ, Res Core Facil, Fac Med, Safat, Kuwait; [Habibi, Nazima] Kuwait Univ, OMICS Res Unit, Fac Med, Safat, Kuwait</t>
  </si>
  <si>
    <t xml:space="preserve">Madi, N (corresponding author), Kuwait Univ, Fac Med, Dept Microbiol, POB 24923, Safat 13110, Kuwait.</t>
  </si>
  <si>
    <t xml:space="preserve">madi@hsc.edu.kw</t>
  </si>
  <si>
    <t xml:space="preserve">Habibi, Nazima/AAH-6425-2021</t>
  </si>
  <si>
    <t xml:space="preserve">Habibi, Nazima/0000-0003-0752-4774; Madi, Nada/0000-0002-4654-544X</t>
  </si>
  <si>
    <t xml:space="preserve">Research Sector, Office of Vice President for Research, Kuwait University [MI03/15]</t>
  </si>
  <si>
    <t xml:space="preserve">Research Sector, Office of Vice President for Research, Kuwait University</t>
  </si>
  <si>
    <t xml:space="preserve">Research Sector, Office of Vice President for Research, Kuwait University, Grant number: MI03/15</t>
  </si>
  <si>
    <t xml:space="preserve">10.1002/jmv.24984</t>
  </si>
  <si>
    <t xml:space="preserve">FS1CE</t>
  </si>
  <si>
    <t xml:space="preserve">WOS:000419510600004</t>
  </si>
  <si>
    <t xml:space="preserve">Keske, S; Gümüs, T; Köymen, T; Sandikçi, S; Tabak, L; Ergönül, Ö</t>
  </si>
  <si>
    <t xml:space="preserve">Keske, Siran; Gumus, Terman; Koymen, Tamer; Sandikci, Sunay; Tabak, Levet; Ergonul, Onder</t>
  </si>
  <si>
    <t xml:space="preserve">Human metapneumovirus infection: Diagnostic impact of radiologic imaging</t>
  </si>
  <si>
    <t xml:space="preserve">human metapneumovirus; influenza virus; pathogenesis; respiratory tract; virus classification</t>
  </si>
  <si>
    <t xml:space="preserve">RESPIRATORY-SYNCYTIAL-VIRUS; SEROPREVALENCE; PNEUMONIA; FEATURES; CHILDREN</t>
  </si>
  <si>
    <t xml:space="preserve">Background Human metapneumovirus (hMPV) is a recently detected virus, which can cause mild to severe respiratory tract infections. Through this study, we aimed to detail the outcomes of hMPV infections. Materials/methods Between January 2012 and November 2017, patients who had hMPV detected in nasopharyngeal or bronchoalveolar lavage by molecular respiratory pathogen tests were evaluated. The Food and Drug Administration cleared multiplexed-polymerase chain reaction system (Idaho Technology, Salt Lake City, UT) was used for diagnosis. Chest radiography (CR) and computed tomography (CT) were evaluated by an expert radiologist. Results In total 100 patients were included, the mean age was 22.9 (0-87) years, and 50% were male. The hospitalization rate was 52%. Lower respiratory system infection (LRTI) was diagnosed in 44 patients with clinical findings, and in 31 patients out of 44 the radiological findings supported the diagnosis. The LRTI rate was significantly higher in adults than children (66.7%-32.8%; P = 0.001). In CR, peribronchovascular infiltration (PI) was the most common feature seen in 14 out of 18 patients and was generally bilateral (13 out of 18 patients). In CT imaging, ground-glass opacity was the most common finding seen in 11 out of 16 patients and nodular consolidation in five patients. Ribavirin was given to four patients, three of whom were severe and required respiratory support. None of the patients died of hMPV infection. Conclusions The ground-glass opacity in CT was similar to other respiratory virus infections, and PI in CR was very common and typical; however, nodular consolidation that may mimic bacterial infection was seen in one-fourth of CT.</t>
  </si>
  <si>
    <t xml:space="preserve">[Keske, Siran] Amer Hosp, Dept Infect Dis, Istanbul, Turkey; [Gumus, Terman] Klinikum Bremen Mitte, Gesundheit Nord Hosp Grp, Dept Radiol, Bremen, Germany; [Koymen, Tamer; Sandikci, Sunay] Amer Hosp, Dept Internal Med, Istanbul, Turkey; [Tabak, Levet] Koc Univ, Sch Med, Dept Resp Dis, Istanbul, Turkey; [Ergonul, Onder] Koc Univ, Sch Med, Dept Infect Dis &amp; Clin Microbiol, Istanbul, Turkey</t>
  </si>
  <si>
    <t xml:space="preserve">Amerikan Hospital; Klinikum Bremen-Mitte; Amerikan Hospital; Koc University; Koc University</t>
  </si>
  <si>
    <t xml:space="preserve">Ergönül, Ö (corresponding author), Koc Univ, Sch Med, Dept Infect Dis, Istanbul, Turkey.</t>
  </si>
  <si>
    <t xml:space="preserve">oergonul@ku.edu.tr</t>
  </si>
  <si>
    <t xml:space="preserve">Ergonul, Onder/GPK-0581-2022; Gümüs, Terman/AAM-1755-2021; Keske, Şiran/AAG-3483-2019</t>
  </si>
  <si>
    <t xml:space="preserve">Keske, Siran/0000-0003-3823-4454; Gumus, Terman/0000-0001-5882-3083; Ergonul, Onder/0000-0003-1935-9235</t>
  </si>
  <si>
    <t xml:space="preserve">10.1002/jmv.25402</t>
  </si>
  <si>
    <t xml:space="preserve">HU2FP</t>
  </si>
  <si>
    <t xml:space="preserve">WOS:000465087100008</t>
  </si>
  <si>
    <t xml:space="preserve">Nisar, MI; Kerai, S; Shahid, S; Qazi, MF; Rehman, S; Aziz, F; Jehan, F</t>
  </si>
  <si>
    <t xml:space="preserve">Nisar, Muhammad Imran; Kerai, Salima; Shahid, Shahira; Qazi, Muhammad Farrukh; Rehman, Sarah; Aziz, Fatima; Jehan, Fyezah</t>
  </si>
  <si>
    <t xml:space="preserve">Predictors of Respiratory Syncytial Virus, Influenza Virus, and Human Metapneumovirus Carriage in Children Under 5 Years With WHO-Defined Fast-Breathing Pneumonia in Pakistan</t>
  </si>
  <si>
    <t xml:space="preserve">human metapneumovirus; influenza virus; nasopharyngeal carriage; Pakistan; respiratory syncytial virus</t>
  </si>
  <si>
    <t xml:space="preserve">STREPTOCOCCUS-PNEUMONIAE; KARACHI; COMMUNITY; VACCINE; DISEASE</t>
  </si>
  <si>
    <t xml:space="preserve">Background: Pneumonia is a leading cause of morbidity and mortality in children &lt; 5 years. We describe nasopharyngeal carriage of respiratory syncytial virus (RSV), human metapneumovirus (hMPV), and influenza virus among children with fast-breathing pneumonia in Karachi, Pakistan. Methods: We performed a cross-sectional analysis of nasopharyngeal swabs from children aged 2-59 months with fast-breathing pneumonia, enrolled in the randomized trial of amoxicillin versus placebo for fast-breathing pneumonia (RETAPP) (NCT02372461) from 2014 to 2016. Swabs were collected using WHO standardized methods, processed at the Aga Khan University, Pakistan. Viral detection was performed using LUMINEX xTAG respiratory viral panel assay and logistic regression identified clinical and sociodemographic predictors. Findings: Of the 1000 children tested, 92.2% (n = 922) were positive for viral carriage. RSV, hMPV, and influenza virus were detected in 59 (6.4%), 56 (6.1%), and 58 (6.3%) children and co-infections in three samples (two RSV-hMPV and one influenza-hMPV). RSV carriage was common in infants (56%), we observed a higher occurrence of fever in children with hMPV and influenza virus (80% and 88%, respectively) and fast breathing in RSV (80%) carriage. RSV carriage was positively associated with a history of fast/difficulty breathing (aOR: 1.96, 95% CI 1.02-3.76) and low oxygen saturation (aOR: 2.52, 95% CI 1.32-4.82), hMPV carriage was positively associated with a complete vaccination status (aOR: 2.22, 95% CI 1.23-4.00) and body temperature &gt;= 37.5 degrees C (aOR: 2.34, 95% CI 1.35-4.04) whereas influenza viral carriage was associated with body temperature &gt;= 37.5(degrees)C (aOR: 4.48, 95% CI 2.53-7.93). Conclusion: We observed a high nasopharyngeal viral carriage among children with WHO-defined fast-breathing pneumonia in Pakistan. Fever, difficulty in breathing, hypoxia and vaccination status are important clinical predictors for viral nonsevere community-acquired pneumonia.</t>
  </si>
  <si>
    <t xml:space="preserve">[Nisar, Muhammad Imran; Shahid, Shahira; Qazi, Muhammad Farrukh; Rehman, Sarah; Aziz, Fatima; Jehan, Fyezah] Aga Khan Univ, Dept Pediat &amp; Child Hlth, Karachi, Pakistan; [Kerai, Salima] Univ British Columbia, Sch Populat &amp; Publ Hlth, Vancouver, BC, Canada</t>
  </si>
  <si>
    <t xml:space="preserve">Aga Khan University; University of British Columbia</t>
  </si>
  <si>
    <t xml:space="preserve">Jehan, F (corresponding author), Aga Khan Univ, Dept Pediat &amp; Child Hlth, Karachi, Pakistan.</t>
  </si>
  <si>
    <t xml:space="preserve">fyezah.jehan@aku.edu</t>
  </si>
  <si>
    <t xml:space="preserve">Aziz, Fatima/O-9104-2018</t>
  </si>
  <si>
    <t xml:space="preserve">Nisar, Muhammad Imran/0000-0002-2378-4720</t>
  </si>
  <si>
    <t xml:space="preserve">MRC-Wellcome-DFID through the Joint Global Health Trials</t>
  </si>
  <si>
    <t xml:space="preserve">MRC-Wellcome-DFID through the Joint Global Health Trials(UK Research &amp; Innovation (UKRI)Medical Research Council UK (MRC)Wellcome Trust)</t>
  </si>
  <si>
    <t xml:space="preserve">We would like to acknowledge all the children and their parents who agreed to participate in this study. We would also like to acknowledge all the field and lab staff who contributed to the successful implementation of the project.</t>
  </si>
  <si>
    <t xml:space="preserve">e13285</t>
  </si>
  <si>
    <t xml:space="preserve">10.1111/irv.13285</t>
  </si>
  <si>
    <t xml:space="preserve">NU2W7</t>
  </si>
  <si>
    <t xml:space="preserve">WOS:001202913000001</t>
  </si>
  <si>
    <t xml:space="preserve">Li, IWS; To, KKW; Tang, BSF; Chan, KH; Hui, CK; Cheng, VCC; Yuen, KY</t>
  </si>
  <si>
    <t xml:space="preserve">Li, Iris W. S.; To, Kelvin K. W.; Tang, Bone S. F.; Chan, Kwok-Hung; Hui, Chee-Kin; Cheng, Vincent C. C.; Yuen, Kwok-Yung</t>
  </si>
  <si>
    <t xml:space="preserve">Human metapneumovirus infection in an immunocompetent adult presenting as mononucleosis-like illness</t>
  </si>
  <si>
    <t xml:space="preserve">human metapneumovirus; infectious mononucleosis; mononucleosis like illness</t>
  </si>
  <si>
    <t xml:space="preserve">OUTBREAK; YOUNG</t>
  </si>
  <si>
    <t xml:space="preserve">A 37-year-old man was presented with incidental findings of neutropenia, atypical lymphocytosis, thrombocytopenia and deranged liver parenchymal, enzymes. Four days later, he developed fever, sore throat and cervical lymphadenopathy, compatible with mononucleosis-like illness (MLI). Polymerase chain reaction (PCR) and viral culture of the nasopharyngeal. swab showed human metapneumovirus (hMPV). There was a &gt;= 4-fold rise in IgG against hMPV. This is the first case report illustrating the natural clinical course of hMPV-retated MLI. (c) 2008 The British Infection Society. Published by Elsevier Ltd. All rights reserved.</t>
  </si>
  <si>
    <t xml:space="preserve">[Li, Iris W. S.; To, Kelvin K. W.; Tang, Bone S. F.; Chan, Kwok-Hung; Hui, Chee-Kin; Cheng, Vincent C. C.; Yuen, Kwok-Yung] Univ Hong Kong, Queen Mary Hosp, Dept Microbiol, Hong Kong, Hong Kong, Peoples R China</t>
  </si>
  <si>
    <t xml:space="preserve">University of Hong Kong</t>
  </si>
  <si>
    <t xml:space="preserve">Yuen, Kwok/C-4465-2009; To, Kelvin/AAV-7007-2020; Chan, Kwok/ITU-6861-2023</t>
  </si>
  <si>
    <t xml:space="preserve">To, Kelvin/0000-0002-1921-5824; CHENG, Vincent Chi-Chung/0000-0003-1765-7706; Yuen, Kwok-yung/0000-0002-2083-1552</t>
  </si>
  <si>
    <t xml:space="preserve">10.1016/j.jinf.2008.03.005</t>
  </si>
  <si>
    <t xml:space="preserve">305WP</t>
  </si>
  <si>
    <t xml:space="preserve">hybrid, Green Accepted, Green Published</t>
  </si>
  <si>
    <t xml:space="preserve">WOS:000256208800013</t>
  </si>
  <si>
    <t xml:space="preserve">Kamboj, M; Gerbin, M; Huang, CK; Brennan, C; Stiles, J; Balashov, S; Park, S; Kiehn, TE; Perlin, DS; Pamer, EG; Sepkowitz, KA</t>
  </si>
  <si>
    <t xml:space="preserve">Kamboj, Mini; Gerbin, Marina; Huang, Chiung-Kang; Brennan, Carrie; Stiles, Jeffrey; Balashov, Sergey; Park, Steven; Kiehn, Timothy E.; Perlin, David S.; Pamer, Eric G.; Sepkowitz, Kent A.</t>
  </si>
  <si>
    <t xml:space="preserve">Clinical characterization of human metapneumovirus infection among patients with cancer</t>
  </si>
  <si>
    <t xml:space="preserve">Human metapneumovirus; Infection; Cancer</t>
  </si>
  <si>
    <t xml:space="preserve">RESPIRATORY-TRACT INFECTIONS; CELL TRANSPLANT RECIPIENTS; TERM-CARE FACILITY; STEM-CELL; HEMATOLOGIC MALIGNANCIES; VIRUS-INFECTION; CHILDREN; ADULTS; PNEUMONIA; DISEASE</t>
  </si>
  <si>
    <t xml:space="preserve">Background: Human metapneumovirus is a recently discovered RNA virus that typically causes respiratory disease in children. It has been Linked to severe lower airway disease in hematopoietic stem cell and solid-organ transplant recipients. hMPV infection in a large population of patients with underlying cancer and varying degrees of immunosuppression has not been reported. We sought to characterize hMPV infection in patients with cancer. Methods: Review of all cases of hMPV infection from two seasons (2005-6 and 2006-7) detected by DFA and/or real-time PCR at MSKCC, a tertiary cancer center in New York City. Results: Among MSKCC patients with cancer, 51 (2.7%) of 1899 patients were positive for hMPV, including 3.2% with hematologic neoplasm and 1.7% with solid tumors. More children (4.5%) were positive than adults (2.2%). PCR detected twice as many cases as DFA. Cough and fever were common complaints. The longest shedding period was 80 days. 40 patients received radiographic evaluation; of these, 22 showed abnormalities including patchy (11), ground glass (5), and interstitial infiltrates (4). Conclusions: hMPV causes a nonspecific respiratory illness and was found in more than 2% of all tested persons with cancer. PCR detected substantially more cases than DFA. Unlike previous reports, we observed no fatalities due to hMPV, including 22 HSCT recipients with the infection. (C) 2008 The British Infection Society. Published by Elsevier Ltd. All rights reserved.</t>
  </si>
  <si>
    <t xml:space="preserve">[Kamboj, Mini; Gerbin, Marina; Huang, Chiung-Kang; Pamer, Eric G.; Sepkowitz, Kent A.] Mem Sloan Kettering Canc Ctr, Dept Med, Infect Dis Serv, New York, NY 10065 USA; [Brennan, Carrie; Stiles, Jeffrey; Kiehn, Timothy E.] Mem Sloan Kettering Canc Ctr, Dept Clin Labs, New York, NY 10065 USA; [Balashov, Sergey; Park, Steven; Perlin, David S.] Univ Med &amp; Dent New Jersey, New Jersey Med Sch, Publ Hlth Res Inst, Int Ctr Publ Hlth, Newark, NJ 07103 USA</t>
  </si>
  <si>
    <t xml:space="preserve">Memorial Sloan Kettering Cancer Center; Memorial Sloan Kettering Cancer Center; Rutgers University System; Rutgers University New Brunswick; Rutgers University Biomedical &amp; Health Sciences</t>
  </si>
  <si>
    <t xml:space="preserve">Kamboj, M (corresponding author), Mem Sloan Kettering Canc Ctr, Dept Med, Infect Dis Serv, 1275 York Ave,Box 9, New York, NY 10065 USA.</t>
  </si>
  <si>
    <t xml:space="preserve">kambojm@mskcc.org</t>
  </si>
  <si>
    <t xml:space="preserve">Brennan, Cameron/R-7082-2019; Perlin, David/K-4013-2015</t>
  </si>
  <si>
    <t xml:space="preserve">Brennan, Cameron/0000-0003-4064-8891; KAMBOJ, MINI/0000-0002-3122-6374</t>
  </si>
  <si>
    <t xml:space="preserve">10.1016/j.jinf.2008.10.003</t>
  </si>
  <si>
    <t xml:space="preserve">388ZA</t>
  </si>
  <si>
    <t xml:space="preserve">WOS:000262057800006</t>
  </si>
  <si>
    <t xml:space="preserve">Mazumdar, J; Chawla-Sarkar, M; Rajendran, K; Ganguly, A; Sarkar, UK; Ghosh, S; Sarkar, MD; Maulik, S</t>
  </si>
  <si>
    <t xml:space="preserve">Mazumdar, J.; Chawla-Sarkar, M.; Rajendran, K.; Ganguly, A.; Sarkar, U. K.; Ghosh, S.; Sarkar, M. D.; Maulik, S.</t>
  </si>
  <si>
    <t xml:space="preserve">Burden of respiratory tract infections among paediatric in and out-patient units during 2010-11</t>
  </si>
  <si>
    <t xml:space="preserve">EUROPEAN REVIEW FOR MEDICAL AND PHARMACOLOGICAL SCIENCES</t>
  </si>
  <si>
    <t xml:space="preserve">Human metapneumovirus; India; Influenza; Kolkata; Pediatrics</t>
  </si>
  <si>
    <t xml:space="preserve">SYNCYTIAL VIRUS; CHILDREN; INFLUENZA; STRAINS</t>
  </si>
  <si>
    <t xml:space="preserve">INTRODUCTION: Respiratory tract infections due to viral etiology were studied with an objective to identify and compare the pathogens between Hospital Indoor and Outdoor Units. MATERIALS AND METHODS: A hospitalbased cross-sectional study was conducted among children below 12 years over a period of one year. The throat and nasal swabs were collected from both the Units and screened for viral infections by real time RT-PCR technique. RESULTS: Out of 880 samples collected, 87% and 13% were from outdoor and indoor Department with total viral positivity rate of 30% and 25% respectively. Influenza B virus (IBV) (n=126, 16%) was more prevalent in Outdoor Unit, whereas respiratory syncytial virus (RSV) (n=18, 16%) among indoor admitted cases. The multinomial logistic regression analysis revealed that both RSV and Influenza viruses were predominant in children of pre-school age groups &lt; 5 years. In the year 2010-11, the prevalence of human metapneumovirus (HMPV) was low. The pandemic influenza A virus (pH1N1/2009) accounted for 4% (n=29) and 0.8% (n=1) cases among Outdoor and Indoor Units respectively. CONCLUSIONS: The Outdoor Department outnumbered the Indoor Unit in terms of patient attendees and the rate of viral infections. An effective vaccination and continuous surveillance program is the need of the hour.</t>
  </si>
  <si>
    <t xml:space="preserve">[Mazumdar, J.; Chawla-Sarkar, M.; Ganguly, A.; Ghosh, S.; Sarkar, M. D.] NICED, Div Virol, Kolkata, W Bengal, India; [Rajendran, K.] NICED, Div Data Management, Kolkata, W Bengal, India; [Sarkar, U. K.] BC Roy Mem Children Hosp, Kolkata, India; [Maulik, S.] NRS Med Coll &amp; Hosp, Kolkata, India</t>
  </si>
  <si>
    <t xml:space="preserve">Indian Council of Medical Research (ICMR); ICMR - National Institute of Cholera &amp; Enteric Diseases (NICED); Indian Council of Medical Research (ICMR); ICMR - National Institute of Cholera &amp; Enteric Diseases (NICED)</t>
  </si>
  <si>
    <t xml:space="preserve">Mazumdar, J (corresponding author), NICED, Div Virol, Kolkata, W Bengal, India.</t>
  </si>
  <si>
    <t xml:space="preserve">jaymaz28@gmail.com</t>
  </si>
  <si>
    <t xml:space="preserve">KRISHNAN, RAJENDRAN/L-6274-2019; Ganguly, Dr Anirban/KMY-6297-2024</t>
  </si>
  <si>
    <t xml:space="preserve">Ganguly, Dr Anirban/0000-0002-5007-7116; KRISHNAN, DR RAJENDRAN/0000-0002-9317-766X; MAZUMDAR, JAYDEEP/0000-0001-7801-7759</t>
  </si>
  <si>
    <t xml:space="preserve">Indian Council of Medical Research (ICMR), New Delhi, Ministry of Health and Family Welfare, Government of India; Indian Council of Medical Research [5/8/7/14/2009 ECD1]</t>
  </si>
  <si>
    <t xml:space="preserve">Indian Council of Medical Research (ICMR), New Delhi, Ministry of Health and Family Welfare, Government of India; Indian Council of Medical Research(Indian Council of Medical Research (ICMR))</t>
  </si>
  <si>
    <t xml:space="preserve">The Authors thank the Indian Council of Medical Research (ICMR), New Delhi, Ministry of Health and Family Welfare, Government of India for providing necessary facilities and financial aid to conduct this study. We sincerely acknowledge the support of Administrators of each Hospital, the staff members of Virology Unit and Administration of NICED, Kolkata, India. Source of funding: This work was supported by Indian Council of Medical Research (5/8/7/14/2009 ECD1).</t>
  </si>
  <si>
    <t xml:space="preserve">VERDUCI PUBLISHER</t>
  </si>
  <si>
    <t xml:space="preserve">ROME</t>
  </si>
  <si>
    <t xml:space="preserve">VIA GREGORIO VII, ROME, 186-00165, ITALY</t>
  </si>
  <si>
    <t xml:space="preserve">1128-3602</t>
  </si>
  <si>
    <t xml:space="preserve">EUR REV MED PHARMACO</t>
  </si>
  <si>
    <t xml:space="preserve">Eur. Rev. Med. Pharmacol. Sci.</t>
  </si>
  <si>
    <t xml:space="preserve">228SE</t>
  </si>
  <si>
    <t xml:space="preserve">WOS:000325207900012</t>
  </si>
  <si>
    <t xml:space="preserve">Ljubin-Sternak, S; Mlinaric-Galinovic, G; Buntic, AM; Tabain, I; Vilibic-Cavlek, T; Cepin-Bogovic, J; Tesovic, G</t>
  </si>
  <si>
    <t xml:space="preserve">Ljubin-Sternak, Suncanica; Mlinaric-Galinovic, Gordana; Buntic, Ana-Marija; Tabain, Irena; Vilibic-Cavlek, Tatjana; Cepin-Bogovic, Jasna; Tesovic, Goran</t>
  </si>
  <si>
    <t xml:space="preserve">Seasonal Occurrence of Human Metapneumovirus Infections in Croatia</t>
  </si>
  <si>
    <t xml:space="preserve">human metapneumovirus; incidence; biennial cycle</t>
  </si>
  <si>
    <t xml:space="preserve">RESPIRATORY SYNCYTIAL VIRUS; HOSPITALIZED CHILDREN; GENETIC DIVERSITY; CONSECUTIVE YEARS; PCR ASSAY; OUTBREAKS</t>
  </si>
  <si>
    <t xml:space="preserve">Background: Human metapneumovirus (HMPV) is 1 of the commonest causes of viral ARI especially among pediatric patients. Its incidence varies from year to year in countries belonging to moderate climate zone. The aim of this study was to investigate epidemiologic characteristics of HMPV infections in Croatia. Methods: During a 4-year period (January 1, 2009, through December 31, 2012), nasopharyngeal aspirates were collected from 2610 children &lt;10 years who were admitted to hospitals with acute respiratory infections. Direct immunofluorescence assay was used to detect the virus from clinical samples. Demographics and clinical data were also analyzed. Results: HMPV was detected in 8.4% of patients. While many of HMPV-infected children were 13-24 months of age (30.9% of all proven HMPV infections), the highest incidence of HMPV infection was recorded in 2- to 5-year-old children (11.4% of all children in this age group). HMPV caused 7.1% of upper respiratory tract infections and 11.7% of lower respiratory tract infections. Annual prevalence rates of HMPV infection varied significantly from year to year (P &lt; 0.001). Peak incidence was detected in spring or winter months, depending on the year. Conclusions: This study indicates that HMPV infections in Croatia show a biennial outbreak pattern characterized by alternation of winter and spring activity. HMPV outbreaks alternate with respiratory syncytial virus outbreaks.</t>
  </si>
  <si>
    <t xml:space="preserve">[Ljubin-Sternak, Suncanica; Mlinaric-Galinovic, Gordana; Buntic, Ana-Marija; Tabain, Irena; Vilibic-Cavlek, Tatjana] Croatian Natl Inst Publ Hlth, Dept Virol, Zagreb 10000, Croatia; [Ljubin-Sternak, Suncanica; Mlinaric-Galinovic, Gordana; Buntic, Ana-Marija; Tesovic, Goran] Univ Zagreb, Sch Med, Zagreb 41001, Croatia; [Cepin-Bogovic, Jasna] Childrens Hosp Zagreb, Zagreb, Croatia; [Tesovic, Goran] Univ Hosp Infect Dis Dr Fran Mihaljev, Zagreb, Croatia</t>
  </si>
  <si>
    <t xml:space="preserve">Ljubin-Sternak, S (corresponding author), Croatian Natl Inst Publ Hlth, Dept Virol, Rockefellerova 12, Zagreb 10000, Croatia.</t>
  </si>
  <si>
    <t xml:space="preserve">sljsternak@hzjz.hr</t>
  </si>
  <si>
    <t xml:space="preserve">Croatian Ministry of Science, Education and Sports [0005002, 005-0053443-3447]</t>
  </si>
  <si>
    <t xml:space="preserve">Croatian Ministry of Science, Education and Sports(Ministry of Science, Education and Sports, Republic of Croatia)</t>
  </si>
  <si>
    <t xml:space="preserve">This research was carried out as part of the Croatian Ministry of Science, Education and Sports projects 0005002 and 005-0053443-3447 (G.M.-G.) Dr Ana-Marija Buntic was project associate. The authors thank Renata Sim, DVM for technical assistance.</t>
  </si>
  <si>
    <t xml:space="preserve">10.1097/INF.0000000000000026</t>
  </si>
  <si>
    <t xml:space="preserve">WOS:000331139100017</t>
  </si>
  <si>
    <t xml:space="preserve">Fenwick, F; Young, B; McGuckin, R; Robinson, MJ; Taha, Y; Taylor, CE; Toms, GL</t>
  </si>
  <si>
    <t xml:space="preserve">Fenwick, F.; Young, B.; McGuckin, R.; Robinson, M. J.; Taha, Y.; Taylor, C. E.; Toms, G. L.</t>
  </si>
  <si>
    <t xml:space="preserve">Diagnosis of human metapneumovirus by immunofluorescence staining with monoclonal antibodies in the North-East of England</t>
  </si>
  <si>
    <t xml:space="preserve">human metapneumovirus; imunofluorescence diagnosis; monoclonal antibody; polyclonal antibody</t>
  </si>
  <si>
    <t xml:space="preserve">DIFFERENT CELL-LINES; REAL-TIME PCR; CHILDREN; SECRETIONS; CULTURES; VIRUS</t>
  </si>
  <si>
    <t xml:space="preserve">Background: Since its discovery in 2001 human metapneumovirus (hMPV) has been shown to be a significant cause of human respiratory disease, responsible for 5-8% of respiratory infections in hospitalised children. Diagnosis hitherto has been largely carried out by reverse tanscriptase polymerase chain reaction (RT-PCR) but immunofluorescence staining of cells from nasopharyngeal secretions (IF) offers advantages for some laboratories and may produce a more rapid result in urgent cases. We have recently demonstrated that IF with a rabbit antiserum gave sensitivity equal to that of RT-PCR. However, monoclonal antibodies offer a more plentiful, uniform IF reagent. Objectives: Here we have evaluated a pool of anti-hMPV monoclonal antibodies in the routine diagnosis of respiratory infections in hospitalised infants and children. Study design: Eight hundred and fifty-seven routine respiratory specimens were tested by IF with rabbit polyclonal antiserum and monoclonal antibody pool in parallel. A further 1003 specimens were tested with the monoclonal antibody pool alone. All specimens were also tested for a panel of other respiratory viruses by IF. Results: Both rabbit polyclonal antiserum and monoclonal antibody pool gave positive results in 56 and negative results in 797 specimens. The rabbit polyclonal antibody detected virus in a further two specimens which were negative when tested with the monoclonal pool giving a concordance of 96.6% and a specificity of 100% for the monoclonal antibody pool. Overall hMPV was detected in 5% of specimens whilst 18.4% were positive for hRSV. Conclusions: The monoclonal antibody pool-based IF is a robust assay suitable for routine use with a sensitivity only slightly less than that of the other major diagnostic methodologies available. (C) 2007 Elsevier B.V. All rights reserved.</t>
  </si>
  <si>
    <t xml:space="preserve">Univ Newcastle Upon Tyne, Sch Clin Med Sci, Newcastle Upon Tyne NE2 4HH, Tyne &amp; Wear, England; Hlth Protect Agcy, N E Lab, Newcastle Upon Tyne NE4 6BE, Tyne &amp; Wear, England; Viratom Ltd, Sch Clin Med Sci, Newcastle Upon Tyne NE2 4HH, Tyne &amp; Wear, England</t>
  </si>
  <si>
    <t xml:space="preserve">Newcastle University - UK; Health Protection Agency</t>
  </si>
  <si>
    <t xml:space="preserve">Toms, GL (corresponding author), Univ Newcastle Upon Tyne, Sch Clin Med Sci, Framlington Pl, Newcastle Upon Tyne NE2 4HH, Tyne &amp; Wear, England.</t>
  </si>
  <si>
    <t xml:space="preserve">Geoffrey.Toms@ncl.ac.uk</t>
  </si>
  <si>
    <t xml:space="preserve">10.1016/j.jcv.2007.07.018</t>
  </si>
  <si>
    <t xml:space="preserve">WOS:000250935300004</t>
  </si>
  <si>
    <t xml:space="preserve">Chu, HY; Renaud, C; Ficken, E; Thomson, B; Kuypers, J; Englund, JA</t>
  </si>
  <si>
    <t xml:space="preserve">Chu, Helen Y.; Renaud, Christian; Ficken, Elle; Thomson, Blythe; Kuypers, Jane; Englund, Janet A.</t>
  </si>
  <si>
    <t xml:space="preserve">Respiratory Tract Infections Due to Human Metapneumovirus in Immunocompromised Children</t>
  </si>
  <si>
    <t xml:space="preserve">human metapneumovirus; immunocompromised; pediatric; transplant; treatment</t>
  </si>
  <si>
    <t xml:space="preserve">Background. The clinical presentation and management of human metapneumovirus (hMPV) infections in immunocompromised children is not well understood. Methods. We performed a retrospective evaluation of pediatric patients with laboratory-confirmed hMPV infections and underlying hematologic malignancy, solid tumors, solid organ transplant, rheumatologic disease, and/or receipt of chronic immunosuppressants. Data were analyzed using t tests and Fisher's exact tests. Results. Overall, 55 patients (median age: 5 years; range: 5 months-19 years) with hMPV infection documented between 2006 and 2010 were identified, including 24 (44%) with hematologic malignancy, 9 (16%) undergoing hematopoietic stem cell transplant, 9 (16%) with solid tumors, and 8 (15%) with solid organ transplants. Three (5%) presented with fever alone, 35 (64%) presented with upper respiratory tract infections, and 16 (29%) presented with lower respiratory tract infections (LRTI). Twelve (23%) patients required intensive care unit admission and/or supplemental oxygen &gt;= 28% FiO(2). Those with severe disease were more likely to be neutropenic (P =.02), but otherwise did not differ by age (P =.27), hematopoietic stem cell transplant recipient status (P =.19), or presence of lymphopenia (P =.09). Nine (16%) patients received treatment with ribavirin, intravenous immunoglobulin, or both. Three children (5%) died of hMPV pneumonia. Conclusions. Immunocompromised pediatric patients with hMPV infection have high rates of LRTI and mortality. The benefits of treatment with ribavirin and intravenous immunoglobulin in this patient population require further evaluation.</t>
  </si>
  <si>
    <t xml:space="preserve">[Chu, Helen Y.] Univ Washington, Dept Med, Washington, DC USA; [Renaud, Christian; Ficken, Elle; Englund, Janet A.] Seattle Childrens Hosp, Div Infect Dis, Seattle, WA USA; [Thomson, Blythe] Seattle Childrens Hosp, Div Hematol Oncol, Seattle, WA USA; [Kuypers, Jane] Univ Washington, Dept Lab Med, Seattle, WA USA</t>
  </si>
  <si>
    <t xml:space="preserve">University of Washington; Seattle Children's Hospital; Seattle Children's Hospital; University of Washington; University of Washington Seattle</t>
  </si>
  <si>
    <t xml:space="preserve">Chu, HY (corresponding author), Div Allergy &amp; Infect Dis, 1616 Eastlake Ave Suite 320, Seattle, WA 98102 USA.</t>
  </si>
  <si>
    <t xml:space="preserve">Chu, Helen/0000-0001-8502-9600</t>
  </si>
  <si>
    <t xml:space="preserve">National Institutes of Health [1K23AI103105]</t>
  </si>
  <si>
    <t xml:space="preserve">This work was supported by the National Institutes of Health (1K23AI103105 to H.Y.C.).</t>
  </si>
  <si>
    <t xml:space="preserve">J PEDIATR INFECT DIS</t>
  </si>
  <si>
    <t xml:space="preserve">10.1093/jpids/piu100</t>
  </si>
  <si>
    <t xml:space="preserve">V4G5C</t>
  </si>
  <si>
    <t xml:space="preserve">WOS:000218910700007</t>
  </si>
  <si>
    <t xml:space="preserve">Al-Hamoud, A; Pansu, N; Brun, AL; Etienne, N; Farfour, E; Avettand-Fenoel, V; Rouzaud, C; Roux, A; Suarez, F; Salvator, H; Serris, A; Catherinot, E; Lortholary, O</t>
  </si>
  <si>
    <t xml:space="preserve">Al-Hamoud, A.; Pansu, N.; Brun, A. -L.; Etienne, N.; Farfour, E.; Avettand-Fenoel, V.; Rouzaud, C.; Roux, A.; Suarez, F.; Salvator, H.; Serris, A.; Catherinot, E.; Lortholary, O.</t>
  </si>
  <si>
    <t xml:space="preserve">Determinants of radiological patterns and severity in immunocompromised adults with Metapneumovirus infection</t>
  </si>
  <si>
    <t xml:space="preserve">Human metapneumovirus; Immunocompromised; Lower respiratory tract infection; Bronchiolitis; lung transplantation; Hematological malignancy</t>
  </si>
  <si>
    <t xml:space="preserve">RESPIRATORY-SYNCYTIAL-VIRUS; LUNG-TRANSPLANT RECIPIENTS; VIRAL-INFECTIONS; YOUNG-CHILDREN; FEATURES</t>
  </si>
  <si>
    <t xml:space="preserve">Background: Human Metapneumovirus (HMPV) belongs to the Pneumoviridae family and is responsible for respiratory infections. Mild infections are well-recognized in children, while its precise impact in various categories of immunocompromised adults has not been well addressed. Research question: We retrospectively studied HMPV infections in immunocompromised adults followed in two large French university medical centers. Study design and methods: We identified immunocompromised adults with positive HMPV Polymerase Chain Reaction (PCR) for 36 months and reviewed their medical charts. For lung transplant recipients (LTR), FEV1 was collected at baseline, during and after infection. Imaging was centralized and chest involvement was categorized by dominant CT patterns. We compared severe patients (requiring oxygen or ventilation) and non hypoxemic patients. Results: Seventy-two patients were included, 27 were LTR, 25 had a hematological malignancy or were hematopoietic stem cell recipients, 20 had another immunocompromised status. Twenty patients (28%) presented a hypoxemic infection, requiring hospitalization and intensive care units transfers in 50/72 (69.4%) and 9/72 (12.5%) respectively, with only one death. Hypoxemia was less pronounced in LTRs (p = 0.014). Finally, age and dyspnea remained independent factors associated with hypoxemia (p &lt; 0.005). The most frequent radiological patterns were bronchopneumonia (34.2%) and bronchiolitis (39.5% and 64.3% in the overall population and in LTRs respectively, p = 0.045). FEV1 improved in LTRs at one month and 85% had recovered their baseline FEV1 within 6 months. Interpretations: In immunocompromised adults, HMPV infections required frequent hospitalizations and ICU transfers, while mortality is low. In LTRs, bronchiolitis pattern was predominant with short and long-term favorable outcome.</t>
  </si>
  <si>
    <t xml:space="preserve">[Al-Hamoud, A.; Roux, A.; Salvator, H.; Catherinot, E.] Hop Foch, Serv Pneumol, 40 Rue Worth, F-92150 Suresnes, France; [Pansu, N.; Etienne, N.; Rouzaud, C.; Serris, A.; Lortholary, O.] Univ Paris Cite, Hop Necker Enfants Malad, AP HP, Ctr Infectiol Necker Pasteur,Serv Malad Infect &amp; T, Paris, France; [Brun, A. -L.] Hop Foch, Serv Imagerie Med, Suresnes, France; [Farfour, E.] Hop Foch, Lab Microbiol, Suresnes, France; [Avettand-Fenoel, V.] Hop Cochin, AP HP, Lab Virol, Paris, France; [Avettand-Fenoel, V.] Univ Paris Cite, Inst Cochin, CNRS, UMR8104,INSERM,U1016, Paris, France; [Roux, A.; Salvator, H.] Univ Versailles St Quentin, Fac Sci Vie Simone Veil, INRAe, UMR0892,UVSQ, Montigny Le Bretonneux, France; [Suarez, F.] Univ Paris Cite, Hop Necker Enfants Malad, AP HP, Serv Hematol, Paris, France</t>
  </si>
  <si>
    <t xml:space="preserve">Hospital Foch; Assistance Publique Hopitaux Paris (APHP); Universite Paris Cite; Hopital Universitaire Necker-Enfants Malades - APHP; Hospital Foch; Hospital Foch; Assistance Publique Hopitaux Paris (APHP); Universite Paris Cite; Hopital Universitaire Cochin - APHP; Universite Paris Cite; Centre National de la Recherche Scientifique (CNRS); CNRS - National Institute for Biology (INSB); Institut National de la Sante et de la Recherche Medicale (Inserm); INRAE; Universite Paris Saclay; Universite Paris Cite; Assistance Publique Hopitaux Paris (APHP); Universite Paris Cite; Hopital Universitaire Necker-Enfants Malades - APHP</t>
  </si>
  <si>
    <t xml:space="preserve">Catherinot, E (corresponding author), Hop Foch, Serv Pneumol, 40 Rue Worth, F-92150 Suresnes, France.</t>
  </si>
  <si>
    <t xml:space="preserve">e.catherinot@hopital-foch.com</t>
  </si>
  <si>
    <t xml:space="preserve">10.1016/j.rmed.2024.107604</t>
  </si>
  <si>
    <t xml:space="preserve">TA4F0</t>
  </si>
  <si>
    <t xml:space="preserve">WOS:001238515100001</t>
  </si>
  <si>
    <t xml:space="preserve">Scheuerman, O; Barkai, G; Mandelboim, M; Mishali, H; Chodick, G; Levy, I</t>
  </si>
  <si>
    <t xml:space="preserve">Scheuerman, Oded; Barkai, Galia; Mandelboim, Michal; Mishali, Hagit; Chodick, Gabriel; Levy, Itzhak</t>
  </si>
  <si>
    <t xml:space="preserve">Human metapneumovirus (hMPV) infection in immunocompromised children</t>
  </si>
  <si>
    <t xml:space="preserve">Human metapneumovirus; Immunocompromised children; Hematopoietic stem cell transplantation; Respiratory tract infection</t>
  </si>
  <si>
    <t xml:space="preserve">RESPIRATORY-TRACT INFECTIONS; CELL TRANSPLANT RECIPIENTS; DISEASE; MALIGNANCIES; PNEUMONIA; CANCER; ADULTS</t>
  </si>
  <si>
    <t xml:space="preserve">Background: Human metapneumovirus (hMPV) is a major cause of upper and lower respiratory tract infection (URTI, LRTI) in children. The prognosis of hMPV is unclear in immunocompromised patients. Objectives: To describe the characteristics of hMPV infection in immunocompromised pediatric patients and to review the literature. Study design: This retrospective study included 39 immunocompromised children (age 0-18 years) with proven hMPV infection attending two tertiary pediatric medical centers in 2004-2014. Demographic, clinical, laboratory, and radiological data were collected from the medical files. Results: Median age was 6 years. Seven patients had primary immune deficiency and 32, secondary immune deficiency, including 9 patients who underwent hematopoietic stem cell transplantation (HSCT). Most cases (92%) occurred in January-May. Twenty patients (51%) had lower respiratory tract infection and 17 (44%), upper respiratory tract infection; 2 patients (5%) had fever only. Presenting symptoms were fever (70%), cough (54%), and rhinorrhea (35%). Severe lymphopenia (&lt;1000 lymphocytes/mL) was noted in 64% of patients and elevated liver enzyme levels in 49%. Seventeen patients had pneumonia: bilateral and alveolar in 13 patients, each. HSCT was not associated with more severe disease. Respiratory failure occurred in 6 patients, of whom 4 died (10% of cohort). All children who died had severe lymphopenia. On multivariate analysis, bacterial or fungal co-infection was the only major risk factor for death. Review of the literature showed variable clinical presentations and severity in pediatric patients with hMPV infection. Conclusions: Infection with hMPV may be associated with relatively high morbidity and mortality in immunocompromised children. Death was associated with bacterial and fungal co-infection. (C) 2016 Elsevier B.V. All rights reserved.</t>
  </si>
  <si>
    <t xml:space="preserve">[Scheuerman, Oded] Schneider Childrens Med Ctr Israel, Pediat Infect Dis Unit, IL-49202 Petah Tiqwa, Israel; [Scheuerman, Oded; Levy, Itzhak] Schneider Childrens Med Ctr Israel, Dept Pediat B, IL-49202 Petah Tiqwa, Israel; [Barkai, Galia] Edmond &amp; Lily Safra Childrens Hosp, Pediat Infect Dis Unit, IL-52621 Ramat Gan, Israel; [Mandelboim, Michal] Sheba Med Ctr, Dept Virol, IL-52621 Ramat Gan, Israel; [Mishali, Hagit] Israel Minist Hlth, Natl Ctr Infect Control, Tel Aviv, Israel; [Chodick, Gabriel] Dept Epidemiol &amp; Prevent Med, IL-6997801 Ramat Aviv, Israel; [Scheuerman, Oded; Barkai, Galia; Chodick, Gabriel; Levy, Itzhak] Tel Aviv Univ, Sackler Fac Med, IL-6997801 Ramat Aviv, Israel</t>
  </si>
  <si>
    <t xml:space="preserve">Chaim Sheba Medical Center; Tel Aviv University</t>
  </si>
  <si>
    <t xml:space="preserve">Scheuerman, O (corresponding author), Schneider Childrens Med Ctr Israel, Pediat Infect Dis Unit, IL-49202 Petah Tiqwa, Israel.;Scheuerman, O (corresponding author), Schneider Childrens Med Ctr Israel, Dept Pediat B, IL-49202 Petah Tiqwa, Israel.</t>
  </si>
  <si>
    <t xml:space="preserve">odedshv@clalit.org.il</t>
  </si>
  <si>
    <t xml:space="preserve">/0000-0002-5189-8995</t>
  </si>
  <si>
    <t xml:space="preserve">10.1016/j.jcv.2016.06.006</t>
  </si>
  <si>
    <t xml:space="preserve">DZ7DY</t>
  </si>
  <si>
    <t xml:space="preserve">WOS:000386026000004</t>
  </si>
  <si>
    <t xml:space="preserve">Wu, GJ; Zhang, YY; Niu, LL; Hu, Y; Yang, YT; Zhao, Y</t>
  </si>
  <si>
    <t xml:space="preserve">Wu, Guojin; Zhang, Yueyan; Niu, Linlin; Hu, Yuan; Yang, Yuting; Zhao, Yao</t>
  </si>
  <si>
    <t xml:space="preserve">Interleukin-1β promotes human metapneumovirus replication via activating the cGAS-STING pathway</t>
  </si>
  <si>
    <t xml:space="preserve">Human metapneumovirus; IL-1 beta; cGAS-STING signaling pathway</t>
  </si>
  <si>
    <t xml:space="preserve">Background: Human metapneumovirus(hMPV) is one of the most common viruses that cause acute lower respiratory tract infections. Interleukin-1 beta (IL-1 beta) has been reported to play an important role in multiple virus replication. Patients with hMPV infection have increased levels of IL-1 beta which reminds IL-1 beta is associated with hMPV infection. However, the mechanism by which IL-1 beta affects hMPV replication remains unclear. In this study, we explore the effect of IL-1 beta on hMPV replication and investigate its specific mechanism of action. Methods: We established an hMPV infection model through Human bronchial epithelial cells (16HBE). qRT-PCR and Western Blot were used to detect the expression levels of IL-1 beta, cyclic GMP-AMP synthase (cGAS), and interferon stimulating factor (STING). Regulating IL-1 beta expression by small interfering RNA (siRNA) or exogenous supplementary to study the influence of hMPV replication. The selective cGAS inhibitor RU.521, G150, and STING inhibitor H-151 were utilized to detect hMPV replication in 16HBE cells. Results: The level of IL-1 beta protein increased in a time-dependent and dose-dependent manner after hMPV infection. The mRNA and protein levels of cGAS and STING were significantly up-regulated. Knockdown of IL-1 beta could contribute to the decreased viral loads of hMPV. While the exogenous supplement of recombinant human IL-1 beta in cells, replication of hMPV was significantly increased. Additionally, the level of cGAS-STING protein expression would be affected by regulating IL-1 beta expression. Inhibitors of the cGAS-STING pathway led to a lower level of hMPV replication. Conclusion: This study found that IL-1 beta could promote hMPV replication through the cGAS-STING pathway, which has the potential to serve as a candidate to fight against hMPV infection, targeting IL-1 beta may be an effective new strategy to restrain virus replication.</t>
  </si>
  <si>
    <t xml:space="preserve">[Wu, Guojin; Zhang, Yueyan; Niu, Linlin; Yang, Yuting; Zhao, Yao] Chongqing Med Univ, Childrens Hosp, Natl Clin Res Ctr Child Hlth &amp; Disorders, Minist Educ,Key Lab Child Dev &amp; Disorders,Chongqin, Chongqing 400014, Peoples R China; [Hu, Yuan] Chongqing Med Univ, Key Lab Mol Biol Infect Dis, Minist Educ, Chongqing, Peoples R China</t>
  </si>
  <si>
    <t xml:space="preserve">Chongqing Medical University; Chongqing Medical University</t>
  </si>
  <si>
    <t xml:space="preserve">Yang, YT; Zhao, Y (corresponding author), Chongqing Med Univ, Childrens Hosp, Natl Clin Res Ctr Child Hlth &amp; Disorders, Minist Educ,Key Lab Child Dev &amp; Disorders,Chongqin, Chongqing 400014, Peoples R China.</t>
  </si>
  <si>
    <t xml:space="preserve">412384223@qq.com.cn; Zhaoy@cqmu.edu.cn</t>
  </si>
  <si>
    <t xml:space="preserve">Yang, Yuting/C-8527-2014</t>
  </si>
  <si>
    <t xml:space="preserve">National Clinical Research Center for Child Health and Disorders General Project and and Youth Project [NCRCCHD-2019- GP-04, NCRCCHD-2021-YP-03]; Chongqing Talent Program [CQYC20210303393]; Program for Youth Innovation in Future Medicine, Chongqing Medical University</t>
  </si>
  <si>
    <t xml:space="preserve">National Clinical Research Center for Child Health and Disorders General Project and and Youth Project; Chongqing Talent Program; Program for Youth Innovation in Future Medicine, Chongqing Medical University</t>
  </si>
  <si>
    <t xml:space="preserve">This study was supported by the National Clinical Research Center for Child Health and Disorders General Project (No. NCRCCHD-2019- GP-04) and Youth Project (No. NCRCCHD-2021-YP-03) ; Chongqing Talent Program (CQYC20210303393) ; Program for Youth Innovation in Future Medicine, Chongqing Medical University.</t>
  </si>
  <si>
    <t xml:space="preserve">10.1016/j.virusres.2024.199344</t>
  </si>
  <si>
    <t xml:space="preserve">QC5B9</t>
  </si>
  <si>
    <t xml:space="preserve">WOS:001218682700001</t>
  </si>
  <si>
    <t xml:space="preserve">Ebihara, T; Endo, R; Kikuta, H; Ishiguro, N; Ishiko, H; Kobayashi, K</t>
  </si>
  <si>
    <t xml:space="preserve">Comparison of the seroprevalence of human metapneumovirus and human respiratory syncytial virus</t>
  </si>
  <si>
    <t xml:space="preserve">human metapneumovirus; human respiratory syncytial virus; seroprevalence</t>
  </si>
  <si>
    <t xml:space="preserve">INFECTIONS; CHILDREN; AGE; ANTIBODIES; YOUNG</t>
  </si>
  <si>
    <t xml:space="preserve">Human metapneumovirus (hMPV) is a virus that induces human respiratory syncytial virus (hRSV)-like illnesses, ranging from upper respiratory tract infection to severe bronchiolitis and pneumonia. The 100 serum samples from children aged 1 month to 5 years were tested for the presence of hMPV and hRSV antibodies using an indirect immunofluorescence assay and a neutralizing-antibody assay, respectively. The seroprevalence of hMPV was significantly lower than that of hRSV in children over 4-months-old (43% vs. 60%, P &lt; 0.025), and the difference was particularly notable between the ages of 4 months and 1 year (11% vs. 48%, P = 0.006). The results suggest that primary infection with hMPV occurs somewhat later than that with hRSV. (C) 2004 Wiley-Liss, Inc.</t>
  </si>
  <si>
    <t xml:space="preserve">Hokkaido Univ, Sch Med, Dept Pediat, Kita Ku, Sapporo, Hokkaido 0608638, Japan</t>
  </si>
  <si>
    <t xml:space="preserve">Kikuta, H (corresponding author), Hokkaido Univ, Sch Med, Dept Pediat, Kita Ku, N-15,W-7, Sapporo, Hokkaido 0608638, Japan.</t>
  </si>
  <si>
    <t xml:space="preserve">10.1002/jmv.10572</t>
  </si>
  <si>
    <t xml:space="preserve">WOS:000187571800018</t>
  </si>
  <si>
    <t xml:space="preserve">Ebihara, T; Endo, R; Kikuta, H; Ishiguro, N; Yoshioka, M; Ma, XM; Kobayashi, K</t>
  </si>
  <si>
    <t xml:space="preserve">Seroprevalence of human metapneumovirus in Japan</t>
  </si>
  <si>
    <t xml:space="preserve">human metapneumovirus; human respiratory syncytial virus; indirect immunofluorescence assay</t>
  </si>
  <si>
    <t xml:space="preserve">A new human pneumovirus, provisionally designated human metapneumovirus, was discovered by Dutch researchers. We examined 142 serum samples from the general population aged from 1 month to 35 years in Japan for human metapneumovirus antibody by indirect immunofluorescence assays using human metapneumovirus-infected monkey kidney cells. The overall prevalence of human metapneumovirus infection was 72.5%. The seropositive rate was lowest in the age group of 6 months to 1 year and gradually increased with age. All of the children had been exposed to human metapneumovirus by the age of 10 years. The results show that human metapneumovirus is circulating in the Japanese population and is a ubiquitous virus acquired early in life.</t>
  </si>
  <si>
    <t xml:space="preserve">Hokkaido Univ, Dept Pediat, Sch Med, Kita Ku, Sapporo, Hokkaido 0608638, Japan</t>
  </si>
  <si>
    <t xml:space="preserve">Kikuta, H (corresponding author), Hokkaido Univ, Dept Pediat, Sch Med, Kita Ku, N-15,W-7, Sapporo, Hokkaido 0608638, Japan.</t>
  </si>
  <si>
    <t xml:space="preserve">10.1002/jmv.10391</t>
  </si>
  <si>
    <t xml:space="preserve">673DC</t>
  </si>
  <si>
    <t xml:space="preserve">WOS:000182564000016</t>
  </si>
  <si>
    <t xml:space="preserve">Gregianini, TS; Seadi, CF; Menegolla, I; Martins, LG; Ikuta, N; Wolf, JM; Lunge, VR</t>
  </si>
  <si>
    <t xml:space="preserve">Gregianini, Tatiana Schaeffer; Seadi, Claudete Farina; Menegolla, Ivone; Martins, Leticia Garay; Ikuta, Nilo; Wolf, Jonas Michel; Lunge, Vagner Ricardo</t>
  </si>
  <si>
    <t xml:space="preserve">Human metapneumovirus in Southern Brazil</t>
  </si>
  <si>
    <t xml:space="preserve">Human metapneumovirus; Human respiratory syncytial virus; Epidemiology; Respiratory viruses</t>
  </si>
  <si>
    <t xml:space="preserve">RESPIRATORY SYNCYTIAL VIRUS; TRACT INFECTIONS; CHILDREN; PCR; UBERLANDIA; DISEASE; ASSAY</t>
  </si>
  <si>
    <t xml:space="preserve">Infections caused by respiratory viruses are important problems worldwide, especially in children. Human metapneumovirus (hMPV) is a respiratory pathogen and causes severe infections with nonspecific symptoms. This study reports the hMPV occurrence and dissemination in southern Brazil and compares the frequency of occurrence of this virus and the human respiratory syncytial virus (hRSV) in the epidemiological weeks in a three-year period (2009-2011). Methods: In total, 545 nasopharyngeal (NP) specimens from individuals with Severe Acute Respiratory Syndrome (SARS) who were negative for other seven respiratory viruses were analyzed for the presence of hMPV. Human metapneumovirus was detected by direct immunofluorescence and real-time reverse transcription polymerase chain reaction. Results: hMPV was detected in 109 patients from the main geographic regions of the southernmost state of Brazil, presenting similar overall prevalence in males (46.8%) and females (53.2%). Among children who were less than six years old, hMPV was detected in 99 samples of all age groups, with a higher frequency in infants who were less than one year old (45.7%) compared to all other age groups until six years. hMPV and hRSV infection occurred in almost the same epidemiological weeks (EWs) of each year, with peaks of incidence between EW 31/37 and EW 26/38 for the years 2009 and 2011, respectively. hMPV was further detected in several cases of SARS and it was the only virus detected in three deaths. Conclusions: These findings indicate that hMPV is in circulation in southern Brazil and highlight the importance of diagnosing hMPV for influenza-like illness in the population.</t>
  </si>
  <si>
    <t xml:space="preserve">[Gregianini, Tatiana Schaeffer; Seadi, Claudete Farina] Secretaria Saude Estado Rio Grande Sul, Lab Cent Estado Rio Grande Sul, Porto Alegre, RS, Brazil; [Menegolla, Ivone; Martins, Leticia Garay] Secretaria Saude Estado Rio Grande Sul, Ctr Estadual Vigilancia Saude, Porto Alegre, RS, Brazil; [Ikuta, Nilo; Wolf, Jonas Michel; Lunge, Vagner Ricardo] Univ Luterana Brasil, Lab Diagnost Mol, Canoas, RS, Brazil</t>
  </si>
  <si>
    <t xml:space="preserve">Universidade Luterana do Brasil</t>
  </si>
  <si>
    <t xml:space="preserve">Wolf, JM (corresponding author), Univ Luterana Brasil, Lab Diagnost Mol, Canoas, RS, Brazil.</t>
  </si>
  <si>
    <t xml:space="preserve">jonasmwolf@gmail.com</t>
  </si>
  <si>
    <t xml:space="preserve">Wolf, Jonas/AAI-9119-2020; Lunge, Vagner/D-7915-2013</t>
  </si>
  <si>
    <t xml:space="preserve">Andreatta Menegolla, Ivone/0000-0002-4789-4430; Ikuta, Nilo/0000-0002-5598-5340; Wolf, Jonas/0000-0001-7577-464X</t>
  </si>
  <si>
    <t xml:space="preserve">Instituto de Pesquisas Biologicas-Laboratorio Central (IPB-LACEN/RS); Universidade Luterana do Brasil (ULBRA)</t>
  </si>
  <si>
    <t xml:space="preserve">This study was supported by Instituto de Pesquisas Biologicas-Laboratorio Central (IPB-LACEN/RS) and Universidade Luterana do Brasil (ULBRA).</t>
  </si>
  <si>
    <t xml:space="preserve">10.1590/0037-8682-0435-2017</t>
  </si>
  <si>
    <t xml:space="preserve">FY6FP</t>
  </si>
  <si>
    <t xml:space="preserve">Green Submitted, gold, Green Published</t>
  </si>
  <si>
    <t xml:space="preserve">WOS:000426938800006</t>
  </si>
  <si>
    <t xml:space="preserve">Kan-o, K; Ramirez, R; MacDonald, MI; Rolph, M; Rudd, PA; Spann, KM; Mahalingam, S; Bardin, PG; Thomas, BJ</t>
  </si>
  <si>
    <t xml:space="preserve">Kan-o, Keiko; Ramirez, Ruben; MacDonald, Martin I.; Rolph, Michael; Rudd, Penny A.; Spann, Kirsten M.; Mahalingam, Suresh; Bardin, Philip G.; Thomas, Belinda J.</t>
  </si>
  <si>
    <t xml:space="preserve">Human Metapneumovirus Infection in Chronic Obstructive Pulmonary Disease: Impact of Glucocorticosteroids and Interferon</t>
  </si>
  <si>
    <t xml:space="preserve">human metapneumovirus; human primary bronchial epithelial cells; glucocorticosteroids; interferon; apoptosis; innate immune response</t>
  </si>
  <si>
    <t xml:space="preserve">AIRWAY EPITHELIAL-CELLS; INHALED CORTICOSTEROIDS; RESPIRATORY-TRACT; VIRAL-INFECTIONS; YOUNG-CHILDREN; VIRUS; ASTHMA; COPD; EXACERBATIONS; RHINOVIRUS</t>
  </si>
  <si>
    <t xml:space="preserve">Background. Human metapneumovirus (hMPV) infection is implicated in exacerbations of asthma and chronic obstructive pulmonary disease (COPD). Research into the pathogenesis of infection is restricted to animal models, and information about hMPV replication and inflammatory and immune responses in human disease is limited. Methods. Human primary bronchial epithelial cells (PBECs) from healthy and asthmatic subjects and those with COPD were infected with hMPV, with or without glucocorticosteroid (GCS) exposure. Viral replication, inflammatory and immune responses, and apoptosis were analyzed. We also determined whether adjuvant interferon (IFN) can blunt hMPV infection in vitro and in a murine model. Results. hMPV infected human PBECs and viral replication was enhanced in cells from patients with COPD. The virus induced gene expression of IFN-stimulated gene 56 (ISG56) and IFN-beta, as well as IFN-gamma-inducible protein 10 (IP-10) and regulated on activation, normal T cell expressed and secreted (RANTES), and more so in cells from patients with COPD. GCS exposure enhanced hMPV replication despite increased IFN expression. Augmented virus replication associated with GCS was mediated by reduced apoptosis via induction of antiapoptotic genes. Adjuvant IFN treatment suppressed hMPV replication in PBECs and reduced hMPV viral titers and inflammation in vivo. Conclusions. hMPV infects human PBECs, eliciting innate and inflammatory responses. Replication is enhanced by GCS and adjuvant IFN is an effective treatment, restricting virus replication and proinflammatory consequences of hMPV infections.</t>
  </si>
  <si>
    <t xml:space="preserve">[Kan-o, Keiko; MacDonald, Martin I.; Bardin, Philip G.; Thomas, Belinda J.] Monash Univ, Monash Lung &amp; Sleep, Monash Med Ctr, Melbourne, Vic, Australia; [Kan-o, Keiko; Bardin, Philip G.; Thomas, Belinda J.] Monash Univ, Hudson Inst Med Res, Ctr Innate Immun &amp; Infect Dis, Melbourne, Vic, Australia; [Kan-o, Keiko; Bardin, Philip G.; Thomas, Belinda J.] Monash Univ, Sch Clin Sci, Dept Mol &amp; Translat Sci, Melbourne, Vic, Australia; [Ramirez, Ruben] Univ Canberra, Fac Sci Appl, Southport, Qld, Australia; [Rolph, Michael; Rudd, Penny A.; Mahalingam, Suresh] Griffith Univ, Inst Glyc, Southport, Qld, Australia; [Spann, Kirsten M.] Queensland Univ Technol, Sch Biomed Sci, Brisbane, Qld, Australia; [Kan-o, Keiko] Kyushu Univ, Grad Sch Med Sci, Res Inst Dis Chest, Fukuoka, Japan</t>
  </si>
  <si>
    <t xml:space="preserve">Monash University; Monash University; Hudson Institute of Medical Research; Monash University; University of Canberra; Griffith University; Griffith University - Gold Coast Campus; Queensland University of Technology (QUT); Kyushu University</t>
  </si>
  <si>
    <t xml:space="preserve">Thomas, BJ (corresponding author), Hudson Inst Med Res, Ctr Innate Immun &amp; Infect Dis, 27-31 Wright St, Clayton, Vic 3168, Australia.</t>
  </si>
  <si>
    <t xml:space="preserve">Belinda.thomas@monash.edu</t>
  </si>
  <si>
    <t xml:space="preserve">Kan-o, Keiko/AAF-8581-2019; Spann, Kirsten/B-4524-2013</t>
  </si>
  <si>
    <t xml:space="preserve">Spann, Kirsten/0000-0003-0567-8382</t>
  </si>
  <si>
    <t xml:space="preserve">Australian National Health and Medical Research Council [APP1059167, APP1047250]; MSD Life Science Foundation; Public Interest Incorporated Foundation; Victorian Government's Operational Infrastructure Support Program</t>
  </si>
  <si>
    <t xml:space="preserve">Australian National Health and Medical Research Council(National Health &amp; Medical Research Council (NHMRC) of Australia); MSD Life Science Foundation; Public Interest Incorporated Foundation; Victorian Government's Operational Infrastructure Support Program</t>
  </si>
  <si>
    <t xml:space="preserve">This work was supported by the Australian National Health and Medical Research Council (senior research fellowship APP1059167 to S. M. and project grant APP1047250 to S. M. and P. G. B.), MSD Life Science Foundation, Public Interest Incorporated Foundation (fellowship to K. K.), and the Victorian Government's Operational Infrastructure Support Program.</t>
  </si>
  <si>
    <t xml:space="preserve">10.1093/infdis/jix167</t>
  </si>
  <si>
    <t xml:space="preserve">EW9FI</t>
  </si>
  <si>
    <t xml:space="preserve">WOS:000402821800008</t>
  </si>
  <si>
    <t xml:space="preserve">August, A; Shaw, CA; Lee, H; Knightly, C; Kalidindia, S; Chu, L; Essink, BJ; Seger, W; Zaks, T; Smolenov, I; Panther, L</t>
  </si>
  <si>
    <t xml:space="preserve">August, Allison; Shaw, Christine A.; Lee, Heather; Knightly, Conor; Kalidindia, Shiva; Chu, Laurence; Essink, Brandon J.; Seger, William; Zaks, Tal; Smolenov, Igor; Panther, Lori</t>
  </si>
  <si>
    <t xml:space="preserve">Safety and Immunogenicity of an mRNA-Based Human Metapneumovirus and Parainfluenza Virus Type 3 Combined Vaccine in Healthy Adults</t>
  </si>
  <si>
    <t xml:space="preserve">human metapneumovirus; human parainfluenza virus; parainfluenza virus type 3; mRNA vaccine; safety and immunogenicity; adult</t>
  </si>
  <si>
    <t xml:space="preserve">YOUNG-CHILDREN; INFECTIONS; OUTBREAK; INFANTS; BURDEN</t>
  </si>
  <si>
    <t xml:space="preserve">Background Human metapneumovirus (hMPV) and parainfluenza virus type 3 (PIV3) cause respiratory tract illness in children and the elderly. No licensed vaccines are available. Methods In this phase 1, randomized, dose-ranging, first-in-human study, the safety, reactogenicity, and humoral immunogenicity of an investigational mRNA-based hMPV and PIV3 combination vaccine, mRNA-1653, were evaluated in healthy adults aged 18-49 years. Sentinel participants (n = 20) received 2 doses of mRNA-1653 (25, 75, 150, or 300 mu g) in the dose escalation phase, and participants (n = 104) received 2 doses of mRNA-1653 (75, 150, or 300 mu g) or placebo in the dose selection phase; injections were 28 days apart. Results The most common solicited reactogenicity events were injection site pain, headache, fatigue, and myalgia, the majority of which were grade 1 or 2. A single mRNA-1653 dose increased neutralization titers against hMPV and PIV3 1 month after vaccination compared with baseline. No notable increases in neutralizing antibody titers were observed with escalating dose levels after mRNA-1653, although no statistical inferences were made; a second mRNA-1653 dose had little observable impact on antibody titers. Neutralizing titers through 1 year remained above baseline for hMPV and returned to baseline for PIV3. Conclusions mRNA-1653 was well tolerated, with an acceptable safety profile and increased hMPV and PIV3 neutralization titers in healthy adults.</t>
  </si>
  <si>
    <t xml:space="preserve">[August, Allison; Shaw, Christine A.; Lee, Heather; Knightly, Conor; Kalidindia, Shiva; Zaks, Tal; Smolenov, Igor; Panther, Lori] Moderna Inc, Cambridge, MA 02139 USA; [Chu, Laurence] Benchmark Res, Austin, TX USA; [Essink, Brandon J.] Meridian Clin Res, Omaha, NE USA; [Seger, William] Benchmark Res, Ft Worth, TX USA</t>
  </si>
  <si>
    <t xml:space="preserve">August, A (corresponding author), Moderna Inc, Cambridge, MA 02139 USA.</t>
  </si>
  <si>
    <t xml:space="preserve">allison.august@modernatx.com</t>
  </si>
  <si>
    <t xml:space="preserve">Chu, Larry/B-5324-2008; Smolenov, Igor/N-8950-2015</t>
  </si>
  <si>
    <t xml:space="preserve">Smolenov, Igor/0000-0002-7075-9827</t>
  </si>
  <si>
    <t xml:space="preserve">Moderna, Inc.</t>
  </si>
  <si>
    <t xml:space="preserve">This work was supported by Moderna, Inc.</t>
  </si>
  <si>
    <t xml:space="preserve">ofac206</t>
  </si>
  <si>
    <t xml:space="preserve">10.1093/ofid/ofac206</t>
  </si>
  <si>
    <t xml:space="preserve">2Q4PW</t>
  </si>
  <si>
    <t xml:space="preserve">WOS:000820407400005</t>
  </si>
  <si>
    <t xml:space="preserve">Deng, JF; Ptashkin, RN; Wang, QR; Liu, GL; Zhang, GP; Lee, I; Lee, YS; Bao, XY</t>
  </si>
  <si>
    <t xml:space="preserve">Deng, Junfang; Ptashkin, Ryan N.; Wang, Qingrong; Liu, Guangliang; Zhang, Guanping; Lee, Inhan; Lee, Yong Sun; Bao, Xiaoyong</t>
  </si>
  <si>
    <t xml:space="preserve">Human Metapneumovirus Infection Induces Significant Changes in Small Noncoding RNA Expression in Airway Epithelial Cells</t>
  </si>
  <si>
    <t xml:space="preserve">MOLECULAR THERAPY-NUCLEIC ACIDS</t>
  </si>
  <si>
    <t xml:space="preserve">human metapneumovirus; human metapneumovirus-derived snRNAs; miRNAs; sncRNA</t>
  </si>
  <si>
    <t xml:space="preserve">VIRUS-INFECTION; MICRORNA; PROTEIN; IDENTIFICATION; TRANSCRIPTION; MIRNAS; YOUNG; REPLICATION; MIR-155; ROLES</t>
  </si>
  <si>
    <t xml:space="preserve">Small noncoding RNAs (sncRNAs), such as microRNAs (miRNA), virus-derived sncRNAs, and more recently identified tRNA-derived RNA fragments, are critical to posttranscriptional control of genes. Upon viral infection, host cells alter their sncRNA expression as a defense mechanism, while viruses can circumvent host defenses and promote their own propagation by affecting host cellular sncRNA expression or by expressing viral sncRNAs. Therefore, characterizing sncRNA profiles in response to viral infection is an important tool for understanding host-virus interaction, and for antiviral strategy development. Human metapneumovirus (hMPV), a recently identified pathogen, is a major cause of lower respiratory tract infections in infants and children. To investigate whether sncRNAs play a role in hMPV infection, we analyzed the changes in sncRNA profiles of airway epithelial cells in response to hMPV infection using ultrahigh-throughput sequencing. Of the cloned sncRNAs, miRNA was dominant in A549 cells, with the percentage of miRNA increasing in a time-dependent manner after the infection. In addition, several hMPV-derived sncRNAs and corresponding ribonucleases for their biogenesis were identified. hMPV M2-2 protein was revealed to be a key viral protein regulating miRNA expression. In summary, this study revealed several novel aspects of hMPV-mediated sncRNA expression, providing a new perspective on hMPV-host interactions.</t>
  </si>
  <si>
    <t xml:space="preserve">[Deng, Junfang; Wang, Qingrong; Liu, Guangliang; Bao, Xiaoyong] Univ Texas Med Branch, Dept Pediat, Galveston, TX 77555 USA; [Deng, Junfang] Zhejiang Univ, Coll Med, Affiliated Hosp 1, Dept Hepatobiliary Surg, Hangzhou, Zhejiang, Peoples R China; [Ptashkin, Ryan N.; Lee, Inhan] miRcore, Ann Arbor, MI USA; [Ptashkin, Ryan N.] Univ Michigan, Dept Computat Med &amp; Bioinformat, Ann Arbor, MI 48109 USA; [Liu, Guangliang; Zhang, Guanping] Sun Yat Sen Univ, Affiliated Hosp 6, Dept Otorhinolaryngol, Guangzhou, Guangdong, Peoples R China; [Lee, Yong Sun] Univ Texas Med Branch, Dept Biochem &amp; Mol Biol, Galveston, TX 77555 USA; [Bao, Xiaoyong] Univ Texas Med Branch, Inst Translat Sci, Galveston, TX 77555 USA</t>
  </si>
  <si>
    <t xml:space="preserve">University of Texas System; University of Texas Medical Branch Galveston; Zhejiang University; University of Michigan System; University of Michigan; Sun Yat Sen University; University of Texas System; University of Texas Medical Branch Galveston; University of Texas System; University of Texas Medical Branch Galveston</t>
  </si>
  <si>
    <t xml:space="preserve">Bao, XY (corresponding author), Univ Texas Med Branch, Dept Pediat, Div Clin &amp; Expt Immunol &amp; Infect Dis, 301 Univ Blvd, Galveston, TX 77555 USA.</t>
  </si>
  <si>
    <t xml:space="preserve">xibao@utmb.edu</t>
  </si>
  <si>
    <t xml:space="preserve">Lee, Inhan/0000-0001-5840-3900</t>
  </si>
  <si>
    <t xml:space="preserve">National Institutes of Health-National Institute of Allergy and Infectious Diseases [1K22AI074829-01A2, 1R56AI07033-01A1]; American Lung Association [RG232529N]; American Heart Association [12BGIA12060008]; American Heart Association (AHA) [12BGIA12060008] Funding Source: American Heart Association (AHA)</t>
  </si>
  <si>
    <t xml:space="preserve">National Institutes of Health-National Institute of Allergy and Infectious Diseases(United States Department of Health &amp; Human ServicesNational Institutes of Health (NIH) - USANIH National Institute of Allergy &amp; Infectious Diseases (NIAID)); American Lung Association; American Heart Association(American Heart Association); American Heart Association (AHA)(American Heart Association)</t>
  </si>
  <si>
    <t xml:space="preserve">All authors concur there are no conflicts of interest associated in this published work. This work was supported by grants from the National Institutes of Health-National Institute of Allergy and Infectious Diseases 1K22AI074829-01A2 and 1R56AI07033-01A1, the American Lung Association RG232529N, and American Heart Association 12BGIA12060008 to X. B. Authors thank Animesh Chandra for assistance with manuscript editing.</t>
  </si>
  <si>
    <t xml:space="preserve">2162-2531</t>
  </si>
  <si>
    <t xml:space="preserve">MOL THER-NUCL ACIDS</t>
  </si>
  <si>
    <t xml:space="preserve">Mol. Ther.-Nucl. Acids</t>
  </si>
  <si>
    <t xml:space="preserve">e163</t>
  </si>
  <si>
    <t xml:space="preserve">10.1038/mtna.2014.18</t>
  </si>
  <si>
    <t xml:space="preserve">AK0AS</t>
  </si>
  <si>
    <t xml:space="preserve">WOS:000338075500003</t>
  </si>
  <si>
    <t xml:space="preserve">Sarasini, A; Percivalle, E; Rovida, F; Campanini, G; Genini, E; Torsellini, M; Paolucci, S; Baldanti, F; Marchi, A; Revello, AG; Gerna, G</t>
  </si>
  <si>
    <t xml:space="preserve">Detection and pathogenicity of human metapneumovirus respiratory infection in pediatric Italian patients during a winter-spring season</t>
  </si>
  <si>
    <t xml:space="preserve">human metapneumovirus; human metapneumovirus isolation; RT-PCR; phylogenesis</t>
  </si>
  <si>
    <t xml:space="preserve">TRACT INFECTIONS; CLINICAL-SAMPLES; SYNCYTIAL-VIRUS; YOUNG-CHILDREN; INFLUENZA-A; PCR; IDENTIFICATION; PREVALENCE; INFANTS</t>
  </si>
  <si>
    <t xml:space="preserve">Background: Some diagnostic, epidemiological and clinical features of the recently discovered human metapneumovirus remain to be investigated. Objectives: To study the best approach for the diagnosis of human metapneumovirus infections by both conventional and molecular methods. along with the human metapneumovirus circulation rate in northern Italy and the severity of human metapneumovirus respiratory infections in a pediatric patient population. Study design: Nasopharyngeal aspirates (NPA) were taken from 306 pediatric patients during the winter-spring season 2003-2004, and examined for conventional respiratory Viruses by direct fluorescent staining and cell Culture, while human coronavirus and human metapneumovirus were sought by RT-PCR. Results: RT-PCR detected human metapneumovirus in 40/306 (13.1%) children positive for respiratory viruses, with an incidence intermediate between that of respiratory syncytial virus (58 patients, 18.9%) and that of influenzavirus infections (29 patients, 9.5%). Phylogenetic analysis showed cocirculation of both human metapneumovirus types (A and B) as well as their relevant subtypes (A1-A2 and B1-B2). Clinically, human metapneumovirus was found to be second to human respiratory syncytial virus alone. as a cause of respiratory tract infections, while duration of virus excretion appeared to correlate with severity of infection, and virus load in NPA with the stage of respiratory infection. Conclusion: (i) Human metapneumovirus is a major viral pathogen in the Italian pediatric patient population: (ii) the severity of lower respiratory tract infections approaches that of human respiratory syncytial virus; (iii) there are preliminary indications that the duration of virus excretion may reach 2-3 weeks and that the level of viral load in NPA correlates with the clinical stage of human metapneumovirus infection. (C) 2005 Elsevier B.V. All rights reserved.</t>
  </si>
  <si>
    <t xml:space="preserve">Policlin San Matteo, IRCCS, Serv Virol, I-27100 Pavia, Italy; Univ Pavia, I-27100 Pavia, Italy; Policlin San Matteo, IRCCS, Dipartimento Pediat, I-27100 Pavia, Italy</t>
  </si>
  <si>
    <t xml:space="preserve">IRCCS Fondazione San Matteo; University of Pavia; University of Pavia; IRCCS Fondazione San Matteo; University of Pavia</t>
  </si>
  <si>
    <t xml:space="preserve">Policlin San Matteo, IRCCS, Serv Virol, Via Taramelli 5, I-27100 Pavia, Italy.</t>
  </si>
  <si>
    <t xml:space="preserve">; Campanini, Giulia/J-4889-2018; Paolucci, Stefania/J-4055-2018; Baldanti, Fausto/J-4924-2018; Percivalle, Elena/K-7994-2016; Rovida, Francesca/K-7984-2016</t>
  </si>
  <si>
    <t xml:space="preserve">Genini, Emilia/0000-0002-6884-0028; Campanini, Giulia/0000-0002-3536-2437; Paolucci, Stefania/0000-0001-8447-8586; Gerna, Giuseppe/0000-0001-5956-2786; Baldanti, Fausto/0000-0002-3358-8969; Percivalle, Elena/0000-0002-3355-1410; Rovida, Francesca/0000-0003-2345-2790</t>
  </si>
  <si>
    <t xml:space="preserve">10.1016/j.jcv.2005.05.010</t>
  </si>
  <si>
    <t xml:space="preserve">WOS:000235182800009</t>
  </si>
  <si>
    <t xml:space="preserve">Li, YX; Osterhus, S; Johnsen, IB</t>
  </si>
  <si>
    <t xml:space="preserve">Li, Youxian; Osterhus, Stine; Johnsen, Ingvild B.</t>
  </si>
  <si>
    <t xml:space="preserve">Human Metapneumovirus Infection Inhibits Cathelicidin Antimicrobial Peptide Expression in Human Macrophages</t>
  </si>
  <si>
    <t xml:space="preserve">human metapneumovirus; human macrophages; cathelicidin; vitamin D signaling; C/EBP alpha</t>
  </si>
  <si>
    <t xml:space="preserve">VITAMIN-D-RECEPTOR; MYCOBACTERIUM-TUBERCULOSIS; EPITHELIAL-CELLS; HOST-DEFENSE; 1,25-DIHYDROXYVITAMIN D-3; GENE-EXPRESSION; DENDRITIC CELLS; DOWN-REGULATION; MESSENGER-RNA; CUTTING EDGE</t>
  </si>
  <si>
    <t xml:space="preserve">Human cathelicidin antimicriobial peptide (CAMP) is a critical component of host innate immunity with both antimicrobial and immunomodulatory functions. Several pathogens have been shown to downregulate CAMP expression, yet it is unclear if such modulation occurs during a viral infection. In this study, we showed that infection with human metapneumovirus (hMPV), one of the leading causes of respiratory tract infections in young children, strongly suppressed basal and vitamin-D induced CAMP expression in human macrophages. hMPV-mediated suppression of CAMP did not correlate with reduced transcriptional expression of key vitamin D signaling components, such as CYP27B1 or vitamin D receptor, suggesting a vitamin D-independent mechanism. Blocking interferon-signaling pathways did not reverse hMVP-mediated suppression of CAMP, indicating that the suppressive effect is largely interferon-independent. Instead, we identified C/EBP alpha as the key modulator of hMPV-mediated suppression of CAMP. hMPV infection strongly repressed the expression of C/EBP alpha, and a knockdown study confirmed that C/EBP alpha is critical for CAMP expression in human macrophages. Such modulation of CAMP (and C/EBP alpha) could be reproduced by TLR1/2 ligand treatment in human macrophages, suggesting a common mechanism underlying pathogen-mediated downregulation of CAMP through C/EBP alpha. This study opens up a new understanding of altered human antimicrobial responses following infections.</t>
  </si>
  <si>
    <t xml:space="preserve">[Li, Youxian; Osterhus, Stine; Johnsen, Ingvild B.] Norwegian Univ Sci &amp; Technol, Fac Med &amp; Hlth Sci, Dept Clin &amp; Mol Med, Trondheim, Norway</t>
  </si>
  <si>
    <t xml:space="preserve">Norwegian University of Science &amp; Technology (NTNU)</t>
  </si>
  <si>
    <t xml:space="preserve">Johnsen, IB (corresponding author), Norwegian Univ Sci &amp; Technol, Fac Med &amp; Hlth Sci, Dept Clin &amp; Mol Med, Trondheim, Norway.</t>
  </si>
  <si>
    <t xml:space="preserve">ingvild.johnsen@ntnu.no</t>
  </si>
  <si>
    <t xml:space="preserve">Li, Youxian/0000-0003-3213-1358</t>
  </si>
  <si>
    <t xml:space="preserve">Research Council of Norway [230381]</t>
  </si>
  <si>
    <t xml:space="preserve">Research Council of Norway(Research Council of Norway)</t>
  </si>
  <si>
    <t xml:space="preserve">The work was funded by the Research Council of Norway (grant number 230381). We thank Kristin Rian for excellent technical support, and Henrik Dollner and Marit Walbye Anthonsen for constructive feedback.</t>
  </si>
  <si>
    <t xml:space="preserve">MAY 4</t>
  </si>
  <si>
    <t xml:space="preserve">10.3389/fimmu.2018.00902</t>
  </si>
  <si>
    <t xml:space="preserve">GE7TH</t>
  </si>
  <si>
    <t xml:space="preserve">WOS:000431435500001</t>
  </si>
  <si>
    <t xml:space="preserve">Gerna, G; Vitulo, P; Rovida, F; Lilleri, D; Pellegrini, C; Oggionni, T; Campanini, G; Baldanti, F; Revello, MG</t>
  </si>
  <si>
    <t xml:space="preserve">Impact of human metapneumovirus and human cytomegalovirus versus other respiratory viruses on the lower respiratory tract infections of lung transplant recipients</t>
  </si>
  <si>
    <t xml:space="preserve">human metapneumovirus; human cytomegalovirus; lung transplant recipients; respiratory tract viral infections; nasopharyngeal aspirates; bronchoalveolar lavage; reverse transcription-polymerase chain reaction (RT-PCR)</t>
  </si>
  <si>
    <t xml:space="preserve">BRONCHIOLITIS OBLITERANS SYNDROME; REVERSE TRANSCRIPTION-PCR; CD8(+) T-CELLS; MONOCLONAL-ANTIBODIES; PARAINFLUENZA VIRUS; SYNCYTIAL-VIRUS; CLINICAL-FEATURES; VIRAL-INFECTIONS; RISK-FACTORS; PNEUMONIA</t>
  </si>
  <si>
    <t xml:space="preserve">Viral respiratory tract infections in lung transplant recipients may be severe. During three consecutive winter-spring seasons, 49 symptomatic lung transplant recipients with suspected respiratory viral infection, and 26 asymptomatic patients were investigated for presence of respiratory viruses either in 56 nasopharyngeal aspirate or 72 bronchoalveolar lavage samples taken at different times after transplantation. On the whole, 1 asymptomatic (3.4%) and 28 symptomatic (57.1%) patients were positive for human metapneumovirus (hMPV, 4 patients), influenza virus A (3 patients), and B (2 patients), respiratory syncytial virus (2 patients), human coronavirus (2 patients), human parainfluenza virus (2 patients), rhinovirus (5 patients), while 4 patients were coinfected by 2 respiratory viruses, and 5 were infected sequentially by 2 or more respiratory viruses. In bronchoalveolar lavage samples, hMPV predominated by far over the other viruses, being responsible for 60% of positive specimens, whereas other viruses were present in nasopharyngeal aspirates at a comparable rate. RT-PCR (detecting 43 positive samples/128 examined) was largely superior to monoclonal antibodies (detecting 17 positive samples only). In addition, HCMV was detected in association with a respiratory virus in 4/18 HCMV-positive patients, and was found at a high concentration (&gt;10(5) DNA copies/ml) in 3/16 (18.7%) patients with HCMV-positive bronchoalveolar lavage samples and pneumonia. Coinfections and sequential infections by HCMV and respiratory viruses were significantly more frequent in patients with acute rejection and steroid treatment. In conclusion: (i) about 50% of respiratory tract infections of lung transplant recipients were associated with one or more respiratory viruses; (ii) hMPV largely predominates in bronchoalveolar lavage of symptomatic lung transplant recipients, thus suggesting a causative role in lower respiratory tract infections; (iii) RTPCR appears to be the method of choice for detection of respiratory viruses in lung transplant recipients, (iv) a high HCMV load in bronchoalveolar lavage is a risk factor for viral pneumonia, suggesting some measure of intervention for the control of viral infection.</t>
  </si>
  <si>
    <t xml:space="preserve">Univ Pavia, Policlin San Matteo, IRCCS, Serv Virol, I-27100 Pavia, Italy; Univ Pavia, Policlin San Matteo, IRCCS, Div Cardiochirurg, I-27100 Pavia, Italy; Univ Pavia, Ist Malattie Apparato Resp, I-27100 Pavia, Italy</t>
  </si>
  <si>
    <t xml:space="preserve">University of Pavia; IRCCS Fondazione San Matteo; IRCCS Fondazione San Matteo; University of Pavia; University of Pavia</t>
  </si>
  <si>
    <t xml:space="preserve">Univ Pavia, Policlin San Matteo, IRCCS, Serv Virol, I-27100 Pavia, Italy.</t>
  </si>
  <si>
    <t xml:space="preserve">Lilleri, Daniele/K-7776-2016; Rovida, Francesca/K-7984-2016; Baldanti, Fausto/J-4924-2018; Campanini, Giulia/J-4889-2018; Vitulo, Patrizio/K-7500-2016</t>
  </si>
  <si>
    <t xml:space="preserve">Gerna, Giuseppe/0000-0001-5956-2786; Lilleri, Daniele/0000-0001-7747-7622; Rovida, Francesca/0000-0003-2345-2790; Baldanti, Fausto/0000-0002-3358-8969; OGGIONNI, TIBERIO/0000-0002-8901-7209; Campanini, Giulia/0000-0002-3536-2437; Vitulo, Patrizio/0000-0003-1699-0208</t>
  </si>
  <si>
    <t xml:space="preserve">10.1002/jmv.20555</t>
  </si>
  <si>
    <t xml:space="preserve">010NV</t>
  </si>
  <si>
    <t xml:space="preserve">WOS:000235202300015</t>
  </si>
  <si>
    <t xml:space="preserve">Rovida, F; Percivalle, E; Zavattoni, M; Torsellini, M; Sarasini, A; Campanini, G; Paolucci, S; Baldanti, F; Revello, MG; Gerna, G</t>
  </si>
  <si>
    <t xml:space="preserve">Monoclonal antibodies versus reverse transcription-PCR for detection of respiratory viruses in a patient population with respiratory tract infections admitted to hospital</t>
  </si>
  <si>
    <t xml:space="preserve">human metapneumovirus; human coronavirus; human respiratory syncytial virus; respiratory coinfections; monoclonal antibody; RT-PCR</t>
  </si>
  <si>
    <t xml:space="preserve">HUMAN METAPNEUMOVIRUS INFECTION; POLYMERASE-CHAIN-REACTION; SYNCYTIAL-VIRUS; INFLUENZA-A; PARAINFLUENZA VIRUS; CLINICAL-SAMPLES; RAPID DETECTION; VIRAL CULTURE; CORONAVIRUS; DIAGNOSIS</t>
  </si>
  <si>
    <t xml:space="preserve">In the winter season 2001-2002, 239 nasopharyngeal aspirate and 15 bronchoalveolar lavage samples from 208 patients (135 pediatric and 73 adults, including 19 lung transplant recipients) admitted to hospital because of an acute respiratory tract infection were examined for rapid diagnosis of respiratory viruses by two diagnostic approaches: immunological, using specific monoclonal antibodies (MAb); and molecular, using specific reverse transcription (RT)-PCR assays. Both methods detected influenza viruses A (H1N1 and H3N2) and B, human parainfluenza virus types 1 to 3, human respiratory syncytial virus (hRSV) types A and B, and human adenoviruses. In addition, human coronavirus (hCoV) groups I (229E-like) and II (OC43-like), as well as the new human metapneumovirus (hMPV), types A and B, were searched for by RT-PCR alone. When results obtained by both methods were added, the overall percentage of patients positive for at least one respiratory virus peaked at 44.2%, involving 92/208 patients (81 pediatric, and 11 adults), while 116 patients (55.8%) were negative for any respiratory virus tested. The most common circulating virus was hRSV, infecting 54 (25.9%) patients (24 type A, and 30 type B strains), followed by hMPV, infecting 12 (5.8%) patients (7 type A and 5 type B strains). Coinfections by two respiratory viruses interested 11 (5.3%) patients, and 9 (81.8%) of these were infected by hRSV in association with another respiratory virus. In the great majority of infected children, hRSV and hMPV were associated with lower respiratory tract infections. In lung transplant recipients, viruses present in bronchoalveolar lavage appeared to be associated frequently with lower respiratory tract infections. In conclusion: the combination of immunological and molecular assays is the most sensitive approach to the diagnosis of respiratory viral infections; and infections caused by the less investigated hCoVs and hMPVs represent a fair proportion of respiratory infections. (C) 2004 Wiley-Liss, Inc.</t>
  </si>
  <si>
    <t xml:space="preserve">IRCCS, Policlin San Matteo, Serv Virol, I-27100 Pavia, Italy</t>
  </si>
  <si>
    <t xml:space="preserve">IRCCS, Policlin San Matteo, Serv Virol, I-27100 Pavia, Italy.</t>
  </si>
  <si>
    <t xml:space="preserve">Campanini, Giulia/J-4889-2018; Percivalle, Elena/K-7994-2016; Baldanti, Fausto/J-4924-2018; Rovida, Francesca/K-7984-2016; Paolucci, Stefania/J-4055-2018</t>
  </si>
  <si>
    <t xml:space="preserve">Campanini, Giulia/0000-0002-3536-2437; Percivalle, Elena/0000-0002-3355-1410; Gerna, Giuseppe/0000-0001-5956-2786; Zavattoni, Maurizio/0000-0002-5199-0038; Baldanti, Fausto/0000-0002-3358-8969; Rovida, Francesca/0000-0003-2345-2790; Paolucci, Stefania/0000-0001-8447-8586</t>
  </si>
  <si>
    <t xml:space="preserve">10.1002/jmv.20276</t>
  </si>
  <si>
    <t xml:space="preserve">883KG</t>
  </si>
  <si>
    <t xml:space="preserve">WOS:000226009400023</t>
  </si>
  <si>
    <t xml:space="preserve">Pilger, DA; Cantarelli, VV; Amantea, SL; Leistner-Segal, S</t>
  </si>
  <si>
    <t xml:space="preserve">Pilger, Diogo Andre; Cantarelli, Vlademir Vicente; Amantea, Sergio Luis; Leistner-Segal, Sandra</t>
  </si>
  <si>
    <t xml:space="preserve">Detection of human bocavirus and human metapneumovirus by real-time PCR from patients with respiratory symptoms in Southern Brazil</t>
  </si>
  <si>
    <t xml:space="preserve">human metapneumovirus; human bocavirus; real-time PCR; respiratory tract infection</t>
  </si>
  <si>
    <t xml:space="preserve">HOSPITALIZED CHILDREN; SYNCYTIAL VIRUS; PHYLOGENETIC ANALYSIS; ACUTE BRONCHIOLITIS; HUMAN PARVOVIRUS; YOUNG-CHILDREN; RT-PCR; INFECTION; INFANTS; DIAGNOSIS</t>
  </si>
  <si>
    <t xml:space="preserve">The introduction of newer molecular methods has led to the discovery of new respiratory viruses, such as human metapneumovirus (hMPV) and human bocavirus (hBoV), in respiratory tract specimens. We have studied the occurrence of hMPV and hBoV in the Porto Alegre (PA) metropolitan area, one of the southernmost cities of Brazil, evaluating children with suspected lower respiratory tract infection from May 2007-June 2008. A real-time polymerase chain reaction method was used for amplification and detection of hMPV and hBoV and to evaluate coinfections with respiratory syncytial virus (RSV), influenza A and B, parainfluenza 1, 2 and 3, human rhinovirus and human adenovirus. Of the 455 nasopharyngeal aspirates tested, hMPV was detected in 14.5% of samples and hBoV in 13.2%. A unique causative viral agent was identified in 46.2% samples and the coinfection rate was 43.7%. For hBoV, 98.3% of all positive samples were from patients with mixed infections. Similarly, 84.8% of all hMPV-positive results were also observed in mixed infections. Both hBoV and hMPV usually appeared with RSV. In summary, this is the first confirmation that hMPV and hBoV circulate in PA; this provides evidence of frequent involvement of both viruses in children with clinical signs of acute viral respiratory tract infection, although they mainly appeared as coinfection agents.</t>
  </si>
  <si>
    <t xml:space="preserve">[Pilger, Diogo Andre] Univ Fed Rio Grande do Sul, Fac Farm, Porto Alegre, RS, Brazil; [Cantarelli, Vlademir Vicente] Univ Fed Rio Grande do Sul, Hosp Clin Porto Alegre, Porto Alegre, RS, Brazil; [Cantarelli, Vlademir Vicente] Univ Feevale, Novo Hamburgo, RS, Brazil; [Amantea, Sergio Luis] Irmandade Santa Casa Misericordia Porto Alegre, Porto Alegre, RS, Brazil</t>
  </si>
  <si>
    <t xml:space="preserve">Universidade Federal do Rio Grande do Sul; Universidade Federal do Rio Grande do Sul; Universidade Feevale</t>
  </si>
  <si>
    <t xml:space="preserve">Pilger, DA (corresponding author), Univ Fed Rio Grande do Sul, Fac Farm, Porto Alegre, RS, Brazil.</t>
  </si>
  <si>
    <t xml:space="preserve">pilger@terra.com.br</t>
  </si>
  <si>
    <t xml:space="preserve">Cantarelli, Vlademir/E-1970-2016; Amantea, Sergio/JVO-2620-2024; Leistner, Sandra/B-2858-2008; Pilger, Diogo Andre/S-5299-2019</t>
  </si>
  <si>
    <t xml:space="preserve">Leistner, Sandra/0000-0003-3792-6168; Pilger, Diogo Andre/0000-0002-6773-6480</t>
  </si>
  <si>
    <t xml:space="preserve">Laboratorio Weinmann SA</t>
  </si>
  <si>
    <t xml:space="preserve">Financial support: Laboratorio Weinmann SA</t>
  </si>
  <si>
    <t xml:space="preserve">10.1590/S0074-02762011000100009</t>
  </si>
  <si>
    <t xml:space="preserve">726HW</t>
  </si>
  <si>
    <t xml:space="preserve">WOS:000287712000009</t>
  </si>
  <si>
    <t xml:space="preserve">Furuse, Y; Suzuki, A; Kishi, M; Galang, HO; Lupisan, SP; Olveda, RM; Oshitani, H</t>
  </si>
  <si>
    <t xml:space="preserve">Furuse, Yuki; Suzuki, Akira; Kishi, Makiko; Galang, Hazel O.; Lupisan, Socorro P.; Olveda, Remigio M.; Oshitani, Hitoshi</t>
  </si>
  <si>
    <t xml:space="preserve">Detection of Novel Respiratory Viruses From Influenza-Like Illness in the Philippines</t>
  </si>
  <si>
    <t xml:space="preserve">human metapneumovirus; human bocavirus; KI virus; WU virus; Melaka virus; epidemiology</t>
  </si>
  <si>
    <t xml:space="preserve">HUMAN METAPNEUMOVIRUS INFECTION; TRACT INFECTIONS; WU POLYOMAVIRUS; FREQUENT DETECTION; KI POLYOMAVIRUSES; HUMAN CORONAVIRUS; HUMAN BOCAVIRUS; YOUNG-CHILDREN; DISEASE; PREVALENCE</t>
  </si>
  <si>
    <t xml:space="preserve">Several novel viruses have been recently identified in respiratory samples. However, the epidemiology of these viruses in tropical countries remains unclear. The aim of the present study was to provide an overview of the epidemiology of novel respiratory viruses, including human metapneumovirus, human bocavirus, new subtypes of human coronavirus (NL63 and HKU1), KI virus, WU virus, and Melaka virus in the Philippines, a tropical country. Nasopharyngeal aspirates from 465 patients with influenza-like illness were collected in 2006 and 2007. Reverse transcription polymerase chain reaction (RT-PCR) and PCR were performed to detect viruses from culture-negative specimens. Human metapneumovirus, human bocavirus, human coronavirus HKU1, KI virus, and WU virus were detected for the first time in the Philippines; Melaka virus was not found. J. Med. Virol. 82:1071-1074, 2010. (C) 2010 Wiley-Liss, Inc</t>
  </si>
  <si>
    <t xml:space="preserve">[Oshitani, Hitoshi] Tohoku Univ, Grad Sch Med, Dept Virol, Aoba Ku, Sendai, Miyagi 9808575, Japan; [Galang, Hazel O.; Lupisan, Socorro P.; Olveda, Remigio M.] Res Inst Trop Med, Muntinlupa, Philippines</t>
  </si>
  <si>
    <t xml:space="preserve">Oshitani, H (corresponding author), Tohoku Univ, Grad Sch Med, Dept Virol, Aoba Ku, 2-1 Seiryou Machi, Sendai, Miyagi 9808575, Japan.</t>
  </si>
  <si>
    <t xml:space="preserve">Oshitani, Hitoshi/AAE-4349-2019</t>
  </si>
  <si>
    <t xml:space="preserve">Suzuki, Akira/0000-0002-8223-0314</t>
  </si>
  <si>
    <t xml:space="preserve">U S Department of Health and Human Services; U S Department of State; United States, Ministry of Foreign Affairs, Ministry of Health, Labor, and Welfare; Ministry of Education, Culture, Sports, Science and Technology, Japan</t>
  </si>
  <si>
    <t xml:space="preserve">U S Department of Health and Human Services; U S Department of State; United States, Ministry of Foreign Affairs, Ministry of Health, Labor, and Welfare; Ministry of Education, Culture, Sports, Science and Technology, Japan(Ministry of Education, Culture, Sports, Science and Technology, Japan (MEXT))</t>
  </si>
  <si>
    <t xml:space="preserve">We are indebted to Dr. Lmfa Wang (CSIRO's Australian Animal Health Laboratory) for outlining the experimental protocol We also thank the medical students of Tohoku University (Shun Akaeda, Hidenobu Takagi, Hideo Tsubata, Hiroshi Nagai, and Kei Furui) for their assistance in some experiments. We acknowledge the National Influenza Surveillance of the Philippines.Grant sponsor Acute Respiratory Infections Panel, United States Japan Cooperative Medical Science Program (U S Department of Health and Human Services, U S Department of State, United States, Ministry of Foreign Affairs, Ministry of Health, Labor, and Welfare, and Ministry of Education, Culture, Sports, Science and Technology, Japan)</t>
  </si>
  <si>
    <t xml:space="preserve">10.1002/jmv.21763</t>
  </si>
  <si>
    <t xml:space="preserve">587HR</t>
  </si>
  <si>
    <t xml:space="preserve">WOS:000276981700022</t>
  </si>
  <si>
    <t xml:space="preserve">Arnold, JC; Singh, KK; Spector, SA; Sawyer, MH</t>
  </si>
  <si>
    <t xml:space="preserve">Arnold, John C.; Singh, Kumud K.; Spector, Stephen A.; Sawyer, Mark H.</t>
  </si>
  <si>
    <t xml:space="preserve">Undiagnosed respiratory viruses in children</t>
  </si>
  <si>
    <t xml:space="preserve">human metapneumovirus; human bocavirus; adenovirus; PCR</t>
  </si>
  <si>
    <t xml:space="preserve">POLYMERASE-CHAIN-REACTION; HUMAN BOCAVIRUS; TRACT INFECTIONS; YOUNG-CHILDREN; VIRAL ETIOLOGY; CORONAVIRUS; ADENOVIRUS; INFANTS; DISEASE; DIAGNOSIS</t>
  </si>
  <si>
    <t xml:space="preserve">OBJECTIVE. An estimated 12 to 32 million upper respiratory infections occur in young children each year. In addition, 20% to 53% of infants will have &gt;= 1 episode of lower respiratory infection in the first year of life. The current methods of diagnosing respiratory viruses are limited in scope and sensitivity. Polymerase chain reaction is a more sensitive method than antigen detection and is often used for newly discovered viruses. Using polymerase chain reaction, we sought to diagnose adenoviruses, human bocavirus, and human metapneumovirus at our children's hospital. METHODS. Nasal-swab specimens submitted for antigen detection of respiratory viruses were collected and processed by using polymerase chain reaction to detect adenoviruses, human bocavirus, and human metapneumovirus. Inpatient and emergency department records were reviewed for clinical and demographic data. RESULTS. Approximately 1500 specimens were collected over 21 months; they contained adenoviruses, human bocavirus, and human metapneumovirus in 5.9%, 5.6%, and 5.2% of children, respectively. Using polymerase chain reaction and antigen detection, a viral agent was identified in as many as 62% of the specimens. Lower respiratory tract disease was present most frequently in patients infected with human metapneumovirus (63%) and least frequently in those infected with adenoviruses (45%). We detected adenoviruses by polymerase chain reaction in 59 patients for whom the antigen-detection test results were negative. A paroxysmal cough led to clinical suspicion of Bordetella pertussis infection in 19% of patients infected with human bocavirus. CONCLUSIONS. Adenoviruses, human bocavirus, and human metapneumovirus were each present in similar to 5% of specimens submitted for respiratory virus rapid testing. The lower respiratory tract was more commonly affected in patients with human bocavirus and human metapneumovirus infections. Adenovirus was often undiagnosed by antigen detection. Other findings included the presence of a pertussis-like illness associated with human bocavirus.</t>
  </si>
  <si>
    <t xml:space="preserve">[Arnold, John C.] Naval Med Ctr, Dept Pediat, Div Infect Dis, San Diego, CA 92134 USA; [Sawyer, Mark H.] Childrens Hosp, San Diego, CA 92123 USA; [Sawyer, Mark H.] Ctr Hlth, San Diego, CA 92123 USA; [Arnold, John C.; Singh, Kumud K.; Spector, Stephen A.; Sawyer, Mark H.] Univ Calif San Diego, Ctr AIDS Res, Dept Pediat, Div Infect Dis, San Diego, CA 92103 USA</t>
  </si>
  <si>
    <t xml:space="preserve">United States Department of Defense; United States Navy; Naval Medical Center San Diego; Children's Hospital Los Angeles; University of California System; University of California San Diego</t>
  </si>
  <si>
    <t xml:space="preserve">Arnold, JC (corresponding author), Naval Med Ctr, Dept Pediat, Div Infect Dis, 34800 Bob Wilson Dr, San Diego, CA 92134 USA.</t>
  </si>
  <si>
    <t xml:space="preserve">john.arnold@med.navy.mil; mhsawyer@ucsd.edu</t>
  </si>
  <si>
    <t xml:space="preserve">NIAID NIH HHS [AI-36214] Funding Source: Medline</t>
  </si>
  <si>
    <t xml:space="preserve">E631</t>
  </si>
  <si>
    <t xml:space="preserve">E637</t>
  </si>
  <si>
    <t xml:space="preserve">10.1542/peds.2006-3073</t>
  </si>
  <si>
    <t xml:space="preserve">271HS</t>
  </si>
  <si>
    <t xml:space="preserve">WOS:000253780100071</t>
  </si>
  <si>
    <t xml:space="preserve">Oliveira, RR; Machado, AF; Tateno, AF; Boas, LSV; Pannuti, CS; Machado, CM</t>
  </si>
  <si>
    <t xml:space="preserve">Oliveira, R. R.; Machado, A. F.; Tateno, A. F.; Boas, L. S. Vilas; Pannuti, C. S.; Machado, C. M.</t>
  </si>
  <si>
    <t xml:space="preserve">Frequency of human metapneumovirus infection in hematopoietic SCT recipients during 3 consecutive years</t>
  </si>
  <si>
    <t xml:space="preserve">human metapneumovirus; HSCT; respiratory symptoms; molecular typing; real-time PCR</t>
  </si>
  <si>
    <t xml:space="preserve">RESPIRATORY-TRACT INFECTIONS; CELL TRANSPLANT RECIPIENTS; STEM-CELL; VIRUS-INFECTIONS; PEDIATRIC-PATIENTS; SYNCYTIAL VIRUS; YOUNG-CHILDREN; DISEASE; BRAZIL</t>
  </si>
  <si>
    <t xml:space="preserve">Respiratory viruses can cause significant morbidity in immunocompromised hosts. Human metapneumovirus (hMPV) has been increasingly associated with lower respiratory tract infection in hematopoietic SCT (HSCT) recipients, with mortality rates up to 50%. No data on the occurrence of hMPV infection in HSCT recipients have been reported in the southern hemisphere. We conducted a retrospective study including 228 nasal wash samples from 153 HSCT recipients with respiratory symptoms during 2001, 2002 and 2003. hMPV was detected by real-time PCR with primers complementary to the nucleocapsid region of hMPV genome. Eleven of the 153 patients (7.2%) acquired hMPV infection during the study period (6.4% in 2001, 4.7% in 2002 and 11.1% in 2003). Among the 11 HSCT recipients with hMPV infection, 1 died 8 days after the diagnosis, but the role of hMPV in the patient's death could not be established. In 2001 and 2003, hMPV group A prevailed over group B. In 2002, both groups were detected equally. hMPV infections were diagnosed in late winter and spring. The frequency of hMPV infection in HSCT recipients living in Brazil was similar to those observed in the northern hemisphere. Sensitive techniques to detect hMPV should be included in the diagnostic assessment of HSCT recipients with respiratory symptoms.</t>
  </si>
  <si>
    <t xml:space="preserve">[Oliveira, R. R.; Machado, A. F.; Tateno, A. F.; Boas, L. S. Vilas; Pannuti, C. S.; Machado, C. M.] Univ Sao Paulo, Virol Lab, Inst Trop Med, BR-05403000 Sao Paulo, Brazil; [Pannuti, C. S.] Univ Sao Paulo, Sch Med, Dept Molestias Infecciosas &amp; Parasitarias, BR-05403000 Sao Paulo, Brazil</t>
  </si>
  <si>
    <t xml:space="preserve">Machado, CM (corresponding author), Univ Sao Paulo, Virol Lab, Inst Trop Med, Av Dr Eneas De C Aguiar 470, BR-05403000 Sao Paulo, Brazil.</t>
  </si>
  <si>
    <t xml:space="preserve">clarimm@usp.br</t>
  </si>
  <si>
    <t xml:space="preserve">Pannuti, Claudio/B-7649-2012</t>
  </si>
  <si>
    <t xml:space="preserve">FAPESP [05/01455-5]; Fundacao de Amparo a Pesquisa do Estado de Sao Paulo (FAPESP) [05/01455-5] Funding Source: FAPESP</t>
  </si>
  <si>
    <t xml:space="preserve">FAPESP(Fundacao de Amparo a Pesquisa do Estado de Sao Paulo (FAPESP)); Fundacao de Amparo a Pesquisa do Estado de Sao Paulo (FAPESP)(Fundacao de Amparo a Pesquisa do Estado de Sao Paulo (FAPESP))</t>
  </si>
  <si>
    <t xml:space="preserve">This study was supported by FAPESP Grant no. 05/01455-5. We thank Dr Frederico L Dulley and the clinicians assisting the HSCT recipients for excellent health care; Dr Tereza Peret (Center for Diseases Control, USA), Dr Edson Durigon (Instituto de Ciencias Biomedicas, USP, Brazil) and Dr Vivian Luchsinger (Programa de Virologia, University of Chile) for suggestions and technical support.</t>
  </si>
  <si>
    <t xml:space="preserve">1476-5365</t>
  </si>
  <si>
    <t xml:space="preserve">10.1038/bmt.2008.153</t>
  </si>
  <si>
    <t xml:space="preserve">341LP</t>
  </si>
  <si>
    <t xml:space="preserve">WOS:000258716300006</t>
  </si>
  <si>
    <t xml:space="preserve">Camps, M; Ricart, S; Dimova, V; Rovira, N; Munoz-Almagro, C; Garcia, JJ; Pons-Odena, M; Marcos, MA; Pumarola, T</t>
  </si>
  <si>
    <t xml:space="preserve">Camps, Marta; Ricart, Silvia; Dimova, Veselka; Rovira, Nuria; Munoz-Almagro, Carmen; Garcia, Juan Jose; Pons-Odena, Marti; Marcos, M. Angeles; Pumarola, Tomas</t>
  </si>
  <si>
    <t xml:space="preserve">Prevalence of human metapneumovirus among hospitalized children younger than 1 year in Catalonia, Spain</t>
  </si>
  <si>
    <t xml:space="preserve">human metapneumovirus; hospitalized infants; lower respiratory infection</t>
  </si>
  <si>
    <t xml:space="preserve">RESPIRATORY-TRACT INFECTIONS; REVERSE-TRANSCRIPTASE PCR; SYNCYTIAL-VIRUS; ACUTE BRONCHIOLITIS; CLINICAL-SAMPLES; INFLUENZA-A; INFANTS; SEQUENCE; RHINOVIRUS; CULTURES</t>
  </si>
  <si>
    <t xml:space="preserve">Human metapneumovirus was discovered recently respiratory virus implicated in both upper and lower respiratory tract infection. In children, the clinical symptoms of human metapneumovirus are similar to those produced by respiratory syncytial virus, ranging from mild to severe diseases such as bronchiolitis and pneumonia. The aim of the present study was to describe the prevalence of human metapneumovirus and other common respiratory viruses among admitted to hospital infants. From January 2006 to June 2006, 99 nasopharyngeal aspirates were collected from hospitalized children younger than 12 months in order to study respiratory viruses. Human metapneumovirus detection was performed by cell culture and two RT-PCR targeting on polymerase and fusion genes. The latter gene was used for phylogenetic analysis. In 67/99 children (67%) at least one viral pathogen was identified, the viruses detected most frequently were respiratory syncytial virus (35%), human metapneumovirus (25%) and rhinovirus (19%). The results obtained in this study, show that: (1) human metapneumovirus is one of the most important viruses among children less than 12 months; (2) children infected with human metapneumovirus were significantly older than those infected by respiratory syncytial virus; (3) human metapneumovirus was associated more frequently with pneumonia whereas respiratory syncytial virus was only detected in patients with bronchiolitis; (4) there was a clear epidemiological succession pattern with only a small overlap among the viruses detected most frequently; (5) all human metapneumovirus samples were clustered within sublineage A2.</t>
  </si>
  <si>
    <t xml:space="preserve">[Camps, Marta; Dimova, Veselka; Marcos, M. Angeles; Pumarola, Tomas] Hosp Clin Barcelona, Microbiol Lab, Barcelona 08036, Spain; [Ricart, Silvia; Rovira, Nuria; Munoz-Almagro, Carmen; Garcia, Juan Jose; Pons-Odena, Marti] Hosp San Juan Dios, Dept Microbiol, Pediat Infect Dis Unit, Barcelona, Spain</t>
  </si>
  <si>
    <t xml:space="preserve">University of Barcelona; Hospital Clinic de Barcelona; University of Barcelona</t>
  </si>
  <si>
    <t xml:space="preserve">Camps, M (corresponding author), Hosp Clin Barcelona, Microbiol Lab, Villarroel 170, Barcelona 08036, Spain.</t>
  </si>
  <si>
    <t xml:space="preserve">martacs@hotmail.com</t>
  </si>
  <si>
    <t xml:space="preserve">Pumarola, Tomàs/AAB-5532-2019; Garcia-Garcia, Juan/J-5295-2014; Odena, Martí/K-3054-2019; Ricart, Silvia/LKL-1517-2024; Pumarola Sune, Tomas/F-7583-2017; PONS-ODENA, MARTI/G-3982-2015; Munoz-Almagro, Carmen/N-7248-2015</t>
  </si>
  <si>
    <t xml:space="preserve">Pumarola Sune, Tomas/0000-0002-5171-7461; PONS-ODENA, MARTI/0000-0002-1181-3547; Munoz-Almagro, Carmen/0000-0001-5586-404X; Ricart, Silvia/0000-0002-0651-8180</t>
  </si>
  <si>
    <t xml:space="preserve">10.1002/jmv.21209</t>
  </si>
  <si>
    <t xml:space="preserve">319NN</t>
  </si>
  <si>
    <t xml:space="preserve">WOS:000257170800020</t>
  </si>
  <si>
    <t xml:space="preserve">Schreiner, D; Groendahl, B; Puppe, W; Off, HNT; Poplawska, K; Knuf, M; Meyer, CU; Reischl, AT; Gehring, S</t>
  </si>
  <si>
    <t xml:space="preserve">Schreiner, D.; Groendahl, B.; Puppe, W.; Off, H. Naraghi Taghi; Poplawska, K.; Knuf, M.; Meyer, C. U.; Reischl, A. T.; Gehring, Stephan</t>
  </si>
  <si>
    <t xml:space="preserve">High antibiotic prescription rates in hospitalized children with human metapneumovirus infection in comparison to RSV infection emphasize the value of point-of-care diagnostics</t>
  </si>
  <si>
    <t xml:space="preserve">Human metapneumovirus; hMPV; RSV; Antibiotic treatment; Point-of-care diagnostic</t>
  </si>
  <si>
    <t xml:space="preserve">RESPIRATORY-TRACT INFECTIONS; INFLUENZA-A VIRUS; SYNCYTIAL VIRUS; YOUNG-CHILDREN; HEALTH-CARE; BACTERIAL; INFANTS; BRONCHIOLITIS; COINFECTION; PNEUMONIA</t>
  </si>
  <si>
    <t xml:space="preserve">BackgroundRespiratory infections are the main causes for hospitalization in children and a common reason for the initiation of antibiotic treatment. Rapid antigen detection tests and point-of-care mPCR-based assays provide a fast detection of viral pathogens. Nonetheless, the prescription rate of antibiotics for respiratory infections is exceedingly high. In particular, human metapneumovirus (hMPV) infections frequently cause antibiotic treatment.MethodsChildren hospitalized in our clinic with an acute respiratory infection between January 2008 and January 2013 were included in the present study. Data of 3799 children were analyzed retrospectively for clinical symptoms, laboratory findings, and antibiotic and inhalation treatment. We performed an in-house m-RT-PCR-ELISA method for pathogen detection.ResultsPathogen detection was possible in 2464 patients. In 6.3%, hMPV and, in 24.0%, RSV were detected. Patients positively tested for hMPV received inhalation therapy in 62.9%; patients positive for RSV in 73.8%. Patients positive for hMPV were treated with antibiotics in 62.3%. Patients with RSV infection received antibiotic treatment in 44.4%; all others in 43.5%. Notably, a positive result in RSV-RADT was associated with reduced number of antibiotic treatment.ConclusionhMPV infections inherit a two times higher probability of antibiotic treatment. There was no significant difference in laboratory findings or body temperature between hMPV infection and infections caused by other pathogens. Clinical symptoms seem not to differ from those in RSV illness. Nonetheless, RSV infections triggered significantly lower antibiotic prescription rates. A considerate application of a POC-mPCR for patients with RSV-like symptoms and age of 1year and older with a negative RSV-RADT might lead to higher detection rates of hMPV and a reduction in prescription of antibiotics.</t>
  </si>
  <si>
    <t xml:space="preserve">[Schreiner, D.; Groendahl, B.; Poplawska, K.; Knuf, M.; Meyer, C. U.; Reischl, A. T.; Gehring, Stephan] Johannes Gutenberg Univ Mainz, Univ Med Ctr, Childrens Hosp, Langenbeckstr 1, D-55131 Mainz, Germany; [Puppe, W.] Hannover Med Sch, Inst Virol, Hannover, Germany; [Off, H. Naraghi Taghi] Helios Dr Horst Schmidt Clin Wiesbaden, Urol Clin, Wiesbaden, Germany; [Knuf, M.] Helios Dr Horst Schmidt Clin Wiesbaden, Childrens Hosp, Wiesbaden, Germany</t>
  </si>
  <si>
    <t xml:space="preserve">Johannes Gutenberg University of Mainz; Hannover Medical School</t>
  </si>
  <si>
    <t xml:space="preserve">Gehring, S (corresponding author), Johannes Gutenberg Univ Mainz, Univ Med Ctr, Childrens Hosp, Langenbeckstr 1, D-55131 Mainz, Germany.</t>
  </si>
  <si>
    <t xml:space="preserve">stephan.gehring@uni-mainz.de</t>
  </si>
  <si>
    <t xml:space="preserve">Meyer, Claudius U./0000-0003-1334-2512; Schreiner, Daniel/0000-0001-9363-8051</t>
  </si>
  <si>
    <t xml:space="preserve">10.1007/s15010-018-1194-5</t>
  </si>
  <si>
    <t xml:space="preserve">HR2DQ</t>
  </si>
  <si>
    <t xml:space="preserve">WOS:000462946100004</t>
  </si>
  <si>
    <t xml:space="preserve">Xu, YF; Lewandowski, K; Jeffery, K; Downs, LO; Foster, D; Sanderson, ND; Kavanagh, J; Vaughan, A; Salvagno, C; Vipond, R; Carroll, M; Danby, R; Peto, T; Crook, D; Walker, AS; Matthews, PC; Pullan, ST</t>
  </si>
  <si>
    <t xml:space="preserve">Xu, Yifei; Lewandowski, Kuiama; Jeffery, Katie; Downs, Louise O.; Foster, Dona; Sanderson, Nicholas D.; Kavanagh, James; Vaughan, Ali; Salvagno, Claudia; Vipond, Richard; Carroll, Miles; Danby, Robert; Peto, Timothy; Crook, Derrick; Walker, A. Sarah; Matthews, Philippa C.; Pullan, Steven T.</t>
  </si>
  <si>
    <t xml:space="preserve">Nanopore metagenomic sequencing to investigate nosocomial transmission of human metapneumovirus from a unique genetic group among haematology patients in the United Kingdom</t>
  </si>
  <si>
    <t xml:space="preserve">Human metapneumovirus; HMPV; Nanopore sequencing; Metagenomics; Haematology; Nosocomial transmission; Outbreak; Infection control; Epidemiology</t>
  </si>
  <si>
    <t xml:space="preserve">INFECTION; EPIDEMIOLOGY; CHILDREN</t>
  </si>
  <si>
    <t xml:space="preserve">Background: Human metapneumovirus (HMPV) infection causes a spectrum of respiratory tract disease, and may be a significant pathogen in the context of immunocompromise. Here, we report direct-from-sample metagenomic sequencing of HMPV using Oxford Nanopore Technology. Methods: We applied this sequencing approach to 25 respiratory samples that had been submitted to a clinical diagnostic laboratory in a UK teaching hospital. These samples represented 13 patients under the care of a haematology unit over a 20-day period in Spring 2019 (two sampled twice), and ten other patients elsewhere in the hospital between 2017-2019. Results: We generated HMPV reads from 20/25 samples (sensitivity 80% compared to routine diagnostic testing) and retrieved complete HMPV genomes from 15/20 of these. Consensus sequences from Nanopore data were identical to those generated by Illumina, and represented HMPV genomes from two distinct sublineages, A2b and B2. Sequences from ten haematology patients formed a unique genetic group in the A2b sublineage, not previously reported in the UK. Among these, eight HMPV genomes formed a cluster (differing by &lt;= 3 SNPs), likely to reflect nosocomial transmission, while two others were more distantly related and may represent independent introductions to the haematology unit. Conclusion: Nanopore metagenomic sequencing can be used to diagnose HMPV infection, although more work is required to optimise sensitivity. Improvements in the use of metagenomic sequencing, particularly for respiratory viruses, could contribute to antimicrobial stewardship. Generation of full genome sequences can be used to support or rule out nosocomial transmission, and contribute to improving infection prevention and control practices. (C) 2020 The Authors. Published by Elsevier Ltd on behalf of The British Infection Association.</t>
  </si>
  <si>
    <t xml:space="preserve">[Xu, Yifei; Foster, Dona; Sanderson, Nicholas D.; Kavanagh, James; Vaughan, Ali; Peto, Timothy; Crook, Derrick; Walker, A. Sarah] Univ Oxford, John Radcliffe Hosp, Nuffield Dept Med, Oxford OX3 9DU, England; [Xu, Yifei; Foster, Dona; Sanderson, Nicholas D.; Kavanagh, James; Vaughan, Ali; Peto, Timothy; Crook, Derrick; Walker, A. Sarah; Matthews, Philippa C.] Univ Oxford, NIHR Oxford Biomed Res Ctr, Oxford, England; [Lewandowski, Kuiama; Vipond, Richard; Carroll, Miles; Pullan, Steven T.] Publ Hlth England, Natl Infect Serv, Salisbury, Wilts, England; [Jeffery, Katie; Downs, Louise O.; Salvagno, Claudia; Peto, Timothy; Crook, Derrick; Matthews, Philippa C.] Oxford Univ Hosp NHS Fdn Trust, John Radcliffe Hosp, Dept Infect Dis &amp; Microbiol, Oxford, England; [Danby, Robert] Oxford Univ Hosp NHS Fdn Trust, John Radcliffe Hosp, Dept Haematol, Oxford, England; [Downs, Louise O.; Matthews, Philippa C.] Univ Oxford, Nuffield Dept Med, Peter Medawar Bldg Pathogen Res, Oxford, England</t>
  </si>
  <si>
    <t xml:space="preserve">University of Oxford; University of Oxford; Public Health England; University of Oxford; Oxford University Hospitals NHS Foundation Trust; University of Oxford; Oxford University Hospitals NHS Foundation Trust; University of Oxford</t>
  </si>
  <si>
    <t xml:space="preserve">Xu, YF (corresponding author), Univ Oxford, John Radcliffe Hosp, Nuffield Dept Med, Oxford OX3 9DU, England.</t>
  </si>
  <si>
    <t xml:space="preserve">yifei.xu@ndm.ox.ac.uk</t>
  </si>
  <si>
    <t xml:space="preserve">Danby, Robert/AAE-7955-2021; Xu, Yifei/J-9841-2019; Walker, Sarah/HDM-8717-2022; Matthews, Philippa C/P-7810-2019</t>
  </si>
  <si>
    <t xml:space="preserve">Foster, Dona/0009-0003-2796-4555; Salvagno, Claudia/0000-0002-0801-7419; Pullan, Steven/0000-0002-8983-599X; Kavanagh, James/0000-0003-1495-0843; Danby, Robert/0000-0002-2985-7222; Matthews, Philippa C/0000-0002-4036-4269; Crook, Derrick/0000-0002-0590-2850; Walker, Ann Sarah/0000-0002-0412-8509; Xu, Yifei/0000-0003-1969-2484</t>
  </si>
  <si>
    <t xml:space="preserve">NIHR Oxford Biomedical Research Centre; Health Data Research UK; Wellcome Trust [110110]; NIHR BRC Senior Fellowship award</t>
  </si>
  <si>
    <t xml:space="preserve">NIHR Oxford Biomedical Research Centre(National Institutes of Health Research (NIHR)); Health Data Research UK; Wellcome Trust(Wellcome Trust); NIHR BRC Senior Fellowship award</t>
  </si>
  <si>
    <t xml:space="preserve">The study was funded by the NIHR Oxford Biomedical Research Centre. Computation used the Oxford Biomedical Research Computing (BMRC) facility, a joint development between the Wellcome Centre for Human Genetics and the Big Data Institute supported by Health Data Research UK and the NIHR Oxford Biomedical Research Centre. The views expressed in this publication are those of the authors and not necessarily those of the NHS, the National Institute for Health Research, the Department of Health or Public Health England. PCM is funded by the Wellcome Trust (grant ref 110110) and holds an NIHR BRC Senior Fellowship award. DWC, TEAP and ASW are NIHR Senior Investigators.</t>
  </si>
  <si>
    <t xml:space="preserve">10.1016/j.jinf.2020.02.003</t>
  </si>
  <si>
    <t xml:space="preserve">LE0HZ</t>
  </si>
  <si>
    <t xml:space="preserve">WOS:000526407300017</t>
  </si>
  <si>
    <t xml:space="preserve">Nao, N; Saikusa, M; Sato, K; Sekizuka, T; Usuku, S; Tanaka, N; Nishimura, H; Takeda, M</t>
  </si>
  <si>
    <t xml:space="preserve">Nao, Naganori; Saikusa, Miwako; Sato, Ko; Sekizuka, Tsuyoshi; Usuku, Shuzo; Tanaka, Nobuko; Nishimura, Hidekazu; Takeda, Makoto</t>
  </si>
  <si>
    <t xml:space="preserve">Recent Molecular Evolution of Human Metapneumovirus (HMPV): Subdivision of HMPV A2b Strains</t>
  </si>
  <si>
    <t xml:space="preserve">human metapneumovirus; HMPV; molecular epidemiology; molecular evolution; subtyping; nucleotide duplication</t>
  </si>
  <si>
    <t xml:space="preserve">SMALL HYDROPHOBIC PROTEIN; GENETIC DIVERSITY; INFECTION; EPIDEMIOLOGY; DUPLICATION; OUTBREAK; CHILDREN; BINDING; YOUNG</t>
  </si>
  <si>
    <t xml:space="preserve">Human metapneumovirus (HMPV) is a major etiological agent of acute respiratory infections in humans. HMPV has been circulating worldwide for more than six decades and is currently divided into five agreed-upon subtypes: A1, A2a, A2b, B1, and B2. Recently, the novel HMPV subtypes A2c, A2b1, and A2b2 have been proposed. However, the phylogenetic and evolutionary relationships between these recently proposed HMPV subtypes are unclear. Here, we report a genome-wide phylogenetic and evolutionary analysis of 161 HMPV strains, including unique HMPV subtype A2b strains with a 180- or 111-nucleotide duplication in the G gene (nt-dup). Our data demonstrate that the HMPV A2b subtype contains two distinct subtypes, A2b1 and A2b2, and that the HMPV subtypes A2c and A2b2 may be different names for the same subtype. HMPV A2b strains with a nt-dup also belong to subtype A2b2. Molecular evolutionary analyses indicate that subtypes A2b1 and A2b2 diverged from subtype A2b around a decade after the subtype A2 was divided into the subtypes A2a and A2b. These data support the A2b1 and A2b2 subtypes proposed in 2012 and are essential for the unified classification of HMPV subtype A2 strains, which is important for future HMPV surveillance and epidemiological studies.</t>
  </si>
  <si>
    <t xml:space="preserve">[Nao, Naganori; Takeda, Makoto] Natl Inst Infect Dis, Dept Virol 3, Musashimurayama 2080011, Japan; [Saikusa, Miwako; Usuku, Shuzo; Tanaka, Nobuko] Yokohama City Inst Publ Hlth, Yokohama, Kanagawa 2360051, Japan; [Sato, Ko; Nishimura, Hidekazu] Sendai Med Ctr, Virus Res Ctr, Clin Res Div, Sendai, Miyagi 9838520, Japan; [Sekizuka, Tsuyoshi] Natl Inst Infect Dis, Pathogen Genom Ctr, Shinjuku Ku, Tokyo 1628640, Japan; [Nao, Naganori] Hokkaido Univ, Res Ctr Zoonosis Control, Hokudai Ctr Zoonosis Control Zambia, Sapporo, Hokkaido 0010020, Japan; [Sato, Ko] Tohoku Univ, Grad Sch Med, Dept Intelligent Network Infect Control, Sendai, Miyagi 9808575, Japan</t>
  </si>
  <si>
    <t xml:space="preserve">National Institute of Infectious Diseases (NIID); National Institute of Infectious Diseases (NIID); Hokkaido University; Tohoku University</t>
  </si>
  <si>
    <t xml:space="preserve">Nao, N (corresponding author), Natl Inst Infect Dis, Dept Virol 3, Musashimurayama 2080011, Japan.</t>
  </si>
  <si>
    <t xml:space="preserve">n-nao@czc.hokudai.ac.jp; mi00-saikusa@city.yokohama.jp; ko-sato@med.tohoku.ac.jp; sekizuka@nih.go.jp; sh00-usuku@city.yokohama.jp; no01-tanaka@city.yokohama.jp; hide-nishimura@mte.biglobe.ne.jp; mtakeda@nih.go.jp</t>
  </si>
  <si>
    <t xml:space="preserve">; Takeda, Makoto/J-2550-2018</t>
  </si>
  <si>
    <t xml:space="preserve">Sato, Ko/0000-0002-5548-6285; Takeda, Makoto/0000-0002-8194-7727</t>
  </si>
  <si>
    <t xml:space="preserve">Japan Society for the Promotion of Science (JSPS) [17K16289]; Ministry of Education, Culture, Sports, Science and Technology (MEXT); Japanese Initiative for Progress of Research on Infectious Disease for Global Endemic (J-PRIDE); Japanese Initiative for Progress of Research on Infectious Disease for Global Endemic [JP19fm0208005]; Advanced Research and Development for Medical Innovation program (AMED-CREST); Advanced Research and Development for Medical Innovation program [JP19gm0910005]; Grants-in-Aid for Scientific Research [20K16270, 17K16289] Funding Source: KAKEN</t>
  </si>
  <si>
    <t xml:space="preserve">Japan Society for the Promotion of Science (JSPS)(Ministry of Education, Culture, Sports, Science and Technology, Japan (MEXT)Japan Society for the Promotion of Science); Ministry of Education, Culture, Sports, Science and Technology (MEXT)(Ministry of Education, Culture, Sports, Science and Technology, Japan (MEXT)); Japanese Initiative for Progress of Research on Infectious Disease for Global Endemic (J-PRIDE); Japanese Initiative for Progress of Research on Infectious Disease for Global Endemic; Advanced Research and Development for Medical Innovation program (AMED-CREST); Advanced Research and Development for Medical Innovation program; Grants-in-Aid for Scientific Research(Ministry of Education, Culture, Sports, Science and Technology, Japan (MEXT)Japan Society for the Promotion of ScienceGrants-in-Aid for Scientific Research (KAKENHI))</t>
  </si>
  <si>
    <t xml:space="preserve">This research was funded by grants from the Japan Society for the Promotion of Science (JSPS) (Grant-in-Aid for Young Scientists (B), 17K16289) and the Ministry of Education, Culture, Sports, Science and Technology (MEXT) for the Joint Research Program of the Research Center for Zoonosis Control, Hokkaido University, to N.N., and grants from the Japanese Initiative for Progress of Research on Infectious Disease for Global Endemic (J-PRIDE and JP19fm0208005) and the Advanced Research and Development for Medical Innovation program (AMED-CREST and JP19gm0910005) to M.T.</t>
  </si>
  <si>
    <t xml:space="preserve">10.3390/microorganisms8091280</t>
  </si>
  <si>
    <t xml:space="preserve">OD8GI</t>
  </si>
  <si>
    <t xml:space="preserve">WOS:000580084800001</t>
  </si>
  <si>
    <t xml:space="preserve">Cheemarla, NR; Guerrero-Plata, A</t>
  </si>
  <si>
    <t xml:space="preserve">Cheemarla, Nagarjuna R.; Guerrero-Plata, Antonieta</t>
  </si>
  <si>
    <t xml:space="preserve">Human Metapneumovirus Attachment Protein Contributes to Neutrophil Recruitment into the Airways of Infected Mice</t>
  </si>
  <si>
    <t xml:space="preserve">human metapneumovirus; HMPV; lung; paramyxovirus; neutrophils; attachment protein; G protein; respiratory; mouse</t>
  </si>
  <si>
    <t xml:space="preserve">RESPIRATORY SYNCYTIAL VIRUS; INFLUENZA-VIRUS; YOUNG-CHILDREN; TRACT DISEASE; INTERFERON; ALPHA; PATHOGENESIS; INFLAMMATION; MODULATION; INFANTS</t>
  </si>
  <si>
    <t xml:space="preserve">Human Metapneumovirus (HMPV) is a leading respiratory pathogen that causes lower respiratory tract infections worldwide. Acute HMPV infection induces an exacerbated inflammatory neutrophilic response leading to bronchiolitis and pneumonia. However, the mechanism by which the virus regulates neutrophil infiltration into the airways still remains unexplored. In this work, we used an experimental mouse model of HMPV infection to demonstrate that the attachment (G) protein of HMPV contributes to the recruitment of neutrophils into the airways and modulate the production of neutrophil chemoattractants and Type I IFN responses, specifically IFN-. These findings provide the first evidence that the HMPV G protein contributes to the in vivo neutrophilic response to HMPV infection and furthers our understanding on virus induced inflammatory responses in the airways.</t>
  </si>
  <si>
    <t xml:space="preserve">[Cheemarla, Nagarjuna R.; Guerrero-Plata, Antonieta] Louisiana State Univ, Dept Pathobiol Sci, Baton Rouge, LA 70803 USA; [Guerrero-Plata, Antonieta] Louisiana State Univ, Ctr Expt Infect Dis Res, Baton Rouge, LA 70803 USA</t>
  </si>
  <si>
    <t xml:space="preserve">Louisiana State University System; Louisiana State University; Louisiana State University System; Louisiana State University</t>
  </si>
  <si>
    <t xml:space="preserve">Guerrero-Plata, A (corresponding author), Louisiana State Univ, Dept Pathobiol Sci, Baton Rouge, LA 70803 USA.;Guerrero-Plata, A (corresponding author), Louisiana State Univ, Ctr Expt Infect Dis Res, Baton Rouge, LA 70803 USA.</t>
  </si>
  <si>
    <t xml:space="preserve">ncheem1@lsu.edu; aguerrp@lsu.edu</t>
  </si>
  <si>
    <t xml:space="preserve">CHEEMARLA, NAGARJUNA/I-5539-2019</t>
  </si>
  <si>
    <t xml:space="preserve">Cheemarla, Nagarjuna Reddy/0000-0002-8860-2457; Guerrero-Plata, Antonieta/0000-0002-0424-2563</t>
  </si>
  <si>
    <t xml:space="preserve">National Institute of General Medical Sciences from the National Institutes of Health [P30GM110760]; Flight Attendant Medical Research Institute CIA [140082]; Louisiana State University</t>
  </si>
  <si>
    <t xml:space="preserve">National Institute of General Medical Sciences from the National Institutes of Health; Flight Attendant Medical Research Institute CIA; Louisiana State University</t>
  </si>
  <si>
    <t xml:space="preserve">This work was supported by Grants from the National Institute of General Medical Sciences (P30GM110760) from the National Institutes of Health, and a Flight Attendant Medical Research Institute CIA grant (140082) to Antonieta Guerrero-Plata. Nagarjuna R. Cheemarla was supported by a Louisiana State University Dissertation Year Assistantship. The authors thank Rocio Banos-Lara for her invaluable help with experimental procedures for this study.</t>
  </si>
  <si>
    <t xml:space="preserve">10.3390/v9100310</t>
  </si>
  <si>
    <t xml:space="preserve">FL9ZD</t>
  </si>
  <si>
    <t xml:space="preserve">WOS:000414617500047</t>
  </si>
  <si>
    <t xml:space="preserve">Arnott, A; Vong, S; Sek, M; Naughtin, M; Beauté, J; Rith, S; Guillard, B; Deubel, V; Buchy, P</t>
  </si>
  <si>
    <t xml:space="preserve">Arnott, Alicia; Vong, Sirenda; Sek, Mardy; Naughtin, Monica; Beaute, Julien; Rith, Sareth; Guillard, Bertrand; Deubel, Vincent; Buchy, Philippe</t>
  </si>
  <si>
    <t xml:space="preserve">Genetic variability of human metapneumovirus amongst an all ages population in Cambodia between 2007 and 2009</t>
  </si>
  <si>
    <t xml:space="preserve">Human metapneumovirus; HMPV; Genetic diversity; Acute lower respiratory tract infection; Respiratory disease; Epidemiology; Cambodia; South East Asia</t>
  </si>
  <si>
    <t xml:space="preserve">RESPIRATORY SYNCYTIAL VIRUS; HUMAN BOCAVIRUS; TRACT INFECTIONS; G-PROTEIN; CLINICAL IMPACT; YOUNG-CHILDREN; FUSION PROTEIN; F-PROTEIN; DIVERSITY; GENOTYPE</t>
  </si>
  <si>
    <t xml:space="preserve">First identified in 2001, human metapneumovirus (HMPV) is a novel pathogen and causative agent of acute respiratory tract infection. Re-infection with HMPV is common, and currently there is no available vaccine against HMPV infection. Two genotypes of HMPV have been identified, A and B, both of which can be divided further into at least two distinct sub-genotypes. Here we report the results of the first study to investigate the genetic variability of HMPV strains circulating within Cambodia. The overall incidence of HMPV infection amongst an all-ages population of patients hospitalised with ALRI in Cambodia during 3 consecutive years, between 2007 and 2009, was 1.7%. The incidence of HMPV infection was highest amongst children less than 5 years of age, with pneumonia or bronchopneumonia the most frequent clinical diagnoses across all age groups. The incidence of HMPV infection varied annually. As anticipated, genetic diversity was low amongst the conserved F gene sequences but very high amongst G gene sequences, some strains sharing as little as 56.3% and 34.2% homology at the nucleotide and amino acid levels, respectively. Simultaneous co-circulation of strains belonging to the HMPV sub-genotypes B1, B2 and lineage A2b, amongst patients recruited at 2 geographically distinct provincial hospitals, was detected. Sub-genotype B2 strains were responsible for the majority of the infections detected, and a significant (p = 0.013) association between infection with lineage A2b strains and disease severity was observed. (C) 2011 Elsevier B.V. All rights reserved.</t>
  </si>
  <si>
    <t xml:space="preserve">[Arnott, Alicia; Vong, Sirenda; Sek, Mardy; Naughtin, Monica; Beaute, Julien; Rith, Sareth; Guillard, Bertrand; Deubel, Vincent; Buchy, Philippe] Reseau Int Inst Pasteur, Inst Pasteur Cambodia, Phnom Penh, Cambodia</t>
  </si>
  <si>
    <t xml:space="preserve">Pasteur Network; Institut Pasteur Cambodia</t>
  </si>
  <si>
    <t xml:space="preserve">Buchy, P (corresponding author), Inst Pasteur Cambodia, Virol Unit, 5 Monivong Blvd,POB 983, Phnom Penh, Cambodia.</t>
  </si>
  <si>
    <t xml:space="preserve">Buchy, Philippe/JNS-0960-2023</t>
  </si>
  <si>
    <t xml:space="preserve">Arnott, Alicia/0000-0003-2637-8936; Beaute, Julien/0000-0001-6164-7199; BUCHY, Philippe/0000-0003-1372-3008</t>
  </si>
  <si>
    <t xml:space="preserve">Surveillance and Investigation of Epidemic Situations in Southeast Asia (SISEA) project, a grant French Agency for Development</t>
  </si>
  <si>
    <t xml:space="preserve">This study was supported by Surveillance and Investigation of Epidemic Situations in Southeast Asia (SISEA) project, a grant from the French Agency for Development. We gratefully thank Dr Alain Viari, Dr Roger Frutos and Dr Eric Coissac for invaluable advice and help with bioinformatic and phylogenetic analysis. We would like to thank all of the technical staff in the Virology and Epidemiology units at the Institut Pasteur in Cambodia for their assistance and especially Dr. Duong Veasna for the statistical analysis. We are also grateful to the staff of Kampong Cham and Takeo Provincial Hospitals.</t>
  </si>
  <si>
    <t xml:space="preserve">10.1016/j.meegid.2011.01.016</t>
  </si>
  <si>
    <t xml:space="preserve">169AV</t>
  </si>
  <si>
    <t xml:space="preserve">WOS:000320750200008</t>
  </si>
  <si>
    <t xml:space="preserve">Kinder, JT; Klimyte, EM; Chang, A; Williams, JV; Dutch, RE</t>
  </si>
  <si>
    <t xml:space="preserve">Kinder, J. Tyler; Klimyte, Edita M.; Chang, Andres; Williams, John, V; Dutch, Rebecca Ellis</t>
  </si>
  <si>
    <t xml:space="preserve">Human metapneumovirus fusion protein triggering: Increasing complexities by analysis of new HMPV fusion proteins</t>
  </si>
  <si>
    <t xml:space="preserve">Human metapneumovirus; HMPV; Fusion; Syncytia; Strains; Clade; Low pH</t>
  </si>
  <si>
    <t xml:space="preserve">F-PROTEIN; MEMBRANE-FUSION; GENETIC-VARIABILITY; CELL-FUSION; RESIDUES; ENTRY; INFECTION; CHILDREN; BINDING; IDENTIFICATION</t>
  </si>
  <si>
    <t xml:space="preserve">The human metapneumovirus (HMPV) fusion protein (F) mediates fusion of the viral envelope and cellular membranes to establish infection. HMPV F from some, but not all, viral strains promotes fusion only after exposure to low pH. Previous studies have identified several key residues involved in low pH triggering, including H435 and a proposed requirement for glycine at position 294. We analyzed the different levels of fusion activity, protein expression and cleavage of three HMPV F proteins not previously examined. Interestingly, low pH-triggered fusion in the absence of G294 was identified in one F protein, while a novel histidine residue (H434) was identified that enhanced low pH promoted fusion in another. The third F protein failed to promote cell-to-cell fusion, suggesting other requirements for F protein triggering. Our results demonstrate HMPV F triggering is more complex than previously described and suggest a more intricate mechanism for fusion protein function and activation.</t>
  </si>
  <si>
    <t xml:space="preserve">[Kinder, J. Tyler; Klimyte, Edita M.; Chang, Andres; Dutch, Rebecca Ellis] Univ Kentucky, Dept Mol &amp; Cellular Biochem, Lexington, KY 40506 USA; [Williams, John, V] Univ Pittsburgh, Sch Med, Pittsburgh, PA USA</t>
  </si>
  <si>
    <t xml:space="preserve">University of Kentucky; Pennsylvania Commonwealth System of Higher Education (PCSHE); University of Pittsburgh</t>
  </si>
  <si>
    <t xml:space="preserve">Dutch, RE (corresponding author), Univ Kentucky, Dept Mol &amp; Cellular Biochem, Lexington, KY 40506 USA.</t>
  </si>
  <si>
    <t xml:space="preserve">rdutc2@uky.edu</t>
  </si>
  <si>
    <t xml:space="preserve">Chang, Andres/V-8887-2019; Williams, John/ABE-3227-2020</t>
  </si>
  <si>
    <t xml:space="preserve">Chang, Andres/0000-0001-6679-9060; Kinder, Jonathan/0000-0001-7207-0639</t>
  </si>
  <si>
    <t xml:space="preserve">CCTS TL1 training program [TL1TR000115]; NRSA [F30A1114194]; A Great Rivers Affiliate predoctoral fellowship [55710PRE4230022]; NIAID [RO1A1051517]; NIGMS [P30GM110787]; UK University Research Professor funds</t>
  </si>
  <si>
    <t xml:space="preserve">CCTS TL1 training program; NRSA(United States Department of Health &amp; Human ServicesNational Institutes of Health (NIH) - USA); A Great Rivers Affiliate predoctoral fellowship; NIAID(United States Department of Health &amp; Human ServicesNational Institutes of Health (NIH) - USANIH National Institute of Allergy &amp; Infectious Diseases (NIAID)); NIGMS(United States Department of Health &amp; Human ServicesNational Institutes of Health (NIH) - USANIH National Institute of General Medical Sciences (NIGMS)); UK University Research Professor funds</t>
  </si>
  <si>
    <t xml:space="preserve">This work was supported by CCTS TL1 training program (TL1TR000115) and individual NRSA (F30A1114194) to EK, A Great Rivers Affiliate predoctoral fellowship (55710PRE4230022) to AC, and NIAID grant RO1A1051517, NIGMS grant P30GM110787, and UK University Research Professor funds to RED.</t>
  </si>
  <si>
    <t xml:space="preserve">10.1016/j.virol.2019.03.003</t>
  </si>
  <si>
    <t xml:space="preserve">WOS:000466822000023</t>
  </si>
  <si>
    <t xml:space="preserve">Okamoto, M; Sugawara, K; Takashita, E; Muraki, Y; Hongo, S; Mizuta, K; Itagaki, T; Nishimura, H; Matsuzaki, Y</t>
  </si>
  <si>
    <t xml:space="preserve">Okamoto, Michiko; Sugawara, Kanetsu; Takashita, Emi; Muraki, Yasushi; Hongo, Seiji; Mizuta, Katsumi; Itagaki, Tsutomu; Nishimura, Hidekazu; Matsuzaki, Yoko</t>
  </si>
  <si>
    <t xml:space="preserve">Development and evaluation of a whole virus-based enzyme-linked immunosorbent assay for the detection of human metapneumovirus antibodies in human sera</t>
  </si>
  <si>
    <t xml:space="preserve">Human metapneumovirus; hMPV; ELISA; Neutralization test; Seroprevalence</t>
  </si>
  <si>
    <t xml:space="preserve">INFLUENZA-C VIRUS; RESPIRATORY-TRACT INFECTIONS; MONOCLONAL-ANTIBODIES; AVIAN PNEUMOVIRUS; GENETIC DIVERSITY; PROTEIN; CHILDREN; JAPAN; SEROPREVALENCE; YAMAGATA</t>
  </si>
  <si>
    <t xml:space="preserve">To apply serological testing for human metapneumovirus (hMPV) to large-scale sera samples, an enzyme-linked immunosorbent assay (ELISA) was developed in which purified virions were used as the antigen. The ELISA was evaluated using 102 human sera specimens from patients aged 0-59 years. There was a positive association between the ELISA results and neutralization test titers, with the correlation coefficients being greater in children &lt;6 years old (rho=0.899, P&lt;0.0001), which is consistent with a primary infection, than in persons &gt;= 6 years old (rho=0.523, P&lt;0.0001). Fifty sera samples were subjected to radioimmunoprecipitation to measure the quantity of antibodies to the fusion protein (RIP-F) and the nucleoprotein (RIP-N). The results showed significant associations between the ELISA titers and the amount of RIP-F as determined by radioimmunoprecipitation in children &lt;6 years old (rho = 0.804, P=0.0083) and in persons &gt;= 6 years old (rho=0.577, P = 0.0009). The correlation between the ELISA titer and the amount of RIP-N determined by radioimmunoprecipitation was not significant in persons &gt;= 6 years old (rho=0.417, P=0.0829), although this correlation was significant in children &lt;6 years old (rho=0.764, P=0.0137). The ELISA titer correlated with the amount of antibodies to the F protein, but not to the N protein. This whole virus-based ELISA will be useful for the diagnosis of hMPV infection in clinical laboratories and is also useful for the large-scale investigations, such as seroprevalence among residents of a particular region. (C) 2009 Elsevier B.V. All rights reserved.</t>
  </si>
  <si>
    <t xml:space="preserve">[Matsuzaki, Yoko] Yamagata Univ, Fac Med, Course Clin Nursing, Yamagata 9909585, Japan; [Okamoto, Michiko; Nishimura, Hidekazu] Sendai Med Ctr, Div Clin Res, Virus Res Ctr, Sendai, Miyagi 9838520, Japan; [Sugawara, Kanetsu; Takashita, Emi; Muraki, Yasushi; Hongo, Seiji] Yamagata Univ, Fac Med, Dept Infect Dis, Yamagata 9909585, Japan; [Takashita, Emi] Natl Inst Infect Dis, Influenza Virus Res Ctr, Tokyo 2080011, Japan; [Mizuta, Katsumi] Yamagata Prefectural Inst Publ Hlth, Yamagata 9900031, Japan; [Itagaki, Tsutomu] Yamanobe Pediat Clin, Yamagata 9900301, Japan</t>
  </si>
  <si>
    <t xml:space="preserve">Yamagata University; Yamagata University; National Institute of Infectious Diseases (NIID)</t>
  </si>
  <si>
    <t xml:space="preserve">Matsuzaki, Y (corresponding author), Yamagata Univ, Fac Med, Course Clin Nursing, Lida Nishi 2-2-2, Yamagata 9909585, Japan.</t>
  </si>
  <si>
    <t xml:space="preserve">Okamoto, Michiko/AAE-4373-2019</t>
  </si>
  <si>
    <t xml:space="preserve">Charitable Trust Laboratory Medicine Research Foundation of Japan; Molecular Epidemiological Study Utilizing the Regional Characteristics of the 21st-Century COE Program at Yamagata University</t>
  </si>
  <si>
    <t xml:space="preserve">This work was supported by the Charitable Trust Laboratory Medicine Research Foundation of Japan in 2006 and by the Molecular Epidemiological Study Utilizing the Regional Characteristics of the 21st-Century COE Program at Yamagata University.</t>
  </si>
  <si>
    <t xml:space="preserve">10.1016/j.jviromet.2009.11.019</t>
  </si>
  <si>
    <t xml:space="preserve">585JD</t>
  </si>
  <si>
    <t xml:space="preserve">WOS:000276820500005</t>
  </si>
  <si>
    <t xml:space="preserve">Jongbloed, M; Leijte, WT; Linssen, CFM; van den Hoogen, BG; van Gorp, ECM; de Kruif, MD</t>
  </si>
  <si>
    <t xml:space="preserve">Jongbloed, Mandy; Leijte, Wouter T.; Linssen, Catharina F. M.; van den Hoogen, Bernadette G.; van Gorp, Eric C. M.; de Kruif, Martijn D.</t>
  </si>
  <si>
    <t xml:space="preserve">Clinical impact of human metapneumovirus infections before and during the COVID-19 pandemic</t>
  </si>
  <si>
    <t xml:space="preserve">Human metapneumovirus; HMPV; COVID-19; severe acute respiratory syndrome coronavirus 2; hospitalization; mortality</t>
  </si>
  <si>
    <t xml:space="preserve">Background The first outbreak of coronavirus disease 2019 (COVID-19) occurred in March 2020 in Europe, which is normally the peak incidence period of human metapneumovirus (HMPV) infections, implying cocirculation and potentially causing competition between them. Methods We investigated differences in clinical characteristics and outcomes of HMPV infections in hospitalized patients before (January 2016-28 February, 2020) and HMPV and COVID-19 during part of the COVID-19 pandemic (28 February, 2020-1 April, 2020). Results A total of 239 HMPV patients and 303 COVID-19 patients were included. Incidence of HMPV peaked in March. Despite a 324% increase in HMPV testing during the COVID-19 outbreak, incidence of HMPV remained stable. Clinical characteristics showed 25 (11%) ICU admissions and 14 (6%) deaths. History of myocardial infarction, higher age and lower BMI were independently associated with increased 30-day mortality. Clinical characteristics of HMPV-infected patients did not differ between the non-COVID-19 period and the examined COVID-19 period except for length of hospital stay (7 vs. 5 days). HMPV infection and COVID-19 shared many clinical features but HMPV was associated with female gender, elderly patients and chronic conditions (COPD and chronic heart failure). Clinical outcomes did not differ between the viruses during the COVID-19 period. Conclusions The clinical impact of HMPV infection did not change during the COVID-19 outbreak in terms of incidence and/or disease severity; hence, HMPV and SARS-CoV-2 are probably co-circulating independently. Despite the current clinical focus on the COVID-19 pandemic, clinicians should keep in mind that HMPV-infection may mimic COVID-19 and is also associated with serious adverse outcomes.</t>
  </si>
  <si>
    <t xml:space="preserve">[Jongbloed, Mandy; Leijte, Wouter T.; de Kruif, Martijn D.] Zuyderland Hosp, Dept Pulmonol, Heerlen, Netherlands; [Jongbloed, Mandy] Maastricht Univ, Fac Hlth Med &amp; Life Sci, Maastricht, Netherlands; [Linssen, Catharina F. M.] Zuyderland Hosp, Dept Med Microbiol, Heerlen, Netherlands; [van den Hoogen, Bernadette G.; van Gorp, Eric C. M.] Erasmus MC Univ Med Ctr Rotterdam, Dept Virosci, Rotterdam, Netherlands; [van den Hoogen, Bernadette G.; van Gorp, Eric C. M.] Erasmus MC Univ Med Ctr Rotterdam, Dept Infect Dis, Rotterdam, Netherlands</t>
  </si>
  <si>
    <t xml:space="preserve">Maastricht University; Erasmus University Rotterdam; Erasmus MC; Erasmus University Rotterdam; Erasmus MC</t>
  </si>
  <si>
    <t xml:space="preserve">de Kruif, MD (corresponding author), Zuyderland Hosp, Dept Pulmonol, Heerlen, Netherlands.</t>
  </si>
  <si>
    <t xml:space="preserve">m.dekruif@zuyderland.nl</t>
  </si>
  <si>
    <t xml:space="preserve">de Kruif, Martijn/IQW-4591-2023</t>
  </si>
  <si>
    <t xml:space="preserve">van Gorp, Eric C.M./0000-0001-6415-6678; van den Hoogen, Bernadette/0000-0003-1996-8559; Jongbloed, Mandy/0000-0003-4686-9169</t>
  </si>
  <si>
    <t xml:space="preserve">JUL 3</t>
  </si>
  <si>
    <t xml:space="preserve">10.1080/23744235.2021.1887510</t>
  </si>
  <si>
    <t xml:space="preserve">SE8UL</t>
  </si>
  <si>
    <t xml:space="preserve">WOS:000620051100001</t>
  </si>
  <si>
    <t xml:space="preserve">Talaat, KR; Karron, RA; Thumar, B; McMahon, BA; Schmidt, AC; Collins, PL; Buchholz, UJ</t>
  </si>
  <si>
    <t xml:space="preserve">Talaat, Kawsar R.; Karron, Ruth A.; Thumar, Bhagvanji; McMahon, Bridget A.; Schmidt, Alexander C.; Collins, Peter L.; Buchholz, Ursula J.</t>
  </si>
  <si>
    <t xml:space="preserve">Experimental Infection of Adults With Recombinant Wild-Type Human Metapneumovirus</t>
  </si>
  <si>
    <t xml:space="preserve">human metapneumovirus; HMPV; challenge</t>
  </si>
  <si>
    <t xml:space="preserve">RESPIRATORY SYNCYTIAL VIRUS; PHASE-I TRIAL; HEALTHY-ADULTS; VACCINE CANDIDATE; YOUNG-CHILDREN; TRACT DISEASE; LIVE; INFLUENZA; INFANTS; SEROPREVALENCE</t>
  </si>
  <si>
    <t xml:space="preserve">Background. Human metapneumovirus (HMPV) causes lower respiratory tract infections in young children. rHMPV-SHs is a recombinant HMPV (rHMPV) based on a biologically derived wild-type HMPV strain. We characterized its infectivity and immunogenicity in healthy adults to determine whether it would be suitable for use as the parent virus for the development of live attenuated rHMPV vaccines. Methods. Twenty-one healthy adults were inoculated intranasally with 10(6) plaque-forming units of rHMPV-SHs. Respiratory symptoms and shedding of challenge virus were assessed. Neutralizing antibody responses, serum immunoglobulin G and A, and nasal wash specimen immunoglobulin A antibody responses to the HMPV F protein were also measured. Induction of nasal cytokines was assessed with electrochemiluminescence assays. Results. Nine subjects (43%) were infected with challenge virus as determined by virus detection and/or &gt;= 4-fold rise in serum antibody titers. Peak viral shedding occurred on days 7-9 after infection. Four weeks after inoculation, 35% of subjects had any antibody response. Six of 9 infected subjects had respiratory symptoms, and 3 had headache after inoculation. Cytokine patterns differed considerably between subjects with similar illness severity and viral shedding. Conclusions. The rHMPV-SHs virus is infectious and is a suitable parent virus for development of live-attenuated HMPV vaccine candidates. Clinical Trials Registration. NCT01109329.</t>
  </si>
  <si>
    <t xml:space="preserve">[Talaat, Kawsar R.; Karron, Ruth A.; Thumar, Bhagvanji; McMahon, Bridget A.] Johns Hopkins Bloomberg Sch Publ Hlth, Dept Int Hlth, Ctr Immunizat Res, Baltimore, MD USA; [Schmidt, Alexander C.; Collins, Peter L.; Buchholz, Ursula J.] NIAID, Infect Dis Lab, NIH, Bethesda, MD 20892 USA</t>
  </si>
  <si>
    <t xml:space="preserve">Johns Hopkins University; Johns Hopkins Bloomberg School of Public Health; National Institutes of Health (NIH) - USA; NIH National Institute of Allergy &amp; Infectious Diseases (NIAID)</t>
  </si>
  <si>
    <t xml:space="preserve">Talaat, KR (corresponding author), JHSPH, Ctr Immunizat Res, 624 N Broadway,Room 249, Baltimore, MD 21205 USA.</t>
  </si>
  <si>
    <t xml:space="preserve">ktalaat@jhsph.edu</t>
  </si>
  <si>
    <t xml:space="preserve">NIAID, (National Institutes of Health) [N01-AI-15444]; NIAID, the National Institutes of Health; MedImmune</t>
  </si>
  <si>
    <t xml:space="preserve">NIAID, (National Institutes of Health)(United States Department of Health &amp; Human ServicesNational Institutes of Health (NIH) - USANIH National Institute of Allergy &amp; Infectious Diseases (NIAID)); NIAID, the National Institutes of Health(United States Department of Health &amp; Human ServicesNational Institutes of Health (NIH) - USANIH National Institute of Allergy &amp; Infectious Diseases (NIAID)); MedImmune(AstraZenecaMedimmune)</t>
  </si>
  <si>
    <t xml:space="preserve">This research was supported in part by the Intramural Research Program of the NIAID, (National Institutes of Health contract N01-AI-15444) and a Collaborative Research and Development Agreement between NIAID, the National Institutes of Health, and MedImmune.</t>
  </si>
  <si>
    <t xml:space="preserve">10.1093/infdis/jit356</t>
  </si>
  <si>
    <t xml:space="preserve">244HI</t>
  </si>
  <si>
    <t xml:space="preserve">WOS:000326378000018</t>
  </si>
  <si>
    <t xml:space="preserve">O'Shaughnessy, L; Carr, M; Crowley, B; Carberry, S; Doyle, S</t>
  </si>
  <si>
    <t xml:space="preserve">O'Shaughnessy, Luke; Carr, Michael; Crowley, Brendan; Carberry, Stephen; Doyle, Sean</t>
  </si>
  <si>
    <t xml:space="preserve">Recombinant expression and immunological characterisation of proteins derived from human metapneumovirus</t>
  </si>
  <si>
    <t xml:space="preserve">Human metapneumovirus; HMPV; Baculovirus expression; HMPV recombinant antigens; ELISA and B cell ELISpot assay</t>
  </si>
  <si>
    <t xml:space="preserve">RESPIRATORY-TRACT INFECTIONS; LINKED-IMMUNOSORBENT-ASSAY; CELL TRANSPLANT RECIPIENTS; SYNCYTIAL VIRUS; FUSION PROTEIN; CHILDREN; DISEASE; ADULTS; IMMUNITY; REGION</t>
  </si>
  <si>
    <t xml:space="preserve">Background: Human metapneumovirus (HMPV) has been shown to cause respiratory infection, accounting for approximately 7% of all such disease, and contributes to the development of asthma in humans. HMPV has a worldwide distribution with infectivity rates approaching 100%, and immunocompromised patients are particularly at risk from viral exposure. No anti-HMPV vaccine is available and diagnosis is primarily based on in-house molecular or serological tests, in part due to limited availability of recombinant HMPV antigens. Objective: To generate a panel of HMPV-derived recombinant antigens, develop standardised ELISA systems for HMPV IgG detection and explore the nature of B cell memory against HMPV to underpin future vaccine studies. Study design: HMPV viral RNA was isolated from a clinical specimen and RT-PCR was conducted. The HMPV M and P genes were cloned and expressed in Escherichia coli. The HMPV N gene was cloned and expressed in insect cells using the baculovirus expression system. Each purified recombinant antigens was subsequently employed in HMPV-specific ELISA. Results: High-level expression, and purification, of both HMPV matrix (M) (10 mg/g cells) and phosphoprotein (P) (3.82 mg/g cells) were achieved in an E. coli expression system. Recombinant HMPV (N) was successfully expressed in, and purified from the baculovirus expression system. Overall, a 99% HMPV IgG seroprevalence was observed (n = 96) using HMPV M-, N- and P-ELISA, respectively. The M antigen proved to be the most diagnostically useful with 99% of specimens tested exhibiting anti-M protein reactivity. A high correlation was observed between anti-M and N IgG reactivity (r = 0.96), with significant correlation also evident for anti-N and P IgG reactivity (r = 0.74). Lowest correlation was evident for anti-M and P IgG reactivity (r = 0.57). Finally, the first demonstration of HMPV-specific B cell memory (ranging 1-15 spot forming cells (SFC)/million cells) was achieved against M and P antigens in 40% of individuals tested. Conclusion: This work describes robust diagnostic systems for HMPV and new insight into antigen-specific B cell memory against HMPV. (C) 2011 Elsevier B. V. All rights reserved.</t>
  </si>
  <si>
    <t xml:space="preserve">[O'Shaughnessy, Luke; Carberry, Stephen; Doyle, Sean] Natl Univ Ireland, Natl Inst Cellular Biotechnol, Dept Biol, Maynooth, Kildare, Ireland; [Carr, Michael; Crowley, Brendan] Univ Coll Dublin, Natl Virus Reference Lab, Dublin 4, Ireland; [Crowley, Brendan] St James Hosp, Mol Microbiol Virol Diagnost Lab, Dublin 8, Ireland</t>
  </si>
  <si>
    <t xml:space="preserve">Maynooth University; University College Dublin; Trinity College Dublin</t>
  </si>
  <si>
    <t xml:space="preserve">O'Shaughnessy, L (corresponding author), Natl Univ Ireland, Natl Inst Cellular Biotechnol, Dept Biol, Maynooth, Kildare, Ireland.</t>
  </si>
  <si>
    <t xml:space="preserve">luke.j.oshaughnessy@nuim.ie; sean.doyle@nuim.ie</t>
  </si>
  <si>
    <t xml:space="preserve">Carr, Michael/0000-0003-0011-6209; Doyle, Sean/0000-0003-1679-3247</t>
  </si>
  <si>
    <t xml:space="preserve">HEA</t>
  </si>
  <si>
    <t xml:space="preserve">The work was funded by the HEA-funded Programme for Research in Third Level Institutions (Cycles 3 &amp; 4). Mass spectrometry facilitates were supported by the Health Research Board.</t>
  </si>
  <si>
    <t xml:space="preserve">10.1016/j.jcv.2011.07.018</t>
  </si>
  <si>
    <t xml:space="preserve">WOS:000296556800015</t>
  </si>
  <si>
    <t xml:space="preserve">Groome, MJ; Moyes, J; Cohen, C; Walaza, S; Tempia, S; Pretorius, M; Hellferscee, O; Chhagan, M; Haffejee, S; Dawood, H; Kahn, K; Variava, E; Cohen, AL; von Gottberg, A; Wolter, N; Venter, M; Madhi, SA</t>
  </si>
  <si>
    <t xml:space="preserve">Groome, Michelle J.; Moyes, Jocelyn; Cohen, Cheryl; Walaza, Sibongile; Tempia, Stefano; Pretorius, Marthi; Hellferscee, Orienka; Chhagan, Meera; Haffejee, Sumayya; Dawood, Halima; Kahn, Kathleen; Variava, Ebrahim; Cohen, Adam L.; von Gottberg, Anne; Wolter, Nicole; Venter, Marietjie; Madhi, Shabir A.</t>
  </si>
  <si>
    <t xml:space="preserve">Human metapneumovirus-associated severe acute respiratory illness hospitalisation in HIV-infected and HIV-uninfected South African children and adults</t>
  </si>
  <si>
    <t xml:space="preserve">Human metapneumovirus; HIV; Lower respiratory tract infection</t>
  </si>
  <si>
    <t xml:space="preserve">TRACT INFECTIONS; SEVERE PNEUMONIA; SYNCYTIAL VIRUS; YOUNG; EPIDEMIOLOGY; AGE; PREVALENCE; FEATURES; INFANTS; DISEASE</t>
  </si>
  <si>
    <t xml:space="preserve">Background: Data on human metapneumovirus (HMPV)-associated severe acute respiratory illness (SARI) are limited in settings with high human immunodeficiency virus (HIV) infection prevalence. Objectives: To describe clinical characteristics and seasonality (all sites), and incidence (Soweto only) of HMPV-associated SARI among children and adults. Study design: Active, prospective, hospital-based, sentinel surveillance for patients hospitalised with SARI was conducted at four sites in South Africa from February 2009-December 2013. Upper respiratory tract samples were tested by multiplex real-time polymerase chain reaction assays for HMPV and other respiratory viruses. Incidence of hospitalisation, stratified by age and HIV-infection status, was calculated for one hospital with population denominators. Results: HMPV was identified in 4.1% of patients enrolled, including 5.6% (593/10503) in children and 1.7% in adults (&gt;= 18 years; 119/6934). The majority of adults (84.0%) had an underlying medical condition, including HIV infection in 87/110 (79.1%). HMPV detection occurred perennially with periods of increased detection, which varied from year to year. The incidence of HMPV-associated hospitalisation in Soweto was highest in infants (653.3 per 100,000 person years; 95% confidence interval (CI) 602.2-707.6). The incidence was higher in HIV-infected persons compared to HIV-uninfected persons in age-groups 5-17 years (RR 6.0; 1.1-20.4), 18-44 years (RR 67.6; 38.0-132.6) and 45-64 years (RR 5.3; 3.4-8.3), while not differing in other age-groups. Conclusions: The burden of HMPV-associated SARI hospitalisation among adults occurred predominantly in HIV-infected persons. Among children, infants were at highest risk, with similar burden of hospitalisation in HIV-infected and HIV-uninfected children. (C) 2015 Elsevier B.V. All rights reserved.</t>
  </si>
  <si>
    <t xml:space="preserve">[Groome, Michelle J.; Madhi, Shabir A.] Univ Witwatersrand, MRC, Resp &amp; Meningeal Pathogens Res Unit, ZA-2001 Johannesburg, South Africa; [Groome, Michelle J.; Madhi, Shabir A.] Univ Witwatersrand, Dept Sci &amp; Technol, Natl Res Fdn Vaccine Preventable Dis, ZA-2001 Johannesburg, South Africa; [Moyes, Jocelyn; Cohen, Cheryl; Walaza, Sibongile; Pretorius, Marthi; Hellferscee, Orienka; von Gottberg, Anne; Wolter, Nicole; Venter, Marietjie; Madhi, Shabir A.] Ctr Resp Dis &amp; Meningitis, Natl Inst Communicable Dis, Natl Hlth Lab Serv, Johannesburg, South Africa; [Moyes, Jocelyn; Walaza, Sibongile] Univ Witwatersrand, Fac Hlth Sci, Sch Publ Hlth, ZA-2001 Johannesburg, South Africa; [Tempia, Stefano; Cohen, Adam L.] Ctr Dis Control &amp; Prevent, Influenza Div, Atlanta, GA USA; [Tempia, Stefano; Cohen, Adam L.] Ctr Dis Control &amp; Prevent South Africa, Influenza Programme, Pretoria, South Africa; [Chhagan, Meera; Haffejee, Sumayya; Dawood, Halima] Univ KwaZulu Natal, Pietermaritzburg Hosp Complex, Pietermaritzburg, South Africa; [Haffejee, Sumayya] Univ KwaZulu Natal, Sch Pathol, Pietermaritzburg, South Africa; [Kahn, Kathleen] Univ Witwatersrand, Fac Hlth Sci, Sch Publ Hlth, MRC Wits Rural Publ Hlth &amp; Hlth Transit Res Unit, ZA-2001 Johannesburg, South Africa; [Kahn, Kathleen] Umea Univ, Ctr Global Hlth Res, Umea, Sweden; [Kahn, Kathleen] INDEPTH Network, Accra, Ghana; [Variava, Ebrahim] Klerksdorp Tshepong Hosp, Dept Med, Klerksdorp, South Africa; [Variava, Ebrahim] Univ Witwatersrand, Fac Hlth Sci, Dept Med, ZA-2001 Johannesburg, South Africa; [von Gottberg, Anne; Wolter, Nicole] Univ Witwatersrand, Sch Pathol, Fac Hlth Sci, ZA-2001 Johannesburg, South Africa</t>
  </si>
  <si>
    <t xml:space="preserve">University of Witwatersrand; University of Witwatersrand; National Research Foundation - South Africa; National Health Laboratory Service; National Institute for Communicable Diseases (NICD); University of Witwatersrand; Centers for Disease Control &amp; Prevention - USA; University of Kwazulu Natal; University of Kwazulu Natal; University of Witwatersrand; Umea University; INDEPTH Network; University of Witwatersrand; University of Witwatersrand</t>
  </si>
  <si>
    <t xml:space="preserve">Groome, MJ (corresponding author), Chris Hani Baragwanath Acad Hosp, MRC, Resp &amp; Meningeal Pathogens Res Unit, DST NRF Vaccine Preventable Dis,New Nurses Reside, 11th Floor West Wing,Chris Hani Rd, ZA-2013 Soweto, South Africa.</t>
  </si>
  <si>
    <t xml:space="preserve">groomem@rmpru.co.za</t>
  </si>
  <si>
    <t xml:space="preserve">Hellferscee, Orienka/AAN-6202-2020; Variava, Ebrahim/AAO-5717-2020; Groome, Michelle/AAI-9967-2021; Moyes, Jocelyn/AAF-7882-2019; Walaza, Sibongile/HKP-0810-2023; Dawood, Halima/AAF-6045-2020; Cohen, Cheryl/HKV-1000-2023; Venter, Marietjie/P-9604-2016</t>
  </si>
  <si>
    <t xml:space="preserve">Kahn, Kathleen/0000-0003-3339-3931; Cohen, Cheryl/0000-0003-0376-2302; Walaza, Sibongile/0000-0001-7588-2480; Venter, Marietjie/0000-0003-2696-824X; Madhi, Shabir/0000-0002-7629-0636; Wolter, Nicole/0000-0002-9526-0133; Variava, Ebrahim/0000-0003-2888-789X; Groome, Michelle/0000-0001-5893-3725; von Gottberg, Anne/0000-0002-0243-7455; Pretorius, Marthi/0000-0003-2163-6158</t>
  </si>
  <si>
    <t xml:space="preserve">National Institute for Communicable Diseases of the National Health Laboratory Service; United States Centers for Disease Control and Prevention (CDC), Atlanta; Georgia Preparedness and Response to Avian; Pandemic Influenza in South Africa [U51/IP000155-04]</t>
  </si>
  <si>
    <t xml:space="preserve">National Institute for Communicable Diseases of the National Health Laboratory Service; United States Centers for Disease Control and Prevention (CDC), Atlanta(United States Department of Health &amp; Human ServicesCenters for Disease Control &amp; Prevention - USACDC Intramural Centers for Disease Control and Prevention); Georgia Preparedness and Response to Avian; Pandemic Influenza in South Africa</t>
  </si>
  <si>
    <t xml:space="preserve">10.1016/j.jcv.2015.06.089</t>
  </si>
  <si>
    <t xml:space="preserve">Green Submitted, Green Accepted</t>
  </si>
  <si>
    <t xml:space="preserve">WOS:000358318400028</t>
  </si>
  <si>
    <t xml:space="preserve">Debiaggi, M; Canducci, F; Terulla, C; Sampaolo, M; Marinozzi, MC; Alessandrino, PE; Colombo, AA; Caldera, D; Bragotti, LZ; Migliavacca, R; Bianchi, E; Romero, E; Clementi, M</t>
  </si>
  <si>
    <t xml:space="preserve">Debiaggi, Maurizia; Canducci, Filippo; Terulla, Cristina; Sampaolo, Michela; Marinozzi, Maria Chiara; Alessandrino, Paolo Emilio; Colombo, Anna Amelia; Caldera, Daniela; Bragotti, Letizia Zenone; Migliavacca, Roberta; Bianchi, Emanuela; Romero, Egidio; Clementi, Massimo</t>
  </si>
  <si>
    <t xml:space="preserve">Long-term study on symptomless human metapneumovirus infection in hematopoietic stem cell transplant recipients</t>
  </si>
  <si>
    <t xml:space="preserve">human metapneumovirus; hematopoietic stem cell transplantation; acute respiratory disease</t>
  </si>
  <si>
    <t xml:space="preserve">OBSTRUCTIVE PULMONARY-DISEASE; RESPIRATORY-TRACT INFECTIONS; INFANTS; ADULTS</t>
  </si>
  <si>
    <t xml:space="preserve">From October 2004 through October 2006 a study was performed to evaluate the prevalence of human Metapneumovirus (hMPV) infection in adult hematopoietic stem cell transplant (HSCT) recipients. Sequential nasopharyngeal aspirates (NPA) were collected independently from respiratory symptoms and evaluated for hMPV-RNA by polymerase chain reaction (PCR) and sequence analysis. Results indicate epidemiological and molecular differences between the 2004-2005 and 2005-2006 periods and that hMPV seems not to symptomatically affect HSCT patients or cause late respiratory sequelae. In addition, data collected suggest a hospital origin of hMPV infection in most HSCT patients during the 2004-2005 period.</t>
  </si>
  <si>
    <t xml:space="preserve">Univ Pavia, Dipartimento Sci Morfol Eidol &amp; Clin, Sezione Microbiol, I-27100 Pavia, Italy; Ctr Trapianti Midollo Osseo, IRCCS San Matteo, Serv Analisi Microbiol, Pavia, Italy; IRCCS San Matteo, Ctr Trapianti Midollo Osseo, Pavia, Italy; Univ Vita Salute San Raffaele, IRCCS, Lab Microbiol &amp; Virol, Milan, Italy; Univ Vita Salute San Raffaele, Milan, Italy</t>
  </si>
  <si>
    <t xml:space="preserve">University of Pavia; IRCCS Fondazione San Matteo; IRCCS Fondazione San Matteo; Vita-Salute San Raffaele University; Vita-Salute San Raffaele University</t>
  </si>
  <si>
    <t xml:space="preserve">Debiaggi, M (corresponding author), Univ Pavia, Dipartimento Sci Morfol Eidol &amp; Clin, Sezione Microbiol, Via Brambilla 74, I-27100 Pavia, Italy.</t>
  </si>
  <si>
    <t xml:space="preserve">mdeb@unipv.it</t>
  </si>
  <si>
    <t xml:space="preserve">Clementi, Massimo/F-6646-2013; colombo, anna amelia/AAO-5394-2021; MIGLIAVACCA, ROBERTA/N-2589-2015</t>
  </si>
  <si>
    <t xml:space="preserve">colombo, anna amelia/0000-0003-3045-1198; Clementi, Massimo/0000-0002-7461-5898; Canducci, Filippo/0000-0002-5637-6205; MIGLIAVACCA, ROBERTA/0000-0002-1830-2539</t>
  </si>
  <si>
    <t xml:space="preserve">198WT</t>
  </si>
  <si>
    <t xml:space="preserve">WOS:000248658900009</t>
  </si>
  <si>
    <t xml:space="preserve">Seo, S; Gooley, TA; Kuypers, JM; Stednick, Z; Jerome, KR; Englund, JA; Boeckh, M</t>
  </si>
  <si>
    <t xml:space="preserve">Seo, Sachiko; Gooley, Ted A.; Kuypers, Jane M.; Stednick, Zachary; Jerome, Keith R.; Englund, Janet A.; Boeckh, Michael</t>
  </si>
  <si>
    <t xml:space="preserve">Human Metapneumovirus Infections Following Hematopoietic Cell Transplantation: Factors Associated With Disease Progression</t>
  </si>
  <si>
    <t xml:space="preserve">human metapneumovirus; hematopoietic cell transplantation; lower respiratory tract disease; progression</t>
  </si>
  <si>
    <t xml:space="preserve">RESPIRATORY SYNCYTIAL VIRUS; TRACT DISEASE; AEROSOLIZED RIBAVIRIN; INTRAVENOUS RIBAVIRIN; SCT RECIPIENTS; THERAPY; PNEUMONIA; EPIDEMIOLOGY; MORTALITY; OUTCOMES</t>
  </si>
  <si>
    <t xml:space="preserve">Background. Human metapneumovirus (HMPV) is a newly identified pulmonary pathogen that can cause fatal lower respiratory tract disease (LRD) in hematopoietic cell transplantation (HCT) recipients. Little is known about progression rates from upper respiratory tract infection (URI) to LRD and risk factors associated with progression. Methods. A total of 118 HCT recipients receiving transplantation between 2004 and 2014 who had HMPV detected in nasopharyngeal, bronchoalveolar lavage, or lung biopsy samples by real-time reverse transcription polymerase chain reaction were retrospectively analyzed. Results. More than 90% of the cases were identified between December and May. Among the 118 HCT patients, 88 and 30 had URI alone and LRD, respectively. Among 30 patients with LRD, 17 patients progressed from URI to LRD after a median of 7 days (range, 2-63 days). The probability of progression to LRD within 40 days after URI was 16%. In Cox regression analysis, steroid use &gt;= 1 mg/kg prior to URI diagnosis (hazard ratio [HR], 5.10; P = .004), low lymphocyte count (HR, 3.43; P = .011), and early onset of HMPV infection after HCT (before day 30 after HCT; HR, 3.54; P = .013) were associated with higher progression to LRD. The median viral load in nasal wash samples was 1.1 x 10(6) copies/mL (range, 3.3 x 10(2)-1.7 x 10(9)) with no correlation between the viral load and progression. Conclusions. Progression from URI to LRD occurred in up to 60% of HCT recipients with risk factors such as systemic corticosteroid use or low lymphocyte counts. Further studies are needed to define the role of viral load in the pathogenesis of progressive disease.</t>
  </si>
  <si>
    <t xml:space="preserve">[Seo, Sachiko; Kuypers, Jane M.; Stednick, Zachary; Jerome, Keith R.; Boeckh, Michael] Fred Hutchinson Canc Res Ctr, Vaccine &amp; Infect Dis Div, 1100 Fairview Ave N, Seattle, WA 98109 USA; [Seo, Sachiko] Natl Canc Res Ctr East, Dept Hematol &amp; Oncol, Chiba, Japan; [Gooley, Ted A.; Boeckh, Michael] Fred Hutchinson Canc Res Ctr, Div Clin Res, 1124 Columbia St, Seattle, WA 98104 USA; [Kuypers, Jane M.; Jerome, Keith R.] Univ Washington, Dept Lab Med, Seattle, WA 98195 USA; [Englund, Janet A.] Univ Washington, Dept Pediat, Seattle, WA 98195 USA; [Englund, Janet A.] Seattle Childrens Hosp, Pediat Infect Dis Div, Seattle, WA USA; [Boeckh, Michael] Univ Washington, Dept Med, Seattle, WA USA</t>
  </si>
  <si>
    <t xml:space="preserve">Fred Hutchinson Cancer Center; Fred Hutchinson Cancer Center; University of Washington; University of Washington Seattle; University of Washington; University of Washington Seattle; Seattle Children's Hospital; University of Washington; University of Washington Seattle</t>
  </si>
  <si>
    <t xml:space="preserve">Boeckh, M (corresponding author), Fred Hutchinson Canc Res Ctr, Vaccine &amp; Infect Dis Div, 1100 Fairview Ave N, Seattle, WA 98109 USA.</t>
  </si>
  <si>
    <t xml:space="preserve">mboeckh@fredhutch.org</t>
  </si>
  <si>
    <t xml:space="preserve">Boeckh, Michael/AAA-1607-2022; Englund, Janet/ABV-6379-2022</t>
  </si>
  <si>
    <t xml:space="preserve">National Institutes of Health [K24HL093294]; Joel Meyers Endowment Scholarship; Grants-in-Aid for Scientific Research [15K09591] Funding Source: KAKEN</t>
  </si>
  <si>
    <t xml:space="preserve">National Institutes of Health(United States Department of Health &amp; Human ServicesNational Institutes of Health (NIH) - USA); Joel Meyers Endowment Scholarship; Grants-in-Aid for Scientific Research(Ministry of Education, Culture, Sports, Science and Technology, Japan (MEXT)Japan Society for the Promotion of ScienceGrants-in-Aid for Scientific Research (KAKENHI))</t>
  </si>
  <si>
    <t xml:space="preserve">This work was supported by the National Institutes of Health (grant number K24HL093294). S. S. is a recipient of the Joel Meyers Endowment Scholarship.</t>
  </si>
  <si>
    <t xml:space="preserve">10.1093/cid/ciw284</t>
  </si>
  <si>
    <t xml:space="preserve">DT1FT</t>
  </si>
  <si>
    <t xml:space="preserve">WOS:000381227800010</t>
  </si>
  <si>
    <t xml:space="preserve">Parida, P; Sudheesh, N; Sanjay, ER; Jagadesh, A; Marate, S; Govindakaranavar, A</t>
  </si>
  <si>
    <t xml:space="preserve">Parida, Preetiparna; Sudheesh, N.; Sanjay, E. R.; Jagadesh, Anitha; Marate, Srilatha; Govindakaranavar, Arunkumar</t>
  </si>
  <si>
    <t xml:space="preserve">The emergence of human metapneumovirus G gene duplication in hospitalized patients with respiratory tract infection, India, 2016-2018</t>
  </si>
  <si>
    <t xml:space="preserve">Human metapneumovirus; Genotyping; A2c sub-lineage; Glycoprotein (G)</t>
  </si>
  <si>
    <t xml:space="preserve">MOLECULAR EPIDEMIOLOGY; SYNCYTIAL VIRUS; CHILDREN; YOUNG; INFLUENZA</t>
  </si>
  <si>
    <t xml:space="preserve">Background Human metapneumovirus (HMPV) belongs to the family Pneumoviridae. It is one of the emerging respiratory viruses causing both upper and lower respiratory tract illnesses. HMPV has two genotypes: A and B. These genotypes are classified into lineage A1, A2, B1 and B2. Lineage-A2 is further classified as A2a, A2b and A2c. Similarly, B2 is classified as B2a and B2b. Studies have shown the circulation of A2b, B1 and B2 lineages in India. However, a limited amount of data is available on the current circulating genotypes of HMPV in India. Methods Throat swab samples positive for HMPV by real-time RT- PCR, archived at Manipal Institute of Virology as a part of a hospital-based acute febrile illness surveillance study, was used from April 2016 to August 2018 by purposive sampling method. We performed the conventional reverse transcriptase-polymerase chain reaction for twenty samples targeting the G gene and then subjected them to sequencing. Phylogenetic analysis was done using MEGA X software by the Maximum Likelihood method. Results All the twenty sequences belonged to the A2c subgroup. Phylogenetic analysis showed that strains from the study have genetic relation with circulating strains in Japan, China and Croatia. Seven out of the twenty sequences showed 180-nucleotide duplication and eleven sequences showed 111-nucleotide duplication. Two sequences did not show any duplications. Conclusion In the current study, we report that A2c is the sub-lineage in India from April 2016 to August 2018. This study is the first retrospective study reporting the circulation of the A2c sub-lineage among adults in India with 180- and 111-nucleotide duplications in the G gene of human metapneumovirus.</t>
  </si>
  <si>
    <t xml:space="preserve">[Parida, Preetiparna; Sudheesh, N.; Sanjay, E. R.; Jagadesh, Anitha; Marate, Srilatha; Govindakaranavar, Arunkumar] Manipal Acad Higher Educ MAHE, Manipal Inst Virol MIV, Manipal 576104, Karnataka, India; [Govindakaranavar, Arunkumar] 2-49 Vaikathu,Maratithota Rd,Athradi PO, Udupi 576107, Karnataka, India</t>
  </si>
  <si>
    <t xml:space="preserve">Manipal Academy of Higher Education (MAHE)</t>
  </si>
  <si>
    <t xml:space="preserve">Sudheesh, N; Govindakaranavar, A (corresponding author), Manipal Acad Higher Educ MAHE, Manipal Inst Virol MIV, Manipal 576104, Karnataka, India.;Govindakaranavar, A (corresponding author), 2-49 Vaikathu,Maratithota Rd,Athradi PO, Udupi 576107, Karnataka, India.</t>
  </si>
  <si>
    <t xml:space="preserve">sudheesh.n@manipal.edu; arunviro@gmail.com</t>
  </si>
  <si>
    <t xml:space="preserve">Arunkumar, Govindakarnavar/Q-7517-2019</t>
  </si>
  <si>
    <t xml:space="preserve">N, SUDHEESH/0000-0002-3540-2865; Arunkumar, Govindakarnavar/0000-0002-3114-0415; Parida, Preetiparna/0009-0001-6144-185X</t>
  </si>
  <si>
    <t xml:space="preserve">Manipal Academy of Higher Education, Manipal; Indian Council of Medical Research, Department of Health and Family Welfare, Government of India [5/8/7/15/2010/ECD-I]</t>
  </si>
  <si>
    <t xml:space="preserve">Manipal Academy of Higher Education, Manipal; Indian Council of Medical Research, Department of Health and Family Welfare, Government of India</t>
  </si>
  <si>
    <t xml:space="preserve">Open access funding provided by Manipal Academy of Higher Education, Manipal. This study was supported by the Indian Council of Medical Research, Department of Health and Family Welfare, Government of India for the Virus Research and Diagnostics Laboratories (File no. 5/8/7/15/2010/ECD-I) to Govindakarnavar Arunkumar.</t>
  </si>
  <si>
    <t xml:space="preserve">10.1007/s11033-022-08092-8</t>
  </si>
  <si>
    <t xml:space="preserve">NOV 2022</t>
  </si>
  <si>
    <t xml:space="preserve">A5YI7</t>
  </si>
  <si>
    <t xml:space="preserve">WOS:000885751100004</t>
  </si>
  <si>
    <t xml:space="preserve">Pitoiset, C; Darniot, M; Huet, F; Aho, SL; Pothier, P; Manoha, C</t>
  </si>
  <si>
    <t xml:space="preserve">Pitoiset, Cecile; Darniot, Magali; Huet, Frederic; Aho, Serge-Ludwig; Pothier, Pierre; Manoha, Catherine</t>
  </si>
  <si>
    <t xml:space="preserve">Human Metapneumovirus Genotypes and Severity of Disease in Young Children (n=100) During a 7-Year Study in Dijon Hospital, France</t>
  </si>
  <si>
    <t xml:space="preserve">human metapneumovirus; genotype; disease; severity; X-ray</t>
  </si>
  <si>
    <t xml:space="preserve">RESPIRATORY-SYNCYTIAL-VIRUS; CELL TRANSPLANT RECIPIENT; GENETIC-VARIABILITY; CLINICAL-FEATURES; INFECTION; DIVERSITY; SYMPTOMS; INFANTS; ADULTS; ASSAY</t>
  </si>
  <si>
    <t xml:space="preserve">Human metapneumovirus is a cause of respiratory tract infections at all ages. Our objectives were to analyze the distribution of the A and B genotypes over 7 years in Dijon and to investigate a possible association between hMPV genotypes and disease severity. During 2002-2009, we genotyped the 100 isolates from children &lt;3 years old with hMPV. Phylogenetic analysis indicated a change in the distribution of hMPV genotype over the years. Severity was then measured by detailed clinical evaluation. The hospitalization rate was greater when genotype B was involved 72.5% versus 53.3% (P = 0.054). Those infected with genotype B tended to have a higher clinical score, as measured by Vicente et al. [2006] (P = 0.07). We showed that, although clinical severity is not clearly associated with hMPV genotype in this study, pathological signs on chest X-ray were observed more often in B subgroup (P &lt; 0.01). J. Med. Virol. 82:1782-1789, 2010. (C) 2010 Wiley-Liss, Inc.</t>
  </si>
  <si>
    <t xml:space="preserve">[Pitoiset, Cecile; Darniot, Magali; Pothier, Pierre; Manoha, Catherine] Ctr Hosp Univ, Virol Lab, F-21070 Dijon, France; [Huet, Frederic] Ctr Hosp Univ, Serv Pediat, F-21070 Dijon, France; [Aho, Serge-Ludwig] Ctr Hosp Univ, Serv Epidemiol &amp; Hyg Hosp, F-21070 Dijon, France</t>
  </si>
  <si>
    <t xml:space="preserve">CHU Dijon Bourgogne; CHU Dijon Bourgogne; CHU Dijon Bourgogne</t>
  </si>
  <si>
    <t xml:space="preserve">Manoha, C (corresponding author), Ctr Hosp Univ, Virol Lab, 2 Rue Angelique Ducoudray,BP 37013, F-21070 Dijon, France.</t>
  </si>
  <si>
    <t xml:space="preserve">Serge, Aho/AAP-8863-2021; Manoha, Catherine/AAP-4178-2021</t>
  </si>
  <si>
    <t xml:space="preserve">Frederic, HUET/0000-0002-4510-7093; Manoha, Catherine/0000-0003-3934-6132; Ludwig Serge, Aho Glele/0000-0001-7590-8644</t>
  </si>
  <si>
    <t xml:space="preserve">Centre Hospitalier Universitaire of Dijon</t>
  </si>
  <si>
    <t xml:space="preserve">Grant sponsor: Centre Hospitalier Universitaire of Dijon.</t>
  </si>
  <si>
    <t xml:space="preserve">10.1002/jmv.21884</t>
  </si>
  <si>
    <t xml:space="preserve">WOS:000281081000021</t>
  </si>
  <si>
    <t xml:space="preserve">Lim, YK; Kweon, OJ; Kim, HR; Kim, TH; Lee, MK</t>
  </si>
  <si>
    <t xml:space="preserve">Lim, Yong Kwan; Kweon, Oh Joo; Kim, Hye Ryoun; Kim, Tae-Hyoung; Lee, Mi-Kyung</t>
  </si>
  <si>
    <t xml:space="preserve">Clinical Features, Epidemiology, and Climatic Impact of Genotype-specific Human Metapneumovirus Infections: Long-term Surveillance of Hospitalized Patients in South Korea</t>
  </si>
  <si>
    <t xml:space="preserve">human metapneumovirus; genotype; acute respiratory tract infection; epidemiology; meteorological factors</t>
  </si>
  <si>
    <t xml:space="preserve">SEASONAL DISTRIBUTION; GENETIC DIVERSITY; CHILDREN; VARIABILITY</t>
  </si>
  <si>
    <t xml:space="preserve">Background. Human metapneumovirus (hMPV) commonly causes upper and lower respiratory tract infections. Here, we performed long-term retrospective surveillance of hMPV infection among patients hospitalized in South Korea between 2007 and 2016 and investigated seasonal dynamics and clinical characteristics associated with each virus subtype/genotype. Methods. Patient specimens were tested for hMPV and other respiratory viruses by commercial molecular assays. Medical records of hMPV-positive patients were reviewed, and hMPV subtype/genotype analysis was performed. We also collected meteorological data and analyzed relationships with hMPV activity. Results. Of 23 694 specimens, 1275 (5.4%) were positive; among them, 94.0% were classified into 5 subtypes (A1, A2a, A2b, B1, and B2). Some clinical manifestations differed according to hMPV genotype; however, there was no correlation between hMPV subtype and clinical outcome. Viral activity peaked at 13-20 weeks (April and May) and was associated with climate-specific factors, including temperature, relative humidity, diurnal temperature variation, wind speed, and sunshine duration. Conclusions. This large-scale, 10-year study provides valuable information about the clinical characteristics associated with hMPV subtypes and climate factors contributing to virus transmission.</t>
  </si>
  <si>
    <t xml:space="preserve">[Lim, Yong Kwan] Armed Forces Capital Hosp, Dept Lab Med, Gyeonggi Do, South Korea; [Lim, Yong Kwan; Kweon, Oh Joo; Kim, Hye Ryoun; Lee, Mi-Kyung] Chung Ang Univ, Coll Med, Dept Lab Med, Houkseok Ro 102, Seoul 06973, South Korea; [Kim, Tae-Hyoung] Chung Ang Univ, Coll Med, Dept Urol, Seoul, South Korea</t>
  </si>
  <si>
    <t xml:space="preserve">Lee, MK (corresponding author), Chung Ang Univ, Coll Med, Dept Lab Med, Houkseok Ro 102, Seoul 06973, South Korea.</t>
  </si>
  <si>
    <t xml:space="preserve">Kim, Han/C-4709-2011; Lim, Yong Kwan/AAD-9243-2022</t>
  </si>
  <si>
    <t xml:space="preserve">Lim, Yong Kwan/0000-0002-4300-8964; Kweon, Oh Joo/0000-0003-4751-7384</t>
  </si>
  <si>
    <t xml:space="preserve">Basic Science Research Program through the National Research Foundation of Korea (NRF) - Ministry of Education [NRF-2015R1D1A1A01058906]</t>
  </si>
  <si>
    <t xml:space="preserve">This research was supported by the Basic Science Research Program through the National Research Foundation of Korea (NRF), funded by the Ministry of Education (grant number NRF-2015R1D1A1A01058906).</t>
  </si>
  <si>
    <t xml:space="preserve">10.1093/cid/ciz697</t>
  </si>
  <si>
    <t xml:space="preserve">MO4RV</t>
  </si>
  <si>
    <t xml:space="preserve">WOS:000551516200040</t>
  </si>
  <si>
    <t xml:space="preserve">Zeng, SZ; Xiao, NG; Zhong, LL; Yu, T; Zhang, B; Duan, ZJ</t>
  </si>
  <si>
    <t xml:space="preserve">Zeng, Sai-Zhen; Xiao, Ni-Guang; Zhong, Li-Li; Yu, Tian; Zhang, Bing; Duan, Zhao-Jun</t>
  </si>
  <si>
    <t xml:space="preserve">Clinical features of human metapneumovirus genotypes in children with acute lower respiratory tract infection in Changsha, China</t>
  </si>
  <si>
    <t xml:space="preserve">human metapneumovirus; genotype; acute lower respiratory tract infections; clinical feature; children</t>
  </si>
  <si>
    <t xml:space="preserve">YOUNG-CHILDREN; HOSPITALIZED CHILDREN; DISEASE; VARIABILITY; PREVALENCE; SEVERITY; VIRUSES; IMPACT</t>
  </si>
  <si>
    <t xml:space="preserve">To explore the epidemiological and clinical features of different human metapneumovirus (hMPV) genotypes in hospitalized children. Reverse transcription polymerase chain reaction (RT-PCR) or PCR was employed to screen for both hMPV and other common respiratory viruses in 2613 nasopharyngeal aspirate specimens collected from children with lower respiratory tract infections from September 2007 to February 2011 (a period of 3.5 years). The demographics and clinical presentations of patients infected with different genotypes of hMPV were compared. A total of 135 samples were positive for hMPV (positive detection rate: 5.2%). Co-infection with other viruses was observed in 45.9% (62/135) of cases, and human bocavirus was the most common additional respiratory virus. The most common symptoms included cough, fever, and wheezing. The M gene was sequenced for 135 isolates; of these, genotype A was identified in 72.6% (98/135) of patients, and genotype B was identified in 27.4% (37/135) of patients. The predominant genotype of hMPV changed over the 3.5-year study period from genotype A2b to A2b or B1 and then to predominantly B1. Most of clinical features were similar between patients infected with different hMPV genotypes. These results suggested that hMPV is an important viral pathogen in pediatric patients with acute lower respiratory tract infection in Changsha. The hMPV subtypes A2b and B1 were found to co-circulate. The different hMPV genotypes exhibit similar clinical characteristics. J. Med. Virol. 87:1839-1845, 2015. (c) 2015 Wiley Periodicals, Inc.</t>
  </si>
  <si>
    <t xml:space="preserve">[Zeng, Sai-Zhen; Xiao, Ni-Guang; Zhong, Li-Li; Yu, Tian; Zhang, Bing] Hunan Prov Peoples Hospital, Changsha 410005, Hunan, Peoples R China; [Zeng, Sai-Zhen; Duan, Zhao-Jun] China CDC, Natl Inst Viral Dis Control &amp; Prevent, Beijing, Peoples R China</t>
  </si>
  <si>
    <t xml:space="preserve">Zhang, B (corresponding author), Hunan Prov Peoples Hospital, 61 Jie Fang West Rd, Changsha 410005, Hunan, Peoples R China.</t>
  </si>
  <si>
    <t xml:space="preserve">zhangbing1959@aliyun.com</t>
  </si>
  <si>
    <t xml:space="preserve">Hunan Provincial Natural Science Foundation of China [07JJ5055]</t>
  </si>
  <si>
    <t xml:space="preserve">Hunan Provincial Natural Science Foundation of China(Natural Science Foundation of Hunan Province)</t>
  </si>
  <si>
    <t xml:space="preserve">Grant sponsor: Hunan Provincial Natural Science Foundation of China; Grant number: 07JJ5055.</t>
  </si>
  <si>
    <t xml:space="preserve">10.1002/jmv.24249</t>
  </si>
  <si>
    <t xml:space="preserve">CQ6PO</t>
  </si>
  <si>
    <t xml:space="preserve">WOS:000360726600005</t>
  </si>
  <si>
    <t xml:space="preserve">Chung, JY; Han, TH; Kim, SW; Hwang, ES</t>
  </si>
  <si>
    <t xml:space="preserve">Chung, Ju-Young; Han, Tae Hee; Kim, Sang Woo; Hwang, Eung-Soo</t>
  </si>
  <si>
    <t xml:space="preserve">Genotype variability of human metapneumovirus, South Korea</t>
  </si>
  <si>
    <t xml:space="preserve">human metapneumovirus; genetic variability; children</t>
  </si>
  <si>
    <t xml:space="preserve">GENETIC-VARIABILITY; CLINICAL-FEATURES; CHILDREN; INFECTIONS; DIVERSITY; RNA</t>
  </si>
  <si>
    <t xml:space="preserve">Human metapneumovirus (hMPV), a virus causing lower respiratory tract infections in children, is classified two major groups or genotypes of hMPV and recently existence of multiple lineages has been suggested. The purpose of this study was to examine the extent of genetic variation and circulation pattern of hMPV in Korea. Between January 2005 and April 2007, nasopharyngeal aspirates were collected from 1,214 children &lt;16 years of age hospitalized with acute respiratory tract infection at Sanggyepaik Hospital. Nasopharyngeal aspirates were tested for common respiratory pathogens using immunofluorescence or multiplex RT-PCR. RT-PCR was used to detect hMPV. The PCR products were purified and subsequently sequenced directly on both strands. hMPV was detected in 8.4% (102/1,214) of nasopharyngeal aspirates from children with acute respiratory tract infection. The 102 hMPV strains detected in this study were classified into two distinct F lineages, 87 strains belonged to genogroup A2 (A2a in 42, A2b in 45) and 15 strains to genogroup B. All hMPV subtypes except A1 co-circulated in Korean population. Although alternating predominance of hMPV subtypes from year to year could not be found, the changing predominance of sublineage A2a and A2b was demonstrated. J. Med. Virol. 80:902905, 2008. (C) 2008 Wiley-Liss, Inc.</t>
  </si>
  <si>
    <t xml:space="preserve">[Chung, Ju-Young; Kim, Sang Woo] Inje Univ, Sanggyepaik Hosp, Coll Med, Dept Pediat, Seoul, South Korea; [Han, Tae Hee] Inje Univ, Sanggyepaik Hosp, Coll Med, Lab Med, Seoul, South Korea; [Hwang, Eung-Soo] Seoul Natl Coll Med, Dept Microbiol &amp; Immunol, Seoul, South Korea</t>
  </si>
  <si>
    <t xml:space="preserve">Kim, SW (corresponding author), Inje Univ, Sanggyepaik Hosp, Coll Med, Dept Pediat, 761-1 Sanggye,7-Dong, Seoul, South Korea.</t>
  </si>
  <si>
    <t xml:space="preserve">Hwang, Eung Soo/0000-0001-9562-4577; HAN, TAE HEE/0000-0002-9063-4052</t>
  </si>
  <si>
    <t xml:space="preserve">10.1002/jmv.21129</t>
  </si>
  <si>
    <t xml:space="preserve">WOS:000254590200023</t>
  </si>
  <si>
    <t xml:space="preserve">Owor, BE; Masankwa, GN; Mwango, LC; Njeru, RW; Agoti, CN; Nokes, DJ</t>
  </si>
  <si>
    <t xml:space="preserve">Owor, Betty E.; Masankwa, Geoffrey N.; Mwango, Lilian C.; Njeru, Regina W.; Agoti, Charles N.; Nokes, D. James</t>
  </si>
  <si>
    <t xml:space="preserve">Human metapneumovirus epidemiological and evolutionary patterns in Coastal Kenya, 2007-11</t>
  </si>
  <si>
    <t xml:space="preserve">Human metapneumovirus; Genetic diversity; Respiratory virus; Kenya; Kilifi</t>
  </si>
  <si>
    <t xml:space="preserve">RESPIRATORY SYNCYTIAL VIRUS; GENETIC DIVERSITY; HOSPITALIZED CHILDREN; SURFACE GLYCOPROTEINS; SEVERE PNEUMONIA; INFECTIONS; VARIABILITY; YOUNG; ETIOLOGY; SEQUENCE</t>
  </si>
  <si>
    <t xml:space="preserve">Background: Human metapneumovirus (HMPV) is an important global cause of severe acute respiratory infections in young children and the elderly. The epidemiology of HMPV in sub-Saharan Africa is poorly described and factors that allow its recurrent epidemics in communities not understood. Methods: We undertook paediatric inpatient surveillance for HMPV in Kilifi County Hospital (KCH) of Coastal Kenya between 2007 and 2011. Nasopharyngeal samples collected from children aged 1 day-59 months admitted with severe or very severe pneumonia, were tested for HMPV using real-time polymerase chain reaction (RT-PCR). Partial nucleotide sequences of the attachment (G) and fusion (F) surface proteins of positive samples were determined and phylogenetically analyzed. Results: HMPV was detected in 4.8 % (160/3320) of children [73.8 % (118/160) of these less than one year of age], ranging between 2.9 and 8.8 % each year over the 5 years of study. HMPV infections were seasonal in occurrence, with cases predominant in the months of November through April. These months frequently coincided with low rainfall, high temperature and low relative humidity in the location. Phylogenetic analysis of partial F and G sequences revealed three subgroups of HMPV, A2 (74 %, 91/123), B1 (3.2 %, 4/123) and B2 (22.8 %, 28/123) in circulation, with subgroup A2 predominant in majority of the epidemic seasons. Comparison of G sequences (local and global) provided a greater phylogenetic resolution over comparison of F sequences and indicated presence of probable multiple G antigenic variants within the subgroups due to differences in amino acid sequence, encoded protein length and glycosylation patterns. Conclusion: The present study reveals HMPV is an important seasonal contributor to respiratory disease hospitalization in coastal Kenya, with an evolutionary pattern closely relating to that of respiratory syncytial virus.</t>
  </si>
  <si>
    <t xml:space="preserve">[Owor, Betty E.; Masankwa, Geoffrey N.; Mwango, Lilian C.; Njeru, Regina W.; Agoti, Charles N.; Nokes, D. James] KEMRI Ctr Geog Med Res Coast, Wellcome Trust Res Programme, Kenya Med Res Inst KEMRI, Kilifi, Kenya; [Agoti, Charles N.] Pwani Univ, Dept Biomed Sci, Kilifi, Kenya; [Nokes, D. James] Univ Warwick, Sch Life Sci, Coventry CV4 7AL, W Midlands, England; [Nokes, D. James] Univ Warwick, WIDER, Coventry CV4 7AL, W Midlands, England</t>
  </si>
  <si>
    <t xml:space="preserve">Owor, BE; Nokes, DJ (corresponding author), KEMRI Ctr Geog Med Res Coast, Wellcome Trust Res Programme, Kenya Med Res Inst KEMRI, Kilifi, Kenya.;Nokes, DJ (corresponding author), Univ Warwick, Sch Life Sci, Coventry CV4 7AL, W Midlands, England.;Nokes, DJ (corresponding author), Univ Warwick, WIDER, Coventry CV4 7AL, W Midlands, England.</t>
  </si>
  <si>
    <t xml:space="preserve">BOwor@kemri-wellcome.org; JNokes@kemri-wellcome.org</t>
  </si>
  <si>
    <t xml:space="preserve">Agoti, Charles Nyaigoti/KQL-9653-2024</t>
  </si>
  <si>
    <t xml:space="preserve">Agoti, Charles Nyaigoti/0000-0002-2160-567X; Nokes, James/0000-0001-5426-1984</t>
  </si>
  <si>
    <t xml:space="preserve">Wellcome Trust, UK [084633, 102975, 077092]</t>
  </si>
  <si>
    <t xml:space="preserve">Wellcome Trust, UK(Wellcome Trust)</t>
  </si>
  <si>
    <t xml:space="preserve">This study was supported by the Wellcome Trust, UK [084633, 102975, 077092].</t>
  </si>
  <si>
    <t xml:space="preserve">JUN 17</t>
  </si>
  <si>
    <t xml:space="preserve">10.1186/s12879-016-1605-0</t>
  </si>
  <si>
    <t xml:space="preserve">DO7GQ</t>
  </si>
  <si>
    <t xml:space="preserve">WOS:000377950800004</t>
  </si>
  <si>
    <t xml:space="preserve">Herfst, S; Schrauwen, EJA; de Graaf, M; van Amerongen, G; van den Hoogen, BG; de Swart, RL; Osterhaus, ADME; Fouchier, RAM</t>
  </si>
  <si>
    <t xml:space="preserve">Herfst, Sander; Schrauwen, Eefje J. A.; de Graaf, Miranda; van Amerongen, Geert; van den Hoogen, Bernadette G.; de Swart, Rik L.; Osterhaus, Albert D. M. E.; Fouchier, Ron A. M.</t>
  </si>
  <si>
    <t xml:space="preserve">Immunogenicity and efficacy of two candidate human metapneumovirus vaccines in cynomolgus macaques</t>
  </si>
  <si>
    <t xml:space="preserve">human metapneumovirus; fusion protein; subunit vaccine; live-attenuated vaccine; macaque</t>
  </si>
  <si>
    <t xml:space="preserve">RESPIRATORY SYNCYTIAL VIRUS; PURIFIED FUSION PROTEIN; COTTON RATS; PROTECTIVE IMMUNITY; SUBUNIT VACCINE; EXPERIMENTAL-INFECTION; INACTIVATED VIRUS; GENETIC LINEAGES; ATYPICAL MEASLES; IN-VITRO</t>
  </si>
  <si>
    <t xml:space="preserve">Human metapneumovirus (HMPV) is an important cause of acute respiratory tract disease for which the development of vaccine candidates is warranted. We have previously described the generation of an iscom matrix-adjuvanted HMPV fusion protein subunit vaccine (Fsol) and a live-attenuated vaccine (HMPVM11). Here, we evaluate the immunogenicity and efficacy of these vaccines in cynomolgus macaques. Immunization with Fsol induced HMPV F-specific antibody responses, virus neutralizing antibody titers, and cellular immune responses, but the induced humoral immune response waned rapidly over time. HMPVM11 was strongly attenuated and displayed limited immunogenicity, although immunization with this virus rimed for a good secondary HMPV-specific lymphoproliferative response after challenge infection. The duration of virus shedding in HMPVM11-immunized animals was reduced compared to sham-immunized animals. Both vaccines induced HMPV-specific immune responses, but the rapid waning of immunity is a challenging obstacle for vaccine development. (C) 2008 Elsevier Ltd. All rights reserved.</t>
  </si>
  <si>
    <t xml:space="preserve">[Herfst, Sander; Schrauwen, Eefje J. A.; de Graaf, Miranda; van Amerongen, Geert; van den Hoogen, Bernadette G.; de Swart, Rik L.; Osterhaus, Albert D. M. E.; Fouchier, Ron A. M.] Erasmus MC, Dept Virol, NL-3000 CA Rotterdam, Netherlands</t>
  </si>
  <si>
    <t xml:space="preserve">van den Hoogen, Bernadette/J-5461-2013; de Graaf, Miranda/K-1262-2018; Herfst, Sander/HZK-7555-2023; De Swart, Rik/E-6508-2011; Fouchier, Ron/A-1911-2014</t>
  </si>
  <si>
    <t xml:space="preserve">De Swart, Rik/0000-0003-3599-8969; Herfst, Sander/0000-0001-9866-8903; Fouchier, Ron/0000-0001-8095-2869; Osterhaus, Albert/0000-0002-6074-1172</t>
  </si>
  <si>
    <t xml:space="preserve">MedImmune Vaccines, Inc.</t>
  </si>
  <si>
    <t xml:space="preserve">We thank Robert Dias d'Ullois, Rory de Vries, Selma Yuksel and Leo Sprong for excellent technical assistance, Guus Rimmelzwaan for critical reading the manuscript, and MedImmune Vaccines, Inc., for providing the soluble HMPV F proteins and continuous support.</t>
  </si>
  <si>
    <t xml:space="preserve">10.1016/j.vaccine.2008.05.052</t>
  </si>
  <si>
    <t xml:space="preserve">338QO</t>
  </si>
  <si>
    <t xml:space="preserve">WOS:000258522800018</t>
  </si>
  <si>
    <t xml:space="preserve">van den Bergh, A; Bailly, B; Guillon, P; von Itzstein, M; Dirr, L</t>
  </si>
  <si>
    <t xml:space="preserve">van den Bergh, Annelies; Bailly, Benjamin; Guillon, Patrice; von Itzstein, Mark; Dirr, Larissa</t>
  </si>
  <si>
    <t xml:space="preserve">Novel insights into the host cell glycan binding profile of human metapneumovirus</t>
  </si>
  <si>
    <t xml:space="preserve">human metapneumovirus; fusion protein; host-pathogen interactions; glycointeractome; glycan; antiviral drug discovery</t>
  </si>
  <si>
    <t xml:space="preserve">RESPIRATORY SYNCYTIAL VIRUS; FUSION PROTEIN; TARGET-CELLS; INFECTION; GLYCOSAMINOGLYCANS; INHIBITION; LACKING; NMSO3; SH</t>
  </si>
  <si>
    <t xml:space="preserve">Numerous viruses have been found to exploit glycoconjugates expressed on human cells as their initial attachment factor for viral entry and infection. The virus-cell glycointeractome, when characterized, may serve as a template for antiviral drug design. Heparan sulfate proteoglycans extensively decorate the human cell surface and were previously described as a primary receptor for human metapneumovirus (HMPV). After respiratory syncytial virus, HMPV is the second most prevalent respiratory pathogen causing respiratory tract infection in young children. To date, there is neither vaccine nor drug available to prevent or treat HMPV infection. Using a multidisciplinary approach, we report for the first time the glycointeractome of the HMPV fusion (F) protein, a viral surface glycoprotein that is essential for target-cell recognition, attachment, and entry. Our glycan microarray and surface plasmon resonance results suggest that Gal beta 1-3/4GlcNAc moieties that may be sialylated or fucosylated are readily recognized by HMPV F. The bound motifs are highly similar to the N-linked and O-linked glycans primarily expressed on the human lung epithelium. We demonstrate that the identified glycans have the potential to compete with the cellular receptors used for HMPV entry and consequently block HMPV infection. We found that lacto-N-neotetraose demonstrated the strongest HMPV binding inhibition in a cell infection assay. Our current findings offer an encouraging and novel avenue for the design of anti-HMPV drug candidates using oligosaccharide templates.IMPORTANCEAll cells are decorated with a dense coat of sugars that makes a sugar code. Many respiratory viruses exploit this sugar code by binding to these sugars to cause infection. Human metapneumovirus is a leading cause for acute respiratory tract infections. Despite its medical importance, there is no vaccine or antiviral drug available to prevent or treat human metapneumovirus infection. This study investigates how human metapneumovirus binds to sugars in order to more efficiently infect the human host. We found that human metapneumovirus binds to a diverse range of sugars and demonstrated that these sugars can ultimately block viral infection. Understanding how viruses can take advantage of the sugar code on our cells could identify new intervention and treatment strategies to combat viral disease. All cells are decorated with a dense coat of sugars that makes a sugar code. Many respiratory viruses exploit this sugar code by binding to these sugars to cause infection. Human metapneumovirus is a leading cause for acute respiratory tract infections. Despite its medical importance, there is no vaccine or antiviral drug available to prevent or treat human metapneumovirus infection. This study investigates how human metapneumovirus binds to sugars in order to more efficiently infect the human host. We found that human metapneumovirus binds to a diverse range of sugars and demonstrated that these sugars can ultimately block viral infection. Understanding how viruses can take advantage of the sugar code on our cells could identify new intervention and treatment strategies to combat viral disease.</t>
  </si>
  <si>
    <t xml:space="preserve">[van den Bergh, Annelies; Bailly, Benjamin; Guillon, Patrice; von Itzstein, Mark; Dirr, Larissa] Griffith Univ, Inst Glyc, Griffith, Qld, Australia</t>
  </si>
  <si>
    <t xml:space="preserve">Griffith University</t>
  </si>
  <si>
    <t xml:space="preserve">Guillon, P; von Itzstein, M; Dirr, L (corresponding author), Griffith Univ, Inst Glyc, Griffith, Qld, Australia.</t>
  </si>
  <si>
    <t xml:space="preserve">p.guillon@griffith.edu.au; m.vonitzstein@griffith.edu.au; l.dirr@griffith.edu.au</t>
  </si>
  <si>
    <t xml:space="preserve">von Itzstein, Mark/E-4823-2010; Bailly, Benjamin/N-1509-2014; GUILLON, Patrice/J-2143-2016</t>
  </si>
  <si>
    <t xml:space="preserve">von Itzstein, Mark/0000-0001-6302-7524; GUILLON, Patrice/0000-0002-9639-183X; Dirr, Larissa/0000-0002-5794-266X</t>
  </si>
  <si>
    <t xml:space="preserve">DHAC | National Health and Medical Research Council (NHMRC)</t>
  </si>
  <si>
    <t xml:space="preserve">DHAC | National Health and Medical Research Council (NHMRC)(National Health &amp; Medical Research Council (NHMRC) of Australia)</t>
  </si>
  <si>
    <t xml:space="preserve">We thank the array facility, specifically Lauren Hartley-Tassel at the Institute for Glycomics, Griffith University, for her assistance in conducting the glycan array and SPR experiments.</t>
  </si>
  <si>
    <t xml:space="preserve">JUN 13</t>
  </si>
  <si>
    <t xml:space="preserve">10.1128/jvi.01641-23</t>
  </si>
  <si>
    <t xml:space="preserve">UX4R6</t>
  </si>
  <si>
    <t xml:space="preserve">WOS:001210908500002</t>
  </si>
  <si>
    <t xml:space="preserve">Dubois, J; Cavanagh, MH; Terrier, O; Hamelin, ME; Lina, B; Shi, R; Rosa-Calatrava, M; Boivin, G</t>
  </si>
  <si>
    <t xml:space="preserve">Dubois, Julia; Cavanagh, Marie-Helene; Terrier, Olivier; Hamelin, Marie-Eve; Lina, Bruno; Shi, Rong; Rosa-Calatrava, Manuel; Boivin, Guy</t>
  </si>
  <si>
    <t xml:space="preserve">Mutations in the fusion protein heptad repeat domains of human metapneumovirus impact on the formation of syncytia</t>
  </si>
  <si>
    <t xml:space="preserve">human metapneumovirus; fusion protein; heptad repeat; cell fusion</t>
  </si>
  <si>
    <t xml:space="preserve">VIRAL MEMBRANE-FUSION; PARAMYXOVIRUS FUSION; GENETIC DIVERSITY; F-PROTEIN; LOW-PH; F-2 SUBUNIT; VIRUS; RESIDUES; ENTRY; GLYCOPROTEIN</t>
  </si>
  <si>
    <t xml:space="preserve">Human metapneumovirus (HMPV) is an important cause of respiratory tract infections. The mechanism by which its fusion (F) protein is responsible for variable cytopathic effects in vitro remains unknown. We aligned the F sequences of the poorly fusogenic B2/CAN98-75 strain and the hyperfusogenic Al/C-85473 strain and identified divergent residues located in the two functional heptad repeats domains (HRA and HRB). We generated recombinant viruses by inserting the mutations N135T-6139N T143K-K166E-E167D in HRA and/or K479R-N4825 in HRB, corresponding to swapped sequences from C-85473, into CAN98-75 background and investigated their impact on in vitro phenotype and fusogenicity. We demonstrated that the five HRA mutations enhanced the fusogenicity of the recombinant rCAN98-75 virus, almost restoring the phenotype of the wild-type rC-85473 strain, whereas HRB substitutions alone had no significant effect on cell cell fusion. Altogether, our results support the importance of the HRA domain for an HMPV-triggered fusion mechanism and identify key residues that modulate syncytium formation.</t>
  </si>
  <si>
    <t xml:space="preserve">[Dubois, Julia; Cavanagh, Marie-Helene; Hamelin, Marie-Eve; Boivin, Guy] Ctr Hosp Univ Quebec, Ctr Rech Infectiol, Quebec City, PQ, Canada; [Dubois, Julia; Cavanagh, Marie-Helene; Hamelin, Marie-Eve; Boivin, Guy] Univ Laval, Quebec City, PQ, Canada; [Dubois, Julia; Terrier, Olivier; Lina, Bruno; Rosa-Calatrava, Manuel] Univ Claude Bernard Lyon 1, ENS Lyon, CNRS,Inserm U1111, Lab Virol &amp; Pathol Humaine Virpath Team,CIRI,UMR5, Lyon, France; [Lina, Bruno] Hosp Civils Lyon, Ctr Natl Reference Virus Influenzae France Sud, Lab Virol, Grp Hosp Nord, F-69317 Lyon, France; [Shi, Rong] Univ Laval, IBIS, Pavillon Charles Eugene Marchand, Quebec City, PQ, Canada; [Shi, Rong] Univ Laval, PROTEO, Dept Biochim Microbiol &amp; Bioinformat, Quebec City, PQ, Canada</t>
  </si>
  <si>
    <t xml:space="preserve">Laval University; Laval University; Institut National de la Sante et de la Recherche Medicale (Inserm); Centre National de la Recherche Scientifique (CNRS); Ecole Normale Superieure de Lyon (ENS de LYON); Universite Claude Bernard Lyon 1; CHU Lyon; Laval University; Laval University</t>
  </si>
  <si>
    <t xml:space="preserve">Boivin, G (corresponding author), Ctr Hosp Univ Quebec, Ctr Rech Infectiol, Quebec City, PQ, Canada.;Boivin, G (corresponding author), Univ Laval, Quebec City, PQ, Canada.</t>
  </si>
  <si>
    <t xml:space="preserve">guy.boivin@crchul.ulaval.ca</t>
  </si>
  <si>
    <t xml:space="preserve">Dubois, Julia/AAH-5914-2019; Rosa-calatrava, Manuel/M-7263-2014; lina, bruno/N-3663-2019; Shi, Rong/GQH-0934-2022; Terrier, Olivier/B-6301-2009</t>
  </si>
  <si>
    <t xml:space="preserve">Terrier, Olivier/0000-0001-9393-7684; lina, bruno/0000-0002-8959-2123; Dubois, Julia/0000-0002-9777-2968; Hamelin, Marie-Eve/0000-0002-7568-5097; Boivin, Guy/0000-0003-3027-4662; Rosa-calatrava, Manuel/0000-0002-7559-9527</t>
  </si>
  <si>
    <t xml:space="preserve">Canadian Institutes of Health Research [273261]; Universite Claude Bernard Lyon 1, Lyon, France; Region Auvergne-Rhone-Alpes (grant CMIRA ExploRA'DOC); Consulat General de France a Quebec (Programme Frontenac)</t>
  </si>
  <si>
    <t xml:space="preserve">Canadian Institutes of Health Research(Canadian Institutes of Health Research (CIHR)); Universite Claude Bernard Lyon 1, Lyon, France; Region Auvergne-Rhone-Alpes (grant CMIRA ExploRA'DOC); Consulat General de France a Quebec (Programme Frontenac)</t>
  </si>
  <si>
    <t xml:space="preserve">This study was supported by a grant from the Canadian Institutes of Health Research (to G. B.; no. 273261) and the Universite Claude Bernard Lyon 1, Lyon, France. J. D. received support from the Region Auvergne-Rhone-Alpes (grant CMIRA ExploRA'DOC) and the Consulat General de France a Quebec (Programme Frontenac).</t>
  </si>
  <si>
    <t xml:space="preserve">10.1099/jgv.0.000796</t>
  </si>
  <si>
    <t xml:space="preserve">FG3EZ</t>
  </si>
  <si>
    <t xml:space="preserve">WOS:000410020900006</t>
  </si>
  <si>
    <t xml:space="preserve">Van Den Bergh, A; Bailly, B; Guillon, P; von Itzstein, M; Dirr, L</t>
  </si>
  <si>
    <t xml:space="preserve">Van Den Bergh, Annelies; Bailly, Benjamin; Guillon, Patrice; von Itzstein, Mark; Dirr, Larissa</t>
  </si>
  <si>
    <t xml:space="preserve">Antiviral strategies against human metapneumovirus: Targeting the fusion protein</t>
  </si>
  <si>
    <t xml:space="preserve">Human metapneumovirus; Fusion protein; Drug discovery; Inhibitor design</t>
  </si>
  <si>
    <t xml:space="preserve">RESPIRATORY SYNCYTIAL VIRUS; COLI POLYSACCHARIDE DERIVATIVES; IN-VITRO; MEMBRANE-FUSION; DC-SIGN; POTENT INHIBITORS; FAVIPIRAVIR T-705; F-PROTEIN; INFECTION; BINDING</t>
  </si>
  <si>
    <t xml:space="preserve">Human metapneumoviruses have emerged in the past decades as an important global pathogen that causes severe upper and lower respiratory tract infections. Children under the age of 2, the elderly and immunocompromised individuals are more susceptible to HMPV infection than the general population due to their suboptimal immune system. Despite the recent discovery of HMPV as a novel important respiratory virus, reports have rapidly described its epidemiology, biology, and pathogenesis. However, progress is still to be made in the development of vaccines and drugs against HMPV infection as none are currently available. Herein, we discuss the importance of HMPV and review the reported strategies for anti-HMPV drug candidates. We also present the fusion protein as a promising antiviral drug target due to its multiple roles in the HMPV lifecycle. This key viral protein has previously been targeted by a range of inhibitors, which will be discussed as they represent opportunities for future drug design.</t>
  </si>
  <si>
    <t xml:space="preserve">[Van Den Bergh, Annelies; Bailly, Benjamin; Guillon, Patrice; von Itzstein, Mark; Dirr, Larissa] Griffith Univ, Inst Glyc, Gold Coast, Qld 4222, Australia</t>
  </si>
  <si>
    <t xml:space="preserve">von Itzstein, M; Dirr, L (corresponding author), Griffith Univ, Inst Glyc, Gold Coast, Qld 4222, Australia.</t>
  </si>
  <si>
    <t xml:space="preserve">m.vonitzstein@griffith.edu.au; l.dirr@griffith.edu.au</t>
  </si>
  <si>
    <t xml:space="preserve">von Itzstein, Mark/E-4823-2010; GUILLON, Patrice/J-2143-2016; Bailly, Benjamin/N-1509-2014</t>
  </si>
  <si>
    <t xml:space="preserve">Dirr, Larissa/0000-0002-5794-266X</t>
  </si>
  <si>
    <t xml:space="preserve">Griffith University Postgraduate Research Scholarship; National Health and Medical Research Council (NHMRC) Early Career Fellowship; National Health and Medical Research Council, Australia [ID1196520, ID2009677]</t>
  </si>
  <si>
    <t xml:space="preserve">Griffith University Postgraduate Research Scholarship(Griffith University - Gold Coast Campus); National Health and Medical Research Council (NHMRC) Early Career Fellowship(National Health &amp; Medical Research Council (NHMRC) of Australia); National Health and Medical Research Council, Australia(National Health &amp; Medical Research Council (NHMRC) of Australia)</t>
  </si>
  <si>
    <t xml:space="preserve">We thank Griffith University Postgraduate Research Scholarship (A. V.D.B.) and The National Health and Medical Research Council (NHMRC) Early Career Fellowship (L.D.) for the funding of this work. We gratefully acknowledge funding from the National Health and Medical Research Council, Australia (ID1196520 and ID2009677).</t>
  </si>
  <si>
    <t xml:space="preserve">10.1016/j.antiviral.2022.105405</t>
  </si>
  <si>
    <t xml:space="preserve">4Z9CV</t>
  </si>
  <si>
    <t xml:space="preserve">WOS:000862498100003</t>
  </si>
  <si>
    <t xml:space="preserve">Papenburg, J; Carbonneau, J; Isabel, S; Bergeron, MG; Williams, JV; De Serres, G; Hamelin, MÉ; Boivin, G</t>
  </si>
  <si>
    <t xml:space="preserve">Papenburg, Jesse; Carbonneau, Julie; Isabel, Sandra; Bergeron, Michel G.; Williams, John V.; De Serres, Gaston; Hamelin, Marie-Eve; Boivin, Guy</t>
  </si>
  <si>
    <t xml:space="preserve">Genetic diversity and molecular evolution of the major human metapneumovirus surface glycoproteins over a decade</t>
  </si>
  <si>
    <t xml:space="preserve">Human metapneumovirus; Fusion (F) protein; Attachment (G) protein; Phylogeny; Genetic selection</t>
  </si>
  <si>
    <t xml:space="preserve">RESPIRATORY SYNCYTIAL VIRUS; G-PROTEIN; PHYLOGENETIC ANALYSIS; FUSION PROTEIN; INFECTION; CHILDREN; SEQUENCE; IDENTIFICATION; VARIABILITY; ALIGNMENT</t>
  </si>
  <si>
    <t xml:space="preserve">Background: Human metapneumovirus (HMPV) is a recently discovered paramyxovirus that is a major cause of respiratory infections worldwide. Objectives: We aim to describe the molecular evolution of the HMPV F (fusion) and G (attachment) surface glycoproteins because they are targets for vaccines, monoclonal antibodies and antivirals currently in development. Study setting: Nasopharyngeal aspirates were collected in children &lt;3 years old with acute respiratory infection in Quebec City during 2001-2010. HMPV-positive samples (n = 163) underwent HMPV-F and -G gene sequencing. Furthermore, HMPV-F (n = 124) and -G (n = 217) sequences were obtained from GenBank and other studies. Evolutionary analyses (phylogenetic reconstruction, sequence identity, detection of recombination and adaptive evolution) were computed. Results: Sequences clustered into 5 genetic lineages (A1, A2a, A2b, B1 and B2). Multiple lineages circulated each year in Quebec City. With the exception of B1, each of the 5 subgroups was the predominant lineage during &gt;= 1 season. The A1 lineage was not detected since 2002-2003 in our local cohort. There was no evidence of inter- or intragenic recombination. HMPV-F was highly conserved, whereas HMPV-G exhibited greater diversity. HMPV-F demonstrated strong evidence of purifying selection, both overall and in an abundance of negatively selected amino acid sites. In contrast, sites under diversifying selection were detected in all HMPV-G lineages (range, 4-15), all of which were located in the ectodomain. Conclusions: Predominant circulating HMPV lineages vary by year. HMPV-F is highly constrained and undergoes significant purifying selection. Given its high genetic variability, we found a modest number of positively selected sites in HMPV-G. (C) 2013 Elsevier B. V. All rights reserved.</t>
  </si>
  <si>
    <t xml:space="preserve">[Papenburg, Jesse; Carbonneau, Julie; Isabel, Sandra; Bergeron, Michel G.; Hamelin, Marie-Eve; Boivin, Guy] Univ Laval, Ctr Rech Infectiol, Quebec City, PQ, Canada; [Papenburg, Jesse; Carbonneau, Julie; Isabel, Sandra; Bergeron, Michel G.; Hamelin, Marie-Eve; Boivin, Guy] CHUQ, Quebec City, PQ, Canada; [Papenburg, Jesse] McGill Univ, Montreal Childrens Hosp, Ctr Hlth, Montreal, PQ H3H 1P3, Canada; [Williams, John V.] Vanderbilt Univ, Sch Med, Dept Pediat, Nashville, TN 37212 USA; [Williams, John V.] Vanderbilt Univ, Sch Med, Dept Pathol Microbiol &amp; Immunol, Nashville, TN 37212 USA; [De Serres, Gaston] Inst Natl Sante Publ Quebec, Quebec City, PQ, Canada</t>
  </si>
  <si>
    <t xml:space="preserve">Laval University; Laval University; McGill University; Vanderbilt University; Vanderbilt University; Institut national de sante publique du Quebec (INSPQ)</t>
  </si>
  <si>
    <t xml:space="preserve">Boivin, G (corresponding author), CHU Laval, Room RC 709,2705 Blvd Laurier, Quebec City, PQ G1V 4G2, Canada.</t>
  </si>
  <si>
    <t xml:space="preserve">Williams, John/ABE-3227-2020; Papenburg, Jesse/I-7847-2019; Williams, John/F-6962-2010</t>
  </si>
  <si>
    <t xml:space="preserve">Isabel, Sandra/0000-0001-7277-4150; Bergeron, Michel G./0000-0002-0939-4435; Papenburg, Jesse/0000-0003-4232-871X; Williams, John/0000-0001-8377-5175; Boivin, Guy/0000-0003-3027-4662</t>
  </si>
  <si>
    <t xml:space="preserve">Canadian Institutes of Health Research [151504]; MedImmune Inc.; Royal College of Physicians and Surgeons Canada; Association for Medical Microbiology and Infectious Diseases Canada</t>
  </si>
  <si>
    <t xml:space="preserve">Canadian Institutes of Health Research(Canadian Institutes of Health Research (CIHR)); MedImmune Inc.(AstraZenecaMedimmune); Royal College of Physicians and Surgeons Canada; Association for Medical Microbiology and Infectious Diseases Canada</t>
  </si>
  <si>
    <t xml:space="preserve">This work was supported by the Canadian Institutes of Health Research [grant number 151504 to G. B.] and a research grant from MedImmune Inc. [to G. B.]. G. B. is the holder of the Canada Research Chair on Emerging viruses and antiviral resistance. JP received training bursaries from the Royal College of Physicians and Surgeons Canada and the Association for Medical Microbiology and Infectious Diseases Canada for this work. The funders had no role in study design, data collection and analysis, decision to publish, or preparation of the manuscript.</t>
  </si>
  <si>
    <t xml:space="preserve">10.1016/j.jcv.2013.08.029</t>
  </si>
  <si>
    <t xml:space="preserve">241OK</t>
  </si>
  <si>
    <t xml:space="preserve">WOS:000326176400008</t>
  </si>
  <si>
    <t xml:space="preserve">Myers, C; Brown, J; Arnold, MG; Arnold, JC</t>
  </si>
  <si>
    <t xml:space="preserve">Myers, Chris; Brown, Jason; Arnold, Michelle G.; Arnold, John C.</t>
  </si>
  <si>
    <t xml:space="preserve">Human metapneumovirus associated with facial nerve paralysis</t>
  </si>
  <si>
    <t xml:space="preserve">JOURNAL OF PEDIATRIC NEUROLOGY</t>
  </si>
  <si>
    <t xml:space="preserve">Human metapneumovirus; facial nerve palsy; rapid diagnostics; resequencing microarray</t>
  </si>
  <si>
    <t xml:space="preserve">Facial nerve paralysis in childhood is commonly caused by acute ear infections and Lyme disease. A number of respiratory viruses have also been associated with acute facial nerve weakness. First described as a common cause of respiratory infection in 2001, human metapneumovirus has now also been associated with abnormalities of the central nervous system, such as seizures and encephalitis. We describe a case of acute facial nerve palsy in which human metapneumovirus was the only pathogen identified, using sophisticated molecular diagnostics.</t>
  </si>
  <si>
    <t xml:space="preserve">[Myers, Chris; Brown, Jason] US Navy, Hlth Res Ctr, San Diego, CA 92152 USA; [Arnold, Michelle G.] Naval Hosp Camp Pendleton, Dept Otolaryngol &amp; Head &amp; Neck Surg, Oceanside, CA 92055 USA; [Arnold, John C.] Naval Med Ctr, Dept Pediat, Div Infect Dis, 2 West,34800 Bob Wilson Dr, San Diego, CA 92134 USA</t>
  </si>
  <si>
    <t xml:space="preserve">United States Department of Defense; United States Navy; Naval Medical Research Center (NMRC); Naval Health Research Center (NHRC); United States Department of Defense; United States Navy; Naval Medical Center San Diego</t>
  </si>
  <si>
    <t xml:space="preserve">Arnold, JC (corresponding author), Naval Med Ctr, Dept Pediat, Div Infect Dis, 2 West,34800 Bob Wilson Dr, San Diego, CA 92134 USA.</t>
  </si>
  <si>
    <t xml:space="preserve">john.arnold@med.navy.mil</t>
  </si>
  <si>
    <t xml:space="preserve">inpatient pediatric team at the Naval Medical Center, San Diego; research team at the Naval Health Research Center</t>
  </si>
  <si>
    <t xml:space="preserve">We would like to thank the inpatient pediatric team at the Naval Medical Center, San Diego and the research team at the Naval Health Research Center for their support in this case.</t>
  </si>
  <si>
    <t xml:space="preserve">1304-2580</t>
  </si>
  <si>
    <t xml:space="preserve">1875-9041</t>
  </si>
  <si>
    <t xml:space="preserve">J PEDIATR NEUROL</t>
  </si>
  <si>
    <t xml:space="preserve">J. Pediatr. Neurol.</t>
  </si>
  <si>
    <t xml:space="preserve">10.3233/JPN-2011-0505</t>
  </si>
  <si>
    <t xml:space="preserve">V0I2Z</t>
  </si>
  <si>
    <t xml:space="preserve">WOS:000216253200024</t>
  </si>
  <si>
    <t xml:space="preserve">Holzemer, NF; Hasvold, JJ; Pohl, KJ; Ashbrook, MJ; Meert, KL; Quasney, MW</t>
  </si>
  <si>
    <t xml:space="preserve">Holzemer, Nicholas F.; Hasvold, Jennifer J.; Pohl, Kyle J.; Ashbrook, Matthew J.; Meert, Kathleen L.; Quasney, Michael W.</t>
  </si>
  <si>
    <t xml:space="preserve">Human Metapneumovirus Infection in Hospitalized Children</t>
  </si>
  <si>
    <t xml:space="preserve">RESPIRATORY CARE</t>
  </si>
  <si>
    <t xml:space="preserve">human metapneumovirus; extracorporeal membrane oxygenation; acute kidney injury; hospitalized; pediatric intensive care unit; respiratory failure</t>
  </si>
  <si>
    <t xml:space="preserve">RESPIRATORY SYNCYTIAL VIRUS; EPIDEMIOLOGY; MORBIDITY</t>
  </si>
  <si>
    <t xml:space="preserve">BACKGROUND: Most children are exposed to human metapneumovirus (HMPV) by the age of 5 y. This study aimed to describe the morbidity associated with HMPV infections in a cohort of children in the Midwest of the United States. METHODS: This was a retrospective 2-center cohort study including children (0-17 y old) hospitalized with HMPV infections at 2 tertiary care pediatric hospitals from 2009 to 2013. Demographics, chronic medical conditions, viral coinfections, and hospitalization characteristics, including the need for respiratory support, high-flow nasal cannula, CPAP, bi-level positive airway pressure, invasive mechanical ventilation, pediatric ICU admission, acute kidney injury (AKI), use of extracorporeal membrane oxygenation, and length of stay, were collected. RESULTS: In total, 131 subjects were included. Those with one or more comorbidities were older than their otherwise healthy counterparts, with a median age of 2.8 y (interquartile range [IQR] 1.1-7.0) compared to 1.3 y (IQR 0.6-2.0, P &lt; .001), respectively. Ninety-nine (75.6%) subjects required respiratory support; 72 (55.0%) subjects required nasal cannula, simple face mask, or tracheostomy mask as their maximum support. Additionally, 1 (0.8%) subject required high-flow nasal cannula, 1 (0.8%) subject required CPAP, 2 (1.5%) subjects required bi-level positive airway pressure, 15 (11.5%) subjects required invasive mechanical ventilation, 4 (3.1%) subjects required high-frequency oscillatory or jet ventilation, and 4 (3.1%) subjects required extracorporeal membrane oxygenation. Fifty-one (38.9%) subjects required pediatric ICU admission, and 16 (12.2%) subjects developed AKI. Subjects with AKI were significantly older than those without AKI at 5.4 y old (IQR 1.6-11.7) versus 1.9 y old (IQR 0.7-3.5, P = .003). After controlling for the presence of at least one comorbidity and cystic fibrosis, each year increase in age led to a 16% increase in the odds of AKI (P = .01). The median length of stay for the entire cohort was 4.0 d (IQR 2.7-7.0). CONCLUSIONS: Children hospitalized with HMPV may be at risk for AKI. Risk of HMPV-associated AKI appears to increase with age regardless of severity of respiratory illness or presence of comorbidities.</t>
  </si>
  <si>
    <t xml:space="preserve">[Holzemer, Nicholas F.] Univ Michigan, Dept Internal Med Pediat, Ann Arbor, MI 48109 USA; [Hasvold, Jennifer J.] Univ South Dakota, Dept Internal Med, Rapid City, SD USA; [Pohl, Kyle J.] Provider Network Alaska Native Tribal Hlth Consor, Anchorage, AK USA; [Ashbrook, Matthew J.] Naval Med Ctr San Diego, Dept Gen Surg, San Diego, CA USA; [Meert, Kathleen L.] Wayne State Univ, Childrens Hosp Michigan, Dept Pediat, Div Crit Care, Detroit, MI USA; [Quasney, Michael W.] Univ Michigan, Dept Pediat, Div Pediat Crit Care Med, Ann Arbor, MI 48109 USA</t>
  </si>
  <si>
    <t xml:space="preserve">University of Michigan System; University of Michigan; University of South Dakota; United States Department of Defense; United States Navy; Naval Medical Center San Diego; Children's Hospital of Michigan; Wayne State University; University of Michigan System; University of Michigan</t>
  </si>
  <si>
    <t xml:space="preserve">Quasney, MW (corresponding author), Univ Michigan, 1500 E Med Ctr Dr,F6790 UH South,Box 5243, Ann Arbor, MI 48109 USA.</t>
  </si>
  <si>
    <t xml:space="preserve">mquasney@med.umich.edu</t>
  </si>
  <si>
    <t xml:space="preserve">DAEDALUS ENTERPRISES INC</t>
  </si>
  <si>
    <t xml:space="preserve">IRVING</t>
  </si>
  <si>
    <t xml:space="preserve">9425 N MAC ARTHUR BLVD, STE 100, IRVING, TX 75063-4706 USA</t>
  </si>
  <si>
    <t xml:space="preserve">0020-1324</t>
  </si>
  <si>
    <t xml:space="preserve">1943-3654</t>
  </si>
  <si>
    <t xml:space="preserve">RESP CARE</t>
  </si>
  <si>
    <t xml:space="preserve">Respir. Care</t>
  </si>
  <si>
    <t xml:space="preserve">10.4187/respcare.07156</t>
  </si>
  <si>
    <t xml:space="preserve">LJ3XG</t>
  </si>
  <si>
    <t xml:space="preserve">WOS:000530100600011</t>
  </si>
  <si>
    <t xml:space="preserve">Danziger, O; Shai, B; Sabo, Y; Bacharach, E; Ehrlich, M</t>
  </si>
  <si>
    <t xml:space="preserve">Danziger, Oded; Shai, Ben; Sabo, Yosef; Bacharach, Eran; Ehrlich, Marcelo</t>
  </si>
  <si>
    <t xml:space="preserve">Combined genetic and epigenetic interferences with interferon signaling expose prostate cancer cells to viral infection</t>
  </si>
  <si>
    <t xml:space="preserve">human metapneumovirus; epizootic hemorrhagic disease virus; epigenetic silencing; interferon; prostate cancer cells</t>
  </si>
  <si>
    <t xml:space="preserve">HISTONE DEACETYLASE ACTIVITY; NF-KAPPA-B; HUMAN METAPNEUMOVIRUS; ALPHA-INTERFERON; STIMULATED GENES; DNA METHYLATION; TYROSINE KINASE; PHASE-II; VIRUS; EXPRESSION</t>
  </si>
  <si>
    <t xml:space="preserve">Interferons (IFNs) induce anti-viral programs, regulate immune responses, and exert anti-proliferative effects. To escape anti-tumorigenic effects of IFNs, malignant cells attenuate JAK/STAT signaling and expression of IFN stimulated genes (ISGs). Such attenuation may enhance the susceptibility of tumor cells to oncolytic virotherapy. Here we studied genetic and epigenetic mechanisms of interference with JAK/STAT signaling and their contribution to susceptibility of prostate cancer cells to viral infection. Bioinformatics analysis of gene-expression in cohorts of prostate cancer patients revealed genetic and epigenetic interference with the IFN program. To correlate lack of IFN signaling and susceptibility to viral infection and oncolysis; we employed LNCaP prostate cancer cells as cellular model, and the human metapneumovirus and the epizootic hemorrhagic disease virus as infectious agents. In LNCaP cells, JAK1 is silenced by bi-allelic inactivating mutations and epigenetic silencing, which also silences ISGs. Chemical inhibition of epigenetic silencing partially restored IFN-sensitivity, induced low levels of expression of selected ISGs and attenuated, but failed to block, viral infection and oncolysis. Since viral infection was not blocked by epigenetic modifiers, and these compounds may independent-lyinduce anti-tumor effects, we propose that epigenetic modifiers and virotherapy are compatible in treatment of prostate tumors defective in JAK1 expression and IFN signaling.</t>
  </si>
  <si>
    <t xml:space="preserve">[Danziger, Oded; Shai, Ben; Sabo, Yosef; Bacharach, Eran; Ehrlich, Marcelo] Tel Aviv Univ, Dept Cell Res &amp; Immunol, George S Wise Fac Life Sci, Tel Aviv, Israel</t>
  </si>
  <si>
    <t xml:space="preserve">Bacharach, E; Ehrlich, M (corresponding author), Tel Aviv Univ, Dept Cell Res &amp; Immunol, George S Wise Fac Life Sci, Tel Aviv, Israel.</t>
  </si>
  <si>
    <t xml:space="preserve">Sabo, Yosef/J-3018-2015; danziger, oded/HKE-7538-2023; Bacharach, Eran/JPL-0522-2023</t>
  </si>
  <si>
    <t xml:space="preserve">Bacharach, Eran/0000-0001-8341-2833; Danziger, Oded/0000-0003-0533-3851; Ehrlich, Marcelo/0000-0002-2352-1808; Sabo, Yosef/0000-0002-4973-8247</t>
  </si>
  <si>
    <t xml:space="preserve">Israeli Ministry of Agriculture [891-0254-11/EMIDA-ERA-NET]; Israel Science Foundation [1824/13]; Israel Cancer Association [20160113]</t>
  </si>
  <si>
    <t xml:space="preserve">Israeli Ministry of Agriculture; Israel Science Foundation(Israel Science Foundation); Israel Cancer Association</t>
  </si>
  <si>
    <t xml:space="preserve">We thank the support of Israeli Ministry of Agriculture (891-0254-11/EMIDA-ERA-NET), the Israel Science Foundation (Grant No. 1824/13) and the Israel Cancer Association (Grant No. 20160113).</t>
  </si>
  <si>
    <t xml:space="preserve">AUG 9</t>
  </si>
  <si>
    <t xml:space="preserve">10.18632/oncotarget.10313</t>
  </si>
  <si>
    <t xml:space="preserve">DY9CC</t>
  </si>
  <si>
    <t xml:space="preserve">WOS:000385429100106</t>
  </si>
  <si>
    <t xml:space="preserve">Li, JG; Wang, Z; Gonzalez, R; Xiao, Y; Zhou, HL; Zhang, J; Paranhos-Baccala, G; Vernet, G; Jin, Q; Wang, JW; Hung, T</t>
  </si>
  <si>
    <t xml:space="preserve">Li, Jianguo; Wang, Zhong; Gonzalez, Richard; Xiao, Yan; Zhou, Hongli; Zhang, Jing; Paranhos-Baccala, Glaucia; Vernet, Guy; Jin, Qi; Wang, Jianwei; Hung, Tao</t>
  </si>
  <si>
    <t xml:space="preserve">Prevalence of human metapneumovirus in adults with acute respiratory tract infection in Beijing, China</t>
  </si>
  <si>
    <t xml:space="preserve">Human metapneumovirus; Epidemiology; Reverse transcription polymerase chain reaction; Adult; Respiratory infection</t>
  </si>
  <si>
    <t xml:space="preserve">YOUNG-CHILDREN; P-GENE; PNEUMONIA; GENOTYPE</t>
  </si>
  <si>
    <t xml:space="preserve">Objective: To evaluate the prevalence and clinical manifestations of human metapneumovirus (hMPV) in immunocompetent Chinese adults with acute respiratory tract infections (ARTIs). Methods: A reverse transcription PCR (RT-PCR) assay targeting the P gene was developed in this study and used to detect hMPV in nasal and throat swabs collected from 2936 immunocompetent adult patients with ARTIs in Beijing, China between July 2008 and June 2010. Results: Among the 2936 patients studied, 49 (1.7%) were positive for hMPV, of whom 14 (28.6%) were positive for hMPV_A2b, 19 (38.8%) for hMPV_B1, and 16 (32.6%) for hMPV_B2. hMPV_A1 was not detected. An average detection rate of 6.6% was observed in the peak months of the two epidemic seasons studied. The hMPV prevalence was higher in the sampled elderly (&gt; 65 years, 3.2%) than in middle aged adults (25-65 years; 2.0%) and teenagers (14-25 years; 0.9%). During the study period, hMPV infections showed a biennial rhythm of seasonality, peaking from November to March in 2008/09 and from March to June in 2010. Conclusion: hMPV infection plays an important role in immunocompetent adults in its epidemic season. The demographic and clinical data presented in this study improves our understanding of the pathogenesis and clinical burden of hMPV infection in adults. (C) 2011 The British Infection Association. Published by Elsevier Ltd. All rights reserved.</t>
  </si>
  <si>
    <t xml:space="preserve">[Li, Jianguo; Jin, Qi; Wang, Jianwei] Peking Union Med Coll, IPB, State Key Lab Mol Virol &amp; Genet Engn, Beijing 100730, Peoples R China; [Li, Jianguo; Wang, Zhong; Gonzalez, Richard; Xiao, Yan; Zhou, Hongli; Zhang, Jing; Jin, Qi; Wang, Jianwei; Hung, Tao] Chinese Acad Med Sci, Beijing 100730, Peoples R China; [Li, Jianguo; Wang, Zhong; Gonzalez, Richard; Xiao, Yan; Zhou, Hongli; Zhang, Jing; Wang, Jianwei; Hung, Tao] Peking Union Med Coll, IPB, Christophe Merieux Lab, CAMS Fdn Merieux, Beijing 100730, Peoples R China; [Gonzalez, Richard; Paranhos-Baccala, Glaucia; Vernet, Guy] IRF BioSci Lyon Gerland 128, Fdn Merieux, F-69365 Lyon, France; [Wang, Zhong] PUMC, Peking Union Med Coll Hosp, Beijing 100005, PR, Peoples R China</t>
  </si>
  <si>
    <t xml:space="preserve">Chinese Academy of Medical Sciences - Peking Union Medical College; Institute of Pathogen Biology - CAMS; Peking Union Medical College; Chinese Academy of Medical Sciences - Peking Union Medical College; Chinese Academy of Medical Sciences - Peking Union Medical College; Peking Union Medical College; Institute of Pathogen Biology - CAMS; Chinese Academy of Medical Sciences - Peking Union Medical College; Peking Union Medical College Hospital; Peking Union Medical College</t>
  </si>
  <si>
    <t xml:space="preserve">Jin, Q (corresponding author), Peking Union Med Coll, IPB, State Key Lab Mol Virol &amp; Genet Engn, 9 Dong Dan San Tiao, Beijing 100730, Peoples R China.</t>
  </si>
  <si>
    <t xml:space="preserve">zdsys@vip.sina.com; wangjw28@163.com</t>
  </si>
  <si>
    <t xml:space="preserve">Wang, Zhaohua/JJE-6996-2023; Wang, Jianwei/D-1852-2013; LI, JIANGUO/ADZ-3303-2022</t>
  </si>
  <si>
    <t xml:space="preserve">Wang, Jianwei/0000-0002-1116-4559; LI, JIANGUO/0000-0002-1147-4864; vernet, guy/0000-0002-5120-1297</t>
  </si>
  <si>
    <t xml:space="preserve">S &amp; T Major Project for the Control and Prevention of Major Infectious Diseases in China [2008ZX10004-002, 2009ZX10004-206]</t>
  </si>
  <si>
    <t xml:space="preserve">S &amp; T Major Project for the Control and Prevention of Major Infectious Diseases in China</t>
  </si>
  <si>
    <t xml:space="preserve">We thank the clinicians of Peking Union Medical College Hospital for their assistance in sample collection. This study was supported in part by the National S &amp; T Major Project for the Control and Prevention of Major Infectious Diseases in China (2008ZX10004-002 and 2009ZX10004-206).</t>
  </si>
  <si>
    <t xml:space="preserve">10.1016/j.jinf.2011.10.011</t>
  </si>
  <si>
    <t xml:space="preserve">869YD</t>
  </si>
  <si>
    <t xml:space="preserve">WOS:000298635400011</t>
  </si>
  <si>
    <t xml:space="preserve">Barrera-Badillo, G; Olivares-Flores, B; Ruiz-López, A; Fierro-Valdez, MA; Gutiérrez-Vargas, RI; López-Martínez, I</t>
  </si>
  <si>
    <t xml:space="preserve">Barrera-Badillo, Gisela; Olivares-Flores, Beatriz; Ruiz-Lopez, Adriana; Angel Fierro-Valdez, Miguel; Idania Gutierrez-Vargas, Rosaura; Lopez-Martinez, Irma</t>
  </si>
  <si>
    <t xml:space="preserve">Human Metapneumovirus: Etiological Agent of Severe Acute Respiratory Infections in Hospitalized and Deceased Patients with a Negative Diagnosis of Influenza</t>
  </si>
  <si>
    <t xml:space="preserve">human metapneumovirus; epidemiology; respiratory viruses</t>
  </si>
  <si>
    <t xml:space="preserve">EPIDEMIOLOGY; GENOTYPE; VIRUS; YOUNG</t>
  </si>
  <si>
    <t xml:space="preserve">Human metapneumovirus (HMPV) is one of the four major viral pathogens associated with acute respiratory tract infections (ARI) and creates a substantial burden of disease, particularly in young children (&lt;5 years) and older individuals (&gt;= 65 years). The objective of this study was to determine the epidemiological behavior of HMPV in Mexico. This retrospective study was conducted over a nine-year period and used 7283 influenza-negative respiratory samples from hospitalized and deceased patients who presented Severe Acute Respiratory Infection (SARI). The samples were processed with the help of qualitative multiplex RT-PCR for simultaneous detection of 14 respiratory viruses (xTAG(R) RVP FAST v2). 40.8% of the samples were positive for respiratory viruses, mainly rhinovirus/enterovirus (47.6%), respiratory syncytial virus (15.9%), HMPV (11.1%) and parainfluenza virus (8.9%). Other respiratory viruses and co-infections accounted for 16.5%. HMPV infects all age groups, but the most affected group was infants between 29 days and 9 years of age (65.6%) and adults who are 40 years and older (25.7%). HMPV circulates every year from November to April, and the highest circulation was observed in late winter. The results of this study aim to raise awareness among clinicians about the high epidemiological impact of HMPV in young children and older individuals in order to reduce the economic burden in terms of health care costs.</t>
  </si>
  <si>
    <t xml:space="preserve">[Barrera-Badillo, Gisela; Olivares-Flores, Beatriz; Ruiz-Lopez, Adriana; Angel Fierro-Valdez, Miguel; Lopez-Martinez, Irma] Inst Epidemiol Diag &amp; Reference Dr Manuel Martine, Hlth Secretary, Francisco de P Miranda 177, Mexico City, DF, Mexico; [Idania Gutierrez-Vargas, Rosaura] Gen Directorate Epidemiol, Francisco de P Miranda 157, Mexico City 01480, DF, Mexico; [Idania Gutierrez-Vargas, Rosaura] Hlth Secretary, Francisco de P Miranda 157, Mexico City 01480, DF, Mexico</t>
  </si>
  <si>
    <t xml:space="preserve">Barrera-Badillo, G (corresponding author), Inst Epidemiol Diag &amp; Reference Dr Manuel Martine, Hlth Secretary, Francisco de P Miranda 177, Mexico City, DF, Mexico.</t>
  </si>
  <si>
    <t xml:space="preserve">gisela.barrera20@yahoo.com.mx; beatriz.olivares@salud.gob.mx; adryrulams_w@hotmail.com; mick-angel_09@hotmail.com; rosaurafluen@gmail.com; lopezmi74@gmail.com</t>
  </si>
  <si>
    <t xml:space="preserve">Barrera, Gisela/0000-0002-8760-2455; Gutierrez-Vargas, Rosaura/0000-0001-6836-3076</t>
  </si>
  <si>
    <t xml:space="preserve">10.3390/pathogens9020085</t>
  </si>
  <si>
    <t xml:space="preserve">WOS:000519242900008</t>
  </si>
  <si>
    <t xml:space="preserve">Bosis, S; Esposito, S; Osterhaus, ADME; Tremolati, E; Begliatti, E; Tagliabue, C; Corti, F; Principi, N; Niesters, HGM</t>
  </si>
  <si>
    <t xml:space="preserve">Bosis, Samantha; Esposito, Susanna; Osterhaus, Albert D. M. E.; Tremolati, Elena; Begliatti, Enrica; Tagliabue, Claudia; Corti, Fabiola; Principi, Nicola; Niesters, Hubert G. M.</t>
  </si>
  <si>
    <t xml:space="preserve">Association between high nasopharyngeal viral load and disease severity in children with human metapneumovirus infection</t>
  </si>
  <si>
    <t xml:space="preserve">human metapneumovirus; epidemiology; respiratory tract infections; respiratory viruses; children</t>
  </si>
  <si>
    <t xml:space="preserve">RESPIRATORY SYNCYTIAL VIRUS; REAL-TIME PCR; GENETIC-VARIABILITY; YOUNG-CHILDREN; QUANTITATIVE DETECTION; PEDIATRIC-PATIENTS; CORONAVIRUS HKU1; HEALTHY-CHILDREN; TRACT INFECTIONS; INFLUENZA-A</t>
  </si>
  <si>
    <t xml:space="preserve">Background: Previous studies have shown that viral genotype and viral load may play a significant role in the pathogenesis of viral infections. Objectives: The aim of this study was to evaluate these aspects of hMPV infections in children and their household contacts. Study design: Between I November 2003 and 31 March 2004, we prospectively studied 2060 children attending our Emergency Department for acute reasons. Nasopharyngeal swabs were collected upon enrolment and then tested with real-time PCR assays for the major viral causes of respiratory illness. Results: Sixty children (2.9%) were infected by hMPV: 24 (1.2%) by hMPV A, 14 (0.7%) by hMPV B, 11 (0.5%) by untyped hMPV, and 11 (0.5%) by hMPV and an additional respiratory virus. There were no differences in disease presentation or in clinical or socioeconomic impact in relation to viral genotypes. HMPV viral load was significantly higher in children with lower respiratory tract involvement (p &lt; 0.05), hospitalised children (p &lt; 0.05), and the prevalence of secondary cases of a similar disease in the household of index cases (P &lt; 0.05). Conclusion: A high hMPV viral load correlated with disease presentation, whereas the overall clinical and socioeconomic burden caused by the two hMPV genotypes was similar. (C) 2008 Elsevier B.V. All rights reserved.</t>
  </si>
  <si>
    <t xml:space="preserve">[Bosis, Samantha; Esposito, Susanna; Tremolati, Elena; Begliatti, Enrica; Tagliabue, Claudia; Corti, Fabiola; Principi, Nicola] Univ Milan, Osped Maggiore Policln Mangiagalli &amp; Regina Elena, Fdn IRCCS, Inst Pediat, I-20122 Milan, Italy; [Osterhaus, Albert D. M. E.; Niesters, Hubert G. M.] Erasmus MC, Univ Med Ctr, Dept Virol, Rotterdam, Netherlands</t>
  </si>
  <si>
    <t xml:space="preserve">University of Milan; Erasmus University Rotterdam; Erasmus MC</t>
  </si>
  <si>
    <t xml:space="preserve">Principi, N (corresponding author), Univ Milan, Osped Maggiore Policln Mangiagalli &amp; Regina Elena, Fdn IRCCS, Inst Pediat, I-20122 Milan, Italy.</t>
  </si>
  <si>
    <t xml:space="preserve">Bert, Niesters/AAH-6808-2019; Esposito, Susanna/AAA-8275-2022; Bosis, Samantha/K-2754-2016; Tagliabue, Claudia/K-2706-2016; Esposito, Susanna/K-3475-2016</t>
  </si>
  <si>
    <t xml:space="preserve">Bosis, Samantha/0000-0003-2288-2633; Tagliabue, Claudia/0000-0003-0293-933X; Osterhaus, Albert/0000-0002-6074-1172; Esposito, Susanna/0000-0003-4103-2837; Niesters, Hubert/0000-0002-1758-0430</t>
  </si>
  <si>
    <t xml:space="preserve">10.1016/j.jcv.2008.03.029</t>
  </si>
  <si>
    <t xml:space="preserve">WOS:000257956500010</t>
  </si>
  <si>
    <t xml:space="preserve">Wang, C; Wei, TL; Ma, FL; Wang, H; Guo, JQ; Chen, AJ; Huang, YM; Xie, ZP; Zheng, LS</t>
  </si>
  <si>
    <t xml:space="preserve">Wang, Chao; Wei, Tianli; Ma, Fenlian; Wang, Hao; Guo, Jianqiang; Chen, Aijun; Huang, Yiman; Xie, Zhiping; Zheng, Lishu</t>
  </si>
  <si>
    <t xml:space="preserve">Epidemiology and genotypic diversity of human metapneumovirus in paediatric patients with acute respiratory infection in Beijing, China</t>
  </si>
  <si>
    <t xml:space="preserve">Human metapneumovirus; Epidemiology; Genetic diversity; Pediatric; Respiratory tract infection</t>
  </si>
  <si>
    <t xml:space="preserve">BackgroundAcute respiratory tract infections (ARTIs) causes high amounts of morbidity and mortality worldwide every year. Human metapneumovirus (HMPV) is a major pathogen of ARTIs in children. In this study, we aimed to investigate the epidemiology and genotypic diversity of HMPV in children hospitalized with ARTIs in Beijing, China. MethodsHospitalized children aged &lt;14 years with ARTIs were enrolled from April 2017 to March 2018; nasopharyngeal aspirates were collected and subjected to real-time polymerase chain reaction tests for HMPV. HMPV-positive samples were genotyped based on a partial N gene. Whole genome sequences were determined for samples with high viral loads.Results4.08% (52/1276) enrolled paediatric patients were identified as having HMPV infection. The epidemic season is winter and early spring, children aged 4 years were more susceptible to HMPV infection (47/52, 90.38%). The co-infection rate were 36.54% (19/52), the most common co-infected virus were influenza and respiratory syncytial virus. The main diagnoses of HMPV infection were pneumonia (29/52, 55.77%) and bronchitis (23/52, 44.23%), while the main clinical manifestations were cough, fever, rhinorrhoea, and sneeze. Among 48 HMPV-positive specimens, A2b (19/48, 39.58%) and B1 (26/48, 54.17%) were the main epidemic subtypes. Patients with HMPV genotype A infection had a higher viral load compared to genotype B patients (6.07 vs. 5.37 log(10) RNA copies/ml). Five complete sequences of HMPV were obtained. This is the first report of a whole genome sequence of HMPV-B1 isolated in China.ConclusionsHMPV is an important respiratory pathogen in paediatric patients. Cases of HMPV infection could burden hospitals in the epidemic season. HMPV viral loads and genotypes have no correlation with co-infection or clinical characteristics.</t>
  </si>
  <si>
    <t xml:space="preserve">[Wang, Chao; Wei, Tianli; Ma, Fenlian; Wang, Hao; Guo, Jianqiang; Chen, Aijun; Huang, Yiman; Xie, Zhiping; Zheng, Lishu] China CDC, NHC Key Lab Med Virol &amp; Viral Dis, Natl Inst Viral Dis Control &amp; Prevent, Beijing, Peoples R China; [Wei, Tianli] Capital Med Univ, Beijing Friendship Hosp, Dept Pediat, Beijing, Peoples R China; [Zheng, Lishu] Chinese Acad Sci, Ctr Biosafety Mega Sci, Beijing, Peoples R China</t>
  </si>
  <si>
    <t xml:space="preserve">Chinese Center for Disease Control &amp; Prevention; National Institute for Viral Disease Control &amp; Prevention, Chinese Center for Disease Control &amp; Prevention; Capital Medical University; Chinese Academy of Sciences</t>
  </si>
  <si>
    <t xml:space="preserve">Xie, ZP; Zheng, LS (corresponding author), China CDC, NHC Key Lab Med Virol &amp; Viral Dis, Natl Inst Viral Dis Control &amp; Prevent, Beijing, Peoples R China.</t>
  </si>
  <si>
    <t xml:space="preserve">Key Technologies R&amp;D Program of the National Ministry of Science, China [2018ZX10305410-003-002, 2017ZX10104001, 2018ZX10713002]</t>
  </si>
  <si>
    <t xml:space="preserve">Key Technologies R&amp;D Program of the National Ministry of Science, China</t>
  </si>
  <si>
    <t xml:space="preserve">This work was supported by the Key Technologies R&amp;D Program of the National Ministry of Science, China (2018ZX10305410-003-002, 2017ZX10104001, 2018ZX10713002). The funding body played no role in the design of the study and collection, analysis, and interpretation of data and in writing the manuscript.</t>
  </si>
  <si>
    <t xml:space="preserve">10.1186/s12985-021-01508-0</t>
  </si>
  <si>
    <t xml:space="preserve">QL2TX</t>
  </si>
  <si>
    <t xml:space="preserve">WOS:000620935100004</t>
  </si>
  <si>
    <t xml:space="preserve">Pabbaraju, K; Wong, S; McMillan, T; Lee, BE; Fox, JD</t>
  </si>
  <si>
    <t xml:space="preserve">Pabbaraju, Kanti; Wong, Sallene; McMillan, Thomas; Lee, Bonita E.; Fox, Julie D.</t>
  </si>
  <si>
    <t xml:space="preserve">Diagnosis and epidemiological studies of human metapneumovirus using real-time PCR</t>
  </si>
  <si>
    <t xml:space="preserve">human metapneumovirus; epidemiology; co-infections; age distribution; real-time PCR; hydrolysis probes</t>
  </si>
  <si>
    <t xml:space="preserve">RESPIRATORY-TRACT DISEASE; GENETIC-HETEROGENEITY; YOUNG-CHILDREN; FUSION GENE; F-PROTEIN; INFECTION; ILLNESS; PNEUMOVIRUS; VARIABILITY; PREVALENCE</t>
  </si>
  <si>
    <t xml:space="preserve">Background: Human metapneumovirus (hMPV) is prevalent in children, the elderly and immunocompromised individuals, but available epidemiological data is limited. Objectives: (1) To develop and validate a real-time PCR method for hMPV diagnosis. (2) To determine the percentage of hMPV in respiratory specimens from the community and its association with outbreaks in our geographic area. (3) To provide epidemiological data in terms of age distribution, seasonality and co-infections. Study design: A real-time PCR assay was designed for detection of hMPV lineages A and B. Prospective testing for hMPV over a 22-month period was then undertaken. Results: The real-time PCR was sensitive and specific for detection of both lineages of hMPV. hMPV was detected in 9.5% (n = 8239) of the specimens and 25% of the outbreaks (n = 100) tested. The hMPV-positive patients ranged in age from 18 days to 99 years with a median age of 24 months. The number of positive samples peaked during the winter months of December, January and February. A high rate of co-infections was noted in the samples tested. Conclusions: hMPV is common in the community and is associated with outbreaks. Including hMPV in routine testing improves etiological diagnosis of acute respiratory infections. (C) 2007 Elsevier B.V. All rights reserved.</t>
  </si>
  <si>
    <t xml:space="preserve">Prov Lab Publ Hlth Microbiol, Calgary, AB T2N 4W4, Canada; Univ Alberta, Dept Pediat, Stollery Childrens Hosp, Edmonton, AB, Canada; Prov Lab Publ Hlth Microbiol, Edmonton, AB, Canada; Univ Calgary, Dept Microbiol &amp; Infect Dis, Calgary, AB, Canada</t>
  </si>
  <si>
    <t xml:space="preserve">Stollery Children's Hospital; University of Alberta; University of Calgary</t>
  </si>
  <si>
    <t xml:space="preserve">Pabbaraju, K (corresponding author), Prov Lab Publ Hlth Microbiol, 3030 Hosp Dr, Calgary, AB T2N 4W4, Canada.</t>
  </si>
  <si>
    <t xml:space="preserve">K.Pabbaraju@provlab.ab.ca</t>
  </si>
  <si>
    <t xml:space="preserve">10.1016/j.jcv.2007.08.004</t>
  </si>
  <si>
    <t xml:space="preserve">WOS:000250935300003</t>
  </si>
  <si>
    <t xml:space="preserve">Kong, WH; Wang, Y; Zhu, HH; Lin, XM; Yu, B; Hu, Q; Yang, XB; Guo, DY; Peng, JS; Zhou, DJ</t>
  </si>
  <si>
    <t xml:space="preserve">Kong, Wenhua; Wang, Ying; Zhu, Honghao; Lin, Xinming; Yu, Bin; Hu, Quan; Yang, Xiaobing; Guo, Deyin; Peng, Jinsong; Zhou, Dunjin</t>
  </si>
  <si>
    <t xml:space="preserve">Circulation of human metapneumovirus among children with influenza-like illness in Wuhan, China</t>
  </si>
  <si>
    <t xml:space="preserve">human metapneumovirus; epidemiology; children; China</t>
  </si>
  <si>
    <t xml:space="preserve">RESPIRATORY-TRACT INFECTIONS; GENETIC DIVERSITY; YOUNG-CHILDREN; EPIDEMIOLOGY; DISEASE; ADULTS</t>
  </si>
  <si>
    <t xml:space="preserve">Human metapneumovirus (HMPV) is a worldwide distributed pathogen of the respiratory tract. The objectives of this study were to identify HMPV infections among children with influenza-like illness (ILI) in Wuhan and to assess circulation patterns and molecular diversity of HMPV in this area. From July 2008 to December 2013, a total of 3,883 throat swab samples were collected from ILI outpatients under 16 years old. HMPV RNA was detected in 171 samples (4.40%). All the four subtypes of HMPV were identified, among which A2 was the most common subtype (61/145, 42.1%), followed by B1, B2, and A1. During the study period, HMPV circulation presented a biennial alternation between high and low incidence in Wuhan and the seasonal peak also shift between winter and spring in two continuous seasons. Subtype A2, B1, and B2 co-circulated during the study period, with genotype A prevailing in epidemic season 2008-2009 and 2012-2013, and genotype B prevailing during other periods. This large-scale analysis of HMPV prevalence in ILI outpatient children improves the understanding of local HMPV circulation patterns and provides molecular epidemic evidence for comparative analysis of HMPV infection. (c) 2015 Wiley Periodicals, Inc.</t>
  </si>
  <si>
    <t xml:space="preserve">[Kong, Wenhua; Wang, Ying; Zhu, Honghao; Lin, Xinming; Peng, Jinsong] Wuhan Ctr Dis Prevent &amp; Control, Dept Virol, Jiang Han Bei Lu 24, Wuhan 430015, Hubei, Peoples R China; [Yu, Bin; Hu, Quan; Yang, Xiaobing; Zhou, Dunjin] Wuhan Ctr Dis Prevent &amp; Control, Inst Infect Dis, Jiang Han Bei Lu 24, Wuhan 430015, Hubei, Peoples R China; [Guo, Deyin] Wuhan Univ, State Key Lab Virol, Wuhan 430072, Hubei, Peoples R China</t>
  </si>
  <si>
    <t xml:space="preserve">Wuhan University</t>
  </si>
  <si>
    <t xml:space="preserve">Peng, JS (corresponding author), Wuhan Ctr Dis Prevent &amp; Control, Dept Virol, Jiang Han Bei Lu 24, Wuhan 430015, Hubei, Peoples R China.;Zhou, DJ (corresponding author), Wuhan Ctr Dis Prevent &amp; Control, Inst Infect Dis, Jiang Han Bei Lu 24, Wuhan 430015, Hubei, Peoples R China.</t>
  </si>
  <si>
    <t xml:space="preserve">15926295219@163.com; zdj@whcdc.org</t>
  </si>
  <si>
    <t xml:space="preserve">bin, yong/GLS-8007-2022; Guo, Deyin/A-9498-2011</t>
  </si>
  <si>
    <t xml:space="preserve">Guo, Deyin/0000-0002-8297-0814</t>
  </si>
  <si>
    <t xml:space="preserve">10.1002/jmv.24411</t>
  </si>
  <si>
    <t xml:space="preserve">DG7MD</t>
  </si>
  <si>
    <t xml:space="preserve">WOS:000372267500006</t>
  </si>
  <si>
    <t xml:space="preserve">Muñoz-Escalante, JC; Mata-Moreno, G; Rivera-Alfaro, G; Noyola, DE</t>
  </si>
  <si>
    <t xml:space="preserve">Carlos Munoz-Escalante, Juan; Mata-Moreno, Gabriel; Rivera-Alfaro, Gerardo; Noyola, Daniel E.</t>
  </si>
  <si>
    <t xml:space="preserve">Global Extension and Predominance of Human Metapneumovirus A2 Genotype with Partial G Gene Duplication</t>
  </si>
  <si>
    <t xml:space="preserve">human metapneumovirus; epidemiology; acute respiratory infections; genotype; molecular epidemiology; pneumovirus</t>
  </si>
  <si>
    <t xml:space="preserve">RESPIRATORY SYNCYTIAL VIRUS; MOLECULAR EPIDEMIOLOGY; G-PROTEIN; CHILDREN; VARIABILITY; CIRCULATION</t>
  </si>
  <si>
    <t xml:space="preserve">Human metapneumovirus (HMPV) is an important respiratory pathogen and is divided in two main groups (A and B). HMPV strains with partial duplications (111-nt and 180-nt duplication) of the G gene have been reported in recent years. Since the initial reports, viruses with these characteristics have been reported in several countries. We analyzed all complete HMPV G gene ectodomain sequences available at GenBank to determine if viruses with 111-nt or 180-nt duplication have become the leading HMPV strains worldwide, and to describe their temporal and geographic distribution. We identified 1462 sequences that fulfilled study criteria (764 HMPV A and 698 HMPV B) reported from 37 countries. The most frequent HMPV A genotype was A2b2 (n = 366), and the most frequent B genotype was B2 (n = 374). A total of 84 sequences contained the 111-nt duplication, and 90 sequences contained the 180-nt duplication. Since 2016, viruses with a partial duplication comprise the most frequent HMPV A sequences globally and have displaced other HMPV A viruses in Asia, Europe, and South America; no sequences of viruses with partial duplication have been reported in North America or Africa so far. Continued surveillance of HMPV is required to identify the emergence and spread of epidemiologically relevant variants.</t>
  </si>
  <si>
    <t xml:space="preserve">[Carlos Munoz-Escalante, Juan; Rivera-Alfaro, Gerardo; Noyola, Daniel E.] Univ Autonoma San Luis Potosi, Fac Med, Microbiol Dept, San Luis Potosi 78210, San Luis Potosi, Mexico; [Mata-Moreno, Gabriel] Univ Autonoma San Luis Potosi, Ctr Invest Ciencias Salud &amp; Biomed, Sect Mol &amp; Translat Med, San Luis Potosi 78210, San Luis Potosi, Mexico</t>
  </si>
  <si>
    <t xml:space="preserve">Noyola, DE (corresponding author), Univ Autonoma San Luis Potosi, Fac Med, Microbiol Dept, San Luis Potosi 78210, San Luis Potosi, Mexico.</t>
  </si>
  <si>
    <t xml:space="preserve">carlos.escalante@uaslp.mx; a188504@alumnos.uaslp.mx; a238871@alumnos.uaslp.mx; dnoyola@uaslp.mx</t>
  </si>
  <si>
    <t xml:space="preserve">Munoz Escalante, Juan Carlos/0000-0002-7284-0194; Mata-Moreno, Gabriel/0009-0002-7619-860X; Noyola, Daniel/0000-0002-4840-6742; Rivera-Alfaro, Gerardo/0000-0002-0439-5463</t>
  </si>
  <si>
    <t xml:space="preserve">Consejo Nacional de Ciencia y Tecnologia (Mexico) [CONACYT-A1-S-38080]</t>
  </si>
  <si>
    <t xml:space="preserve">Consejo Nacional de Ciencia y Tecnologia (Mexico)(Consejo Nacional de Ciencia y Tecnologia (CONACyT))</t>
  </si>
  <si>
    <t xml:space="preserve">This research was funded by Consejo Nacional de Ciencia y Tecnologia (Mexico), grant number: Proyecto CONACYT-A1-S-38080.</t>
  </si>
  <si>
    <t xml:space="preserve">10.3390/v14051058</t>
  </si>
  <si>
    <t xml:space="preserve">1Q4WD</t>
  </si>
  <si>
    <t xml:space="preserve">WOS:000802688700001</t>
  </si>
  <si>
    <t xml:space="preserve">Legrand, L; Vabret, A; Dina, J; Petitjean-Lecherbonnier, J; Stéphanie, G; Cuvillon, D; Tripey, V; Brouard, J; Freymuth, F</t>
  </si>
  <si>
    <t xml:space="preserve">Legrand, Loic; Vabret, Astrid; Dina, Julia; Petitjean-Lecherbonnier, Joelle; Stephanie, Gouarin; Cuvillon, Delphine; Tripey, Valerie; Brouard, Jacques; Freymuth, Francois</t>
  </si>
  <si>
    <t xml:space="preserve">Epidemiological and Phylogenic Study of Human Metapneumovirus Infections During Three Consecutive Outbreaks in Normandy, France</t>
  </si>
  <si>
    <t xml:space="preserve">human metapneumovirus; epidemiological study; M gene; phylogenic study</t>
  </si>
  <si>
    <t xml:space="preserve">RESPIRATORY-TRACT INFECTIONS; REVERSE-TRANSCRIPTASE PCR; GENETIC-VARIABILITY; YOUNG-CHILDREN; NASOPHARYNGEAL SECRETIONS; SYNCYTIAL VIRUS; FRENCH CHILDREN; P-GENE; RT-PCR; DISEASE</t>
  </si>
  <si>
    <t xml:space="preserve">Human metapneumovirus (hMPV) is responsible for respiratory tract disease, particularly in the young and elderly population. An epidemiological and phylogenic study was performed on children admitted to hospital with an acute lower respiratory tract infection (LRI). Data were obtained and analyzed over three consecutive winters, from 2002-2003 to 2004-2005. Each year during the winter period, from November to March, 2,415 nasal swabs were tested by a direct immunofluorescence assay (DFA) for influenza viruses A and B, respiratory syncytial virus, parainfluenza viruses, and adenoviruses. Rhinoviruses, enteroviruses, and coronaviruses OC43 and 229E were detected by RT-PCR. A RT-PCR designed for the M gene was performed on negative samples for hMPV detection and phylogenic analyses. For the three consecutive winters, hMPV represented 10%, 22.6%, and 8.8% of virus-negative samples, respectively. In most cases, clinical symptoms indicated a LRI with a final diagnosis of bronchiolitis. During the winter of 2003-2004, all viral clusters (A1, A2, B1, and B2) that circulated in France shifted progressively from the A group to the B group. This study determined the prevalence of hMPV in Normandy, its clinical impact and permitted the analysis of the molecular evolution during the successive outbreaks. J. Med. Virol. 83:517-524, 2011. (C) 2011 Wiley-Liss, Inc.</t>
  </si>
  <si>
    <t xml:space="preserve">[Legrand, Loic] Frank Duncombe Lab, IFR ICORE 146, F-14053 Caen 4, France; [Legrand, Loic; Vabret, Astrid; Dina, Julia; Petitjean-Lecherbonnier, Joelle; Stephanie, Gouarin; Freymuth, Francois] Univ Hosp, Lab Human &amp; Mol Virol, F-14033 Caen, France; [Cuvillon, Delphine; Tripey, Valerie; Brouard, Jacques] Univ Hosp Caen, Dept Paediat, Caen, France</t>
  </si>
  <si>
    <t xml:space="preserve">CHU de Caen NORMANDIE; Universite de Caen Normandie; CHU de Caen NORMANDIE</t>
  </si>
  <si>
    <t xml:space="preserve">Legrand, L (corresponding author), Frank Duncombe Lab, IFR ICORE 146, F-14053 Caen 4, France.</t>
  </si>
  <si>
    <t xml:space="preserve">l.legrand@cg14.fr; freymuth-f@chu-caen.fr</t>
  </si>
  <si>
    <t xml:space="preserve">10.1002/jmv.22002</t>
  </si>
  <si>
    <t xml:space="preserve">710TN</t>
  </si>
  <si>
    <t xml:space="preserve">WOS:000286540000019</t>
  </si>
  <si>
    <t xml:space="preserve">Mori, A; Kawano, Y; Hara, S; Numoto, S; Kurahashi, H; Okumura, A</t>
  </si>
  <si>
    <t xml:space="preserve">Mori, Ayumi; Kawano, Yoshihiko; Hara, Shinya; Numoto, Shingo; Kurahashi, Hirokazu; Okumura, Akihisa</t>
  </si>
  <si>
    <t xml:space="preserve">A nationwide survey of human metapneumovirus-associated encephalitis/encephalopathy in Japan</t>
  </si>
  <si>
    <t xml:space="preserve">BRAIN &amp; DEVELOPMENT</t>
  </si>
  <si>
    <t xml:space="preserve">Human metapneumovirus; Encephalopathy; Outcome; Children</t>
  </si>
  <si>
    <t xml:space="preserve">LATE REDUCED DIFFUSION; ACUTE ENCEPHALOPATHY; CEREBROSPINAL-FLUID; BIPHASIC SEIZURES; INFECTION; DIAGNOSIS; PNEUMONIA; CHILDREN; PATIENT; ADULT</t>
  </si>
  <si>
    <t xml:space="preserve">Background: As there have been no comprehensive reports of human metapneumovirus-associated encephalopathy (hMPVE), this study examined the clinical features of hMPVE in children in Japan. Method: A nationwide survey of children with hMPVE was conducted using a structured research form. An initial survey asked pediatricians about children with hMPVE treated between 2014 and 2018. A second survey obtained patient information from hos-pitals that responded to the initial survey and those identified as having treated cases from a literature search. We collected demo-graphic data, symptoms of hMPV infection, neurological symptoms, laboratory data, treatment, and outcomes. Outcomes were determined using the Pediatric Cerebral Performance Category Score. Result: Clinical information was available for 16 children. Their median age was 37 months. Six had preexisting neurological disorders. The interval between the onsets of infection and hMPVE was 4 days. Outcomes were good in 11 patients and poor in 5. There were no significant differences in demographic data, neurological symptoms, or laboratory data between the patients with good and poor outcomes. The encephalopathy subtypes were acute encephalopathy with biphasic seizures and late reduced diffusion in 3, clinically mild encephalitis/encephalopathy with a reversible splenial lesion in 3, hemorrhagic shock and encephalopathy syn-drome in 2, and others in 8. Conclusion: The outcomes of children with hMPVE were not very different from those of acute encephalopathy due to other viruses. We found no factors associated with poor outcomes. (c) 2023 Published by Elsevier B.V. on behalf of The Japanese Society of Child Neurology. All rights reserved.</t>
  </si>
  <si>
    <t xml:space="preserve">[Mori, Ayumi; Kawano, Yoshihiko; Hara, Shinya] Toyota Mem Hosp, Dept Pediat, Toyota, Japan; [Numoto, Shingo; Kurahashi, Hirokazu; Okumura, Akihisa] Aichi Med Univ, Dept Pediat, Nagakute, Japan; [Okumura, Akihisa] Aichi Med Univ, Dept Pediat, 1-1 Yazako Karimata, Nagakute, Aichi 4801195, Japan</t>
  </si>
  <si>
    <t xml:space="preserve">Aichi Medical University; Aichi Medical University</t>
  </si>
  <si>
    <t xml:space="preserve">Okumura, A (corresponding author), Aichi Med Univ, Dept Pediat, 1-1 Yazako Karimata, Nagakute, Aichi 4801195, Japan.</t>
  </si>
  <si>
    <t xml:space="preserve">okumura.akihisa.479@mail.aichi-med-u.ac.jp</t>
  </si>
  <si>
    <t xml:space="preserve">Kawano, Yoshihiko/0000-0002-3513-9454; Okumura, Akihisa/0000-0003-2447-2857</t>
  </si>
  <si>
    <t xml:space="preserve">Ministry of Health, Labor, and Welfare [21FC1005, 22HA0301]; Grants-in-Aid for Scientific Research [20K08241] Funding Source: KAKEN</t>
  </si>
  <si>
    <t xml:space="preserve">Ministry of Health, Labor, and Welfare(Ministry of Health, Labour and Welfare, Japan); Grants-in-Aid for Scientific Research(Ministry of Education, Culture, Sports, Science and Technology, Japan (MEXT)Japan Society for the Promotion of ScienceGrants-in-Aid for Scientific Research (KAKENHI))</t>
  </si>
  <si>
    <t xml:space="preserve">Funding This study was supported by the Research Grants from the Ministry of Health, Labor, and Welfare (21FC1005 and 22HA0301) .</t>
  </si>
  <si>
    <t xml:space="preserve">0387-7604</t>
  </si>
  <si>
    <t xml:space="preserve">1872-7131</t>
  </si>
  <si>
    <t xml:space="preserve">BRAIN DEV-JPN</t>
  </si>
  <si>
    <t xml:space="preserve">Brain Dev.</t>
  </si>
  <si>
    <t xml:space="preserve">10.1016/j.braindev.2023.01.001</t>
  </si>
  <si>
    <t xml:space="preserve">C5AD8</t>
  </si>
  <si>
    <t xml:space="preserve">WOS:000962031200001</t>
  </si>
  <si>
    <t xml:space="preserve">Arnold, JC; Singh, KK; Milder, E; Spector, SA; Sawyer, MH; Gavali, S; Glaser, C</t>
  </si>
  <si>
    <t xml:space="preserve">Arnold, John C.; Singh, Kumud K.; Milder, Edmund; Spector, Stephen A.; Sawyer, Mark H.; Gavali, Shilpa; Glaser, Carol</t>
  </si>
  <si>
    <t xml:space="preserve">Human Metapneumovirus Associated With Central Nervous System Infection in Children</t>
  </si>
  <si>
    <t xml:space="preserve">human metapneumovirus; encephalitis; seizures; pediatric</t>
  </si>
  <si>
    <t xml:space="preserve">YOUNG-CHILDREN; ENCEPHALITIS; CALIFORNIA; DISEASE</t>
  </si>
  <si>
    <t xml:space="preserve">Background: Human metapneumovirus (hMPV) is an established pathogen of the respiratory tract of children and adults. hMPV is related to other paramyxoviruses known to cause encephalitis. Reports suggest that hMPV may cause disease of the central nervous system (CNS). Methods: Two groups of patients were studied. The first group consisted of children between birth and 18 years from whom nasal scrapings were obtained between January 2004 and October 2005. hMPV RNA amplification by PCR was done and records were reviewed for clinical and demographic data. The second group consisted of patients with encephalitis referred to the California Encephalitis Project (CEP) for comprehensive diagnostic testing between November 2004 and June 2006. Results: In group 1, 1474 specimens were examined for hMPV RNA. Sixty-three evaluable patients were infected with hMPV of whom 4 (6.3%) had seizures, compared with 145 patients infected with RSV of whom I had seizures (0.7%, P = 0.031). Comparing respiratory syncytial virus (RSV) and hMPV infections, there was no significant difference in the occurrence of fever. All children with hMPV infections and seizures were hospitalized and 3 were intubated because of status epilepticus. Group 2 consisted of 205 pediatric cases referred to CEP between November 2004 and June 2006 who had hMPV testing done. hMPV was detected in nasopharyngeal swabs of 5 patients. Neither hMPV RNA nor antihMPV specific IgM were detectable in the CSF from the 5 patients for whom CSF was available. Conclusion: Nine cases of CNS illness temporally associated with the presence of hMPV nucleic acid in the upper airway are described. Compared with children infected with RSV, children with hMPV were significantly more likely to have had a seizure. Our data, in conjunction with previously reported cases suggest that hMPV may be associated with a spectrum of CNS disease ranging from febrile seizures to severe, fatal encephalitis.</t>
  </si>
  <si>
    <t xml:space="preserve">[Arnold, John C.; Milder, Edmund] USN, Med Ctr, Dept Pediat, Div Infect Dis, San Diego, CA 92152 USA; [Arnold, John C.] USN, Hlth Res Ctr, San Diego, CA 92152 USA; [Singh, Kumud K.; Spector, Stephen A.; Sawyer, Mark H.] Univ Calif San Diego, Dept Pediat, Ctr AIDS Res, Div Infect Dis, San Diego, CA 92103 USA; [Gavali, Shilpa; Glaser, Carol] Ctr Infect Dis, Viral &amp; Rickettsial Dis Lab, Calif Dept Publ Hlth, Berkeley, CA USA</t>
  </si>
  <si>
    <t xml:space="preserve">United States Department of Defense; United States Navy; United States Department of Defense; United States Navy; Naval Medical Research Center (NMRC); Naval Health Research Center (NHRC); University of California System; University of California San Diego; California Department of Public Health</t>
  </si>
  <si>
    <t xml:space="preserve">Arnold, JC (corresponding author), Childrens Hosp, Dept Infect Dis, 3020 Childrens Way,MC 5041, San Diego, CA 92123 USA.</t>
  </si>
  <si>
    <t xml:space="preserve">jcarnold@ucsd.edu</t>
  </si>
  <si>
    <t xml:space="preserve">Virology Core, Center for AIDS Research, University of California, San Diego, CA [AI-36214]</t>
  </si>
  <si>
    <t xml:space="preserve">Virology Core, Center for AIDS Research, University of California, San Diego, CA</t>
  </si>
  <si>
    <t xml:space="preserve">Supported in part by AI-36214 (Virology Core, Center for AIDS Research, University of California, San Diego, CA).</t>
  </si>
  <si>
    <t xml:space="preserve">10.1097/INF.0b013e3181acd221</t>
  </si>
  <si>
    <t xml:space="preserve">525OH</t>
  </si>
  <si>
    <t xml:space="preserve">WOS:000272225200004</t>
  </si>
  <si>
    <t xml:space="preserve">Piñana, M; Vila, J; Maldonado, C; Galano-Frutos, JJ; Valls, M; Sancho, J; Nuvials, FX; Andrés, C; Martín-Gómez, MT; Esperalba, J; Codina, MG; Pumarola, T; Antón, A</t>
  </si>
  <si>
    <t xml:space="preserve">Pinana, Maria; Vila, Jorgina; Maldonado, Carolina; Jose Galano-Frutos, Juan; Valls, Maria; Sancho, Javier; Xavier Nuvials, Francesc; Andres, Cristina; Teresa Martin-Gomez, Maria; Esperalba, Juliana; Gema Codina, Maria; Pumarola, Tomas; Anton, Andres</t>
  </si>
  <si>
    <t xml:space="preserve">Insights into immune evasion of human metapneumovirus: novel 180-and 111-nucleotide duplications within viral G gene throughout 2014-2017 seasons in Barcelona, Spain</t>
  </si>
  <si>
    <t xml:space="preserve">Human metapneumovirus; duplication; steric shielding; epidemiology; genetic diversity; clinical impact</t>
  </si>
  <si>
    <t xml:space="preserve">MOLECULAR EPIDEMIOLOGY; INFECTION; DIVERSITY; CHILDREN; DISEASE</t>
  </si>
  <si>
    <t xml:space="preserve">Background: Human metapneumovirus (HMPV) is an important aetiologic agent of respiratory tract infection (RTI). This study aimed to describe its genetic diversity and clinical impact in patients attended at a tertiary university hospital in Barcelona from the 2014-2015 to the 2016-2017 seasons, focusing on the emerging du-plications in G gene and their structural properties. Methods: Laboratory-confirmed HMPV were characterised based on partial-coding F and G gene sequences with MEGA.v6.0. Computational analysis of disorder propensity, aggregation propensity and glycosylation sites in viral G predicted protein sequence were carried out. Clinical data was retrospectively reviewed and further associated to virological features. Results: HMPV prevalence was 3%. The 180and 111-nucleotide duplications occurred in A2c lineage G protein increased in prevalence throughout the study, in addition to short genetic changes observed in other HMPV lineages. The A2c G protein without duplications was calculated to protrude over F protein in 23% of cases and increased to a 39% and a 46% with the 111and 180-nucleotide duplications, respectively. Children did not seem to be more affected by these mutant viruses, but there was a strong association of these variants to LRTI in adults. Discussion: HMPV presents a high genetic diversity in all lineages. Novel variants carrying duplications might present an evolutionary advantage due to an improved steric shielding, which would have been responsible for the reported increasing prevalence and the association to LRTI in adults.</t>
  </si>
  <si>
    <t xml:space="preserve">[Pinana, Maria; Andres, Cristina; Teresa Martin-Gomez, Maria; Esperalba, Juliana; Gema Codina, Maria; Pumarola, Tomas; Anton, Andres] Univ Autonoma Barcelona, Vall dHebron Hosp Univ, Vall dHebron Barcelona Hosp Campus, Resp Viruses Unit,Microbiol Dept,Vall dHebron Ins, Passeig Vall dHebron 119-129, Barcelona 08035, Spain; [Vila, Jorgina; Valls, Maria] Univ Autonoma Barcelona, Hosp Univ Maternoinfantil Vall dHebron, Paediat Hospitalizat Unit, Paediat Dept,Vall dHebron Barcelona Hosp Campus, Passeig Vall dHebron 119-129, Barcelona 08035, Spain; [Maldonado, Carolina; Xavier Nuvials, Francesc] Univ Autonoma Barcelona, Vall dHebron Hosp Univ, Intens Care Dept, Vall dHebron Barcelona Hosp Campus, Passeig Vall dHebron 119-129, Barcelona 08035, Spain; [Jose Galano-Frutos, Juan; Sancho, Javier] Univ Zaragoza, Sci Fac, Biochem &amp; Mol &amp; Cell Biol Dept, Zaragoza, Spain; [Jose Galano-Frutos, Juan; Sancho, Javier] Univ Zaragoza, Biocomputat &amp; Complex Syst Phys Inst BIFI, Joint Units BIFI IQFR CSIC &amp; GBs CSIC, Zaragoza, Spain; [Sancho, Javier] Aragon Hlth Res Inst IIS Aragon, Zaragoza, Spain</t>
  </si>
  <si>
    <t xml:space="preserve">Autonomous University of Barcelona; Autonomous University of Barcelona; Autonomous University of Barcelona; University of Zaragoza; University of Zaragoza; Consejo Superior de Investigaciones Cientificas (CSIC); CSIC - Instituto de Quimica Fisica Rocasolano (IQFR)</t>
  </si>
  <si>
    <t xml:space="preserve">Pumarola, T (corresponding author), Univ Autonoma Barcelona, Vall dHebron Hosp Univ, Vall dHebron Barcelona Hosp Campus, Resp Viruses Unit,Microbiol Dept,Vall dHebron Ins, Passeig Vall dHebron 119-129, Barcelona 08035, Spain.</t>
  </si>
  <si>
    <t xml:space="preserve">virusrespiratoris@vhebron.net</t>
  </si>
  <si>
    <t xml:space="preserve">Sancho, javier/AAA-1225-2019; Vila, Jorgina/ITV-2504-2023; Martin-Gomez, M.Teresa/AAE-3573-2021; Piñana, María/GWC-6136-2022; Esperalba, Juliana/AFV-4920-2022; Martin Gomez, M. Teresa/S-5283-2017; Galano-Frutos, Juan Jose/J-4337-2015; Anton Pagarolas, Andres/B-3308-2011</t>
  </si>
  <si>
    <t xml:space="preserve">Esperalba, Juliana/0000-0003-1326-1341; Andres Verges, Cristina/0000-0002-3200-0895; Pinana, Maria/0000-0002-4766-2613; Martin Gomez, M. Teresa/0000-0001-8119-8749; Galano-Frutos, Juan Jose/0000-0002-1896-7805; Anton Pagarolas, Andres/0000-0002-1476-0815; Sancho, Javier/0000-0002-2879-9200; Nuvials, Xavier/0000-0002-6648-2394</t>
  </si>
  <si>
    <t xml:space="preserve">Spanish Ministry of Economy and Competitiveness, Instituto de Salud Carlos III [BFU2016-78232-P]; European Regional Development Fund, through the Interreg V-A programme: POCTEFA 2014-2020 [EFA086/15]; European Development Regional Fund (ERDF) A way to achieve Europe, Spanish Network for Research in Infectious Diseases [REIPI RD16/0016/0003]</t>
  </si>
  <si>
    <t xml:space="preserve">Spanish Ministry of Economy and Competitiveness, Instituto de Salud Carlos III(Spanish Government); European Regional Development Fund, through the Interreg V-A programme: POCTEFA 2014-2020(European Union (EU)); European Development Regional Fund (ERDF) A way to achieve Europe, Spanish Network for Research in Infectious Diseases(European Union (EU))</t>
  </si>
  <si>
    <t xml:space="preserve">This study was supported by the Spanish Ministry of Economy and Competitiveness (grants BFU2016-78232-P), Instituto de Salud Carlos III and by the European Regional Development Fund, through the Interreg V-A programme: POCTEFA 2014-2020 (grant Pirepred EFA086/15). It was also co-financed by the European Development Regional Fund (ERDF) A way to achieve Europe, Spanish Network for Research in Infectious Diseases (REIPI RD16/0016/0003). We also would like to acknowledge the Statistics and Bioinformatics Unit (UEB) in Vall d'Hebron Research Institute (VHIR) for the statistical analyses.</t>
  </si>
  <si>
    <t xml:space="preserve">10.1016/j.jcv.2020.104590</t>
  </si>
  <si>
    <t xml:space="preserve">OU0QN</t>
  </si>
  <si>
    <t xml:space="preserve">Green Submitted, Green Accepted, Green Published</t>
  </si>
  <si>
    <t xml:space="preserve">WOS:000591241200014</t>
  </si>
  <si>
    <t xml:space="preserve">Min, XY; Wang, YQ; Dong, XX; Dong, XQ; Wang, N; Wang, ZY; Shi, LM</t>
  </si>
  <si>
    <t xml:space="preserve">Min, Xiaoyu; Wang, Yaqian; Dong, Xiaoxiao; Dong, Xiaoqing; Wang, Nan; Wang, Ziyu; Shi, Liming</t>
  </si>
  <si>
    <t xml:space="preserve">Epidemiological characteristics of human metapneumovirus among children in Nanjing, China</t>
  </si>
  <si>
    <t xml:space="preserve">Human metapneumovirus; Duplication; Epidemiology; G protein</t>
  </si>
  <si>
    <t xml:space="preserve">RESPIRATORY-INFECTION</t>
  </si>
  <si>
    <t xml:space="preserve">PurposeThe objective of this study was to examine the molecular epidemiology and clinical characteristics of HMPV infection among children with ARIs in Nanjing.MethodsThe respiratory samples were collected from 2078 children (&lt;= 14 years) with acute respiratory infections and were tested for HMPV using real-time RT-PCR. Amplification and sequencing of the HMPV G gene were followed by phylogenetic analysis using MEGA 7.0.ResultThe detection rate of HMPV among children was 4.7% (97/2078), with a concentration in those under 5 years of age. Notably, the peak season for HMPV prevalence was observed in winter. Among the 97 HMPV-positive samples, 51.5% (50/97) were available for characterization of the HMPV G protein gene. Phylogenetic analysis indicated that the sequenced HMPV strains were classified into three sublineages: A2c111nt - dup (84.0%), B1 (2.0%), and B2 (14.0%).ConclusionThere was an incidence of HMPV among hospitalized children during 2021-2022 in Nanjing with A2c111nt - dup being the dominant strain. This study demonstrated the molecular epidemiological characteristics of HMPV among children with respiratory infections in Nanjing, China.</t>
  </si>
  <si>
    <t xml:space="preserve">[Min, Xiaoyu; Wang, Yaqian; Dong, Xiaoxiao; Dong, Xiaoqing; Wang, Nan; Wang, Ziyu; Shi, Liming] Nanjing Ctr Dis Control &amp; Prevent, Nanjing, Jiangsu, Peoples R China</t>
  </si>
  <si>
    <t xml:space="preserve">Shi, LM (corresponding author), Nanjing Ctr Dis Control &amp; Prevent, Nanjing, Jiangsu, Peoples R China.</t>
  </si>
  <si>
    <t xml:space="preserve">105547974@qq.com</t>
  </si>
  <si>
    <t xml:space="preserve">Dong, Xiaoxiao/AAH-8043-2019; Dong, Xiaoqing/G-1386-2014; Wang, Shiyao/JLL-7826-2023</t>
  </si>
  <si>
    <t xml:space="preserve">Nanjing Health Science and Technology Development Special Fund Project</t>
  </si>
  <si>
    <t xml:space="preserve">We thank Mengkai Qiao for the technical assistance.</t>
  </si>
  <si>
    <t xml:space="preserve">10.1007/s10096-024-04858-z</t>
  </si>
  <si>
    <t xml:space="preserve">YZ8G5</t>
  </si>
  <si>
    <t xml:space="preserve">WOS:001232224500003</t>
  </si>
  <si>
    <t xml:space="preserve">Pinana, M; González-Sánchez, A; Andrés, C; Abanto, M; Vila, J; Esperalba, J; Moral, N; Espartosa, E; Saubi, N; Creus, A; Codina, MG; Folgueira, D; Martinez-Urtaza, J; Pumarola, T; Antón, A</t>
  </si>
  <si>
    <t xml:space="preserve">Pinana, Maria; Gonzalez-Sanchez, Alejandra; Andres, Cristina; Abanto, Michel; Vila, Jorgina; Esperalba, Juliana; Moral, Noelia; Espartosa, Elena; Saubi, Narcis; Creus, Anna; Codina, Maria Gema; Folgueira, Dolores; Martinez-Urtaza, Jaime; Pumarola, Tomas; Anton, Andres</t>
  </si>
  <si>
    <t xml:space="preserve">The emergence, impact, and evolution of human metapneumovirus variants from 2014 to 2021 in Spain</t>
  </si>
  <si>
    <t xml:space="preserve">Human metapneumovirus; Duplication; Epidemiology; Evolution; Whole-genome sequencing</t>
  </si>
  <si>
    <t xml:space="preserve">DUPLICATION; CHILDREN</t>
  </si>
  <si>
    <t xml:space="preserve">Background: Human metapneumovirus (HMPV) is an important aetiologic agent of respiratory tract infection (RTI). This study aimed to describe the prevalence, genetic diversity, and evolutionary dynamics of HMPV. Methods: Laboratory-confirmed HMPV were characterised based on partial-coding G gene sequences with MEGA.v6.0. WGS was performed with Illumina, and evolutionary analyses with Datamonkey and Nextstrain. Results: HMPV prevalence was 2.5%, peaking in February-April and with an alternation in the predominance of HMPV-A and -B until the emergence of SARS-CoV-2, not circulating until summer and autumn-winter 2021, with a higher prevalence and with the almost only circulation of A2c111dup. G and SH proteins were the most variable, and 70% of F protein was under negative selection. Mutation rate of HMPV genome was 6.95 x 10-4 substitutions/site/year. Conclusion: HMPV showed a significant morbidity until the emergence of SARS-CoV-2 pandemic in 2020, not circulating again until summer and autumn 2021, with a higher prevalence and with almost the only circulation of A2c111dup, probably due to a more efficient immune evasion mechanism. The F protein showed a very conserved nature, supporting the need for steric shielding. The tMRCA showed a recent emergence of the A2c variants carrying duplications, supporting the importance of virological surveillance. &amp; COPY; 2023 The Author(s). Published by Elsevier Ltd on behalf of The British Infection Association. This is an open access article under the CC BY-NC-ND license (http://creativecommons.org/licenses/by-nc-nd/4.0/).</t>
  </si>
  <si>
    <t xml:space="preserve">[Pinana, Maria; Gonzalez-Sanchez, Alejandra; Andres, Cristina; Esperalba, Juliana; Saubi, Narcis; Codina, Maria Gema; Pumarola, Tomas; Anton, Andres] Univ Autonoma Barcelona, Vall dHebron Hosp Univ, Vall dHebron Inst Recerca VHIR, Resp Viruses Unit,Microbiol Dept, Vall dHebron Barcelona Hosp Campus, Barcelona, Spain; [Abanto, Michel] Univ La Frontera, Genom &amp; Bioinformat Unit, Sci &amp; Technol Bioresource Nucleus BIOREN, Temuco, Chile; [Vila, Jorgina; Creus, Anna] Univ Autonoma Barcelona, Hosp Univ Maternoinfantil Vall dHebron, Paediat Dept, Paediat Hospitalizat Unit, Barcelona, Spain; [Moral, Noelia; Espartosa, Elena; Folgueira, Dolores] Univ Complutense Madrid, Hosp Univ 12 Octubre, Inst Invest Hosp Octubre 12 imas12, Dept Clin Microbiol, Madrid, Spain; [Martinez-Urtaza, Jaime] Univ Autonoma Barcelona, Sch Biosci, Dept Genet &amp; Microbiol, Bellaterra 08193, Spain; [Pumarola, Tomas] Univ Autonoma Barcelona, Hosp Univ Vall dHebron, Vall dHebron Res Inst, Microbiol Dept,Resp Viruses Unit, Passeig Vall dHebron 119-129, Barcelona, Spain</t>
  </si>
  <si>
    <t xml:space="preserve">Autonomous University of Barcelona; Hospital Universitari Vall d'Hebron; Vall d'Hebron Institut de Recerca (VHIR); Universidad de La Frontera; Autonomous University of Barcelona; Complutense University of Madrid; Hospital Universitario 12 de Octubre; Autonomous University of Barcelona; Autonomous University of Barcelona; Hospital Universitari Vall d'Hebron; Vall d'Hebron Institut de Recerca (VHIR)</t>
  </si>
  <si>
    <t xml:space="preserve">Pumarola, T (corresponding author), Univ Autonoma Barcelona, Hosp Univ Vall dHebron, Vall dHebron Res Inst, Microbiol Dept,Resp Viruses Unit, Passeig Vall dHebron 119-129, Barcelona, Spain.</t>
  </si>
  <si>
    <t xml:space="preserve">virusrespiratoris@vallhebron.cat</t>
  </si>
  <si>
    <t xml:space="preserve">Creus-Costa, Anna/JXY-8583-2024; Martinez-Urtaza, Jaime/ABG-5429-2020; Piñana, María/GWC-6136-2022; Esperalba, Juliana/AFV-4920-2022; Vila, Jorgina/ITV-2504-2023; Marin, Michel/AAH-3245-2019; Anton Pagarolas, Andres/B-3308-2011</t>
  </si>
  <si>
    <t xml:space="preserve">Andres Verges, Cristina/0000-0002-3200-0895; Gonzalez-Sanchez, Alejandra/0000-0002-1809-3415; Creus-Costa, Anna/0000-0002-9861-5550; Martinez-Urtaza, Jaime/0000-0001-6219-0418; Esperalba, Juliana/0000-0003-1326-1341; Pinana, Maria/0000-0002-4766-2613; Anton Pagarolas, Andres/0000-0002-1476-0815</t>
  </si>
  <si>
    <t xml:space="preserve">European Regional Development Fund (ERDF)A way to achieve Europe; Spanish Network for Research in Infectious Diseases [REIPI RD16/0016/0003]; Health Research Fund; Health Research Fund, Spanish Ministry of Economy and Competitiveness [FIS PI18/00685]</t>
  </si>
  <si>
    <t xml:space="preserve">European Regional Development Fund (ERDF)A way to achieve Europe(European Union (EU)); Spanish Network for Research in Infectious Diseases; Health Research Fund(Instituto de Salud Carlos III); Health Research Fund, Spanish Ministry of Economy and Competitiveness</t>
  </si>
  <si>
    <t xml:space="preserve">This study was supported by the European Regional Development Fund (ERDF) A way to achieve Europe, Spanish Network for Research in Infectious Diseases [REIPI RD16/0016/0003] , and supported by the Health Research Fund, Spanish Ministry of Economy and Competitiveness [Grant FIS PI18/00685] .</t>
  </si>
  <si>
    <t xml:space="preserve">10.1016/j.jinf.2023.05.004</t>
  </si>
  <si>
    <t xml:space="preserve">N9ON6</t>
  </si>
  <si>
    <t xml:space="preserve">WOS:001040222200001</t>
  </si>
  <si>
    <t xml:space="preserve">Wolf, JM; Gregianini, TS; Seadi, CMF; Tumioto, GL; Dambros, BP; Lehmann, FKM; De Carli, S; Ikuta, N; Lunge, VR</t>
  </si>
  <si>
    <t xml:space="preserve">Wolf, Jonas Michel; Gregianini, Tatiana Schaeffer; Farina Seadi, Claudete Maria; Tumioto, Gabriela Luchiari; Dambros, Bibiana Paula; Moreira Lehmann, Fernanda Kieling; De Carli, Silvia; Ikuta, Nilo; Lunge, Vagner Ricardo</t>
  </si>
  <si>
    <t xml:space="preserve">Performance of direct immunofluorescence assay for the detection of human metapneumovirus under clinical laboratory settings</t>
  </si>
  <si>
    <t xml:space="preserve">Human metapneumovirus; Direct immunofl uorescence; qRT-PCR</t>
  </si>
  <si>
    <t xml:space="preserve">RESPIRATORY SYNCYTIAL VIRUS; REAL-TIME PCR; SOUTHERN BRAZIL; PERSPECTIVE; INFECTION; CAMPINAS</t>
  </si>
  <si>
    <t xml:space="preserve">Introduction: Human metapneumovirus (hMPV) is an emergent human respiratory pathogen. This study aimed to evaluate the performance of direct immunofluorescence (DIF) to detect hMPV in a clinical laboratory setting. Methods: Nasopharyngeal aspirate samples (448) of children and adults with respiratory illness were used to detect hMPV by using DIF and real time quantitative reverse transcription-polymerase chain reaction (qRT-PCR) assays. Results: In all, 36 (8%) samples were positive by DIF and 94 (21%) were positive by qRT-PCR. Direct immunofl uorescence specificity was 99% and sensitivity was 38%. Conclusions: DIF is not very sensitive under clinical laboratory settings.</t>
  </si>
  <si>
    <t xml:space="preserve">[Wolf, Jonas Michel; Moreira Lehmann, Fernanda Kieling; De Carli, Silvia; Ikuta, Nilo; Lunge, Vagner Ricardo] Univ Luterana Brasil, Lab Diagnost Mol, Canoas, RS, Brazil; [Wolf, Jonas Michel; Moreira Lehmann, Fernanda Kieling; Ikuta, Nilo; Lunge, Vagner Ricardo] Univ Luterana Brasil, Programa Posgrad Biol Celular &amp; Mol Aplicada Saud, Canoas, RS, Brazil; [Gregianini, Tatiana Schaeffer; Farina Seadi, Claudete Maria; Tumioto, Gabriela Luchiari; Dambros, Bibiana Paula] Inst Pesquisas Biol, Lab Cent Saude Publ Estado Rio Grande Sul, Porto Alegre, RS, Brazil</t>
  </si>
  <si>
    <t xml:space="preserve">Universidade Luterana do Brasil; Universidade Luterana do Brasil</t>
  </si>
  <si>
    <t xml:space="preserve">Lunge, VR (corresponding author), Univ Luterana Brasil, Lab Diagnost Mol, Ave Farroupilha 8001, BR-92425900 Canoas, RS, Brazil.</t>
  </si>
  <si>
    <t xml:space="preserve">lunge@ulbra.br</t>
  </si>
  <si>
    <t xml:space="preserve">Wolf, Jonas/AAI-9119-2020; Lunge, Vagner Ricardo/D-7915-2013</t>
  </si>
  <si>
    <t xml:space="preserve">Lunge, Vagner Ricardo/0000-0003-4012-8650; Ikuta, Nilo/0000-0002-5598-5340; De Carli, Silvia/0000-0002-3440-2134; Wolf, Jonas/0000-0001-7577-464X</t>
  </si>
  <si>
    <t xml:space="preserve">Universidade Luterana do Brasil (ULBRA); Instituto de Pesquisas Biologicas - Laboratorio Central de Sande Publica do Rio Grande do Sul (IPB-LACEN/RS)</t>
  </si>
  <si>
    <t xml:space="preserve">This study was supported by Universidade Luterana do Brasil (ULBRA) and Instituto de Pesquisas Biologicas - Laboratorio Central de Sande Publica do Rio Grande do Sul (IPB-LACEN/RS).</t>
  </si>
  <si>
    <t xml:space="preserve">10.1590/0037-8682-0107-2015</t>
  </si>
  <si>
    <t xml:space="preserve">CZ5RA</t>
  </si>
  <si>
    <t xml:space="preserve">WOS:000367158500018</t>
  </si>
  <si>
    <t xml:space="preserve">Klemenc, J; Ali, SA; Johnson, M; Tollefson, SJ; Talbota, HK; Hartert, TV; Edwards, KM; Williams, JV</t>
  </si>
  <si>
    <t xml:space="preserve">Klemenc, Jennifer; Ali, S. Asad; Johnson, Monika; Tollefson, Sharon J.; Talbota, H. Keipp; Hartert, Tina V.; Edwards, Kathryn M.; Williams, John V.</t>
  </si>
  <si>
    <t xml:space="preserve">Real-time reverse transcriptase PCR assay for improved detection of human metapneumovirus</t>
  </si>
  <si>
    <t xml:space="preserve">Human metapneumovirus; Diagnostics; Real-time RT-PCR</t>
  </si>
  <si>
    <t xml:space="preserve">RESPIRATORY SYNCYTIAL VIRUS; GENETIC DIVERSITY; TRANSPLANT RECIPIENTS; YOUNG-CHILDREN; TRACT DISEASE; MEASLES-VIRUS; INFECTION; IMPACT; ADULTS; VARIABILITY</t>
  </si>
  <si>
    <t xml:space="preserve">Background: Human metapneumovirus (HMPV) is a paramyxovirus with multiple genetic lineages that is a leading cause of acute respiratory disease. Several RT-PCR assays have been described based on limited available sequence data. Objectives: To develop a broadly reactive real-time RT-PCR assay for HMPV that allows for a rapid, sensitive, and specific detection in a clinical or research setting. Study design: Three published assays for HMPV were modified based on analysis of multiple HMPV sequences obtained from GenBank. Original and modified assays were tested against prototype HMPV strains from each genetic sublineage, multiple isolates of HMPV from different years, a collection of clinical specimens, and commercial validation panels. Results: A number of potential sequence mismatches with diverse HMPV strains were identified. Modifications were made to oligonucleotides to improve annealing efficiency. Primers and probes based on newer sequence data offered enhanced detection of all subgroups, especially for low titer specimens. The new primers and probe detected multiple clinical isolates of HMPV collected over a twenty-year period. The modified assay improved detection of HMPV in a panel of clinical specimens, and correctly identified HMPV samples in two commercial validation sets. Conclusions: We report a modified real-time RT-PCR assay for HMPV that detects all genetic lineages with high sensitivity. (c) 2012 Elsevier B.V. All rights reserved.</t>
  </si>
  <si>
    <t xml:space="preserve">[Williams, John V.] Vanderbilt Univ, Med Ctr, Sch Med, Dept Pediat, Nashville, TN 37232 USA; [Williams, John V.] Vanderbilt Univ, Sch Med, Dept Pathol Microbiol &amp; Immunol, Nashville, TN 37232 USA; [Talbota, H. Keipp; Hartert, Tina V.] Vanderbilt Univ, Sch Med, Dept Med, Nashville, TN 37232 USA</t>
  </si>
  <si>
    <t xml:space="preserve">Williams, John/ABE-3227-2020; Talbot, Helen/KLY-2181-2024; PAN, WILLIAM/HTR-1125-2023</t>
  </si>
  <si>
    <t xml:space="preserve">Ali, Syed Asad/0000-0001-5274-7665; Talbot, H. Keipp/0000-0003-0141-1760</t>
  </si>
  <si>
    <t xml:space="preserve">NIH [AI-82417, AI-085062, AI-077930, U01 HL-072471]; Vanderbilt CTSA grant NIH/NCRR [UL1-RR024975]; Thrasher Research Fund Clinical Research Grant; CDC; sanofi pasteur; [AI-074863]; [AI-25462]</t>
  </si>
  <si>
    <t xml:space="preserve">NIH(United States Department of Health &amp; Human ServicesNational Institutes of Health (NIH) - USA); Vanderbilt CTSA grant NIH/NCRR; Thrasher Research Fund Clinical Research Grant; CDC(Centre National de la Recherche Scientifique (CNRS)United States Department of Health &amp; Human ServicesCenters for Disease Control &amp; Prevention - USA); sanofi pasteur; ;</t>
  </si>
  <si>
    <t xml:space="preserve">Supported by NIH AI-82417 and AI-085062 to JVW; Vanderbilt CTSA grant NIH/NCRR UL1-RR024975, Thrasher Research Fund Clinical Research Grant (TVH), NIH AI-077930 (TVH), NIH U01 HL-072471 (TVH); AI-074863 (HKT); AI-25462 (KME).KME has received funding from the NIH and the CDC to evaluate the impact of influenza vaccines and study new influenza vaccines. HKT has received research funds from sanofi pasteur. JVW serves on the Scientific Advisory Board of Quidel.</t>
  </si>
  <si>
    <t xml:space="preserve">10.1016/j.jcv.2012.05.005</t>
  </si>
  <si>
    <t xml:space="preserve">973QK</t>
  </si>
  <si>
    <t xml:space="preserve">WOS:000306374700018</t>
  </si>
  <si>
    <t xml:space="preserve">Bugatti, A; Marsico, S; Fogli, M; Roversi, S; Messali, S; Bosisio, D; Giagulli, C; Caruso, A; Sozzani, S; Fiorentini, S; Caccuri, F</t>
  </si>
  <si>
    <t xml:space="preserve">Bugatti, Antonella; Marsico, Stefania; Fogli, Manuela; Roversi, Sara; Messali, Serena; Bosisio, Daniela; Giagulli, Cinzia; Caruso, Arnaldo; Sozzani, Silvano; Fiorentini, Simona; Caccuri, Francesca</t>
  </si>
  <si>
    <t xml:space="preserve">Human Metapneumovirus Establishes Persistent Infection in Lung Microvascular Endothelial Cells and Primes a Th2-Skewed Immune Response</t>
  </si>
  <si>
    <t xml:space="preserve">human metapneumovirus; dendritic cells; Th2 response; IL-4; OX40L</t>
  </si>
  <si>
    <t xml:space="preserve">RESPIRATORY SYNCYTIAL VIRUS; DENDRITIC CELLS; PULMONARY INFLAMMATION; TRACT INFECTIONS; INFLUENZA-VIRUS; ASTHMA; CYTOKINE; MICE; PATHOGENESIS; REPLICATION</t>
  </si>
  <si>
    <t xml:space="preserve">Human Metapneumovirus(HMPV) is a major cause of lower respiratory tract infections. HMPV infection has been hypothesized to alter dendritic cell (DC) immune response; however, many questions regarding HMPV pathogenesis within the infected lung remain unanswered. Here, we show that HMPV productively infects human lung microvascular endothelial cells (L-HMVECs). The release of infectious virus occurs for up to more than 30 days of culture without producing overt cytopathic effects and medium derived from persistently HMPV-infected L-HMVECs (secretome) induced monocyte-derived DCs to prime naive CD4 T-cells toward a Th2 phenotype. Moreover, we demonstrated that infected secretomes trigger DCs to up-regulate OX40L expression and OX40L neutralization abolished the pro-Th2 effect that is induced by HMPV-secretome. We clarified secretome from HMPV by size exclusion and ultracentrifugation with the aim to characterize the role of viral particles in the observed pro-Th2 effect. In both cases, the percentage of IL-4-producing cells and expression of OX40L returned at basal levels. Finally, we showed that HMPV,per se, could reproduce the ability of secretome to prime pro-Th2 DCs. These results suggest that HMPV, persistently released by L-HMVECs, might take part in the development of a skewed, pro-Th2 lung microenvironment.</t>
  </si>
  <si>
    <t xml:space="preserve">[Bugatti, Antonella; Fogli, Manuela; Roversi, Sara; Messali, Serena; Giagulli, Cinzia; Caruso, Arnaldo; Fiorentini, Simona; Caccuri, Francesca] Univ Brescia, Dept Mol &amp; Translat Med, Microbiol Sect, I-25123 Brescia, Italy; [Marsico, Stefania] Univ Calabria, Dept Pharm Hlth &amp; Nutr Sci, I-87036 Cosenza, Italy; [Bosisio, Daniela; Sozzani, Silvano] Univ Brescia, Dept Mol &amp; Translat Med, Sect Gen Pathol &amp; Immunol, I-25123 Brescia, Italy</t>
  </si>
  <si>
    <t xml:space="preserve">University of Brescia; University of Calabria; University of Brescia</t>
  </si>
  <si>
    <t xml:space="preserve">Fiorentini, S (corresponding author), Univ Brescia, Dept Mol &amp; Translat Med, Microbiol Sect, I-25123 Brescia, Italy.</t>
  </si>
  <si>
    <t xml:space="preserve">antonella.bugatti@unibs.it; stefania.marsico@unical.it; manuela.fogli@yahoo.it; s.roversi003@unibs.it; s.messali@unibs.it; daniela.bosisio@unibs.it; cinzia.giagulli@unibs.it; arnaldo.caruso@unibs.it; silvano.sozzani@unibs.it; francesca.caccuri@unibs.it; francesca.caccuri@unibs.it</t>
  </si>
  <si>
    <t xml:space="preserve">MARSICO, Stefania/J-9938-2019; Bosisio, Daniela/AAL-3792-2020; Caccuri, Francesca/AAC-1281-2022; Sozzani, Silvano/C-1447-2009</t>
  </si>
  <si>
    <t xml:space="preserve">Sozzani, Silvano/0000-0002-3144-8743; Bugatti, Antonella/0000-0001-5450-5774; FIORENTINI, SIMONA/0000-0002-1866-314X; MARSICO, Stefania/0000-0003-1598-0526; Caccuri, Francesca/0000-0002-1923-9033; GIAGULLI, Cinzia/0000-0002-4461-9353</t>
  </si>
  <si>
    <t xml:space="preserve">10.3390/microorganisms8060824</t>
  </si>
  <si>
    <t xml:space="preserve">MR4AS</t>
  </si>
  <si>
    <t xml:space="preserve">WOS:000553531900001</t>
  </si>
  <si>
    <t xml:space="preserve">Xiang, WQ; Li, L; Wang, BH; Ali, AF; Li, W</t>
  </si>
  <si>
    <t xml:space="preserve">Xiang, Wen-qing; Li, Lin; Wang, Bing-han; Ali, Ahmed Faisal; Li, Wei</t>
  </si>
  <si>
    <t xml:space="preserve">Profiles and predictive value of cytokines in children with human metapneumovirus pneumonia</t>
  </si>
  <si>
    <t xml:space="preserve">Human metapneumovirus; Cytokines; Children; Pneumonia; Predictive value</t>
  </si>
  <si>
    <t xml:space="preserve">IMMUNE-RESPONSE; INFECTION; IL-10</t>
  </si>
  <si>
    <t xml:space="preserve">Background: Human metapneumovirus (HMPV) is an important cause of respiratory tract infections in young children. Early innate immune response to HMPV is focused on induction of antiviral interferons (IFNs) and other pro-inflammatory cytokines that are critical for the formation of adaptive immune responses. To evaluate the predictive value of Th1/Th2 cytokines which include IL-2, IL-4, IL-6, IL-10, INF-gamma and TNF-alpha in pneumonia caused by HMPV. Methods: A retrospective study was performed among 59 pneumonia pediatric patients with HMPV infection and 33 healthy children as the control cohort, which was detected by the immunofluorescence assay, and the Th1/Th2 cytokines were measured by flow cytometry. 131 children infected with Influenza virus A (IVA) and 41 children infected with influenza virus B (IVB) were detected by RT-PCR assay in throat swabs. Results: When compared with the healthy children, children who were infected with HMPV pneumonia had a significantly lower level of IL-2 (p &lt; 0.001) and higher levels of IL-4 (p &lt; 0.001), IL-6 (p = 0.001), IL-10 (p &lt; 0.001), and IFN-gamma (p &lt; 0.001). Compared with patients diagnosed with IVA or IVB infection, HMPV-positive patients had significantly higher levels of IL-4 (p &lt; 0.001 and &lt; 0.001), IFN-gamma (p &lt; 0.001 and &lt; 0.001), and TNF-alpha (p &lt; 0.001 and 0.016). Moreover, compared with IVA patients, HMPV-positive patients had a significantly lower level of IL-6 (p = 0.033). Finally, when comparing cytokine levels among the patients with HMPV pneumonia, IL-6 and TNF-alpha levels were found to be significantly higher in the severe group than the mild group (p = 0.027 and 0.049). The IL-6 and TNF-alpha were used to differentiate between mild symptoms and severe symptoms in children diagnosed with HMPV pneumonia with an AUC of 0.678 (95% CI 0.526-0.829) and 0.658 (95% CI 0.506-0.809), respectively. Conclusion: Our study indicated that difference in cytokine trends depending on the virus species. The levels of IL-4, TNF-alpha and IFN-gamma were significantly distinguished in children infected with HMPV versus IVA and IVB. IL-6 and TNF-alpha may be helpful in assessing the severity and prognosis of HMPV infection.</t>
  </si>
  <si>
    <t xml:space="preserve">[Xiang, Wen-qing; Li, Lin; Ali, Ahmed Faisal; Li, Wei] Zhejiang Univ Sch Med, Childrens Hosp, Natl Clin Res Ctr Child Hlth, Dept Clin Lab, 3333 Binsheng Rd, Hangzhou 310052, Peoples R China; [Wang, Bing-han] Zhejiang Univ Sch Med, Sch Publ Hlth, Hangzhou 310052, Peoples R China</t>
  </si>
  <si>
    <t xml:space="preserve">Li, W (corresponding author), Zhejiang Univ Sch Med, Childrens Hosp, Natl Clin Res Ctr Child Hlth, Dept Clin Lab, 3333 Binsheng Rd, Hangzhou 310052, Peoples R China.</t>
  </si>
  <si>
    <t xml:space="preserve">chweige@zju.edu.cn</t>
  </si>
  <si>
    <t xml:space="preserve">National Nature Science Foundation of China; science and technology projects in Zhejiang Province [81701535]; Medical Scientific Projects from the Health Department of Zhejiang Province [LGC21H200004, 2019C03037]; [2018KY455]</t>
  </si>
  <si>
    <t xml:space="preserve">National Nature Science Foundation of China(National Natural Science Foundation of China (NSFC)); science and technology projects in Zhejiang Province; Medical Scientific Projects from the Health Department of Zhejiang Province;</t>
  </si>
  <si>
    <t xml:space="preserve">This work was supported by the National Nature Science Foundation of China (81701535), the science and technology projects in Zhejiang Province (LGC21H200004 and 2019C03037) and the Medical Scientific Projects from the Health Department of Zhejiang Province (2018KY455).</t>
  </si>
  <si>
    <t xml:space="preserve">DEC 10</t>
  </si>
  <si>
    <t xml:space="preserve">10.1186/s12985-022-01949-1</t>
  </si>
  <si>
    <t xml:space="preserve">6Z0EJ</t>
  </si>
  <si>
    <t xml:space="preserve">WOS:000897456700002</t>
  </si>
  <si>
    <t xml:space="preserve">Yim, KC; Cragin, RP; Boukhvalova, MS; Blanco, JCG; Hamlin, MÉ; Boivin, G; Porter, DD; Prince, GA</t>
  </si>
  <si>
    <t xml:space="preserve">Yim, Kevin C.; Cragin, Rose P.; Boukhvalova, Marina S.; Blanco, Jorge C. G.; Hamlin, Marie-Eve; Boivin, Guy; Porter, David D.; Prince, Gregory A.</t>
  </si>
  <si>
    <t xml:space="preserve">Human metapneumovirus:: Enhanced pulmonary disease in cotton rats immunized with formalin-inactivated virus vaccine and challenged</t>
  </si>
  <si>
    <t xml:space="preserve">human metapneumovirus; cotton rat; formalin vaccine enhancement</t>
  </si>
  <si>
    <t xml:space="preserve">RESPIRATORY-TRACT INFECTIONS; SIGMODON-HISPIDUS; ATYPICAL MEASLES; ANIMAL-MODEL; CHILDREN; GLYCOPROTEIN; PATHOGENESIS; CYTOKINE; MACAQUES; ANTIBODY</t>
  </si>
  <si>
    <t xml:space="preserve">Cotton rats (Sigmodon hispidus) are susceptible to the recently discovered human metapneumovirus (hMPV), an agent closely related to human respiratory syncytial virus. Since certain respiratory syncytial virus vaccines can induce enhanced disease upon viral challenge, we have done similar experiments with hMPV in cotton rats. Young adult cotton rats were vaccinated with a formalin-inactivated preparation of hMPV strain C-85473, or with a mock preparation of the vaccine on day 0 and again on day 28. All animals were challenged intranasally on day 49 with 10(7) TCID50 of the same hMPV strain. Animals were sacrificed on days 4, 7, and 10 post-challenge and lungs were removed for viral quantitation, histopathology, and cytokine mRNA expression analysis (interferon-gamma (IFN-gamma) and interleukin-4 (IL-4)). Although the vaccinated animals showed almost complete protection from viral replication in the lungs (&lt; 10(2.0) TCID50 per gram), there was a dramatic increase in the lung pathology, particularly the interstitial pneumonitis and alveolitis with elevated serum neutralizing antibody titer prior to challenge. Cytokine profiles were distinctive from those observed during primary infection and re-infection. The data raise safety concerns for hMPV vaccine preparations. (C) 2007 Elsevier Ltd. All rights reserved.</t>
  </si>
  <si>
    <t xml:space="preserve">Virion Syst Inc, Rockville, MD 20850 USA; Univ Laval, Quebec City, PQ, Canada; Univ Quebec, Ctr Hosp, Res Ctr Infect Dis, Ste Foy, PQ G1V 2M3, Canada</t>
  </si>
  <si>
    <t xml:space="preserve">Laval University; Laval University; University of Quebec</t>
  </si>
  <si>
    <t xml:space="preserve">Yim, KC (corresponding author), Virion Syst Inc, 9610 Med Ctr Dr,Suite 100, Rockville, MD 20850 USA.</t>
  </si>
  <si>
    <t xml:space="preserve">kevinyim@virionsystems.com</t>
  </si>
  <si>
    <t xml:space="preserve">Blanco, Jorge/ITT-1024-2023</t>
  </si>
  <si>
    <t xml:space="preserve">Blanco, Jorge/0000-0002-6173-0213; Boivin, Guy/0000-0003-3027-4662</t>
  </si>
  <si>
    <t xml:space="preserve">NIAID NIH HHS [R01 AI057575-04, R01 AI057575] Funding Source: Medline; PHS HHS [AJ-057575] Funding Source: Medline</t>
  </si>
  <si>
    <t xml:space="preserve">NIAID NIH HHS(United States Department of Health &amp; Human ServicesNational Institutes of Health (NIH) - USANIH National Institute of Allergy &amp; Infectious Diseases (NIAID)); PHS HHS(United States Department of Health &amp; Human ServicesUnited States Public Health Service)</t>
  </si>
  <si>
    <t xml:space="preserve">JUN 28</t>
  </si>
  <si>
    <t xml:space="preserve">10.1016/j.vaccine.2007.04.075</t>
  </si>
  <si>
    <t xml:space="preserve">188MM</t>
  </si>
  <si>
    <t xml:space="preserve">WOS:000247924000008</t>
  </si>
  <si>
    <t xml:space="preserve">Eddens, T; Parks, OB; Lou, DQ; Fan, L; Sojati, J; Ramsey, MJ; Schmitt, L; Salgado, CM; Reyes-Mugica, M; Evans, A; Zou, HM; Oury, TD; Byersdorfer, C; Chen, K; Williams, J</t>
  </si>
  <si>
    <t xml:space="preserve">Eddens, Taylor; Parks, Olivia B.; Lou, Dequan; Fan, Li; Sojati, Jorna; Ramsey, Manda Jo; Schmitt, Lori; Salgado, Claudia M.; Reyes-Mugica, Miguel; Evans, Alysa; Zou, Henry M.; Oury, Tim D.; Byersdorfer, Craig; Chen, Kong; Williams, John, V</t>
  </si>
  <si>
    <t xml:space="preserve">Monocyte Production of C1q Potentiates CD8+ T-Cell Function Following Respiratory Viral Infection</t>
  </si>
  <si>
    <t xml:space="preserve">human metapneumovirus; complement; antiviral; COVID-19; immunity</t>
  </si>
  <si>
    <t xml:space="preserve">T-CELLS; VIRUS-INFECTION; INFLUENZA; IMMUNOPATHOLOGY; MACROPHAGES; ACTIVATION; CONTRIBUTE; BINDING; SITES</t>
  </si>
  <si>
    <t xml:space="preserve">Respiratory viral infections remain a leading cause of morbidity and mortality. Using a murine model of human metapneumovirus, we identified recruitment of a C1q-expressing inflammatory monocyte population concomitant with viral clearance by adaptive immune cells. Genetic ablation of C1q led to reduced CD8(1)T-cellfunction. gamma Production of C1q by a myeloid lineage was necessary to enhance CD8(1)T-cell function. Activated and dividing CD8(1)T cells expressed a C1q receptor, gC1qR. Perturbation of gC1qRsignaling led to altered CD81T-cell IFN- production, metabolic capacity, and cell proliferation. Autopsy specimens from fatal respiratory viral infections in children exhibited diffuse production of C1q by an interstitial population. Humans with severe coronavirus disease (COVID-19) infection also exhibited upregulation of gC1qR on activated and rapidly dividing CD81T cells. Collectively, these studies implicate C1q production from monocytes as a critical regulator of CD81T-cell function following respiratory viral infection</t>
  </si>
  <si>
    <t xml:space="preserve">[Eddens, Taylor] Univ Pittsburgh, Sch Med, Dept Pediat, Div Allergy Immunol, Pittsburgh, PA USA; [Lou, Dequan; Fan, Li; Zou, Henry M.; Chen, Kong] Univ Pittsburgh, Sch Med, Dept Med, Div Pulm, Pittsburgh, PA USA; [Ramsey, Manda Jo; Byersdorfer, Craig] Univ Pittsburgh, Sch Med, Dept Pediat, Div Blood &amp; Marrow Transplant &amp; Cellular Therapies, Pittsburgh, PA USA; [Schmitt, Lori; Salgado, Claudia M.; Reyes-Mugica, Miguel; Oury, Tim D.] Univ Pittsburgh, Sch Med, Dept Pathol, Pittsburgh, PA USA; [Evans, Alysa] Univ Pittsburgh, Sch Med, Program Microbiol &amp; Immunol, Pittsburgh, PA USA; [Parks, Olivia B.; Sojati, Jorna; Williams, John, V] Univ Pittsburgh, Sch Med, Dept Pediat, Div Infect Dis, 4401 Penn Ave, Pittsburgh, PA 15224 USA; [Parks, Olivia B.; Sojati, Jorna] Univ Pittsburgh, Med Scientist Training Program, Pittsburgh, PA USA; [Williams, John, V] Inst Infect Inflammat &amp; Immun Children, Pittsburgh, PA USA</t>
  </si>
  <si>
    <t xml:space="preserve">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t>
  </si>
  <si>
    <t xml:space="preserve">Williams, J (corresponding author), Univ Pittsburgh, Sch Med, Dept Pediat, Div Infect Dis, 4401 Penn Ave, Pittsburgh, PA 15224 USA.</t>
  </si>
  <si>
    <t xml:space="preserve">Reyes-Mugica, Miguel/C-2483-2008</t>
  </si>
  <si>
    <t xml:space="preserve">Reyes-Mugica, Miguel/0000-0001-5698-3702; Evans, Alysa/0009-0003-0539-2701</t>
  </si>
  <si>
    <t xml:space="preserve">The authors thank the University of Pittsburgh Unified Flow Core for help with flow cytometry and the NIH Tetramer Core Facility (contract no. 75N93020D00005) for providing HMPV tetramers.</t>
  </si>
  <si>
    <t xml:space="preserve">10.1165/rcmb.2024-0004OC</t>
  </si>
  <si>
    <t xml:space="preserve">H3O9O</t>
  </si>
  <si>
    <t xml:space="preserve">WOS:001322578200007</t>
  </si>
  <si>
    <t xml:space="preserve">Howard, LM; Edwards, KM; Zhu, YW; Grijalva, CG; Self, WH; Jain, S; Ampofo, K; Pavia, AT; Arnold, SR; McCullers, JA; Anderson, EJ; Wunderink, RG; Williams, DJ</t>
  </si>
  <si>
    <t xml:space="preserve">Howard, Leigh M.; Edwards, Kathryn M.; Zhu, Yuwei; Grijalva, Carlos G.; Self, Wesley H.; Jain, Seema; Ampofo, Krow; Pavia, Andrew T.; Arnold, Sandra R.; McCullers, Jonathan A.; Anderson, Evan J.; Wunderink, Richard G.; Williams, Derek J.</t>
  </si>
  <si>
    <t xml:space="preserve">Clinical Features of Human Metapneumovirus-Associated Community-acquired Pneumonia Hospitalizations</t>
  </si>
  <si>
    <t xml:space="preserve">human metapneumovirus; community-acquired pneumonia; viral pneumonia</t>
  </si>
  <si>
    <t xml:space="preserve">RESPIRATORY-SYNCYTIAL-VIRUS; REQUIRING HOSPITALIZATION; VIRAL-INFECTION; TRACT DISEASE; CHILDREN; YOUNG; ADULTS; BURDEN</t>
  </si>
  <si>
    <t xml:space="preserve">Background. Human metapneumovirus (HMPV) is a leading cause of respiratory tract infections. Few studies have compared the clinical characteristics and severity of HMPV-associated pneumonia with other pathogens. Methods. Active, population-based surveillance was previously conducted for radiographically confirmed, community-acquired pneumonia hospitalizations among children and adults in 8 United States hospitals. Clinical data and specimens for pathogen detection were systematically collected. We described clinical features of all HMPV-associated pneumonia and, after excluding codetections with other pathogen types, we compared features of HMPV-associated pneumonia with other viral, atypical, and bacterial pneumonia and modeled the severity (mild, moderate, and severe) and length of stay using multivariable proportional odds regression. Results. HMPV was detected in 298/2358 (12.6%) children and 88/2320 (3.8%) adults hospitalized with pneumonia and was commonly codetected with other pathogens (125/298 [42%] children and 21/88 [24%] adults). Fever and cough were the most common presenting symptoms of HMPV-associated pneumonia and were also common symptoms of other pathogens. After excluding codetections in children (n = 1778), compared to HMPV (reference), bacterial pneumonia exhibited increased severity (odds ratio [OR], 3.66; 95% confidence interval [CI], 1.43-9.40), respiratory syncytial virus (RSV; OR, 0.76; 95% CI, .59-.99) and atypical (OR, 0.39; 95% CI, .19-.81) infections exhibited decreased severity, and other viral pneumonia exhibited similar severity (OR, 0.88; 95% CI, .55-1.39). In adults (n = 2145), bacterial (OR, 3.74; 95% CI, 1.87-7.47) and RSV pneumonia (OR, 1.82; 95% CI, 1.32-2.50) were more severe than HMPV (reference), but all other pathogens had similar severity. Conclusions. Clinical features did not reliably distinguish HMPV-associated pneumonia from other pathogens. HMPV-associated pneumonia was less severe than bacterial and adult RSV pneumonia, but was otherwise as or more severe than other common pathogens.</t>
  </si>
  <si>
    <t xml:space="preserve">[Howard, Leigh M.; Edwards, Kathryn M.; Williams, Derek J.] Vanderbilt Univ, Med Ctr, Dept Pediat, Nashville, TN 37232 USA; [Zhu, Yuwei] Vanderbilt Univ, Med Ctr, Dept Biostat, Nashville, TN USA; [Grijalva, Carlos G.] Vanderbilt Univ, Dept Hlth Policy, Med Ctr, Nashville, TN USA; [Self, Wesley H.] Vanderbilt Univ, Dept Emergency Med, Med Ctr, Nashville, TN USA; [Jain, Seema] Ctr Dis Control &amp; Prevent, Atlanta, GA USA; [Ampofo, Krow; Pavia, Andrew T.] Univ Utah, Hlth Sci Ctr, Salt Lake City, UT USA; [Arnold, Sandra R.; McCullers, Jonathan A.] Univ Tennessee, Ctr Hlth Sci, Memphis, TN 38163 USA; [McCullers, Jonathan A.] St Jude Childrens Res Hosp, 332 N Lauderdale St, Memphis, TN 38105 USA; [Anderson, Evan J.] Emory Univ, Sch Med, Dept Pediat, Atlanta, GA USA; [Anderson, Evan J.] Emory Univ, Sch Med, Dept Med, Atlanta, GA USA; [Wunderink, Richard G.] Northwestern Univ, Feinberg Sch Med, Chicago, IL 60611 USA</t>
  </si>
  <si>
    <t xml:space="preserve">Vanderbilt University; Vanderbilt University; Vanderbilt University; Vanderbilt University; Centers for Disease Control &amp; Prevention - USA; Utah System of Higher Education; University of Utah; University of Tennessee System; University of Tennessee Health Science Center; St Jude Children's Research Hospital; Emory University; Emory University; Northwestern University; Feinberg School of Medicine</t>
  </si>
  <si>
    <t xml:space="preserve">Howard, LM (corresponding author), CCC 5317 MCN,1161 21st Ave South, Nashville, TN 37232 USA.</t>
  </si>
  <si>
    <t xml:space="preserve">leigh.howard@vumc.org</t>
  </si>
  <si>
    <t xml:space="preserve">Grijalva, Carlos/HRA-9217-2023; Williams, Derek/KRP-6083-2024; Arnold, Sandra/O-4712-2014</t>
  </si>
  <si>
    <t xml:space="preserve">IDSA Education and Research Foundation (ERF) - Pfizer; National Institutes of Health [1K23AI141621]; Influenza Division in the National Center for Immunizations and Respiratory Diseases at the Centers for Disease Control and Prevention</t>
  </si>
  <si>
    <t xml:space="preserve">IDSA Education and Research Foundation (ERF) - Pfizer; National Institutes of Health(United States Department of Health &amp; Human ServicesNational Institutes of Health (NIH) - USA); Influenza Division in the National Center for Immunizations and Respiratory Diseases at the Centers for Disease Control and Prevention</t>
  </si>
  <si>
    <t xml:space="preserve">This work was supported by the Influenza Division in the National Center for Immunizations and Respiratory Diseases at the Centers for Disease Control and Prevention, which funded the Etiology of Pneumonia in the Community (EPIC) study through cooperative agreements with each study site and was based on a competitive research funding opportunity. Work by L.M.H. has been performed as a Young Investigator Award recipient of the IDSA Education and Research Foundation (ERF) supported by Pfizer. L. M. H. is supported by the National Institutes of Health under award number 1K23AI141621.</t>
  </si>
  <si>
    <t xml:space="preserve">JAN 1</t>
  </si>
  <si>
    <t xml:space="preserve">10.1093/cid/ciaa088</t>
  </si>
  <si>
    <t xml:space="preserve">RW0YT</t>
  </si>
  <si>
    <t xml:space="preserve">WOS:000646251200016</t>
  </si>
  <si>
    <t xml:space="preserve">Loevenich, S; Montaldo, NP; Wickenhagen, A; Sherstova, T; van Loon, B; Boyartchuk, V; Anthonsen, MW</t>
  </si>
  <si>
    <t xml:space="preserve">Loevenich, Simon; Montaldo, Nicola P. P.; Wickenhagen, Arthur; Sherstova, Tatyana; van Loon, Barbara; Boyartchuk, Victor; Anthonsen, Marit W. W.</t>
  </si>
  <si>
    <t xml:space="preserve">Human metapneumovirus driven IFN-β production antagonizes macrophage transcriptional induction of IL1-β in response to bacterial pathogens</t>
  </si>
  <si>
    <t xml:space="preserve">human metapneumovirus; co-infection; airway bacteria; proinflammatory cytokines; inflammasome; IFN-beta; IL-1 beta</t>
  </si>
  <si>
    <t xml:space="preserve">STREPTOCOCCUS-PNEUMONIAE; INFLUENZA; IL-1-BETA; INFECTION; INFLAMMASOME; MECHANISMS; CASPASE-1; TOLERANCE; POLYCOMB; DEATH</t>
  </si>
  <si>
    <t xml:space="preserve">Humanmetapneumovirus (HMPV) is a pneumovirus that may cause severe respiratory disease in humans. HMPV infection has been found to increase susceptibility to bacterial superinfections leading to increased morbidity and mortality. The molecular mechanisms underlying HMPV-mediated increase in bacterial susceptibility are poorly understood and largely understudied. Type I interferons (IFNs), while critical for antiviral defenses, may often have detrimental effects by skewing the host immune response and cytokine output of immune cells. It is currently unknown if HMPV skews the inflammatory response in human macrophages triggered by bacterial stimuli. Here we report that HMPV pre-infection impacts production of specific cytokines. HMPV strongly suppresses IL-1 beta transcription in response to LPS or heat-killed Pseudomonas aeruginosa and Streptococcus pneumonia, while enhancing mRNA levels of IL-6, TNF-alpha and IFN-beta. We demonstrate that in human macrophages the HMPV-mediated suppression of IL-1 beta transcription requires TANK-binding kinase 1 (TBK1) and signaling via the IFN-beta-IFNAR axis. Interestingly, our results show that HMPV pre-infection did not impair the LPS-stimulated activation of NF-kappa B and HIF-1 alpha, transcription factors that stimulate IL-1 beta mRNA synthesis in human cells. Furthermore, we determined that sequential HMPV-LPS treatment resulted in accumulation of the repressive epigenetic mark H3K27me3 at the IL1B promoter. Thus, for the first time we present data revealing the molecular mechanisms by which HMPV shapes the cytokine output of human macrophages exposed to bacterial pathogens/LPS, which appears to be dependent on epigenetic reprogramming at the IL1B promoter leading to reduced synthesis of IL-1 beta. These results may improve current understanding of the role of type I IFNs in respiratory disease mediated not only by HMPV, but also by other respiratory viruses that are associated with superinfections.</t>
  </si>
  <si>
    <t xml:space="preserve">[Loevenich, Simon; Montaldo, Nicola P. P.; Wickenhagen, Arthur; Sherstova, Tatyana; van Loon, Barbara; Boyartchuk, Victor; Anthonsen, Marit W. W.] Norwegian Univ Sci &amp; Technol NTNU, Dept Clin &amp; Mol Med, Trondheim, Norway; [Loevenich, Simon] SINTEF Ind, Dept Biotechnol &amp; Nanomed, Trondheim, Norway; [Wickenhagen, Arthur] Erasmus MC, Dept Virosci, Rotterdam, Netherlands; [Boyartchuk, Victor] St Olav Hosp HF, Clin Surg, Trondheim, Norway; [Montaldo, Nicola P. P.] Univ Oslo, Dept Microbiol, Oslo, Norway; [Montaldo, Nicola P. P.] Oslo Univ Hosp, Oslo, Norway; [Wickenhagen, Arthur] Univ Glasgow, Ctr Virus Res, Inst Infect Inflammat &amp; Immun, Med Res Council, Glasgow, Scotland</t>
  </si>
  <si>
    <t xml:space="preserve">Norwegian University of Science &amp; Technology (NTNU); SINTEF; Erasmus University Rotterdam; Erasmus MC; University of Oslo; University of Oslo; University of Glasgow; UK Research &amp; Innovation (UKRI); Medical Research Council UK (MRC)</t>
  </si>
  <si>
    <t xml:space="preserve">Anthonsen, MW (corresponding author), Norwegian Univ Sci &amp; Technol NTNU, Dept Clin &amp; Mol Med, Trondheim, Norway.</t>
  </si>
  <si>
    <t xml:space="preserve">marit.w.anthonsen@ntnu.no</t>
  </si>
  <si>
    <t xml:space="preserve">Van Loon, Barbara/0000-0002-7597-207X</t>
  </si>
  <si>
    <t xml:space="preserve">Liaison Committee between the Central Norway Regional Health Authority; Norwegian University of Science and Technology [46085000]; Faculty of Medicine at the Norwegian University of Science and Technology; Children's Clinic, St. Olavs Hospital Trondheim [16/9564-104/NISLIN]; MCSA ITN project [813343]</t>
  </si>
  <si>
    <t xml:space="preserve">Liaison Committee between the Central Norway Regional Health Authority; Norwegian University of Science and Technology; Faculty of Medicine at the Norwegian University of Science and Technology; Children's Clinic, St. Olavs Hospital Trondheim; MCSA ITN project</t>
  </si>
  <si>
    <t xml:space="preserve">This work was supported by the Liaison Committee between the Central Norway Regional Health Authority and the Norwegian University of Science and Technology (grant number 46085000), the Faculty of Medicine at the Norwegian University of Science and Technology, the Children's Clinic, St. Olavs Hospital Trondheim (grant number 16/9564-104/NISLIN), and the MCSA ITN project INITIATE (813343).</t>
  </si>
  <si>
    <t xml:space="preserve">10.3389/fimmu.2023.1173605</t>
  </si>
  <si>
    <t xml:space="preserve">L8OU6</t>
  </si>
  <si>
    <t xml:space="preserve">WOS:001025810900001</t>
  </si>
  <si>
    <t xml:space="preserve">Esper, F; Boucher, D; Weibel, C; Martinello, RA; Kahn, JS</t>
  </si>
  <si>
    <t xml:space="preserve">Human metapneumovirus infection in the united states: Clinical manifestations associated with a newly emerging respiratory infection in children</t>
  </si>
  <si>
    <t xml:space="preserve">human metapneumovirus; clinical features</t>
  </si>
  <si>
    <t xml:space="preserve">SYNCYTIAL VIRUS; BRONCHIOLITIS; PNEUMONIA; ILLNESS; AGE</t>
  </si>
  <si>
    <t xml:space="preserve">Objective. Respiratory tract infections are a leading cause of morbidity and mortality worldwide. Recently, a newly identified human respiratory virus, human metapneumovirus (hMPV), was reported by investigators in the Netherlands. We sought to determine whether hMPV was circulating in our community and to determine the clinical features associated with hMPV infection. Methods. Respiratory specimens from children who were younger than 5 years and had a negative result for respiratory syncytial virus, influenza A and B, parainfluenza viruses 1 to 3, and adenovirus by direct fluorescent antibody test were screened for hMPV by reverse transcriptase-polymerase chain reaction. Samples were collected from October 30, 2001, to February 28, 2002. Results. Of the 296 patients screened, 19 (6.4%) had evidence of hMPV infection. hMPV was identified in patients with either upper or lower respiratory tract infection or both. Clinical manifestations included wheezing, hypoxia, and abnormal findings on chest radiographs (eg, focal infiltrates, peribronchial cuffing). Nosocomial infection occurred in at least 1 patient. Conclusions. hMPV is circulating in the United States and is associated with respiratory tract disease in patients with respiratory illnesses not caused by respiratory syncytial virus, influenza, parainfluenza viruses, and adenovirus. Additional studies are required to define the epidemiology and the extent of disease in the general population caused by hMPV.</t>
  </si>
  <si>
    <t xml:space="preserve">Yale Univ, Sch Med, Dept Pediat, Div Infect Dis, New Haven, CT 06520 USA; Yale Univ, Sch Med, Dept Epidemiol &amp; Publ Hlth, New Haven, CT 06510 USA; Yale Univ, Sch Med, Dept Internal Med, Div Infect Dis, New Haven, CT 06510 USA</t>
  </si>
  <si>
    <t xml:space="preserve">Yale University; Yale University; Yale University</t>
  </si>
  <si>
    <t xml:space="preserve">Kahn, JS (corresponding author), Yale Univ, Sch Med, Dept Pediat, Div Infect Dis, POB 208064, New Haven, CT 06520 USA.</t>
  </si>
  <si>
    <t xml:space="preserve">NCRR NIH HHS [M01-RR06022] Funding Source: Medline; NIAID NIH HHS [T32 AI07210-20, T32 AI07517-05] Funding Source: Medline</t>
  </si>
  <si>
    <t xml:space="preserve">10.1542/peds.111.6.1407</t>
  </si>
  <si>
    <t xml:space="preserve">693CA</t>
  </si>
  <si>
    <t xml:space="preserve">WOS:000183696000039</t>
  </si>
  <si>
    <t xml:space="preserve">Escobar, C; Luchsinger, V; de Oliveira, DB; Durigon, E; Chnaiderman, J; Avendaño, LF</t>
  </si>
  <si>
    <t xml:space="preserve">Escobar, Carola; Luchsinger, Vivian; de Oliveira, Danielle Bruna; Durigon, Edison; Chnaiderman, Jonas; Avendano, Luis F.</t>
  </si>
  <si>
    <t xml:space="preserve">Genetic Variability of Human Metapneumovirus Isolated From Chilean Children, 2003-2004</t>
  </si>
  <si>
    <t xml:space="preserve">human metapneumovirus; Chile; genotypes</t>
  </si>
  <si>
    <t xml:space="preserve">RESPIRATORY SYNCYTIAL VIRUS; F-PROTEIN; INFECTIONS; ASSAYS; YOUNG</t>
  </si>
  <si>
    <t xml:space="preserve">Human metapneumovirus (hMPV) is a significant cause of acute lower respiratory tract infection in all age groups, particularly in children. Two genetic groups and four subgroups of hMPV have been described. They co-circulate during an epidemic in variable proportions. The aims were to characterize the genotypes of hMPV recovered from children hospitalized for acute lower respiratory tract infection and to establish the molecular epidemiology of strains circulating in Santiago of Chile during a 2-year period. The detection of the N gene by reverse-transcription polymerase chain reaction was carried out for screening 545 infants hospitalized for acute lower respiratory tract infection in Santiago during 2003-2004. The genetic typing of hMPV was performed by analyzing the fusion gene sequences. hMPV was detected in 10.2% (56/545 cases). Phylogenetic analysis of F gene sequences from 39 Chilean hMPV strains identified the two groups and four subgroups previously described. Strains clustered into group A were split further into the sub lineages A1, A2, and A3. Most Chilean strains clustered into the proposed novel A3 sub lineage (59%). A3 viruses were present in both years, while A1 and A2 circulated just in I year. In conclusion, hMPV is a relevant cause of acute lower respiratory infection in Chilean children and the potential novel cluster of group A emphasize the need for further regional genetic variability studies. J. Med. Virol. 81:340-344, 2009. (c) 2008 Wiley-Liss, Inc.</t>
  </si>
  <si>
    <t xml:space="preserve">[Escobar, Carola; Luchsinger, Vivian; Chnaiderman, Jonas; Avendano, Luis F.] Univ Chile, Fac Med, Inst Ciencias Biomed, Programa Virol, Santiago 7, Chile; [de Oliveira, Danielle Bruna; Durigon, Edison] Univ Sao Paulo, Fac Med, Inst Ciencias Med 2, Dept Microbiol, Sao Paulo, Brazil</t>
  </si>
  <si>
    <t xml:space="preserve">Universidad de Chile; Universidade de Sao Paulo</t>
  </si>
  <si>
    <t xml:space="preserve">Luchsinger, V (corresponding author), Univ Chile, Fac Med, Inst Ciencias Biomed, Programa Virol, Independencia 1027, Santiago 7, Chile.</t>
  </si>
  <si>
    <t xml:space="preserve">vluchsin@med.uchile.cl</t>
  </si>
  <si>
    <t xml:space="preserve">Oliveira, Danielle/H-8030-2015</t>
  </si>
  <si>
    <t xml:space="preserve">10.1002/jmv.21399</t>
  </si>
  <si>
    <t xml:space="preserve">389LX</t>
  </si>
  <si>
    <t xml:space="preserve">WOS:000262095300019</t>
  </si>
  <si>
    <t xml:space="preserve">Ijpma, FFA; Beekhuis, D; Cotton, MF; Pieper, CH; Kimpen, JLL; van den Hoogen, BG; van Doornum, GJJ; Osterhaus, DME</t>
  </si>
  <si>
    <t xml:space="preserve">Human metapneumovirus infection in hospital referred South African children</t>
  </si>
  <si>
    <t xml:space="preserve">human metapneumovirus; children; South Africa; respiratory viruses; clinical manifestation; seroprevalence</t>
  </si>
  <si>
    <t xml:space="preserve">RESPIRATORY-TRACT INFECTIONS; TURKEY RHINOTRACHEITIS VIRUS; GENE ORDER DIFFERENT; YOUNG-CHILDREN; PREVALENCE; SEQUENCE</t>
  </si>
  <si>
    <t xml:space="preserve">Human metapneumovirus (hMPV) was first described in Dutch children with acute respiratory symptoms. A prospective analysis of the epidemiology, clinical manifestation, and seroprevalence of hMPV and other respiratory viruses in South African children referred to hospital for upper or lower respiratory tract infection were carried out during a single winter season, by using RT-PCR, viral culture, and enzyme-linked immunosorbent assays. In nasopharyngeal aspirates from 137 children, hMPV was detected by RT-PCR in 8 (5.8%) children (2-43 months of age) as a sole viral pathogen, respiratory syncytial virus (RSV) in 21 (15%), influenza A virus in 18 (13%) and influenza B virus in 20 (15%). Pneumonia was diagnosed in seven children and upper respiratory tract infection in one of the hMPV-infected children. One hMPV-infected child was admitted to the intensive care unit in need of mechanical ventilation and one child was infected with human immunodeficiency virus (HIV). No statistically significant differences were found between hMPV, RSV, and influenza virus infected groups with regard to clinical signs and symptoms and chest radiograph findings. The seropositive rate of hMPV specific IgG antibodies was 92% in children aged 24-36 months, the oldest seronegative child in our study was 7 years and 6 months of age. In conclusion, hMPV contributes to upper and lower respiratory tract morbidity in South African children. (C) 2004 Wiley-Liss, Inc.</t>
  </si>
  <si>
    <t xml:space="preserve">Univ Utrecht, Wilhelmina Childrens Hosp, Ctr Med, NL-3508 AB Utrecht, Netherlands; Tygerberg Childrens Hosp, Dept Paediat &amp; Child Hlth, Parow, South Africa; Erasme Univ Hosp, Rotterdam, Netherlands</t>
  </si>
  <si>
    <t xml:space="preserve">Wilhelmina Kinderziekenhuis; Utrecht University</t>
  </si>
  <si>
    <t xml:space="preserve">Univ Utrecht, Wilhelmina Childrens Hosp, Ctr Med, POB 85090, NL-3508 AB Utrecht, Netherlands.</t>
  </si>
  <si>
    <t xml:space="preserve">j.kimpen@wkz.azu.nl</t>
  </si>
  <si>
    <t xml:space="preserve">Cotton, Mark/AAQ-9936-2020; IJpma, Frank/AAH-6350-2019; van den Hoogen, Bernadette/J-5461-2013</t>
  </si>
  <si>
    <t xml:space="preserve">10.1002/jmv.20116</t>
  </si>
  <si>
    <t xml:space="preserve">824HQ</t>
  </si>
  <si>
    <t xml:space="preserve">WOS:000221677700024</t>
  </si>
  <si>
    <t xml:space="preserve">Zhang, YY; Wu, GJ; Yang, YT; Niu, LL; Zhao, Y</t>
  </si>
  <si>
    <t xml:space="preserve">Zhang, Yueyan; Wu, Guojin; Yang, Yuting; Niu, Linlin; Zhao, Yao</t>
  </si>
  <si>
    <t xml:space="preserve">Interleukin-4 Promotes Human Metapneumovirus Replication Through the JAK/STAT6 Pathway</t>
  </si>
  <si>
    <t xml:space="preserve">human metapneumovirus; children; IL-4; viral replication; JAK; STAT6 pathway</t>
  </si>
  <si>
    <t xml:space="preserve">VIRUS; HERPESVIRUS; SUPPRESSES; ACTIVATION; CYTOKINES; DUPILUMAB; EFFICACY; CHILDREN; ADULTS</t>
  </si>
  <si>
    <t xml:space="preserve">Respiratory virus infections are the main causes of pediatric diseases. Human metapneumovirus (hMPV) is an enveloped RNA virus similar to severe acute respiratory syndrome coronavirus type 2, both of which have emerged as important new respiratory viruses. Recent studies have found that interleukin-4 (IL-4) is involved in the replication of a variety of viruses, and its role differs in different viruses. The purpose of this study was to investigate the effect of IL-4 on hMPV and to elucidate its mechanism of action. We found that hMPV infection promoted the expression of IL-4 in human bronchial epithelial cells. The replication of the virus was reduced using small interfering RNA knockdown of IL-4 expression, while the addition of exogenous recombinant human IL-4 to IL-4 knockdown cells restored viral replication ability. These results demonstrate that the expression of IL-4 is closely related to the replication of hMPV; moreover, further experiments revealed that IL-4 promotes the replication of hMPV through a mechanism dependent on the Janus kinase/signal transductor and transcription activator 6 signaling pathway. Therefore, anti-IL-4 strategies may be a promising avenue for the treatment of hMPV infection, representing an important breakthrough for children at risk from hMPV infection.</t>
  </si>
  <si>
    <t xml:space="preserve">[Zhang, Yueyan; Wu, Guojin; Yang, Yuting; Niu, Linlin; Zhao, Yao] Chongqing Med Univ, Natl Clin Res Ctr Child Hlth &amp; Disorders, Minist Educ Key Lab Child Dev &amp; Disorders, Chongqing Key Lab Child Infect &amp; Immun,China Int S, Chongqing, Peoples R China; [Zhao, Yao] Chongqing Med Univ, Natl Clin Res Ctr Child Hlth &amp; Disorders, Minist Educ Key Lab Child Dev &amp; Disorders, Chongqing Key Lab Child Infect &amp; Immun,China Int S, 136 Zhongshan Erlu, Chongqing 400014, Peoples R China</t>
  </si>
  <si>
    <t xml:space="preserve">Zhao, Y (corresponding author), Chongqing Med Univ, Natl Clin Res Ctr Child Hlth &amp; Disorders, Minist Educ Key Lab Child Dev &amp; Disorders, Chongqing Key Lab Child Infect &amp; Immun,China Int S, 136 Zhongshan Erlu, Chongqing 400014, Peoples R China.</t>
  </si>
  <si>
    <t xml:space="preserve">Zhaoy@cqmu.edu.cn</t>
  </si>
  <si>
    <t xml:space="preserve">Chongqing Talent Program [CQYC20210303393]; Program for Youth Innovation in Future Medicine at Chongqing Medical University; National Natural Science Foundation of China [81701997]; Natural Science Foundation Project of CQ [cstc2019jcyj-msxmX0244]</t>
  </si>
  <si>
    <t xml:space="preserve">Chongqing Talent Program; Program for Youth Innovation in Future Medicine at Chongqing Medical University; National Natural Science Foundation of China(National Natural Science Foundation of China (NSFC)); Natural Science Foundation Project of CQ(Natural Science Foundation Project of CQ CSTC)</t>
  </si>
  <si>
    <t xml:space="preserve">This study was supported by the Chongqing Talent Program (CQYC20210303393), the Program for Youth Innovation in Future Medicine at Chongqing Medical University, National Natural Science Foundation of China (81701997), Natural Science Foundation Project of CQ (cstc2019jcyj-msxmX0244).</t>
  </si>
  <si>
    <t xml:space="preserve">SEP 1</t>
  </si>
  <si>
    <t xml:space="preserve">10.1089/vim.2023.0027</t>
  </si>
  <si>
    <t xml:space="preserve">S2EA3</t>
  </si>
  <si>
    <t xml:space="preserve">WOS:001022093500001</t>
  </si>
  <si>
    <t xml:space="preserve">Manoha, C; Espinosa, S; Aho, SL; Huet, F; Pothier, P</t>
  </si>
  <si>
    <t xml:space="preserve">Manoha, Catherine; Espinosa, Sophie; Aho, Serge-Ludwig; Huet, Frederic; Pothier, Pierre</t>
  </si>
  <si>
    <t xml:space="preserve">Epidemiological and clinical features of hMPV, RSV and RVs infections in young children</t>
  </si>
  <si>
    <t xml:space="preserve">human metapneumovirus; children; asthma; lower respiratory tract infection; genotype; respiratory syncytial virus; rhinovirus</t>
  </si>
  <si>
    <t xml:space="preserve">HUMAN METAPNEUMOVIRUS INFECTION; RESPIRATORY-TRACT INFECTIONS; GENETIC-VARIABILITY; SYNCYTIAL VIRUS; PREVALENCE; GENOTYPE; DISEASE</t>
  </si>
  <si>
    <t xml:space="preserve">Background: Human metapneumovirus (hMPV) has recently been isolated from children with acute respiratory tract infections (RTIs). The epidemiological and clinical characteristics of hMPV infection need further investigation. Objectives: The purpose of this study was to compare the clinical features of hMPV, respiratory syncytial virus (RSV) and rhinoviruses (RV) infections in children less than 3 years of age presenting to an emergency department with acute respiratory illness. Study design: From December 2002 to April 2004, all children under age three (n=931) admitted for acute respiratory illness to Dijon Hospital, France, were investigated for respiratory viruses in nasal washes. Results: hMPV was detected in 6% of children (in 10.1% (n = 38) the first winter and in 3.3% (n = 17) the second winter); RSV was detected in 28.5% of the children, while rhinoviruses were found in 18.3%. Five hMPV-infected children had evidence of dual infection, two with RSV and three others with RV. The median age of the patients with hMPV infection was 6 months, and the main clinical symptoms were rhinorrhea (74.5%) and cough (67%). A lower tract disease occurred in 66% of hMPV-positive patients. Gene sequencing of hMPV isolates revealed co-circulation of the two major groups of hMPV during the study period; no difference in pathogenicity was found. There was no difference in the prevalence of bronchiolitis where hMPV, RSV or rhinoviruses were present. Asthma was found more often in hospitalized children with hMPV and rhinoviruses than among those with RSV (p &lt; 0.001). Conclusions: These results provide further evidence of the importance of hMPV as a pathogen associated with respiratory tract infection in children. (C) 2006 Elsevier B.V. All rights reserved.</t>
  </si>
  <si>
    <t xml:space="preserve">CHU Dijon, Virol Lab, F-21079 Dijon, France; CHU Dijon, Serv Epidemiol Hyg Hosp, F-21079 Dijon, France; CHU Dijon, Serv Pediat, F-21079 Dijon, France</t>
  </si>
  <si>
    <t xml:space="preserve">Manoha, C (corresponding author), CHU Dijon, Virol Lab, F-21079 Dijon, France.</t>
  </si>
  <si>
    <t xml:space="preserve">Manoha, Catherine/0000-0003-3934-6132; Frederic, HUET/0000-0002-4510-7093; Ludwig Serge, Aho Glele/0000-0001-7590-8644</t>
  </si>
  <si>
    <t xml:space="preserve">10.1016/j.jcv.2006.12.005</t>
  </si>
  <si>
    <t xml:space="preserve">149QE</t>
  </si>
  <si>
    <t xml:space="preserve">WOS:000245160900006</t>
  </si>
  <si>
    <t xml:space="preserve">Zhu, RN; Guo, CY; Zhao, LQ; Deng, J; Wang, F; Sun, Y; Qian, Y</t>
  </si>
  <si>
    <t xml:space="preserve">Zhu, Runan; Guo, Chunying; Zhao, Linqing; Deng, Jie; Wang, Fang; Sun, Yu; Qian, Yuan</t>
  </si>
  <si>
    <t xml:space="preserve">Epidemiological and genetic characteristics of human metapneumovirus in pediatric patients across six consecutive seasons in Beijing, China</t>
  </si>
  <si>
    <t xml:space="preserve">Human metapneumovirus; Children; Acute respiratory tract infections; Genotype</t>
  </si>
  <si>
    <t xml:space="preserve">RESPIRATORY SYNCYTIAL VIRUS; COMMUNITY-ACQUIRED PNEUMONIA; YOUNG-CHILDREN; INFECTIONS; VARIABILITY; GENOTYPE; SEROPREVALENCE; CIRCULATION; SEVERITY; DISEASE</t>
  </si>
  <si>
    <t xml:space="preserve">Objectives: To investigate the genetic characteristics of human metapneumovirus (hMPV) circulating among children with acute respiratory tract infections (ARTIs) in Beijing, China. Methods: Clinical samples were obtained from outpatients and hospitalized children with ARTIs between August 2010 and July 2016. Reverse transcription polymerase chain reaction assays were used to screen and identify hMPV, while partial glycoprotein gene sequences were used for phylogenetic analysis. Results: Among the 10 918 samples, 292 (2.7%) were positive for hMPV. Overall, the virus was more prevalent among inpatients (4.3%) than outpatients (1.2%). A biennial alternating pattern of hMPV infection was observed, with infection rates fluctuating between 1.6% and 4.0%. Most cases were detected between December and April, showing clear-cut seasonality. Sub-genotypes A2b, B1, and B2 co-circulated in winter and spring in an alternating pattern, while only one A1-positive case was observed in 2012. The seasonal peak of hMPV was slightly delayed or overlapped with that of respiratory syncytial virus and influenza virus. hMPV activity increased in the 2010-2011 and 2014-2015 seasons, when influenza activity was apparently decreased compared with other epidemic seasons. Conclusions: This study provides information on the epidemiological and genetic characteristics of hMPV in children in Beijing, and reinforces the significance of hMPV in children with ARTIs, especially lower respiratory tract infections. (c) 2019 The Authors. Published by Elsevier Ltd on behalf of International Society for Infectious Diseases. This is an open access article under the CC BY-NC-ND license (http://creativecommons.org/licenses/by-nc-nd/4.0/).</t>
  </si>
  <si>
    <t xml:space="preserve">[Zhu, Runan; Guo, Chunying; Zhao, Linqing; Deng, Jie; Wang, Fang; Sun, Yu; Qian, Yuan] Capital Inst Pediat, Beijing Key Lab Etiol Viral Dis Children, Virol Lab, 2 Yabao Rd, Beijing 100020, Peoples R China</t>
  </si>
  <si>
    <t xml:space="preserve">Qian, Y (corresponding author), Capital Inst Pediat, Beijing Key Lab Etiol Viral Dis Children, Virol Lab, 2 Yabao Rd, Beijing 100020, Peoples R China.</t>
  </si>
  <si>
    <t xml:space="preserve">Beijing Municipal Science &amp; Technology Commission [Z11110705056811014]; Natural Science Foundation of China [81350019]</t>
  </si>
  <si>
    <t xml:space="preserve">Beijing Municipal Science &amp; Technology Commission(Beijing Municipal Science &amp; Technology Commission); Natural Science Foundation of China(National Natural Science Foundation of China (NSFC))</t>
  </si>
  <si>
    <t xml:space="preserve">This study was supported by the Beijing Municipal Science &amp; Technology Commission (grant number Z11110705056811014) and the Natural Science Foundation of China (grant number 81350019). The sponsors had no role in the study design, in the collection, analysis, and interpretation of data, in the writing of the report, or in the decision to submit the article for publication.</t>
  </si>
  <si>
    <t xml:space="preserve">10.1016/j.ijid.2019.11.012</t>
  </si>
  <si>
    <t xml:space="preserve">KH7YW</t>
  </si>
  <si>
    <t xml:space="preserve">WOS:000510867100022</t>
  </si>
  <si>
    <t xml:space="preserve">Choi, SH; Yoon, SH; Sol, IS; Kim, MJ; Kim, YH; Shin, HJ; Kim, KW; Sohn, MH; Kim, KE</t>
  </si>
  <si>
    <t xml:space="preserve">Choi, Sun Ha; Yoon, Seo Hee; Sol, In Suk; Kim, Min Jung; Kim, Yoon Hee; Shin, Hong Ju; Kim, Kyung Won; Sohn, Myung Hyun; Kim, Kyu-Earn</t>
  </si>
  <si>
    <t xml:space="preserve">Life-threatening human metapneumovirus pneumonia requiring extracorporeal membrane oxygenation in a 26-month-old child</t>
  </si>
  <si>
    <t xml:space="preserve">ALLERGY ASTHMA &amp; RESPIRATORY DISEASE</t>
  </si>
  <si>
    <t xml:space="preserve">Human metapneumovirus; Child; Acute respiratory distress syndrome; Extracorporeal membrane oxygenations</t>
  </si>
  <si>
    <t xml:space="preserve">We present the first case report of a child with human metapneumovirus (hMPV) pneumonia who survived by extracorporeal membrane oxygenation (ECMO) in Korea. A 26-month-old boy with a previous history of Lennox-Gastaut syndrome and delayed development suffered from respiratory failure after 4 days of fever, cough, and sputum. The boy underwent intubation and required ECMO application due to failure of conventional mechanical ventilation. He was on the ECMO support for 7 days. To our knowledge, this is the shortest period reported for ECMO application among successfully treated patients with hMPV infection accompanied by acute respiratory distress syndrome. This case highlights 2 clinical implications: the potentially fatal causative role of hMPV in respiratory failure in a pediatric population and the timely utilization of ECMO.</t>
  </si>
  <si>
    <t xml:space="preserve">[Choi, Sun Ha; Yoon, Seo Hee; Sol, In Suk; Kim, Min Jung; Kim, Yoon Hee; Kim, Kyung Won; Sohn, Myung Hyun; Kim, Kyu-Earn] Yonsei Univ, Coll Med, Dept Pediat, Seoul, South Korea; [Yoon, Seo Hee; Sol, In Suk; Kim, Min Jung; Kim, Yoon Hee; Kim, Kyung Won; Sohn, Myung Hyun; Kim, Kyu-Earn] Yonsei Univ, Coll Med, Inst Allergy, Seoul, South Korea; [Shin, Hong Ju] Yonsei Univ, Severance Cardiovasc Hosp, Congenital Heart Dis Ctr, Coll Med,Dept Thoracic &amp; Cardiovasc Surg,Div Card, Seoul, South Korea</t>
  </si>
  <si>
    <t xml:space="preserve">Yonsei University; Yonsei University Health System; Yonsei University; Yonsei University Health System; Yonsei University; Yonsei University Health System</t>
  </si>
  <si>
    <t xml:space="preserve">Kim, YH (corresponding author), Yonsei Univ, Severance Hosp, Coll Med, Dept Pediat, 50-1 Yonsei Ro, Seoul 03722, South Korea.</t>
  </si>
  <si>
    <t xml:space="preserve">yhkim@yuhs.ac</t>
  </si>
  <si>
    <t xml:space="preserve">Yoon, Seo Hee/LCD-9423-2024; Choi, Sun Ha/HPD-7234-2023; Kim, Seong-Jun/KIJ-2249-2024; kim, jeeyoung/AFK-5620-2022</t>
  </si>
  <si>
    <t xml:space="preserve">KOREAN ACAD ASTHMA ALLERGY &amp; CLINICAL IMMUNOLOGY</t>
  </si>
  <si>
    <t xml:space="preserve">JONGNO-GU</t>
  </si>
  <si>
    <t xml:space="preserve">RM 1705, KUMHO BLDG 327-2, CHANGSINDONG, JONGNO-GU, SEOUL 110-540, SOUTH KOREA</t>
  </si>
  <si>
    <t xml:space="preserve">2288-0402</t>
  </si>
  <si>
    <t xml:space="preserve">2288-0410</t>
  </si>
  <si>
    <t xml:space="preserve">ALLERGY ASTHMA RESPI</t>
  </si>
  <si>
    <t xml:space="preserve">Allergy Asthma Respir. Dis.</t>
  </si>
  <si>
    <t xml:space="preserve">10.4168/aard.2015.3.6.456</t>
  </si>
  <si>
    <t xml:space="preserve">Allergy</t>
  </si>
  <si>
    <t xml:space="preserve">V3W4A</t>
  </si>
  <si>
    <t xml:space="preserve">WOS:000218647900013</t>
  </si>
  <si>
    <t xml:space="preserve">Yang, H; He, H; Tan, B; Liu, EM; Zhao, XD; Zhao, Y</t>
  </si>
  <si>
    <t xml:space="preserve">Yang, Hui; He, Hao; Tan, Bin; Liu, Enmei; Zhao, Xiaodong; Zhao, Yao</t>
  </si>
  <si>
    <t xml:space="preserve">Human metapneumovirus uses endocytosis pathway for host cell entry</t>
  </si>
  <si>
    <t xml:space="preserve">Human metapneumovirus; Cell entry; Endocytosis; Low pH</t>
  </si>
  <si>
    <t xml:space="preserve">RESPIRATORY SYNCYTIAL VIRUS; MEMBRANE-FUSION; F-PROTEIN; LOW-PH; INFECTION; CHILDREN; DISEASE; REPLICATION; OUTBREAK; KINETICS</t>
  </si>
  <si>
    <t xml:space="preserve">Human metapneumovirus (hMPV) is a prevalent pathogen worldwide and causes various respiratory infections. Although it is a critical pathogen in pediatric patients, it is unclear how it enters host cells. In this study, we focused on hMPV cell entry using two kinds of cell lines (Vero E6 and LLC-MK2), which are most commonly used for isolating and propagating for hMPV, and we used fluorescent dyes to label the virus particles and monitored how they enter the host cell in real time. We found that endocytosis was the predominant pathway by which hMPV entered host cells. When the virus particles were traced inside host cells, we found that a low intracellular pH was needed for intracellular fusion in LLC-MK2 cells. (C) 2016 Elsevier Ltd. All rights reserved.</t>
  </si>
  <si>
    <t xml:space="preserve">[Yang, Hui; He, Hao; Tan, Bin; Liu, Enmei; Zhao, Xiaodong; Zhao, Yao] Chongqing Med Univ, China Int Sci &amp; Technol Cooperat Base Child Dev &amp;, Chongqing Key Lab Child Infect &amp; Immun, Minist Educ,Key Lab Child Dev &amp; Disorders,Childre, Chongqing 400014, Peoples R China; [Zhao, Xiaodong; Zhao, Yao] 136,Zhongshan 2nd Rd, Chongqing 400014, Peoples R China</t>
  </si>
  <si>
    <t xml:space="preserve">Zhao, XD; Zhao, Y (corresponding author), Chongqing Med Univ, China Int Sci &amp; Technol Cooperat Base Child Dev &amp;, Chongqing Key Lab Child Infect &amp; Immun, Minist Educ,Key Lab Child Dev &amp; Disorders,Childre, Chongqing 400014, Peoples R China.;Zhao, XD; Zhao, Y (corresponding author), 136,Zhongshan 2nd Rd, Chongqing 400014, Peoples R China.</t>
  </si>
  <si>
    <t xml:space="preserve">zhaoxd530@aliyun.com; zhaoy@cqmu.edu.cn</t>
  </si>
  <si>
    <t xml:space="preserve">Natural Science Foundation Project of CQ CSTC [cstc2012jjA10091, cstc2013jjB10029]; National Natural Science Foundation of China [30800972, 81371876]; Research Fund for the Doctoral Program of Higher Education of China [20125503110002]; Outstanding Youth Fund of Children's Hospital of Chongqing Medical University; Chongqing Municipal Colleges and Universities Outstanding Talent Support Program [2014-47-1-11]</t>
  </si>
  <si>
    <t xml:space="preserve">Natural Science Foundation Project of CQ CSTC(Natural Science Foundation Project of CQ CSTC); National Natural Science Foundation of China(National Natural Science Foundation of China (NSFC)); Research Fund for the Doctoral Program of Higher Education of China(Research Fund for the Doctoral Program of Higher Education of China (RFDP)); Outstanding Youth Fund of Children's Hospital of Chongqing Medical University; Chongqing Municipal Colleges and Universities Outstanding Talent Support Program</t>
  </si>
  <si>
    <t xml:space="preserve">This research was supported by Natural Science Foundation Project of CQ CSTC (NO. cstc2012jjA10091, cstc2013jjB10029), National Natural Science Foundation of China (NO. 30800972, NO. 81371876), Research Fund for the Doctoral Program of Higher Education of China (NO. 20125503110002), Outstanding Youth Fund of Children's Hospital of Chongqing Medical University and Chongqing Municipal Colleges and Universities Outstanding Talent Support Program (2014-47-1-11). We are grateful to Professor Wenxia Song (University of Maryland, USA) and Chaohong Liu for their helpful advice.</t>
  </si>
  <si>
    <t xml:space="preserve">10.1016/j.mcp.2016.06.003</t>
  </si>
  <si>
    <t xml:space="preserve">DT8YD</t>
  </si>
  <si>
    <t xml:space="preserve">WOS:000381780700007</t>
  </si>
  <si>
    <t xml:space="preserve">Libster, R; Esteban, I; Bianchi, A; Grimaldi, LA; Dueñas, K; Sancillo, A; Rodriguez, A; Ferrero, F; Stein, K; Acosta, PL; Ferolla, FM; Bergel, E; Caballero, MT; Polack, FP</t>
  </si>
  <si>
    <t xml:space="preserve">Libster, Romina; Esteban, Ignacio; Bianchi, Alejandra; Grimaldi, Luciano Alva; Duenas, Karina; Sancillo, Andrea; Rodriguez, Andrea; Ferrero, Fernando; Stein, Katherine; Acosta, Patricio L.; Ferolla, Fausto M.; Bergel, Eduardo; Caballero, Mauricio T.; Polack, Fernando P.</t>
  </si>
  <si>
    <t xml:space="preserve">INFANT Resp Network</t>
  </si>
  <si>
    <t xml:space="preserve">Role for Maternal Asthma in Severe Human Metapneumovirus Lung Disease Susceptibility in Children</t>
  </si>
  <si>
    <t xml:space="preserve">human metapneumovirus; burden of illness; children; lower respiratory tract infection; risk factors; maternal asthma</t>
  </si>
  <si>
    <t xml:space="preserve">RESPIRATORY SYNCYTIAL VIRUS; HEALTHY PREGNANCY; YOUNG-CHILDREN; RISK-FACTORS; INFECTION; INFLUENZA; INCREASE; INFANTS; BURDEN; HMPV</t>
  </si>
  <si>
    <t xml:space="preserve">Background. Severity of human metapneumovirus (hMPV) lower respiratory illness (LRTI) is considered similar to that observed for respiratory syncytial virus (RSV). However, differences in severity between these pathogens have been noted, suggesting the degree of illness may vary in different populations. Moreover, a potential association between hMPV and asthma also suggests that hMPV may preferentially affect asthmatic subjects. Methods. In a population-based surveillance study in children aged &lt;2 years admitted for severe LRTI in Argentina, nasopharyngeal aspirates were tested by RT-PCR for hMPV, RSV, influenza A, and human rhinovirus. Results. Of 3947 children, 383 (10%) were infected with hMPV. The hospitalization rate for hMPV LRTI was 2.26 per 1000 children (95% confidence interval [CI], 2.04-2.49). Thirty-nine (10.2%) patients infected with hMPV experienced life-threatening disease (LTD; 0.23 per 1000 children; 95% CI, .16-.31/1000), and 2 died (mortality rate 0.024 per 1000; 95% CI, .003-.086). In hMPV-infected children birth to an asthmatic mother was an increased risk for LTD (odds ratio, 4.72; 95% CI, 1.39-16.01). We observed a specific interaction between maternal asthma and hMPV infection affecting risk for LTD. Conclusions. Maternal asthma increases the risk for LTD in children &lt;2 years old hospitalized for severe hMPV LRTI.</t>
  </si>
  <si>
    <t xml:space="preserve">[Libster, Romina; Esteban, Ignacio; Bianchi, Alejandra; Stein, Katherine; Acosta, Patricio L.; Ferolla, Fausto M.; Bergel, Eduardo; Caballero, Mauricio T.; Polack, Fernando P.] Fdn INFANT, Gavilan 94, RA-1406 Buenos Aires, DF, Argentina; [Libster, Romina; Acosta, Patricio L.; Caballero, Mauricio T.] Consejo Nacl Invest Cient &amp; Tecn, Buenos Aires, DF, Argentina; [Esteban, Ignacio] Hosp Pediat Prof Dr Juan P Garrahan, Buenos Aires, DF, Argentina; [Grimaldi, Luciano Alva] Hosp Zonal Gen Agudos Lucio Melendez, Almirante Brown, Argentina; [Duenas, Karina; Sancillo, Andrea] Hosp Interzonal Gen Agudos Evita, Lanus, Argentina; [Rodriguez, Andrea] Hosp Zonal Gen Agudos Descentralizado Evita Puebl, Berazategui, Argentina; [Ferrero, Fernando] Hosp Gen Ninos Pedro Elizalde, Buenos Aires, DF, Argentina</t>
  </si>
  <si>
    <t xml:space="preserve">Consejo Nacional de Investigaciones Cientificas y Tecnicas (CONICET); Hospital de Pediatria Doctor Juan Garrahan</t>
  </si>
  <si>
    <t xml:space="preserve">Libster, R (corresponding author), Fdn INFANT, Gavilan 94, RA-1406 Buenos Aires, DF, Argentina.</t>
  </si>
  <si>
    <t xml:space="preserve">rlibster@infant.org.ar</t>
  </si>
  <si>
    <t xml:space="preserve">Acosta, Patricio/0000-0002-4164-7674; Ferrero, Fernando/0000-0001-6335-0102; Esteban, Ignacio/0000-0002-5196-5836</t>
  </si>
  <si>
    <t xml:space="preserve">Bill and Melinda Gates Foundation [OPP1018614, OPP1157162]; Bill and Melinda Gates Foundation [OPP1018614, OPP1157162] Funding Source: Bill and Melinda Gates Foundation</t>
  </si>
  <si>
    <t xml:space="preserve">Bill and Melinda Gates Foundation(Bill &amp; Melinda Gates Foundation); Bill and Melinda Gates Foundation(Bill &amp; Melinda Gates Foundation)</t>
  </si>
  <si>
    <t xml:space="preserve">This work was supported by the Bill and Melinda Gates Foundation (grant numbers OPP1018614 and OPP1157162 to F. P. P.).</t>
  </si>
  <si>
    <t xml:space="preserve">10.1093/infdis/jiaa019</t>
  </si>
  <si>
    <t xml:space="preserve">UL4PG</t>
  </si>
  <si>
    <t xml:space="preserve">WOS:000692634200008</t>
  </si>
  <si>
    <t xml:space="preserve">Xepapadaki, P; Psarras, S; Bossios, A; Tsolia, M; Gourgiotis, D; Liapi-Adamidou, G; Constantopoulos, AG; Kafetzis, D; Papadopoulos, NG</t>
  </si>
  <si>
    <t xml:space="preserve">Human metapneumovirus as a causative agent of acute bronchiolitis in infants</t>
  </si>
  <si>
    <t xml:space="preserve">human metapneumovirus; bronchiolitis; respiratory syncytial virus; polymerase chain reaction; diagnosis</t>
  </si>
  <si>
    <t xml:space="preserve">RESPIRATORY-TRACT INFECTIONS; YOUNG-CHILDREN; COMMUNITY; DISEASE; RHINOVIRUS; ILLNESS</t>
  </si>
  <si>
    <t xml:space="preserve">Background: Human Metapneumovirus (hMPV), has been recently isolated from children with acute respiratory tract infections (RTIs), including bronchiolitis, and classified in the Pneumovirinae subfamily within the Paramyxoviridae family. Objectives: Since most bronchiolitis studies fail to detect any viral pathogen in part of the samples, we sought for the presence of hMPV in a well characterized bronchiolitis cohort. Study design: Nasal washes were obtained from 56 children admitted to the hospital for acute bronchiolitis. RNA extraction and subsequent RT-PCR were used to detect hMPV, and correlated the presence of the virus with clinical characteristics of the disease. Results and conclusions: PCR revealed the presence of hMPV in 16% of bronchiolitis cases, whereas respiratory syncytial virus (RSV; 67.9%) was the most frequently encountered viral pathogen. hMPV was identified either as a unique viral pathogen or co-existed with RSV, with whom they shared a similar seasonal distribution. There were no differences in disease characteristics, either clinical or laboratory, between bronchiolitis cases where hMPV was present and those caused by RSV or other viral pathogens. These findings suggest that hMPV is a common and important causative agent in infants with bronchiolitis, with clinical characteristics similar to that of RSV. (C) 2004 Elsevier B.V. All rights reserved.</t>
  </si>
  <si>
    <t xml:space="preserve">Univ Athens, Dept Pediat 2, Res Labs, GR-11527 Athens, Greece</t>
  </si>
  <si>
    <t xml:space="preserve">National &amp; Kapodistrian University of Athens</t>
  </si>
  <si>
    <t xml:space="preserve">Univ Athens, Dept Pediat 2, Res Labs, 13 Levadias St, GR-11527 Athens, Greece.</t>
  </si>
  <si>
    <t xml:space="preserve">ngp@allergy.gr</t>
  </si>
  <si>
    <t xml:space="preserve">Bossios, Apostolos/ABH-8262-2020; Papadopoulos, Nikolaos/L-8670-2013</t>
  </si>
  <si>
    <t xml:space="preserve">Papadopoulos, Nikolaos/0000-0002-2508-3872; Bossios, Apostolos/0000-0002-0494-2690; Papadopoulos, Nikolaos/0000-0002-4448-3468</t>
  </si>
  <si>
    <t xml:space="preserve">10.1016/j.jcv.2003.12.012</t>
  </si>
  <si>
    <t xml:space="preserve">826RJ</t>
  </si>
  <si>
    <t xml:space="preserve">WOS:000221845900013</t>
  </si>
  <si>
    <t xml:space="preserve">Mazzoncini, JP; Crowell, CB; Kang, CS</t>
  </si>
  <si>
    <t xml:space="preserve">Mazzoncini, Joseph P., Jr.; Crowell, Christopher B.; Kang, Christopher S.</t>
  </si>
  <si>
    <t xml:space="preserve">HUMAN METAPNEUMOVIRUS: AN EMERGING RESPIRATORY PATHOGEN</t>
  </si>
  <si>
    <t xml:space="preserve">JOURNAL OF EMERGENCY MEDICINE</t>
  </si>
  <si>
    <t xml:space="preserve">human metapneumovirus; bronchiolitis; pneumonia; upper respiratory infection; lung</t>
  </si>
  <si>
    <t xml:space="preserve">SYNCYTIAL VIRUS; YOUNG-CHILDREN; INFECTION; DISEASE; TRACT; BRONCHIOLITIS; PREVALENCE; PNEUMONIA; SYMPTOMS; SARS</t>
  </si>
  <si>
    <t xml:space="preserve">Human metapneumovirus (hMPV) is an important emerging respiratory pathogen, previously unreported in the Emergency Medicine literature. It is primarily associated with the clinical syndromes of bronchiolitis and pneumonia. hMPV may predispose to bacterial pneumonia; coinfection with respiratory syncytial virus may lead to increased severity of clinical disease, and complications include asthma and chronic obstructive pulmonary disease exacerbations. Given its high prevalence and potential clinical implications as these patients present to the Emergency Department with initial infection or subsequent complications, a better understanding of hMPV will aid in their care. We report the case of a 13-month old who developed lobar pneumonia 3 weeks after being diagnosed with hMPV. The epidemiology, clinical presentation, complications, and treatment of hMPV are then discussed. (C) 2010 Elsevier Inc.</t>
  </si>
  <si>
    <t xml:space="preserve">[Mazzoncini, Joseph P., Jr.; Crowell, Christopher B.; Kang, Christopher S.] Madigan Army Med Ctr, Dept Emergency Med, Ft Lewis, WA USA</t>
  </si>
  <si>
    <t xml:space="preserve">Madigan Army Medical Center</t>
  </si>
  <si>
    <t xml:space="preserve">Mazzoncini, JP (corresponding author), Madigan Army Med Ctr, Dept Emergency Med, Bldg 9040,Fitzsimmons Dr, Tacoma, WA 98431 USA.</t>
  </si>
  <si>
    <t xml:space="preserve">0736-4679</t>
  </si>
  <si>
    <t xml:space="preserve">J EMERG MED</t>
  </si>
  <si>
    <t xml:space="preserve">J. Emerg. Med.</t>
  </si>
  <si>
    <t xml:space="preserve">10.1016/j.jemermed.2007.11.051</t>
  </si>
  <si>
    <t xml:space="preserve">Emergency Medicine</t>
  </si>
  <si>
    <t xml:space="preserve">597ZZ</t>
  </si>
  <si>
    <t xml:space="preserve">WOS:000277802600009</t>
  </si>
  <si>
    <t xml:space="preserve">Dollner, H; Risnes, K; Radtke, A; Nordbo, SA</t>
  </si>
  <si>
    <t xml:space="preserve">Outbreak of human metapneumovirus infection in Norwegian children</t>
  </si>
  <si>
    <t xml:space="preserve">human metapneumovirus; bronchiolitis; pneumonia; children; Norway</t>
  </si>
  <si>
    <t xml:space="preserve">RESPIRATORY-TRACT INFECTIONS; YOUNG-CHILDREN; PNEUMOVIRUS</t>
  </si>
  <si>
    <t xml:space="preserve">Introduction: Human metapneumovirus (hMPV) was recently discovered in children with acute respiratory tract infection. We have studied the occurrence of hMPV and report clinical findings of 50 hMPV-infected children who were hospitalized during an outbreak in Norway. Methods and population: During 5 months from November 15, 2002 to April 14, 2003 we collected nasopharyngeal aspirate specimens from 236 children admitted because of respiratory tract infection (RTI). Samples were analyzed for influenza virus A/B, parainfluenza viruses 1, 2 and 3 and respiratory syncytial virus by direct immunofluorescence assays and cell culture. Rhinovirus, adenovirus and hMPV were identified by polymerase chain reaction. Results: Human metapneumovirus was identified in 50 of 236 children (21%). Most (41 of 50) hMPV-infected children were hospitalized between November 15 and January 15, and during these 2 months hMPV was the most common isolate (41 of 72 isolates; 57%). Respiratory syncytial virus was identified in 36 children (15%), among whom 34 were admitted after the hMPV outbreak. The median age of hMPV-infected children was 12 months (range, 1 to 115 months), and one-half of the children had an underlying chronic disease. The most common symptoms were fever (86%), cough (90%), dyspnea (80%), wheezing (56%), rhinorrhea (44%), anorexia (48%) and vomiting (36%). Eight (16%) had an upper respiratory tract infection (rhinopharyngitis, n = 6; laryngitis, n = 2), 24 (48%) had bronchiolitis and 17 (34%) had pneumonia. Two-thirds with a lower RTI also had signs of upper RTI. Fourteen (28%) children needed supplemental oxygen, 1 was treated with continuous positive airway pressure and 2 were ventilated mechanically. Conclusion: Human metapneumovirus was the most common virus isolate during the winter season 2002 to 2003 in children hospitalized for respiratory tract infection. Upper respiratory tract infections and mild to severe bronchiolitis were most common, but a relatively high proportion of hospitalized children developed severe pneumonia.</t>
  </si>
  <si>
    <t xml:space="preserve">Univ Trondheim Hosp, St Olavs Hosp, Dept Pediat, Trondheim, Norway; Univ Trondheim Hosp, St Olavs Hosp, Dept Microbiol, Trondheim, Norway</t>
  </si>
  <si>
    <t xml:space="preserve">Norwegian University of Science &amp; Technology (NTNU); Norwegian University of Science &amp; Technology (NTNU)</t>
  </si>
  <si>
    <t xml:space="preserve">Univ Trondheim Hosp, St Olavs Hosp, Dept Pediat, Trondheim, Norway.</t>
  </si>
  <si>
    <t xml:space="preserve">10.1097/01.inf.000126401.21779.7</t>
  </si>
  <si>
    <t xml:space="preserve">822BI</t>
  </si>
  <si>
    <t xml:space="preserve">WOS:000221509000009</t>
  </si>
  <si>
    <t xml:space="preserve">Coverstone, AM; Wang, LY; Sumino, K</t>
  </si>
  <si>
    <t xml:space="preserve">Coverstone, Andrea M.; Wang, Leyao; Sumino, Kaharu</t>
  </si>
  <si>
    <t xml:space="preserve">Beyond Respiratory Syncytial Virus and Rhinovirus in the Pathogenesis and Exacerbation of Asthma The Role of Metapneumovirus, Bocavirus and Influenza Virus</t>
  </si>
  <si>
    <t xml:space="preserve">IMMUNOLOGY AND ALLERGY CLINICS OF NORTH AMERICA</t>
  </si>
  <si>
    <t xml:space="preserve">Human metapneumovirus; Bocavirus; Influenza virus; Wheezing; Asthma</t>
  </si>
  <si>
    <t xml:space="preserve">INNATE LYMPHOID-CELLS; EARLY-LIFE; PULMONARY INFLAMMATION; INTERFERON RESPONSE; VIRAL-INFECTIONS; CHILDREN; RISK; DISEASE; TSLP; HOSPITALIZATION</t>
  </si>
  <si>
    <t xml:space="preserve">Respiratory viruses other than rhinovirus or respiratory syncytial virus, including human metapneumovirus, influenza virus, and human bocavirus, are important pathogens in acute wheezing illness and asthma exacerbations in young children. Whether infection with these viruses in early life is associated with recurrent wheezing and/or asthma is not fully investigated, although there are data to suggest children with human metapneumovirus lower respiratory tract infection may have a higher likelihood of subsequent and recurrent wheezing several years after initial infection.</t>
  </si>
  <si>
    <t xml:space="preserve">[Coverstone, Andrea M.] Washington Univ, Sch Med, Dept Pediat, Div Allergy Immunol &amp; Pulm Med, 1 Childrens Pl,Campus Box 8116, St Louis, MO 63110 USA; [Wang, Leyao] Washington Univ, Sch Med, Dept Med, Div Pulm &amp; Crit Care Med, 425 S Euclid Ave,CB 8052, St Louis, MO 63110 USA; [Sumino, Kaharu] Washington Univ, Sch Med, Dept Med, Div Pulm &amp; Crit Care Med, 660 Euclid Ave,Campus Box 8052, St Louis, MO 63110 USA</t>
  </si>
  <si>
    <t xml:space="preserve">Washington University (WUSTL); Washington University (WUSTL); Washington University (WUSTL)</t>
  </si>
  <si>
    <t xml:space="preserve">Sumino, K (corresponding author), Washington Univ, Sch Med, Dept Med, Div Pulm &amp; Crit Care Med, 660 Euclid Ave,Campus Box 8052, St Louis, MO 63110 USA.</t>
  </si>
  <si>
    <t xml:space="preserve">ksumino@wustl.edu</t>
  </si>
  <si>
    <t xml:space="preserve">Sumino, Kaharu/AAA-2028-2021; Leyao, Wang/HJI-6243-2023</t>
  </si>
  <si>
    <t xml:space="preserve">Sumino, Kaharu/0000-0002-6214-2966</t>
  </si>
  <si>
    <t xml:space="preserve">0889-8561</t>
  </si>
  <si>
    <t xml:space="preserve">1557-8607</t>
  </si>
  <si>
    <t xml:space="preserve">IMMUNOL ALLERGY CLIN</t>
  </si>
  <si>
    <t xml:space="preserve">Immunol. Allerg. Clin. North Am.</t>
  </si>
  <si>
    <t xml:space="preserve">10.1016/j.iac.2019.03.007</t>
  </si>
  <si>
    <t xml:space="preserve">IR6RY</t>
  </si>
  <si>
    <t xml:space="preserve">WOS:000481567600010</t>
  </si>
  <si>
    <t xml:space="preserve">Li, XY; Guo, LR; Kong, M; Su, X; Yang, DJ; Zou, M; Liu, YH; Lu, LK</t>
  </si>
  <si>
    <t xml:space="preserve">Li, Xiaoyan; Guo, Liru; Kong, Mei; Su, Xu; Yang, Dongjing; Zou, Ming; Liu, Yinghua; Lu, Likun</t>
  </si>
  <si>
    <t xml:space="preserve">Design and Evaluation a Multi-Epitope Peptide of Human Metapneumovirus</t>
  </si>
  <si>
    <t xml:space="preserve">Human metapneumovirus; B epitope; Cytotoxic T lymphocyte epitope; T helper epitope; Multi-epitope peptide; Adjuvant</t>
  </si>
  <si>
    <t xml:space="preserve">RESPIRATORY SYNCYTIAL VIRUS; B-CELL EPITOPES; T-CELL; PROTECTIVE IMMUNITY; BINDING PREDICTION; NEURAL-NETWORK; IN-VIVO; MICE; INFECTION; VACCINES</t>
  </si>
  <si>
    <t xml:space="preserve">Objectives: No licensed vaccines or therapeutic agents for human metapneumovirus (hMPV) infection exist to date. We aimed to construct a multi-epitope peptide (MEP) of hMPV to show promising results for epitope-based vaccine development. Methods: Six independent algorithms were screened to predict B-cell epitopes of hMPV, and three algorithms were used to predict cytotoxic T lymphocyte and T helper (Th) lymphocyte epitopes. Predicted epitopes were assembled in series with the spacers GPGPG and KK introduced, termed MEP. Recombinant mep genes were inserted into pET32a(+) plasmid and expressed in Escherichia coli strain BL21 (DE3). BALB/c mice were immunized with MEP with different adjuvants. Antibody titer, lymphocyte proliferation, cytotoxic T lymphocyte (CTL) activity and splenocyte cytokines were detected 2 weeks later after the last immunization. Microneutralization assay was used to detect neutralizing antibodies. Results: Six B-cell epitopes, four CTL epitopes and two Th epitopes were screened to construct the mep gene. Expressed MEP induced &gt;10(4) antibodies in BALB/c mice, and produced anti-MEP antibody reacting with hMPV strains specifically as detected in indirect fluorescent assay ( the titer was 160). The lymphocyte proliferation index, CTL activity and splenocyte cytokines of the MEP immunization groups were higher than in the control group ( p &lt; 0.05). Both IgG1 and IgG2a antibodies could be detected in the different groups, and balanced Th1/Th2 cytokines were secreted by splenocytes in these groups. The mean neutralizing titers of the MEP+CpG ODN, MEP+Alum and MEP+Alum+CpG ODN groups were 87 ( 95% CI 50-126), 93 ( 95% CI 67121) and 96 ( 95% CI 69-147), respectively. Conclusion: MEP of hMPV elicited both strong humoral immunity and cell-mediated immunity in mice. The anti-MEP serum could neutralize hMPV infection in vitro. Joint use of CpG ODN and aluminum hydroxide adjuvants obtained the best immune effects. This study may contribute to hMPV epitope-based vaccine development. (C) 2016 S. Karger AG, Basel</t>
  </si>
  <si>
    <t xml:space="preserve">[Li, Xiaoyan; Guo, Liru; Kong, Mei; Su, Xu; Yang, Dongjing; Zou, Ming; Liu, Yinghua; Lu, Likun] Tianjin Ctr Dis Control &amp; Prevent, 6 Huayue Rd, Tianjin 300011, Peoples R China; [Li, Xiaoyan] Tianjin Med Univ, Sch Basic Med, Tianjin, Peoples R China</t>
  </si>
  <si>
    <t xml:space="preserve">Li, XY (corresponding author), Tianjin Ctr Dis Control &amp; Prevent, 6 Huayue Rd, Tianjin 300011, Peoples R China.</t>
  </si>
  <si>
    <t xml:space="preserve">xiaoyanli1291@163.com</t>
  </si>
  <si>
    <t xml:space="preserve">China Postdoctoral Science Foundation [2013M541186]; Tianjin Science and Technology Commission [15JCYBJC24700]; Tianjin Health and Family Planning Commission [2013KY20]</t>
  </si>
  <si>
    <t xml:space="preserve">China Postdoctoral Science Foundation(China Postdoctoral Science Foundation); Tianjin Science and Technology Commission; Tianjin Health and Family Planning Commission</t>
  </si>
  <si>
    <t xml:space="preserve">This study received a grant from the China Postdoctoral Science Foundation Funded Project (2013M541186), Tianjin Science and Technology Commission (15JCYBJC24700) and Tianjin Health and Family Planning Commission (2013KY20).</t>
  </si>
  <si>
    <t xml:space="preserve">10.1159/000445059</t>
  </si>
  <si>
    <t xml:space="preserve">DL6RA</t>
  </si>
  <si>
    <t xml:space="preserve">WOS:000375765100010</t>
  </si>
  <si>
    <t xml:space="preserve">Zhang, Y; Wei, YW; Li, JN; Li, JR</t>
  </si>
  <si>
    <t xml:space="preserve">Zhang, Yu; Wei, Yongwei; Li, Junan; Li, Jianrong</t>
  </si>
  <si>
    <t xml:space="preserve">Development and optimization of a direct plaque assay for human and avian metapneumoviruses</t>
  </si>
  <si>
    <t xml:space="preserve">Human metapneumovirus; Avian metapneumovirus; Plaque assay; Quantitation</t>
  </si>
  <si>
    <t xml:space="preserve">RESPIRATORY-TRACT DISEASE; FUSION PROTEIN; GENETIC-VARIABILITY; CHILDREN; INFECTIONS; PATHOGENICITY; PNEUMOVIRUS; SEQUENCES; SUBGROUP; RECOVERY</t>
  </si>
  <si>
    <t xml:space="preserve">The genus Metapneumovirus within the subfamily Pneumovirinae and family Paramyxoviridae includes only two viruses, human metapneumovirus (hMPV) and avian metapneumovirus (aMPV), which cause respiratory disease in humans and birds, respectively. These two viruses grow poorly in cell culture and other quantitation methods, such as indirect immuno-staining and immuno-fluorescent assays, are expensive, time consuming, and do not allow for plaque purification of the virus. In order to enhance research efforts for studying these two viruses, a direct plaque assay for both hMPV and aMPV has been developed. By optimizing the chemical components of the agarose overlay, it was found that both hMPV with a trypsin-independent F cleavage site and aMPV formed clear and countable plaques in a number of mammalian cell lines (such as Vero-E6 and LLC-MK2 cells) after 5 days of incubation. The plaque forming assay has similar sensitivity and reliability as the currently used immunological methods for viral quantitation. The plaque assay is also a more simple, rapid, and economical method compared to immunological assays, and in addition allows for plaque purification of the viruses. The direct plaque assay will be a valuable method for the quantitation and evaluation of the biological properties of some metapneumoviruses. (C) 2012 Elsevier B.V. All rights reserved.</t>
  </si>
  <si>
    <t xml:space="preserve">[Li, Jianrong] Ohio State Univ, Dept Food Sci &amp; Technol, Coll Food Agr &amp; Environm Sci, Div Environm Hlth Sci,Coll Publ Hlth, Columbus, OH 43210 USA; [Li, Jianrong] Ohio State Univ, Ctr RNA Biol, Columbus, OH 43210 USA</t>
  </si>
  <si>
    <t xml:space="preserve">University System of Ohio; Ohio State University; University System of Ohio; Ohio State University</t>
  </si>
  <si>
    <t xml:space="preserve">Li, JR (corresponding author), Ohio State Univ, Dept Food Sci &amp; Technol, Coll Food Agr &amp; Environm Sci, Div Environm Hlth Sci,Coll Publ Hlth, 233 Parker Food Sci Bldg,2015 Fyffe Rd, Columbus, OH 43210 USA.</t>
  </si>
  <si>
    <t xml:space="preserve">Li, Jianrong/E-3510-2011</t>
  </si>
  <si>
    <t xml:space="preserve">NIH [R01AI090060]; USDA Agriculture and Food Research Initiative [2010-65119-20602]; NIFA [2010-65119-20602, 581071] Funding Source: Federal RePORTER</t>
  </si>
  <si>
    <t xml:space="preserve">NIH(United States Department of Health &amp; Human ServicesNational Institutes of Health (NIH) - USA); USDA Agriculture and Food Research Initiative(United States Department of Agriculture (USDA)); NIFA(United States Department of Agriculture (USDA)National Institute of Food and Agriculture)</t>
  </si>
  <si>
    <t xml:space="preserve">This study was partially supported by grants from NIH (R01AI090060) and USDA Agriculture and Food Research Initiative (2010-65119-20602) to J.L. We thank Dr. Ron A.M. Fouchier for reverse genetics system of hMPV lineage A strain NL/1/100. We thank Dr. Mo Saif for aMPV subtype C Minnesota strain. We are grateful to the members of the Li laboratory for critical reviews of the manuscript. Yu Zhang is a fellow of Center for RNA Biology at The Ohio State University.</t>
  </si>
  <si>
    <t xml:space="preserve">10.1016/j.jviromet.2012.05.030</t>
  </si>
  <si>
    <t xml:space="preserve">990FC</t>
  </si>
  <si>
    <t xml:space="preserve">WOS:000307615400009</t>
  </si>
  <si>
    <t xml:space="preserve">Padhi, A; Verghese, B</t>
  </si>
  <si>
    <t xml:space="preserve">Padhi, Abinash; Verghese, Bindhu</t>
  </si>
  <si>
    <t xml:space="preserve">Positive natural selection in the evolution of human metapneumovirus attachment glycoprotein</t>
  </si>
  <si>
    <t xml:space="preserve">human metapneumovirus; attachment glycoprotein; phylogeny; adaptive evolution; substitution rate; evolutionary dynamics</t>
  </si>
  <si>
    <t xml:space="preserve">RESPIRATORY-TRACT INFECTION; LINKED-IMMUNOSORBENT-ASSAY; VIRUS SUBGROUP-A; GENETIC-VARIABILITY; PHYLOGENETIC ANALYSIS; MOLECULAR EVOLUTION; ADAPTIVE EVOLUTION; F-PROTEIN; SEQUENCE; SITES</t>
  </si>
  <si>
    <t xml:space="preserve">Human metapneumovirus (hMPV), a newly discovered virus of the family Paramyxoviridae, has been associated with upper and lower respiratory tract infections in different age groups in many countries. The putative attachment (G) glycoprotein of this virus was previously reported to have shown more extensive nucleotide and deduced amino acid sequence polymorphism than any other genomic regions of this virus, leading to four sub-lineages. Using a maximum likelihood-based codon substitution model of sequence evolution, here we report that sequences of extracellular domain of 8 amino acid sites in lineage 1a, and 3 amino acid sites each in lineage 1b, 2a, and 2b have a higher rate of nonsynonymous substitutions (d(N)) than the synonymous substitutions (d(S)) with a posterior probability above 0.95, thus suggesting the evidence of adaptive evolution driven by Darwinian selection. Although it is unclear whether these amino acid adaptations are driven by differential immune pressure or some other factors, identification of these positively selected amino acid sites would help in better screening using epitope mapping technology to identify and localize the sites that can be recognized by the immune system. We also observed surprisingly higher nucleotide substitution rates per site, per year for each lineage of hMPV than the rates that were previously reported for the human respiratory syncytial virus, suggesting rapid evolutionary dynamics of hMPV. (C) 2007 Elsevier B.V. All rights reserved.</t>
  </si>
  <si>
    <t xml:space="preserve">[Padhi, Abinash; Verghese, Bindhu] Univ Tulsa, Dept Biol Sci, Tulsa, OK 74104 USA</t>
  </si>
  <si>
    <t xml:space="preserve">University of Tulsa</t>
  </si>
  <si>
    <t xml:space="preserve">Padhi, A (corresponding author), Univ Tulsa, Dept Biol Sci, 600 S Coll Ave, Tulsa, OK 74104 USA.</t>
  </si>
  <si>
    <t xml:space="preserve">abinash-pandhi@utulsa.edu</t>
  </si>
  <si>
    <t xml:space="preserve">10.1016/j.virusres.2007.08.014</t>
  </si>
  <si>
    <t xml:space="preserve">271KB</t>
  </si>
  <si>
    <t xml:space="preserve">WOS:000253786200002</t>
  </si>
  <si>
    <t xml:space="preserve">Van den Bergh, A; Guillon, P; von Itzstein, M; Bailly, B; Dirr, L</t>
  </si>
  <si>
    <t xml:space="preserve">Van den Bergh, Annelies; Guillon, Patrice; von Itzstein, Mark; Bailly, Benjamin; Dirr, Larissa</t>
  </si>
  <si>
    <t xml:space="preserve">Drug Repurposing for Therapeutic Discovery against Human Metapneumovirus Infection</t>
  </si>
  <si>
    <t xml:space="preserve">ANTIMICROBIAL AGENTS AND CHEMOTHERAPY</t>
  </si>
  <si>
    <t xml:space="preserve">human metapneumovirus; antiviral drug repurposing; approved drugs; medium-throughput screening; antiviral; drug repurposing; mode of action</t>
  </si>
  <si>
    <t xml:space="preserve">RESPIRATORY SYNCYTIAL VIRUS; MYCOPHENOLIC-ACID; INHIBITION; REPLICATION</t>
  </si>
  <si>
    <t xml:space="preserve">Human metapneumovirus (HMPV) is recognized as an important cause of pneumonia in infants, in the elderly, and in immunocompromised individuals worldwide. The absence of an antiviral treatment or vaccine strategy against HMPV infection creates a high burden on the global health care system. Drug repurposing has become increasingly attractive for the treatment of emerging and endemic diseases as it requires less research and development costs than traditional drug discovery. In this study, we developed an in vitro medium-throughput screening assay that allows for the identification of novel anti-HMPV drugs candidates. Out of similar to 2,400 compounds, we identified 11 candidates with a dose-dependent inhibitory activity against HMPV infection. Additionally, we further described the mode of action of five anti-HMPV candidates with low in vitro cytotoxicity. Two entry inhibitors, Evans Blue and aurintricarboxylic acid, and three post-entry inhibitors, mycophenolic acid, mycophenolate mofetil, and 2,3,4-trihydroxybenzaldehyde, were identified. Among them, the mycophenolic acid series displayed the highest levels of inhibition, due to the blockade of intracellular guanosine synthesis. Importantly, MPA has significant potential for drug repurposing as inhibitory levels are achieved below the approved human oral dose. Our drug-repurposing strategy proved to be useful for the rapid discovery of novel hit candidates to treat HMPV infection and provide promising novel templates for drug design.</t>
  </si>
  <si>
    <t xml:space="preserve">[Van den Bergh, Annelies; Guillon, Patrice; von Itzstein, Mark; Bailly, Benjamin; Dirr, Larissa] Griffith Univ, Inst Glyc, Gold Coast Campus, Gold Coast, Qld, Australia</t>
  </si>
  <si>
    <t xml:space="preserve">von Itzstein, M; Bailly, B; Dirr, L (corresponding author), Griffith Univ, Inst Glyc, Gold Coast Campus, Gold Coast, Qld, Australia.</t>
  </si>
  <si>
    <t xml:space="preserve">m.vonitzstein@griffith.edu.au; b.bailly@griffith.edu.au; l.dirr@griffith.edu.au</t>
  </si>
  <si>
    <t xml:space="preserve">Bailly, Benjamin/N-1509-2014; von Itzstein, Mark/E-4823-2010; GUILLON, Patrice/J-2143-2016</t>
  </si>
  <si>
    <t xml:space="preserve">Van Den Bergh, Annelies/0000-0002-2873-7608; Dirr, Larissa/0000-0002-5794-266X; von Itzstein, Mark/0000-0001-6302-7524; GUILLON, Patrice/0000-0002-9639-183X</t>
  </si>
  <si>
    <t xml:space="preserve">Griffith University Postgraduate Research Scholarship; National Health and Medicine Research Council (NHMRC) Early Career Fellowship; National Health and Medical Research Council (NHMRC) [ID1196520, ID2009677]</t>
  </si>
  <si>
    <t xml:space="preserve">Griffith University Postgraduate Research Scholarship(Griffith University - Gold Coast Campus); National Health and Medicine Research Council (NHMRC) Early Career Fellowship(National Health &amp; Medical Research Council (NHMRC) of Australia); National Health and Medical Research Council (NHMRC)(National Health &amp; Medical Research Council (NHMRC) of Australia)</t>
  </si>
  <si>
    <t xml:space="preserve">This research was funded by a Griffith University Postgraduate Research Scholarship (A.V.D.B.), the National Health and Medicine Research Council (NHMRC) Early Career Fellowship (L.D.), and the National Health and Medical Research Council (NHMRC), ID1196520 and ID2009677 (M.v.I.).</t>
  </si>
  <si>
    <t xml:space="preserve">0066-4804</t>
  </si>
  <si>
    <t xml:space="preserve">1098-6596</t>
  </si>
  <si>
    <t xml:space="preserve">ANTIMICROB AGENTS CH</t>
  </si>
  <si>
    <t xml:space="preserve">Antimicrob. Agents Chemother.</t>
  </si>
  <si>
    <t xml:space="preserve">OCT 18</t>
  </si>
  <si>
    <t xml:space="preserve">10.1128/aac.01008-22</t>
  </si>
  <si>
    <t xml:space="preserve">5K1RV</t>
  </si>
  <si>
    <t xml:space="preserve">WOS:000852950000001</t>
  </si>
  <si>
    <t xml:space="preserve">Kukavica-Ibrulj, I; Boivin, G</t>
  </si>
  <si>
    <t xml:space="preserve">Kukavica-Ibrulj, Irena; Boivin, Guy</t>
  </si>
  <si>
    <t xml:space="preserve">Detection of human metapneumovirus antigens in nasopharyngeal aspirates using an enzyme immunoassay</t>
  </si>
  <si>
    <t xml:space="preserve">Human metapneumovirus; Antigen; Detection; Enzyme immunoassay; PCR</t>
  </si>
  <si>
    <t xml:space="preserve">REAL-TIME PCR; RESPIRATORY-TRACT INFECTIONS; MONOCLONAL-ANTIBODIES; VIRUSES; ASSAY</t>
  </si>
  <si>
    <t xml:space="preserve">Background: Human metapneumovirus (hMPV) is associated with acute respiratory tract infections (ARTI) in patients from all age groups. Objective: To evaluate the performance of a rapid antigenic test for all hMPV genotypes. Study design: Frozen nasopharyngeal aspirates from 93 individuals with ARTI were analyzed for the presence of hMPV antigens using an enzyme immunoassay (EIA, Biotrin Ltd.). Results: The hMPV EIA showed a sensitivity of 81%, a specificity of 100%. a positive predictive value of 100% and a negative predictive Value of 77% compared to viral culture and RT-PCR. Conclusion: The Biotrin hMPV EIA is a convenient alternative to cell culture for detection of hMPV with an excellent specificity. (c) 2008 Elsevier B.V. All rights reserved.</t>
  </si>
  <si>
    <t xml:space="preserve">Ctr Hosp Univ Quebec, Res Ctr Infect Dis, Quebec City, PQ G1V 4G2, Canada; Univ Laval, Quebec City, PQ, Canada</t>
  </si>
  <si>
    <t xml:space="preserve">Boivin, G (corresponding author), CHUL, CHUQ, Room RC-709,2705 Blvd Laurier, Ste Foy, PQ G1V 4G2, Canada.</t>
  </si>
  <si>
    <t xml:space="preserve">10.1016/j.jcv.2008.09.011</t>
  </si>
  <si>
    <t xml:space="preserve">398WA</t>
  </si>
  <si>
    <t xml:space="preserve">WOS:000262761000022</t>
  </si>
  <si>
    <t xml:space="preserve">Falsey, AR; Hennessey, PA; Formica, MA; Criddle, MM; Biear, JM; Walsh, EE</t>
  </si>
  <si>
    <t xml:space="preserve">Falsey, Ann R.; Hennessey, Patricia A.; Formica, Maria A.; Criddle, Mary M.; Biear, Jamie M.; Walsh, Edward E.</t>
  </si>
  <si>
    <t xml:space="preserve">Humoral immunity to human metapneumovirus infection in adults</t>
  </si>
  <si>
    <t xml:space="preserve">Human metapneumovirus; Antibody; Immunity</t>
  </si>
  <si>
    <t xml:space="preserve">RESPIRATORY-SYNCYTIAL-VIRUS; YOUNG-CHILDREN; TRACT INFECTIONS; RISK; AGE; PNEUMOVIRUS; PROTECTION; ANTIBODY; DISEASE; PROTEIN</t>
  </si>
  <si>
    <t xml:space="preserve">Human metapneumovirus (hMPV) is a significant cause of respiratory illness in children and adults. Presently, there are no human data regarding the role of antibody for protection against hMPV illness. Therefore, we measured serum and nasal antibody titers against hMPV by EIA and neutralization assay at baseline in hMPV infected adults compared with subjects who remained uninfected. Antibody titers were also compared in patients with mild and severe illness. Mean serum binding and neutralizing antibody titers of hMPV infected subjects were significantly lower compared to uninfected subjects. Seventy-one percent of subjects with titers &lt;= 10.5 (log 2) were infected compared to 36% with titers &gt; 10.5, p=0.003. There was no difference in the mean acute antibody titers for patients with mild compared to severe illness. Serum antibody may play a role in protection from hMPV infection supporting the development of an hMPV vaccine that stimulates humoral immunity. (C) 2009 Elsevier Ltd. All rights reserved.</t>
  </si>
  <si>
    <t xml:space="preserve">[Falsey, Ann R.] Rochester Gen Hosp, Infect Dis Unit, Dept Med, Rochester, NY 14621 USA; [Falsey, Ann R.; Biear, Jamie M.; Walsh, Edward E.] Univ Rochester, Sch Med &amp; Dent, Dept Med, Rochester, NY 14627 USA</t>
  </si>
  <si>
    <t xml:space="preserve">National Institutes of Allergy Immunology and Infectious Diseases [AI055861, AI045465]</t>
  </si>
  <si>
    <t xml:space="preserve">National Institutes of Allergy Immunology and Infectious Diseases(United States Department of Health &amp; Human ServicesNational Institutes of Health (NIH) - USANIH National Institute of Allergy &amp; Infectious Diseases (NIAID))</t>
  </si>
  <si>
    <t xml:space="preserve">Funding support: This work was supported by grants (AI055861 and AI045465) from the National Institutes of Allergy Immunology and Infectious Diseases.</t>
  </si>
  <si>
    <t xml:space="preserve">10.1016/j.vaccine.2009.11.063</t>
  </si>
  <si>
    <t xml:space="preserve">565NX</t>
  </si>
  <si>
    <t xml:space="preserve">WOS:000275301900009</t>
  </si>
  <si>
    <t xml:space="preserve">Zhang, Y; Niewiesk, S; Li, JR</t>
  </si>
  <si>
    <t xml:space="preserve">Zhang, Yu; Niewiesk, Stefan; Li, Jianrong</t>
  </si>
  <si>
    <t xml:space="preserve">Small Animal Models for Human Metapneumovirus: Cotton Rat is More Permissive than Hamster and Mouse</t>
  </si>
  <si>
    <t xml:space="preserve">human metapneumovirus; animal model; BALB/c mice; Syrian golden hamsters; cotton rats</t>
  </si>
  <si>
    <t xml:space="preserve">Human metapneumovirus (hMPV) is the second most prevalent causative agent of pediatric respiratory infections worldwide. Currently, there are no vaccines or antiviral drugs against this virus. One of the major hurdles in hMPV research is the difficulty to identify a robust small animal model to accurately evaluate the efficacy and safety of vaccines and therapeutics. In this study, we compared the replication and pathogenesis of hMPV in BALB/c mice, Syrian golden hamsters, and cotton rats. It was found that BALB/c mice are not permissive for hMPV infection despite the use of a high dose (6.5 log(10) PFU) of virus for intranasal inoculation. In hamsters, hMPV replicated efficiently in nasal turbinates but demonstrated only limited replication in lungs. In cotton rats, hMPV replicated efficiently in both nasal turbinate and lung when intranasally administered with three different doses (4, 5, and 6 log(10) PFU) of hMPV. Lungs of cotton rats infected by hMPV developed interstitial pneumonia with mononuclear cells infiltrates and increased lumen exudation. By immunohistochemistry, viral antigens were detected at the luminal surfaces of the bronchial epithelial cells in lungs. Vaccination of cotton rats with hMPV completely protected upper and lower respiratory tract from wildtype challenge. The immunization also elicited elevated serum neutralizing antibody. Collectively, these results demonstrated that cotton rat is a robust small animal model for hMPV infection.</t>
  </si>
  <si>
    <t xml:space="preserve">[Zhang, Yu; Niewiesk, Stefan; Li, Jianrong] Ohio State Univ, Coll Vet Med, Dept Vet Biosci, Columbus, OH 43210 USA</t>
  </si>
  <si>
    <t xml:space="preserve">Zhang.707@osu.edu; Niewiesk.1@osu.edu; li.926@osu.edu</t>
  </si>
  <si>
    <t xml:space="preserve">NIH [R01AI090060]; OSU Center for Clinical and Translational Science (CCTS)</t>
  </si>
  <si>
    <t xml:space="preserve">NIH(United States Department of Health &amp; Human ServicesNational Institutes of Health (NIH) - USA); OSU Center for Clinical and Translational Science (CCTS)</t>
  </si>
  <si>
    <t xml:space="preserve">This study was supported by grants from the NIH (R01AI090060) and a pilot grant from the OSU Center for Clinical and Translational Science (CCTS) to Jianrong Li. We thank Ron Fouchier for the infectious cDNA clone of hMPV. We thank Steven Krakowka for his help on histology.</t>
  </si>
  <si>
    <t xml:space="preserve">10.3390/pathogens3030633</t>
  </si>
  <si>
    <t xml:space="preserve">V0T0R</t>
  </si>
  <si>
    <t xml:space="preserve">WOS:000216533200008</t>
  </si>
  <si>
    <t xml:space="preserve">Toizumi, M; Suzuki, M; Nguyen, HAT; Le, MN; Ariyoshi, K; Moriuchi, H; Hashizume, M; Dang, DA; Yoshida, LM</t>
  </si>
  <si>
    <t xml:space="preserve">Toizumi, Michiko; Suzuki, Motoi; Hien Anh Thi Nguyen; Minh Nhat Le; Ariyoshi, Koya; Moriuchi, Hiroyuki; Hashizume, Masahiro; Duc Anh Dang; Yoshida, Lay-Myint</t>
  </si>
  <si>
    <t xml:space="preserve">Viral Acute Respiratory Illnesses in Young Infants Increase the Risk of Respiratory Readmission</t>
  </si>
  <si>
    <t xml:space="preserve">human metapneumovirus; adenoviridae; human rhinovirus; pediatrics; Vietnam</t>
  </si>
  <si>
    <t xml:space="preserve">SYNCYTIAL VIRUS-INFECTION; EARLY-LIFE; RHINOVIRUS ILLNESSES; PNEUMONIA; CHILDREN; CHILDHOOD; ASTHMA; AGE; BRONCHIOLITIS; ASSOCIATION</t>
  </si>
  <si>
    <t xml:space="preserve">Background: Respiratory viruses cause acute respiratory illness (ARI) in early childhood, but their effect on subsequent ARI admissions is not fully understood. This study aimed to determine the association between initial ARI admission because of viruses including human rhinovirus (HRV), respiratory syncytial virus (RSV), human adenovirus (HAdV) and human metapneumovirus (hMPV) and the risk of ARI readmission in children. Methods: Clinical information and nasopharyngeal swab samples were collected from children &lt;2 years old at their initial ARI admission in Nha Trang, Vietnam, from January 2007 to April 2012. The incidence of ARI readmission during the follow-up period (initial admission to 5 years of age) was compared between children with and without 1 of 13 respiratory viruses (influenza virus A, influenza virus B, RSV, hMPV, parainfluenza virus-1, parainfluenza virus-2, parainfluenza virus-3 and parainfluenza virus-4, HRV, human coronavirus-229E, human coronavirus-OC43, HAdV and human bocavirus) at initial admission. Results: A total of 1941 children were enrolled in the study. Viruses were detected in 1254 (64.6%) children at enrollment; HRV, RSV, HAdV and hMPV were detected in 499 (25.7%), 439 (22.6%), 156 (8.0%) and 47 (2.4%) children, respectively. During the follow-up period (4572.7 person-years), 277 children were readmitted with ARI. Virus-related ARI initial admission was associated with an increased risk of ARI readmission for children who were initially admitted before 6 months of age (adjusted rate ratio, 1.6; 95% confidence interval: 1.1-2.5). HAdV (4.6; 1.8-11.9), hMPV (20.4; 6.2-66.9) and HRV (1.6; 1.0-2.4) were independently associated with the outcome. These associations were not observed for children whose initial admission occurred after 6 months of age. Conclusions: HAdV-, hMPV- and HRV-related initial ARI admissions, when occurring during early infancy, increased the risk of subsequent ARI-related readmission.</t>
  </si>
  <si>
    <t xml:space="preserve">[Toizumi, Michiko; Minh Nhat Le; Hashizume, Masahiro; Yoshida, Lay-Myint] Nagasaki Univ, Inst Trop Med, Dept Pediat Infect Dis, 1-12-4 Sakamoto, Nagasaki, Japan; [Suzuki, Motoi; Ariyoshi, Koya] Nagasaki Univ, Inst Trop Med, Dept Clin Med, Nagasaki, Japan; [Hien Anh Thi Nguyen; Duc Anh Dang] Natl Inst Hyg &amp; Epidemiol, Dept Bacteriol, Hanoi, Vietnam; [Ariyoshi, Koya; Moriuchi, Hiroyuki; Hashizume, Masahiro; Yoshida, Lay-Myint] Nagasaki Univ, Grad Sch Biomed Sci, Nagasaki, Japan; [Moriuchi, Hiroyuki] Nagasaki Univ Hosp, Dept Pediat, Nagasaki, Japan</t>
  </si>
  <si>
    <t xml:space="preserve">Nagasaki University; Nagasaki University; National Institute of Hygiene &amp; Epidemiology (NIHE); Nagasaki University; Nagasaki University</t>
  </si>
  <si>
    <t xml:space="preserve">Yoshida, LM (corresponding author), Nagasaki Univ, Inst Trop Med, Dept Pediat Infect Dis, 1-12-4 Sakamoto, Nagasaki, Japan.</t>
  </si>
  <si>
    <t xml:space="preserve">lmyoshi@nagasaki-u.ac.jp</t>
  </si>
  <si>
    <t xml:space="preserve">michiko, toizumi/AAA-7450-2019</t>
  </si>
  <si>
    <t xml:space="preserve">Suzuki, Motoi/0000-0002-8340-0880; Hashizume, Masahiro/0000-0003-4720-1750; YOSHIDA, LAYMYINT/0000-0002-7567-3248</t>
  </si>
  <si>
    <t xml:space="preserve">Japan Initiative for Global Research Network on Infectious Diseases (J-GRID) from Ministry of Education, Culture, Sport, Science &amp; Technology in Japan [10008012]; Japan Agency for Medical Research and Development (AMED) [21406028]; Japan Society for the Promotion of Science [15K09571]; Grants-in-Aid for Scientific Research [15K09571] Funding Source: KAKEN</t>
  </si>
  <si>
    <t xml:space="preserve">Japan Initiative for Global Research Network on Infectious Diseases (J-GRID) from Ministry of Education, Culture, Sport, Science &amp; Technology in Japan; Japan Agency for Medical Research and Development (AMED)(Japan Agency for Medical Research and Development (AMED)); 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</si>
  <si>
    <t xml:space="preserve">The study was supported by the Japan Initiative for Global Research Network on Infectious Diseases (J-GRID; grant number 10008012) from Ministry of Education, Culture, Sport, Science &amp; Technology in Japan; Japan Agency for Medical Research and Development (AMED; grant number 21406028); Grants-in-Aid for Scientific Research (Japan Society for the Promotion of Science; grant number 15K09571 and Morinaga Hoshikai.</t>
  </si>
  <si>
    <t xml:space="preserve">10.1097/INF.0000000000001998</t>
  </si>
  <si>
    <t xml:space="preserve">HB0VF</t>
  </si>
  <si>
    <t xml:space="preserve">WOS:000450735800022</t>
  </si>
  <si>
    <t xml:space="preserve">Gerna, G; Sarasini, A; Percivalle, E; Campanini, G; Rovida, F; Marchi, A; Baldanti, F</t>
  </si>
  <si>
    <t xml:space="preserve">Gerna, Giuseppe; Sarasini, Antonella; Percivalle, Elena; Campanini, Giulia; Rovida, Francesca; Marchi, Antonietta; Baldanti, Fausto</t>
  </si>
  <si>
    <t xml:space="preserve">Prospective study of human metapneumovirus infection: Diagnosis, typing and virus quantification in nasopharyngeal secretions from pediatric patients</t>
  </si>
  <si>
    <t xml:space="preserve">human metapneumovirus; acute viral respiratory infections; RT-PCR; hMPV RNA quantification</t>
  </si>
  <si>
    <t xml:space="preserve">RESPIRATORY-TRACT INFECTIONS; MONOCLONAL-ANTIBODIES; CHILDREN; DISEASE; STRAINS; CULTURES; PCR</t>
  </si>
  <si>
    <t xml:space="preserve">Study design: During the winter-spring seasons 2004-2005 and 2005-2006, 965 nasopharyngeal aspirates from 871 patients were examined for human metapneumovirus (hMPV) by both monoclonal antibodies (MAbs) and reverse transcription (RT)-PCR. Results: Overall, 46 samples (4.8%) from 37 patients were positive for hMPV. Of these, 39 were positive by RT-PCR, and 35 by MAbs. Thus, using RT-PCR as a reference assay, the sensitivity, specificity, positive and negative predictive values of MAbs were 71.8%, 99.2%, 80.0% and 98.8%, respectively. Typing showed that concordant results were obtained in 32/46 (69.6%) strains (five untyped), whereas three strains were typed by MAbs only, and I I by RT-PCR only. Finally, quantification of hMPV RNA allowed to correlate high viral load in nasopharyngeal secretions with acute respiratory symptoms in a group of I I infants with acute lower respiratory tract infection examined upon admission and discharge from hospital, and a group of nine infants examined upon admission only. Conversely, hMPV etiology was questioned in a group of 14 infants with low viral load. Conclusions: MAbs may represent an alternative to or a complement to RT-PCR for detection and typing of hMPV strains, while hMPV RNA quantification may help in associating viral load with clinical symptoms. (C) 2007 Elsevier B.V. All rights reserved.</t>
  </si>
  <si>
    <t xml:space="preserve">Policlin San Matteo, Fdn IRCCS, Serv Virol, I-27100 Pavia, Italy; Policlin San Matteo, Fdn IRCCS, Lab Sperimentali Ric, I-27100 Pavia, Italy; Univ Pavia, Dept Pediat, I-27100 Pavia, Italy</t>
  </si>
  <si>
    <t xml:space="preserve">IRCCS Fondazione Casimiro Mondino; IRCCS Fondazione San Matteo; IRCCS Fondazione San Matteo; IRCCS Fondazione Casimiro Mondino; University of Pavia</t>
  </si>
  <si>
    <t xml:space="preserve">Rovida, Francesca/K-7984-2016; Percivalle, Elena/K-7994-2016; Campanini, Giulia/J-4889-2018; Baldanti, Fausto/J-4924-2018</t>
  </si>
  <si>
    <t xml:space="preserve">Rovida, Francesca/0000-0003-2345-2790; Percivalle, Elena/0000-0002-3355-1410; Gerna, Giuseppe/0000-0001-5956-2786; Campanini, Giulia/0000-0002-3536-2437; Baldanti, Fausto/0000-0002-3358-8969</t>
  </si>
  <si>
    <t xml:space="preserve">10.1016/j.jcv.2007.08.001</t>
  </si>
  <si>
    <t xml:space="preserve">WOS:000250935300012</t>
  </si>
  <si>
    <t xml:space="preserve">Attar, AOG; Enan, K; Abdelghani, S; Eltayeb, LB</t>
  </si>
  <si>
    <t xml:space="preserve">Attar, Ahmed Osman Gasim; Enan, Khalid; Abdelghani, Sara; Eltayeb, Lienda Bashier</t>
  </si>
  <si>
    <t xml:space="preserve">Molecular Diagnosis of Human Metapneumovirus in Hospitalized Children with Acute Respiratory Tract Infections using RT-LAMP: A Population-Based Prospective Study</t>
  </si>
  <si>
    <t xml:space="preserve">INTERNATIONAL JOURNAL OF BIOMEDICINE</t>
  </si>
  <si>
    <t xml:space="preserve">human metapneumovirus; acute respiratory tract infections; RT-LAMP</t>
  </si>
  <si>
    <t xml:space="preserve">GENETIC DIVERSITY; DISEASE</t>
  </si>
  <si>
    <t xml:space="preserve">Background: Human metapneumovirus (hMPV) is a major novel cause of acute respiratory infections ranging from wheezing to bronchiolitis and pneumonia in children worldwide. The aim of this study was to detect hMPV in hospitalized children with acute respiratory tract infections (ARTIs) by using reverse transcription-loop mediated isothermal amplification (RT-LAMP) assay. Methods and Results: A total of 68 children with ARTIs who were clinically suspected of acquiring hMPV were included in the study in the period between January 2019 and February 2020. Posterior-pharyngeal (throat) swabs were obtained from each patient. hMPV RNA was revealed in 18(26.5%) cases. The age range was from &lt;1 year to 10 years (mean age of 5.25 +/- 2.62). Sixteen (23.5%) of the participants were in the age group of &lt;1 year. where the majority of hMPV-positive subjects (n=11) were found (16.2% of the total number of infected children) (P=0.0025). The majority of hMPV-negative subjects (n=15) were found in the age group of 5-10 years (22% of the total number of infected children) (P=0.0025). Cough, fever, and shortness of breath were common symptoms in hMPV positive children: 15(83.3%), 13(72.2%), and 12(66.7%), respectively. There was a statistically significant correlation between common clinical symptoms and the age group of hMPV-positive children: symptoms were common in the age group of &lt;1 year. Conclusion: Our study represents the first report in Khartoum, Sudan, on the detection of hMPV using RT-LAMP. RT-LAMP is a valuable, quick diagnostic technique for hMPV detection.</t>
  </si>
  <si>
    <t xml:space="preserve">[Attar, Ahmed Osman Gasim] Al Neelain Univ, Fac Med Lab Sci, Dept Med Microbiol, Khartoum, Sudan; [Enan, Khalid] Minist Higher Educ &amp; Sci Res, Dept Virol, Cent Lab, Khartoum, Sudan; [Abdelghani, Sara] Al Neelain Univ, Fac Med Lab Sci, Dept Parasitol, Khartoum, Sudan; [Eltayeb, Lienda Bashier] Prince Sattam bin Abdulaziz Univ, Coll Appl Med Sci, Dept Med Lab Sci, Al Kharj, Saudi Arabia</t>
  </si>
  <si>
    <t xml:space="preserve">Prince Sattam Bin Abdulaziz University</t>
  </si>
  <si>
    <t xml:space="preserve">Eltayeb, LB (corresponding author), Prince Sattam bin Abdulaziz Univ, Coll Appl Med Sci, Dept Med Lab Sci, Al Kharj, Saudi Arabia.</t>
  </si>
  <si>
    <t xml:space="preserve">lindarose009@hotmail.com</t>
  </si>
  <si>
    <t xml:space="preserve">Eltayeb, Lienda/AGI-2942-2022</t>
  </si>
  <si>
    <t xml:space="preserve">Eltayeb, Lienda/0000-0002-9674-9133</t>
  </si>
  <si>
    <t xml:space="preserve">Deanship of Scientific Research at Prince Sattam bin Abdulaziz University, AlKharj, Saudi Arabia</t>
  </si>
  <si>
    <t xml:space="preserve">This study was supported by the Deanship of Scientific Research at Prince Sattam bin Abdulaziz University, AlKharj, Saudi Arabia. We would like to express our gratitude to the Faculty of Medical Laboratory Sciences at Al-Neelain University, Khartoum, Sudan.</t>
  </si>
  <si>
    <t xml:space="preserve">INT MEDICAL RESEARCH &amp; DEVELOPMENT CORP</t>
  </si>
  <si>
    <t xml:space="preserve">6308 12TH AVE, NEW YORK, NY 11219 USA</t>
  </si>
  <si>
    <t xml:space="preserve">2158-0510</t>
  </si>
  <si>
    <t xml:space="preserve">2158-0529</t>
  </si>
  <si>
    <t xml:space="preserve">INT J BIOMED</t>
  </si>
  <si>
    <t xml:space="preserve">Int. J. Biomed.</t>
  </si>
  <si>
    <t xml:space="preserve">10.21103/Article11(2)_OA4</t>
  </si>
  <si>
    <t xml:space="preserve">SY3OS</t>
  </si>
  <si>
    <t xml:space="preserve">WOS:000665801300006</t>
  </si>
  <si>
    <t xml:space="preserve">Xiao, NG; Xie, ZP; Zhang, B; Yuan, XH; Song, JR; Gao, HC; Zhang, RF; Hou, YD; Duan, ZJ</t>
  </si>
  <si>
    <t xml:space="preserve">Xiao, Ni-guang; Xie, Zhi-ping; Zhang, Bing; Yuan, Xin-hui; Song, Jing-rong; Gao, Han-chun; Zhang, Rong-fang; Hou, Yun-de; Duan, Zhao-jun</t>
  </si>
  <si>
    <t xml:space="preserve">Prevalence and Clinical and Molecular Characterization of Human Metapneumovirus in Children With Acute Respiratory Infection in China</t>
  </si>
  <si>
    <t xml:space="preserve">human metapneumovirus; acute respiratory tract infections; children; China</t>
  </si>
  <si>
    <t xml:space="preserve">GENETIC-VARIABILITY; SYNCYTIAL VIRUS; ADENOVIRUS; DISEASE</t>
  </si>
  <si>
    <t xml:space="preserve">Background: Human metapneumovirus (HMPV), a newly discovered paramyxovirus, has been associated with acute respiratory tract infections (ARTIs). However, the prevalence and molecular characteristics of HMPV in China are still unclear. Methods: A total of 661 nasopharyngeal aspirates (NPA) specimens were collected from 661 children with ARTIs between December 2006 and November 2008. Specimens were screened for HMPV by reverse transcription-polymerase reaction. All positive amplification products were confirmed by sequencing. Results: HMPV was detected in 45 patients (6.80%) of the 661 children. The HMPV-infected patients were from 29 days to 9 years of age. A high incidence of HMPV infection (84.4%) was observed during the winter-spring season. Of the 45 HMPV-positive patients, 25 (55.6%) were co-infected with other respiratory viruses, and respiratory syncytial virus (RSV) was the most common additional respiratory virus. The most common clinical diagnosis was bronchopneumonia (57.8%) and cough (88.9%) was the most common clinical symptom. Phylogenetic analysis of the F gene revealed that 80% of the HMPV detected were A2, 2.2% were A1, and 17.8% were B1. Statistical analyses showed that sex, ages, seasons, and severity of the disease did not correlate with HMPV genotype (P = 0.986, 0.347, 0.660, 0.252), but viral coinfection with HMPV increased hospitalization rates (P = 0.005). Conclusions: HMPV was frequently detected in the pediatric patients with ARTI in China. RSV was the most common coinfection virus and coinfection increased hospitalization rates. All HMPV subgroups except B2 cocirculated and there was no association found between HMPV genotypes and severity of disease.</t>
  </si>
  <si>
    <t xml:space="preserve">[Duan, Zhao-jun] CDC China, Dept Viral Diarrhea, Natl Inst Viral Dis Control &amp; Prevent, State Key Lab Mol Virol &amp; Genet Engn, Beijing 100052, Peoples R China; [Yuan, Xin-hui; Song, Jing-rong; Zhang, Rong-fang] Lanzhou Univ, Hosp 1, Dept Pediat, Lanzhou 730000, Peoples R China</t>
  </si>
  <si>
    <t xml:space="preserve">Chinese Center for Disease Control &amp; Prevention; National Institute for Viral Disease Control &amp; Prevention, Chinese Center for Disease Control &amp; Prevention; Lanzhou University</t>
  </si>
  <si>
    <t xml:space="preserve">Duan, ZJ (corresponding author), CDC China, Dept Viral Diarrhea, Natl Inst Viral Dis Control &amp; Prevent, State Key Lab Mol Virol &amp; Genet Engn, 100 Ying Xin St, Beijing 100052, Peoples R China.</t>
  </si>
  <si>
    <t xml:space="preserve">Zhang, Bing/HCH-9487-2022</t>
  </si>
  <si>
    <t xml:space="preserve">10.1097/INF.0b013e3181b56009</t>
  </si>
  <si>
    <t xml:space="preserve">549EV</t>
  </si>
  <si>
    <t xml:space="preserve">WOS:000274029600008</t>
  </si>
  <si>
    <t xml:space="preserve">Schuster, JE; Khuri-Bulos, N; Faouri, S; Shehabi, A; Johnson, M; Wang, L; Fonnesbeck, C; Williams, JV; Halasa, N</t>
  </si>
  <si>
    <t xml:space="preserve">Schuster, Jennifer E.; Khuri-Bulos, Najwa; Faouri, Samir; Shehabi, Asem; Johnson, Monika; Wang, Li; Fonnesbeck, Christopher; Williams, John V.; Halasa, Natasha</t>
  </si>
  <si>
    <t xml:space="preserve">Human Metapneumovirus Infection in Jordanian Children Epidemiology and Risk Factors for Severe Disease</t>
  </si>
  <si>
    <t xml:space="preserve">human metapneumovirus; acute respiratory tract infection; Jordan; Middle East; severity</t>
  </si>
  <si>
    <t xml:space="preserve">RESPIRATORY SYNCYTIAL VIRUS; TRACT INFECTIONS; VIRAL LOAD; CLINICAL SEVERITY; PCR ASSAY; INFLUENZA; ASSOCIATION; PREVALENCE; GENOTYPE; FEATURES</t>
  </si>
  <si>
    <t xml:space="preserve">Background: Human metapneumovirus (HMPV) is a leading cause of acute respiratory tract infection in young children. Our objectives were to define HMPV epidemiology and circulating strains and determine markers of severe disease in Jordanian children. Methods: We conducted a prospective study from March 16, 2010 to March 31, 2013 using quantitative reverse transcription/polymerase chain reaction to determine the frequency of HMPV infection among children &lt;2 years old admitted with fever and/or acute respiratory illness to a major government hospital in Amman, Jordan. Results: HMPV was present in 273 of 3168 (8.6%) of children presenting with acute respiratory tract infection. HMPV A2, B1 and B2, but not A1, were detected during the 3-year period. HMPV-infected children were older and more likely to be diagnosed with bronchopneumonia than HMPV-negative children. HMPV-infected children with lower respiratory tract infection had higher rates of cough and shortness of breath than children with lower respiratory tract infection infected with other or no identifiable viruses. Symptoms and severity were not different between children with HMPV only compared with HMPV coinfection. Children with HMPV subgroup A infection were more likely to require supplemental oxygen. In a multivariate analysis, HMPV subgroup A and age &lt;6 months were independently associated with supplemental oxygen requirement. Conclusions: HMPV is a leading cause of acute respiratory tract disease in Jordanian children &lt;2 years old. HMPV A and young age were associated with severe disease. Ninety percent of HMPV-infected hospitalized children were full term and otherwise healthy, in contrast to high-income nations; thus, factors contributing to disease severity likely vary depending on geographic and resource differences.</t>
  </si>
  <si>
    <t xml:space="preserve">[Schuster, Jennifer E.] Childrens Mercy Hosp, Dept Pediat, Kansas City, MO 64108 USA; [Khuri-Bulos, Najwa; Shehabi, Asem] Univ Jordan, Dept Pediat, Amman, Jordan; [Faouri, Samir] Al Bashir Hosp, Dept Pediat, Amman, Jordan; [Johnson, Monika; Williams, John V.; Halasa, Natasha] Vanderbilt Univ, Dept Pediat, Nashville, TN USA; [Wang, Li; Fonnesbeck, Christopher] Vanderbilt Univ, Dept Biostat, Nashville, TN 37235 USA; [Williams, John V.] Univ Pittsburgh, Childrens Hosp Pittsburgh, Sch Med, Dept Pediat,Med Ctr, Pittsburgh, PA USA</t>
  </si>
  <si>
    <t xml:space="preserve">Children's Mercy Hospital; University of Jordan; Vanderbilt University; Vanderbilt University; Pennsylvania Commonwealth System of Higher Education (PCSHE); University of Pittsburgh</t>
  </si>
  <si>
    <t xml:space="preserve">UBS Optimus Foundation; National Institutes of Health [R01AI085062, T32HD060554]; CTSA award from the National Center for Advancing Translational Sciences [UL1TR000445]</t>
  </si>
  <si>
    <t xml:space="preserve">Supported by the UBS Optimus Foundation; National Institutes of Health: R01AI085062 and T32HD060554; and the CTSA award UL1TR000445 from the National Center for Advancing Translational Sciences. Its contents are solely the responsibility of the authors and do not necessarily represent official views of the National Center for Advancing Translational Sciences or the National Institutes of Health.</t>
  </si>
  <si>
    <t xml:space="preserve">10.1097/INF.0000000000000892</t>
  </si>
  <si>
    <t xml:space="preserve">DD4BF</t>
  </si>
  <si>
    <t xml:space="preserve">WOS:000369866700014</t>
  </si>
  <si>
    <t xml:space="preserve">Mammas, IN; Koutsaftiki, C; Nika, E; Vagia, F; Zaravinos, A; Priftis, KN; Voyatzi, A; Theodoridou, M; Myriokefalitakis, N; Spandidos, DA</t>
  </si>
  <si>
    <t xml:space="preserve">Mammas, Ioannis N.; Koutsaftiki, Chryssie; Nika, Elisabeth; Vagia, Fotini; Zaravinos, Apostolos; Priftis, Kostas N.; Voyatzi, Aliki; Theodoridou, Maria; Myriokefalitakis, Nikolaos; Spandidos, Demetrios A.</t>
  </si>
  <si>
    <t xml:space="preserve">Detection of human metapneumovirus in infants with acute respiratory tract infection</t>
  </si>
  <si>
    <t xml:space="preserve">human metapneumovirus; acute respiratory tract infection; infants; Greece</t>
  </si>
  <si>
    <t xml:space="preserve">LUNG-TRANSPLANT RECIPIENTS; SYNCYTIAL-VIRUS; CHILDREN; DIAGNOSIS; SYMPTOMS; HMPV</t>
  </si>
  <si>
    <t xml:space="preserve">Both respiratory syncytial virus (RSV) and human metapneumovirus (hMPV), a recently discovered respiratory pathogen classified in the Paramyxoviridae family, have been associated with acute respiratory tract infections (ART!) in infants. The aim of our study was to determine the incidence and clinical features of hMPV infection in infants presenting with ARTI at a tertiary children's hospital in Greece during the 2007-2008 and 2008-2009 winter seasons. Routine nasal swabs were obtained from 127 infants younger than 12 months of age. The specimens were tested for the presence of hMPV and RSV antigens using validated enzyme-linked immunoassays. The mean age of the studied infants was 3 months (range 19 days to 12 months). hMPV was detected in 8 (6.3%) children, 4 boys and 4 girls, while RSV was detected in 39 (30.7%) children, 22 boys and 17 girls. In 7 children, hMPV was identified as a unique viral pathogen, while only 1 child was co-infected with hMPV and RSV. Bronchiolitis was diagnosed in all hMPV-positive cases, while only two cases required hospitalization and supplemental oxygen therapy. Our results provide further evidence of the importance of hMPV as a pathogen associated with community-acquired ARTI in infants in Greece.</t>
  </si>
  <si>
    <t xml:space="preserve">[Mammas, Ioannis N.; Koutsaftiki, Chryssie; Myriokefalitakis, Nikolaos] Penteli Childrens Hosp, Dept Paediat 1, Athens 15236, Greece; [Nika, Elisabeth; Vagia, Fotini; Voyatzi, Aliki] Penteli Childrens Hosp, Dept Clin Microbiol, Athens 15236, Greece; [Priftis, Kostas N.] Penteli Childrens Hosp, Dept Allergy Pneumonol, Athens 15236, Greece; [Theodoridou, Maria] Univ Athens, Sch Med, Aghia Sofia Childrens Hosp, Dept Paediat 1, GR-11527 Athens, Greece; [Zaravinos, Apostolos; Spandidos, Demetrios A.] Univ Crete, Sch Med, Dept Clin Virol, Iraklion, Crete, Greece</t>
  </si>
  <si>
    <t xml:space="preserve">Athens Medical School; The Aghia Sophia Children's Hospital; National &amp; Kapodistrian University of Athens; University of Crete</t>
  </si>
  <si>
    <t xml:space="preserve">Mammas, IN (corresponding author), Penteli Childrens Hosp, Dept Paediat 1, Athens 15236, Greece.</t>
  </si>
  <si>
    <t xml:space="preserve">mammasjo@googlemail.com</t>
  </si>
  <si>
    <t xml:space="preserve">Zaravinos, Apostolos/B-2528-2019</t>
  </si>
  <si>
    <t xml:space="preserve">Zaravinos, Apostolos/0000-0003-4625-5562; Spandidos, Demetrios/0000-0002-1146-931X</t>
  </si>
  <si>
    <t xml:space="preserve">10.3892/mmr.2011.416</t>
  </si>
  <si>
    <t xml:space="preserve">727GK</t>
  </si>
  <si>
    <t xml:space="preserve">WOS:000287785800011</t>
  </si>
  <si>
    <t xml:space="preserve">Banerjee, S; Sullender, WM; Choudekar, A; John, C; Tyagi, V; Fowler, K; Lefkowitz, EJ; Broor, S</t>
  </si>
  <si>
    <t xml:space="preserve">Banerjee, Sagarika; Sullender, Wayne M.; Choudekar, Avinash; John, Cherian; Tyagi, Vikas; Fowler, Karen; Lefkowitz, Elliot J.; Broor, Shobha</t>
  </si>
  <si>
    <t xml:space="preserve">Detection and Genetic Diversity of Human Metapneumovirus in Hospitalized Children With Acute Respiratory Infections in India</t>
  </si>
  <si>
    <t xml:space="preserve">human metapneumovirus; acute respiratory infections; pneumonia; fusion protein gene; glycoprotein gene</t>
  </si>
  <si>
    <t xml:space="preserve">PEDIATRIC-PATIENTS; TRACT INFECTIONS; F PROTEIN; VARIABILITY; FUSION; EPIDEMIOLOGY; DISEASE; SEVERITY; SYMPTOMS; GENOTYPE</t>
  </si>
  <si>
    <t xml:space="preserve">Human metapneumovirus (hMPV) causes acute respiratory infections in children and adults. It is classified into two major genetic lineages and each lineage into two sublineages. The purpose of the study was to identify and characterize hMPV in children who presented to the All India Institute of Medical Sciences, New Delhi, India with acute respiratory infection from April 2005 to March 2007. By reverse-transcription polymerase chain reaction, hMPV was detected in 21(3%) of the 662 nasopharyngeal samples from children with acute respiratory infection and in none of the 120 control children. Seven of the 21 (33%) children infected with hMPV required hospital admission for pneumonia or bronchiolitis. Most hMPV detections were during the winter and spring seasons. The majority (67%, 11/21) of children positive for hMPV were within 24 months of age. Phylogenetic analysis of partial F and N gene and the full G gene sequences showed three sub-lineages of hMPV circulated during the study period, B 1, B2, and the novel sub-lineage A2b. The circulation pattern of hMPV genotypes varied by season. Comparison of the F and G genes of eight strains revealed incongruencies in lineage assignments, raising the possibility that recombination had occurred. Sequence analysis also revealed the F gene was relatively conserved whereas the G gene was more variable between the A and B lineages. This study demonstrates that hMPV is an important contributor to acute respiratory infection in children in India, resulting in both outpatient visits and hospitalizations. J. Med. Virol. 83:1799 1810, 2011. (C) 2011 Wiley-Liss, Inc.</t>
  </si>
  <si>
    <t xml:space="preserve">[Banerjee, Sagarika; Choudekar, Avinash; John, Cherian; Tyagi, Vikas; Broor, Shobha] All India Inst Med Sci, Dept Microbiol, New Delhi 110029, India; [Sullender, Wayne M.; Fowler, Karen; Lefkowitz, Elliot J.] Univ Alabama Birmingham, Dept Pediat, Birmingham, AL USA; [Sullender, Wayne M.] Univ Alabama Birmingham, Dept Microbiol, Birmingham, AL 35294 USA</t>
  </si>
  <si>
    <t xml:space="preserve">All India Institute of Medical Sciences (AIIMS) New Delhi; University of Alabama System; University of Alabama Birmingham; University of Alabama System; University of Alabama Birmingham</t>
  </si>
  <si>
    <t xml:space="preserve">shobha.broor@gmail.com</t>
  </si>
  <si>
    <t xml:space="preserve">Banerjee, Sagarika/AAR-2682-2020; Broor, Shobha/AAX-4163-2021; Tyagi, Dr. Vikas/KYQ-5491-2024; Choudekar, Avinash/M-2682-2019</t>
  </si>
  <si>
    <t xml:space="preserve">Banerjee, Sagarika/0000-0002-4549-3342; Lefkowitz, Elliot/0000-0002-4748-4925</t>
  </si>
  <si>
    <t xml:space="preserve">National Institute of Health (NIH) [NIAID R21 AI59792]; Council for Scientific and Industrial Research (CSIR), India</t>
  </si>
  <si>
    <t xml:space="preserve">National Institute of Health (NIH)(United States Department of Health &amp; Human ServicesNational Institutes of Health (NIH) - USA); Council for Scientific and Industrial Research (CSIR), India(Council of Scientific &amp; Industrial Research (CSIR) - India)</t>
  </si>
  <si>
    <t xml:space="preserve">Grant sponsor: National Institute of Health (NIH); Grant number: NIAID R21 AI59792.Financial assistance to Sagarika Banerjee was provided by Council for Scientific and Industrial Research (CSIR), India. The authors would like to thank Mr. Yashpal Yadav for technical assistance.</t>
  </si>
  <si>
    <t xml:space="preserve">10.1002/jmv.22176</t>
  </si>
  <si>
    <t xml:space="preserve">808NO</t>
  </si>
  <si>
    <t xml:space="preserve">WOS:000293985900018</t>
  </si>
  <si>
    <t xml:space="preserve">Ye, HM; Zhang, SQ; Zhang, KX; Li, YZ; Chen, DL; Tan, YY; Liang, LY; Liu, MJ; Liang, JY; An, S; Wu, JH; Zhu, X; Li, MF; He, ZJ</t>
  </si>
  <si>
    <t xml:space="preserve">Ye, Hengming; Zhang, Shuqing; Zhang, Kexin; Li, Yizhe; Chen, Delin; Tan, Yongyao; Liang, Linyue; Liu, Minjie; Liang, Jingyao; An, Shu; Wu, Jueheng; Zhu, Xun; Li, Mengfeng; He, Zhenjian</t>
  </si>
  <si>
    <t xml:space="preserve">Epidemiology, genetic characteristics, and association with meteorological factors of human metapneumovirus infection in children in southern China: A 10-year retrospective study</t>
  </si>
  <si>
    <t xml:space="preserve">Human metapneumovirus; Acute respiratory infections; Epidemiology; Genotype; Meteorological factors</t>
  </si>
  <si>
    <t xml:space="preserve">RESPIRATORY-TRACT INFECTIONS; SYNCYTIAL VIRUS; MOLECULAR EPIDEMIOLOGY; YOUNG-CHILDREN; GENOTYPE; VARIABILITY; SEVERITY; BURDEN; IMPACT</t>
  </si>
  <si>
    <t xml:space="preserve">Objectives: This study aimed to determine the epidemiological and genetic features of human metapneumovirus (HMPV) infection in children in southern China, and the effect of meteorological factors on infection.Methods: 14,817 children ( &lt;= 14 years) with acute respiratory tract infections from 2010 to 2019 were examined for HMPV and other respiratory viruses by real-time quantitative polymerase chain reaction. Full-length F gene of 54 positive samples were sequenced and subjected to phylogenetic analysis. The correlation between the HMPV-positive rate and meteorological factors was analyzed by linear regression analysis.Results: HMPV was detected in 524 (3.5%) children, who were mostly younger than 1 year. The seasonal peak of HMPV prevalence mainly occurred in spring. Respiratory syncytial virus was the most common virus coinfected with HMPV (5.3%). Phylogenetic analysis revealed that the sequenced HMPV strains belonged to four sublineages, including A2b (1.9%), A2c (31.5%), B1 (50.0%), and B2 (16.7%). After adjusting for all meteorological factors, sunshine duration was inversely correlated with the HMPV-positive rate. Conclusion: HMPV is an important respiratory pathogen that causes acute respiratory tract infections in children in southern China, particularly in children &lt;= 5 years old. The prevalence peak of HMPV in this area appeared in spring, and the predominant subtype was B1. Meteorological factors, especially long sunshine duration, might decrease the HMPV prevalence.(c) 2023 The Author(s). Published by Elsevier Ltd on behalf of International Society for Infectious Diseases. This is an open access article under the CC BY-NC-ND license ( http://creativecommons.org/licenses/by-nc-nd/4.0/ )</t>
  </si>
  <si>
    <t xml:space="preserve">[Ye, Hengming; Zhang, Kexin; Li, Yizhe; Liu, Minjie; Liang, Jingyao; He, Zhenjian] Sun Yat Sen Univ, Sch Publ Hlth, Guangzhou, Peoples R China; [Ye, Hengming; Zhang, Shuqing; Wu, Jueheng; Zhu, Xun; Li, Mengfeng; He, Zhenjian] Sun Yat Sen Univ, Key Lab Trop Dis Control, Minist Educ, Guangzhou, Peoples R China; [Ye, Hengming] Publ Hlth Serv Ctr Baoan Dist, Shenzhen, Peoples R China; [Zhang, Shuqing; Chen, Delin; Tan, Yongyao; Liang, Linyue; Wu, Jueheng; Zhu, Xun; Li, Mengfeng] Sun Yat Sen Univ, Zhongshan Sch Med, Dept Microbiol, Guangzhou, Peoples R China; [An, Shu] Sun Yat Sen Univ, Affiliated Hosp 1, Dept Lab Med, Guangzhou, Peoples R China; [Li, Mengfeng] Southern Med Univ, Canc Inst, Guangzhou, Peoples R China</t>
  </si>
  <si>
    <t xml:space="preserve">Sun Yat Sen University; Sun Yat Sen University; Sun Yat Sen University; Sun Yat Sen University; Southern Medical University - China</t>
  </si>
  <si>
    <t xml:space="preserve">He, ZJ (corresponding author), Sun Yat Sen Univ, Sch Publ Hlth, Guangzhou, Peoples R China.;He, ZJ (corresponding author), Sun Yat Sen Univ, Key Lab Trop Dis Control, Minist Educ, Guangzhou, Peoples R China.</t>
  </si>
  <si>
    <t xml:space="preserve">hezhenj3@mail.sysu.edu.cn</t>
  </si>
  <si>
    <t xml:space="preserve">An, Shu/JVO-0435-2024; Ye, Hengming/JHS-9044-2023; Tan, Yongyao/GQY-6770-2022</t>
  </si>
  <si>
    <t xml:space="preserve">Ye, Hengming/0000-0003-3303-3792</t>
  </si>
  <si>
    <t xml:space="preserve">Guangdong Marine Economy Development Special Project; National Mega Project on Major Infectious Disease Prevention [81971146]; National Natural Science Foundation of China [82071352, 82171675, 82101775, 2022A1515011156]; Guangdong Basic and Applied Basic Research Foundation [2022kfkt03]; Open Project Fund of the Key Laboratory of Tropical Disease Control (Sun Yatsen University); Ministry of Education [GDNRC [2022] 35]; [2017ZX10103011]</t>
  </si>
  <si>
    <t xml:space="preserve">Guangdong Marine Economy Development Special Project; National Mega Project on Major Infectious Disease Prevention; National Natural Science Foundation of China(National Natural Science Foundation of China (NSFC)); Guangdong Basic and Applied Basic Research Foundation; Open Project Fund of the Key Laboratory of Tropical Disease Control (Sun Yatsen University); Ministry of Education;</t>
  </si>
  <si>
    <t xml:space="preserve">This work was supported by grants from Guangdong Marine Economy Development Special Project (NO. GDNRC [2022] 35) , the National Mega Project on Major Infectious Disease Prevention (2017ZX10103011) , the National Natural Science Foundation of China (81971146 , 82071352 , 82171675 , 82101775) , Guangdong Basic and Applied Basic Research Foundation (2022A1515011156) , Open Project Fund of the Key Laboratory of Tropical Disease Control (Sun Yatsen University) , Ministry of Education (2022kfkt03) .</t>
  </si>
  <si>
    <t xml:space="preserve">10.1016/j.ijid.2023.10.002</t>
  </si>
  <si>
    <t xml:space="preserve">OCT 2023</t>
  </si>
  <si>
    <t xml:space="preserve">Y0QK4</t>
  </si>
  <si>
    <t xml:space="preserve">WOS:001102399000001</t>
  </si>
  <si>
    <t xml:space="preserve">Debur, MDC; Bordignon, J; Duarte dos Santos, CN; Vidal, LR; Nogueira, MB; de Almeida, SM; Raboni, SM</t>
  </si>
  <si>
    <t xml:space="preserve">Debur, Maria do Carmo; Bordignon, Juliano; Duarte dos Santos, Claudia Nunes; Vidal, Luine Rosele; Nogueira, Meri Bordignon; de Almeida, Sergio Monteiro; Raboni, Sonia Mara</t>
  </si>
  <si>
    <t xml:space="preserve">Acute respiratory infection by human metapneumovirus in children in southern Brazil</t>
  </si>
  <si>
    <t xml:space="preserve">human metapneumovirus; acute respiratory infection; RT-PCR; nucleoprotein cloning</t>
  </si>
  <si>
    <t xml:space="preserve">TRACT INFECTIONS; SYNCYTIAL VIRUS; ACUTE BRONCHIOLITIS; FRENCH CHILDREN; PCR</t>
  </si>
  <si>
    <t xml:space="preserve">Background: Human metapneumovirus (hMPV) has been described as an etiologic agent of acute respiratory infections (ARI), mainly in pediatric patients. Viral isolation is difficult and has low sensitivity, and consequently RT-PCR assays are currently used for detection. Objectives: Detect hMPV in ARI in hospitalized children in Southern Brazil; standardize a RT-PCR for routine hMPV diagnosis; validate a positive control for molecular tests; and perform phylogenetics analyses. Study design: Nasopharyngeal aspirates (NPA) from 156 hospitalized children were studied. A conserved region of the nucleoprotein gene was cloned, characterized and used to standardize an RT-PCR assay. Phylogenetic analyses were performed. Clinical data were obtained from medical records. Results: hMPV was detected in 6.4% of the samples. Dyspnea and wheezing were frequently reported symptoms and the most common diagnoses were bronchiolitis, acute respiratory insufficiency or laryngotracheobronchitis. Nucleotide sequence alignment revealed 97.7% identity with genotype A I of hMPV. The detection limit of hMPV genomes by RT-PCR in clinical samples was 180 copies/mu L. Conclusion: This is the first report of the detection and genetic characterization of hMPV infections in children with lower ARI in Southern Brazil. (c) 2007 Elsevier B.V. All rights reserved.</t>
  </si>
  <si>
    <t xml:space="preserve">Univ Fed Parana, Hosp Clin, Virol Lab, BR-80060000 Curitiba, Parana, Brazil; Inst Mol Biol Parana, Fiocruz, Parana, Brazil; Univ Fed Parana, Dept Patol, BR-80060000 Curitiba, Parana, Brazil</t>
  </si>
  <si>
    <t xml:space="preserve">Raboni, SM (corresponding author), Rua Padre Camargo 280,2nd Andar,Sala 203, BR-80060240 Curitiba, Parana, Brazil.</t>
  </si>
  <si>
    <t xml:space="preserve">Bordignon, Juliano/Z-6268-2019; dos Santos, Claudia/P-4868-2019; Raboni, Sonia/AAF-7142-2020; NOGUEIRA, MERI/AAX-9795-2021; Duarte dos Santos, Claudia/E-1857-2018</t>
  </si>
  <si>
    <t xml:space="preserve">Bordignon, Juliano/0000-0002-1965-6152; Duarte dos Santos, Claudia/0000-0001-8707-6638</t>
  </si>
  <si>
    <t xml:space="preserve">10.1016/j.jcv.2007.01.012</t>
  </si>
  <si>
    <t xml:space="preserve">198MD</t>
  </si>
  <si>
    <t xml:space="preserve">WOS:000248631300011</t>
  </si>
  <si>
    <t xml:space="preserve">Banerjee, S; Bharaj, P; Sullender, W; Kabra, SK; Broor, S</t>
  </si>
  <si>
    <t xml:space="preserve">Banerjee, Sagarika; Bharaj, Preeti; Sullender, Wayne; Kabra, Sushil K.; Broor, Shobha</t>
  </si>
  <si>
    <t xml:space="preserve">Human metapneumovirus infections among children with acute respiratory infections seen in a large referral hospital in India</t>
  </si>
  <si>
    <t xml:space="preserve">human metapneumovirus; acute respiratory infection; fusion protein gene</t>
  </si>
  <si>
    <t xml:space="preserve">DISEASE</t>
  </si>
  <si>
    <t xml:space="preserve">Background: Acute respiratory infections (ARI) are the leading cause of morbidity and mortality among children &lt; 5 years of age in developing countries. Human metapneumovirus (hMPV), a newly described respiratory pathogen, has been identified as an important cause of ARI in young children. Objectives: The objective was to describe the prevalence of hMPV in children who presented with ARI to a large referral hospital in Delhi, India and to genotype circulating strains on the basis of F gene nucleotide sequence analysis. Study design: We analyzed 97 samples from children &lt; 5 years of age with ARI seen at the All India Institute of Medical Sciences from June 2004 to March 2005. RT-PCR was performed for the N and F genes and partial F gene nucleotide sequences were used to characterize the viruses. Results: hMPV was identified in 12% of children with ARI, including 13% of the children hospitalized with ARI. Most virus identification occurred in the winter. The Indian strains clustered in the A2 genetic sublineage. Conclusions: This report establishes hMPV as an important cause of ARI in children in India. (c) 2006 Elsevier B.V. All rights reserved.</t>
  </si>
  <si>
    <t xml:space="preserve">All India Inst Med Sci, Dept Microbiol, New Delhi 110029, India; Univ Alabama, Dept Pediat, Birmingham, AL 35233 USA; Univ Alabama, Dept Microbiol, Birmingham, AL 35233 USA; All India Inst Med Sci, Dept Pediat, New Delhi 110029, India</t>
  </si>
  <si>
    <t xml:space="preserve">All India Institute of Medical Sciences (AIIMS) New Delhi; University of Alabama System; University of Alabama Birmingham; University of Alabama System; University of Alabama Birmingham; All India Institute of Medical Sciences (AIIMS) New Delhi</t>
  </si>
  <si>
    <t xml:space="preserve">Broor, S (corresponding author), All India Inst Med Sci, Dept Microbiol, Ansari Nagar, New Delhi 110029, India.</t>
  </si>
  <si>
    <t xml:space="preserve">Banerjee, Sagarika/AAR-2682-2020; Broor, Shobha/AAX-4163-2021; Bharaj, Preeti/AAX-7394-2020</t>
  </si>
  <si>
    <t xml:space="preserve">Bharaj, Preeti/0000-0002-9411-9373; Banerjee, Sagarika/0000-0002-4549-3342</t>
  </si>
  <si>
    <t xml:space="preserve">10.1016/j.jcv.2006.07.003</t>
  </si>
  <si>
    <t xml:space="preserve">129NT</t>
  </si>
  <si>
    <t xml:space="preserve">WOS:000243736900012</t>
  </si>
  <si>
    <t xml:space="preserve">Avcu, G; Belet, N; Yener, N; Karli, A; Sensoy, G</t>
  </si>
  <si>
    <t xml:space="preserve">Avcu, Gulhadiye; Belet, Nursen; Yener, Nazik; Karli, Arzu; Sensoy, Gulnar</t>
  </si>
  <si>
    <t xml:space="preserve">Severe Human Metapneumovirus Pneumonia in a Healthy Obese Child</t>
  </si>
  <si>
    <t xml:space="preserve">JOURNAL OF PEDIATRIC INFECTION</t>
  </si>
  <si>
    <t xml:space="preserve">Human metapneumovirus; acute respiratory distress syndrome; obesity; child</t>
  </si>
  <si>
    <t xml:space="preserve">Human metapneumovirus (HMPV) is a newly described virus of Paramyxoviridae family. HMPV can cause respiratory tract infections in patients of all ages but HMPV related most severe diseases are seen in infants, the elderly population, immunocompromised people or those with chronic diseases. In this paper, we present a 6.5 year-old male patient with HMPV related acute respiratory distress syndrome (ARDS) who has no other risk factors excluding obesity for severe HMPV infection.</t>
  </si>
  <si>
    <t xml:space="preserve">[Avcu, Gulhadiye; Belet, Nursen; Karli, Arzu; Sensoy, Gulnar] Ondokuz Mayis Univ, Sch Med, Dept Pediat Infect Dis, Samsun, Turkey; [Yener, Nazik] Ondokuz Mayis Univ, Sch Med, Dept Pediat Intens Care Unit, Samsun, Turkey</t>
  </si>
  <si>
    <t xml:space="preserve">Ondokuz Mayis University; Ondokuz Mayis University</t>
  </si>
  <si>
    <t xml:space="preserve">Avcu, G (corresponding author), Ondokuz Mayis Univ, Tip Fak, Cocuk Enfeksiyon Hastaliklari Bilim Dali, Samsun, Turkey.</t>
  </si>
  <si>
    <t xml:space="preserve">gul_akbas@yahoo.com.tr</t>
  </si>
  <si>
    <t xml:space="preserve">AVES YAYINCILIK, IBRAHIM KARA</t>
  </si>
  <si>
    <t xml:space="preserve">BUYUKDERE CAD 105-9 34394 MECIDIYEKOY, SISLI, ISTANBUL, 00000, TURKEY</t>
  </si>
  <si>
    <t xml:space="preserve">1307-1068</t>
  </si>
  <si>
    <t xml:space="preserve">1308-5271</t>
  </si>
  <si>
    <t xml:space="preserve">J PEDIATR INFECT</t>
  </si>
  <si>
    <t xml:space="preserve">J. Pediatr. Infect.</t>
  </si>
  <si>
    <t xml:space="preserve">10.5578/ced.57488</t>
  </si>
  <si>
    <t xml:space="preserve">VI7FS</t>
  </si>
  <si>
    <t xml:space="preserve">WOS:000510620200012</t>
  </si>
  <si>
    <t xml:space="preserve">Suzuki, A; Watanabe, O; Okamoto, M; Endo, H; Yano, H; Suetake, M; Nishimura, H</t>
  </si>
  <si>
    <t xml:space="preserve">Detection of human metapneumovirus from children with acute otitis media</t>
  </si>
  <si>
    <t xml:space="preserve">human metapneumovirus; acute otitis media</t>
  </si>
  <si>
    <t xml:space="preserve">RESPIRATORY-TRACT DISEASE; INFECTIONS; VIRUSES; INFANTS</t>
  </si>
  <si>
    <t xml:space="preserve">Nasal and middle ear specimens collected from children with acute otitis media were subjected to viral isolation and bacteria culture. All virus-negative specimens underwent reverse transcription polymerase chain reaction to detect human metapneumovirus. Three of 126 middle ear specimens were positive by this assay.</t>
  </si>
  <si>
    <t xml:space="preserve">Tohoku Rosai Hosp, Sendai Med Ctr, Sendai, Miyagi, Japan; Tohoku Rosai Hosp, Dept Pediat, Sendai, Miyagi, Japan; Tohoku Rosai Hosp, Dept Otolaryngol, Sendai, Miyagi, Japan</t>
  </si>
  <si>
    <t xml:space="preserve">Suzuki, A (corresponding author), Tohoku Rosai Hosp, Sendai Med Ctr, Sendai, Miyagi, Japan.</t>
  </si>
  <si>
    <t xml:space="preserve">10.1097/01.inf.0000168755.01196.49</t>
  </si>
  <si>
    <t xml:space="preserve">946WO</t>
  </si>
  <si>
    <t xml:space="preserve">WOS:000230604200022</t>
  </si>
  <si>
    <t xml:space="preserve">Koppisetty, S; Skrzynski, AK; Lauter, CB; Sims, MD</t>
  </si>
  <si>
    <t xml:space="preserve">Koppisetty, Shalini; Skrzynski, Adam K.; Lauter, Carl B.; Sims, Matthew D.</t>
  </si>
  <si>
    <t xml:space="preserve">Human Metapneumovirus: A Rare Cause of Acute Meningoencephalitis</t>
  </si>
  <si>
    <t xml:space="preserve">human metapneumovirus; acute encephalopathy; encephalitis; seizures; polymerase chain reaction</t>
  </si>
  <si>
    <t xml:space="preserve">RESPIRATORY-TRACT DISEASE; TISSUE INHIBITORS; ENCEPHALOPATHY; CHILDREN; INFECTION; MATRIX-METALLOPROTEINASE-9; METALLOPROTEINASES-1; ADULTS; YOUNG</t>
  </si>
  <si>
    <t xml:space="preserve">Human metapneumovirus (hMPV) is an emerging pathogen well known to cause respiratory tract infections in children and adults. It is responsible for approximately 5% to 10% of all hospitalizations of children due to acute respiratory tract infections. The hMPV can cause severe illness in children, immunocompromised persons, and the elderly, which can progress to severe respiratory failure requiring hospitalization and mechanical ventilation. Transmission occurs via contact with contaminated respiratory secretions (droplet, aerosol). The hMPV is rarely known to cause central nervous system complications. Descriptions of this syndrome are limited to case reports, most of which have been in children. Reports suggest that this virus has been linked to diseases of the central nervous system including acute encephalopathy, encephalitis, and febrile seizures. Review of the literature revealed only one confirmed case of hMPV isolated from the cerebrospinal fluid of a patient with concurrent encephalitis. We describe an adult patient with acute meningoencephalitis associated with hMPV, in whom a respiratory virus panel with polymerase chain reaction was positive for hMPV on nasopharyngeal swab, but was negative on the cerebrospinal fluid specimen.</t>
  </si>
  <si>
    <t xml:space="preserve">[Koppisetty, Shalini; Skrzynski, Adam K.; Lauter, Carl B.; Sims, Matthew D.] Beaumont Hlth Syst, Dept Med, Sect Infect Dis &amp; Int Med, 3535 W 13 Mile Rd, Royal Oak, MI 48073 USA; [Lauter, Carl B.; Sims, Matthew D.] Oakland Univ, William Beaumont Sch Med, Rochester Hills, MI USA; [Lauter, Carl B.] Beaumont Hlth Syst, Dept Med, Sect Allergy Immunol, Royal Oak, MI USA</t>
  </si>
  <si>
    <t xml:space="preserve">Beaumont Health; Oakland University; Beaumont Health</t>
  </si>
  <si>
    <t xml:space="preserve">Koppisetty, S (corresponding author), Beaumont Hlth Syst, Dept Med, Sect Infect Dis &amp; Int Med, 3535 W 13 Mile Rd, Royal Oak, MI 48073 USA.</t>
  </si>
  <si>
    <t xml:space="preserve">shalini.koppisetty@beaumont.org</t>
  </si>
  <si>
    <t xml:space="preserve">10.1097/IPC.0000000000000386</t>
  </si>
  <si>
    <t xml:space="preserve">DX2LO</t>
  </si>
  <si>
    <t xml:space="preserve">WOS:000384201500010</t>
  </si>
  <si>
    <t xml:space="preserve">Ali, M; Baker, JM; Richardson, SE; Weitzman, S; Allen, U; Abla, O</t>
  </si>
  <si>
    <t xml:space="preserve">Ali, Muhammad; Baker, Jillian M.; Richardson, Susan E.; Weitzman, Sheila; Allen, Upton; Abla, Oussama</t>
  </si>
  <si>
    <t xml:space="preserve">Human Metapneumovirus (hMPV) Infection in Children With Cancer</t>
  </si>
  <si>
    <t xml:space="preserve">human metapneumovirus infection; children; cancer</t>
  </si>
  <si>
    <t xml:space="preserve">CELL TRANSPLANT RECIPIENTS; RESPIRATORY-TRACT DISEASE; HIGH SEROPREVALENCE; YOUNG-CHILDREN; RIBAVIRIN; ADULTS</t>
  </si>
  <si>
    <t xml:space="preserve">Human metapneumovirus (hMPV) has recently emerged as an important cause of lower respiratory tract infections in hospitalized children, causing severe pneumonia and respiratory failure among immunocompromised patients. We retrospectively examined 30 children diagnosed with cancer whose nasopharyngeal swabs were positive for hMPV by direct fluorescent testing over a 5-year period. In 16/30 (53.3%) children, infection was confined to the upper respiratory tract, whereas lower respiratory tract infection occurred in 46.7%. The median duration of respiratory illness was 6.5 days with a hospital admission rate of 66.6%. No mechanical ventilation was required because of hMPV infection. Bronchoalveolar lavage tested positive for hMPV in 1 patient requiring prolonged inhaled steroid and bronchodilator therapy. All children recovered completely from hMPV infection. hMPV causes upper and lower respiratory tract infections in immunocompromised children. Infections may result in significant disease but is usually not fatal. In the absence of specific anti-viral drug, good symptomatic therapy appears to be the optimal therapy.</t>
  </si>
  <si>
    <t xml:space="preserve">[Ali, Muhammad; Baker, Jillian M.; Weitzman, Sheila; Abla, Oussama] Hosp Sick Children, Div Hematol Oncol, Toronto, ON M5G 1X8, Canada; [Richardson, Susan E.] Hosp Sick Children, Dept Paediat Lab Med, Div Microbiol, Toronto, ON M5G 1X8, Canada; [Allen, Upton] Hosp Sick Children, Div Infect Dis, Toronto, ON M5G 1X8, Canada</t>
  </si>
  <si>
    <t xml:space="preserve">University of Toronto; Hospital for Sick Children (SickKids); University of Toronto; Hospital for Sick Children (SickKids); University of Toronto; Hospital for Sick Children (SickKids)</t>
  </si>
  <si>
    <t xml:space="preserve">Ali, M (corresponding author), Hosp Sick Children, Div Haematol Oncol, 555 Univ Ave, Toronto, ON M5G 1X8, Canada.</t>
  </si>
  <si>
    <t xml:space="preserve">mahazara@hotmail.com</t>
  </si>
  <si>
    <t xml:space="preserve">10.1097/MPH.0b013e31828ac89c</t>
  </si>
  <si>
    <t xml:space="preserve">202QE</t>
  </si>
  <si>
    <t xml:space="preserve">WOS:000323232400015</t>
  </si>
  <si>
    <t xml:space="preserve">Spahr, Y; Tschudin-Sutter, S; Baettig, V; Compagno, F; Tamm, M; Halter, J; Gerull, S; Passweg, J; Hirsch, HH; Khanna, N</t>
  </si>
  <si>
    <t xml:space="preserve">Spahr, Yasmin; Tschudin-Sutter, Sarah; Baettig, Veronika; Compagno, Francesca; Tamm, Michael; Halter, Jorg; Gerull, Sabine; Passweg, Jakob; Hirsch, Hans H.; Khanna, Nina</t>
  </si>
  <si>
    <t xml:space="preserve">Community-Acquired Respiratory Paramyxovirus Infection After Allogeneic Hematopoietic Cell Transplantation: A Single-Center Experience</t>
  </si>
  <si>
    <t xml:space="preserve">human metapneumovirus (MPV); IVIG; parainfluenza virus (PIV); respiratory syncytial virus (RSV); ribavirin</t>
  </si>
  <si>
    <t xml:space="preserve">PARAINFLUENZA VIRUS-INFECTIONS; HUMAN METAPNEUMOVIRUS INFECTION; SYNCYTIAL VIRUS; VIRAL-INFECTIONS; AEROSOLIZED RIBAVIRIN; HEMATOLOGIC MALIGNANCIES; CLINICAL-FEATURES; RECIPIENTS; OUTCOMES; EPIDEMIOLOGY</t>
  </si>
  <si>
    <t xml:space="preserve">Background. Paramyxoviruses include respiratory syncytial virus (RSV), parainfluenza virus (PIV), and human metapneumovirus (MPV), which may cause significant respiratory tract infectious disease (RTID) and mortality after allogeneic hematopoietic cell transplantation (HCT). However, clinical data regarding frequency and outcome are scarce. Methods. We identified all paramyxovirus RTIDs in allogeneic HCT recipients diagnosed by multiplex polymerase chain reaction between 2010 and 2014. Baseline characteristics of patients, treatment, and outcome of each episode were analyzed; ie, moderate, severe, and very severe immunodeficiency (verySID) according to HCT &lt;= 6 months, T- or B-cell depletion &lt;= 3 months, graft-versus-host disease, neutropenia, lymphopenia, or hypo-gammaglobulinemia. Results. One hundred three RTID episodes in 66 patients were identified (PIV 47% [48 of 103], RSV 32% [33 of 103], MPV 21% [22 of 103]). Episodes occurred in 85% (87 of 103) at &gt;100 days post-HCT. Lower RTID accounted for 36% (37 of 103). Thirty-nine percent (40 of 103) of RTID episodes required hospitalization and more frequently affected patients with lower RTID. Six percent progressed from upper to lower RTID. Overall mortality was 6% and did not differ between paramyxoviruses. Sixty-one percent (63 of 103) of episodes occurred in patients with SID, and 20.2% (19 of 63) of episodes occurred in patients with verySID. Oral ribavirin plus intravenous immunoglobulin was administered in 38% (39 of 103) of RTIDs, preferably for RSV or MPV (P &lt;= .001) and for SID patients (P = .001). Patients with verySID frequently progressed to lower RTID (P = .075), required intensive care unit transfer, and showed higher mortality. Conclusion. Paramyxovirus RTID remains a major concern in allogeneic HCT patients fulfilling SID and verySID, emphasizing that efficacious and safe antiviral treatments are urgently needed.</t>
  </si>
  <si>
    <t xml:space="preserve">[Spahr, Yasmin] Cantonal Hosp St Gallen, Dept Anesthesiol, St Gallen, Switzerland; [Spahr, Yasmin; Tschudin-Sutter, Sarah; Baettig, Veronika; Hirsch, Hans H.; Khanna, Nina] Univ Basel, Infect Dis &amp; Hosp Epidemiol, Basel, Switzerland; [Tamm, Michael] Univ Basel, Clin Pulm Med &amp; Resp Cell Res, Basel, Switzerland; [Halter, Jorg; Gerull, Sabine; Passweg, Jakob] Univ Basel, Hematol, Basel, Switzerland; [Compagno, Francesca; Hirsch, Hans H.] Univ Basel, Dept Biomed, Transplantat &amp; Clin Virol, Basel, Switzerland; [Khanna, Nina] Univ Basel, Dept Biomed, Infect Biol, Basel, Switzerland; [Khanna, Nina] Univ Hosp Basel, Basel, Switzerland</t>
  </si>
  <si>
    <t xml:space="preserve">Kantonsspital St. Gallen; University of Basel; University of Basel; University of Basel; University of Basel; University of Basel; University of Basel</t>
  </si>
  <si>
    <t xml:space="preserve">Khanna, N (corresponding author), Univ Hosp Basel, Infect Biol Lab, Petersgraben 4, CH-4031 Basel, Switzerland.;Khanna, N (corresponding author), Univ Hosp Basel, Div Infect Dis &amp; Hosp Epidemiol, Petersgraben 4, CH-4031 Basel, Switzerland.</t>
  </si>
  <si>
    <t xml:space="preserve">nina.khanna@usb.ch</t>
  </si>
  <si>
    <t xml:space="preserve">Gerull, Sabine/GLT-9589-2022; Khanna, Nina/AAL-7648-2021; Tschudin, Sarah/K-2212-2019; passweg, jakob/AAG-3911-2020; Compagno, Francesca/K-2716-2018</t>
  </si>
  <si>
    <t xml:space="preserve">Tschudin-Sutter, Sarah/0000-0003-4875-5368; Passweg, Jakob R/0000-0001-7092-3351; Khanna, Nina/0000-0002-2642-419X; Compagno, Francesca/0000-0002-0208-9534; Hirsch, Hans H./0000-0003-0883-0423</t>
  </si>
  <si>
    <t xml:space="preserve">Swiss National Foundation [PZ00P3_142403]; Swiss National Science Foundation (SNF) [PZ00P3_142403] Funding Source: Swiss National Science Foundation (SNF)</t>
  </si>
  <si>
    <t xml:space="preserve">Swiss National Foundation(Swiss National Science Foundation (SNSF)); Swiss National Science Foundation (SNF)(Swiss National Science Foundation (SNSF))</t>
  </si>
  <si>
    <t xml:space="preserve">This work was funded by the Swiss National Foundation (grant PZ00P3_142403; to N. K.).</t>
  </si>
  <si>
    <t xml:space="preserve">ofy077</t>
  </si>
  <si>
    <t xml:space="preserve">10.1093/ofid/ofy077</t>
  </si>
  <si>
    <t xml:space="preserve">GI0RR</t>
  </si>
  <si>
    <t xml:space="preserve">WOS:000434077600006</t>
  </si>
  <si>
    <t xml:space="preserve">Rafiefard, F; Yun, ZB; Örvell, C</t>
  </si>
  <si>
    <t xml:space="preserve">Rafiefard, Farideh; Yun, ZhiBing; Orvell, Claes</t>
  </si>
  <si>
    <t xml:space="preserve">Epidemiologic characteristics and seasonal distribution of human metapneumovirus infections in five epidemic seasons in Stockholm, Sweden, 2002-2006</t>
  </si>
  <si>
    <t xml:space="preserve">human metapneumovirus (hMPV); respiratory viruses; genotyping; anticyclical; epidemiology; age distribution</t>
  </si>
  <si>
    <t xml:space="preserve">RESPIRATORY SYNCYTIAL VIRUS; GENETIC-HETEROGENEITY; TRACT INFECTIONS; YOUNG-CHILDREN; PREVALENCE; INFANTS</t>
  </si>
  <si>
    <t xml:space="preserve">The presence of human metapneumovirus (hMPV) was analyzed retrospectively by reverse transcriptase-polymerase chain reaction (RT-PCR) in five epidemic seasons, in Stockholm, 2002-2006. The occurrence of hMPV was compared with five common respiratory viruses; respiratory syncytial virus, influenza A virus, influenza B virus, parainfluenza virus and adenovirus. With a detection rate of 2.9% (n = 143/4,989) in nasopharyngeal samples over the whole period, hMPV was the fourth most common respiratory virus after RSV, influenza A and parainfluenza virus. hMPV genotype A dominated over genotype B, out of 91 genotyped virus samples 87 belonged to genotype A and four belonged to genotype B. Approximately 50.3% (n=72/143) of the hMPV positive patients were &lt;3 years, 49.7% (71/143) were &gt;= 3 years and 38,5% (n=55/143) were &lt;1 year. The relative frequencies of hMPV infections in the three age groups were 2.8% (72/2,579), 2.9% (71/2,410) and 2.6% (55/2,122), respectively. This age distribution differed from RSV, influenza A, B and parainfluenza virus. hMPV epidemics peaked in March, not coincident with RSV or parainfluenza virus. In successive epidemic seasons, large outbreaks of hMPV alternated with small outbreaks in a regular, biannual pattern. Large hMPV virus epidemics were anticyclical to large RSV epidemics. It is concluded that the epidemiology of hMPV differs markedly from other common respiratory viruses.</t>
  </si>
  <si>
    <t xml:space="preserve">[Rafiefard, Farideh; Yun, ZhiBing; Orvell, Claes] Karolinska Univ Hosp, Karolinska Inst, Div Clin Microbiol, SE-14186 Stockholm, Sweden</t>
  </si>
  <si>
    <t xml:space="preserve">Karolinska Institutet; Karolinska University Hospital</t>
  </si>
  <si>
    <t xml:space="preserve">Örvell, C (corresponding author), Karolinska Univ Hosp, Karolinska Inst, Div Clin Microbiol, F68, SE-14186 Stockholm, Sweden.</t>
  </si>
  <si>
    <t xml:space="preserve">claes.orvell@karolinska.se</t>
  </si>
  <si>
    <t xml:space="preserve">10.1002/jmv.21242</t>
  </si>
  <si>
    <t xml:space="preserve">331KQ</t>
  </si>
  <si>
    <t xml:space="preserve">WOS:000258011500017</t>
  </si>
  <si>
    <t xml:space="preserve">Al-Turab, M; Chehadeh, W; Al-Mulla, F; Al-Nakib, W</t>
  </si>
  <si>
    <t xml:space="preserve">Al-Turab, Mariam; Chehadeh, Wassim; Al-Mulla, Fahd; Al-Nakib, Widad</t>
  </si>
  <si>
    <t xml:space="preserve">Evaluation of the PrimerDesign™ genesig real-time reverse transcription-polymerase chain reaction assay and the INFINITI® Respiratory Viral Panel Plus assay for the detection of human metapneumovirus in Kuwait</t>
  </si>
  <si>
    <t xml:space="preserve">Human metapneumovirus (hMPV); Respiratory virus; Molecular; RT-PCR; Real-time PCR; Microarray</t>
  </si>
  <si>
    <t xml:space="preserve">ACID AMPLIFICATION TESTS; TRACT INFECTIONS; PCR ASSAYS; CHILDREN; VIRUSES; PATHOGENS; DIAGNOSIS; DISEASE; IMPACT; YOUNG</t>
  </si>
  <si>
    <t xml:space="preserve">Human metapneumovirus (hMPV) is a respiratory pathogen that was discovered in 2001 and is considered a major cause of both upper and lower respiratory tract infections. A sensitive, fast, and high-throughput diagnostic test is needed for the detection of hMPV that may assist in the clinical management as well as in the reduction of inappropriate therapy. Therefore, a comparison assessment was performed in this study between the PrimerDesign (TM) genesig real-time reverse transcription polymerase chain reaction (RT-PCR) Assay and the INFINITI (R) Respiratory Viral Panel Plus Assay (RVP-Plus) for the detection of hMPV infection in patients with respiratory tract infections. A total of 200 respiratory samples were collected from 185 hospitalized patients, during the winter season in Kuwait. Of 185 patients, 10(5.4%) were positive for hMPV RNA by the in-house RT-PCR assay, while 7 (4%) were positive for hMPV RNA by the real-time RT-PCR assay and 9 (5%) were positive for hMPV RNA by the INFINITI (R) RVP-Plus assay. The high incidence rate (60%) of hMPV infection was in January 2011. The sensitivity of the real-time RT-PCR and INFINITI (R) RVP-Plus assays was 70% and 90%, respectively, with specificity of 100% for both assays. hMPV types A and B could be identified in this study; however, discordant genotyping results were found between the direct sequencing method and the INFINITI (R) RVP-Plus assay in 33% of hMPV-positive patients. (C) 2012 Elsevier Inc. All rights reserved.</t>
  </si>
  <si>
    <t xml:space="preserve">[Al-Turab, Mariam; Chehadeh, Wassim; Al-Nakib, Widad] Kuwait Univ, Dept Microbiol, Fac Med, Jabriya, Kuwait; [Al-Mulla, Fahd] Kuwait Univ, Dept Pathol, Fac Med, Jabriya, Kuwait</t>
  </si>
  <si>
    <t xml:space="preserve">Kuwait University; Kuwait University</t>
  </si>
  <si>
    <t xml:space="preserve">Al-Turab, M (corresponding author), Kuwait Univ, Dept Microbiol, Fac Med, Jabriya, Kuwait.</t>
  </si>
  <si>
    <t xml:space="preserve">Chehadeh, Wassim/AAD-9940-2020; Al-Mulla, Fahd/E-2068-2015</t>
  </si>
  <si>
    <t xml:space="preserve">Chehadeh, Wassim/0000-0003-0761-4892; Al-Mulla, Fahd/0000-0001-5409-3829</t>
  </si>
  <si>
    <t xml:space="preserve">Research Administration, Kuwait University [YM05/09]; College of Graduate Studies, Kuwait University; KU [GM 01/01, GM 01/05]</t>
  </si>
  <si>
    <t xml:space="preserve">Research Administration, Kuwait University(Kuwait University); College of Graduate Studies, Kuwait University(Kuwait University); KU</t>
  </si>
  <si>
    <t xml:space="preserve">This study was supported by Research Administration, Kuwait University research grant no. YM05/09. The authors acknowledge the support of the College of Graduate Studies, Kuwait University and the Research Core Facility KU Project nos. GM 01/01 and GM 01/05.</t>
  </si>
  <si>
    <t xml:space="preserve">10.1016/j.diagmicrobio.2012.01.001</t>
  </si>
  <si>
    <t xml:space="preserve">913YQ</t>
  </si>
  <si>
    <t xml:space="preserve">WOS:000301913700008</t>
  </si>
  <si>
    <t xml:space="preserve">Kaida, A; Iritani, N; Kubo, H; Shiomi, M; Kohdera, U; Murakami, T</t>
  </si>
  <si>
    <t xml:space="preserve">Kaida, Atsushi; Iritani, Nobuhiro; Kubo, Hideyuki; Shiomi, Masashi; Kohdera, Urara; Murakami, Tsukasa</t>
  </si>
  <si>
    <t xml:space="preserve">Seasonal distribution and phylogenetic analysis of human metapneumovirus among children in Osaka City, Japan</t>
  </si>
  <si>
    <t xml:space="preserve">human metapneumovirus (hMPV); respiratory tract infection; phylogenetic analysis; respiratory syncytial virus (RSV); F gene</t>
  </si>
  <si>
    <t xml:space="preserve">RESPIRATORY SYNCYTIAL VIRUS; YOUNG-CHILDREN; GENETIC DIVERSITY; TRACT INFECTIONS; INFANTS; DISEASE</t>
  </si>
  <si>
    <t xml:space="preserve">Background: Human metapneumovirus (hMPV) is one of the etiological agents of respiratory tract infection (RTI). Because clinical symptoms of hMPV resemble those caused by respiratory syncytial virus (RSV), clinical diagnosis of hMPV infection is difficult. Moreover, hMPV isolation using cultured cells is generally difficult and not efficient compared with reverse transcription-PCR (RT-PCR). Objectives: To assess infection and seasonal distribution of hMPV associated with RTI among children in Osaka City, Japan. Study design: To detect the hMPV gene, we extracted viral RNA from clinical specimens of patients with RTI and performed RT-PCR or nested-PCR for the fusion (F) gene. hMPV-specific amplicons were sequenced and subjected to phylogenetic analysis. Results: From June 2004 to May 2005, we detected 29 (20.1%) hMPV strains among 144 clinical specimens. Fifteen strains were detected by RT-PCR and the remaining 14 by nested-PCR. Prevalence was principally in winter and spring with incidence peaking in April. We also detected the hMPV RNA from a patient with encephalitis. Approximately 80% of the hMPV-positive patients were younger than 3 years. To analyze these isolates precisely, a phylogenetic analysis using F gene was performed and demonstrated that Osaka City isolates of hMPV consists of two major genetic lineages each comprising two sublineages. Conclusions: We found two major genetic lineages of hMPV in Osaka City, Japan. We also found that nested-PCR was an efficient method for detecting the hMPV gene in clinical specimens. Of the 28 patients presenting with hMPV infection, 1 patient had associated encephalitis suggesting that hMPV infection might play a role in inducing encephalitis. (C) 2006 Elsevier B.V. All rights reserved.</t>
  </si>
  <si>
    <t xml:space="preserve">Osaka City Inst Publ Hlth &amp; Environm Sci, Dept Microbiol, Tennoji Ku, Osaka 5430026, Japan; Osaka City Cent Hosp, Osaka 5340021, Japan; Nakano Childrens Hosp, Osaka 5350022, Japan</t>
  </si>
  <si>
    <t xml:space="preserve">Kaida, A (corresponding author), Osaka City Inst Publ Hlth &amp; Environm Sci, Dept Microbiol, Tennoji Ku, 8-34 Tojo Cho, Osaka 5430026, Japan.</t>
  </si>
  <si>
    <t xml:space="preserve">atsushi.kaida@iphes.city.osaka.jp</t>
  </si>
  <si>
    <t xml:space="preserve">Iritani, Nobuhiro/ABI-1062-2020</t>
  </si>
  <si>
    <t xml:space="preserve">10.1016/j.jcv.2005.12.009</t>
  </si>
  <si>
    <t xml:space="preserve">WOS:000239545300006</t>
  </si>
  <si>
    <t xml:space="preserve">Baer, G; Schaad, UB; Heininger, U</t>
  </si>
  <si>
    <t xml:space="preserve">Baer, Gurli; Schaad, Urs B.; Heininger, Ulrich</t>
  </si>
  <si>
    <t xml:space="preserve">Clinical findings and unusual epidemiologic characteristics of human metapneumovirus infections in children in the region of Basel, Switzerland</t>
  </si>
  <si>
    <t xml:space="preserve">human metapneumovirus (hMPV); respiratory tract infection (RTI); children</t>
  </si>
  <si>
    <t xml:space="preserve">RESPIRATORY SYNCYTIAL VIRUS; POLYMERASE CHAIN-REACTION; YOUNG-CHILDREN; TRACT INFECTIONS; HOSPITALIZED CHILDREN; RAPID DIAGNOSIS; INFANTS; INFLUENZA; DISEASE; SYMPTOMS</t>
  </si>
  <si>
    <t xml:space="preserve">Human metapneumovirus (hMPV) worldwide causes respiratory tract infections with features similar to those of RSV infection. We describe features of hMPV infections in children and compare some of the characteristics with those of RSV infections. From October 2004 to February 2006, 75 patients, 34 hospitalized and 41 outpatients, were diagnosed with hMPV infections by multiplex PCR applied to nasopharyngeal specimens. While hMPV was found rarely in the early phase of the study, a significant increase occurred in the second winter of the study period. Patients with hMPV infections were older than those with RSV infection; clinical characteristics were similar as was the rate of serious disease among hospitalized patients (intensive care treatment: 18% versus 8%). In conclusion, hMPV leads to endemic and epidemic respiratory disease with features similar to those of RSV and should be considered in the differential diagnosis of upper and lower respiratory tract disease.</t>
  </si>
  <si>
    <t xml:space="preserve">Univ Children Hosp, UKBB, CH-4005 Basel, Switzerland</t>
  </si>
  <si>
    <t xml:space="preserve">Heininger, U (corresponding author), Univ Children Hosp, UKBB, PO Box, CH-4005 Basel, Switzerland.</t>
  </si>
  <si>
    <t xml:space="preserve">Ulrich.Heininger@unibas.ch</t>
  </si>
  <si>
    <t xml:space="preserve">233 SPRING STREET, NEW YORK, NY 10013 USA</t>
  </si>
  <si>
    <t xml:space="preserve">10.1007/s00431-007-0427-x</t>
  </si>
  <si>
    <t xml:space="preserve">234NU</t>
  </si>
  <si>
    <t xml:space="preserve">WOS:000251171600009</t>
  </si>
  <si>
    <t xml:space="preserve">Human Metapneumovirus in Patients With Respiratory Tract Infection in Kuwait</t>
  </si>
  <si>
    <t xml:space="preserve">human metapneumovirus (hMPV); prevalence; respiratory tract infections; viral load; co-infection</t>
  </si>
  <si>
    <t xml:space="preserve">SYNCYTIAL VIRUS; HOSPITALIZED CHILDREN; PEDIATRIC-PATIENTS; GENETIC DIVERSITY; DISEASE SEVERITY; CLINICAL IMPACT; YOUNG-CHILDREN; VIRAL LOAD; HONG-KONG; OUTBREAK</t>
  </si>
  <si>
    <t xml:space="preserve">Human metapneumovirus (hMPV) has been recognized as an important cause of respiratory tract infections in all age groups and in all geographical area. The role of hMPV in causing respiratory tract infections in Kuwait was not yet investigated. The aim of this study was to determine the prevalence of hMPV infection in Kuwait among patients with respiratory tract infection with respect to other respiratory viruses. During January December 2009, 460 respiratory samples from 388 patients with respiratory tract infection were collected from different hospitals. They were tested for hMPV RNA by real-time PCR, and for other respiratory viruses by conventional PCR. Out of 388 patients, 110 (28%) were positive for viral respiratory infections; 21 (5.4%) were positive for hMPV, 29 (7.5%) were positive for rhinovirus, 13 (4%) were positive for respiratory syncytial virus, and 10 (3%) were positive for adenovirus. Most (n = 19, 90.5%) of hMPV-positive patients were admitted to the intensive care unit, 76% of them were of age 2 years and below, and 24% of age 59 years and above. All hMPV-positive elderly patients had pneumonia while 50% of hMPV-positive infants had bronchopneumonia. Children with hMPV/rhinovirus co-infection (n = 3, 1%) had recurrent chest infection and frequent intensive care unit admission. The hMPV infection was mostly detected between December and May, and genotype B was more prevalent than genotype A. This is the first study demonstrating the prevalence of hMPV infection in Kuwait, and suggests that hMPV infection is prevalent in infants and elderly patients with lower respiratory tract infection. J. Med. Virol. 83:1811-1817, 2011. (C) 2011 Wiley-Liss, Inc.</t>
  </si>
  <si>
    <t xml:space="preserve">[Al-Turab, Mariam; Chehadeh, Wassim; Al-Nakib, Widad] Kuwait Univ, Dept Microbiol, Fac Med, Safat 13310, Kuwait; [Al-Mulla, Fahd] Kuwait Univ, Dept Pathol, Fac Med, Safat 13310, Kuwait</t>
  </si>
  <si>
    <t xml:space="preserve">Al-Turab, M (corresponding author), Kuwait Univ, Dept Microbiol, Fac Med, POB 24923, Safat 13310, Kuwait.</t>
  </si>
  <si>
    <t xml:space="preserve">Research Administration and College of Graduate Studies, Kuwait University [YM05/09]; Research Core Facility, Kuwait University [GM 01/01, GM 01/05]</t>
  </si>
  <si>
    <t xml:space="preserve">Research Administration and College of Graduate Studies, Kuwait University; Research Core Facility, Kuwait University</t>
  </si>
  <si>
    <t xml:space="preserve">Grant sponsor: Research Administration and College of Graduate Studies, Kuwait University; Grant number: YM05/09; Grant sponsor: Research Core Facility, Kuwait University; Grant number: KU project # GM 01/01 and GM 01/05.</t>
  </si>
  <si>
    <t xml:space="preserve">10.1002/jmv.22193</t>
  </si>
  <si>
    <t xml:space="preserve">WOS:000293985900019</t>
  </si>
  <si>
    <t xml:space="preserve">Yoo, JY; Eun, JY; Lee, EJ; Kim, TH; Choo, EJ; Jeon, MH</t>
  </si>
  <si>
    <t xml:space="preserve">Yoo, Jin Young; Eun, Jun Young; Lee, Eun Jung; Kim, Tae Hyong; Choo, Eun Ju; Jeon, Min Hyuk</t>
  </si>
  <si>
    <t xml:space="preserve">A Case of Human Metapneumovirus Pneumonia in an Immunocompetent Adult Patient Mimicking with Influenza (A/H1N1-2009) Pandemic</t>
  </si>
  <si>
    <t xml:space="preserve">Human metapneumovirus (hMPV); Pneumonia; Immunocompetent; Adult</t>
  </si>
  <si>
    <t xml:space="preserve">The human metapneumovirus virus (hMPV) is a recently described human respiratory pathogen. The virus has usually been associated with upper and lower respiratory tract infections in children. Since most of the available data on the clinical manifestations come from observational studies on children, relatively little is known of emerging hMPV infections in the adult population in Korea. A 32-year old female patient, presenting fever, chills, cough and sputum for 3 days progressed to severe pneumonia during the season of pandemic influenza A/H1N1-2009. RT-PCR screening of viral pathogens revealed hMPV. Clinical improvement was achieved a week after illness. This case represents severe hMPV pneumonia developed in an immunocompetent adult.</t>
  </si>
  <si>
    <t xml:space="preserve">[Yoo, Jin Young; Eun, Jun Young; Lee, Eun Jung; Kim, Tae Hyong; Choo, Eun Ju; Jeon, Min Hyuk] Soon Chun Hyang Univ, Coll Med, Dept Internal Med, Seoul, South Korea</t>
  </si>
  <si>
    <t xml:space="preserve">Soonchunhyang University</t>
  </si>
  <si>
    <t xml:space="preserve">Lee, EJ (corresponding author), Soon Chun Hyang Univ, Coll Med, Dept Internal Med, Div Infect Dis, Daesagwan Gil, Seoul 140743, South Korea.</t>
  </si>
  <si>
    <t xml:space="preserve">shegets@schmc.ac.kr</t>
  </si>
  <si>
    <t xml:space="preserve">Yoo, Jin/AAG-6414-2019; Kim, Sooyeon/AAA-8521-2022; Kim, Tae Hyong/L-7336-2015</t>
  </si>
  <si>
    <t xml:space="preserve">Kim, Tae Hyong/0000-0003-2920-9038</t>
  </si>
  <si>
    <t xml:space="preserve">10.3947/ic.2011.43.2.217</t>
  </si>
  <si>
    <t xml:space="preserve">V8D0T</t>
  </si>
  <si>
    <t xml:space="preserve">WOS:000421525400011</t>
  </si>
  <si>
    <t xml:space="preserve">Dubois, J; Pizzorno, A; Cavanagh, MH; Padey, B; de Lamballerie, CN; Uyar, O; Venable, MC; Carbonneau, J; Traversier, A; Julien, T; Lavigne, S; Couture, C; Lina, B; Hamelin, ME; Terrier, O; Rosa-Calatrava, M; Boivin, G</t>
  </si>
  <si>
    <t xml:space="preserve">Dubois, Julia; Pizzorno, Andres; Cavanagh, Marie-Helene; Padey, Blandine; de Lamballerie, Claire Nicolas; Uyar, Olus; Venable, Marie-Christine; Carbonneau, Julie; Traversier, Aurelien; Julien, Thomas; Lavigne, Sophie; Couture, Christian; Lina, Bruno; Hamelin, Marie-Eve; Terrier, Olivier; Rosa-Calatrava, Manuel; Boivin, Guy</t>
  </si>
  <si>
    <t xml:space="preserve">Strain-Dependent Impact of G and SH Deletions Provide New Insights for Live-Attenuated HMPV Vaccine Development</t>
  </si>
  <si>
    <t xml:space="preserve">human metapneumovirus (HMPV); live-attenuated vaccine (LAV); G protein; SH protein; gene deletion; reverse genetics</t>
  </si>
  <si>
    <t xml:space="preserve">HUMAN METAPNEUMOVIRUS FUSION; SMALL HYDROPHOBIC PROTEIN; SURFACE GLYCOPROTEINS; GENETIC-VARIABILITY; F-PROTEIN; INFECTION; DIVERSITY; BINDING; DISEASE; LACKING</t>
  </si>
  <si>
    <t xml:space="preserve">Human metapneumovirus (HMPV) is a major pediatric respiratory pathogen with currently no specific treatment or licensed vaccine. Different strategies to prevent this infection have been evaluated, including live-attenuated vaccines (LAV) based on SH and/or G protein deletions. This approach showed promising outcomes but has not been evaluated further using different viral strains. In that regard, we previously showed that different HMPV strains harbor distinct in vitro fusogenic and in vivo pathogenic phenotypes, possibly influencing the selection of vaccine strains. In this study, we investigated the putative contribution of the low conserved SH or G accessory proteins in such strain-dependent phenotypes and generated recombinant wild type (WT) and SH- or G-deleted viruses derived from two different patient-derived HMPV strains, A1/C-85473 and B2/CAN98-75. The Delta SH and Delta G deletions led to different strain-specific phenotypes in both LLC-MK2 cell and reconstituted human airway epithelium models. More interestingly, the Delta G-85473 and especially Delta SH-C-85473 recombinant viruses conferred significant protection against HMPV challenge and induced immunogenicity against a heterologous strain. In conclusion, our results show that the viral genetic backbone should be considered in the design of live-attenuated HMPV vaccines, and that a SH-deleted virus based on the A1/C-85473 HMPV strain could be a promising LAV candidate as it is both attenuated and protective in mice while being efficiently produced in a cell-based system.</t>
  </si>
  <si>
    <t xml:space="preserve">[Dubois, Julia; Pizzorno, Andres; Padey, Blandine; de Lamballerie, Claire Nicolas; Traversier, Aurelien; Julien, Thomas; Lina, Bruno; Terrier, Olivier; Rosa-Calatrava, Manuel] Univ Claude Bernard Lyon 1, Univ Lyon, ENS Lyon,VirPath Team, CNRS UMR5308,INSERM U1111,CIRI,Lab Virol &amp; Pathol, F-69008 Lyon, France; [Dubois, Julia; Cavanagh, Marie-Helene; Uyar, Olus; Venable, Marie-Christine; Carbonneau, Julie; Hamelin, Marie-Eve; Boivin, Guy] Ctr Hosp Univ Quebec, Ctr Rech Infectiol, Quebec City, PQ G1V 4G2, Canada; [Dubois, Julia; Cavanagh, Marie-Helene; Uyar, Olus; Venable, Marie-Christine; Carbonneau, Julie; Hamelin, Marie-Eve; Boivin, Guy] Univ Laval, Quebec City, PQ G1V 4G2, Canada; [Julien, Thomas; Rosa-Calatrava, Manuel] Univ Claude Bernard Lyon 1, Univ Lyon, Fac Med RTH Laennec, VirNext, F-69008 Lyon, France; [Lavigne, Sophie; Couture, Christian] Laval Univ, Quebec Heart &amp; Lung Inst, Quebec City, PQ G1V 4G5, Canada; [Lina, Bruno] Hosp Civils Lyon, Grp Hosp Nord, Ctr Natl Reference Virus Influenza, Inst Agents Infect,Lab Virol, F-69004 Lyon, France</t>
  </si>
  <si>
    <t xml:space="preserve">Ecole Normale Superieure de Lyon (ENS de LYON); Centre National de la Recherche Scientifique (CNRS); CNRS - National Institute for Biology (INSB); Institut National de la Sante et de la Recherche Medicale (Inserm); Universite Claude Bernard Lyon 1; Laval University; Laval University; Universite Claude Bernard Lyon 1; Laval University; Quebec Heart &amp; Lung Institute; CHU Lyon</t>
  </si>
  <si>
    <t xml:space="preserve">Dubois, J; Rosa-Calatrava, M (corresponding author), Univ Claude Bernard Lyon 1, Univ Lyon, ENS Lyon,VirPath Team, CNRS UMR5308,INSERM U1111,CIRI,Lab Virol &amp; Pathol, F-69008 Lyon, France.;Dubois, J (corresponding author), Ctr Hosp Univ Quebec, Ctr Rech Infectiol, Quebec City, PQ G1V 4G2, Canada.;Dubois, J (corresponding author), Univ Laval, Quebec City, PQ G1V 4G2, Canada.;Rosa-Calatrava, M (corresponding author), Univ Claude Bernard Lyon 1, Univ Lyon, Fac Med RTH Laennec, VirNext, F-69008 Lyon, France.</t>
  </si>
  <si>
    <t xml:space="preserve">julia.dubois@univ-lyon1.fr; mario-andres.pizzorno@univ-lyon1.fr; marie-helene.cavanagh@crchudequebec.ulaval.ca; blandine.padey@univ-lyon1.fr; claire.nicolas-de-lamballerie@univ-lyon1.fr; olus.uyar@crchudequebec.ulaval.ca; marie-christine.venable@crchudequebec.ulaval.ca; julie.carbonneau@crchudequebec.ulaval.ca; aurelien.traversier@univ-lyon1.fr; thomas.julien@univ-lyon1.fr; sophlavigne@hotmail.com; christian.couture@ssss.gouv.qc.ca; bruno.lina@univ-lyon1.fr; marie-eve.hamelin@crchudequebec.ulaval.ca; olivier.terrier@univ-lyon1.fr; manuel.rosa-calatrava@univ-lyon1.fr; guy.boivin@crchudequebec.ulaval.ca</t>
  </si>
  <si>
    <t xml:space="preserve">Rosa-calatrava, Manuel/M-7263-2014; lina, bruno/N-3663-2019; Dubois, Julia/AAH-5914-2019; Pizzorno, Andrés/M-9633-2019; Pizzorno, Mario Andres/L-7810-2017; Terrier, Olivier/B-6301-2009</t>
  </si>
  <si>
    <t xml:space="preserve">lina, bruno/0000-0002-8959-2123; Carbonneau, Julie/0000-0003-2697-9731; Boivin, Guy/0000-0003-3027-4662; Dubois, Julia/0000-0002-9777-2968; Pizzorno, Mario Andres/0000-0002-0918-6804; Uyar, Olus/0000-0002-6399-5573; Julien, Thomas/0000-0002-8607-2827; PADEY, Blandine/0000-0002-2159-6507; Nicolas de Lamballerie, Claire/0000-0002-3227-743X; Rosa-calatrava, Manuel/0000-0002-7559-9527; Traversier, Aurelien/0000-0003-1874-3075; Terrier, Olivier/0000-0001-9393-7684; Hamelin, Marie-Eve/0000-0002-7568-5097</t>
  </si>
  <si>
    <t xml:space="preserve">This study was supported by a grant from Canadian Institutes of Health Research (No. 273261) to GB and Universite Claude Bernard Lyon 1, Lyon, France. Julia Dubois received the support of the Region Auvergne-Rhone-Alpes (grant CMIRA ExploRA'DOC) and of the Consulat General de France a Quebec (Programme Frontenac).</t>
  </si>
  <si>
    <t xml:space="preserve">10.3390/vaccines7040164</t>
  </si>
  <si>
    <t xml:space="preserve">KA3PC</t>
  </si>
  <si>
    <t xml:space="preserve">WOS:000505709700012</t>
  </si>
  <si>
    <t xml:space="preserve">Adamson, P; Thammawat, S; Muchondo, G; Sadlon, T; Gordon, D</t>
  </si>
  <si>
    <t xml:space="preserve">Adamson, Penelope; Thammawat, Sutthiwan; Muchondo, Gamaliel; Sadlon, Tania; Gordon, David</t>
  </si>
  <si>
    <t xml:space="preserve">Diversity in Glycosaminoglycan Binding Amongst hMPV G Protein Lineages</t>
  </si>
  <si>
    <t xml:space="preserve">human metapneumovirus (hMPV); Glycosaminoglycan (GAG); G protein; F protein; infectivity</t>
  </si>
  <si>
    <t xml:space="preserve">RESPIRATORY SYNCYTIAL VIRUS; HERPES-SIMPLEX-VIRUS; HUMAN METAPNEUMOVIRUS INFECTION; REPLICATION IN-VITRO; HEPARAN-SULFATE; G-GLYCOPROTEIN; GENETIC-VARIABILITY; FUSION PROTEIN; ATTACHMENT GLYCOPROTEIN; PROTECTIVE IMMUNITY</t>
  </si>
  <si>
    <t xml:space="preserve">We have previously shown that hMPV G protein (B2 lineage) interacts with cellular glycosaminoglycans (GAGs). In this study we examined subtypes A1, A2 and B1 for this interaction. GAG-dependent infectivity of available hMPV strains was demonstrated using GAG-deficient cells and heparin competition. We expressed the G protein ectodomains from all strains and analysed these by heparin affinity chromatography. In contrast to the B2 lineage, neither the A2 or B1 G proteins bound to heparin. Sequence analysis of these strains indicated that although there was some homology with the B2 heparin-binding domains, there were less positively charged residues, providing a likely explanation for the lack of binding. Although sequence analysis did not demonstrate well defined positively charged domains in G protein of the A1 strain, this protein was able to bind heparin, albeit with a lower affinity than G protein of the B2 strain. These results indicate diversity in GAG interactions between G proteins of different lineages and suggest that the GAG-dependency of all strains may be mediated by interaction with an alternative surface protein, most probably the conserved fusion (F) protein. Analysis of both native and recombinant F protein confirmed that F protein binds heparin, supporting this conclusion.</t>
  </si>
  <si>
    <t xml:space="preserve">[Adamson, Penelope; Thammawat, Sutthiwan; Muchondo, Gamaliel; Sadlon, Tania; Gordon, David] Flinders Univ S Australia, Flinders Med Ctr, Dept Microbiol &amp; Infect Dis, Bedford Pk, SA 5042, Australia; [Adamson, Penelope; Sadlon, Tania; Gordon, David] Flinders Med Ctr, SA Pathol, Dept Microbiol &amp; Infect Dis, Bedford Pk, SA 5042, Australia</t>
  </si>
  <si>
    <t xml:space="preserve">Flinders University South Australia; Flinders Medical Centre; Flinders Medical Centre; SA Pathology</t>
  </si>
  <si>
    <t xml:space="preserve">Adamson, P (corresponding author), Flinders Univ S Australia, Flinders Med Ctr, Dept Microbiol &amp; Infect Dis, Bedford Pk, SA 5042, Australia.</t>
  </si>
  <si>
    <t xml:space="preserve">penelope.adamson@health.sa.gov.au; ant3714@hotmail.com; gamaliel.muchondo@health.sa.gov.au; tania.sadlon@health.sa.gov.au; d.gordon@flinders.edu.au</t>
  </si>
  <si>
    <t xml:space="preserve">Gordon, David/0000-0003-3276-9685</t>
  </si>
  <si>
    <t xml:space="preserve">Channel 7 Children's Research Foundation; Flinders Medical Centre Foundation; SA Pathology; Royal Thai Government</t>
  </si>
  <si>
    <t xml:space="preserve">The authors would like to thank Ian Mackay, Queensland Paediatric Infectious Diseases Laboratory, Sir Albert Sakzewski Virus Research Centre, Royal Children's Hospital, Queensland, Australia for kindly providing us with RNA extracted from the hMPV A1 strain. This work was supported by the Channel 7 Children's Research Foundation, the Flinders Medical Centre Foundation and SA Pathology. ST was supported by a Royal Thai Government Ph.D. scholarship.</t>
  </si>
  <si>
    <t xml:space="preserve">10.3390/v4123785</t>
  </si>
  <si>
    <t xml:space="preserve">082OO</t>
  </si>
  <si>
    <t xml:space="preserve">WOS:000314401700026</t>
  </si>
  <si>
    <t xml:space="preserve">Oong, XY; Chook, JB; Ng, KT; Chow, WZ; Chan, KG; Hanafi, NS; Pang, YK; Chan, YF; Kamarulzaman, A; Tee, KK</t>
  </si>
  <si>
    <t xml:space="preserve">Oong, Xiang Yong; Chook, Jack Bee; Ng, Kim Tien; Chow, Wei Zhen; Chan, Kok Gan; Hanafi, Nik Sherina; Pang, Yong Kek; Chan, Yoke Fun; Kamarulzaman, Adeeba; Tee, Kok Keng</t>
  </si>
  <si>
    <t xml:space="preserve">The role of human Metapneumovirus genetic diversity and nasopharyngeal viral load on symptom severity in adults</t>
  </si>
  <si>
    <t xml:space="preserve">Human metapneumovirus (HMPV); Genetic diversity; Viral load; Symptom severity; Acute respiratory tract infection</t>
  </si>
  <si>
    <t xml:space="preserve">RESPIRATORY SYNCYTIAL VIRUS; TRANSCRIPTASE PCR ASSAY; YOUNG-CHILDREN; DISEASE SEVERITY; COMMON COLD; HOSPITALIZED CHILDREN; TRACT INFECTION; CLINICAL-TRIAL; GENOTYPE; ILLNESS</t>
  </si>
  <si>
    <t xml:space="preserve">Background: Human metapneumovirus (HMPV) is established as one of the causative agents of respiratory tract infections. To date, there are limited reports that describe the effect of HMPV genotypes and/or viral load on disease pathogenesis in adults. This study aims to determine the role of HMPV genetic diversity and nasopharyngeal viral load on symptom severity in outpatient adults with acute respiratory tract infections. Methods: Severity of common cold symptoms of patients from a teaching hospital was assessed by a four-category scale and summed to obtain the total symptom severity score (TSSS). Association between the fusion and glycoprotein genes diversity, viral load (quantified using an improved RT-qPCR assay), and symptom severity were analyzed using bivariate and linear regression analyses. Results: Among 81/3706 HMPV-positive patients, there were no significant differences in terms of demographics, number of days elapsed between symptom onset and clinic visit, respiratory symptoms manifestation and severity between different HMPV genotypes/sub-lineages. Surprisingly, elderly patients (&gt;= 65 years old) had lower severity of symptoms (indicated by TSSS) than young and middle age adults (p = 0.008). Nasopharyngeal viral load did not correlate with nor predict symptom severity of HMPV infection. Interestingly, at 3-5 days after symptom onset, genotype A-infected patients had higher viral load compared to genotype B (4.4 vs. 3.3 log(10) RNA copies/mu l) (p = 0.003). Conclusions: Overall, HMPV genetic diversity and viral load did not impact symptom severity in adults with acute respiratory tract infections. Differences in viral load dynamics over time between genotypes may have important implications on viral transmission.</t>
  </si>
  <si>
    <t xml:space="preserve">[Oong, Xiang Yong; Ng, Kim Tien; Chow, Wei Zhen; Pang, Yong Kek; Kamarulzaman, Adeeba] Univ Malaya, Dept Med, Fac Med, Kuala Lumpur 50603, Malaysia; [Chook, Jack Bee; Tee, Kok Keng] Sunway Univ, Sch Healthcare &amp; Med Sci, Kuala Lumpur 47500, Selangor, Malaysia; [Chan, Kok Gan] Univ Malaya, Inst Biol Sci, Div Genet &amp; Mol Biol, Fac Sci, Kuala Lumpur 50603, Malaysia; [Hanafi, Nik Sherina] Univ Malaya, Dept Primary Care Med, Fac Med, Kuala Lumpur 50603, Malaysia; [Chan, Yoke Fun; Tee, Kok Keng] Univ Malaya, Dept Med Microbiol, Fac Med, Kuala Lumpur 50603, Malaysia</t>
  </si>
  <si>
    <t xml:space="preserve">Universiti Malaya; Sunway University; Universiti Malaya; Universiti Malaya; Universiti Malaya</t>
  </si>
  <si>
    <t xml:space="preserve">Tee, KK (corresponding author), Sunway Univ, Sch Healthcare &amp; Med Sci, Kuala Lumpur 47500, Selangor, Malaysia.;Tee, KK (corresponding author), Univ Malaya, Dept Med Microbiol, Fac Med, Kuala Lumpur 50603, Malaysia.</t>
  </si>
  <si>
    <t xml:space="preserve">k2tee@um.edu.my</t>
  </si>
  <si>
    <t xml:space="preserve">Chow, Wei/L-8228-2013; Chook, Jack/ACH-8344-2022; PANG, YONG KEK/B-9478-2010; CHAN, YOKE FUN/B-5351-2010; Hanafi, Nik Sherina/B-9250-2010; Chan, Kok Gan/B-8347-2010; Ng, Kim-Tien/K-7667-2013; Tee, Kok Keng/A-8148-2008</t>
  </si>
  <si>
    <t xml:space="preserve">/0000-0001-7883-8928; CHAN, YOKE FUN/0000-0001-7089-0510; Oong, Xiang Yong/0000-0002-1426-1987; Hanafi, Nik Sherina/0000-0001-9140-0955; Chan, Kok Gan/0000-0002-1883-1115; Ng, Kim-Tien/0000-0002-4097-9984; Tee, Kok Keng/0000-0002-7923-5448</t>
  </si>
  <si>
    <t xml:space="preserve">Ministry of Education, Malaysia [UM.C/625/1/HIR/MOE/CHAN/02/02, PG084-2015A, PG097-2015A]</t>
  </si>
  <si>
    <t xml:space="preserve">Ministry of Education, Malaysia</t>
  </si>
  <si>
    <t xml:space="preserve">This work was supported by grants from the Ministry of Education, Malaysia: High Impact Research UM.C/625/1/HIR/MOE/CHAN/02/02 and the Postgraduate Research Fund PG084-2015A and PG097-2015A to KKT. The funders had no role in study design, data collection and analysis, decision to publish, or preparation of the manuscript. There was no additional external funding received for this study.</t>
  </si>
  <si>
    <t xml:space="preserve">10.1186/s12985-018-1005-8</t>
  </si>
  <si>
    <t xml:space="preserve">GH0KW</t>
  </si>
  <si>
    <t xml:space="preserve">WOS:000433091900002</t>
  </si>
  <si>
    <t xml:space="preserve">Kaida, A; Kubo, H; Goto, K; Shiomi, M; Kohdera, U; Iritani, N</t>
  </si>
  <si>
    <t xml:space="preserve">Kaida, Atsushi; Kubo, Hideyuki; Goto, Kaoru; Shiomi, Masashi; Kohdera, Urara; Iritani, Nobuhiro</t>
  </si>
  <si>
    <t xml:space="preserve">Co-infection of human metapneumovirus with adenovirus or respiratory syncytial virus among children in Japan</t>
  </si>
  <si>
    <t xml:space="preserve">human metapneumovirus (hMPV); co-infection; adenovirus; respiratory syncytial virus (RSV)</t>
  </si>
  <si>
    <t xml:space="preserve">YOUNG-CHILDREN; TRACT INFECTIONS; DISEASE; BRONCHIOLITIS; PCR</t>
  </si>
  <si>
    <t xml:space="preserve">Human metapneumovirus (hMPV) is one of the etiological agents of acute respiratory tract infections. From June 2005 to May 2006, we collected 185 clinical specimens from children in Osaka City, Japan, and detected 41 hMPV RNA. Of the 41 specimens, four (9.8%) also contained other viruses (3 with adenovirus [AdV] and I with respiratory syncytial virus [RSV]). The clinical symptoms of patients coinfected with AdV were indistinct from those of patients mono-infected with hMPV. The symptoms of the one patient co-infected with RSV were clinically severe. Further research is needed to clarify the effect of hMPV on other respiratory viruses or vice versa.</t>
  </si>
  <si>
    <t xml:space="preserve">Osaka City Inst Publ Hlth &amp; Environm Sci, Dept Microbiol, Tennoji Ku, Osaka 543, Japan; Osaka City Cent Hosp, Osaka 543, Japan; Nakano Childrens Hosp, Osaka 535, Japan</t>
  </si>
  <si>
    <t xml:space="preserve">Kaida, A (corresponding author), Osaka City Inst Publ Hlth &amp; Environm Sci, Dept Microbiol, Tennoji Ku, 8-34 Tojo Cho, Osaka 543, Japan.</t>
  </si>
  <si>
    <t xml:space="preserve">a-kaida@city.osaka.lg.jp</t>
  </si>
  <si>
    <t xml:space="preserve">CENTER ACADEMIC PUBL JAPAN</t>
  </si>
  <si>
    <t xml:space="preserve">TOKYO</t>
  </si>
  <si>
    <t xml:space="preserve">2-4-16 YAYOI, BUNKYO-KU, TOKYO, 113-0032, JAPAN</t>
  </si>
  <si>
    <t xml:space="preserve">10.1111/j.1348-0421.2007.tb03956.x</t>
  </si>
  <si>
    <t xml:space="preserve">188TN</t>
  </si>
  <si>
    <t xml:space="preserve">WOS:000247942300005</t>
  </si>
  <si>
    <t xml:space="preserve">Tran, DH; Sameed, M; Marciniak, ET; Verceles, AC</t>
  </si>
  <si>
    <t xml:space="preserve">Tran, Dena H.; Sameed, Muhammad; Marciniak, Ellen T.; Verceles, Avelino C.</t>
  </si>
  <si>
    <t xml:space="preserve">Human Metapneumovirus Pneumonia Precipitating Acute Respiratory Distress Syndrome in an Adult Patient</t>
  </si>
  <si>
    <t xml:space="preserve">human metapneumovirus (hmpv); ards (acute respiratory distress syndrome); severe respiratory failure; immunocompromised patient; pulmonary and critical care medicine</t>
  </si>
  <si>
    <t xml:space="preserve">LUNG INJURY; INFECTIONS; DISEASE; YOUNG; PATHOGENESIS</t>
  </si>
  <si>
    <t xml:space="preserve">Acute respiratory distress syndrome (ARDS) is often due to direct lung injury, trauma, surgery, or infection. Making a definitive diagnosis may be difficult initially, as clinical manifestations are nonspecific until the disease progresses. We present a case of human metapneumovirus (hMPV) pulmonary infection precipitating ARDS. A 51-year-old woman presented with one week of pleuritic chest pain, dyspnea, wheezing, subjective fever, and productive cough prior to presentation. Her medical history was significant for human immunodeficiency virus (HIV) with an unknown CD4 count and viral load, pulmonary sarcoidosis, asthma, and being an active smoker. On admission, the patient was dyspneic and using accessory muscles to breathe. She was afebrile and hypotensive. Physical examination revealed bilateral diffuse crackles. Her white blood cell (WBC) count was 7.7 K/mcL. A chest radiograph demonstrated bilateral lung opacifications suggestive of pneumonia, possibly Pneumocystis jiroveci pneumonia (PJP). Broad-spectrum antibiotics, including PJP treatment, corticosteroids, and fluids, were started. The patient received approximately 4 liters of intravenous fluids; yet, she remained hypotensive and required norepinephrine. Chest computed tomography (CT) demonstrated bilateral consolidations. Arterial blood gas (ABG) showed a partial pressure of oxygen (PaO2) of 55 mmHg. The patient was intubated for acute hypoxemic respiratory failure and had a PaO2/fraction of inspired oxygen (FiO(2)) &lt; 100. Repeat ABG within 12 hours showed a potential of hydrogen (pH) of 7.34, partial pressure of carbon dioxide (pCO(2)) of 42 mmHg, and a PaO2 of 130 mmHg. Bronchoalveolar lavage revealed only hMPV. The patient was managed supportively and extubated three days later. She was discharged home without oxygen requirement. hMPV causes respiratory infections, most commonly in the extremes of age and immunocompromised patients. The treatment is supportive. Our patient developed acute hypoxemic respiratory failure secondary to an hMPV infection. hMPV pneumonia should be considered as a differential diagnosis in patients with severe respiratory illness and ARDS in order to promote antibiotic stewardship.</t>
  </si>
  <si>
    <t xml:space="preserve">[Tran, Dena H.; Sameed, Muhammad] Univ Maryland, Med Ctr, Internal Med, Midtown Campus, Baltimore, MD 21201 USA; [Marciniak, Ellen T.; Verceles, Avelino C.] Univ Maryland, Sch Med, Pulm &amp; Crit Care Med, Baltimore, MD 21201 USA</t>
  </si>
  <si>
    <t xml:space="preserve">University System of Maryland; University of Maryland Baltimore; University System of Maryland; University of Maryland Baltimore</t>
  </si>
  <si>
    <t xml:space="preserve">Tran, DH (corresponding author), Univ Maryland, Med Ctr, Internal Med, Midtown Campus, Baltimore, MD 21201 USA.</t>
  </si>
  <si>
    <t xml:space="preserve">dena.tran@som.umaryland.edu</t>
  </si>
  <si>
    <t xml:space="preserve">Sameed, Muhammad/0000-0003-3166-9674</t>
  </si>
  <si>
    <t xml:space="preserve">JUL 17</t>
  </si>
  <si>
    <t xml:space="preserve">e16434</t>
  </si>
  <si>
    <t xml:space="preserve">10.7759/cureus.16434</t>
  </si>
  <si>
    <t xml:space="preserve">TP5AC</t>
  </si>
  <si>
    <t xml:space="preserve">WOS:000677609200001</t>
  </si>
  <si>
    <t xml:space="preserve">Zhao, HW; Feng, QY; Feng, ZH; Zhu, Y; Ai, JH; Xu, BP; Deng, L; Sun, Y; Li, CC; Jin, R; Shang, YX; Chen, XP; Xu, LL; Xie, ZD</t>
  </si>
  <si>
    <t xml:space="preserve">Zhao, Hongwei; Feng, Qianyu; Feng, Ziheng; Zhu, Yun; Ai, Junhong; Xu, Baoping; Deng, Li; Sun, Yun; Li, Changchong; Jin, Rong; Shang, Yunxiao; Chen, Xiangpeng; Xu, Lili; Xie, Zhengde</t>
  </si>
  <si>
    <t xml:space="preserve">Clinical characteristics and molecular epidemiology of human metapneumovirus in children with acute lower respiratory tract infections in China, 2017 to 2019: A multicentre prospective observational study</t>
  </si>
  <si>
    <t xml:space="preserve">VIROLOGICA SINICA</t>
  </si>
  <si>
    <t xml:space="preserve">Human metapneumovirus (HMPV); Acute lower respiratory tract infection; Clinical characteristics; Molecular epidemiology; Multicentre prospective study</t>
  </si>
  <si>
    <t xml:space="preserve">Human metapneumovirus (HMPV) infection is one of the leading causes of hospitalization in young children with acute respiratory illness. In this study, we prospectively collected respiratory tract samples from children who were hospitalized with acute lower respiratory tract infection in six hospitals in China from 2017 to 2019. HMPV was detected in 145 out of 2733 samples (5.3%) from the hospitalized children. The majority of HMPV-positive children were under the age of two (67.6%), with a median age of one year. HMPV can independently cause acute lower respiratory tract infection in young children, while all patients showed mild clinical symptoms. Of all the co-infected patients, HMPV was most commonly detected with enterovirus (EV) or rhinovirus (RhV) (38.0%, followed by respiratory syncytial virus (RSV) (32.0%). The highest detection rate occurred from March to May in both northern and southern China. Out of 145 HMPV positive samples, 48 were successfully typed, of which 36 strains were subgrouped into subtypes A2c (75%), eight strains were included in subtype B1 (16.7%), and four strains were included in subtype B2 (8.3%). Moreover, 16 A2c strains contained 111-nucleotide duplications in the G gene. Twenty-seven complete HMPV genomes were successfully obtained, and 25 (92.6%) strains belonged to subtype A2c, whereas one strain was included in subgroup B1 and another was included in subgroup B2. A total of 277 mutations were observed in the complete genomes of 25 A2c strains. All results presented here improve our understanding of clinical characteristics and molecular epidemiology of HMPV infection in children.</t>
  </si>
  <si>
    <t xml:space="preserve">[Zhao, Hongwei; Feng, Qianyu; Feng, Ziheng; Zhu, Yun; Ai, Junhong; Chen, Xiangpeng; Xu, Lili; Xie, Zhengde] Capital Med Univ, Beijing Childrens Hosp, Beijing Pediat Res Inst, Beijing 100045, Peoples R China; [Zhao, Hongwei; Feng, Qianyu; Feng, Ziheng; Zhu, Yun; Ai, Junhong; Chen, Xiangpeng; Xu, Lili; Xie, Zhengde] Chinese Acad Med Sci, Res Unit Crit Infect Children, 2019RU016, Beijing, Peoples R China; [Xu, Baoping] Capital Med Univ, Beijing Childrens Hosp, Natl Clin Res Ctr Resp Dis, Natl Ctr Childrens Hlth,Dept Resp Dis, Beijing 100045, Peoples R China; [Deng, Li] Guangzhou Women &amp; Childrens Med Ctr, Guangzhou 510623, Peoples R China; [Sun, Yun] Yinchuan Maternal &amp; Child Hlth Hosp, Yinchuan 750000, Peoples R China; [Li, Changchong] Wenzhou Med Univ, Affiliated Hosp 2, Wenzhou 325027, Peoples R China; [Li, Changchong] Wenzhou Med Univ, Yuying Childrens Hosp, Wenzhou 325027, Peoples R China; [Jin, Rong] Guiyang Women &amp; Children Healthcare Hosp, Guiyang 550003, Peoples R China; [Shang, Yunxiao] China Med Univ, Shengjing Hosp, Shenyang 110004, Peoples R China</t>
  </si>
  <si>
    <t xml:space="preserve">Capital Medical University; Chinese Academy of Medical Sciences - Peking Union Medical College; Capital Medical University; Wenzhou Medical University; Wenzhou Medical University; China Medical University</t>
  </si>
  <si>
    <t xml:space="preserve">Xu, LL (corresponding author), Capital Med Univ, Beijing Childrens Hosp, Beijing Pediat Res Inst, Beijing 100045, Peoples R China.;Xu, LL (corresponding author), Chinese Acad Med Sci, Res Unit Crit Infect Children, 2019RU016, Beijing, Peoples R China.</t>
  </si>
  <si>
    <t xml:space="preserve">justinexull26@163.com</t>
  </si>
  <si>
    <t xml:space="preserve">Zhang, Chi/JSK-0744-2023; Feng, Qianyu/ABG-8515-2020; xu, lili/GZB-2419-2022</t>
  </si>
  <si>
    <t xml:space="preserve">National Natural Science Foundation of China [82172275]; CAMS Innovation Fund for Medical Sciences, China (CIFMS) [2019-I2M-5-026]; Committees of Beijing Children's Hospital, Guangzhou Women and Children's Medical Center, Yinchuan Maternal and Child Health Hospital, Yuying Children's Hospital of Wenzhou Medical University, Guiyang Women and Children Healthcare Hospital</t>
  </si>
  <si>
    <t xml:space="preserve">National Natural Science Foundation of China(National Natural Science Foundation of China (NSFC)); CAMS Innovation Fund for Medical Sciences, China (CIFMS); Committees of Beijing Children's Hospital, Guangzhou Women and Children's Medical Center, Yinchuan Maternal and Child Health Hospital, Yuying Children's Hospital of Wenzhou Medical University, Guiyang Women and Children Healthcare Hospital</t>
  </si>
  <si>
    <t xml:space="preserve">This work was funded by the National Natural Science Foundation of China (82172275) and the CAMS Innovation Fund for Medical Sciences, China (CIFMS, 2019-I2M-5-026) .</t>
  </si>
  <si>
    <t xml:space="preserve">KEAI PUBLISHING LTD</t>
  </si>
  <si>
    <t xml:space="preserve">16 DONGHUANGCHENGGEN NORTH ST, BEIJING, DONGCHENG DISTRICT 100717, PEOPLES R CHINA</t>
  </si>
  <si>
    <t xml:space="preserve">1674-0769</t>
  </si>
  <si>
    <t xml:space="preserve">1995-820X</t>
  </si>
  <si>
    <t xml:space="preserve">VIROL SIN</t>
  </si>
  <si>
    <t xml:space="preserve">Virol. Sin.</t>
  </si>
  <si>
    <t xml:space="preserve">10.1016/j.virs.2022.08.007</t>
  </si>
  <si>
    <t xml:space="preserve">7F0FO</t>
  </si>
  <si>
    <t xml:space="preserve">WOS:000901533300001</t>
  </si>
  <si>
    <t xml:space="preserve">Leitich, IC; Mogaka, E</t>
  </si>
  <si>
    <t xml:space="preserve">Leitich, Imelda C.; Mogaka, Eugene</t>
  </si>
  <si>
    <t xml:space="preserve">Nasal Immune Responses to Human Metapneumovirus</t>
  </si>
  <si>
    <t xml:space="preserve">TURKISH JOURNAL OF IMMUNOLOGY</t>
  </si>
  <si>
    <t xml:space="preserve">Human Metaapneumovirus (hMPV); ARI; nasal immune responses; interleukins; determinative; diagnostic</t>
  </si>
  <si>
    <t xml:space="preserve">RESPIRATORY SYNCYTIAL VIRUS; CLINICAL-DISEASE; VIRAL LOAD; INFECTION; GLYCOPROTEIN; SEVERITY; CELL</t>
  </si>
  <si>
    <t xml:space="preserve">Introduction: Human metapneumovirus (hMPV) with tropism for the respiratory tract epithelium, causes 5-10% of all acute respiratory tract infections (ARI). Patients may be asymptomatic, or exhibit mild upper respiratory tract symptoms or severe bronchiolitis and pneumonia. Determinative diagnostic markers for infection are not well elucidated. This study on nasal immune responses to hMPV aims to understand the mucosal immune responses to hMPV and its implication in disease resolution and pathology. Materials and Methods: A Hospital cross-sectional study design with 196 participants was adopted. Two nasal swabs for viral screening and quantification by RT-PCR and the second for quantification of the cytokines were obtained. Analysis was done using STATA version 13. The test for association between categorical variables was done using Pearson's Chi Square test while the test for association between categorical and continuous variables was done using ANOVA test. Results: hMPV prevalence was 4% with mean hMPV cycle threshold value of 28.34. The entire sample of participants positive for hMPV had median cytokine levels: IL-2, 57.11 (IQR: 34.49-70-49), IL-4, 30.49 (IQR: 8.07-60.84), IL-8, 396.61 (IQR: 81.91-530.71), IL-10, 26.98 (IQR: 7.55-42.65), and IL-12-p70, 44.93 (IQR: 23.59-70.38). There was a positive association between cytokines; IL-10 and IL-12p70 p=0.0005, IL-2 and IL-10 p=0.007, IL-2 and IL-12p70 p=0.015 Conclusions: hMPV is not an important ARI etiological factor in infants, its infection induces cytokines with a Th2 bias.</t>
  </si>
  <si>
    <t xml:space="preserve">[Leitich, Imelda C.] Jomo Kenyatta Univ Agr &amp; Technol, Moi Univ, Dept Immunol, Nairobi, Kenya; [Mogaka, Eugene] Gazi Univ, Immunol, Ankara, Turkey</t>
  </si>
  <si>
    <t xml:space="preserve">Moi University; Jomo Kenyatta University of Agriculture &amp; Technology; Gazi University</t>
  </si>
  <si>
    <t xml:space="preserve">Leitich, IC (corresponding author), Jomo Kenyatta Univ Agr &amp; Technol, Mol Biol, Nairobi, Kenya.</t>
  </si>
  <si>
    <t xml:space="preserve">imeldalei@yahoo.com</t>
  </si>
  <si>
    <t xml:space="preserve">Mogaka, Eugene/0000-0002-2662-1150</t>
  </si>
  <si>
    <t xml:space="preserve">Moi University School of Medicine</t>
  </si>
  <si>
    <t xml:space="preserve">The study was funded by the Moi University School of Medicine.</t>
  </si>
  <si>
    <t xml:space="preserve">1301-109X</t>
  </si>
  <si>
    <t xml:space="preserve">2147-8325</t>
  </si>
  <si>
    <t xml:space="preserve">TURK J IMMUNOL</t>
  </si>
  <si>
    <t xml:space="preserve">Turk. J. Immunol.</t>
  </si>
  <si>
    <t xml:space="preserve">10.25002/tji.2019.1173</t>
  </si>
  <si>
    <t xml:space="preserve">KA2JX</t>
  </si>
  <si>
    <t xml:space="preserve">WOS:000505624900004</t>
  </si>
  <si>
    <t xml:space="preserve">Loevenich, S; Spahn, AS; Rian, K; Boyartchuk, V; Anthonsen, MW</t>
  </si>
  <si>
    <t xml:space="preserve">Loevenich, Simon; Spahn, Alix S.; Rian, Kristin; Boyartchuk, Victor; Anthonsen, Marit Walbye</t>
  </si>
  <si>
    <t xml:space="preserve">Human Metapneumovirus Induces IRF1 via TANK-Binding Kinase 1 and Type I IFN</t>
  </si>
  <si>
    <t xml:space="preserve">human macrophages; innate immune response; antiviral response; interferon; human metapneumovirus; interferon regulatory factor 1; nuclear factor-kB; TANK-binding kinase 1</t>
  </si>
  <si>
    <t xml:space="preserve">NF-KAPPA-B; IKK-EPSILON; TRANSCRIPTION FACTORS; INTERFERON RESPONSE; GENE-EXPRESSION; DENDRITIC CELLS; NUCLEAR-FACTOR; ACTIVATION; TBK1; INFECTION</t>
  </si>
  <si>
    <t xml:space="preserve">The innate immune and host-protective responses to viruses, such as the airway pathogen human metapneumovirus (HMPV), depend on interferons (IFNs) that is induced through TANK-binding kinase 1 (TBK1) and IFN regulatory factors (IRFs). The transcription factor IRF1 is important for host resistance against several viruses and has a key role in induction of IFN-lambda at mucosal surfaces. In most cell types IRF1 is expressed at very low levels, but its mRNA is rapidly induced when the demand for IRF1 activity arises. Despite general recognition of the importance of IRF1 to antiviral responses, the molecular mechanisms by which IRF1 is regulated during viral infections are not well understood. Here we identify the serine/threonine kinase TBK1 and IFN-beta as critical regulators of IRF1 mRNA and protein levels in human monocyte-derived macrophages. We find that inhibition of TBK1 activity either by the semi-selective TBK1/IKK epsilon inhibitor BX795 or by siRNA-mediated knockdown abrogates HMPV-induced expression of IRF1. Moreover, we show that canonical NF-kappa B signaling is involved in IRF1 induction and that the TBK1/IKK epsilon inhibitor BX795, but not siTBK1 treatment, impairs HMPV-induced phosphorylation of the NF-kappa B subunit p65. At later time-points of the infection, IRF1 expression depended heavily on IFN-beta-mediated signaling via the IFNAR-STAT1 pathway. Hence, our results suggest that TBK1 activation and TBK1/IKK epsilon-mediated phosphorylation of the NF-kappa B subunit p65 control transcription of IRF1. Our study identifies a novel mechanism for IRF1 induction in response to viral infection of human macrophages that could be relevant not only to defense against HMPV, but also to other viral, bacterial and fungal pathogens.</t>
  </si>
  <si>
    <t xml:space="preserve">[Loevenich, Simon; Spahn, Alix S.; Rian, Kristin; Boyartchuk, Victor; Anthonsen, Marit Walbye] Norwegian Univ Sci &amp; Technol NTNU, Dept Clin &amp; Mol Med IKOM, Trondheim, Norway; [Boyartchuk, Victor] St Olav Hosp HF, Clin Surg, Trondheim, Norway; [Boyartchuk, Victor] Norwegian Univ Life Sci, Fac Biosci, Dept Anim &amp; Aquacultural Sci, Ctr Integrat Genet, As, Norway</t>
  </si>
  <si>
    <t xml:space="preserve">Norwegian University of Science &amp; Technology (NTNU); Norwegian University of Life Sciences</t>
  </si>
  <si>
    <t xml:space="preserve">Anthonsen, MW (corresponding author), Norwegian Univ Sci &amp; Technol NTNU, Dept Clin &amp; Mol Med IKOM, Trondheim, Norway.</t>
  </si>
  <si>
    <t xml:space="preserve">Loevenich, Simon/0000-0001-5424-8755</t>
  </si>
  <si>
    <t xml:space="preserve">Liaison Committee [46085000]; Faculty of Medicine at the Norwegian University of Science and Technology; Children's Clinic, St. Olavs Hospital Trondheim [16/9564-104/NISLIN]; MCSA ITN project INITIATE [813343]</t>
  </si>
  <si>
    <t xml:space="preserve">Liaison Committee; Faculty of Medicine at the Norwegian University of Science and Technology; Children's Clinic, St. Olavs Hospital Trondheim; MCSA ITN project INITIATE</t>
  </si>
  <si>
    <t xml:space="preserve">10.3389/fimmu.2021.563336</t>
  </si>
  <si>
    <t xml:space="preserve">TF2ZX</t>
  </si>
  <si>
    <t xml:space="preserve">WOS:000670581600001</t>
  </si>
  <si>
    <t xml:space="preserve">Jeon, JH; Han, M; Chang, HE; Park, SS; Lee, JW; Ahn, YJ; Hong, DJ</t>
  </si>
  <si>
    <t xml:space="preserve">Jeon, Jae-Hyun; Han, Minje; Chang, Ho-Eun; Park, Sung-Soo; Lee, Jae-Woong; Ahn, Young-Joon; Hong, Duck-Jin</t>
  </si>
  <si>
    <t xml:space="preserve">Incidence and seasonality of respiratory viruses causing acute respiratory infections in the Northern United Arab Emirates</t>
  </si>
  <si>
    <t xml:space="preserve">human influenza; molecular epidemiology; respiratory tract infections; seasons; United Arab Emirates (UAE)</t>
  </si>
  <si>
    <t xml:space="preserve">VIRAL-INFECTIONS; INFLUENZA-A; TRACT INFECTIONS; BURDEN; HOSPITALIZATION; EPIDEMIOLOGY; DIAGNOSIS; CHILDREN; ETIOLOGY; INFANTS</t>
  </si>
  <si>
    <t xml:space="preserve">Background The data on the seasonality of respiratory viruses helps to ensure the optimal vaccination period and to monitor the possible outbreaks of variant type. Objectives This study was designed to describe the molecular epidemiology and seasonality of acute respiratory infection (ARI)-related respiratory viruses in the United Arab Emirates (UAE). Methods Both upper and lower respiratory specimens were collected for the analysis from all the patients who visited the Sheikh Khalifa Specialty Hospital (SKSH) with ARI for over 2 years. The multiplex real-time reverse transcription polymerase chain reaction (rRT-PCR) test was used to detect respiratory viruses, which include human adenovirus, influenza virus (FLU) A and B, respiratory syncytial virus, parainfluenza viruses, human rhinovirus (HRV), human metapneumovirus, human enterovirus, human coronavirus, and human bocavirus. Results A total of 1,362 respiratory samples were collected from 733 (53.8%) male and 629 (46.2%) female patients with ARI who visited the SKSH between November 2015 and February 2018. The rRT-PCR test revealed an overall positivity rate of 37.2% (507/1362). The positive rate increased during winter; it was highest in December and lowest in September. FLU was the most frequently detected virus (273/1362 [20.0%]), followed by human rhinovirus (146/1362 [10.7%]). The FLU positivity rate showed two peaks, which occurred in August and December. The peak-to-low ratio for FLU was 2.26 (95% confidence interval: 1.52-3.35). Conclusions The pattern of FLU in the UAE parallels to that of temperate countries. The trend of the small peak of FLU in the summer suggests a possibility of semi-seasonal pattern in the UAE.</t>
  </si>
  <si>
    <t xml:space="preserve">[Jeon, Jae-Hyun] Sheikh Khalifa Specialty Hosp, Dept Infect Dis, Ras Al Khaymah, U Arab Emirates; [Jeon, Jae-Hyun] Vet Hlth Syst Med Ctr, Div Internal Med, Dept Infect Dis, Seoul, South Korea; [Han, Minje; Chang, Ho-Eun; Hong, Duck-Jin] Sheikh Khalifa Specialty Hosp, Dept Lab Med, Ras Al Khaymah, U Arab Emirates; [Han, Minje; Hong, Duck-Jin] Seoul Natl Univ Hosp, Dept Lab Med, Seoul, South Korea; [Chang, Ho-Eun] Seoul Natl Univ, Bundang Hosp, Dept Lab Med, Seongnam, Kyunggi Do, South Korea; [Park, Sung-Soo; Lee, Jae-Woong; Ahn, Young-Joon] Sheikh Khalifa Specialty Hosp, Div Intens Care Med, Ras Al Khaymah, U Arab Emirates; [Park, Sung-Soo; Lee, Jae-Woong; Ahn, Young-Joon] Seoul Natl Univ Hosp, Div Intens Care Med, Seoul, South Korea</t>
  </si>
  <si>
    <t xml:space="preserve">Seoul National University (SNU); Seoul National University Hospital; Seoul National University (SNU); Seoul National University (SNU); Seoul National University Hospital</t>
  </si>
  <si>
    <t xml:space="preserve">Hong, DJ (corresponding author), Sheikh Khalifa Specialty Hosp, Dept Lab Med, Div Imaging &amp; Lab, Shohadaa Rd, Ras Al Khaymah 6365, U Arab Emirates.</t>
  </si>
  <si>
    <t xml:space="preserve">duckjin.hong@sksh.ae</t>
  </si>
  <si>
    <t xml:space="preserve">Jeon, Jaehyun/0000-0002-1725-8468; Han, Minje/0000-0002-1837-8613</t>
  </si>
  <si>
    <t xml:space="preserve">10.1002/jmv.25464</t>
  </si>
  <si>
    <t xml:space="preserve">IF6UI</t>
  </si>
  <si>
    <t xml:space="preserve">WOS:000473215200003</t>
  </si>
  <si>
    <t xml:space="preserve">Ogimi, C; Waghmare, AA; Kuypers, JM; Xie, H; Yeung, CC; Leisenring, WM; Seo, S; Choi, SM; Jerome, KR; Englund, JA; Boeckh, M</t>
  </si>
  <si>
    <t xml:space="preserve">Ogimi, Chikara; Waghmare, Alpana A.; Kuypers, Jane M.; Xie, Hu; Yeung, Cecilia C.; Leisenring, Wendy M.; Seo, Sachiko; Choi, Su-Mi; Jerome, Keith R.; Englund, Janet A.; Boeckh, Michael</t>
  </si>
  <si>
    <t xml:space="preserve">Clinical Significance of Human Coronavirus in Bronchoalveolar Lavage Samples From Hematopoietic Cell Transplant Recipients and Patients With Hematologic Malignancies</t>
  </si>
  <si>
    <t xml:space="preserve">human coronavirus; bronchoalveolar lavage; lower respiratory tract disease; hematopoietic cell transplant; hematologic malignancy</t>
  </si>
  <si>
    <t xml:space="preserve">RESPIRATORY SYNCYTIAL VIRUS; SOLID-ORGAN TRANSPLANT; VIRAL-RNA DETECTION; STEM-CELL; TRACT INFECTIONS; IMMUNOCOMPROMISED PATIENTS; HUMAN METAPNEUMOVIRUS; PARAINFLUENZA VIRUS; DISEASE; CHILDREN</t>
  </si>
  <si>
    <t xml:space="preserve">Background. The possible role of human coronavirus (HCoV) in lower respiratory tract disease (LRTD) in hematopoietic cell transplant (HCT) recipients and patients with hematologic malignancies (HM) has not been well studied. Methods. We conducted a retrospective review of HCT/HM patients with HCoV detected in bronchoalveolar lavage (BAL). HCoV strains were identified in BAL samples using strain-specific polymerase chain reaction. Mortality rates were compared among HCT recipients with LRTD caused by HCoV, respiratory syncytial virus (RSV), influenza virus, or parainfluenza virus (PIV) by multivariable Cox regression analysis. Results. We identified 35 patients (37 episodes) with HCoV LRTD. Among 23 available BAL samples, 48% were strain OC43, 22% were NL63, 17% were 229E, and 13% were HKU1. Overall, 21 patients (60%) required oxygen therapy at diagnosis and 19 (54%) died within 90 days of diagnosis. Respiratory copathogens were detected in 21 episodes (57%), including viruses (n = 12), fungi (n = 10), and bacteria (n = 8). Mortality rates were not different between patients with and without copathogens (P = .65). In multivariable models, mortality associated with HCoV LRTD was similar to that seen with RSV, influenza, and PIV LRTD in HCT recipients (adjusted hazard ratio, 1.34 [95% confidence interval, .66-2.71], P = .41 vs RSV, adjusted for cell source, cytopenia, copathogens, oxygen use, and steroid use). Conclusions. HCoV LRTD in patients with HCT or HM is associated with high rates of oxygen use and mortality. Mortality associated with HCoV LRTD in HCT recipients appears to be similar to that seen with RSV, influenza virus, and PIV.</t>
  </si>
  <si>
    <t xml:space="preserve">[Ogimi, Chikara; Waghmare, Alpana A.; Kuypers, Jane M.; Seo, Sachiko; Jerome, Keith R.; Boeckh, Michael] Fred Hutchinson Canc Res Ctr, Vaccine &amp; Infect Dis Div, 1100 Fairview Ave N, Seattle, WA 98109 USA; [Ogimi, Chikara; Waghmare, Alpana A.; Englund, Janet A.] Univ Washington, Dept Pediat, Seattle, WA 98195 USA; [Ogimi, Chikara; Waghmare, Alpana A.; Englund, Janet A.] Seattle Childrens Hosp, Pediat Infect Dis Div, Seattle, WA USA; [Kuypers, Jane M.; Jerome, Keith R.] Univ Washington, Dept Lab Med, Seattle, WA 98195 USA; [Xie, Hu; Yeung, Cecilia C.; Leisenring, Wendy M.; Boeckh, Michael] Fred Hutchinson Canc Res Ctr, Clin Res Div, 1124 Columbia St, Seattle, WA 98104 USA; [Yeung, Cecilia C.] Fred Hutchinson Canc Res Ctr, Mol Oncol Lab, 1124 Columbia St, Seattle, WA 98104 USA; [Leisenring, Wendy M.] Univ Washington, Dept Biostat, Seattle, WA 98195 USA; [Seo, Sachiko] Natl Canc Res Ctr East, Dept Hematol &amp; Oncol, Chiba, Japan; [Choi, Su-Mi] Catholic Univ Korea, Dept Internal Med, Coll Med, Seoul, South Korea; [Boeckh, Michael] Univ Washington, Dept Med, Seattle, WA USA</t>
  </si>
  <si>
    <t xml:space="preserve">Fred Hutchinson Cancer Center; University of Washington; University of Washington Seattle; Seattle Children's Hospital; University of Washington; University of Washington Seattle; Fred Hutchinson Cancer Center; Fred Hutchinson Cancer Center; University of Washington; University of Washington Seattle; Catholic University of Korea; University of Washington; University of Washington Seattle</t>
  </si>
  <si>
    <t xml:space="preserve">Ogimi, Chikara/ABD-5632-2020; Boeckh, Michael/AAA-1607-2022; Englund, Janet/ABV-6379-2022</t>
  </si>
  <si>
    <t xml:space="preserve">Choi, Su-Mi/0000-0002-8187-5110; OGIMI, CHIKARA/0000-0002-2166-8152; Leisenring, Wendy/0000-0001-7405-0906; Xie, Hu/0000-0003-0556-6591</t>
  </si>
  <si>
    <t xml:space="preserve">National Institutes of Health [K24HL093294, K23 AI114844, CA18029, CA15704]; Fred Hutchinson Cancer Research Center Vaccine and Infectious Disease Division (biorepository); Pediatric Infectious Diseases Society Fellowship Award - Horizon Pharma; [T32HD00723332]; Grants-in-Aid for Scientific Research [15K09591] Funding Source: KAKEN</t>
  </si>
  <si>
    <t xml:space="preserve">National Institutes of Health(United States Department of Health &amp; Human ServicesNational Institutes of Health (NIH) - USA); Fred Hutchinson Cancer Research Center Vaccine and Infectious Disease Division (biorepository); Pediatric Infectious Diseases Society Fellowship Award - Horizon Pharma; ; Grants-in-Aid for Scientific Research(Ministry of Education, Culture, Sports, Science and Technology, Japan (MEXT)Japan Society for the Promotion of ScienceGrants-in-Aid for Scientific Research (KAKENHI))</t>
  </si>
  <si>
    <t xml:space="preserve">This work was supported by the National Institutes of Health (grant numbers K24HL093294 to M. B., K23 AI114844 to A. W., CA18029 to W.L., clinical database, CA15704 to H. X.); the Fred Hutchinson Cancer Research Center Vaccine and Infectious Disease Division (biorepository); T32HD00723332and Pediatric Infectious Diseases Society Fellowship Award funded by Horizon Pharma to C. O.</t>
  </si>
  <si>
    <t xml:space="preserve">10.1093/cid/cix160</t>
  </si>
  <si>
    <t xml:space="preserve">EV9XH</t>
  </si>
  <si>
    <t xml:space="preserve">WOS:000402139700013</t>
  </si>
  <si>
    <t xml:space="preserve">Suzuki, A; Okamoto, M; Ohmi, A; Watanabe, S; Miyabayashi, S; Nishimura, H</t>
  </si>
  <si>
    <t xml:space="preserve">Detection of human coronavirus-NL63 in children in Japan</t>
  </si>
  <si>
    <t xml:space="preserve">human coronavirus-NL63; human metapneumovirus; respiratory illness; Japan</t>
  </si>
  <si>
    <t xml:space="preserve">INFECTION; VIRUSES; DISEASE; INFANTS</t>
  </si>
  <si>
    <t xml:space="preserve">Human coronavirus NL63 recently found in the Netherlands has been detected in Japan with a reverse transcription-polymerase chain reaction technique in clinical specimens from pediatric patients with respiratory symptoms. Of 419 specimens that were negative for common respiratory viruses, 5 were positive for human coronavirus NL63, and these specimens were all collected in the first 3 months of 2003.</t>
  </si>
  <si>
    <t xml:space="preserve">Sendai Med Ctr, Virus Res Ctr, Sendai, Miyagi, Japan; Sendai Med Ctr, Dept Pediat, Sendai, Miyagi, Japan</t>
  </si>
  <si>
    <t xml:space="preserve">Suzuki, A (corresponding author), Sendai Med Ctr, Virus Res Ctr, Sendai, Miyagi, Japan.</t>
  </si>
  <si>
    <t xml:space="preserve">10.1097/01.inf.0000168846.71517.ee</t>
  </si>
  <si>
    <t xml:space="preserve">WOS:000230604200015</t>
  </si>
  <si>
    <t xml:space="preserve">Naga, IS; Elsawaf, GE; Elzalabany, M; Eltalkhawy, MY; Kader, O</t>
  </si>
  <si>
    <t xml:space="preserve">Naga, Iman S.; Elsawaf, Gamal Eldin; Elzalabany, Mahmoud; Eltalkhawy, Mohamed Youssef; Kader, Ola</t>
  </si>
  <si>
    <t xml:space="preserve">Human coronavirus OC43 and other respiratory viruses from acute respiratory infections of Egyptian children</t>
  </si>
  <si>
    <t xml:space="preserve">ACTA MICROBIOLOGICA ET IMMUNOLOGICA HUNGARICA</t>
  </si>
  <si>
    <t xml:space="preserve">human coronavirus OC43; acute respiratory infections; respiratory viruses; PCR</t>
  </si>
  <si>
    <t xml:space="preserve">COMMUNITY-ACQUIRED PNEUMONIA; HUMAN METAPNEUMOVIRUS; TRACT INFECTIONS; PARAINFLUENZA VIRUS; SYNCYTIAL VIRUS; YOUNG-CHILDREN; VIRAL ETIOLOGY; HOSPITALIZED CHILDREN; 1ST YEAR; EPIDEMIOLOGY</t>
  </si>
  <si>
    <t xml:space="preserve">Respiratory infections have a significant impact on health worldwide. Viruses are major causes of acute respiratory infections among children. Limited information regarding its prevalence in Egypt is available. This study investigated prevalence of 10 respiratory viruses; Adenovirus, influenza A, B, respiratory syncytial virus (RSV), Parainfluenza virus (PIV)type 1-4, enterovirus, and human coronavirus OC43 (HCoV-OC43) among children in Alexandria, Egypt presenting with acute lower respiratory tract infections. The study was conducted on children &lt;14 years of age selected from ElShatby Pediatric Hospital, Alexandria University, Egypt. One hundred children presenting during winter season with influenza-like illness were eligible for the study. Oropharyngeal swabs were collected and subjected to viral RNA and DNA extraction followed by polymerase chain reaction. Viral infections were detected in 44% of cases. Adenovirus was the most common, it was found in 19% of the patients. Prevalence of PIV (3 and 4) and enterovirus was 7% each. Prevalence of RSV and HCoV-OC43 was 5% and 3% respectively. Two percentage were Influenza A positive and 1% positive for influenza B. Mixed viral infection was observed in 7%.To the best of our knowledge, this is the first report of the isolation of HCoV-OC43 from respiratory infections in Alexandria, Egypt.</t>
  </si>
  <si>
    <t xml:space="preserve">[Naga, Iman S.; Elsawaf, Gamal Eldin; Eltalkhawy, Mohamed Youssef; Kader, Ola] Univ Alexandria, Med Res Inst, Dept Microbiol, Alexandria, Egypt; [Elzalabany, Mahmoud] Univ Alexandria, Fac Med, Dept Pediat, Alexandria, Egypt</t>
  </si>
  <si>
    <t xml:space="preserve">Egyptian Knowledge Bank (EKB); Alexandria University; Egyptian Knowledge Bank (EKB); Alexandria University</t>
  </si>
  <si>
    <t xml:space="preserve">Naga, IS (corresponding author), Univ Alexandria, Med Res Inst, Dept Microbiol, Alexandria, Egypt.</t>
  </si>
  <si>
    <t xml:space="preserve">Imannaga80@gmail.com</t>
  </si>
  <si>
    <t xml:space="preserve">Eltalkhawy, Mohammed/GLT-7487-2022; Eltalkhawy, Mohammed/J-2597-2017</t>
  </si>
  <si>
    <t xml:space="preserve">Naga, Iman/0000-0001-7318-6940; Eltalkhawy, Mohammed/0000-0002-5398-4205</t>
  </si>
  <si>
    <t xml:space="preserve">AKADEMIAI KIADO ZRT</t>
  </si>
  <si>
    <t xml:space="preserve">BUDAPEST</t>
  </si>
  <si>
    <t xml:space="preserve">BUDAFOKI UT 187-189-A-3, H-1117 BUDAPEST, HUNGARY</t>
  </si>
  <si>
    <t xml:space="preserve">1217-8950</t>
  </si>
  <si>
    <t xml:space="preserve">1588-2640</t>
  </si>
  <si>
    <t xml:space="preserve">ACTA MICROBIOL IMM H</t>
  </si>
  <si>
    <t xml:space="preserve">Acta Microbiol. Immunol. Hung.</t>
  </si>
  <si>
    <t xml:space="preserve">10.1556/030.2020.01059</t>
  </si>
  <si>
    <t xml:space="preserve">PG9SG</t>
  </si>
  <si>
    <t xml:space="preserve">WOS:000600065500006</t>
  </si>
  <si>
    <t xml:space="preserve">Smuts, H</t>
  </si>
  <si>
    <t xml:space="preserve">Smuts, Heidi</t>
  </si>
  <si>
    <t xml:space="preserve">Human coronavirus NL63 infections in infants hospitalised with acute respiratory tract infections in South Africa</t>
  </si>
  <si>
    <t xml:space="preserve">Human coronavirus NL63; infants; respiratory tract infection; South Africa</t>
  </si>
  <si>
    <t xml:space="preserve">HUMAN METAPNEUMOVIRUS; FREQUENT DETECTION; CHILDREN; DISEASE; IDENTIFICATION; HKU1</t>
  </si>
  <si>
    <t xml:space="preserve">Background Human coronavirus NL63 (HCoV-NL63) is a novel respiratory virus which is associated with respiratory tract infections in children. Objective To determine the role of HCoV-NL63 in infants and young children hospitalised with acute respiratory tract infections (ARI) in Cape Town, South Africa. Methods Respiratory specimens were collected from 1055 infants and young children hospitalised with ARI in 2003-2004. Samples were screened by RT-PCR to detect HCoV-NL63 and human metapneumovirus (hMPV). Standard shell vial culture and immunofluoresence was used to detect the common respiratory viruses including RSV, influenza A and B viruses, parainfluenza viruses 1, 2, 3, adenovirus and CMV. Results A respiratory virus was found in 401/1055 (38.0%) samples. HCoV-NL63 was detected in 9/1055 (0.85%) with peak activity during autumn (67%). Most patients had a diagnosis of pneumonia or lower respiratory tract infection (6/9; 67%). Conclusions This is the first report of HCoV-NL63 infections in hospitalised children in Africa. During the 2-year period HCoVNL63 played a minor role in ARI in children.</t>
  </si>
  <si>
    <t xml:space="preserve">Univ Cape Town, Fac Hlth Sci, Dept Clin Lab Sci, Div Med Virol NHLS, ZA-7925 Cape Town, South Africa</t>
  </si>
  <si>
    <t xml:space="preserve">University of Cape Town</t>
  </si>
  <si>
    <t xml:space="preserve">Smuts, H (corresponding author), Univ Cape Town, Fac Hlth Sci, Dept Clin Lab Sci, Div Med Virol NHLS, Anzio Rd, ZA-7925 Cape Town, South Africa.</t>
  </si>
  <si>
    <t xml:space="preserve">Poliomyelitis Research Foundation [05/09]</t>
  </si>
  <si>
    <t xml:space="preserve">The author thanks the staff of the Virology Diagnostic Laboratory for performing the shell vial culture and immunofluorescence and Dr Diana Hardie (Division Medical Virology/National Health Laboratory Service, University of Cape Town) for critical reading of the manuscript. This study was funded by the Poliomyelitis Research Foundation (Grant number 05/09).</t>
  </si>
  <si>
    <t xml:space="preserve">10.1111/j.1750-2659.2008.00049.x</t>
  </si>
  <si>
    <t xml:space="preserve">467SB</t>
  </si>
  <si>
    <t xml:space="preserve">WOS:000267761600004</t>
  </si>
  <si>
    <t xml:space="preserve">Gerna, G; Campanini, G; Rovida, F; Percivalle, E; Sarasini, A; Marchi, A; Baldanti, F</t>
  </si>
  <si>
    <t xml:space="preserve">Genetic variability of human coronavirus OC43-, 229E-, and NL63-like strains and their association with lower respiratory tract infections of hospitalized infants and immunocompromised patients</t>
  </si>
  <si>
    <t xml:space="preserve">human coronavirus infections; RT-PCR; phylogenetics; respiratory tract infections; bronchiolitis; pneumonia</t>
  </si>
  <si>
    <t xml:space="preserve">HUMAN METAPNEUMOVIRUS STRAINS; CALF DIARRHEA CORONAVIRUS; REVERSE TRANSCRIPTION-PCR; COMMON-COLD VIRUS; MONOCLONAL-ANTIBODIES; RT-PCR; INFLUENZA-VIRUS; RAPID DETECTION; ORGAN CULTURES; NL63 INFECTION</t>
  </si>
  <si>
    <t xml:space="preserve">In the winter-spring seasons 2003-2004 and 2004-2005, 47 (5.7%) patients with acute respiratory infection associated with human coronavirus (hCoV) 229E-, NL63-, and OC43-like strains were identified among 823 (597 immunocompetent and 226 immunocompromised) patients admitted to hospital with acute respiratory syndromes. Viral infections were diagnosed by either immunological (monoclonal antibodies) or molecular (RT-PCR) methods. Each of two sets of primer pairs developed for detection of all CoVs (panCoV) failed to detect 15 of the 53 (28.3%) hCoV strains identified. On the other hand, all hCoV strains could be detected by using typespecific primers targeting genes 1ab and N. The HuH-7 cell line was found to be susceptible to isolation and identification of OC43- and 229E-like strains. Overall, hCoV infection was caused by OC43-like, 229E-like, and NL63-like strains in 25 (53.2%), 10 (21.3%), and 9 (19.1%) patients, respectively. In addition, three patients (6.4%) were infected by untypeable hCoV strains. NL63-like strains were not found to circulate in 2003-2004, and 229E-like strains did not circulate in 2004-2005, while OC43-like strains were detected in both seasons. The monthly distribution reached a peak during January through March. Lower predominated over upper respiratory tract infections in each age group. In addition, hCoV infections interested only immunocompetent infants and young children during the first year of life, while all adults were immunocompromised patients. Coinfections of hCoVs and other respiratory viruses (mostly interesting the first year of life) were observed in 14 of the 47 (29.8%) patients and were associated with severe respiratory syndromes more frequently than hCoV single infections (P = 0.002). In conclusion, the use of multiple primer sets targeting different genes is recommended for diagnosis of all types of hCoV infection. In addition,the detection of still untypeable hCoV strains suggests that the number of hCoVs involved in human pathology might further increase. Finally, hCoVs should be screened routinely for in both infants and immunocompromised patients with acute respiratory infection.</t>
  </si>
  <si>
    <t xml:space="preserve">Policlin San Matteo, IRCCS, Serv Virol, I-27100 Pavia, Italy; Univ Pavia, Dipartimento Pediat, I-27100 Pavia, Italy</t>
  </si>
  <si>
    <t xml:space="preserve">University of Pavia; IRCCS Fondazione San Matteo; University of Pavia</t>
  </si>
  <si>
    <t xml:space="preserve">Gerna, G (corresponding author), Policlin San Matteo, IRCCS, Serv Virol, I-27100 Pavia, Italy.</t>
  </si>
  <si>
    <t xml:space="preserve">Percivalle, Elena/K-7994-2016; Campanini, Giulia/J-4889-2018; Rovida, Francesca/K-7984-2016; Baldanti, Fausto/J-4924-2018</t>
  </si>
  <si>
    <t xml:space="preserve">Percivalle, Elena/0000-0002-3355-1410; Campanini, Giulia/0000-0002-3536-2437; Rovida, Francesca/0000-0003-2345-2790; Gerna, Giuseppe/0000-0001-5956-2786; Baldanti, Fausto/0000-0002-3358-8969</t>
  </si>
  <si>
    <t xml:space="preserve">10.1002/jmv.20645</t>
  </si>
  <si>
    <t xml:space="preserve">049GX</t>
  </si>
  <si>
    <t xml:space="preserve">WOS:000238005300013</t>
  </si>
  <si>
    <t xml:space="preserve">Gerna, G; Percivalle, E; Sarasini, A; Campanini, G; Piralla, A; Rovida, F; Genini, E; Marchi, A; Baldanti, F</t>
  </si>
  <si>
    <t xml:space="preserve">Gerna, Giuseppe; Percivalle, Elena; Sarasini, Antonella; Campanini, Giulia; Piralla, Antonio; Rovida, Francesca; Genini, Emilia; Marchi, Antonietta; Baldanti, Fausto</t>
  </si>
  <si>
    <t xml:space="preserve">Human respiratory coronavirus HKU1 versus other coronavirus infections in Italian hospitalised patients</t>
  </si>
  <si>
    <t xml:space="preserve">human coronavirus HKU1; acute respiratory tract infections; monoclonal antibody; reverse transcription-PCR; HKU1 genotypes</t>
  </si>
  <si>
    <t xml:space="preserve">HUMAN METAPNEUMOVIRUS STRAINS; MONOCLONAL-ANTIBODIES; TRACT INFECTIONS; RAPID DETECTION; NL63 INFECTION; HONG-KONG; CHILDREN; DISEASE; PNEUMONIA; CULTURES</t>
  </si>
  <si>
    <t xml:space="preserve">Background: Human respiratory coronavirus (hCoV) HKU1 infections were reported for the first time in 2005 in Hong Kong. Objective: To investigate epidemiological, clinical, and diagnostic features of HKU1 infections. Study design: Longitudinal, prospective study from November 2005 through May 2006 in a hospitalised patient population, Results: Overall, 48/426 (11.3%) patients were found to be infected by hCoV acute respiratory tract infections (ARTI). Of these, 10 (19.2%) were caused by HKU1 (6 single infections and 4 coinfections) during the period January-May 2006. Diagnosis was made by using RT-PCR for all four hCoVs, and in parallel, in-house developed group-specific monoclonal antibodies (MAbs) for HKU1 and 229E. HKU1-specific MAb was able to retrospectively identify 8 of 10 HKU1 strains detected by RT-PCR. Phylogenetic analysis showed that four HKU1 strains were genotype A and six genotype B. In HKU1-infected patients, the predominant clinical symptom was rhinorrhea (nine patients). Within group II hCoV, HKU1-infected patients had a significantly lower rate of lower ARTI compared to OC43-infected patients. Conclusion: HKU1 hCoV strains circulated in northern Italy during the winter-spring season 2005-2006. Both HKU1 genotypes were detected. HKU1-specific MAb may contribute to the rapid diagnosis of HKU1 infections currently performed by RT-PCR. (C) 2006 Elsevier B.V. All rights reserved.</t>
  </si>
  <si>
    <t xml:space="preserve">Fdn IRCCS Policlin San Matteo, Serv Virol, I-27100 Pavia, Italy; Univ Pavia, Dipartimento Pediat, I-27100 Pavia, Italy</t>
  </si>
  <si>
    <t xml:space="preserve">Piralla, Antonio/K-4756-2018; Rovida, Francesca/K-7984-2016; Percivalle, Elena/K-7994-2016; Campanini, Giulia/J-4889-2018; Baldanti, Fausto/J-4924-2018</t>
  </si>
  <si>
    <t xml:space="preserve">Piralla, Antonio/0000-0002-6062-2579; Rovida, Francesca/0000-0003-2345-2790; Percivalle, Elena/0000-0002-3355-1410; Campanini, Giulia/0000-0002-3536-2437; Baldanti, Fausto/0000-0002-3358-8969; Genini, Emilia/0000-0002-6884-0028; Gerna, Giuseppe/0000-0001-5956-2786</t>
  </si>
  <si>
    <t xml:space="preserve">10.1016/j.jcv.2006.12.008</t>
  </si>
  <si>
    <t xml:space="preserve">WOS:000245160900009</t>
  </si>
  <si>
    <t xml:space="preserve">Baay, MFD; Richie, TL; Neels, P; Cavaleri, M; Chilengi, R; Diemert, D; Hoffman, SL; Johnson, R; Kirkpatrick, BD; Knezevic, I; Laurens, M; McShane, H; Njuguna, P; Aguilar, AO; Pollard, AJ; Riddle, M; Sauerwein, R; Southern, J; Tribble, D; Wildfire, A</t>
  </si>
  <si>
    <t xml:space="preserve">Baay, Marc F. D.; Richie, Thomas L.; Neels, Pieter; Cavaleri, Marco; Chilengi, Roma; Diemert, David; Hoffman, Stephen L.; Johnson, Robert; Kirkpatrick, Beth D.; Knezevic, Ivana; Laurens, Matthew; McShane, Helen; Njuguna, Patricia; Aguilar, Anastazia Older; Pollard, Andrew J.; Riddle, Mark; Sauerwein, Robert; Southern, James; Tribble, David; Wildfire, Adrian</t>
  </si>
  <si>
    <t xml:space="preserve">Session Chairs Second Human Ch</t>
  </si>
  <si>
    <t xml:space="preserve">Human challenge trials in vaccine development, Rockville, MD, USA, September 28-30, 2017</t>
  </si>
  <si>
    <t xml:space="preserve">BIOLOGICALS</t>
  </si>
  <si>
    <t xml:space="preserve">Human challenge; Infection models; Vaccine; Efficacy; Ethics</t>
  </si>
  <si>
    <t xml:space="preserve">CONTROLLED HUMAN INFECTION; HUMAN MALARIA INFECTION; PLASMODIUM-FALCIPARUM; CIRCUMSPOROZOITE PROTEIN; HUMAN METAPNEUMOVIRUS; PROTECTIVE EFFICACY; RODENT PARASITES; YOUNG-CHILDREN; PFSPZ VACCINE; DOUBLE-BLIND</t>
  </si>
  <si>
    <t xml:space="preserve">The International Alliance for Biological Standardization organized the second workshop on human challenge trials (HCT) in Rockville, MD, in September 2017. The objective of this meeting was to examine the use of HCT, in response to the continuing human suffering caused by infectious diseases, preventable by the development of new and improved vaccines. For this, the approach of HCT could be valuable, as HCT can provide key safety, tolerability, immunogenicity, and efficacy data, and can be used to study host-pathogen biology. HCT can generate these data with speed, efficiency and minimal expense, albeit not with the same level of robustness as clinical trials. Incorporated wisely into a clinical development plan, HCT can support optimization or down selection of new vaccine candidates, assuring that only the worthiest candidates progress to field testing. HCT may also provide pivotal efficacy data in support of licensure, particularly when field efficacy studies are not feasible. Many aspects of HCT were discussed by the participants, including new and existing models, standardization and ethics. A consensus was achieved that HCT, if ethically justified and performed with careful attention to safety and informed consent, should be pursued to promote and accelerate vaccine development.</t>
  </si>
  <si>
    <t xml:space="preserve">[Baay, Marc F. D.] P95 Pharmacovigilance &amp; Epidemiol Serv, Leuven, Belgium; [Richie, Thomas L.] Sanaria Inst Global Hlth &amp; Trop Med, Rockville, MD USA; [Neels, Pieter] Int Alliance Biol Standardizat, Lyon, France; [Cavaleri, Marco] European Med Agcy, London, England; [Chilengi, Roma] Ctr Infect Dis Res, Lusaka, Zambia; [Diemert, David] George Washington Univ, Washington, DC USA; [Hoffman, Stephen L.] Sanaria Inc, Rockville, MD USA; [Johnson, Robert] NIH, Bldg 10, Bethesda, MD 20892 USA; [Kirkpatrick, Beth D.] Univ Vermont, Sch Med, Burlington, VT 05405 USA; [Knezevic, Ivana] WHO, Geneva, Switzerland; [Laurens, Matthew] Univ Maryland, Sch Med, Baltimore, MD 21201 USA; [McShane, Helen] Univ Oxford, Jenner Inst, Oxford, England; [Njuguna, Patricia] Kenya Med Res Inst Wellcome Trust Res Programme, Chair Clin Res, Nairobi, Kenya; [Aguilar, Anastazia Older] Bill &amp; Melinda Gates Fdn, Seattle, WA USA; [Pollard, Andrew J.] Univ Oxford, Oxford, England; [Riddle, Mark; Tribble, David] Uniformed Serv Univ Hlth Sci, Bethesda, MD 20814 USA; [Sauerwein, Robert] Radboud Univ Nijmegen, Nijmegen, Netherlands; [Southern, James] Dev Country Vaccine Regulators Network, Cape Town, West Cape Provi, South Africa; [Wildfire, Adrian] SGS Belgium NV, Mechelen, Belgium</t>
  </si>
  <si>
    <t xml:space="preserve">George Washington University; Sanaria Inc.; National Institutes of Health (NIH) - USA; University of Vermont; World Health Organization; University System of Maryland; University of Maryland Baltimore; University of Oxford; Jenner Institute; Kenya Medical Research Institute; Bill &amp; Melinda Gates Foundation; University of Oxford; Uniformed Services University of the Health Sciences - USA; Radboud University Nijmegen</t>
  </si>
  <si>
    <t xml:space="preserve">Baay, MFD (corresponding author), P95 Pharmacovigilance &amp; Epidemiol Serv, Leuven, Belgium.</t>
  </si>
  <si>
    <t xml:space="preserve">marc.baay@p-95.com</t>
  </si>
  <si>
    <t xml:space="preserve">Diemert, David/AAQ-3353-2020; Richie, Thomas/A-8028-2011; Cavaleri, Marco/KLB-9371-2024; Laurens, Matthew/E-7293-2013</t>
  </si>
  <si>
    <t xml:space="preserve">/0000-0001-9585-3820; Diemert, David/0000-0002-2789-0512; Knezevic, Ivana/0000-0002-6441-7601; Laurens, Matthew/0000-0003-3874-581X; Richie, Thomas/0000-0002-2946-5456; Baay, Marc/0000-0001-7266-551X</t>
  </si>
  <si>
    <t xml:space="preserve">Bill AMP; Melinda Gates Foundation; Wellcome Trust; Sanofi Pasteur; GlaxoSmithKline Vaccines</t>
  </si>
  <si>
    <t xml:space="preserve">Bill AMP; Melinda Gates Foundation(CGIAR); Wellcome Trust(Wellcome Trust); Sanofi Pasteur; GlaxoSmithKline Vaccines</t>
  </si>
  <si>
    <t xml:space="preserve">The meeting was organized with financial support from the Bill &amp; Melinda Gates Foundation, the Wellcome Trust, Sanofi Pasteur and GlaxoSmithKline Vaccines.</t>
  </si>
  <si>
    <t xml:space="preserve">1045-1056</t>
  </si>
  <si>
    <t xml:space="preserve">1095-8320</t>
  </si>
  <si>
    <t xml:space="preserve">Biologicals</t>
  </si>
  <si>
    <t xml:space="preserve">10.1016/j.biologicals.2018.02.002</t>
  </si>
  <si>
    <t xml:space="preserve">Biochemical Research Methods; Biotechnology &amp; Applied Microbiology; Pharmacology &amp; Pharmacy</t>
  </si>
  <si>
    <t xml:space="preserve">Biochemistry &amp; Molecular Biology; Biotechnology &amp; Applied Microbiology; Pharmacology &amp; Pharmacy</t>
  </si>
  <si>
    <t xml:space="preserve">JA8YV</t>
  </si>
  <si>
    <t xml:space="preserve">WOS:000488138100014</t>
  </si>
  <si>
    <t xml:space="preserve">Ursic, T; Jevsnik, M; Zigon, N; Krivec, U; Beden, AB; Praprotnik, M; Petrovec, M</t>
  </si>
  <si>
    <t xml:space="preserve">Ursic, Tina; Jevsnik, Monika; Zigon, Nina; Krivec, Uros; Beden, Andreja Borinc; Praprotnik, Marina; Petrovec, Miroslav</t>
  </si>
  <si>
    <t xml:space="preserve">Human Bocavirus and Other Respiratory Viral Infections in a 2-Year Cohort of Hospitalized Children</t>
  </si>
  <si>
    <t xml:space="preserve">human bocavirus; respiratory viral infection; infection severity; viral load</t>
  </si>
  <si>
    <t xml:space="preserve">REAL-TIME PCR; TRACT INFECTIONS; EPIDEMIOLOGIC PROFILE; HUMAN METAPNEUMOVIRUS; FREQUENT DETECTION; VIRUS-INFECTIONS; YOUNG-CHILDREN; DIAGNOSIS; PARVOVIRUS; INFANTS</t>
  </si>
  <si>
    <t xml:space="preserve">Human bocavirus (HBoV) infection is reported worldwide and may cause severe respiratory tract infections. The aim of the present study was to assess the prevalence of HBoV, and other respiratory viral pathogens, in a 2-year retrospective study of children admitted to hospital, and to investigate whether viral loads of HBoV DNA were associated with severity of infection. Between April 2007 and March 2009, 891 respiratory samples from 760 children admitted to hospital with acute respiratory tract infection were tested for the presence of respiratory viruses by real-time PCR or direct immunofluorescence testing. HBoV DNA was detected by using internally controlled real-time quantitative PCR assay and 25 samples selected at random were sequenced. The virus detected most frequently was rhinovirus, followed by respiratory syncytial virus, HBoV, and human metapneumovirus. HBoV DNA was detected in 18.4% of children admitted to hospital. HBoV was the only viral pathogen detected in 66/164 (40.2%) of HBoV DNA-positive children and in 7.4% of all 891 samples. Ninety-seven percent (64/66) of children with an HBoV single infection were diagnosed as having lower respiratory tract infection. Median HBoV DNA viral load was significantly higher in children when HBoV was detected as a single pathogen. Higher HBoV DNA viral loads were associated with prematurity and age. HBoV seems to be an important and frequent pathogen in respiratory tract infections in children, and it is likely that the severity of illness is comparable to the severity of RSV illness. J. Med. Virol. 84:99-108, 2012. (C) 2011 Wiley Periodicals, Inc.</t>
  </si>
  <si>
    <t xml:space="preserve">[Ursic, Tina; Jevsnik, Monika; Zigon, Nina; Petrovec, Miroslav] Univ Ljubljana, Inst Microbiol &amp; Immunol, Fac Med, Ljubljana 1000, Slovenia; [Krivec, Uros; Beden, Andreja Borinc; Praprotnik, Marina] Univ Med Ctr Ljubljana, Univ Childrens Hosp, Dept Pulmonol, Ljubljana, Slovenia</t>
  </si>
  <si>
    <t xml:space="preserve">University of Ljubljana; University Medical Centre Ljubljana</t>
  </si>
  <si>
    <t xml:space="preserve">Ursic, T (corresponding author), Univ Ljubljana, Inst Microbiol &amp; Immunol, Fac Med, Zaloska 4, Ljubljana 1000, Slovenia.</t>
  </si>
  <si>
    <t xml:space="preserve">Krivec, Uroš/AAN-9106-2020</t>
  </si>
  <si>
    <t xml:space="preserve">Jevsnik Virant, Monika/0000-0003-1754-8964</t>
  </si>
  <si>
    <t xml:space="preserve">Slovenian Research Agency [P3-0083]</t>
  </si>
  <si>
    <t xml:space="preserve">Grant sponsor: Slovenian Research Agency P3-0083.</t>
  </si>
  <si>
    <t xml:space="preserve">10.1002/jmv.22217</t>
  </si>
  <si>
    <t xml:space="preserve">853WO</t>
  </si>
  <si>
    <t xml:space="preserve">WOS:000297456600016</t>
  </si>
  <si>
    <t xml:space="preserve">Bakir, A; Karabulut, N; Alacam, S; Mese, S; Somer, A; Agacfidan, A</t>
  </si>
  <si>
    <t xml:space="preserve">Bakir, Ayfer; Karabulut, Nuran; Alacam, Sema; Mese, Sevim; Somer, Ayper; Agacfidan, Ali</t>
  </si>
  <si>
    <t xml:space="preserve">Investigation of human bocavirus in pediatric patients with respiratory tract infection</t>
  </si>
  <si>
    <t xml:space="preserve">Human bocavirus; respiratory tract infections; respiratory syncytial virus</t>
  </si>
  <si>
    <t xml:space="preserve">CLINICAL-SIGNIFICANCE; CHILDREN</t>
  </si>
  <si>
    <t xml:space="preserve">Introduction: Human bocavirus (HBoV) is a linear single-stranded DNA virus belonging to the Parvoviridae family. This study aimed to investigate the incidence of HBoV and co-infections in pediatric patients with symptoms of viral respiratory tract infection. Methodology: This study included 2,310 patients between the ages of 0-18 in whom HBoV and other respiratory tract viral pathogens were analyzed in nasopharyngeal swab specimens. Results: In the pediatric age group, HBoV was found in 4.5% (105/2310) of the patients and higher in children between the ages of 1 and 5. Mixed infection was detected in 43.8% (46/105) of HBoV positive patients (p = 0.10). Mono and mixed infection rates were higher in outpatients than in inpatients (p &lt; 0.05). Respiratory syncytial virus was significantly higher than the other respiratory viral pathogens (p &lt; 0.001). Conclusions: This study is important as it is one of the rare studies performed on the incidence of HBoV in the Marmara region. In pediatric age group, the incidence of HBoV was found 4.5%. The incidence rate of HBoV in this study was similar to those in studies around the world, but close to low rates. The incidence of HBoV was found higher especially among children between the ages of 1-5 in this study. In addition to the incidence of HBoV, accompanying co-infections in the pediatric age group were also investigated in this study. Since concurrence of RSV, HRV and hMPV with HBoV was the most common it must be considered that there may be more than one agents in patients with symptoms of respiratory tract infection.</t>
  </si>
  <si>
    <t xml:space="preserve">[Bakir, Ayfer; Karabulut, Nuran; Alacam, Sema; Mese, Sevim; Agacfidan, Ali] Istanbul Univ, Dept Med Microbiol, Div Virol &amp; Fundamental Immunol, Istanbul Fac Med, TR-34093 Istanbul, Turkey; [Somer, Ayper] Istanbul Univ, Istanbul Fac Med, Dept Pediat Infect Dis, Istanbul, Turkey</t>
  </si>
  <si>
    <t xml:space="preserve">Istanbul University; Istanbul University</t>
  </si>
  <si>
    <t xml:space="preserve">Bakir, A (corresponding author), Istanbul Univ, Dept Med Microbiol, Div Virol &amp; Fundamental Immunol, Istanbul Fac Med, TR-34093 Istanbul, Turkey.</t>
  </si>
  <si>
    <t xml:space="preserve">dr.ayfer.bakir@gmail.com</t>
  </si>
  <si>
    <t xml:space="preserve">Bakir, Ayfer/CHL-3367-2022; Somer, Ayper/AAE-5459-2020; Karabulut, Nuran/D-1334-2018</t>
  </si>
  <si>
    <t xml:space="preserve">10.3855/jidc.12553</t>
  </si>
  <si>
    <t xml:space="preserve">OS6HJ</t>
  </si>
  <si>
    <t xml:space="preserve">WOS:000590262200019</t>
  </si>
  <si>
    <t xml:space="preserve">Völz, S; Schildgen, O; Klinkenberg, D; Ditt, V; Müller, A; Tillmann, RL; Kupfer, B; Bode, U; Lentze, MJ; Simon, A</t>
  </si>
  <si>
    <t xml:space="preserve">Voelz, Sebastian; Schildgen, Oliver; Klinkenberg, Dennis; Ditt, Vanessa; Mueller, Andreas; Tillmann, Ramona L.; Kupfer, Bernd; Bode, Udo; Lentze, Michael J.; Simon, Arne</t>
  </si>
  <si>
    <t xml:space="preserve">Prospective study of Human Bocavirus (HBoV) infection in a pediatric university hospital in Germany 2005/2006</t>
  </si>
  <si>
    <t xml:space="preserve">human bocavirus; respiratory tract infection; hospitalized infants and children</t>
  </si>
  <si>
    <t xml:space="preserve">RESPIRATORY-TRACT INFECTIONS; REAL-TIME PCR; COMMUNITY-ACQUIRED PNEUMONIA; HUMAN METAPNEUMOVIRUS; YOUNG-CHILDREN; EPIDEMIOLOGIC PROFILE; HIGH PREVALENCE; VIRUS; PARVOVIRUS; BRONCHIOLITIS</t>
  </si>
  <si>
    <t xml:space="preserve">Background: Human Bocavirus (HBoV), a new species of the genus parvovirus newly detected in 2005, seems to be a worldwide distributed pathogen among children with respiratory tract infection (prevalence 2%-18%). Recently published retrospective studies and one prospective birth cohort study suggest that HBoV-primary infection occurs in infants. Methods: Prospective single center study over one winter season (November 2005-May 2006) with hospitalized children without age restriction using PCR-based diagnostic methods. Results: HBoV DNA was detected in 11 (2.8%) of 389 nasopharyngeal aspirates from symptomatic hospitalized children (median age 9.0 months; range: 3-17 months). RSV, HMPV, HCoV, and Influenza B were detected in 13.9% (n = 54), 5.1% (n = 20), 2.6% (n = 10), and 1.8% (n = 7), respectively. There was no influenza A DNA detected in any of the specimens. The clinical diagnoses were acute wheezing (bronchitis) in four patients, radiologically confirmed pneumonia in six patients (55%) and croup syndrome in one patient. In five to six patients with pneumonia, HBoV was the only pathogen detected. While no patient had to be mechanically ventilated, 73% needed oxygen supplementation. In four (36.4%) patients at least one other viral pathogen was found (plus RSV n = 3; 27.3%; Norovirus n = 1; 9.1 %). Conclusion: HBoV causes severe respiratory tract infections in infants and young children. Its role as a copathogen and many other open questions has to be defined in further prospective studies. (C) 2007 Elsevier B.V. All rights reserved.</t>
  </si>
  <si>
    <t xml:space="preserve">Univ Bonn, Childrens Hosp Med Ctr, D-5300 Bonn, Germany; Univ Bonn, Inst Virol, D-5300 Bonn, Germany</t>
  </si>
  <si>
    <t xml:space="preserve">Schildgen, O (corresponding author), Inst Med Microbiol Immunol &amp; Parasitol, Dept Virol, Sigmund Freud Str 25, D-53105 Bonn, Germany.</t>
  </si>
  <si>
    <t xml:space="preserve">schildgen@mibi03.meb.uni-bonn.de</t>
  </si>
  <si>
    <t xml:space="preserve">10.1016/j.jcv.2007.07.017</t>
  </si>
  <si>
    <t xml:space="preserve">WOS:000250935300011</t>
  </si>
  <si>
    <t xml:space="preserve">Brieu, N; Guyon, G; Rodière, M; Segondy, M; Foulongne, V</t>
  </si>
  <si>
    <t xml:space="preserve">Brieu, Nathalie; Guyon, Gael; Rodiere, Michel; Segondy, Michel; Foulongne, Vincent</t>
  </si>
  <si>
    <t xml:space="preserve">Human Bocavirus Infection in Children With Respiratory Tract Disease</t>
  </si>
  <si>
    <t xml:space="preserve">human bocavirus; respiratory tract disease; children</t>
  </si>
  <si>
    <t xml:space="preserve">HOSPITALIZED CHILDREN; EPIDEMIOLOGIC PROFILE; HUMAN PARVOVIRUS; SAMPLES; VIRUS</t>
  </si>
  <si>
    <t xml:space="preserve">Background: Human bocavirus (HBoV) is a ubiquitous, newly described member of the Parvoviridae family frequently detected in the respiratory tract of children, but only few reports provide data proving the link between HBoV and respiratory tract disease (RTD). Objectives: To evaluate the incidence of HBoV infection in children with RTD; to analyze the clinical features of HBoV infection; and to clinically compare HBoV, respiratory syncytial virus (RSV), and human metapneumovirus (HMPV) infections. Study Design: A prospective 1-year study was conducted in children &lt; 5 years of age hospitalized with RTD and in asymptomatic control children. Results: Human bocavirus was detected in 55 (10.8%) of the 507 children tested and in none of the 68 asymptomatic control children (P = 0.01). About 80% of these infections Occurred between November and March. Coinfection with another virus was observed in 22 (40%) of the HBoV-positive children. HBoV viral load was significantly higher in samples from children with HBoV monoinfection than in those with coinfection. Subsequent detection of HBoV more than 2 months after the initial detection could be documented in 3 children. Clinical features associated with HBoV infection were similar to those observed with either RSV or HMPV infections, but HBoV infections were less severe than RSV infections. Conclusions: The difference observed in HBoV prevalence between children with RTD and controls provides Support for a role of this virus in RTD. The frequent associations of HBoV with other respiratory viruses might be explained by the persistence of HBoV in the respiratory tract. The significance of HBoV viral load in nasopharyngeal secretions as a marker of pathogenicity merits further investigation.</t>
  </si>
  <si>
    <t xml:space="preserve">[Brieu, Nathalie; Segondy, Michel; Foulongne, Vincent] Montpellier Univ Hosp, Dept Virol, Montpellier, France; [Guyon, Gael; Rodiere, Michel] Montpellier Univ Hosp, Dept Pediat, Montpellier, France</t>
  </si>
  <si>
    <t xml:space="preserve">Foulongne, V (corresponding author), Hop St Eloi, Virol Lab, F-34295 Montpellier 05, France.</t>
  </si>
  <si>
    <t xml:space="preserve">v-foulongne@chu-montpellier.fr</t>
  </si>
  <si>
    <t xml:space="preserve">10.1097/INF.0b013e31817acfaa</t>
  </si>
  <si>
    <t xml:space="preserve">368UO</t>
  </si>
  <si>
    <t xml:space="preserve">WOS:000260648400004</t>
  </si>
  <si>
    <t xml:space="preserve">Ljubin-Sternak, S; Mestrovic, T; Ivkovic-Jurekovic, I; Tesovic, G; Mlinaric-Galinovic, G; Luksic, I; Tabain, I; Tot, T; Mijac, M; Vranes, J</t>
  </si>
  <si>
    <t xml:space="preserve">Ljubin-Sternak, Suncanica; Mestrovic, Tomislav; Ivkovic-Jurekovic, Irena; Tesovic, Goran; Mlinaric-Galinovic, Gordana; Luksic, Ivana; Tabain, Irena; Tot, Tatjana; Mijac, Maja; Vranes, Jasmina</t>
  </si>
  <si>
    <t xml:space="preserve">High Detection Rates of Human Bocavirus in Infants and Small Children with Lower Respiratory Tract Infection from Croatia</t>
  </si>
  <si>
    <t xml:space="preserve">human bocavirus; respiratory syncytial virus; age; real-time PCR; Croatia</t>
  </si>
  <si>
    <t xml:space="preserve">Background: Human bocavirus (HBoV) is known to cause lower respiratory tract infections (LRTI) in children and may result in substantial morbidity and mortality. The aim of this study was to determine HBoV prevalence among hospitalized infants and small children with acute LRTI in Zagreb, Croatia, as well as to evaluate HBoV DNA quantity in samples in relation to the patients' age and co-infection with other respiratory viruses. Methods: During winter season 2016/2017, a total of 295 children younger than three years of age who were admitted to hospitals with LRTI were tested for the presence of HBoV, respiratory syncytial virus (RSV), adenovirus (ADV), parainfluenza virus (PIV) types 1 to 3, and human metapneumovirus (HMPV). HBoV was detected with a real-time PCR method, and the other viruses were diagnosed using monoclonal antibodies in direct fluorescence assay. Results: Viral etiology was proven in 225/295 (76.3%) of patients. The most commonly diagnosed virus was RSV (59.3%), followed by HBoV (23.1%), PIVs (4.4%), ADV (3.1%), and HMPV (1.4%). HBoV-infected children were older than RSV-infected children; likewise, detection rates of HBoV infection increased with age, while RSV infection rates decreased with age. In 51% of HBoV-positive samples an additional respiratory virus was also detected. There was no difference in HBoV DNA quantity between samples with single virus detection and those with multiple virus detection (p = 0.056), although samples positive only for HBoV showed higher cycle threshold values. There was no difference in HBoV DNA quantity in samples of different age groups (p &gt; 0.05). Conclusions: Frequent detection of HBoV in small children with LRTI, even in combination with other viruses, highlights its role in the pathogenesis of respiratory disease.</t>
  </si>
  <si>
    <t xml:space="preserve">[Ljubin-Sternak, Suncanica; Luksic, Ivana; Mijac, Maja; Vranes, Jasmina] Teaching Inst Publ Hlth Dr Andrija Stampar, Clin Microbiol Dept, Zagreb, Croatia; [Ljubin-Sternak, Suncanica; Tesovic, Goran; Mlinaric-Galinovic, Gordana; Vranes, Jasmina] Univ Zagreb, Sch Med, Zagreb, Croatia; [Mestrovic, Tomislav] Polyclin Dr Zora Profozic, Clin Microbiol &amp; Parasitol Unit, Bosutska 19, Zagreb 10000, Croatia; [Ivkovic-Jurekovic, Irena] Childrens Hosp Zagreb, Dept Pulmonol Allergy Immunol &amp; Rheumatol, Zagreb, Croatia; [Ivkovic-Jurekovic, Irena] Univ Osijek, Sch Med, Osijek, Croatia; [Tesovic, Goran] Univ Hosp Infect Dis Dr Fran Mihaljevic, Paediat Dept, Zagreb, Croatia; [Tabain, Irena] Croatian Natl Inst Publ Hlth, Virol Dept, Zagreb, Croatia; [Tot, Tatjana] Gen Hosp Karlovac, Microbiol Dept, Karlovac, Croatia</t>
  </si>
  <si>
    <t xml:space="preserve">University of Zagreb; University of Zagreb; University of Zagreb; University of JJ Strossmayer Osijek</t>
  </si>
  <si>
    <t xml:space="preserve">Mestrovic, T (corresponding author), Polyclin Dr Zora Profozic, Clin Microbiol &amp; Parasitol Unit, Bosutska 19, Zagreb 10000, Croatia.</t>
  </si>
  <si>
    <t xml:space="preserve">tomislav.mestrovic@gmail.com</t>
  </si>
  <si>
    <t xml:space="preserve">Luksic, Ivica/H-9614-2019; Ivkovic-Jurekovic, Irena/GNH-3203-2022</t>
  </si>
  <si>
    <t xml:space="preserve">Ivkovic-Jurekovic, Irena/0000-0001-5024-7149; Vranes, Jasmina/0000-0002-3282-0973</t>
  </si>
  <si>
    <t xml:space="preserve">Croatian Science Foundation [IP-2006-06-7556]</t>
  </si>
  <si>
    <t xml:space="preserve">Croatian Science Foundation</t>
  </si>
  <si>
    <t xml:space="preserve">Authors wish to thank Aleksandar Momirovic and Krunoslav Peter for their assistance in statistical analysis. Authors would also like to thank Matea Kvaternik Celjak and Vesna Seperic for their technical assistance. This work has been fully supported by the Croatian Science Foundation under the Project No. IP-2006-06-7556 to S.LJ.S. entitled New and neglected respiratory viruses in vulnerable groups of patients.</t>
  </si>
  <si>
    <t xml:space="preserve">10.7754/Clin.Lab.2018.180702</t>
  </si>
  <si>
    <t xml:space="preserve">HK3YS</t>
  </si>
  <si>
    <t xml:space="preserve">WOS:000457856100014</t>
  </si>
  <si>
    <t xml:space="preserve">Chow, BDW; Huang, YT; Esper, FR</t>
  </si>
  <si>
    <t xml:space="preserve">Chow, Brian D. W.; Huang, Yung T.; Esper, Frank R.</t>
  </si>
  <si>
    <t xml:space="preserve">Evidence of human bocavirus circulating in children and adults, Cleveland, Ohio</t>
  </si>
  <si>
    <t xml:space="preserve">Human bocavirus; Respiratory infections; COPD; Asthma; Nosocomial infection</t>
  </si>
  <si>
    <t xml:space="preserve">HUMAN METAPNEUMOVIRUS; INFECTION; CORONAVIRUS; PARVOVIRUS; PNEUMONIA; VIRUS</t>
  </si>
  <si>
    <t xml:space="preserve">Background: Vital respiratory illness is a major cause of morbidity and mortality. The human bocavirus (HBoV) is a recently recognized parvovirus isolated from human respiratory secretions. Objectives: To define the clinical and epidemiologic characteristics in adult and pediatric patients with evidence of HBoV. Study design: From October 2005 through October 2006, we screened respiratory samples from children and adults negative for common respiratory pathogens for HBoV by PCR. Demographic and clinical characteristics were obtained from medical records of HBoV positive individuals. Results: Of 2075 samples screened, 1826(88.0%) represented distinct respiratory events: 1539(84.3%)were pediatric(&lt;18 years), and 273 (15.0%)adult(&gt;= 18 years). Forty(2.2%) patients had HBoV: 36(2.3%) children and 4 (1.5%) adults. HBoV positive children had history of prematurity(31.3%) and cardiac disease (18.8%). Adults had underlying Pulmonary (100%) and cardiac (50%) disease. Twenty-seven children (84.4%) were hospitalized; 9 (28.1%) required intensive care. All adults were hospitalized; none required intensive care. Nosocomial acquisition likely occurred in 3 patients. Conclusions: HBoV circulates in Cleveland, OR in children and adults with similar frequencies, and can warrant hospitalization and intensive care. Further study would clarify Our understanding of this newly recognized human pathogen. (C) 2008 Elsevier B.V. All rights reserved.</t>
  </si>
  <si>
    <t xml:space="preserve">[Chow, Brian D. W.; Huang, Yung T.; Esper, Frank R.] Case Western Reserve Univ, Cleveland, OH 44106 USA; [Chow, Brian D. W.; Esper, Frank R.] Univ Hosp Case Med Ctr, Dept Pediat, Cleveland, OH 44106 USA; [Huang, Yung T.] Univ Hosp Case Med Ctr, Dept Pathol, Cleveland, OH 44106 USA; [Chow, Brian D. W.] Univ Hosp Case Med Ctr, Dept Internal Med, Cleveland, OH 44106 USA</t>
  </si>
  <si>
    <t xml:space="preserve">University System of Ohio; Case Western Reserve University; University System of Ohio; Case Western Reserve University; Case Western Reserve University Hospital; University System of Ohio; Case Western Reserve University; Case Western Reserve University Hospital; University System of Ohio; Case Western Reserve University; Case Western Reserve University Hospital</t>
  </si>
  <si>
    <t xml:space="preserve">Esper, FR (corresponding author), Rainbow Babies &amp; Childrens Hosp, Div Pediat Infect Dis, 11100 Euclid Ave, Cleveland, OH 44106 USA.</t>
  </si>
  <si>
    <t xml:space="preserve">Huang, Yung/KEJ-3323-2024; Chow, Brian/W-1182-2019</t>
  </si>
  <si>
    <t xml:space="preserve">10.1016/j.jcv.2008.07.009</t>
  </si>
  <si>
    <t xml:space="preserve">379ME</t>
  </si>
  <si>
    <t xml:space="preserve">WOS:000261399600010</t>
  </si>
  <si>
    <t xml:space="preserve">Silva, PE; Figueiredo, CA; Luchs, A; de Paiva, TM; Pinho, MAB; Paulino, RS; da Silva, DBB; Santos, KCD; Afonso, AMS; de Oliveira, MI</t>
  </si>
  <si>
    <t xml:space="preserve">Silva, Patricia Evelin; Figueiredo, Cristina Adelaide; Luchs, Adriana; de Paiva, Terezinha Maria; Benega Pinho, Margarete Aparecida; Paulino, Renato Sousa; Borges da Silva, Daniela Bernardes; de Oliveira Santos, Katia Correa; Sardinha Afonso, Ana Maria; de Oliveira, Maria Isabel</t>
  </si>
  <si>
    <t xml:space="preserve">Human bocavirus in hospitalized children under 5 years with acute respiratory infection, So Paulo, Brazil, 2010</t>
  </si>
  <si>
    <t xml:space="preserve">Human bocavirus; Real-time PCR; Respiratory tract infection; Surveillance; Molecular epidemiology</t>
  </si>
  <si>
    <t xml:space="preserve">COMMUNITY-ACQUIRED PNEUMONIA; REAL-TIME PCR; HUMAN METAPNEUMOVIRUS; TRACT INFECTION; INFANTS; VIRUSES</t>
  </si>
  <si>
    <t xml:space="preserve">The aims of this study were to investigate the human bocavirus (HBoV) frequency and genotypes in hospitalized children &lt; 5 years presenting acute respiratory infections (ARI) within the So Paulo metropolitan area. Nasopharyngeal samples from 300 patients, previously screened for common respiratory viruses, were tested by qPCR for the NSP1 and NP-1 genes. The VP1/2 gene in positive samples was then amplified by PCR and sequenced. A total of 49 positive HBoV cases (16.3%; mean Ct value of 34.41) were detected with the mean age being 18.1 months (range 1 month to 5 years) and the median age being 1 year of age. Children aged between 0 and 12 months had higher detection rates of HBoV (69.4%; 34/49; mean Ct = 34.45) than children from other age groups (30.6%; 15/49; mean Ct = 34.34). No significant differences were observed between HBoV Ct levels and clinical illness. The occurrence was more frequently associated with fall (38.8%; 19/49) and spring (36.7%; 18/49). All 12 sequenced isolates were identified as HBoV-1, displaying minor genetic variation compared to the Swedish reference strains ST1 and ST2 (99.1-99.7% nt). The sole identification of HBoV-1 supports the hypothesis that this particular genotype is strongly related to ARI, and contributes to the role of this virus in the aetiology of respiratory diseases.</t>
  </si>
  <si>
    <t xml:space="preserve">[Silva, Patricia Evelin; Figueiredo, Cristina Adelaide; de Paiva, Terezinha Maria; Benega Pinho, Margarete Aparecida; Paulino, Renato Sousa; Borges da Silva, Daniela Bernardes; de Oliveira Santos, Katia Correa; Sardinha Afonso, Ana Maria; de Oliveira, Maria Isabel] Adolfo Lutz Inst, Ctr Virol, Nucleo Doencas Resp, Av Dr Arnaldo 355, BR-01246902 Sao Paulo, Brazil; [Luchs, Adriana] Adolfo Lutz Inst, Ctr Virol, Nucleo Doencas Enter, Av Dr Arnaldo 355, BR-01246902 Sao Paulo, Brazil</t>
  </si>
  <si>
    <t xml:space="preserve">Instituto Adolfo Lutz; Instituto Adolfo Lutz</t>
  </si>
  <si>
    <t xml:space="preserve">de Oliveira, MI (corresponding author), Adolfo Lutz Inst, Ctr Virol, Nucleo Doencas Resp, Av Dr Arnaldo 355, BR-01246902 Sao Paulo, Brazil.</t>
  </si>
  <si>
    <t xml:space="preserve">olive40@uol.com.br</t>
  </si>
  <si>
    <t xml:space="preserve">Luchs, Adriana/C-9929-2012; de Oliveira, Maria/H-4716-2012</t>
  </si>
  <si>
    <t xml:space="preserve">de Oliveira, Maria Isabel/0000-0001-8687-5278</t>
  </si>
  <si>
    <t xml:space="preserve">Graduate Program in Science, Coordinator for Disease Control, Ministry of Health-PPG-CCD-SES/SP</t>
  </si>
  <si>
    <t xml:space="preserve">Graduate Program in Science, Coordinator for Disease Control, Ministry of Health-PPG-CCD-SES/SP (partial support).</t>
  </si>
  <si>
    <t xml:space="preserve">WIEN</t>
  </si>
  <si>
    <t xml:space="preserve">SACHSENPLATZ 4-6, PO BOX 89, A-1201 WIEN, AUSTRIA</t>
  </si>
  <si>
    <t xml:space="preserve">10.1007/s00705-017-3694-5</t>
  </si>
  <si>
    <t xml:space="preserve">GB8LV</t>
  </si>
  <si>
    <t xml:space="preserve">WOS:000429328300022</t>
  </si>
  <si>
    <t xml:space="preserve">Lee, HN; Koo, HJ; Kim, SH; Choi, SH; Sung, H; Do, KH</t>
  </si>
  <si>
    <t xml:space="preserve">Lee, Han Na; Koo, Hyun Jung; Kim, Soo Hyun; Choi, Sang-Ho; Sung, Heungsup; Do, Kyung-Hyun</t>
  </si>
  <si>
    <t xml:space="preserve">Human Bocavirus Infection in Adults: Clinical Features and Radiological Findings</t>
  </si>
  <si>
    <t xml:space="preserve">KOREAN JOURNAL OF RADIOLOGY</t>
  </si>
  <si>
    <t xml:space="preserve">Human bocavirus; Pneumonia; Computed tomography</t>
  </si>
  <si>
    <t xml:space="preserve">HUMAN METAPNEUMOVIRUS INFECTIONS; RISK-FACTORS; CT FINDINGS; PNEUMONIA; VIRUS; CHILDREN; PARVOVIRUS</t>
  </si>
  <si>
    <t xml:space="preserve">Objective: Human bocavirus (HBoV) is a newly identified pathogen that can cause upper and lower respiratory infections usually in children; however, its clinical characteristics and significance in respiratory infections in adults have not been well known. Our objective was to evaluate the clinical features of respiratory HBoV infection and to describe the CT findings of HBoV pneumonia in adults. Materials and Methods: A total of 185 adult patients diagnosed with HBoV infection at a tertiary referral center between January 2010 and December 2017 were retrospectively evaluated with respect to the clinical characteristics of HBoV infection and its risk factors for pneumonia. Chest CT findings for 34 patients with HBoV pneumonia without co-infection were analyzed and compared between immunocompetent (n = 18) and immunocompromised (n = 16) patients. Results: HBoV infections were predominantly noted between February and June. Among the 185 patients with HBoV infection, 119 (64.3%) had community-acquired infections and 110 (59.5%) had pneumonia. In multivariable analysis, older age (odds ratio [OR], 1.02; 95% confidence interval [CI], 1.00-1.04; p = 0.045) and nosocomial infection (OR, 2.07; 95% CI, 1.05-4.10; p = 0.037) were associated with HBoV pneumonia. The main CT findings were bilateral consolidation (70.6%) and/or groundglass opacities (64.7%); centrilobular nodules (14.7%) were found less frequently. The pattern of CT findings were not significantly different between immunocompetent and immunocompromised patients (all, p &gt; 0.05). Conclusion: HBoV infection can be a potential respiratory tract infection in adults. The most frequent CT findings of HBoV pneumonia were bilateral consolidation and/or ground-glass opacities.</t>
  </si>
  <si>
    <t xml:space="preserve">[Lee, Han Na] Kyung Hee Univ, Kyung Hee Univ Hosp Gangdong, Coll Med, Dept Radiol, Seoul, South Korea; [Koo, Hyun Jung; Kim, Soo Hyun; Do, Kyung-Hyun] Univ Ulsan, Asan Med Ctr, Dept Radiol, Coll Med, 88 Olymp Ro 43 Gil, Seoul 05505, South Korea; [Koo, Hyun Jung; Kim, Soo Hyun; Do, Kyung-Hyun] Univ Ulsan, Asan Med Ctr, Res Inst Radiol, Coll Med, 88 Olymp Ro 43 Gil, Seoul 05505, South Korea; [Choi, Sang-Ho] Univ Ulsan, Asan Med Ctr, Dept Infect Dis, Coll Med, Seoul, South Korea; [Sung, Heungsup] Univ Ulsan, Asan Med Ctr, Dept Lab Med, Coll Med, Seoul, South Korea</t>
  </si>
  <si>
    <t xml:space="preserve">Kyung Hee University; Kyung Hee University Hospital; University of Ulsan; University of Ulsan; University of Ulsan; Asan Medical Center; University of Ulsan; Asan Medical Center</t>
  </si>
  <si>
    <t xml:space="preserve">Do, KH (corresponding author), Univ Ulsan, Asan Med Ctr, Dept Radiol, Coll Med, 88 Olymp Ro 43 Gil, Seoul 05505, South Korea.;Do, KH (corresponding author), Univ Ulsan, Asan Med Ctr, Res Inst Radiol, Coll Med, 88 Olymp Ro 43 Gil, Seoul 05505, South Korea.</t>
  </si>
  <si>
    <t xml:space="preserve">dokh@amc.seoul.kr</t>
  </si>
  <si>
    <t xml:space="preserve">Lee, Han/AAI-7002-2020; Kim, Soo-Hyun/D-1577-2019; choi, sangho/KBQ-3756-2024</t>
  </si>
  <si>
    <t xml:space="preserve">Choi, Sang-Ho/0000-0002-4972-4531; Koo, Hyun Jung/0000-0001-5640-3835; Sung, Heungsup/0000-0002-6062-4451</t>
  </si>
  <si>
    <t xml:space="preserve">KOREAN RADIOLOGICAL SOC</t>
  </si>
  <si>
    <t xml:space="preserve">121-8 YANGJAE-DONG, SEOCHO-GU, SEOUL 137-130, SOUTH KOREA</t>
  </si>
  <si>
    <t xml:space="preserve">1229-6929</t>
  </si>
  <si>
    <t xml:space="preserve">2005-8330</t>
  </si>
  <si>
    <t xml:space="preserve">KOREAN J RADIOL</t>
  </si>
  <si>
    <t xml:space="preserve">Korean J. Radiol.</t>
  </si>
  <si>
    <t xml:space="preserve">10.3348/kjr.2018.0634</t>
  </si>
  <si>
    <t xml:space="preserve">Radiology, Nuclear Medicine &amp; Medical Imaging</t>
  </si>
  <si>
    <t xml:space="preserve">IG0WJ</t>
  </si>
  <si>
    <t xml:space="preserve">WOS:000473510900015</t>
  </si>
  <si>
    <t xml:space="preserve">Petrarca, L; Nenna, R; Frassanito, A; Pierangeli, A; Di Mattia, G; Scagnolari, C; Midulla, F</t>
  </si>
  <si>
    <t xml:space="preserve">Petrarca, Laura; Nenna, Raffaella; Frassanito, Antonella; Pierangeli, Alessandra; Di Mattia, Greta; Scagnolari, Carolina; Midulla, Fabio</t>
  </si>
  <si>
    <t xml:space="preserve">Human bocavirus in children hospitalized for acute respiratory tract infection in Rome</t>
  </si>
  <si>
    <t xml:space="preserve">WORLD JOURNAL OF PEDIATRICS</t>
  </si>
  <si>
    <t xml:space="preserve">Human bocavirus; Pediatrics; Respiratory tract infection; Viral infection</t>
  </si>
  <si>
    <t xml:space="preserve">Background The role of human bocavirus (HBoV) as a respiratory pathogen has not been fulfilled yet. We aimed to describe clinical and serological characteristics of children with HBoV hospitalized for acute respiratory tract infection and to evaluate whether differences occur between HBoV alone and in co-infection. Methods We retrospectively reviewed data from 60 children (median age of 6.2 months, range 0.6-70.9) hospitalized for acute respiratory symptoms, with HBoV detected from a respiratory sample, using a reverse transcriptase-PCR for 14 respiratory viruses (including respiratory syncytial virus (RSV), influenza virus A and B, human coronavirus OC43, 229E, NL-63 and HUK1, adenovirus, rhinovirus, parainfluenza virus1-3, and human metapneumovirus). Results HBoV was detected alone in 29 (48.3%) patients, while in co-infection with other viruses in 31 patients (51.7%), with a peak between December and January. Among the 60 patients, 34 were bronchiolitis, 19 wheezing, 3 pneumonia, 2 upper respiratory tract infection, and 2 whooping cough. Seven children (11.6%) required admission to the paediatric intensive care unit (PICU) for respiratory failure. No differences was observed in age, family history for atopy and/or asthma, clinical presentations, chest X-ray, or laboratory findings in children with HBoV alone vs. multiple viral detection. RSV was the most frequently co-detected virus (61.3%). When compared with HBoV detection alone, the co-detection of RSV and HBoV was associated with male sex (P = 0.013), younger age (P = 0.01), and lower blood neutrophil count (P = 0.032). Conclusions HBoV can be detected alone and in co-infection respiratory samples of children with an acute respiratory tract infection. A cause-effect relationship between HBoV and respiratory infection is not clear, so further studies are needed to clarify this point.</t>
  </si>
  <si>
    <t xml:space="preserve">[Petrarca, Laura; Nenna, Raffaella; Frassanito, Antonella; Di Mattia, Greta; Midulla, Fabio] Sapienza Univ Rome, Maternal Infantile &amp; Urol Sci Dept, Rome, Italy; [Pierangeli, Alessandra; Scagnolari, Carolina] Sapienza Univ Rome, Dept Mol Med, Virol Lab, Rome, Italy</t>
  </si>
  <si>
    <t xml:space="preserve">Midulla, F (corresponding author), Sapienza Univ Rome, Maternal Infantile &amp; Urol Sci Dept, Rome, Italy.</t>
  </si>
  <si>
    <t xml:space="preserve">midulla@uniroma1.it</t>
  </si>
  <si>
    <t xml:space="preserve">Petrarca, Laura/JKJ-2347-2023; Midulla, Fabio/AAL-4391-2020; Di Mattia, Greta/AAA-5999-2022; SCAGNOLARI, CAROLINA/G-3837-2011</t>
  </si>
  <si>
    <t xml:space="preserve">Nenna, Raffaella/0000-0001-8880-3462; Midulla, Fabio/0000-0001-7476-5266; Di Mattia, Greta/0000-0001-5621-2713; SCAGNOLARI, CAROLINA/0000-0003-1044-1478</t>
  </si>
  <si>
    <t xml:space="preserve">ZHEJIANG UNIV SCH MEDICINE</t>
  </si>
  <si>
    <t xml:space="preserve">HANGZHOU</t>
  </si>
  <si>
    <t xml:space="preserve">CHILDRENS HOSPITAL, 57 ZHUGAN XIANG, HANGZHOU, 310003, PEOPLES R CHINA</t>
  </si>
  <si>
    <t xml:space="preserve">1708-8569</t>
  </si>
  <si>
    <t xml:space="preserve">1867-0687</t>
  </si>
  <si>
    <t xml:space="preserve">WORLD J PEDIATR</t>
  </si>
  <si>
    <t xml:space="preserve">World Journal of Pediatrics</t>
  </si>
  <si>
    <t xml:space="preserve">10.1007/s12519-019-00324-5</t>
  </si>
  <si>
    <t xml:space="preserve">NOV 2019</t>
  </si>
  <si>
    <t xml:space="preserve">MB5EW</t>
  </si>
  <si>
    <t xml:space="preserve">WOS:000499108800001</t>
  </si>
  <si>
    <t xml:space="preserve">Gagliardi, TB; Iwamoto, MA; Paula, FE; Proença-Modena, JL; Saranzo, AM; Criado, MF; Acrani, GO; Camara, AA; Cintra, OAL; Arruda, E</t>
  </si>
  <si>
    <t xml:space="preserve">Gagliardi, T. B.; Iwamoto, M. A.; Paula, F. E.; Proenca-Modena, J. L.; Saranzo, A. M.; Criado, M. F.; Acrani, G. O.; Camara, A. A.; Cintra, O. A. L.; Arruda, E.</t>
  </si>
  <si>
    <t xml:space="preserve">Human bocavirus respiratory infections in children</t>
  </si>
  <si>
    <t xml:space="preserve">Human bocavirus; parovirus; respiratory viral infections</t>
  </si>
  <si>
    <t xml:space="preserve">REVERSE TRANSCRIPTION-PCR; SYNCYTIAL VIRUS; CIRCULATION PATTERNS; TRACT INFECTIONS; GROUP-A; COMMUNITY; STRAINS; SAMPLES</t>
  </si>
  <si>
    <t xml:space="preserve">Human bocavirus (HBoV) was recently identified in respiratory samples from patients with acute respiratory infections and has been reported in different regions of the world. To the best of our knowledge, HBoV has never been reported in respiratory infections in Brazil. Nasopharyngeal aspirates were collected from patients aged &lt;5 years hospitalized in 2005 with respiratory infections in Ribeirao Preto, southeast Brazil, and tested by polymerase chain reaction (PCR) for HBoV. HBoV-positive samples were further tested by PCR for human respiratory syncytial virus, human metapneumovirus, human coronaviruses 229E and OC43, human influenza viruses A and B, human parainfluenza viruses 1, 2 and 3, human rhinovirus and human adenovirus. HBoV was detected in 26/248 (10.5%) children of which 21 (81%) also tested positive for other respiratory viruses. Despite the high rates of co-infections, no significant differences were found between HBoV-positive patients with and without co-infections with regard to symptoms.</t>
  </si>
  <si>
    <t xml:space="preserve">[Gagliardi, T. B.] Univ Sao Paulo, Dept Cell Biol, Sch Med, FMRP, BR-14049900 Ribeirao Preto, SP, Brazil; [Camara, A. A.] Hosp Santa Lydia, Ribeirao Preto, SP, Brazil; [Cintra, O. A. L.] Univ Sao Paulo, Dept Pediat, Sch Med, BR-14049900 Ribeirao Preto, SP, Brazil</t>
  </si>
  <si>
    <t xml:space="preserve">Universidade de Sao Paulo; Universidade Federal de Sao Paulo (UNIFESP); Universidade de Sao Paulo</t>
  </si>
  <si>
    <t xml:space="preserve">Gagliardi, TB (corresponding author), Univ Sao Paulo, Dept Cell Biol, Sch Med, FMRP, BR-14049900 Ribeirao Preto, SP, Brazil.</t>
  </si>
  <si>
    <t xml:space="preserve">tbgaglia@usp.br</t>
  </si>
  <si>
    <t xml:space="preserve">Proenca-Modena, Jose Luiz/C-8231-2014; Gagliardi, Talita/G-4379-2016; Acrani, Gustavo/M-3885-2014; Arruda, Eurico/E-4101-2012; Gagliardi, Talita/A-5396-2010</t>
  </si>
  <si>
    <t xml:space="preserve">Proenca-Modena, Jose Luiz/0000-0002-4996-3153; Gagliardi, Talita/0000-0003-4953-7135</t>
  </si>
  <si>
    <t xml:space="preserve">Sao Paulo State Research Foundation (FAPESP); Viral Genetic Diversity Network Programme (VGDN); Brazilian National Research Council (CNPq)</t>
  </si>
  <si>
    <t xml:space="preserve">Sao Paulo State Research Foundation (FAPESP)(Fundacao de Amparo a Pesquisa do Estado de Sao Paulo (FAPESP)); Viral Genetic Diversity Network Programme (VGDN); Brazilian National Research Council (CNPq)(Conselho Nacional de Desenvolvimento Cientifico e Tecnologico (CNPQ))</t>
  </si>
  <si>
    <t xml:space="preserve">This study was supported by the Sao Paulo State Research Foundation (FAPESP) through the Viral Genetic Diversity Network Programme (VGDN) and by the Brazilian National Research Council (CNPq).</t>
  </si>
  <si>
    <t xml:space="preserve">10.1017/S0950268808001842</t>
  </si>
  <si>
    <t xml:space="preserve">461UT</t>
  </si>
  <si>
    <t xml:space="preserve">WOS:000267298400016</t>
  </si>
  <si>
    <t xml:space="preserve">Tang, XF; Dai, G; Wang, T; Sun, HM; Jiang, WJ; Chen, ZR; Yan, YD</t>
  </si>
  <si>
    <t xml:space="preserve">Tang, Xifeng; Dai, Ge; Wang, Ting; Sun, Huiming; Jiang, Wujun; Chen, Zhengrong; Yan, Yongdong</t>
  </si>
  <si>
    <t xml:space="preserve">Comparison of the clinical features of human bocavirus and metapneumovirus lower respiratory tract infections in hospitalized children in Suzhou, China</t>
  </si>
  <si>
    <t xml:space="preserve">human bocavirus; human metapneumovirus; single infection; comparison; lower respiratory infections</t>
  </si>
  <si>
    <t xml:space="preserve">EPIDEMIOLOGY</t>
  </si>
  <si>
    <t xml:space="preserve">ObjectiveWe compared the clinical data of hospitalized children with lower respiratory tract infections caused by human bocavirus (HBoV) and human metapneumovirus (hMPV). MethodsIn total, 8,430 children admitted to the Department of Respiration, Children's Hospital of Soochow University for lower respiratory tract infections from January 2017 to October 2021 were enrolled. Seven common respiratory viruses, including respiratory syncytial virus, influenza virus A, influenza virus B, parainfluenza virus (PIV) I, PIV II, PIV III, and adenovirus, were detected by direct immunofluorescence assay, whereas human rhinovirus and hMPV were detected by reverse transcription-polymerase chain reaction. Mycoplasma pneumoniae (MP) and HBoV were detected by real-time fluorescence quantitative polymerase chain reaction. Bacteria was detected in blood, nasopharyngeal secretion, bronchoalveolar lavage specimen or pleural fluid by culture. In parallel, MP was detected by enzyme-linked immunosorbent assay. In addition, we performed metagenomic testing of alveolar lavage fluid from some of the patients in our study. ResultsThe detection rate of HBoV was 6.62% (558/8430), whereas that of hMPV was 2.24% (189/ 8430). The detection rate of HBoV was significantly higher in children aged 1 to &lt;3 years than in other age groups, but there were no significant differences in positivity rates for hMPV by age. Before 2020, the incidence of HBoV infection peaked in summer and autumn, whereas that of hMPV peaked in spring. The epidemiology of both HBoV and hMPV has changed because of the impact of the novel coronavirus. Among the positive cases, the HBoV mixed infection rate was 51.6%, which was similar to that for hMPV mixed infection (44.4%). Comparing clinical characteristics between HBoV and hMPV single infection, the median age of children was 17 months in the HBoV group and 11 months in the hMPV group. In the HBoV single infection group, 31 patients (11.5%) had pulse oxygen saturation of less than 92% on admission, 47 (17.4%) had shortness of breath, and 26 (9.6%) presented with dyspnea. Meanwhile, four patients (3.8%) in the hMPV single infection group had pulse oxygen saturation of less than 92% on admission, eight (7.6%) displayed shortness of breath, and three (2.9%) had dyspnea. The proportion of patients requiring mechanical ventilation and the rate of PICU admission were higher in the HBoV group than in the hMPV group. ConclusionThe prevalence of HBoV infection is higher than that of hMPV infection in children with lower respiratory tract infection in Suzhou, and HBoV is more likely to cause severe infection than hMPV. Public health interventions for COVID-19 outbreaks have affected the prevalence of HBoV and hMPV.</t>
  </si>
  <si>
    <t xml:space="preserve">[Tang, Xifeng; Dai, Ge; Wang, Ting; Sun, Huiming; Jiang, Wujun; Chen, Zhengrong; Yan, Yongdong] Soochow Univ, Childrens Hosp, Dept Resp Med, Suzhou, Peoples R China; [Tang, Xifeng] First Peoples Hosp Yan Cheng, Dept Pediat, Yancheng, Peoples R China</t>
  </si>
  <si>
    <t xml:space="preserve">Soochow University - China</t>
  </si>
  <si>
    <t xml:space="preserve">Chen, ZR; Yan, YD (corresponding author), Soochow Univ, Childrens Hosp, Dept Resp Med, Suzhou, Peoples R China.</t>
  </si>
  <si>
    <t xml:space="preserve">chen_zheng_rong@163.com; yyd3060@126.com</t>
  </si>
  <si>
    <t xml:space="preserve">Chen, Zhengrong/LSL-5975-2024; Jiang, Wujun/AAC-3111-2019</t>
  </si>
  <si>
    <t xml:space="preserve">Jiang, Wujun/0000-0002-4113-9952</t>
  </si>
  <si>
    <t xml:space="preserve">National Natural Science Foundation of China [82271804]; Suzhou Livelihood Science and Technology Project [SKJY2021104]; Science and Technology Project of Suzhou City [KJXW2020025]</t>
  </si>
  <si>
    <t xml:space="preserve">National Natural Science Foundation of China(National Natural Science Foundation of China (NSFC)); Suzhou Livelihood Science and Technology Project; Science and Technology Project of Suzhou City</t>
  </si>
  <si>
    <t xml:space="preserve">This work was supported by grants from the following projects: The National Natural Science Foundation of China (Grant No. 82271804); Suzhou Livelihood Science and Technology Project (Grant NO. SKJY2021104); Science and Technology Project of Suzhou City (grant NO. KJXW2020025).</t>
  </si>
  <si>
    <t xml:space="preserve">10.3389/fped.2022.1074484</t>
  </si>
  <si>
    <t xml:space="preserve">8F7DW</t>
  </si>
  <si>
    <t xml:space="preserve">WOS:000919820500001</t>
  </si>
  <si>
    <t xml:space="preserve">García-García, ML; Calvo, C; Pozo, F; Villadangos, PA; Pérez-Breña, P; Casas, I</t>
  </si>
  <si>
    <t xml:space="preserve">Luz Garcia-Garcia, Maria; Calvo, Cristina; Pozo, Francisco; Ambrona Villadangos, Patricia; Perez-Brena, Pilar; Casas, Inmaculada</t>
  </si>
  <si>
    <t xml:space="preserve">Spectrum of Respiratory Viruses in Children With Community-acquired Pneumonia</t>
  </si>
  <si>
    <t xml:space="preserve">human bocavirus; human metapneumovirus; rhinovirus; respiratory syncytial virus; pneumonia</t>
  </si>
  <si>
    <t xml:space="preserve">INVASIVE PNEUMOCOCCAL DISEASE; HUMAN METAPNEUMOVIRUS; SYNCYTIAL-VIRUS; HUMAN BOCAVIRUS; VIRAL-INFECTIONS; HOSPITALIZED CHILDREN; TRACT DISEASE; INFANTS; SPAIN; BRONCHIOLITIS</t>
  </si>
  <si>
    <t xml:space="preserve">Background: Community-acquired pneumonia (CAP) remains a significant cause for childhood morbidity worldwide. We designed a study with the objective of describing the frequency of respiratory viruses, especially rhinovirus (RV), human metapneumovirus (HMPV) and human bocavirus (HBoV) in hospitalized children with CAP. Methods: A 6-year prospective study was conducted in children &lt;14 years old admitted to the Pediatrics Department of the Severo Ochoa Hospital (Spain) with CAP. We studied the frequency of 16 respiratory viruses in nasopharyngeal aspirates. Clinical characteristics of respiratory syncytial virus (RSV)-only infections were compared with those of RV, HMPV and HBoV single infections. Results: A viral pathogen was identified in 649 (73.4%) of 884 hospitalized children with CAP. Viral coinfections were detected in 30%. The rate of viral detection was significantly greater in infants &lt;18 months (83%) than in older children (67%) (P &lt; 0.001). The most frequently detected virus was RSV with 41.6% of positive patients followed by RV (26.2%), HBoV (17.8%), adenovirus (17.8%), HMPV (7%) and parainfluenza (7%). RSV was the most frequent virus in children &lt; 18 months, but RV was most common in the eldest group (P &lt; 0.001). After stratifying by age, we found some significant differences among RSV, RV, HBoV and HMPV-associated infections. Conclusions: The high prevalence of viral infections supports the role of respiratory viruses, mainly RSV, RV, HBoV and HMPV in CAP of children requiring hospitalization. These findings help us to understand the etiologic disease burden and to guide research and public health policy.</t>
  </si>
  <si>
    <t xml:space="preserve">[Luz Garcia-Garcia, Maria; Calvo, Cristina; Ambrona Villadangos, Patricia] Severo Ochoa Hosp, Dept Pediat, Madrid 28911, Spain; [Pozo, Francisco; Perez-Brena, Pilar; Casas, Inmaculada] Inst Salud Carlos III, Influenza &amp; Resp Viruses Lab, Natl Ctr Microbiol, Madrid, Spain</t>
  </si>
  <si>
    <t xml:space="preserve">García-García, ML (corresponding author), Severo Ochoa Hosp, Dept Pediat, Avda Orellana S-N, Madrid 28911, Spain.</t>
  </si>
  <si>
    <t xml:space="preserve">Casas, Inmaculada/H-9442-2015; Calvo, Cristina/T-5028-2018; Pozo, Francisco/F-4426-2012</t>
  </si>
  <si>
    <t xml:space="preserve">Calvo, Cristina/0000-0002-6503-3423; Pozo, Francisco/0000-0003-1828-733X; Casas, Inmaculada/0000-0003-1840-1198; GARCIA-GARCIA, MARIA LUZ/0000-0003-4906-4227</t>
  </si>
  <si>
    <t xml:space="preserve">Spanish National Health Institute (ISCIII, Fondo de Investigaciones Sanitarias); [98/0310]; [PI06/0532]</t>
  </si>
  <si>
    <t xml:space="preserve">Spanish National Health Institute (ISCIII, Fondo de Investigaciones Sanitarias)(Instituto de Salud Carlos III); ;</t>
  </si>
  <si>
    <t xml:space="preserve">Supported by Spanish National Health Institute (ISCIII, Fondo de Investigaciones Sanitarias). Grants 98/0310 and PI06/0532. The authors have no other funding or conflicts of interest to disclose.</t>
  </si>
  <si>
    <t xml:space="preserve">10.1097/INF.0b013e3182568c67</t>
  </si>
  <si>
    <t xml:space="preserve">976HR</t>
  </si>
  <si>
    <t xml:space="preserve">WOS:000306572500010</t>
  </si>
  <si>
    <t xml:space="preserve">Guido, M; Quattrocchi, M; Campa, A; Zizza, A; Grima, P; Romano, A; De Donno, A</t>
  </si>
  <si>
    <t xml:space="preserve">Guido, M.; Quattrocchi, M.; Campa, A.; Zizza, A.; Grima, P.; Romano, A.; De Donno, A.</t>
  </si>
  <si>
    <t xml:space="preserve">Human metapneumovirus and human bocavirus associated with respiratory infection in Apulian population</t>
  </si>
  <si>
    <t xml:space="preserve">Human bocavirus; Human metapneumovirus; Influenza virus; Infection; Surveillance</t>
  </si>
  <si>
    <t xml:space="preserve">TRACT INFECTIONS; SYNCYTIAL VIRUS; YOUNG-CHILDREN; HOSPITALIZED INFANTS; GENETIC-VARIABILITY; ITALIAN PATIENTS; P-GENE; DISEASE; PREVALENCE; SEVERITY</t>
  </si>
  <si>
    <t xml:space="preserve">We have studied the occurrence of hBoV, hMPV and InfA-B in an Apulian population with respiratory tract infections. During influenza season 2008-2009, 116 oropharingeal swabs were collected from patients affected by Influenza-Like Illness (ILI). The PCR products of hMPV M and HBoV NP-1 genes were sequenced. 78 out of 116 samples were positive for at least one respiratory virus; hBoV was detected in 53, hMPV in 22 and InfA-B in 41 out of 116 swabs. A high rate of hBoV infection in adult (18.9%) and elderly (26.4%) subjects was found. The co-infection rate was higher for hMPV (18/22 cases, 81.8%) compared to hBoV (26/53 cases, 49.1%), and InfA-B (25/41 cases, 61.0%). Co-infections were common in children. hBoV positive samples shared a high level of genetic similarity with the hBoV1 genotype, and hMPV positive samples clustered with A2 subgroup. Our results suggest that hBoV and hMPV play a role in ILI. (C) 2011 Elsevier Inc. All rights reserved.</t>
  </si>
  <si>
    <t xml:space="preserve">[Guido, M.; Quattrocchi, M.; Campa, A.; De Donno, A.] Univ Salento, Fac Sci, Hyg Lab, Dept Biol &amp; Environm Sci &amp; Technol, Lecce, Italy; [Zizza, A.] CNR, Inst Clin Physiol, Lecce, Italy; [Grima, P.] S Caterina Novella Hosp, HIV Ctr, Div Infect Dis, Lecce, Italy; [Romano, A.] Univ Salento, Fac Sci, Lab Gen Physiol, Dept Biol &amp; Environm Sci &amp; Technol, Lecce, Italy</t>
  </si>
  <si>
    <t xml:space="preserve">University of Salento; Consiglio Nazionale delle Ricerche (CNR); Istituto di Fisiologia Clinica (IFC-CNR); University of Salento</t>
  </si>
  <si>
    <t xml:space="preserve">Guido, M (corresponding author), Univ Salento, Fac Sci, Hyg Lab, Dept Biol &amp; Environm Sci &amp; Technol, Lecce, Italy.</t>
  </si>
  <si>
    <t xml:space="preserve">marcello.guido@unisalento.it</t>
  </si>
  <si>
    <t xml:space="preserve">de donno, antonella/AAO-7422-2020; Romano, Alessandro/AAN-8124-2020; Zizza, Antonella/ABB-6501-2020; Grima, Pierfrancesco/HDN-1703-2022</t>
  </si>
  <si>
    <t xml:space="preserve">Grima, Pierfrancesco/0000-0003-4397-9522; Romano, Alessandro/0000-0003-2766-8847; Zizza, Antonella/0000-0001-5598-8499; GUIDO, Marcello/0000-0002-7907-2677</t>
  </si>
  <si>
    <t xml:space="preserve">Ministry of Education, University and Research (MIUR) [2007LPAF42_004]</t>
  </si>
  <si>
    <t xml:space="preserve">Ministry of Education, University and Research (MIUR)(Ministry of Education, Universities and Research (MIUR))</t>
  </si>
  <si>
    <t xml:space="preserve">The study is supported by the Ministry of Education, University and Research (MIUR), Project of Relevant National Interest (PRIN) 2007: Prevalence and molecular characterization of new respiratory viruses (human metapneumovirus and human bocavirus) in Apulia n. 2007LPAF42_004 in the framework of Respiratory infections: molecular epidemiology, cross-protection and impact of the preventive strategies project.</t>
  </si>
  <si>
    <t xml:space="preserve">10.1016/j.virol.2011.04.016</t>
  </si>
  <si>
    <t xml:space="preserve">806PO</t>
  </si>
  <si>
    <t xml:space="preserve">WOS:000293820300008</t>
  </si>
  <si>
    <t xml:space="preserve">Subramoney, K; Hellferscee, O; Pretorius, M; Tempia, S; McMorrow, M; von Gottberg, A; Wolter, N; Variava, E; Dawood, H; Kahn, K; Walaza, S; Madhi, SA; Cohen, C; Venter, M; Treurnicht, FK</t>
  </si>
  <si>
    <t xml:space="preserve">Subramoney, Kathleen; Hellferscee, Orienka; Pretorius, Marthi; Tempia, Stefano; McMorrow, Meredith; von Gottberg, Anne; Wolter, Nicole; Variava, Ebrahim; Dawood, Halima; Kahn, Kathleen; Walaza, Sibongile; Madhi, Shabir A.; Cohen, Cheryl; Venter, Marietjie; Treurnicht, Florette K.</t>
  </si>
  <si>
    <t xml:space="preserve">Human bocavirus, coronavirus, and polyomavirus detected among patients hospitalised with severe acute respiratory illness in South Africa, 2012 to 2013</t>
  </si>
  <si>
    <t xml:space="preserve">HEALTH SCIENCE REPORTS</t>
  </si>
  <si>
    <t xml:space="preserve">human bocavirus; human coronavirus; human polyomavirus; respiratory tract infections; South Africa</t>
  </si>
  <si>
    <t xml:space="preserve">VIRUSES; KI; WU</t>
  </si>
  <si>
    <t xml:space="preserve">Aim To investigate the prevalence of human bocavirus (hBoV), human coronaviruses (hCoV), and human polyomaviruses (hPyV) among patients with severe acute respiratory illness (SARI), in South Africa. Methods The study included 680 South African patients randomly selected in age-defined categories from hospitalised patients enrolled through SARI surveillance during 2012 to 2013. A multiplex reverse transcription real-time polymerase chain reaction assay was used to detect hBoV; hCoV-OC43, hCoV-229E, hCoV-NL63, and hCoV-HKU1; and Washington University hPyV (hPyV-WU) and Karolinska Insitute hPyV (hPyV-KI), in respiratory tract specimens collected from patients with SARI. All respiratory specimens from patients enrolled through SARI surveillance were also routinely tested by multiplex reverse transcription real-time polymerase chain reaction for adenovirus; enterovirus; human metapneumovirus; parainfluenza virus types 1, 2, and 3; respiratory syncytial virus; rhinovirus; influenza A, and influenza B. Results Human bocavirus, hCoV-229E, and hPyV-WU were detected in 3.7% (25/680), 4.1% (28/680), and 4.1% (28/680) of respiratory specimens, respectively. All other viruses were detected in &lt;2% of specimens. Rhinovirus was the most common coinfecting virus (21.4%-60.7%), followed by adenovirus (21.4%-39.3%), and respiratory syncytial virus (10.7%-24.0%). Testing for the additional viruses (hBoV, hCoV, and hPyV) decreased the number of specimens that initially tested negative by 2.9% (20/680). Conclusion Inclusion of laboratory tests for hBoV, hCoV-229E, and hPyV-WU in differential testing algorithms for surveillance and diagnostics for suspected cases of respiratory illness of unknown cause may improve our understanding of the etiology of SARI, especially in a country like South Africa with a high number of immune compromised persons.</t>
  </si>
  <si>
    <t xml:space="preserve">[Subramoney, Kathleen; Hellferscee, Orienka; Pretorius, Marthi; Tempia, Stefano; von Gottberg, Anne; Wolter, Nicole; Walaza, Sibongile; Cohen, Cheryl; Venter, Marietjie; Treurnicht, Florette K.] Ctr Resp Dis &amp; Meningitis, Natl Inst Communicable Dis, Natl Hlth Lab Serv, Johannesburg, South Africa; [Hellferscee, Orienka; von Gottberg, Anne; Wolter, Nicole; Variava, Ebrahim] Univ Witwatersrand, Fac Hlth Sci, Sch Pathol, Johannesburg, South Africa; [Pretorius, Marthi] Novartis Pharma AG, Tech Res &amp; Dev, Basel, Switzerland; [Tempia, Stefano; McMorrow, Meredith] Ctr Dis Control &amp; Prevent, Influenza Div, Atlanta, GA USA; [Tempia, Stefano; McMorrow, Meredith] Ctr Dis Control &amp; Prevent, Influenza Program, Pretoria, South Africa; [Variava, Ebrahim] Klerksdorp Tshepong Hosp Complex, Dept Med, Klerksdorp, South Africa; [Variava, Ebrahim] Univ Witwatersrand, Perinatal HIV Res Unit, Johannesburg, South Africa; [Dawood, Halima] Pietermaritzburg Metropolitan Hosp, Dept Med, Pietermaritzburg, South Africa; [Dawood, Halima] Univ KwaZulu Natal, Dept Med, Pietermaritzburg, South Africa; [Madhi, Shabir A.] Univ Witwatersrand, Med Res Council, Resp &amp; Meningeal Pathogens Res Unit, Johannesburg, South Africa; [Madhi, Shabir A.] Univ Witwatersrand, Dept Sci &amp; Technol, Natl Res Fdn Vaccine Preventable Dis, Johannesburg, South Africa; [Kahn, Kathleen; Walaza, Sibongile; Cohen, Cheryl] Univ Witwatersrand, Fac Hlth Sci, Sch Publ Hlth, Johannesburg, South Africa; [Venter, Marietjie] Univ Pretoria, Ctr Viral Zoonoses, Dept Med Virol, Emerging Arbo &amp; Resp Virus Program, Pretoria, South Africa</t>
  </si>
  <si>
    <t xml:space="preserve">National Institute for Communicable Diseases (NICD); National Health Laboratory Service; University of Witwatersrand; Novartis; Centers for Disease Control &amp; Prevention - USA; University of Witwatersrand; University of Kwazulu Natal; South African Medical Research Council; University of Witwatersrand; University of Witwatersrand; National Research Foundation - South Africa; University of Witwatersrand; University of Pretoria</t>
  </si>
  <si>
    <t xml:space="preserve">Treurnicht, FK (corresponding author), Natl Inst Communicable Dis, Ctr Resp Dis &amp; Meningitis, Private Bag X4, ZA-2131 Johannesburg, Gauteng, South Africa.</t>
  </si>
  <si>
    <t xml:space="preserve">florettet@nicd.ac.za</t>
  </si>
  <si>
    <t xml:space="preserve">Hellferscee, Orienka/AAN-6202-2020; McMorrow, Meredith/M-1274-2019; Dawood, Halima/AAF-6045-2020; Walaza, Sibongile/HKP-0810-2023; Variava, Ebrahim/AAO-5717-2020; Venter, Marietjie/P-9604-2016; Cohen, Cheryl/HKV-1000-2023</t>
  </si>
  <si>
    <t xml:space="preserve">Venter, Marietjie/0000-0003-2696-824X; Walaza, Sibongile/0000-0001-7588-2480; Variava, Ebrahim/0000-0003-2888-789X; Cohen, Cheryl/0000-0003-0376-2302; Kahn, Kathleen/0000-0003-3339-3931; Tempia, Stefano/0000-0003-4395-347X; Madhi, Shabir/0000-0002-7629-0636; McMorrow, Meredith/0000-0001-6363-4033; von Gottberg, Anne/0000-0002-0243-7455; TREURNICHT, FLORETTE KATHLEEN/0000-0002-0853-8011; Wolter, Nicole/0000-0002-9526-0133; subramoney, kathleen/0000-0001-6037-9890</t>
  </si>
  <si>
    <t xml:space="preserve">National Institute for Communicable Diseases of the National Health Laboratory Service; US Centers for Disease Control and Prevention [5U51IP000155]</t>
  </si>
  <si>
    <t xml:space="preserve">National Institute for Communicable Diseases of the National Health Laboratory Service; US Centers for Disease Control and Prevention(United States Department of Health &amp; Human ServicesCenters for Disease Control &amp; Prevention - USA)</t>
  </si>
  <si>
    <t xml:space="preserve">National Institute for Communicable Diseases of the National Health Laboratory Service and the US Centers for Disease Control and Prevention, Grant/Award Number: 5U51IP000155</t>
  </si>
  <si>
    <t xml:space="preserve">2398-8835</t>
  </si>
  <si>
    <t xml:space="preserve">HEALTH SCI REP-US</t>
  </si>
  <si>
    <t xml:space="preserve">Health Sci. Rep.</t>
  </si>
  <si>
    <t xml:space="preserve">e59</t>
  </si>
  <si>
    <t xml:space="preserve">10.1002/hsr2.59</t>
  </si>
  <si>
    <t xml:space="preserve">Public, Environmental &amp; Occupational Health; Medicine, General &amp; Internal</t>
  </si>
  <si>
    <t xml:space="preserve">Public, Environmental &amp; Occupational Health; General &amp; Internal Medicine</t>
  </si>
  <si>
    <t xml:space="preserve">UT1FI</t>
  </si>
  <si>
    <t xml:space="preserve">WOS:000697868800005</t>
  </si>
  <si>
    <t xml:space="preserve">Jacques, J; Moret, H; Renois, F; Lévêque, N; Motte, J; Andréoletti, L</t>
  </si>
  <si>
    <t xml:space="preserve">Jacques, Jerome; Moret, Helene; Renois, Fanny; Leveque, Nicolas; Motte, Jacques; Andreoletti, Laurent</t>
  </si>
  <si>
    <t xml:space="preserve">Human Bocavirus quantitative DNA detection in French children hospitalized for acute bronchiolitis</t>
  </si>
  <si>
    <t xml:space="preserve">Human Bocavirus; Bronchiolitis; Respiratory viral infections</t>
  </si>
  <si>
    <t xml:space="preserve">RESPIRATORY SYNCYTIAL VIRUS; HUMAN METAPNEUMOVIRUS; DISEASE SEVERITY; RNA SEQUENCES; TRACT; INFECTION; INFANTS; PCR; ASSOCIATION</t>
  </si>
  <si>
    <t xml:space="preserve">Background: Human Bocavirus (HBoV) is a newly discovered parvovirus whose role as a causative agent of respiratory disease remains unclear. Study design: We investigated the presence of HBoV by quantitative PCR in the nasopharyngeal samples of 192 French children consecutively hospitalized for acute bronchiolitis. Other common respiratory viruses were detected using immunofluorescence assays, cell culture detection, or RT-PCR assays. Results: HBoV was detected in 24 (12.5%) of 192 study children. In 14/192 cases (7%) HBoV was the sole isolate and in 10/192 (5%) it was part of a mixed viral infection. HBoV was the third most common pathogen detected after respiratory syncytial virus (45/192; 23%) and rhinovirus (24/192; 12%). It occurred more often in infants aged 1-12 months (P = 0.002). Median levels of HBoV DNA genome in respiratory samples were significantly higher in patients with single HBoV infection than in patients with mixed respiratory viral infection with HBoV (4 x 10(8) copies/ml vs. 2 x 10(3) copies/ml, P &lt; 0.001). Conclusions: Our data suggest that HBoV at a high viral load could be an etiologic agent of respiratory tract disease, whereas the exact role of HBoV at a low viral load, as etiological cause or as pathophysiological co-factor of respiratory diseases, remains to be determined. (C) 2008 Elsevier B.V. All rights reserved.</t>
  </si>
  <si>
    <t xml:space="preserve">[Jacques, Jerome; Renois, Fanny; Leveque, Nicolas; Andreoletti, Laurent] Ctr Hosp Univ Reims, Virol Lab, Reims, France; [Jacques, Jerome; Renois, Fanny; Leveque, Nicolas; Andreoletti, Laurent] Fac Med Reims, EA, Reims, France; [Jacques, Jerome; Renois, Fanny; Leveque, Nicolas; Andreoletti, Laurent] Fac Med Reims, Avenir Inserm Inflammat &amp; Immunite Epithelium Res, IFR 53, Reims, France; [Moret, Helene] Ctr Hosp Univ Reims, Hop Maison Blanche, Reims, France; [Motte, Jacques] INSERM, U666, Reims, France; [Motte, Jacques] Serv Pediat A, Reims, France</t>
  </si>
  <si>
    <t xml:space="preserve">CHU de Reims; Universite de Reims Champagne-Ardenne; Universite de Reims Champagne-Ardenne; Universite de Reims Champagne-Ardenne; Institut National de la Sante et de la Recherche Medicale (Inserm); CHU de Reims; Universite de Reims Champagne-Ardenne; Institut National de la Sante et de la Recherche Medicale (Inserm)</t>
  </si>
  <si>
    <t xml:space="preserve">Andréoletti, L (corresponding author), Hop Robert Debre, Lab Virol Med &amp; Mol, Microbiol Serv, Ave Gen Koenig, F-51092 Reims, France.</t>
  </si>
  <si>
    <t xml:space="preserve">RENOIS, FANNY/B-7992-2015; Andreoletti, Laurent/AAQ-2756-2020</t>
  </si>
  <si>
    <t xml:space="preserve">RENOIS, FANNY/0000-0003-3441-7608; ANDREOLETTI, LAURENT/0000-0002-7440-8880; Leveque, Nicolas/0000-0001-6991-2532</t>
  </si>
  <si>
    <t xml:space="preserve">Medical University and School of Medicine of Reims, France [EA-3798]</t>
  </si>
  <si>
    <t xml:space="preserve">Medical University and School of Medicine of Reims, France</t>
  </si>
  <si>
    <t xml:space="preserve">This work was supported in part by grant for Clinical and Virological research (EA-3798: DAT/PPCIDH) from the Medical University and School of Medicine of Reims, France.</t>
  </si>
  <si>
    <t xml:space="preserve">10.1016/j.jcv.2008.05.010</t>
  </si>
  <si>
    <t xml:space="preserve">360QF</t>
  </si>
  <si>
    <t xml:space="preserve">WOS:000260071700002</t>
  </si>
  <si>
    <t xml:space="preserve">Christensen, A; Nordbo, SA; Krokstad, S; Rognlien, AGW; Dollner, H</t>
  </si>
  <si>
    <t xml:space="preserve">Christensen, Andreas; Nordbo, Svein Arne; Krokstad, Sidsel; Rognlien, Anne Gro Wesenberg; Dollner, Henrik</t>
  </si>
  <si>
    <t xml:space="preserve">Human bocavirus commonly involved in multiple viral airway infections</t>
  </si>
  <si>
    <t xml:space="preserve">human bocavirus; airway; infection; multiple; children</t>
  </si>
  <si>
    <t xml:space="preserve">EPIDEMIOLOGIC PROFILE; CHILDREN</t>
  </si>
  <si>
    <t xml:space="preserve">Background: Human bocavirus (HBoV) was recently discovered in children with acute respiratory tract infections. We have included a PCR for HBoV in a study on airway infections in children. Objectives: To study the occurrence of HBoV in Norwegian children, and to evaluate the results of a semiquantitive PCR. Study design: During a 4-month period in the winter season 2006/2007 we collected nasopharyngeal aspirations from children who were admitted to the Department of Pediatrics. All samples were examined for 17 agents with real-time PCR. Results: HBoV was detected in 45 of 376 samples (12%). The occurrence of HBoV was stable during the study period. Multiple viral infections were present in 78% of the samples (42% double, 20% triple and 16% quadruple infections). RS-virus, enterovirus and human metapneumovirus were the most frequently codetected agents. In samples with a high load for HBoV, significantly fewer multiple infections were found than in the other samples. Eighty-eight percent of the 25 patients with HBoV recorded as either the only or the dominating virus, and 50% of the other patients, had lower respiratory tract infection. The difference was statistically significant. Conclusions: HBoV was frequently detected in nasopharyngeal aspirates from children with airway infections in Norway. Multiple viral infections were common among the HBoV-infected patients. Semiquantitive PCR results may be useful for interpretation of clinical relevance. (C) 2007 Elsevier B.V All rights reserved.</t>
  </si>
  <si>
    <t xml:space="preserve">[Christensen, Andreas; Nordbo, Svein Arne; Krokstad, Sidsel] Univ Trondheim, St Olavs Hosp, Dept Med Microbiol, N-7034 Trondheim, Norway; [Rognlien, Anne Gro Wesenberg; Dollner, Henrik] Univ Trondheim, St Olavs Hosp, Dept Pediat, N-7034 Trondheim, Norway; [Nordbo, Svein Arne; Dollner, Henrik] Norwegian Univ Sci &amp; Technol, Inst Lab Med Childrens &amp; Womens Hlth, N-7491 Trondheim, Norway</t>
  </si>
  <si>
    <t xml:space="preserve">Norwegian University of Science &amp; Technology (NTNU); Norwegian University of Science &amp; Technology (NTNU); Norwegian University of Science &amp; Technology (NTNU)</t>
  </si>
  <si>
    <t xml:space="preserve">Christensen, A (corresponding author), Univ Trondheim, St Olavs Hosp, Dept Med Microbiol, N-7034 Trondheim, Norway.</t>
  </si>
  <si>
    <t xml:space="preserve">andreas.christensen@stolav.no</t>
  </si>
  <si>
    <t xml:space="preserve">10.1016/j.jcv.2007.10.025</t>
  </si>
  <si>
    <t xml:space="preserve">WOS:000253060400008</t>
  </si>
  <si>
    <t xml:space="preserve">Naghipour, M; Cuevas, LE; Bakhshinejad, T; Dove, W; Hart, CA</t>
  </si>
  <si>
    <t xml:space="preserve">Naghipour, Mohanunadreza; Cuevas, Luis E.; Bakhshinejad, Tahereh; Dove, Winifred; Hart, C. Anthony</t>
  </si>
  <si>
    <t xml:space="preserve">Human bocavirus in Iranian children with acute respiratory infections</t>
  </si>
  <si>
    <t xml:space="preserve">human bocavirus; acute respiratory infections; children; clinical presentation; Iran</t>
  </si>
  <si>
    <t xml:space="preserve">TRACT INFECTIONS; SYNCYTIAL-VIRUS; HUMAN METAPNEUMOVIRUS; ASSOCIATION</t>
  </si>
  <si>
    <t xml:space="preserve">Human bocavirus (HBoV), a virus discovered in Sweden in 2005, has been associated with acute respiratory infections in young children and subsequent reports suggest that HBoV may have a worldwide distribution. This report describes the frequency and clinical presentation of HBoV in 261 Iranian children &lt; 5 years old with acute respiratory infections attending two regional hospitals in Rasht, Iran in the winter of 2003-2004. Polymerase chain reaction (PCR) and reverse transcription PCR (RT-PCR) were used for the detection of HBoV and other respiratory pathogens from nasopharyngeal specimens. HBoV was detected in 21 (8%) children. Fifteen (12%) of these children were identified among 122 children admitted to hospital and 6 (4%) from 139 outpatients (P &lt; 0.05). Most children with HBoV were less than 2 years (17/21, 81%) and 7 (33%) were less than 1 year old. Although HBoV was identified in all ages it affected slightly older children than the respiratory syncytial virus (RSV). The frequency of the virus varied from 1 (3%) in 40 patients in November to 7 (12%) of 61 in February, suggesting a seasonal pattern during the autumn and early winter. Seven children had co-infections with RSV, adenovirus or influenza A. The relatively high frequency of HBoV suggests that the virus may contribute substantially to acute respiratory infections in children.</t>
  </si>
  <si>
    <t xml:space="preserve">Univ Liverpool Liverpool Sch Trop Med, Liverpool L3 5QA, Merseyside, England; Guilan Univ Med Sci, Rasht, Iran; Univ Liverpool, Dept Med Microbiol, Liverpool L69 3BX, Merseyside, England</t>
  </si>
  <si>
    <t xml:space="preserve">Liverpool School of Tropical Medicine; Guilan University of Medical Sciences; University of Liverpool</t>
  </si>
  <si>
    <t xml:space="preserve">Cuevas, LE (corresponding author), Univ Liverpool Liverpool Sch Trop Med, Pembroke Pl, Liverpool L3 5QA, Merseyside, England.</t>
  </si>
  <si>
    <t xml:space="preserve">lcuevas@liv.ac.uk</t>
  </si>
  <si>
    <t xml:space="preserve">Naghipour, Mohammadreza/X-4861-2018; Cuevas, Luis E./I-3697-2015</t>
  </si>
  <si>
    <t xml:space="preserve">Naghipour, Mohammadreza/0000-0002-9142-1147; Cuevas, Luis E./0000-0002-6581-0587</t>
  </si>
  <si>
    <t xml:space="preserve">10.1002/jmv.20815</t>
  </si>
  <si>
    <t xml:space="preserve">154CP</t>
  </si>
  <si>
    <t xml:space="preserve">WOS:000245484700010</t>
  </si>
  <si>
    <t xml:space="preserve">Boggio, GA; Moreno, LB; Salbetti, MBC; Villarreal, V; Torres, E; Adamo, MP</t>
  </si>
  <si>
    <t xml:space="preserve">Boggio, Gabriel Amilcar; Moreno, Laura Beatriz; Salbetti, Maria Belen Colazo; Villarreal, Veronica; Torres, Erica; Adamo, Maria Pilar</t>
  </si>
  <si>
    <t xml:space="preserve">Clinical characterization of human bocavirus 1 infection in infants hospitalized in an intensive care unit for severe acute respiratory tract disease</t>
  </si>
  <si>
    <t xml:space="preserve">Human bocavirus 1; Respiratory syncytial virus; Pediatric Acute Respiratory Distress Syndrome; Severe acute respiratory infection; Differential diagnosis</t>
  </si>
  <si>
    <t xml:space="preserve">HIGH VIRAL LOAD; DISTRESS-SYNDROME; HUMAN METAPNEUMOVIRUS; YOUNG-CHILDREN; CIRCULATION; ARGENTINA; MORTALITY; VIRUSES</t>
  </si>
  <si>
    <t xml:space="preserve">Acute respiratory infections represent the leading cause of morbimortality in children and viruses are the main etiological agents. Here we describe the clinical characteristics and evolution of infants admitted to intensive care unit with severe acute respiratory infection (SARI) due to Human Bocavirus 1 mono-infection in patients without previous comorbidity. We also compared them with respiratory syncytial virus (RSV) cases. Of 141 cases included (age 5.43 +/- 4.54 months, 52% male), 80% had at least 1 virus detected. RSV was the most frequent in the series (71.6%) followed by HBoV1 (28%). Five cases of HBoV1 mono-detection were identified. Pediatric acute respiratory distress syndrome was present in both groups, HBoV1 and RSV. The clinical presentation and evolution of HBoV1 single infection was similar to RSV. HBoV1 should be included among the agents investigated in cases of SARI in infants. (c) 2023 Elsevier Inc. All rights reserved.</t>
  </si>
  <si>
    <t xml:space="preserve">[Boggio, Gabriel Amilcar] Univ Nacl Cordoba, Hosp Nuestra Senora Misericordia, Fac Ciencias Med, Catedra Clin Pediat, Cordoba, Argentina; [Moreno, Laura Beatriz] Univ Nacl Cordoba, Fac Ciencias Med, Catedra Clin Pediat, Cordoba, Argentina; [Salbetti, Maria Belen Colazo; Adamo, Maria Pilar] Univ Nacl Cordoba, Fac Ciencias Med, Inst Virol Dr J M Vanella, Cordoba, Argentina; [Villarreal, Veronica; Torres, Erica] Hosp Ninos Santisima Trin Cordoba, Cordoba, Argentina</t>
  </si>
  <si>
    <t xml:space="preserve">National University of Cordoba; National University of Cordoba; National University of Cordoba</t>
  </si>
  <si>
    <t xml:space="preserve">Boggio, GA (corresponding author), Univ Nacl Cordoba, Hosp Nuestra Senora Misericordia, Fac Ciencias Med, Catedra Clin Pediat, Cordoba, Argentina.</t>
  </si>
  <si>
    <t xml:space="preserve">gboggio@unc.edu.ar</t>
  </si>
  <si>
    <t xml:space="preserve">Boggio, Gabriel/KHZ-0822-2024</t>
  </si>
  <si>
    <t xml:space="preserve">Boggio, Gabriel Amilcar/0000-0001-9290-9307</t>
  </si>
  <si>
    <t xml:space="preserve">National Agency for the Promotion of Research, Technological Development and Innovation of the Ministry of Science, Technology and Innovation of Argentina</t>
  </si>
  <si>
    <t xml:space="preserve">The authors want to thank our colleagues at the ICU of the Hospital de Ninos de la Santisima Trinidad of Cordoba, Argentina, as well as the respiratory physiotherapist, nurses, and laboratory staff, for their support throughout the research process. We also thank the National Agency for the Promotion of Research, Technological Development and Innovation of the Ministry of Science, Technology and Innovation of Argentina for financing and supporting our research project.</t>
  </si>
  <si>
    <t xml:space="preserve">10.1016/j.diagmicrobio.2023.116050</t>
  </si>
  <si>
    <t xml:space="preserve">Q7CK7</t>
  </si>
  <si>
    <t xml:space="preserve">WOS:001059063700001</t>
  </si>
  <si>
    <t xml:space="preserve">Kim, D; Lee, EY; Eom, J; Kim, Y; Kwon, SH; Oh, HS; Huh, K; Park, H; Jung, JH; Park, B</t>
  </si>
  <si>
    <t xml:space="preserve">Kim, Donghoon; Lee, Eunyoung; Eom, Jungmin; Kim, Yeonjae; Kwon, Soon-Hwan; Oh, Hong Sang; Huh, Kyungmin; Park, Hyesook; Jung, Jaehun; Park, Bomi</t>
  </si>
  <si>
    <t xml:space="preserve">Prevalence and Burden of Human Adenovirus-Associated Acute Respiratory Illness in the Republic of Korea Military, 2013 to 2022</t>
  </si>
  <si>
    <t xml:space="preserve">Human Adenovirus; Korean Military; Acute Respiratory Diseases; Prevalence; Disease Burden</t>
  </si>
  <si>
    <t xml:space="preserve">OUTBREAK; INFECTION; DISEASE; CAMP; B55</t>
  </si>
  <si>
    <t xml:space="preserve">Background: Human adenovirus (HAdV) is a common cause of acute respiratory disease (ARD) and has raised significant concerns within the Korean military. Here, we conducted a comprehensive epidemiological analysis of HAdV-associated ARD by evaluating its prevalence, clinical outcomes, and prognosis. Methods: We reviewed data from multiple sources, including the New Defense Medical Information System, Defense Medical Statistical Information System, Ministry of National Defense, Army Headquarters, Navy Headquarters, Air Force Headquarters, and Armed Forces Medical Command. We analyzed data of patients who underwent polymerase chain reaction (PCR) testing for respiratory viruses between January 2013 and July 2022 in all 14 Korean military hospitals. The analysis included the PCR test results, demographic characteristics, health care utilization, and prognosis including types of treatments received, incidence of pneumonia, and mortality. Results: Among the 23,830 individuals who underwent PCR testing at Korean military hospitals, 44.78% (10,670 cases) tested positive for respiratory viruses. Across all military types and ranks, HAdV was the most prevalent virus, with a total of 8,580 patients diagnosed, among HAdV, influenza virus, human metapneumovirus, human parainfluenza virus, and human respiratory syncytial virus. HAdV-infected patients exhibited higher rates of healthcare use compared to non-HAdV-infected patients, including a greater number of emergency visits (1.04 vs. 1.02) and outpatient visits (1.31 vs. 1.27), longer hospitalizations (8.14 days vs. 6.84 days), and extended stays in the intensive care unit (5.21 days vs. 3.38 days). Furthermore, HAdV-infected patients had a higher proportion of pneumonia cases (65.79% vs. 48.33%) and greater likelihood of receiving advanced treatments such as high flow nasal cannula or continuous renal replacement therapy. Conclusion: Our findings indicate that HAdV posed a significant public health concern within the Korean military prior to the coronavirus disease 2019 (COVID-19) pandemic. Given the potential for a resurgence of outbreaks in the post-COVID-19 era, proactive measures, such as education, environmental improvements, and the development of HAdV vaccines, are crucial for effectively preventing future outbreaks.</t>
  </si>
  <si>
    <t xml:space="preserve">[Kim, Donghoon] Armed Forces Capital Hosp, Dept Internal Med, Div Crit Care Med, Seongnam, South Korea; [Lee, Eunyoung] Armed Forces Capital Hosp, Dept Lab Med, Seongnam, South Korea; [Eom, Jungmin; Kim, Yeonjae; Park, Bomi] Chung Ang Univ, Coll Med, Dept Prevent Med, Seoul, South Korea; [Kwon, Soon-Hwan] Armed Forces Med Res Inst, Dept Infect Dis Res, Daejeon, South Korea; [Oh, Hong Sang] Hallym Univ, Sacred Heart Hosp, Dept Internal Med, Div Infect Dis, Anyang, South Korea; [Huh, Kyungmin] Sungkyunkwan Univ, Sch Med, Samsung Med Ctr, Div Infect Dis, Seoul, South Korea; [Park, Hyesook] Ewha Womans Univ, Coll Med, Dept Prevent Med, Grad Program Syst Hlth Sci &amp; Engn, Seoul, South Korea; [Jung, Jaehun] Gachon Univ, Coll Med, Dept Prevent Med, Incheon, South Korea; [Jung, Jaehun] Gachon Univ, Coll Med, Artificial Intelligence &amp; Big Data Convergence Ctr, Gil Med Ctr, Incheon, South Korea; [Park, Bomi] Chung Ang Univ, Coll Med, Dept Prevent Med, 84 Heukseok, Seoul 06974, South Korea</t>
  </si>
  <si>
    <t xml:space="preserve">Chung Ang University; Chung Ang University Hospital; Hallym University; Sungkyunkwan University (SKKU); Samsung Medical Center; Ewha Womans University; Gachon University; Gachon University; Chung Ang University; Chung Ang University Hospital</t>
  </si>
  <si>
    <t xml:space="preserve">Park, B (corresponding author), Chung Ang Univ, Coll Med, Dept Prevent Med, 84 Heukseok, Seoul 06974, South Korea.</t>
  </si>
  <si>
    <t xml:space="preserve">bpark@cau.ac.kr</t>
  </si>
  <si>
    <t xml:space="preserve">JUNG, JAEHUN/KHE-5939-2024; Oh, Hong Sang/GZL-1065-2022; Huh, Kyungmin/N-3405-2018</t>
  </si>
  <si>
    <t xml:space="preserve">Kwon, Soon-Hwan/0000-0002-1582-303X; Huh, Kyungmin/0000-0002-5140-3964; Park, Hyesook/0000-0002-9359-6522; Jung, Jaehun/0000-0002-4856-3668; Park, Bomi/0000-0001-5834-9975; Lee, Eunyoung/0009-0008-2711-1452; Oh, Hong Sang/0000-0002-4535-6305; Kim, Donghoon/0000-0003-2300-7267; Eom, Jungmin/0000-0002-2995-7506</t>
  </si>
  <si>
    <t xml:space="preserve">JAN 29</t>
  </si>
  <si>
    <t xml:space="preserve">e38</t>
  </si>
  <si>
    <t xml:space="preserve">10.3346/jkms.2024.39.e38eISSN1598-6357pISSN1011-8934</t>
  </si>
  <si>
    <t xml:space="preserve">GZ4E2</t>
  </si>
  <si>
    <t xml:space="preserve">WOS:001156480400001</t>
  </si>
  <si>
    <t xml:space="preserve">Malhotra, B; Swamy, MA; Reddy, PVJ; Gupta, ML</t>
  </si>
  <si>
    <t xml:space="preserve">Malhotra, Bharti; Swamy, M. Anjaneya; Reddy, P. V. Janardhan; Gupta, M. L.</t>
  </si>
  <si>
    <t xml:space="preserve">Viruses causing severe acute respiratory infections (SARI) in children ≤5 years of age at a tertiary care hospital in Rajasthan, India</t>
  </si>
  <si>
    <t xml:space="preserve">INDIAN JOURNAL OF MEDICAL RESEARCH</t>
  </si>
  <si>
    <t xml:space="preserve">Human adenovirus; human metapneumovirus; human rhinovirus; influenza A (H1N1)pdm09; multiplex reverse transcription; polymerase chain reaction; respiratory syncytial virus; severe acute respiratory infection</t>
  </si>
  <si>
    <t xml:space="preserve">REAL-TIME PCR; VIRAL-INFECTIONS; HUMAN METAPNEUMOVIRUS; PEDIATRIC-PATIENTS; DISEASE SEVERITY; TRACT INFECTIONS; SYNCYTIAL-VIRUS; RAPID DETECTION; MULTIPLEX PCR; EPIDEMIOLOGY</t>
  </si>
  <si>
    <t xml:space="preserve">Background objectives: Severe acute respiratory infection (SARI) is one of the leading causes of death among children worldwide. As different respiratory viruses exhibit similar symptoms, simultaneous detection of these viruses in a single reaction mixture can save time and cost. The present study was done in a tertiary care childrens hospital for rapid identification of viruses causing SARI among children less than or equal to five years of age using multiplex real-time reverse transcription polymerase chain reaction (RT-PCR) kit. Methods: A total of 155 throat swabs were collected from equal number of children suspected to have SARI and processed for extraction of nucleic acids using automated extraction system. Multiplex real-time RT-PCR was done to identify the viruses in the samples. Results: The overall positivity for viruses in the study was found to be 72.9 per cent with a co-infection rate of 19.5 per cent. Human metapneumovirus (HMPV) was the predominant virus detected in 25.7 per cent children followed by influenza A (H1N1)pdm09, human rhinovirus (HRV) and human adenovirus (HAdV) in 19.9, 11.0 and 8.8 per cent children, respectively. The HMPV was at its peak in February 2013, HAdV showed two peaks in March-April, 2012 and November 2012-March 2013 while HRV was detected throughout the year. Interpretation conclusions: Multiplex real-time PCR helped in rapid identification of viruses. Seventeen viruses were detected in SARI cases with overall positivity of 72.9 per cent. HMPV was the most predominant virus. However, for better clinico-virological correlation, studies are required with complete work up of all the aetiological agents, clinical profile of patients and treatment outcome.</t>
  </si>
  <si>
    <t xml:space="preserve">[Malhotra, Bharti; Swamy, M. Anjaneya; Reddy, P. V. Janardhan] Sawai Man Singh Med Coll, Viral Diagnost &amp; Res Lab, Adv Basic Sci &amp; Clin Res Lab, Dept Microbiol &amp; Immunol, Jaipur 302004, Rajasthan, India; [Gupta, M. L.] JK Lone Hosp, Dept Pediat Med, Jaipur, Rajasthan, India</t>
  </si>
  <si>
    <t xml:space="preserve">Malhotra, B (corresponding author), Sawai Man Singh Med Coll, Viral Diagnost &amp; Res Lab, Adv Basic Sci &amp; Clin Res Lab, Dept Microbiol &amp; Immunol, Jaipur 302004, Rajasthan, India.</t>
  </si>
  <si>
    <t xml:space="preserve">gupta, moe/HPC-9611-2023</t>
  </si>
  <si>
    <t xml:space="preserve">The authors acknowledge the Indian Council of Medical Research (ICMR), New Delhi, for financial support to the first author (BM) through ICMR Grade-I Virology Laboratory and Senior Research Fellowship to the second author (MAS).</t>
  </si>
  <si>
    <t xml:space="preserve">0971-5916</t>
  </si>
  <si>
    <t xml:space="preserve">INDIAN J MED RES</t>
  </si>
  <si>
    <t xml:space="preserve">Indian J. Med. Res.</t>
  </si>
  <si>
    <t xml:space="preserve">10.4103/ijmr.IJMR_22_15</t>
  </si>
  <si>
    <t xml:space="preserve">Immunology; Medicine, General &amp; Internal; Medicine, Research &amp; Experimental</t>
  </si>
  <si>
    <t xml:space="preserve">Immunology; General &amp; Internal Medicine; Research &amp; Experimental Medicine</t>
  </si>
  <si>
    <t xml:space="preserve">EU3GE</t>
  </si>
  <si>
    <t xml:space="preserve">WOS:000400915900013</t>
  </si>
  <si>
    <t xml:space="preserve">Tortora, P; Guimaraes, MAAM; de Souza, LM; Santos, IA; Varella, RB; March, MDP; da Cunha, AJLA; Sant'Anna, CC</t>
  </si>
  <si>
    <t xml:space="preserve">Tortora, Prendin; Arpon Marandino Guimaraes, Maria Angelica; de Souza, Leandro Magalhaes; Santos, Isabela Arruda; Varella, Rafael Brandao; March, Maria de Fatima Pombo; da Cunha, Antonio Jose Ledo Alves; Sant'Anna, Clemax Couto</t>
  </si>
  <si>
    <t xml:space="preserve">Adenovirus species C detection in children under four years of age with acute bronchiolitis or recurrent wheezing</t>
  </si>
  <si>
    <t xml:space="preserve">Human Adenovirus species C; Real time PCR; Acute bronchiolitis; Recurrent wheezing; Children under 48 months of age</t>
  </si>
  <si>
    <t xml:space="preserve">RESPIRATORY SYNCYTIAL VIRUS; INTENSIVE-CARE-UNIT; HUMAN METAPNEUMOVIRUS; INFECTION; INFANTS; QUANTITATION; PREVALENCE; DISEASE; PCR</t>
  </si>
  <si>
    <t xml:space="preserve">Background: Lower respiratory tract viral infection is an important cause of morbidity and mortality in children worldwide. Among viral etiological agents the human Adenovirus (AdV) has been associated to mild or severe respiratory tract infection. Objective: To detect the presence of human Adenovirus (AdV) in children with acute bronchiolitis or recurrent wheezing, describing their clinical features and determining Adenovirus species and AdV association to Respiratory Syncytial Virus (RSV), Human Metapneumovirus (MPV) and Parainfluenza virus (PIV). Study design: A total of 155 children bellow 48 months of age with acute bronchiolitis or recurrent wheezing were investigated for the presence of AdV, RSV, MPV and PIV in nasopharyngeal aspirate, by real-time PCR method. Results: AdV, predominantly of species C, has been detected as the unique pathogen (AdVi) or in association to other pathogens (AdVa.), in 391155 samples. Crackles were more frequent in children with AdV. RSVi was detected predominantly in children with acute bronchiolitis while AdVi and AdVa were detected more frequently in patients with recurrent wheezing. Conclusion: A small outbreak of AdV species C was observed in 2012 and 2013. AdV was detected more frequently in children with recurrent wheezing while RSVi was more frequent in infants with acute bronchiolitis. Published by Elsevier B.V.</t>
  </si>
  <si>
    <t xml:space="preserve">[Tortora, Prendin; Arpon Marandino Guimaraes, Maria Angelica; de Souza, Leandro Magalhaes; Santos, Isabela Arruda; da Cunha, Antonio Jose Ledo Alves; Sant'Anna, Clemax Couto] Univ Fed Rio de Janeiro, Inst Puericultura &amp; Pediat Martagao Gesteira, Lab Nucleo Apoio Crianca &amp; Ao Adolescente, BR-21910590 Rio de Janeiro, RJ, Brazil; [Tortora, Prendin; Arpon Marandino Guimaraes, Maria Angelica; de Souza, Leandro Magalhaes] Univ Fed Rio de Janeiro, Virol Lab, Hosp Univ Clementino Fraga Filho, BR-21910590 Rio de Janeiro, RJ, Brazil; [Arpon Marandino Guimaraes, Maria Angelica] Univ Fed Rio de Janeiro, Fac Med, Dept Prevent Med, BR-21910590 Rio de Janeiro, RJ, Brazil; [Santos, Isabela Arruda; March, Maria de Fatima Pombo; da Cunha, Antonio Jose Ledo Alves; Sant'Anna, Clemax Couto] Univ Fed Rio de Janeiro, Fac Med, Dept Pediat, BR-21910590 Rio de Janeiro, RJ, Brazil; [Arpon Marandino Guimaraes, Maria Angelica; Varella, Rafael Brandao; Sant'Anna, Clemax Couto] Univ Fed Rio de Janeiro, Fac Med, Programa Posgrad Doencas Infecciosas, BR-21910590 Rio de Janeiro, RJ, Brazil; [Varella, Rafael Brandao] Univ Fed Fluminense, Inst Biomed, Dept Microbiol, Niteroi, RJ, Brazil</t>
  </si>
  <si>
    <t xml:space="preserve">Universidade Federal do Rio de Janeiro; Universidade Federal do Rio de Janeiro; Universidade Federal do Rio de Janeiro; Universidade Federal do Rio de Janeiro; Universidade Federal do Rio de Janeiro; Universidade Federal Fluminense</t>
  </si>
  <si>
    <t xml:space="preserve">Guimaraes, MAAM (corresponding author), Univ Fed Rio de Janeiro, Virol Lab, Hosp Univ Clementino Fraga Filho, Serv Patol Clin, 3 Andar,Rua Prof Rodolpho Paulo Roco Cidade Univ, BR-21910590 Rio de Janeiro, RJ, Brazil.</t>
  </si>
  <si>
    <t xml:space="preserve">maamguimaraes@globo.com</t>
  </si>
  <si>
    <t xml:space="preserve">Guimarães, Maria Angelica/J-2970-2016; SANT´ANNA, CLEMAX/H-7923-2019; Varella, Rafael/Y-1194-2019; da Cunha, Antonio/O-5914-2019; Sant Anna, Clemax/A-6021-2015</t>
  </si>
  <si>
    <t xml:space="preserve">Guimaraes, Maria Angelica A M/0000-0002-5364-7831; Sant Anna, Clemax/0000-0001-8732-8065; Magalhaes de Souza, Leandro/0000-0003-3006-1464</t>
  </si>
  <si>
    <t xml:space="preserve">Research Foundation of the State of Rio de Janeiro (FAPERJ)</t>
  </si>
  <si>
    <t xml:space="preserve">Research Foundation of the State of Rio de Janeiro (FAPERJ)(Fundacao Carlos Chagas Filho de Amparo a Pesquisa do Estado do Rio De Janeiro (FAPERJ))</t>
  </si>
  <si>
    <t xml:space="preserve">This work was supported by the Research Foundation of the State of Rio de Janeiro (FAPERJ).</t>
  </si>
  <si>
    <t xml:space="preserve">10.1016/j.jcv.2015.11.007</t>
  </si>
  <si>
    <t xml:space="preserve">CZ9AR</t>
  </si>
  <si>
    <t xml:space="preserve">WOS:000367390700015</t>
  </si>
  <si>
    <t xml:space="preserve">Soto, JA; Gálvez, NMS; Rivera, CA; Palavecino, CE; Céspedes, PF; Rey-Jurado, E; Bueno, SM; Kalergis, AM</t>
  </si>
  <si>
    <t xml:space="preserve">Soto, Jorge A.; Galvez, Nicolas M. S.; Rivera, Claudia A.; Palavecino, Christian E.; Cespedes, Pablo F.; Rey-Jurado, Emma; Bueno, Susan M.; Kalergis, Alexis M.</t>
  </si>
  <si>
    <t xml:space="preserve">Recombinant BCG Vaccines Reduce Pneumovirus-Caused Airway Pathology by Inducing Protective Humoral Immunity</t>
  </si>
  <si>
    <t xml:space="preserve">hRSV; hMPV; antibodies; humoral immune response; vaccine; respiratory virus; BCG</t>
  </si>
  <si>
    <t xml:space="preserve">RESPIRATORY SYNCYTIAL VIRUS; T-CELL IMMUNITY; HUMAN METAPNEUMOVIRUS; LINKED RECOGNITION; INFECTION; ANTIBODY; NUCLEOPROTEIN; IMMUNIZATION; VACCINATION; INDUCTION</t>
  </si>
  <si>
    <t xml:space="preserve">The Human Respiratory Syncytial Virus (hRSV) and the Human Metapneumovirus (hMPV) are two pneumoviruses that are leading agents causing acute lower respiratory tract infections (ALRTIs) affecting young infants, the elderly, and immunocompromised patients worldwide. Since these pathogens were first discovered, many approaches for the licensing of safe and effective vaccines have been explored being unsuccessful to date. We have previously described that immunization with recombinant strains of Mycobacterium bovis Bacillus Calmette-Guerin (rBCG) expressing the hRSV nucleoprotein (rBCG-N) or the hMPV phosphoprotein (rBCG-P) induced immune protection against each respective virus. These vaccines efficiently promoted viral clearance without significant lung damage, mainly through the induction of a T helper 1 cellular immunity. Here we show that upon viral challenge, rBCG-immunized mice developed a protective humoral immunity, characterized by production of antibodies specific for most hRSV and hMPV proteins. Further, isotype switching from IgG1 to IgG2a was observed in mice immunized with rBCG vaccines and correlated with an increased viral clearance, as compared to unimmunized animals. Finally, sera obtained from animals immunized with rBCG vaccines and infected with their respective viruses exhibited virus neutralizing capacity and protected naive mice from viral replication and pulmonary disease. These results support the notion that the use of rBCG strains could be considered as an effective vaccination approach against other respiratory viruses with similar biology as hRSV and hMPV.</t>
  </si>
  <si>
    <t xml:space="preserve">[Soto, Jorge A.; Galvez, Nicolas M. S.; Rivera, Claudia A.; Palavecino, Christian E.; Cespedes, Pablo F.; Rey-Jurado, Emma; Bueno, Susan M.; Kalergis, Alexis M.] Pontificia Univ Catolica Chile, Millennium Inst Immunol &amp; Immunotherapy, Dept Genet Mol Microbiol, Santiago, Chile; [Kalergis, Alexis M.] Pontificia Univ Catolica Chile, Fac Med, Dept Endocrinol, Santiago, Chile</t>
  </si>
  <si>
    <t xml:space="preserve">Pontificia Universidad Catolica de Chile; Pontificia Universidad Catolica de Chile</t>
  </si>
  <si>
    <t xml:space="preserve">Kalergis, AM (corresponding author), Pontificia Univ Catolica Chile, Millennium Inst Immunol &amp; Immunotherapy, Dept Genet Mol Microbiol, Santiago, Chile.;Kalergis, AM (corresponding author), Pontificia Univ Catolica Chile, Fac Med, Dept Endocrinol, Santiago, Chile.</t>
  </si>
  <si>
    <t xml:space="preserve">Palavecino, Christian/AAT-7437-2020; Soto, Jorge/CAH-4118-2022; Bueno, Susan/KSL-5357-2024; Gálvez, Nicolás/AFQ-6129-2022</t>
  </si>
  <si>
    <t xml:space="preserve">Palavecino, Christian/0000-0002-4581-7327; Kalergis, Alexis/0000-0001-7622-5263; Galvez Arriagada, Nicolas Marcelo Salvador/0000-0003-2046-7882; Soto, Jorge/0000-0003-0335-9759; Bueno, Susan M./0000-0002-7551-8088; Rivera, Claudia A/0000-0002-9926-1475</t>
  </si>
  <si>
    <t xml:space="preserve">COMISION NACIONAL DE INVESTIGACION CIENTIFICA Y TECNOLOGICA (CONICYT) [21151028]; CONICYT/FONDECYT POSTDOCTORADO [3160249]; Millennium Institute on Immunology and Immunotherapy [P09/016-F]; Fondecyt [1150862]</t>
  </si>
  <si>
    <t xml:space="preserve">COMISION NACIONAL DE INVESTIGACION CIENTIFICA Y TECNOLOGICA (CONICYT)(Comision Nacional de Investigacion Cientifica y Tecnologica (CONICYT)); CONICYT/FONDECYT POSTDOCTORADO(Comision Nacional de Investigacion Cientifica y Tecnologica (CONICYT)CONICYT FONDECYT); Millennium Institute on Immunology and Immunotherapy; Fondecyt(Comision Nacional de Investigacion Cientifica y Tecnologica (CONICYT)CONICYT FONDECYT)</t>
  </si>
  <si>
    <t xml:space="preserve">This work was supported by COMISION NACIONAL DE INVESTIGACION CIENTIFICA Y TECNOLOGICA (CONICYT) No 21151028, CONICYT/FONDECYT POSTDOCTORADO No. 3160249, the Millennium Institute on Immunology and Immunotherapy (P09/016-F) and Fondecyt grant No 1150862.</t>
  </si>
  <si>
    <t xml:space="preserve">10.3389/fimmu.2018.02875</t>
  </si>
  <si>
    <t xml:space="preserve">HD4VP</t>
  </si>
  <si>
    <t xml:space="preserve">WOS:000452526700001</t>
  </si>
  <si>
    <t xml:space="preserve">Souza, C; Zanchin, NIT; Krieger, MA; Ludwig, A</t>
  </si>
  <si>
    <t xml:space="preserve">Souza, Claudemir; Zanchin, Nilson I. T.; Krieger, Marco A.; Ludwig, Adriana</t>
  </si>
  <si>
    <t xml:space="preserve">In silico analysis of amino acid variation in human respiratory syncytial virus: insights into immunodiagnostics</t>
  </si>
  <si>
    <t xml:space="preserve">HRSV; genetic variability; diagnostics; antigen detection</t>
  </si>
  <si>
    <t xml:space="preserve">NUCLEOCAPSID PROTEINS; PARAMYXOVIRUSES; GLYCOPROTEIN; ATTACHMENT; DIAGNOSIS; EPITOPES; SEQUENCE; ANTIBODY; CHINA</t>
  </si>
  <si>
    <t xml:space="preserve">BACKGROUND The highly contagious nature of human respiratory syncytial virus ( HRSV) and the gravity of its infection in newborns and vulnerable adults pose a serious public health problem. Thus, a rapid and sensitive diagnostic test for viral detection that can be implemented upon the first appearance of symptoms is needed. The genetic variation of the virus must be considered for immunodiagnostic purposes. OBJECTIVES To analyse HRSV genetic variation and discuss the possible consequences for capture immunoassay development. METHODS We performed a wide analysis of N, F and G protein variation based on the HRSV sequences currently available in the GenBank database. We also evaluated their similarity with homologous proteins from other viruses. FINDINGS The mean amino acid divergences for the N, F, and G proteins between HRSV-A and HRSV-B were determined to be approximately 4%, 10% and 47%, respectively. Due to their high conservation, assays based on the full-length N and F proteins may not distinguish HRSV from human metapneumovirus and other Mononegavirales viruses, and the full-length G protein would most likely produce false negative results due to its high divergence. MAIN CONCLUSIONS We have identified specific regions in each of these three proteins that have higher potential to produce specific results, and their combined utilisation should be considered for immunoassay development.</t>
  </si>
  <si>
    <t xml:space="preserve">[Souza, Claudemir; Zanchin, Nilson I. T.; Krieger, Marco A.; Ludwig, Adriana] Fundacao Oswaldo Cruz, FIOCRUZ, Inst Carlos Chagas, Lab Genom Func, Curitiba, Parana, Brazil; [Souza, Claudemir; Krieger, Marco A.; Ludwig, Adriana] Inst Biol Mol Parana, Curitiba, Parana, Brazil; [Souza, Claudemir; Zanchin, Nilson I. T.; Krieger, Marco A.] Univ Fed Parana, Programa Posgrad Biol Celular &amp; Mol, Curitiba, Parana, Brazil</t>
  </si>
  <si>
    <t xml:space="preserve">Fundacao Oswaldo Cruz; Universidade Federal do Parana</t>
  </si>
  <si>
    <t xml:space="preserve">Ludwig, A (corresponding author), Fundacao Oswaldo Cruz, FIOCRUZ, Inst Carlos Chagas, Lab Genom Func, Curitiba, Parana, Brazil.;Ludwig, A (corresponding author), Inst Biol Mol Parana, Curitiba, Parana, Brazil.</t>
  </si>
  <si>
    <t xml:space="preserve">adriana.ludwig@pq.cnpq.br</t>
  </si>
  <si>
    <t xml:space="preserve">Krieger, Marco/AAE-8611-2020; Zanchin, Nilson/AAB-4907-2019; Ludwig, Adriana/I-7820-2012</t>
  </si>
  <si>
    <t xml:space="preserve">Zanchin, Nilson/0000-0002-1153-0694; Ludwig, Adriana/0000-0001-9170-7156; Krieger, Marco Aurelio/0000-0003-0030-3952</t>
  </si>
  <si>
    <t xml:space="preserve">CAPES; CNPq</t>
  </si>
  <si>
    <t xml:space="preserve">CAPES(Coordenacao de Aperfeicoamento de Pessoal de Nivel Superior (CAPES)); CNPq(Conselho Nacional de Desenvolvimento Cientifico e Tecnologico (CNPQ))</t>
  </si>
  <si>
    <t xml:space="preserve">CS was supported by fellowships from CAPES and CNPq. AL was supported by a fellowship from CNPq. NITZ and MAK are research fellows from CNPq.</t>
  </si>
  <si>
    <t xml:space="preserve">10.1590/0074-02760170013</t>
  </si>
  <si>
    <t xml:space="preserve">FH9ZB</t>
  </si>
  <si>
    <t xml:space="preserve">WOS:000411575900002</t>
  </si>
  <si>
    <t xml:space="preserve">Gagliardi, TB; Paula, FE; Iwamoto, MA; Proença-Modena, JL; Santos, AE; Camara, AA; Cervi, MC; Cintra, OAL; Arruda, E</t>
  </si>
  <si>
    <t xml:space="preserve">Gagliardi, T. B.; Paula, F. E.; Iwamoto, M. A.; Proenca-Modena, J. L.; Santos, A. E.; Camara, A. A.; Cervi, M. C.; Cintra, O. A. L.; Arruda, E.</t>
  </si>
  <si>
    <t xml:space="preserve">Concurrent detection of other respiratory viruses in children shedding viable human respiratory syncytial virus</t>
  </si>
  <si>
    <t xml:space="preserve">HRSV infection; HRSV isolation; respiratory virus co-infection; severity of HRSV disease</t>
  </si>
  <si>
    <t xml:space="preserve">HUMAN METAPNEUMOVIRUS INFECTIONS; REVERSE TRANSCRIPTION-PCR; HOSPITALIZED INFANTS; CIRCULATION PATTERNS; GROUP-A; SEVERITY; BRONCHIOLITIS; DISEASE; IDENTIFICATION; COINFECTIONS</t>
  </si>
  <si>
    <t xml:space="preserve">Human respiratory syncytial virus (HRSV) is an important cause of respiratory disease. The majority of studies addressing the importance of virus co-infections to the HRSV-disease have been based on the detection of HRSV by RT-PCR, which may not distinguish current replication from prolonged shedding of remnant RNA from previous HRSV infections. To assess whether co-detections of other common respiratory viruses are associated with increased severity of HRSV illnesses from patients who were shedding viable-HRSV, nasopharyngeal aspirates from children younger than 5 years who sought medical care for respiratory infections in RibeirAo Preto (Brazil) were tested for HRSV by immunofluorescence, RT-PCR and virus isolation in cell culture. All samples with viable-HRSV were tested further by PCR for other respiratory viruses. HRSV-disease severity was assessed by a clinical score scale. A total of 266 samples from 247 children were collected and 111 (42%) were HRSV-positive. HRSV was isolated from 70 (63%), and 52 (74%) of them were positive for at least one additional virus. HRSV-positive diseases were more severe than HRSV-negative ones, but there was no difference in disease severity between patients with viable-HRSV and those HRSV-positives by RT-PCR. Co-detection of other viruses did not correlate with increased disease severity. HRSV isolation in cell culture does not seem to be superior to RT-PCR to distinguish infections associated with HRSV replication in studies of clinical impact of HRSV. A high rate of co-detection of other respiratory viruses was found in samples with viable-HRSV, but this was not associated with more severe HRSV infection. (c) 2013 Wiley Periodicals, Inc.</t>
  </si>
  <si>
    <t xml:space="preserve">[Gagliardi, T. B.; Paula, F. E.; Iwamoto, M. A.; Proenca-Modena, J. L.; Santos, A. E.; Arruda, E.] Univ Sao Paulo, Sch Med, Dept Cell &amp; Mol Biol, BR-14049 Ribeirao Preto, SP, Brazil; [Camara, A. A.] Santa Lydia Hosp, Ribeirao Preto, SP, Brazil; [Cervi, M. C.; Cintra, O. A. L.] Univ Sao Paulo, Sch Med, Dept Pediat, BR-14049 Ribeirao Preto, SP, Brazil</t>
  </si>
  <si>
    <t xml:space="preserve">Arruda, E (corresponding author), Univ Sao Paulo, Sch Med, Dept Cell Biol, BR-14049900 Ribeirao Preto, SP, Brazil.</t>
  </si>
  <si>
    <t xml:space="preserve">eaneto@fmrp.usp.br</t>
  </si>
  <si>
    <t xml:space="preserve">Proenca-Modena, Jose Luiz/C-8231-2014; Gagliardi, Talita/G-4379-2016; Arruda, Eurico/E-4101-2012; Gagliardi, Talita/A-5396-2010; Cervi, Maria Celia/P-2567-2016</t>
  </si>
  <si>
    <t xml:space="preserve">Gagliardi, Talita/0000-0003-4953-7135; Proenca-Modena, Jose Luiz/0000-0002-4996-3153; Cervi, Maria Celia/0000-0002-6563-6507</t>
  </si>
  <si>
    <t xml:space="preserve">Sao Paulo State Research Foundation (FAPESP); Brazilian National Research Council (CNPq)</t>
  </si>
  <si>
    <t xml:space="preserve">Sao Paulo State Research Foundation (FAPESP)(Fundacao de Amparo a Pesquisa do Estado de Sao Paulo (FAPESP)); Brazilian National Research Council (CNPq)(Conselho Nacional de Desenvolvimento Cientifico e Tecnologico (CNPQ))</t>
  </si>
  <si>
    <t xml:space="preserve">Grant sponsor: Sao Paulo State Research Foundation (FAPESP); Grant sponsor: Brazilian National Research Council (CNPq).</t>
  </si>
  <si>
    <t xml:space="preserve">10.1002/jmv.23648</t>
  </si>
  <si>
    <t xml:space="preserve">199JZ</t>
  </si>
  <si>
    <t xml:space="preserve">WOS:000322992100021</t>
  </si>
  <si>
    <t xml:space="preserve">McDonald, JU; Kaforou, M; Clare, S; Hale, C; Ivanova, M; Huntley, D; Dorner, M; Wright, VJ; Levin, M; Martinon-Torres, F; Herberg, JA; Tregoning, JS</t>
  </si>
  <si>
    <t xml:space="preserve">McDonald, Jacqueline U.; Kaforou, Myrsini; Clare, Simon; Hale, Christine; Ivanova, Maria; Huntley, Derek; Dorner, Marcus; Wright, Victoria J.; Levin, Michael; Martinon-Torres, Federico; Herberg, Jethro A.; Tregoning, John S.</t>
  </si>
  <si>
    <t xml:space="preserve">A Simple Screening Approach To Prioritize Genes for Functional Analysis Identifies a Role for Interferon Regulatory Factor 7 in the Control of Respiratory Syncytial Virus Disease</t>
  </si>
  <si>
    <t xml:space="preserve">MSYSTEMS</t>
  </si>
  <si>
    <t xml:space="preserve">host response; immunity; respiratory syncytial virus; viral immunity</t>
  </si>
  <si>
    <t xml:space="preserve">HUMAN METAPNEUMOVIRUS INFECTION; GENOME-WIDE; ALVEOLAR MACROPHAGES; SYSTEMS IMMUNOLOGY; INFLUENZA-VIRUS; CELLS; LUNG; EXPRESSION; REVEALS; SPECIFICITY</t>
  </si>
  <si>
    <t xml:space="preserve">Greater understanding of the functions of host gene products in response to infection is required. While many of these genes enable pathogen clearance, some enhance pathogen growth or contribute to disease symptoms. Many studies have profiled transcriptomic and proteomic responses to infection, generating large data sets, but selecting targets for further study is challenging. Here we propose a novel data-mining approach combining multiple heterogeneous data sets to prioritize genes for further study by using respiratory syncytial virus (RSV) infection as a model pathogen with a significant health care impact. The assumption was that the more frequently a gene is detected across multiple studies, the more important its role is. A literature search was performed to find data sets of genes and proteins that change after RSV infection. The data sets were standardized, collated into a single database, and then panned to determine which genes occurred in multiple data sets, generating a candidate gene list. This candidate gene list was validated by using both a clinical cohort and in vitro screening. We identified several genes that were frequently expressed following RSV infection with no assigned function in RSV control, including IFI27, IFIT3, IFI44L, GBP1, OAS3, IFI44, and IRF7. Drilling down into the function of these genes, we demonstrate a role in disease for the gene for interferon regulatory factor 7, which was highly ranked on the list, but not for IRF1, which was not. Thus, we have developed and validated an approach for collating published data sets into a manageable list of candidates, identifying novel targets for future analysis. IMPORTANCE Making the most of big data is one of the core challenges of current biology. There is a large array of heterogeneous data sets of host gene responses to infection, but these data sets do not inform us about gene function and require specialized skill sets and training for their utilization. Here we describe an approach that combines and simplifies these data sets, distilling this information into a single list of genes commonly upregulated in response to infection with RSV as a model pathogen. Many of the genes on the list have unknown functions in RSV disease. We validated the gene list with new clinical, in vitro, and in vivo data. This approach allows the rapid selection of genes of interest for further, more-detailed studies, thus reducing time and costs. Furthermore, the approach is simple to use and widely applicable to a range of diseases.</t>
  </si>
  <si>
    <t xml:space="preserve">[McDonald, Jacqueline U.; Ivanova, Maria; Tregoning, John S.] Imperial Coll London, Virol Sect, Mucosal Infect &amp; Immun Grp, St Marys Campus, London, England; [Kaforou, Myrsini; Wright, Victoria J.; Levin, Michael; Herberg, Jethro A.] Imperial Coll London, Paediat Sect, St Marys Campus, London, England; [Clare, Simon; Hale, Christine] Wellcome Trust Sanger Inst, Wellcome Trust Genome Campus, Hinxton, England; [Huntley, Derek] Imperial Coll London, Imperial Coll Ctr Integrat Syst Biol &amp; Bioinforma, London, England; [Dorner, Marcus] Imperial Coll London, Virol Sect, Mol Virol, St Marys Campus, London, England; [Martinon-Torres, Federico] Hosp Clin Univ Santiago, Dept Paediat, Santiago De Compostela, Spain</t>
  </si>
  <si>
    <t xml:space="preserve">Imperial College London; Imperial College London; Wellcome Trust Sanger Institute; Imperial College London; Imperial College London; Complexo Hospitalario Universitario de Santiago de Compostela</t>
  </si>
  <si>
    <t xml:space="preserve">Tregoning, JS (corresponding author), Imperial Coll London, Virol Sect, Mucosal Infect &amp; Immun Grp, St Marys Campus, London, England.</t>
  </si>
  <si>
    <t xml:space="preserve">john.tregoning@imperial.ac.uk</t>
  </si>
  <si>
    <t xml:space="preserve">Kaforou, Myrsini/L-2470-2019; Faust, Saul/J-9779-2014; Martinon-Torres, Federico/E-4982-2016</t>
  </si>
  <si>
    <t xml:space="preserve">Herberg, Jethro/0000-0001-6941-6491; Ivanova, Maria/0000-0003-1063-3576; Tregoning, John/0000-0001-8093-8741; Levin, Michael/0000-0003-2767-6919; Kaforou, Myrsini/0000-0001-9878-4007; Wright, Victoria/0000-0001-7826-1516; Martinon-Torres, Federico/0000-0002-9023-581X</t>
  </si>
  <si>
    <t xml:space="preserve">Innovative Medicines Initiative Joint Undertaking [115308]; European Union; EFPIA; Wellcome Trust [098051]</t>
  </si>
  <si>
    <t xml:space="preserve">Innovative Medicines Initiative Joint Undertaking; European Union(European Union (EU)); EFPIA; Wellcome Trust(Wellcome Trust)</t>
  </si>
  <si>
    <t xml:space="preserve">The research leading to these results has received support from the Innovative Medicines Initiative Joint Undertaking under grant agreement 115308 (BioVacSafe), resources of which are composed of a financial contribution from the European Union Seventh Framework Programme (FP7/2007-2013) and an EFPIA members' in-kind contribution. Animal resources are funded by the Wellcome Trust via grant 098051.</t>
  </si>
  <si>
    <t xml:space="preserve">2379-5077</t>
  </si>
  <si>
    <t xml:space="preserve">mSystems</t>
  </si>
  <si>
    <t xml:space="preserve">e00051-16</t>
  </si>
  <si>
    <t xml:space="preserve">10.1128/mSystems.00051-16</t>
  </si>
  <si>
    <t xml:space="preserve">FE4NV</t>
  </si>
  <si>
    <t xml:space="preserve">WOS:000408191500017</t>
  </si>
  <si>
    <t xml:space="preserve">Feng, QY; Feng, ZH; Yang, B; Han, SB; Wen, SH; Lu, G; Jin, R; Xu, BP; Zhang, HL; Xu, LL; Xie, ZD</t>
  </si>
  <si>
    <t xml:space="preserve">Feng, Qianyu; Feng, Ziheng; Yang, Bin; Han, Shuaibing; Wen, Shunhang; Lu, Gen; Jin, Rong; Xu, Baoping; Zhang, Hailin; Xu, Lili; Xie, Zhengde</t>
  </si>
  <si>
    <t xml:space="preserve">Metatranscriptome Reveals Specific Immune and Microbial Signatures of Respiratory Syncytial Virus Infection in Children</t>
  </si>
  <si>
    <t xml:space="preserve">host expression profile; respiratory syncytial virus; adenovirus; influenza virus; human metapneumovirus; microbiome</t>
  </si>
  <si>
    <t xml:space="preserve">PLASMACYTOID DENDRITIC CELLS; PERIPHERAL-BLOOD; T-CELLS; MUCOSAL SITES; GENE; BRONCHIOLITIS; ACTIVATION; MEDIATE; TRANSCRIPTOME; RECRUITMENT</t>
  </si>
  <si>
    <t xml:space="preserve">In the present study, we demonstrated the comparative results of host responses to infection between RSV and other three common respiratory viruses for children. The comparative transcriptomics study of respiratory samples sheds light on the significant roles that ciliary organization and assembly, extracellular matrix changes, and microbial interactions play in the pathogenesis of RSV infection. Respiratory syncytial virus (RSV) is the most frequently detected respiratory virus in children with acute lower respiratory tract infection. Previous transcriptome studies have focused on systemic transcriptional profiles in blood and have not compared the expression of multiple viral transcriptomes. Here, we sought to compare transcriptome responses to infection with four common respiratory viruses for children (respiratory syncytial virus, adenovirus, influenza virus, and human metapneumovirus) in respiratory samples. Transcriptomic analysis showed that cilium organization and assembly were common pathways related to viral infection. Compared with other virus infections, collagen generation pathways were distinctively enriched in RSV infection. We identified two interferon-stimulated genes (ISGs), CXCL11 and IDO1, which were upregulated to a greater extent in the RSV group. In addition, a deconvolution algorithm was used to analyze the composition of immune cells in respiratory tract samples. The proportions of dendritic cells and neutrophils in the RSV group were significantly higher than those in the other virus groups. The RSV group exhibited a higher richness of Streptococcus than the other virus groups. The concordant and discordant responses mapped out here provide a window to explore the pathophysiology of the host response to RSV. Last, according to host-microbe network interference, RSV may disrupt respiratory microbial composition by changing the immune microenvironment.IMPORTANCE In the present study, we demonstrated the comparative results of host responses to infection between RSV and other three common respiratory viruses for children. The comparative transcriptomics study of respiratory samples sheds light on the significant roles that ciliary organization and assembly, extracellular matrix changes, and microbial interactions play in the pathogenesis of RSV infection. Additionally, it was demonstrated that the recruitment of neutrophils and dendritic cells (DCs) in the respiratory tract is more substantial in RSV infection than in other viral infections. Finally, we discovered that RSV infection dramatically increased the expression of two ISGs (CXCL11 and IDO1) and the abundance of Streptococcus.</t>
  </si>
  <si>
    <t xml:space="preserve">[Feng, Qianyu; Feng, Ziheng; Han, Shuaibing; Xu, Lili; Xie, Zhengde] Capital Med Univ, Natl Ctr Childrens Hlth, Beijing Childrens Hosp, Natl Clin Res Ctr Resp Dis,Beijing Pediat Res Inst, Beijing, Peoples R China; [Feng, Qianyu; Feng, Ziheng; Han, Shuaibing; Xu, Lili; Xie, Zhengde] Chinese Acad Med Sci, Res Unit Crit Infect Children, Beijing, Peoples R China; [Yang, Bin] Vis Med Ctr Infect Dis, Guangzhou, Guangdong, Peoples R China; [Wen, Shunhang; Zhang, Hailin] Wenzhou Med Univ, Affiliated Hosp 2, Dept Childrens Respirat Dis, Wenzhou, Zhejiang, Peoples R China; [Wen, Shunhang; Zhang, Hailin] Wenzhou Med Univ, Yuying Childrens Hosp, Wenzhou, Zhejiang, Peoples R China; [Lu, Gen; Jin, Rong] Guiyang Women &amp; Children Healthcare Hosp, Guiyang, Guizhou, Peoples R China; [Xu, Baoping] Capital Med Univ, Natl Clin Res Ctr Resp Dis, Natl Ctr Childrens Hlth, Beijing Childrens Hosp,Dept Resp Dis 1, Beijing, Peoples R China</t>
  </si>
  <si>
    <t xml:space="preserve">Capital Medical University; Chinese Academy of Medical Sciences - Peking Union Medical College; Wenzhou Medical University; Wenzhou Medical University; Capital Medical University</t>
  </si>
  <si>
    <t xml:space="preserve">Xu, LL; Xie, ZD (corresponding author), Capital Med Univ, Natl Ctr Childrens Hlth, Beijing Childrens Hosp, Natl Clin Res Ctr Resp Dis,Beijing Pediat Res Inst, Beijing, Peoples R China.;Xu, LL; Xie, ZD (corresponding author), Chinese Acad Med Sci, Res Unit Crit Infect Children, Beijing, Peoples R China.;Zhang, HL (corresponding author), Wenzhou Med Univ, Affiliated Hosp 2, Dept Childrens Respirat Dis, Wenzhou, Zhejiang, Peoples R China.;Zhang, HL (corresponding author), Wenzhou Med Univ, Yuying Childrens Hosp, Wenzhou, Zhejiang, Peoples R China.</t>
  </si>
  <si>
    <t xml:space="preserve">zhlwz97@hotmail.com; justinexull26@163.com; xiezhengde@bch.com.cn</t>
  </si>
  <si>
    <t xml:space="preserve">Feng, Qianyu/ABG-8515-2020</t>
  </si>
  <si>
    <t xml:space="preserve">Xu, Lili/0000-0002-6146-5130</t>
  </si>
  <si>
    <t xml:space="preserve">National Natural Science Foundation of China [82172275, 82072266]; Beijing Natural Science Foundation [L222076]; CAMS Innovation Fund for Medical Sciences (CIFMS) [2019-I2M-5-026]</t>
  </si>
  <si>
    <t xml:space="preserve">National Natural Science Foundation of China(National Natural Science Foundation of China (NSFC)); Beijing Natural Science Foundation(Beijing Natural Science Foundation); CAMS Innovation Fund for Medical Sciences (CIFMS)</t>
  </si>
  <si>
    <t xml:space="preserve">This work was funded by the National Natural Science Foundation of China (82172275, 82072266), Beijing Natural Science Foundation (L222076), and the CAMS Innovation Fund for Medical Sciences (CIFMS, 2019-I2M-5-026). Q.F. and Z.F. performed the experiments and drafted the manuscript. B.Y. and S.H. performed the data analysis. H.Z., S.W., G.L., R.J., and B.X. collected and provided clinical specimens and information. L.X. and Z.X. participated in the study design and coordinated the drafting of the manuscript. All authors read and approved the final manuscript.</t>
  </si>
  <si>
    <t xml:space="preserve">APR 13</t>
  </si>
  <si>
    <t xml:space="preserve">10.1128/spectrum.04107-22</t>
  </si>
  <si>
    <t xml:space="preserve">F8AV3</t>
  </si>
  <si>
    <t xml:space="preserve">WOS:000942390500001</t>
  </si>
  <si>
    <t xml:space="preserve">Jevsnik, M; Ursic, T; Zigon, N; Lusa, L; Krivec, U; Petrovec, M</t>
  </si>
  <si>
    <t xml:space="preserve">Jevsnik, Monika; Ursic, Tina; Zigon, Nina; Lusa, Lara; Krivec, Uros; Petrovec, Miroslav</t>
  </si>
  <si>
    <t xml:space="preserve">Coronavirus infections in hospitalized pediatric patients with acute respiratory tract disease</t>
  </si>
  <si>
    <t xml:space="preserve">Hospitalized children; Human coronavirus; Respiratory viral infection</t>
  </si>
  <si>
    <t xml:space="preserve">POLYMERASE-CHAIN-REACTION; HUMAN METAPNEUMOVIRUS; MOLECULAR METHODS; CLINICAL-DISEASE; NL63 INFECTION; HONG-KONG; CHILDREN; VIRUSES; PCR; RHINOVIRUS</t>
  </si>
  <si>
    <t xml:space="preserve">Background: Acute viral respiratory infections are an important cause of morbidity and mortality in humans worldwide. The etiological backgrounds of these infections remain unconfirmed in most clinical cases. The aim of this study was to estimate the prevalence of human coronavirus infections in a series of children hospitalized with symptoms of acute respiratory tract disease in a one-year period in Slovenia. Methods: The 664 specimens from 592 children under six years of age hospitalized at the University Children's Hospital in Ljubljana were sent for the routine laboratory detection of respiratory viruses. Respiratory viruses were detected with a direct immunofluorescence assay and human coronaviruses were detected with a modified real-time RT-PCR. Results: HCoV RNA was detected in 40 (6%, 95% CI: 4.3%-8.1%) of 664 samples. Of these specimens, 21/40 (52.5%) were identified as species HKU1, 7/40 (17.5%) as OC43, 6/40 (15%) as 229E, and 6/40 (15%) as NL63. Infection with HCoV occurred as a coinfection with one or more other viruses in most samples (70%). Of the HCoV-positive children, 70.3% had lower respiratory tract infections. Conclusion: The results of our study show that HCoV are frequently detected human pathogens, often associated with other respiratory viruses and acute respiratory tract infections in hospitalized children. An association between age and the viral load was found. The highest viral load was detected in children approximately 10 months of age.</t>
  </si>
  <si>
    <t xml:space="preserve">[Jevsnik, Monika; Ursic, Tina; Zigon, Nina; Petrovec, Miroslav] Univ Ljubljana, Inst Microbiol &amp; Immunol, Fac Med, Ljubljana 1000, Slovenia; [Krivec, Uros] Univ Med Ctr Ljubljana, Univ Childrens Hosp, Ljubljana 1000, Slovenia; [Lusa, Lara] Univ Ljubljana, Fac Med, Inst Biostat &amp; Med Informat, Ljubljana 1104, Slovenia</t>
  </si>
  <si>
    <t xml:space="preserve">University of Ljubljana; University Medical Centre Ljubljana; University of Ljubljana</t>
  </si>
  <si>
    <t xml:space="preserve">Jevsnik, M (corresponding author), Univ Ljubljana, Inst Microbiol &amp; Immunol, Fac Med, Zaloska 4, Ljubljana 1000, Slovenia.</t>
  </si>
  <si>
    <t xml:space="preserve">monika.jevsnik@mf.uni-lj.si</t>
  </si>
  <si>
    <t xml:space="preserve">Krivec, Uroš/AAN-9106-2020; Lusa, Lara/C-6692-2015</t>
  </si>
  <si>
    <t xml:space="preserve">The authors declare that they have no competing interests. This study was supported by the Slovenian Research Agency (Research Program P3-0083) and institutional department funds.</t>
  </si>
  <si>
    <t xml:space="preserve">DEC 20</t>
  </si>
  <si>
    <t xml:space="preserve">10.1186/1471-2334-12-365</t>
  </si>
  <si>
    <t xml:space="preserve">078KA</t>
  </si>
  <si>
    <t xml:space="preserve">WOS:000314096100001</t>
  </si>
  <si>
    <t xml:space="preserve">Shehu, MT; Pascual, A; Kapinos, P; El Khoury, MY</t>
  </si>
  <si>
    <t xml:space="preserve">Shehu, Merita T.; Pascual, Arturo; Kapinos, Piotr; El Khoury, Marc Y.</t>
  </si>
  <si>
    <t xml:space="preserve">Mortality and Morbidity of Human Metapneumovirus Infection in the Pre-COVID-19 Era: The Value of the Charlson Comorbidity Index on Outcome Prediction</t>
  </si>
  <si>
    <t xml:space="preserve">hospitalization; morbidity and mortality; outcome evaluation; charlson comorbidity index; human metapneumovirus</t>
  </si>
  <si>
    <t xml:space="preserve">VALIDATION; CHILDREN; DISEASE; ADULTS</t>
  </si>
  <si>
    <t xml:space="preserve">Introduction: Human metapneumovirus (HMPV) is an important cause of seasonal respiratory tract infections, mainly in children and immunocompromised adults. The use of the Charlson Comorbidity Index (CCI) to predict outcomes in hospitalized patients has been validated in several settings. Objective: This study aims to describe the clinical characteristics of adult patients with HMPV infection and evaluate the value of the CCI in predicting outcomes in patients with acute HMPV infections requiring hospitalization. Method: This is a single -center case -series study of hospitalized patients with HMPV infection in 2017. Results: Twenty-two adult patients with a mean age of 65 years were reviewed. The mean CCI was 4.6 +/- 2.6. The overall mortality was 22%. An abnormal chest X-ray (CXR) was reported in 15 patients. CCI was not different between survivors and non -survivors. Non -survivors were more likely to have abnormal CXR and a higher fever at the time of diagnosis, required mechanical ventilation, or had other concomitant infections. Conclusion: The average CCI was 4.5, which was not significantly different between survivors and nonsurvivors. The mortality rate was elevated by 22% and was likely associated with admission to the ICU as well as the presence of another concomitant infection.</t>
  </si>
  <si>
    <t xml:space="preserve">[Shehu, Merita T.] New York Med Coll, Westchester Med Ctr, Internal Med, Valhalla, NY 10595 USA; [Pascual, Arturo; Kapinos, Piotr; El Khoury, Marc Y.] New York Med Coll, Westchester Med Ctr, Infect Dis, Valhalla, NY 10595 USA</t>
  </si>
  <si>
    <t xml:space="preserve">Westchester Medical Center; New York Medical College; Westchester Medical Center; New York Medical College</t>
  </si>
  <si>
    <t xml:space="preserve">El Khoury, MY (corresponding author), New York Med Coll, Westchester Med Ctr, Infect Dis, Valhalla, NY 10595 USA.</t>
  </si>
  <si>
    <t xml:space="preserve">marc.elkhoury@wmchealth.org</t>
  </si>
  <si>
    <t xml:space="preserve">e52321</t>
  </si>
  <si>
    <t xml:space="preserve">10.7759/cureus.52321</t>
  </si>
  <si>
    <t xml:space="preserve">GW1A9</t>
  </si>
  <si>
    <t xml:space="preserve">WOS:001155606700028</t>
  </si>
  <si>
    <t xml:space="preserve">Boås, H; Bekkevold, T; Havdal, LB; Kran, AMB; Rojahn, AE; Stordal, K; Debes, S; Dollner, H; Nordbo, SA; Barstad, B; Haarr, E; Fernández, LV; Nakstad, B; Leegaard, TM; Hungnes, O; Flem, E</t>
  </si>
  <si>
    <t xml:space="preserve">Boas, Hakon; Bekkevold, Terese; Havdal, Lise Beier; Kran, Anne-Marte Bakken; Rojahn, Astrid Elisabeth; Stordal, Ketil; Debes, Sara; Dollner, Henrik; Nordbo, Svein Arne; Barstad, Bjorn; Haarr, Elisebet; Fernandez, Liliana Vazquez; Nakstad, Britt; Leegaard, Truls Michael; Hungnes, Olav; Flem, Elmira</t>
  </si>
  <si>
    <t xml:space="preserve">The burden of hospital-attended influenza in Norwegian children</t>
  </si>
  <si>
    <t xml:space="preserve">hospital-attended influenza; pediatric; children; surveillance; disease burden</t>
  </si>
  <si>
    <t xml:space="preserve">HUMAN METAPNEUMOVIRUS; YOUNG-CHILDREN; GLOBAL BURDEN; INFECTION; DISEASE</t>
  </si>
  <si>
    <t xml:space="preserve">BackgroundNorwegian health authorities do not recommend universal pediatric vaccination against seasonal influenza. We aimed to estimate the incidence of influenza by age and underlying medical conditions in hospitalized Norwegian children aged MethodsActive surveillance for influenza in children ResultsIn 309 (10%) out of 3,010 hospital contacts, the child tested positive for influenza, corresponding to an average incidence of 0.96 hospital-attended influenza cases per 1,000 children &lt;18 years of age. Children &lt;1 year of age (3.8 per 1,000 children) and children with underlying medical conditions (17 per 1,000 children with bronchopulmonary dysplasia) had the highest average incidence. Among &lt;1 year old children, 3% tested positive for influenza, compared to 25% for children aged 6-17. Few children were vaccinated against influenza. ConclusionsChildren &lt;1 year of age and children with underlying medical conditions had a higher incidence of influenza requiring hospital treatment compared to the general population. Effective interventions against seasonal influenza for children in Norway should be considered.</t>
  </si>
  <si>
    <t xml:space="preserve">[Boas, Hakon; Bekkevold, Terese; Havdal, Lise Beier; Kran, Anne-Marte Bakken; Fernandez, Liliana Vazquez; Hungnes, Olav; Flem, Elmira] Norwegian Inst Publ Hlth, Oslo, Norway; [Havdal, Lise Beier; Nakstad, Britt] Akershus Univ Hosp, Dept Paediat &amp; Adolescent Med, Nordbyhagen, Norway; [Kran, Anne-Marte Bakken] Oslo Univ Hosp, Dept Microbiol, Oslo, Norway; [Rojahn, Astrid Elisabeth; Stordal, Ketil] Oslo Univ Hosp, Dept Paediat, Oslo, Norway; [Stordal, Ketil] Stfold Hosp, Dept Pediat, Gralum, Norway; [Stordal, Ketil; Nakstad, Britt] Univ Oslo, Inst Clin Med, Div Paediat &amp; Adolescent Med, Oslo, Norway; [Debes, Sara] Stfold Hosp, Dept Med Microbiol, Gralum, Norway; [Dollner, Henrik] St Olavs Univ Hosp, Dept Pediat, Trondheim, Norway; [Dollner, Henrik; Nordbo, Svein Arne] Norwegian Univ Sci &amp; Technol, Dept Clin &amp; Mol Med, Trondheim, Norway; [Nordbo, Svein Arne] St Olavs Univ Hosp, Dept Med Microbiol, Trondheim, Norway; [Barstad, Bjorn] Stavanger Univ Hosp, Dept Paediat &amp; Adolescent Med, Stavanger, Norway; [Haarr, Elisebet] Stavanger Univ Hosp, Dept Med Microbiol, Stavanger, Norway; [Leegaard, Truls Michael] Akershus Univ Hosp, Dept Microbiol &amp; Infect Control, Nordbyhagen, Norway; [Leegaard, Truls Michael] Univ Oslo, Inst Clin Med, Div Med &amp; Lab Sci, Oslo, Norway</t>
  </si>
  <si>
    <t xml:space="preserve">Norwegian Institute of Public Health (NIPH); University of Oslo; University of Oslo; University of Oslo; University of Oslo; Norwegian University of Science &amp; Technology (NTNU); Norwegian University of Science &amp; Technology (NTNU); Norwegian University of Science &amp; Technology (NTNU); Stavanger University Hospital; Stavanger University Hospital; University of Oslo; University of Oslo</t>
  </si>
  <si>
    <t xml:space="preserve">Boås, H (corresponding author), Norwegian Inst Publ Hlth, Oslo, Norway.</t>
  </si>
  <si>
    <t xml:space="preserve">hakon.boas@fhi.no</t>
  </si>
  <si>
    <t xml:space="preserve">Bøås, Håkon/LUY-7458-2024; Stordal, Ketil/LBI-4368-2024; Flem, Elmira/AFS-7695-2022</t>
  </si>
  <si>
    <t xml:space="preserve">SEP 7</t>
  </si>
  <si>
    <t xml:space="preserve">10.3389/fped.2022.963274</t>
  </si>
  <si>
    <t xml:space="preserve">5N3HP</t>
  </si>
  <si>
    <t xml:space="preserve">WOS:000871682900001</t>
  </si>
  <si>
    <t xml:space="preserve">Chaves, SS; Park, JH; Prill, MM; Whitaker, B; Park, R; Chew, GL</t>
  </si>
  <si>
    <t xml:space="preserve">Chaves, Sandra S.; Park, Ju-Hyeong; Prill, Mila M.; Whitaker, Brett; Park, Reena; Chew, Ginger L.</t>
  </si>
  <si>
    <t xml:space="preserve">Side-by-side comparison of parent vs. technician-collected respiratory swabs in low-income, multilingual, urban communities in the United States</t>
  </si>
  <si>
    <t xml:space="preserve">Home-swabbing; Parental swabbing; Pathogen detection; Upper respiratory tract samples; Dry tube for specimen transport</t>
  </si>
  <si>
    <t xml:space="preserve">CHILDREN; PATHOGENS; VIRUSES</t>
  </si>
  <si>
    <t xml:space="preserve">Background Home-based swabbing has not been widely used. The objective of this analysis was to compare respiratory swabs collected by mothers of 7-12-year-olds living in low-income, multilingual communities in the United States with technician collected swabs. Methods Retrospective data analysis of respiratory samples collected at home by mothers compared to technicians. Anterior nasal and throat specimens collected using flocked swabs were combined in dry tubes. Test was done using TaqMan array cards for viral and bacterial pathogens. Cycle threshold (Ct) values of ribonuclease P (RNP) gene were used to assess specimen quality. Ct &lt; 40 was interpreted as a positive result. Concordance of pathogen yield from mother versus technician collected swabs were analyzed using Cohen's Kappa coefficients. Correlation analysis, paired t-test, and Wilcoxon signed-rank test for paired samples were used for RNP Ct values. Results We enrolled 36 households in Cincinnati (African American) and 44 (predominately Chinese or Latino) in Boston. In Cincinnati, eight of 32 (25%) mothers did not finish high school, and 11 (34%) had finished high school only. In Boston, 13 of 44 (30%) mothers had less than a high school diploma, 23 (52%) had finished high school only. Mother versus technician paired swabs (n = 62) had similar pathogen yield (paired t-test and Wilcoxon signed rank test p-values = 0.62 and 0.63, respectively; 95% confidence interval of the difference between the two measurements = - 0.45-0.75). Median Ct value for RNP was 22.6 (interquartile range, IQR = 2.04) for mother-collected and 22.4 (IQR = 2.39) for technician-collected swabs (p = 0.62). Agreement on pathogen yield between samples collected by mothers vs. technicians was higher for viruses than for bacterial pathogens, with high concordance for rhinovirus/enterovirus, human metapneumovirus, and adenovirus (Cohen's kappa coefficients &gt;= 80%, p &lt; 0.0001). For bacterial pathogens, concordance was lower to moderate, except for Chlamydia pneumoniae, for which kappa coefficient indicated perfect agreement. Conclusion Mothers with a range of education levels from low-income communities were able to swab their children equally well as technicians. Home-swabbing using dry tubes, and less invasive collection procedures, could enhance respiratory disease surveillance.</t>
  </si>
  <si>
    <t xml:space="preserve">[Chaves, Sandra S.] CDC, Natl Ctr Immunizat &amp; Resp Dis, Influenza Div, Atlanta, GA 30333 USA; [Park, Ju-Hyeong] CDC, Natl Inst Occupat Safety &amp; Hlth, Resp Hlth Div, Morgantown, WV USA; [Prill, Mila M.; Whitaker, Brett] CDC, Natl Ctr Immunizat &amp; Resp Dis, Div Viral Dis, Atlanta, GA 30333 USA; [Park, Reena] Marshall Univ, Joan C Edwards Sch Med, Huntington, WV USA; [Chew, Ginger L.] CDC, Natl Ctr Environm Hlth, Div Environm Hlth Sci &amp; Practice, Atlanta, GA 30333 USA</t>
  </si>
  <si>
    <t xml:space="preserve">Centers for Disease Control &amp; Prevention - USA; Centers for Disease Control &amp; Prevention - USA; National Institute for Occupational Safety &amp; Health (NIOSH); Centers for Disease Control &amp; Prevention - USA; Marshall University; Centers for Disease Control &amp; Prevention - USA</t>
  </si>
  <si>
    <t xml:space="preserve">Chaves, SS (corresponding author), CDC, Natl Ctr Immunizat &amp; Resp Dis, Influenza Div, Atlanta, GA 30333 USA.</t>
  </si>
  <si>
    <t xml:space="preserve">chavesss@yahoo.com</t>
  </si>
  <si>
    <t xml:space="preserve">internal CDC funds; U.S. Department of Housing and Urban Development [I-PHI-01062]</t>
  </si>
  <si>
    <t xml:space="preserve">internal CDC funds; U.S. Department of Housing and Urban Development</t>
  </si>
  <si>
    <t xml:space="preserve">The Green Housing Study was funded by internal CDC funds and through an interagency agreement from the U.S. Department of Housing and Urban Development (#I-PHI-01062). The U.S. Department of Housing and Urban Development did not participate in the analysis, interpretation of results or writing of the manuscript.</t>
  </si>
  <si>
    <t xml:space="preserve">10.1186/s12889-022-12523-3</t>
  </si>
  <si>
    <t xml:space="preserve">YG7GR</t>
  </si>
  <si>
    <t xml:space="preserve">WOS:000742652600001</t>
  </si>
  <si>
    <t xml:space="preserve">de Swart, RL; van den Hoogen, BG; Kuiken, T; Herfst, S; van Amerongen, G; Yüksel, S; Sprong, L; Osterhaus, ADME</t>
  </si>
  <si>
    <t xml:space="preserve">de Swart, Rik L.; van den Hoogen, Bernadette G.; Kuiken, Thijs; Herfst, Sander; van Amerongen, Geert; Yuksel, Selma; Sprong, Leo; Osterhaus, Albert D. M. E.</t>
  </si>
  <si>
    <t xml:space="preserve">Immunization of macaques with formalin-inactivated human metapneumovirus induces hypersensitivity to hMPV infection</t>
  </si>
  <si>
    <t xml:space="preserve">hMPV; vaccination; formaldehyde; immunopathology; paramyxovirus</t>
  </si>
  <si>
    <t xml:space="preserve">SYNCYTIAL VIRUS-DISEASE; RESPIRATORY-TRACT DISEASE; ATYPICAL MEASLES; PROTECTIVE IMMUNITY; RHESUS MACAQUES; VACCINE; CHILDREN; ANTIBODIES; CYTOKINES; INFANTS</t>
  </si>
  <si>
    <t xml:space="preserve">Human metapneumovirus (hMPV), a member of the family Paramyxovifidae, is an important cause of acute respiratory tract disease. In the 1960s, vaccination with formalin-inactivated paramyxovirus preparations - respiratory syncytial virus (RSV) and measles virus (MV) resulted in predisposition for enhanced disease upon natural infection. We have produced a formalin-inactivated hMPV preparation (FI-hMPV), which was used to immunize young cynomolgus macaques. Six days after challenge FI-hMPV-primed monkeys had developed eosinophilic bronchitis and bronchiolitis, indicative of a hypersensitivity response. This study indicates that formalin-inactivated hMPV vaccines have the same propensity to predispose for immune-mediated disease as inactivated RSV and MV vaccines. (c) 2007 Elsevier Ltd. All rights reserved.</t>
  </si>
  <si>
    <t xml:space="preserve">[de Swart, Rik L.; van den Hoogen, Bernadette G.; Kuiken, Thijs; Herfst, Sander; van Amerongen, Geert; Yuksel, Selma; Sprong, Leo; Osterhaus, Albert D. M. E.] Erasmus MC, Dept Virol, NL-3000 CA Rotterdam, Netherlands</t>
  </si>
  <si>
    <t xml:space="preserve">de Swart, RL (corresponding author), Erasmus MC, Dept Virol, POB 2040, NL-3000 CA Rotterdam, Netherlands.</t>
  </si>
  <si>
    <t xml:space="preserve">van den Hoogen, Bernadette/J-5461-2013; Herfst, Sander/HZK-7555-2023; De Swart, Rik/E-6508-2011</t>
  </si>
  <si>
    <t xml:space="preserve">De Swart, Rik/0000-0003-3599-8969; Kuiken, Thijs/0000-0001-5501-9049; Herfst, Sander/0000-0001-9866-8903; Osterhaus, Albert/0000-0002-6074-1172</t>
  </si>
  <si>
    <t xml:space="preserve">DEC 12</t>
  </si>
  <si>
    <t xml:space="preserve">10.1016/j.vaccine.2007.10.022</t>
  </si>
  <si>
    <t xml:space="preserve">250EY</t>
  </si>
  <si>
    <t xml:space="preserve">WOS:000252284000005</t>
  </si>
  <si>
    <t xml:space="preserve">Lê, BV; Jandrot-Perrus, M; Couture, C; Checkmahomed, L; Venable, MC; Hamelin, ME; Boivin, G</t>
  </si>
  <si>
    <t xml:space="preserve">Ba Vuong Le; Jandrot-Perrus, Martine; Couture, Christian; Checkmahomed, Liva; Venable, Marie-Christine; Hamelin, Marie-Eve; Boivin, Guy</t>
  </si>
  <si>
    <t xml:space="preserve">Evaluation of anticoagulant agents for the treatment of human metapneumovirus infection in mice</t>
  </si>
  <si>
    <t xml:space="preserve">hMPV; thrombin; argatroban; warfarin; heparin; PAR1</t>
  </si>
  <si>
    <t xml:space="preserve">RESPIRATORY SYNCYTIAL VIRUS; ANIMAL-MODELS; THROMBIN; HEPARIN; EXPRESSION; WARFARIN; CELLS; PATHOGENESIS; PHARMACOLOGY; REPLICATION</t>
  </si>
  <si>
    <t xml:space="preserve">Thrombin has been demonstrated to be involved in several viral diseases including human metapneumovirus (hMPV) infections. We previously showed that immediate administration of thrombin inhibitor argatroban post-infection protected mice against hMPV disease. This current work aims at determining whether warfarin and heparin, two other anticoagulants inhibiting thrombin formation and activities, may also be used for treatment against hMPV in vivo. We found that immediate injections of argatroban, warfarin or heparin after virus challenge protected mice against hMPV infection, as evidenced by decreased or no mortality, less weight loss, reduced viral load and attenuated inflammation. However, delayed treatments starting 1 day post-infection with argatroban or warfarin almost did not impact the survival whereas delayed treatment with heparin induced an increased mortality during infection. Moreover, these treatments also did not reduce weight loss, viral replication and inflammation. In agreement with these results, thrombin generation was decreased upon immediate anticoagulant treatments but was unaltered upon delayed treatments. Thus, thrombin generation occurs at the onset of hMPV infection and thrombin inhibition may be only useful for the treatment of this disease when initiated in the early stage. In this case, heparin is not recommended because of its reduced efficacy on mortality in infected mice whereas argatroban and warfarin appear as safe and effective drugs for the treatment of hMPV disease. The antiviral and anti-inflammatory effects of argatroban occur via thrombin-dependent pathways whereas the mechanisms by which warfarin exerts its beneficial effects against hMPV infection were not elucidated and need to be further studied.</t>
  </si>
  <si>
    <t xml:space="preserve">[Ba Vuong Le; Checkmahomed, Liva; Venable, Marie-Christine; Hamelin, Marie-Eve; Boivin, Guy] Laval Univ, Infect Dis Res Ctr, Quebec City, PQ, Canada; [Jandrot-Perrus, Martine] Paris Diderot Univ, INSERM, UMR S1148, Paris, France; [Couture, Christian] Laval Univ, Quebec Heart &amp; Lung Inst, Quebec City, PQ, Canada</t>
  </si>
  <si>
    <t xml:space="preserve">Laval University; Assistance Publique Hopitaux Paris (APHP); Universite Paris Cite; Hopital Universitaire Bichat-Claude Bernard - APHP; Institut National de la Sante et de la Recherche Medicale (Inserm); Quebec Heart &amp; Lung Institute; Laval University</t>
  </si>
  <si>
    <t xml:space="preserve">Boivin, G (corresponding author), Laval Univ, Infect Dis Res Ctr, Quebec City, PQ, Canada.</t>
  </si>
  <si>
    <t xml:space="preserve">Guy.Boivin@crchudequebec.ulaval.ca</t>
  </si>
  <si>
    <t xml:space="preserve">Jandrot-Perrus, Martine/GZM-1526-2022</t>
  </si>
  <si>
    <t xml:space="preserve">Hamelin, Marie-Eve/0000-0002-7568-5097; Boivin, Guy/0000-0003-3027-4662; JANDROT-PERRUS, Martine/0000-0002-8450-9247</t>
  </si>
  <si>
    <t xml:space="preserve">Foundation Grant from the Canadian Institutes of Health Research [273261]</t>
  </si>
  <si>
    <t xml:space="preserve">Foundation Grant from the Canadian Institutes of Health Research(Canadian Institutes of Health Research (CIHR))</t>
  </si>
  <si>
    <t xml:space="preserve">This study was supported by a Foundation Grant from the Canadian Institutes of Health Research (grant no. 273261 to G.B.). G.B. is the holder of the Canada research chair on emerging viruses and antiviral resistance.</t>
  </si>
  <si>
    <t xml:space="preserve">10.1099/jgv.0.001135</t>
  </si>
  <si>
    <t xml:space="preserve">GV3PO</t>
  </si>
  <si>
    <t xml:space="preserve">WOS:000446007900004</t>
  </si>
  <si>
    <t xml:space="preserve">Bao, XY; Kolli, D; Esham, D; Velayutham, TS; Casola, A</t>
  </si>
  <si>
    <t xml:space="preserve">Bao, Xiaoyong; Kolli, Deepthi; Esham, Dana; Velayutham, Thangam S.; Casola, Antonella</t>
  </si>
  <si>
    <t xml:space="preserve">Human Metapneumovirus Small Hydrophobic Protein Inhibits Interferon Induction in Plasmacytoid Dendritic Cells</t>
  </si>
  <si>
    <t xml:space="preserve">hMPV; SH protein; plasmacytoid dendritic cells; type I IFN</t>
  </si>
  <si>
    <t xml:space="preserve">RESPIRATORY SYNCYTIAL VIRUS; SINGLE-STRANDED RNA; INDUCIBLE GENE-I; NF-KAPPA-B; SIGNALING PATHWAY; RECOGNITION; IMMUNITY; HOST; SH; GLYCOPROTEIN</t>
  </si>
  <si>
    <t xml:space="preserve">Human metapneumovirus (hMPV), a leading cause of respiratory tract infections in infants, encodes a small hydrophobic (SH) protein of unknown function. Here we show that infection of plasmacytoid dendritic cells (pDCs) with a recombinant virus lacking SH expression (rhMPV-SH) enhanced the secretion of type I interferons (IFNs), which required TLR7 and MyD88 expression. HMPV SH protein inhibited TLR7/MyD88/TRAF6 signaling leading to IFN gene transcription, identifying a novel mechanism by which paramyxovirus SH proteins modulate innate immune responses.</t>
  </si>
  <si>
    <t xml:space="preserve">[Bao, Xiaoyong; Casola, Antonella] Univ Texas Med Branch, Dept Pediat, Galveston, TX 77555 USA; [Kolli, Deepthi] Atara Biotherapeut, Oak Pk, CA 94080 USA; [Esham, Dana] Adena Hlth Syst, Chillicothe, OH 45601 USA; [Velayutham, Thangam S.] Univ Texas Med Branch, Dept Pathol, Galveston, TX 77555 USA; [Casola, Antonella] Univ Texas Med Branch, Dept Microbiol &amp; Immunol, Galveston, TX 77555 USA; [Casola, Antonella] Univ Texas Med Branch, Sealy Ctr Vaccine Dev, Galveston, TX 77555 USA</t>
  </si>
  <si>
    <t xml:space="preserve">Bao, XY; Casola, A (corresponding author), Univ Texas Med Branch, Dept Pediat, Galveston, TX 77555 USA.;Casola, A (corresponding author), Univ Texas Med Branch, Dept Microbiol &amp; Immunol, Galveston, TX 77555 USA.;Casola, A (corresponding author), Univ Texas Med Branch, Sealy Ctr Vaccine Dev, Galveston, TX 77555 USA.</t>
  </si>
  <si>
    <t xml:space="preserve">xibao@utmb.edu; dkolli@atarabio.com; desham@adena.org; thvelayu@utmb.edu; ancasola@utmb.edu</t>
  </si>
  <si>
    <t xml:space="preserve">National Institute of Health [R01 AI079246, P01 AI062885, P30 ES006676]; MedImmune fellowship from UTMB; James W. McLaughlin Fellowship Fund from UTMB</t>
  </si>
  <si>
    <t xml:space="preserve">National Institute of Health(United States Department of Health &amp; Human ServicesNational Institutes of Health (NIH) - USA); MedImmune fellowship from UTMB(AstraZenecaMedimmune); James W. McLaughlin Fellowship Fund from UTMB</t>
  </si>
  <si>
    <t xml:space="preserve">This work was supported by National Institute of Health grants R01 AI079246, P01 AI062885 and P30 ES006676, MedImmune fellowship (DLE) and James W. McLaughlin Fellowship Fund from UTMB (TSV).</t>
  </si>
  <si>
    <t xml:space="preserve">10.3390/v10060278</t>
  </si>
  <si>
    <t xml:space="preserve">GK4QE</t>
  </si>
  <si>
    <t xml:space="preserve">WOS:000436146700001</t>
  </si>
  <si>
    <t xml:space="preserve">Pragathi, P; Shetty, U; Parida, P; Varamballi, P; Mukhopadhyay, C; Sudheesh, N</t>
  </si>
  <si>
    <t xml:space="preserve">Pragathi, P.; Shetty, Ujwal; Parida, Preetiparna; Varamballi, Prasad; Mukhopadhyay, Chiranjay; Sudheesh, N.</t>
  </si>
  <si>
    <t xml:space="preserve">Molecular detection and genotyping of HMPV in patients with severe acute respiratory infection in India</t>
  </si>
  <si>
    <t xml:space="preserve">ANNALS OF MEDICINE</t>
  </si>
  <si>
    <t xml:space="preserve">HMPV; SARI; RT-PCR; climate action; good health and well-being</t>
  </si>
  <si>
    <t xml:space="preserve">REVERSE-TRANSCRIPTASE PCR; HUMAN-METAPNEUMOVIRUS; HOSPITALIZED CHILDREN; GENETIC DIVERSITY; DUPLICATION; ASSAYS</t>
  </si>
  <si>
    <t xml:space="preserve">BackgroundHuman metapneumovirus (HMPV) is a common respiratory pathogen that causes respiratory tract infections. In India, HMPV has been identified as one of the leading causes of morbidity and mortality in infants and young children with respiratory tract infections. The most reported sublineages of HMPV in India are B1, B2, A2b and A2c.ObjectiveA retrospective study was conducted to determine the circulating genotypes of HMPV among SARI cases from January 2016 to December 2018.Materials and methodsPositive throat swab samples were confirmed with real-time RT-PCR. Subsequently, these samples were analysed using semi-nested conventional RT-PCR targeting the G gene, followed by sequencing and phylogenetic analysis. Clinical data analysis was also performed using SPSS 15.0 software.ResultsAll 20 samples from the SARI cases were classified under the A2c sublineage of HMPV. Phylogenetic analysis indicated that these strains were genetically related to those circulating in Japan, China, and Croatia. Among the samples, ten showed 111-nucleotide duplications, while the other ten had 180-nucleotide duplications.ConclusionClinical analysis showed that four cases had coinfections with other pathogens. Our extensive analysis of patient samples determined that HMPV, especially the A2c genotype, significantly contributed to SARI cases within our study population, which signifies the importance of considering HMPV as a probable aetiological agent when investigating SARI outbreaks.</t>
  </si>
  <si>
    <t xml:space="preserve">[Pragathi, P.; Shetty, Ujwal; Parida, Preetiparna; Varamballi, Prasad; Mukhopadhyay, Chiranjay; Sudheesh, N.] Manipal Acad Higher Educ, Manipal Inst Virol, Manipal, India</t>
  </si>
  <si>
    <t xml:space="preserve">Sudheesh, N (corresponding author), Manipal Acad Higher Educ, Manipal Inst Virol, Manipal, India.</t>
  </si>
  <si>
    <t xml:space="preserve">sudheesh.n@manipal.edu</t>
  </si>
  <si>
    <t xml:space="preserve">Mukhopadhyay, Chiranjay/GLU-2887-2022</t>
  </si>
  <si>
    <t xml:space="preserve">N, SUDHEESH/0000-0002-3540-2865; Mukhopadhyay, Chiranjay/0000-0003-0402-1143; Varamballi, Prasad/0000-0003-0384-1078; Parida, Preetiparna/0009-0001-6144-185X; Shetty, Ujwal/0000-0002-7707-8186</t>
  </si>
  <si>
    <t xml:space="preserve">Manipal institute of Virology, Manipal academy of higher education</t>
  </si>
  <si>
    <t xml:space="preserve">Manipal institute of Virology, Manipal academy of higher education provided financial support for this study.</t>
  </si>
  <si>
    <t xml:space="preserve">0785-3890</t>
  </si>
  <si>
    <t xml:space="preserve">1365-2060</t>
  </si>
  <si>
    <t xml:space="preserve">ANN MED</t>
  </si>
  <si>
    <t xml:space="preserve">Ann. Med.</t>
  </si>
  <si>
    <t xml:space="preserve">10.1080/07853890.2024.2398719</t>
  </si>
  <si>
    <t xml:space="preserve">E4O4H</t>
  </si>
  <si>
    <t xml:space="preserve">WOS:001302812300001</t>
  </si>
  <si>
    <t xml:space="preserve">Qaisy, LM; Meqdam, MM; Alkhateeb, A; Al-Shorman, A; AL-Rousan, HO; Al-Mogbel, MS</t>
  </si>
  <si>
    <t xml:space="preserve">Qaisy, Lina M.; Meqdam, Mamdoh M.; Alkhateeb, Asem; Al-Shorman, Abdallah; AL-Rousan, Hiyam O.; Al-Mogbel, Mohammed S.</t>
  </si>
  <si>
    <t xml:space="preserve">Human metapneumovirus in Jordan: prevalence and clinical symptoms in hospitalized pediatric patients and molecular virus characterization</t>
  </si>
  <si>
    <t xml:space="preserve">hMPV; RT-PCR; Sequencing</t>
  </si>
  <si>
    <t xml:space="preserve">RESPIRATORY SYNCYTIAL VIRUS; GENETIC DIVERSITY; YOUNG-CHILDREN; TRACT DISEASE; INFECTION; ILLNESS; PATHOGENICITY; MEXICO; ADULTS</t>
  </si>
  <si>
    <t xml:space="preserve">Respiratory viral infections account for significant morbidity and mortality especially in young children worldwide. Human metapneumovirus (hMPV) causes illnesses ranging from mild respiratory problems to bronchiolitis and severe pneumonia. From January to December 2007, 220 nasopharyngeal aspirates were collected from children younger &lt;= 13 years old hospitalized with lower respiratory tract infection to detect hMPV by revese transcription-polymerase chain reaction and to clone and sequence the hMPV-positive samples. Human metapneumovirus was detected in 28 (12.7%) specimens with a median age of 7 months (range 1.3 to 24 months). Human metapneumovirus type A and type B were detected in 26 (93%) and 8 (28.6%) of specimens, respectively. Coinfection with hMPV type A and type B was detected in 6 (21.4%) specimens positive for hMPV. The major clinical diagnosis of hMPV-positive patients was bronchiolitis (75%). Human metapneumovirus and hMPV type B were found to be significantly associated with bronchiolitis (P = 0.03 and 0.01, respectively). Human metapneumovirus and hMPV type A were found to be significantly associated with pneumonia (P = 0.004 and 0.002, respectively). The main symptoms in patients infected with hMPV were cough (92.9%), fever (82.1%), and wheezing (78.6%), with a significant association of hMPV type A with fever (P = 0.018). Human metapneumovirus was seasonally distributed: most infections with hMPV were reported in the late winter and early spring. The peak of hMPV incidence was in February (10/28: 35.7%). Sequencing of purified plasmid DNA was performed in forward and reverse direction to confirm the results of hMPV-positive samples which scored 97% identity to hMPV type A genome isolate NL/17/00 and showing C-T variation that had no effect on the amino acid sequence F(Phe) F(Phe). (C) 2012 Elsevier Inc. All rights reserved.</t>
  </si>
  <si>
    <t xml:space="preserve">[Meqdam, Mamdoh M.; Al-Mogbel, Mohammed S.] Univ Hail, Coll Hlth Sci, Hail, Saudi Arabia; [Qaisy, Lina M.; Alkhateeb, Asem; AL-Rousan, Hiyam O.] Jordan Univ Sci &amp; Technol, Dept Appl Biol, Irbid, Jordan; [Al-Shorman, Abdallah] Princess Rahma Hosp, Dept Pediat, Irbid, Jordan</t>
  </si>
  <si>
    <t xml:space="preserve">University Ha'il; Jordan University of Science &amp; Technology</t>
  </si>
  <si>
    <t xml:space="preserve">Meqdam, MM (corresponding author), Univ Hail, Coll Hlth Sci, POB 2440, Hail, Saudi Arabia.</t>
  </si>
  <si>
    <t xml:space="preserve">m.harahsha@uoh.edu.sa</t>
  </si>
  <si>
    <t xml:space="preserve">almogbel, mohammed/AAW-6469-2021</t>
  </si>
  <si>
    <t xml:space="preserve">AlMogbel, Mohammed/0000-0002-8733-1472; Alkhateeb, Asem/0000-0001-8276-5784</t>
  </si>
  <si>
    <t xml:space="preserve">Jordan University of Science and Technology [191/2007]</t>
  </si>
  <si>
    <t xml:space="preserve">Jordan University of Science and Technology(Jordan University of Science &amp; Technology)</t>
  </si>
  <si>
    <t xml:space="preserve">Financial support for this research was provided by Jordan University of Science and Technology (grant no. 191/2007).</t>
  </si>
  <si>
    <t xml:space="preserve">10.1016/j.diagmicrobio.2012.07.004</t>
  </si>
  <si>
    <t xml:space="preserve">028DB</t>
  </si>
  <si>
    <t xml:space="preserve">WOS:000310401900013</t>
  </si>
  <si>
    <t xml:space="preserve">Adams, O; Weis, J; Jasinska, K; Vogel, M; Tenenbaum, T</t>
  </si>
  <si>
    <t xml:space="preserve">Adams, O.; Weis, J.; Jasinska, K.; Vogel, M.; Tenenbaum, T.</t>
  </si>
  <si>
    <t xml:space="preserve">Comparison of Human Metapneumovirus, Respiratory Syncytial Virus and Rhinovirus Respiratory Tract Infections in Young Children Admitted to Hospital</t>
  </si>
  <si>
    <t xml:space="preserve">HMPV; RSV; RV; real-time-PCR</t>
  </si>
  <si>
    <t xml:space="preserve">DISEASE SEVERITY; VIRAL LOAD; INTERLEUKIN-8; SYMPTOMS; CYTOKINES; ASSOCIATION; INFANTS; ILLNESS; IMPACT</t>
  </si>
  <si>
    <t xml:space="preserve">Respiratory Syncytial Virus (RSV), Human metapneumovirus (HMPV), and Rhinoviruses (RV) are frequent causes of respiratory tract infections in young children. We compared laboratory and clinical findings in children with comparable age distribution and hospitalized due to RSV, HMPV or RV infections. Viral pathogens were detected by a quantitative real time PCR from nasopharyngeal aspirates. No significant differences in the admission diagnosis, laboratory parameters, patient demographics and treatment measures between the three viral causes of respiratory illness were found. No correlation between viral load and disease severity was observed however, there was a significantly lower concentration of the nasopharyngeal interleukin 8 (IL-8) in children with RV compared to HMPV and RSV, indicating a milder proinflammatory reaction. Moreover, RV-infected children had significantly lower body temperature, higher leucocyte counts in peripheral blood, and a tendency to have a shorter stay in hospital than children with either HMPV or RSV infection. Taken together, clinical presentation of the infections with RSV, HMPV, and RV is similar among children of the same age group and not clearly distinguishable by standard clinical or laboratory findings. Therefore, virus specific testing should be included regularly for routine diagnosis of children with respiratory tract infections. J. Med. Virol. 87:275-280, 2015. (c) 2014 Wiley Periodicals, Inc.</t>
  </si>
  <si>
    <t xml:space="preserve">[Adams, O.; Weis, J.; Jasinska, K.] Univ Dusseldorf, Inst Virol, Dusseldorf, Germany; [Vogel, M.] Univ Dusseldorf, Dept Pediat, Dusseldorf, Germany; [Tenenbaum, T.] Heidelberg Univ, Med Fac Mannheim, Dept Pediat, Mannheim, Germany</t>
  </si>
  <si>
    <t xml:space="preserve">Heinrich Heine University Dusseldorf; Heinrich Heine University Dusseldorf; Ruprecht Karls University Heidelberg</t>
  </si>
  <si>
    <t xml:space="preserve">Adams, O (corresponding author), Inst Virol, Geb 22-21,Univ Str 1, D-40225 Dusseldorf, Germany.</t>
  </si>
  <si>
    <t xml:space="preserve">10.1002/jmv.24025</t>
  </si>
  <si>
    <t xml:space="preserve">WOS:000346486800013</t>
  </si>
  <si>
    <t xml:space="preserve">Schildgen, V; Lüsebrink, J; Ditt, V; Tillmann, R; Simon, A; Müller, A; Schildgen, O</t>
  </si>
  <si>
    <t xml:space="preserve">Schildgen, Verena; Luesebrink, Jessica; Ditt, Vanessa; Tillmann, Ramona; Simon, Arne; Mueller, Andreas; Schildgen, Oliver</t>
  </si>
  <si>
    <t xml:space="preserve">Human HepG2 cells support respiratory syncytial virus and human metapneumovirus replication</t>
  </si>
  <si>
    <t xml:space="preserve">HMPV; RSV; Human cell line; HepG2; Cell viability assays</t>
  </si>
  <si>
    <t xml:space="preserve">NF-KAPPA-B; NONSTRUCTURAL PROTEINS; IMMUNE-RESPONSE; YOUNG-CHILDREN; BALB/C MICE; HUMAN METAPNEURNOVIRUS; TRACT DISEASE; INFECTION; PCR; EXPRESSION</t>
  </si>
  <si>
    <t xml:space="preserve">Human metapneumovirus (hMPV) and human respiratory syncytial (RSV) virus cause mild to severe infections of the respiratory tract in all age groups. So far, several cell lines derived from respiratory tissues have been identified to support replication of both viruses. Unfortunately, titers attained during replication differ between the both viruses within one cell line despite equal infection conditions, on the one hand giving raise to the assumption that the individual susceptibility may vary in dependence of the virus, and, on the other hand, making it difficult to compare results between both viruses. Low titers may cause problems in experiments such as animal trials, in which high titers in low volumes are a prerequisite for successful experiments. The advantages are described of the use of a human cell line (normally used for hepatitis viruses research) susceptible for RSV and hMPV in which both viruses replicate to comparable and high titers. It is also shown that the cell line can also be used for applications such as cell viability tests. Cell viability tests can be used as reciprocal determination tests of viral titers and therefore offer the opportunity to replace classical virological tests such as TCID50. The cell line can be also used for high throughput applications like drug screening, making it a useful tool for screening for antiviral compound active against RSV and hMPV. (C) 2009 Elsevier B.V. All rights reserved.</t>
  </si>
  <si>
    <t xml:space="preserve">[Schildgen, Verena; Luesebrink, Jessica; Ditt, Vanessa; Tillmann, Ramona; Schildgen, Oliver] Univ Hosp, Inst Virol, Bonn, Germany; [Simon, Arne; Mueller, Andreas] Univ Hosp, Childrens Hosp, Bonn, Germany</t>
  </si>
  <si>
    <t xml:space="preserve">Schildgen, O (corresponding author), Univ Bonn, Med Ctr, Inst Virol, Sigmund Freud Str 25, D-53105 Bonn, Germany.</t>
  </si>
  <si>
    <t xml:space="preserve">schildgen@virology-bonn.de</t>
  </si>
  <si>
    <t xml:space="preserve">European Commission [LSHM-CF-2006-037276]; Else Kroner-Fresenius Stiftung, Germany</t>
  </si>
  <si>
    <t xml:space="preserve">European Commission(European Union (EU)European Commission Joint Research Centre); Else Kroner-Fresenius Stiftung, Germany</t>
  </si>
  <si>
    <t xml:space="preserve">This work was supported partially by a grant from the European Commission (LSHM-CF-2006-037276) and from the Else Kroner-Fresenius Stiftung, Germany. We thank Dr. Brian Sproat for language editing and critical comments on the manuscript.</t>
  </si>
  <si>
    <t xml:space="preserve">10.1016/j.jviromet.2009.08.024</t>
  </si>
  <si>
    <t xml:space="preserve">549IZ</t>
  </si>
  <si>
    <t xml:space="preserve">WOS:000274042900010</t>
  </si>
  <si>
    <t xml:space="preserve">Geiser, J; Boivin, G; Huang, S; Constant, S; Kaiser, L; Tapparel, C; Essaidi-Laziosi, M</t>
  </si>
  <si>
    <t xml:space="preserve">Geiser, Johan; Boivin, Guy; Huang, Song; Constant, Samuel; Kaiser, Laurent; Tapparel, Caroline; Essaidi-Laziosi, Manel</t>
  </si>
  <si>
    <t xml:space="preserve">RSV and HMPV Infections in 3D Tissue Cultures: Mechanisms Involved in Virus-Host and Virus-Virus Interactions</t>
  </si>
  <si>
    <t xml:space="preserve">HMPV; RSV; airway epithelia; single and dual infections; innate immunity and IFN response</t>
  </si>
  <si>
    <t xml:space="preserve">Respiratory viral infections constitute a global public health concern. Among prevalent respiratory viruses, two pneumoviruses can be life-threatening in high-risk populations. In young children, they constitute the first cause of hospitalization due to severe lower respiratory tract diseases. A better understanding of their pathogenesis is still needed as there are no approved efficient anti-viral nor vaccine against pneumoviruses. We studied Respiratory Syncytial virus (RSV) and human Metapneumovirus (HMPV) in single and dual infections in three-dimensional cultures, a highly relevant model to study viral respiratory infections of the airway epithelium. Our investigation showed that HMPV is less pathogenic than RSV in this model. Compared to RSV, HMPV replicated less efficiently, induced a lower immune response, did not block cilia beating, and was more sensitive to IFNs. In dual infections, RSV-infected epithelia were less permissive to HMPV. By neutralizing IFNs in co-infection assays, we partially prevented HMPV inhibition by RSV and significantly increased the number of co-infected cells in the tissue. This suggests that interference in dual infection would be at least partly mediated by the host immune response. In summary, this work provides new insight regarding virus-host and virus-virus interactions of pneumoviruses in the airway epithelium. This could be helpful for the proper handling of at-risk patients.</t>
  </si>
  <si>
    <t xml:space="preserve">[Geiser, Johan; Kaiser, Laurent; Tapparel, Caroline; Essaidi-Laziosi, Manel] Univ Geneva, Fac Med, Dept Microbiol &amp; Mol Med, CH-1211 Geneva, Switzerland; [Boivin, Guy] CHU Quebec, Res Ctr Infect Dis, Quebec City, PQ, Canada; [Boivin, Guy] Laval Univ, Quebec City, PQ, Canada; [Huang, Song; Constant, Samuel] Epithelix Sarl, CH-1228 Geneva, Switzerland; [Kaiser, Laurent; Essaidi-Laziosi, Manel] Geneva Univ Hosp, Div Infect Dis, CH-1211 Geneva, Switzerland</t>
  </si>
  <si>
    <t xml:space="preserve">University of Geneva; Laval University; Laval University; University of Geneva</t>
  </si>
  <si>
    <t xml:space="preserve">Essaidi-Laziosi, M (corresponding author), Univ Geneva, Fac Med, Dept Microbiol &amp; Mol Med, CH-1211 Geneva, Switzerland.;Essaidi-Laziosi, M (corresponding author), Geneva Univ Hosp, Div Infect Dis, CH-1211 Geneva, Switzerland.</t>
  </si>
  <si>
    <t xml:space="preserve">Johan.Geiser@unige.ch; guy.boivin@crchudequebec.ulaval.ca; song.huang@epithelix.com; samuel.constant@epithelix.com; Laurent.Kaiser@hcuge.ch; caroline.tapparel@unige.ch; Manel.essaidi@unige.ch</t>
  </si>
  <si>
    <t xml:space="preserve">Tapparel Vu, Caroline/0000-0002-0411-6567; Kaiser, Laurent/0000-0002-0857-2252; Boivin, Guy/0000-0003-3027-4662; Geiser, Johan/0000-0003-0046-1723; Constant, Samuel/0000-0002-0931-2663</t>
  </si>
  <si>
    <t xml:space="preserve">FNS Marie Heim-Vogtlin subside [PMPDP3-158269]; Swiss National Science Foundation (FNS) [310030_184777]; Novartis Foundation [Nffi 17C152]; Swiss National Science Foundation (SNF) [PMPDP3_158269] Funding Source: Swiss National Science Foundation (SNF)</t>
  </si>
  <si>
    <t xml:space="preserve">FNS Marie Heim-Vogtlin subside; Swiss National Science Foundation (FNS)(Swiss National Science Foundation (SNSF)); Novartis Foundation(Novartis); Swiss National Science Foundation (SNF)(Swiss National Science Foundation (SNSF))</t>
  </si>
  <si>
    <t xml:space="preserve">This research was funded by the FNS Marie Heim-Vogtlin subside (grant no. PMPDP3-158269 to M.E.-L.), the Swiss National Science Foundation (FNS) (grant no 310030_184777 to C.T.) and the Novartis Foundation (grant Nffi 17C152 to C.T.).</t>
  </si>
  <si>
    <t xml:space="preserve">10.3390/v13010139</t>
  </si>
  <si>
    <t xml:space="preserve">PW6XX</t>
  </si>
  <si>
    <t xml:space="preserve">WOS:000610816200001</t>
  </si>
  <si>
    <t xml:space="preserve">Cheemarla, NR; Baños-Lara, MD; Naidu, S; Guerrero-Plata, A</t>
  </si>
  <si>
    <t xml:space="preserve">Cheemarla, Nagarjuna R.; Del Rocio Banos-Lara, Ma; Naidu, Shan; Guerrero-Plata, Antonieta</t>
  </si>
  <si>
    <t xml:space="preserve">Neutrophils regulate the lung inflammatory response via γδ T cell infiltration in an experimental mouse model of human metapneumovirus infection</t>
  </si>
  <si>
    <t xml:space="preserve">JOURNAL OF LEUKOCYTE BIOLOGY</t>
  </si>
  <si>
    <t xml:space="preserve">HMPV; respiratory; paramyxovirus; immune response; pulmonary</t>
  </si>
  <si>
    <t xml:space="preserve">RESPIRATORY SYNCYTIAL VIRUS; IMMUNE-RESPONSE; FUSION PROTEIN; SEVERE DISEASE; BALB/C MICE; VIRAL LOAD; PATHOGENESIS; CHILDREN; ACTIVATION; EXPRESSION</t>
  </si>
  <si>
    <t xml:space="preserve">Neutrophils are the most abundant leukocytes in human circulation. They are the first immune cell population recruited to the sites of infection. However, the role of neutrophils to regulate host immune responses during respiratory viral infections is largely unknown. To elucidate the role of neutrophils in respiratory antiviral defense, we used an experimental mouse model of human metapneumovirus (HMPV) infection. HMPV, a member of the Paramyxoviridae family, is a leading respiratory pathogen causing severe symptoms, such as bronchiolitis and pneumonia, in young, elderly, and immunocompromised patients. We demonstrate that neutrophils are the predominant population of immune cells recruited into the lungs after HMPV infection. This led us to hypothesize that neutrophils represent a key player of the immune response during HMPV infection, thereby regulating HMPV-induced lung pathogenesis. Specific depletion of neutrophils in vivo using a mAb and simultaneous infection with HMPV exhibited higher levels of inflammatory cytokines, pulmonary inflammation, and severe clinical disease compared with HMPV-infected, competent mice. Interestingly, the lack of neutrophils altered gamma delta T cell accumulation in the lung. The absence of gamma delta T cells during HMPV infection led to reduced pulmonary inflammation. These novel findings demonstrate that neutrophils play a critical role in controlling HMPV-induced inflammatory responses by regulating gamma delta T cell infiltration to the site of infection.</t>
  </si>
  <si>
    <t xml:space="preserve">[Cheemarla, Nagarjuna R.; Del Rocio Banos-Lara, Ma; Naidu, Shan; Guerrero-Plata, Antonieta] Louisiana State Univ, Dept Pathobiol Sci, Baton Rouge, LA 70803 USA; [Guerrero-Plata, Antonieta] Louisiana State Univ, Ctr Expt Infect Dis Res, Baton Rouge, LA 70803 USA; [Del Rocio Banos-Lara, Ma] Univ Popular Autonoma Estado Puebla, Puebla, Mexico</t>
  </si>
  <si>
    <t xml:space="preserve">Louisiana State University System; Louisiana State University; Louisiana State University System; Louisiana State University; Universidad Popular Autonoma del Estado de Puebla</t>
  </si>
  <si>
    <t xml:space="preserve">Guerrero-Plata, Antonieta/0000-0002-0424-2563; Cheemarla, Nagarjuna Reddy/0000-0002-8860-2457</t>
  </si>
  <si>
    <t xml:space="preserve">National Center for Research Resources [P20RR020159-09]; National Institute of General Medical Science from U.S. National Institutes of Health [P20GM103458-09]; Flight Attendant Medical Research Institute Clinical Innovator Award (CIA) grant; AAI Careers in Immunology Fellowship</t>
  </si>
  <si>
    <t xml:space="preserve">National Center for Research Resources(United States Department of Health &amp; Human ServicesNational Institutes of Health (NIH) - USANIH National Center for Research Resources (NCRR)); National Institute of General Medical Science from U.S. National Institutes of Health; Flight Attendant Medical Research Institute Clinical Innovator Award (CIA) grant; AAI Careers in Immunology Fellowship</t>
  </si>
  <si>
    <t xml:space="preserve">This work was supported by grants from the National Center for Research Resources (P20RR020159-09), the National Institute of General Medical Science (P20GM103458-09) from the U.S. National Institutes of Health, a Flight Attendant Medical Research Institute Clinical Innovator Award (CIA) grant (to A.G.-P.), and an AAI Careers in Immunology Fellowship (to A.G.-P. and M.D.R.B.-L.). The authors thank Peter Mottram for his invaluable help with the microscopy images and Carolyn M. Clark for her careful and critical reading of the manuscript.</t>
  </si>
  <si>
    <t xml:space="preserve">0741-5400</t>
  </si>
  <si>
    <t xml:space="preserve">1938-3673</t>
  </si>
  <si>
    <t xml:space="preserve">J LEUKOCYTE BIOL</t>
  </si>
  <si>
    <t xml:space="preserve">J. Leukoc. Biol.</t>
  </si>
  <si>
    <t xml:space="preserve">10.1189/jlb.4A1216-519RR</t>
  </si>
  <si>
    <t xml:space="preserve">Cell Biology; Hematology; Immunology</t>
  </si>
  <si>
    <t xml:space="preserve">EV0LD</t>
  </si>
  <si>
    <t xml:space="preserve">WOS:000401430300012</t>
  </si>
  <si>
    <t xml:space="preserve">Ljubin-Sternak, S; Santak, M; Cepin-Bogovic, J; Bace, A; Vojnovic, G; Mlinaric-Galinovic, G; Forcic, D; Drazenovic, V; Falsey, AR</t>
  </si>
  <si>
    <t xml:space="preserve">Ljubin-Sternak, Suncanica; Santak, Maja; Cepin-Bogovic, Jasna; Bace, Ana; Vojnovic, Gordana; Mlinaric-Galinovic, Gordana; Forcic, Dubravko; Drazenovic, Vladimir; Falsey, Ann R.</t>
  </si>
  <si>
    <t xml:space="preserve">Detection of genetic lineages of human metapneumovirus in Croatia during the winter season 2005/2006</t>
  </si>
  <si>
    <t xml:space="preserve">HMPV; real-time PCR; F gene; phylogenetic analysis; genotypes</t>
  </si>
  <si>
    <t xml:space="preserve">RESPIRATORY-TRACT DISEASE; YOUNG-CHILDREN; INFECTION; DIVERSITY; SECRETIONS; ADULTS; ASSAYS</t>
  </si>
  <si>
    <t xml:space="preserve">Human metapneumovirus(HMPV) is an important respiratory pathogen, especially among young children. The genetic characteristics of HMPV circulating in Croatia have not been studied so far. The aim of this study was to determine the incidence of HMPV infection in hospitalized children with acute respiratory tract infection (ARTI) in the season 2005/2006 in Croatia, as well as to perform the genotypic analysis of detected HMPV strains. From December 1 to March 31 nasopharyngeal secretions (NPSs) were collected from 402 inpatients up to 5 years of age with ARTI. NPSs were tested by real-time RTPCR assay targeting the nucleoprotein (N) gene of HMPV. HMPV infection was detected in 33 patients (8.2%). To perform the phylogenetic study, partial nucleotide sequences were obtained for HMPV fusion (F) gene of 30 HMPV positive samples. Phylogenetic analysis showed the circulation of two main genetic lineages (A and B), with B lineages being prevalent. It also showed the existence of two sublineages within the group B (B1 and B2) and three subclusters within lineage A (A1, A2a and A2b). Further molecular analysis revealed point mutations in HMPV strains of sublineage B1.</t>
  </si>
  <si>
    <t xml:space="preserve">[Ljubin-Sternak, Suncanica; Vojnovic, Gordana; Mlinaric-Galinovic, Gordana; Drazenovic, Vladimir] Croatian Natl Inst Publ Hlth, Dept Virol, Collaborating Ctr WHO Virol, Zagreb 10000, Croatia; [Santak, Maja; Forcic, Dubravko] Univ Zagreb, Inst Immunol, Mol Biomed Unit, Zagreb, Croatia; [Cepin-Bogovic, Jasna] Univ Zagreb, Childrens Hosp, Zagreb, Croatia; [Bace, Ana] Univ Zagreb, Univ Hosp Infect Dis, Zagreb, Croatia; [Falsey, Ann R.] Univ Rochester, Rochester Gen Hosp, Sch Med &amp; Dent, Infect Dis Unit, Rochester, NY USA</t>
  </si>
  <si>
    <t xml:space="preserve">University of Zagreb; University of Zagreb; University of Zagreb; Rochester General Hospital; University of Rochester</t>
  </si>
  <si>
    <t xml:space="preserve">Ljubin-Sternak, S (corresponding author), Croatian Natl Inst Publ Hlth, Dept Virol, Collaborating Ctr WHO Virol, Rockefellerova 12, Zagreb 10000, Croatia.</t>
  </si>
  <si>
    <t xml:space="preserve">Šantak, Maja/AAY-5654-2020</t>
  </si>
  <si>
    <t xml:space="preserve">Santak, Maja/0000-0003-1489-1003</t>
  </si>
  <si>
    <t xml:space="preserve">10.1002/jmv.21196</t>
  </si>
  <si>
    <t xml:space="preserve">302KU</t>
  </si>
  <si>
    <t xml:space="preserve">WOS:000255968000019</t>
  </si>
  <si>
    <t xml:space="preserve">Cifuentes-Muñoz, N; Branttie, J; Slaughter, KB; Dutch, RE</t>
  </si>
  <si>
    <t xml:space="preserve">Cifuentes-Munoz, Nicolas; Branttie, Jean; Slaughter, Kerri Beth; Dutch, Rebecca Ellis</t>
  </si>
  <si>
    <t xml:space="preserve">Human Metapneumovirus Induces Formation of Inclusion Bodies for Efficient Genome Replication and Transcription</t>
  </si>
  <si>
    <t xml:space="preserve">HMPV; pneumovirus; inclusion bodies; replication</t>
  </si>
  <si>
    <t xml:space="preserve">RESPIRATORY SYNCYTIAL VIRUS; INFECTED CELLS; NEGRI BODIES; TRANSPORT; PHOSPHOPROTEIN; NUCLEOCAPSIDS; NUCLEOPROTEIN; RABIES; PROTEIN</t>
  </si>
  <si>
    <t xml:space="preserve">Human metapneumovirus (HMPV) causes significant upper and lower respiratory disease in all age groups worldwide. The virus possesses a negative-sense single-stranded RNA genome of approximately 13.3 kb encapsidated by multiple copies of the nucleoprotein (N), giving rise to helical nucleocapsids. In addition, copies of the phosphoprotein (P) and the large RNA polymerase (L) decorate the viral nucleocapsids. After viral attachment, endocytosis, and fusion mediated by the viral glycoproteins, HMPV nucleocapsids are released into the cell cytoplasm. To visualize the subsequent steps of genome transcription and replication, a fluorescence in situ hybridization (FISH) protocol was established to detect different viral RNA subpopulations in infected cells. The FISH probes were specific for detection of HMPV positive-sense RNA (+RNA) and viral genomic RNA (vRNA). Time course analysis of human bronchial epithelial BEAS-2B cells infected with HMPV revealed the formation of inclusion bodies (IBs) from early times postinfection. HMPV IBs were shown to be cytoplasmic sites of active transcription and replication, with the translation of viral proteins being closely associated. Inclusion body formation was consistent with an actin-dependent coalescence of multiple early replicative sites. Time course quantitative reverse transcription-PCR analysis suggested that the coalescence of inclusion bodies is a strategy to efficiently replicate and transcribe the viral genome. These results provide a better understanding of the steps following HMPV entry and have important clinical implications. IMPORTANCE Human metapneumovirus (HMPV) is a recently discovered pathogen that affects human populations of all ages worldwide. Reinfections are common throughout life, but no vaccines or antiviral treatments are currently available. In this work, a spatiotemporal analysis of HMPV replication and transcription in bronchial epithelial cell-derived immortal cells was performed. HMPV was shown to induce the formation of large cytoplasmic granules, named inclusion bodies, for genome replication and transcription. Unlike other cytoplasmic structures, such as stress granules and processing bodies, inclusion bodies are exclusively present in infected cells and contain HMPV RNA and proteins to more efficiently transcribe and replicate the viral genome. Though inclusion body formation is nuanced, it corresponds to a more generalized strategy used by different viruses, including filoviruses and rhabdoviruses, for genome transcription and replication. Thus, an understanding of inclusion body formation is crucial for the discovery of innovative therapeutic targets.</t>
  </si>
  <si>
    <t xml:space="preserve">[Cifuentes-Munoz, Nicolas; Branttie, Jean; Slaughter, Kerri Beth; Dutch, Rebecca Ellis] Univ Kentucky, Coll Med, Dept Mol &amp; Cellular Biochem, Lexington, KY 40506 USA</t>
  </si>
  <si>
    <t xml:space="preserve">NIAID NIH HHS [R01 AI051517] Funding Source: Medline</t>
  </si>
  <si>
    <t xml:space="preserve">e01282-17</t>
  </si>
  <si>
    <t xml:space="preserve">10.1128/JVI.01282-17</t>
  </si>
  <si>
    <t xml:space="preserve">FO1TT</t>
  </si>
  <si>
    <t xml:space="preserve">WOS:000416548700011</t>
  </si>
  <si>
    <t xml:space="preserve">Decool, H; Bardiaux, B; Ruano, LC; Sperandio, O; Fix, J; Gutsche, I; Richard, CA; Bajorek, M; Eléouët, JF; Galloux, M</t>
  </si>
  <si>
    <t xml:space="preserve">Decool, Hortense; Bardiaux, Benjamin; Ruano, Luis Checa; Sperandio, Olivier; Fix, Jenna; Gutsche, Irina; Richard, Charles-Adrien; Bajorek, Monika; Eleouet, Jean-Francois; Galloux, Marie</t>
  </si>
  <si>
    <t xml:space="preserve">Characterization of the Interaction Domains between the Phosphoprotein and the Nucleoprotein of Human Metapneumovirus</t>
  </si>
  <si>
    <t xml:space="preserve">HMPV; phosphoprotein; nucleoprotein; protein-protein interaction; structural modeling</t>
  </si>
  <si>
    <t xml:space="preserve">RESPIRATORY SYNCYTIAL VIRUS; SEQUENCE; REPLICATION; BINDING; COMPLEX; LEADER; SITE</t>
  </si>
  <si>
    <t xml:space="preserve">Human metapneumovirus (HMPV) causes severe respiratory diseases in young children. The HMPV RNA genome is encapsidated by the viral nucleoprotein (N), forming an RNA-N complex (N-Nuc), which serves as the template for genome replication and mRNA transcription by the RNA-dependent RNA polymerase (RdRp). The RdRp is formed by the association of the large polymerase subunit (L), which has RNA polymerase, capping, and methyltransferase activities, and the tetrameric phosphoprotein (P). P plays a central role in the RdRp complex by binding to N-Nuc and L, allowing the attachment of the L polymerase to the IsINuc template. During infection these proteins concentrate in cytoplasmic inclusion bodies (IBs) where viral RNA synthesis occurs. By analogy to the closely related pneumovirus respiratory syncytial virus (RSV), it is likely that the formation of IBs depends on the interaction between HMPV P and N-Nuc, which has not been demonstrated yet. Here, we finely characterized the binding P-N-Nuc interaction domains by using recombinant proteins, combined with a functional assay for the polymerase complex activity, and the study of the recruitment of these proteins to IBs by immunotluorescence. We show that the last 6 C-terminal residues of HMPV P are necessary and sufficient for binding to N(Nuc)and that P binds to the N-terminal domain of N (N-NTD), and we identified conserved N residues critical for the interaction. Our results allowed us to propose a structural model for the HMPV P-N-Nuc interaction. IMPORTANCE Human metapneumovirus (HMPV) is a leading cause of severe respiratory infections in children but also affects human populations of all ages worldwide. Currently, no vaccine or efficient antiviral treatments are available for this pneumovirus. A better understanding of the molecular mechanisms involved in viral replication could help the design or discovery of specific antiviral compounds. In this work, we have investigated the interaction between two major viral proteins involved in HMPV RNA synthesis, the N and P proteins. We finely characterized their domains of interaction and identified a pocket on the surface of the N protein, a potential target of choice for the design of compounds interfering with N-P complexes and inhibiting viral replication.</t>
  </si>
  <si>
    <t xml:space="preserve">[Decool, Hortense; Fix, Jenna; Richard, Charles-Adrien; Bajorek, Monika; Eleouet, Jean-Francois; Galloux, Marie] Univ Paris Saclay, VIM, INRAE, UVSQ, Jouy En Josas, France; [Bardiaux, Benjamin; Ruano, Luis Checa; Sperandio, Olivier] Univ Paris, Inst Pasteur, Unite Bioinformat Struct, CNRS UMR3528, Paris, France; [Sperandio, Olivier] Inserm U973 MTi, Paris, France; [Gutsche, Irina] Univ Grenoble Alpes, IBS, CNRS, CEA, Grenoble, France</t>
  </si>
  <si>
    <t xml:space="preserve">Universite Paris Cite; INRAE; Universite Paris Saclay; Universite Paris Cite; Centre National de la Recherche Scientifique (CNRS); CNRS - National Institute for Biology (INSB); Pasteur Network; Institut Pasteur Paris; Institut National de la Sante et de la Recherche Medicale (Inserm); Universite Paris Cite; Communaute Universite Grenoble Alpes; Universite Grenoble Alpes (UGA); CEA; Centre National de la Recherche Scientifique (CNRS)</t>
  </si>
  <si>
    <t xml:space="preserve">Eléouët, JF; Galloux, M (corresponding author), Univ Paris Saclay, VIM, INRAE, UVSQ, Jouy En Josas, France.</t>
  </si>
  <si>
    <t xml:space="preserve">marie.galloux@inrae.fr</t>
  </si>
  <si>
    <t xml:space="preserve">Gutsche, Irina/AAH-8110-2021; Sperandio, Olivier/AAM-4134-2021; Bardiaux, Benjamin/AAN-2741-2021; Eléouët, Jean-François/AAD-1994-2019</t>
  </si>
  <si>
    <t xml:space="preserve">Bardiaux, Benjamin/0000-0003-4014-9195; Bajorek, Monika/0000-0002-0160-4709; RICHARD, Charles-Adrien/0000-0001-5306-2297</t>
  </si>
  <si>
    <t xml:space="preserve">French Agence Nationale de la Recherche, specific program ANR DecRisP [ANR-19-CE11-0017]; Agence Nationale de la Recherche (ANR) [ANR-19-CE11-0017] Funding Source: Agence Nationale de la Recherche (ANR)</t>
  </si>
  <si>
    <t xml:space="preserve">French Agence Nationale de la Recherche, specific program ANR DecRisP(Agence Nationale de la Recherche (ANR)Agence nationale pour le developpement de la recherche en sante (ANDRS)); Agence Nationale de la Recherche (ANR)(Agence Nationale de la Recherche (ANR))</t>
  </si>
  <si>
    <t xml:space="preserve">We thank the immunologist team of the Seppic laboratory (Maisons-Alfort, France) and the animal facilities of Anses, Maisons-Alfort, for rabbit immunization and the collection of anti-N and anti-P antisera, P. Collins (NIH, Bethesda) and S. Biacchesi (INRAE, Jouy-en-Josas) for the sequences of HMPV CAN97-83 N and P genes, and B. van den Hoogen (Erasmus MC, Rotterdam) for the plasmids of the HMPV NL99-1 strain. This work was carried out with the financial support of the French Agence Nationale de la Recherche, specific program ANR DecRisP, grant no. ANR-19-CE11-0017. We declare that we have no conflicts of interest with the contents of this article. H.D., M.G., and J.-F.E. designed experiments. H.D. and M.B. performed molecular and cellular assays. B.B., L.C.R., and O.S. performed molecular simulations. I.G. performed electron microscopy observations. C.-A.R. performed gel filtration and in vitro study. M.G. wrote the paper with contributions from all authors, and J.-F.E. and M.G. edited the manuscript. All authors commented on the manuscript.</t>
  </si>
  <si>
    <t xml:space="preserve">e00909-21</t>
  </si>
  <si>
    <t xml:space="preserve">10.1128/JVI.00909-21</t>
  </si>
  <si>
    <t xml:space="preserve">ZR2HY</t>
  </si>
  <si>
    <t xml:space="preserve">WOS:000767612200005</t>
  </si>
  <si>
    <t xml:space="preserve">Ng, DCE; Liew, CH; Tan, KK; Awang, EHB; Nazri, FNBA; Maran, AKT; Mohan, VAAC; Ramachandran, D; Chok, M; Teh, CH; Nor, AM; Baharuddin, SB; Khoo, EJ</t>
  </si>
  <si>
    <t xml:space="preserve">Ng, David Chun-Ern; Liew, Chuin-Hen; Tan, Kah Kee; Awang, Elida Hanan binti; Nazri, Farah Nuruliayana binti Ahmad; Maran, Asuwani K. Tamil; Mohan, Vishnu Arvindran Chandra; Ramachandran, Durairaaj; Chok, Michelle; Teh, Cheah Hooi; Mohamad Nor, Airena; Baharuddin, Suhaila bt; Khoo, Erwin Jiayuan</t>
  </si>
  <si>
    <t xml:space="preserve">Clinical comparison of HMPV and RSV infections in hospitalised Malaysian children: A propensity score matched study</t>
  </si>
  <si>
    <t xml:space="preserve">hMPV; paediatric; predictors; RSV; severity</t>
  </si>
  <si>
    <t xml:space="preserve">RESPIRATORY SYNCYTIAL VIRUS; HUMAN METAPNEUMOVIRUS INFECTION; DISEASE SEVERITY; TRACT INFECTION; RISK-FACTORS; SYMPTOMS</t>
  </si>
  <si>
    <t xml:space="preserve">IntroductionHuman metapneumovirus (hMPV) and respiratory syncytial virus (RSV) are significant contributors to the burden of acute respiratory infections in children, but data on hMPV from Southeast Asia are limited despite its potential for serious disease. This study aimed to compare the clinical presentation, resource utilisation and outcomes between hMPV and RSV infections in hospitalised Malaysian children. MethodsThis retrospective, observational study included children aged &lt;= 12 years old hospitalised with hMPV or RSV, confirmed via direct fluorescent antibody (DFA) methods, between 1 July to 30 October 2022 at Hospital Tuanku Ja'afar Seremban, Malaysia. Demographic, clinical presentation, resource utilisation and outcome data were analysed. Propensity score matching was used to balance cohorts based on key demographic and clinical characteristics. ResultsThis study included 192 patients, comprising 112 with hMPV and 80 with RSV. hMPV patients were older (median age 20.5 vs. 9.4 months, p &lt; 0.001) and had a higher incidence of comorbidities (24.1% vs. 7.5%, p = 0.003). Fever was more common in the hMPV group (97.3% vs. 73.8%, p &lt; 0.001), but the other clinical manifestations were similar. Postmatching analysis showed higher corticosteroid use in the hMPV group (p = 0.01). No significant differences were observed in the use of other resources, PICU admissions, duration of hospitalisation or mortality rates between both groups. ConclusionhMPV and RSV infections in children share similar clinical manifestations and outcomes, with hMPV affecting older children and showing higher corticosteroid usage. These findings emphasise the need for equal clinical vigilance for both hMPV and RSV in paediatric respiratory infections.</t>
  </si>
  <si>
    <t xml:space="preserve">[Ng, David Chun-Ern; Awang, Elida Hanan binti; Nazri, Farah Nuruliayana binti Ahmad; Maran, Asuwani K. Tamil; Mohan, Vishnu Arvindran Chandra; Chok, Michelle; Teh, Cheah Hooi; Mohamad Nor, Airena; Baharuddin, Suhaila bt] Minist Hlth Malaysia, Hosp Tuanku Jaafar, Seremban, Malaysia; [Liew, Chuin-Hen; Ramachandran, Durairaaj] Minist Hlth Malaysia, Hosp Tuanku Ampuan Najihah, Kuala Pilah, Malaysia; [Tan, Kah Kee] Perdana Univ, Seremban Clin Acad Ctr, Dept Paediat, Seremban, Malaysia; [Khoo, Erwin Jiayuan] Int Med Univ, Dept Paediat, Kuala Lumpur, Malaysia; [Khoo, Erwin Jiayuan] Harvard Med Sch, Dept Global Hlth &amp; Social Med, Boston, MA USA; [Khoo, Erwin Jiayuan] Int Med Univ, Dept Paediat, 126 Jalan Jalil Perkasa 19,Bukit Jalil, Kuala Lumpur 57000, Malaysia</t>
  </si>
  <si>
    <t xml:space="preserve">Kementerian Kesihatan Malaysia; Kementerian Kesihatan Malaysia; International Medical University Malaysia; Harvard University; Harvard Medical School; International Medical University Malaysia</t>
  </si>
  <si>
    <t xml:space="preserve">Khoo, EJ (corresponding author), Int Med Univ, Dept Paediat, 126 Jalan Jalil Perkasa 19,Bukit Jalil, Kuala Lumpur 57000, Malaysia.</t>
  </si>
  <si>
    <t xml:space="preserve">erwinkhoo@gmail.com</t>
  </si>
  <si>
    <t xml:space="preserve">Tan, Kah Kee/AGZ-6700-2022; Nor, Ahmed/AAG-7894-2020; Liew, Chuin-Hen/IUO-8112-2023; Khoo, Erwin/I-1821-2019</t>
  </si>
  <si>
    <t xml:space="preserve">Liew, Chuin-Hen/0000-0001-8775-0303; Ng, David CE/0000-0001-9665-3054; Khoo, Erwin/0000-0002-7498-2954</t>
  </si>
  <si>
    <t xml:space="preserve">International Medical University</t>
  </si>
  <si>
    <t xml:space="preserve">We thank the Director-General of Health Malaysia for permission to publish this article.</t>
  </si>
  <si>
    <t xml:space="preserve">e13747</t>
  </si>
  <si>
    <t xml:space="preserve">10.1111/crj.13747</t>
  </si>
  <si>
    <t xml:space="preserve">MA6F4</t>
  </si>
  <si>
    <t xml:space="preserve">WOS:001190933000001</t>
  </si>
  <si>
    <t xml:space="preserve">Ren, JP; Kolli, D; Deng, JF; Fang, R; Gong, B; Xue, MG; Casola, A; Garafalo, RP; Wang, T; Bao, XY</t>
  </si>
  <si>
    <t xml:space="preserve">Ren, Junping; Kolli, Deepthi; Deng, Junfang; Fang, Rong; Gong, Bin; Xue, Megan; Casola, Antonella; Garafalo, Roberto P.; Wang, Tian; Bao, Xiaoyong</t>
  </si>
  <si>
    <t xml:space="preserve">MyD88 controls human metapneumovirus-induced pulmonary immune responses and disease pathogenesis</t>
  </si>
  <si>
    <t xml:space="preserve">hMPV; MyD88; Cytokines/chemokines; Pulmonary immune response</t>
  </si>
  <si>
    <t xml:space="preserve">RESPIRATORY SYNCYTIAL VIRUS; TOLL-LIKE RECEPTORS; PLASMACYTOID DENDRITIC CELLS; T-LYMPHOCYTE EPITOPE; INDUCIBLE GENE-I; INNATE; PROTEIN; RECOGNITION; IDENTIFICATION; INFECTIONS</t>
  </si>
  <si>
    <t xml:space="preserve">Human metapneumovirus (hMPV) is a common cause of lung and airway infections in infants and young children. Recently, we and others have shown that hMPV infection induces Toll-like receptor (TLR)-dependent cellular signaling. However, the contribution of TLR-mediated signaling in host defenses against pulmonary hMPV infection and associated disease pathogenesis has not been elucidated. In this study, mice deficient in MyD88, a common adaptor of TLRs, was used to investigate the contribution of TLRs to in vivo pulmonary response to hMPV infection. MyD88(-/-) mice have significantly reduced pulmonary inflammation and associated disease compared with wild-type (WT) C57BL/6 mice after intranasal infection with hMPV. hMPV-induced cytokines and chemokines in bronchoalveolar lavage fluid (BALF) and isolated lung conventional dendritic cells (cDC) are also significantly impaired by MyD88 deletion. In addition, we found that MyD88 is required for the recruitment of DC, T cells, and other immune cells to the lungs, and for the functional regulation of DC and T cells in response to hMPV infection. Taken together, our data indicate that MyD88-mediated pathways are essential for the pulmonary immune and pathogenic responses to this viral pathogen. Published by Elsevier B.V.</t>
  </si>
  <si>
    <t xml:space="preserve">[Ren, Junping; Kolli, Deepthi; Deng, Junfang; Xue, Megan; Casola, Antonella; Garafalo, Roberto P.; Bao, Xiaoyong] Univ Texas Med Branch, Dept Pediat, Galveston, TX 77555 USA; [Fang, Rong; Gong, Bin; Wang, Tian] Univ Texas Med Branch, Dept Pathol, Galveston, TX 77555 USA; [Casola, Antonella; Garafalo, Roberto P.; Wang, Tian; Bao, Xiaoyong] Univ Texas Med Branch, Dept Microbiol &amp; Immunol, Galveston, TX 77555 USA; [Casola, Antonella; Garafalo, Roberto P.] Univ Texas Med Branch, Sealy Ctr Vaccine Dev, Galveston, TX 77555 USA; [Casola, Antonella; Garafalo, Roberto P.; Bao, Xiaoyong] Univ Texas Med Branch, Inst Translat Sci, Galveston, TX 77555 USA</t>
  </si>
  <si>
    <t xml:space="preserve">University of Texas System; University of Texas Medical Branch Galveston; University of Texas System; University of Texas Medical Branch Galveston; University of Texas System; University of Texas Medical Branch Galveston; University of Texas System; University of Texas Medical Branch Galveston; University of Texas System; University of Texas Medical Branch Galveston</t>
  </si>
  <si>
    <t xml:space="preserve">ren, jun/KHG-7717-2024; Fang, Rong/ABD-6123-2020</t>
  </si>
  <si>
    <t xml:space="preserve">National Institutes of Health-National Institute of Allergy and Infectious Diseases [KAI074829A]; American Lung Association [RG232529N]; American Heart Association [12BGIA12060008]; National Institute of Health [AI079246]; American Heart Association (AHA) [12BGIA12060008] Funding Source: American Heart Association (AHA)</t>
  </si>
  <si>
    <t xml:space="preserve">National Institutes of Health-National Institute of Allergy and Infectious Diseases(United States Department of Health &amp; Human ServicesNational Institutes of Health (NIH) - USANIH National Institute of Allergy &amp; Infectious Diseases (NIAID)); American Lung Association; American Heart Association(American Heart Association); National Institute of Health(United States Department of Health &amp; Human ServicesNational Institutes of Health (NIH) - USA); American Heart Association (AHA)(American Heart Association)</t>
  </si>
  <si>
    <t xml:space="preserve">This work was supported by grants from the National Institutes of Health-National Institute of Allergy and Infectious Diseases KAI074829A, the American Lung Association RG232529N, American Heart Association 12BGIA12060008 to X.B, and National Institute of Health grants AI079246 to AC. Authors thank Dr. Animesh Chandra for editing the manuscript. We also thank Qingrong Wang for the technical assistance.</t>
  </si>
  <si>
    <t xml:space="preserve">10.1016/j.virusres.2013.06.014</t>
  </si>
  <si>
    <t xml:space="preserve">210TV</t>
  </si>
  <si>
    <t xml:space="preserve">WOS:000323858500028</t>
  </si>
  <si>
    <t xml:space="preserve">McBride, K; Banos-Lara, MD; Cheemarla, NR; Guerrero-Plata, A</t>
  </si>
  <si>
    <t xml:space="preserve">McBride, Kaitlin; Banos-Lara, Ma. del Rocio; Cheemarla, Nagarjuna R.; Guerrero-Plata, Antonieta</t>
  </si>
  <si>
    <t xml:space="preserve">Human Metapneumovirus Induces Mucin 19 Which Contributes to Viral Pathogenesis</t>
  </si>
  <si>
    <t xml:space="preserve">HMPV; Muc19; mucins; immune response; human metapneumovirus; respiratory tract; T cells; virus; lung; CD4 T cells</t>
  </si>
  <si>
    <t xml:space="preserve">EXPRESSION; VIRUS; CELLS; GLYCOPROTEINS; INFECTION; GENES</t>
  </si>
  <si>
    <t xml:space="preserve">Human Metapneumovirus (HMPV) remains one of the most common viral infections causing acute respiratory tract infections, especially in young children, elderly, and immunocompromised populations. Clinical symptoms can range from mild respiratory symptoms to severe bronchiolitis and pneumonia. The production of mucus is a common feature during HMPV infection, but its contribution to HMPV-induced pathogenesis and immune response is largely unknown. Mucins are a major component of mucus and they could have an impact on how the host responds to infections. Using an in vitro system and a mouse model of infection, we identified that Mucin 19 is predominantly expressed in the respiratory tract upon HMPV infection. Moreover, the lack of Muc19 led to an improved disease, lower lung viral titers and a decrease in the number of CD4+ T cells. These data indicate that mucin 19 contributes to the activation of the immune response to HMPV and to HMPV-induced pathogenesis.</t>
  </si>
  <si>
    <t xml:space="preserve">[McBride, Kaitlin; Banos-Lara, Ma. del Rocio; Cheemarla, Nagarjuna R.; Guerrero-Plata, Antonieta] Louisiana State Univ, Dept Pathobiol Sci, Baton Rouge, LA 70808 USA</t>
  </si>
  <si>
    <t xml:space="preserve">Louisiana State University System; Louisiana State University</t>
  </si>
  <si>
    <t xml:space="preserve">Guerrero-Plata, A (corresponding author), Louisiana State Univ, Dept Pathobiol Sci, Baton Rouge, LA 70808 USA.</t>
  </si>
  <si>
    <t xml:space="preserve">Kaitlin.elise92@gmail.com; marocio.banos@upaep.mx; nagarjuna.cheemarla@yale.edu; aguerrp@lsu.edu</t>
  </si>
  <si>
    <t xml:space="preserve">Flight Attendant Medical Research Institute CIA [140082]; National Center for Research Resources [P20RR020159-09]; National Institute of General Medical Science from the U.S. National Institutes of Health [P20GM103458-09]; Louisiana State University School of Veterinary Medicine Competitive Research Program; AAI Careers in Immunology Fellowship</t>
  </si>
  <si>
    <t xml:space="preserve">Flight Attendant Medical Research Institute CIA; National Center for Research Resources(United States Department of Health &amp; Human ServicesNational Institutes of Health (NIH) - USANIH National Center for Research Resources (NCRR)); National Institute of General Medical Science from the U.S. National Institutes of Health; Louisiana State University School of Veterinary Medicine Competitive Research Program; AAI Careers in Immunology Fellowship</t>
  </si>
  <si>
    <t xml:space="preserve">This research was funded by grants from the Flight Attendant Medical Research Institute CIA (140082), National Center for Research Resources (P20RR020159-09), National Institute of General Medical Science (P20GM103458-09) from the U.S. National Institutes of Health, Louisiana State University School of Veterinary Medicine Competitive Research Program (to A.G.-P.) and additional funding from an AAI Careers in Immunology Fellowship (to A.G.-P. and M.d.R.B.-L.).</t>
  </si>
  <si>
    <t xml:space="preserve">10.3390/pathogens9090726</t>
  </si>
  <si>
    <t xml:space="preserve">OD5XC</t>
  </si>
  <si>
    <t xml:space="preserve">WOS:000579925600001</t>
  </si>
  <si>
    <t xml:space="preserve">Ali, SA; Williams, JV; Chen, QX; Faori, S; Shehabi, A; Al Jundi, E; Khuri-Bulos, N; Halasa, N</t>
  </si>
  <si>
    <t xml:space="preserve">Ali, Syed Asad; Williams, John V.; Chen, Qingxia; Faori, Sameer; Shehabi, Assem; Al Jundi, Eshan; Khuri-Bulos, Najwa; Halasa, Natasha</t>
  </si>
  <si>
    <t xml:space="preserve">Human metapneumovirus in Hospitalized Children in Amman, Jordan</t>
  </si>
  <si>
    <t xml:space="preserve">HMPV; MPV; bronchiolitis; middle east</t>
  </si>
  <si>
    <t xml:space="preserve">RESPIRATORY SYNCYTIAL VIRUS; REVERSE TRANSCRIPTION-PCR; YOUNG-CHILDREN; SEVERE BRONCHIOLITIS; TRACT INFECTIONS; INFLUENZA; DISEASE; DIAGNOSIS; IMPACT; COINFECTION</t>
  </si>
  <si>
    <t xml:space="preserve">Human metapneumovirus (HMPV) has recently been identified as an important cause of acute respiratory infections (ARI) in children worldwide. However, there is little systematic data on its frequency and importance as a cause of ARI in the Middle East. We conducted a viral surveillance study in children &lt;5 years of age admitted with respiratory symptoms and/or fever at two major tertiary care hospitals in Amman, Jordan from 1/18-3/29/07 Nose and throat swabs were collected and tested for HMPV and other respiratory viruses by real-time RT-PCR A total of 743 subjects were enrolled. Forty-four (6%) subjects were positive for HMPV, 467 (64%) were positive for RSV and 13 (1 3%) had co-infection with both HMPV and RSV The frequency of HMPV in January, February, and March was 4.1%, 3.0%, and 11 9% respectively. Clinical features associated with HMPV infection were similar to those of other respiratory viruses, except children HMPV were more likely to present With fever than children not infected with HMPV. Children with HMPV and RSV co-infection were administered supplemental oxygen and were admitted to the ICU more frequently than children infected with HMPV alone or RSV alone, though these differences did not reach statistical significance. We conclude that HMPV is an important cause of acute respiratory infections in children in Amman, Jordan. Longer surveillance studies are needed to better understand the seasonal epidemiology of HMPV and to assess if co-infection with HMPV and RSV leads to more severe illness. J. Med. Virol. 82:1012-1016, 2010. (C) 2010 Wiley-Liss, Inc</t>
  </si>
  <si>
    <t xml:space="preserve">[Ali, Syed Asad; Williams, John V.; Halasa, Natasha] Vanderbilt Univ, Sch Med, Dept Pediat, Nashville, TN 37212 USA; [Ali, Syed Asad] Aga Khan Univ, Dept Pediat &amp; Child Hlth, Karachi, Pakistan; [Williams, John V.] Vanderbilt Univ, Sch Med, Dept Microbiol &amp; Immunol, Nashville, TN 37212 USA; [Chen, Qingxia] Vanderbilt Univ, Sch Med, Dept Biostat, Nashville, TN 37212 USA; [Faori, Sameer] Al Basheer Hosp, Dept Pediat, Amman, Jordan; [Shehabi, Assem; Khuri-Bulos, Najwa] Univ Jordan, Dept Pediat, Amman, Jordan; [Al Jundi, Eshan] Saad Specialist Hosp, Dept Pediat, Al Khobar, Saudi Arabia</t>
  </si>
  <si>
    <t xml:space="preserve">Vanderbilt University; Aga Khan University; Vanderbilt University; Vanderbilt University; University of Jordan; Saad Specialist Hospital</t>
  </si>
  <si>
    <t xml:space="preserve">Halasa, N (corresponding author), 1161 21st Ave S,D7232 MCN, Nashville, TN 37232 USA.</t>
  </si>
  <si>
    <t xml:space="preserve">Williams, John/ABE-3227-2020; PAN, WILLIAM/HTR-1125-2023; Williams, John/F-6962-2010</t>
  </si>
  <si>
    <t xml:space="preserve">Williams, John/0000-0001-8377-5175; Ali, Syed Asad/0000-0001-5274-7665</t>
  </si>
  <si>
    <t xml:space="preserve">Sanofi Pasteur; MedImmune; Pfizer</t>
  </si>
  <si>
    <t xml:space="preserve">Sanofi Pasteur; MedImmune(AstraZenecaMedimmune); Pfizer(Pfizer)</t>
  </si>
  <si>
    <t xml:space="preserve">John Williams has served as a consultant for MedImmune and Novartis. Natasha Halasa received grant money from Sanofi Pasteur, MedImmune, and Pfizer and served as a consultant for Novartis. Special thanks to families and children enrolled in our study, for Ghadeer Azizi and Manar Dweik for collecting samples and data entry and Amy Podsiad for her technical support.</t>
  </si>
  <si>
    <t xml:space="preserve">10.1002/jmv.21768</t>
  </si>
  <si>
    <t xml:space="preserve">WOS:000276981700014</t>
  </si>
  <si>
    <t xml:space="preserve">Diab, M; Glasner, A; Isaacson, B; Bar-On, Y; Drori, Y; Yamin, R; Duev-Cohen, A; Danziger, O; Zamostiano, R; Mandelboim, M; Jonjic, S; Bacharach, E; Mandelboim, O</t>
  </si>
  <si>
    <t xml:space="preserve">Diab, Mohammad; Glasner, Ariella; Isaacson, Batya; Bar-On, Yotam; Drori, Yaron; Yamin, Rachel; Duev-Cohen, Alexandra; Danziger, Oded; Zamostiano, Rachel; Mandelboim, Michal; Jonjic, Stipan; Bacharach, Eran; Mandelboim, Ofer</t>
  </si>
  <si>
    <t xml:space="preserve">NK-cell receptors NKp46 and NCR1 control human metapneumovirus infection</t>
  </si>
  <si>
    <t xml:space="preserve">EUROPEAN JOURNAL OF IMMUNOLOGY</t>
  </si>
  <si>
    <t xml:space="preserve">HMPV; MHC class I; MICA; NCRs; NCR1; NK cells; NKG2D; NKp46; respiratory infection</t>
  </si>
  <si>
    <t xml:space="preserve">NATURAL CYTOTOXICITY; INFLUENZA-VIRUS; RECOGNITION; PATHOGENESIS; CHILDREN; DISEASE; ACTIVATION; EXPRESSION; CONTRIBUTE; CLEARANCE</t>
  </si>
  <si>
    <t xml:space="preserve">Natural killer (NK) cells are capable of killing various pathogens upon stimulation of activating receptors. Human metapneumovirus (HMPV) is a respiratory virus, which was discovered in 2001 and is responsible for acute respiratory tract infection in infants and children worldwide. HMPV infection is very common, infecting around 70% of all children under the age of five. Under immune suppressive conditions, HMPV infection can be fatal. Not much is known on how NK cells respond to HMPV. In this study, using reporter assays and NK-cell cytotoxicity assays performed with human and mouse NK cells, we demonstrated that the NKp46-activating receptor and its mouse orthologue Ncr1, both members of the natural cytotoxicity receptor (NCR) family, recognized an unknown ligand expressed by HMPV-infected human cells. We demonstrated that MHC class I is upregulated and MICA is downregulated upon HMPV infection. We also characterized mouse NK-cell phenotype in the blood and the lungs of HMPV-infected mice and found that lung NK cells are more activated and expressing NKG2D, CD43, CD27, KLRG1, and CD69 compared to blood NK cells regardless of HMPV infection. Finally, we demonstrated, using Ncr1-deficient mice, that NCR1 plays a critical role in controlling HMPV infection.</t>
  </si>
  <si>
    <t xml:space="preserve">[Diab, Mohammad; Glasner, Ariella; Isaacson, Batya; Bar-On, Yotam; Yamin, Rachel; Duev-Cohen, Alexandra; Mandelboim, Ofer] Hebrew Univ Jerusalem, Lautenberg Ctr Gen &amp; Tumor Immunol, BioMed Res Inst Israel Canada, Fac Med IMRIC,Hadassah Med Sch, Jerusalem, Israel; [Drori, Yaron; Mandelboim, Michal] Chaim Sheba Med Ctr, Cent Virol Lab, Minist Hlth, Publ Hlth Serv, Ramat Gan, Israel; [Drori, Yaron; Mandelboim, Michal] Tel Aviv Univ, Sch Publ Hlth, Dept Epidemiol &amp; Prevent Med, Sackler Fac Med, Tel Aviv, Israel; [Danziger, Oded; Zamostiano, Rachel; Bacharach, Eran] Tel Aviv Univ, Dept Cell Res &amp; Immunol, Fac Life Sci, Tel Aviv, Israel; [Jonjic, Stipan] Univ Rijeka, Dept Histol &amp; Embryol, Fac Med, Rijeka, Croatia; [Jonjic, Stipan] Univ Rijeka, Ctr Prote, Fac Med, Rijeka, Croatia</t>
  </si>
  <si>
    <t xml:space="preserve">Hebrew University of Jerusalem; Chaim Sheba Medical Center; Tel Aviv University; Tel Aviv University; University of Rijeka; University of Rijeka</t>
  </si>
  <si>
    <t xml:space="preserve">Mandelboim, O (corresponding author), Hebrew Univ Jerusalem, Hadassah Med Sch, Lautenberg Ctr Immunol, IL-91120 Jerusalem, Israel.</t>
  </si>
  <si>
    <t xml:space="preserve">oferm@ekmd.huji.ac.il</t>
  </si>
  <si>
    <t xml:space="preserve">Bacharach, Eran/JPL-0522-2023; danziger, oded/HKE-7538-2023; Jonjic, Stipan/C-5657-2016</t>
  </si>
  <si>
    <t xml:space="preserve">Jonjic, Stipan/0000-0001-5003-3108; Glasner, Ari/0000-0001-7122-881X; Danziger, Oded/0000-0003-0533-3851; Bacharach, Eran/0000-0001-8341-2833; Mandelboim, Ofer/0000-0002-9354-1855</t>
  </si>
  <si>
    <t xml:space="preserve">European Research Council under the European Union [320473-BacNK]; the I-CORE Program of the Planning and Budgeting Committee; Israel Science Foundation; I-Core on Chromatin and RNA in Gene Regulation; GIF Foundation; Lewis Family Foundation; ICRF professorship grant; Helmholtz Israel grant; Rosetrees Trust</t>
  </si>
  <si>
    <t xml:space="preserve">European Research Council under the European Union(European Research Council (ERC)); the I-CORE Program of the Planning and Budgeting Committee; Israel Science Foundation(Israel Science Foundation); I-Core on Chromatin and RNA in Gene Regulation; GIF Foundation(German-Israeli Foundation for Scientific Research and Development); Lewis Family Foundation; ICRF professorship grant; Helmholtz Israel grant; Rosetrees Trust(Rosetrees Trust)</t>
  </si>
  <si>
    <t xml:space="preserve">This study was supported by the European Research Council under the European Union's Seventh Framework Programme (FP/2007-2013)/ERC Grant Agreement number 320473-BacNK. Further support came from the I-CORE Program of the Planning and Budgeting Committee and the Israel Science Foundation and by the I-Core on Chromatin and RNA in Gene Regulation, the GIF Foundation, the Lewis Family Foundation, the ICRF professorship grant, the Helmholtz Israel grant, and the Rosetrees Trust (all to O.M.).</t>
  </si>
  <si>
    <t xml:space="preserve">0014-2980</t>
  </si>
  <si>
    <t xml:space="preserve">1521-4141</t>
  </si>
  <si>
    <t xml:space="preserve">EUR J IMMUNOL</t>
  </si>
  <si>
    <t xml:space="preserve">Eur. J. Immunol.</t>
  </si>
  <si>
    <t xml:space="preserve">10.1002/eji.201646756</t>
  </si>
  <si>
    <t xml:space="preserve">ER4YR</t>
  </si>
  <si>
    <t xml:space="preserve">WOS:000398808900012</t>
  </si>
  <si>
    <t xml:space="preserve">Bitko, V; Barik, S</t>
  </si>
  <si>
    <t xml:space="preserve">Bitko, Vira; Barik, Sailen</t>
  </si>
  <si>
    <t xml:space="preserve">Role of metapneumoviral glycoproteins in the evasion of the host cell innate immune response</t>
  </si>
  <si>
    <t xml:space="preserve">HMPV; Metapneumovirus; Interferon; Glycoproteins; IFN regulatory factor; STAT; Ectodomain</t>
  </si>
  <si>
    <t xml:space="preserve">RESPIRATORY SYNCYTIAL VIRUS; NF-KAPPA-B; NONSTRUCTURAL PROTEINS NS1; INTERFERON REGULATORY FACTOR-3; ATTACHMENT G-GLYCOPROTEIN; SMALL HYDROPHOBIC PROTEIN; FUSION PROTEIN; YOUNG-CHILDREN; SH GENE; ALPHA</t>
  </si>
  <si>
    <t xml:space="preserve">Human metapneumovirus (HMPV), an unsegmented negative-strand RNA virus, is the second most detected respiratory pathogen and one of the leading causes of respiratory illness in infants and immunodeficient individuals. HMPV infection of permissive cells in culture triggers a transient IFN response, which is efficiently suppressed later in infection. We report that two structural glycoproteins of the virus - namely G (Glycoprotein) and SH (Small Hydrophobic) - suppress the type I interferon (IFN) response in cell culture. This is manifested by inhibition of diverse steps of IFN induction and response, such as phosphorylation and nuclear translocation of IFN regulatory factor-3 and -7 (IRF3, IRF7), major transcription factors of the IFN gene. Furthermore, HMPV suppresses the cellular response to IFN by inhibiting the phosphorylation of STAT1 (Signal Transducer and Activator of Transcription 1), required for the induction of IFN-stimulated genes that act as antivirals. Sitedirected mutagenesis revealed an important role of critical cysteine (Cys) residues in the Cys-rich carboxy terminal region of the SH protein in IFN suppression, whereas for G, the ectodomain plays a role. These results shed light on the mechanism of IFN suppression by HMPV, and may also offer avenues for new antiviral approaches in the future.</t>
  </si>
  <si>
    <t xml:space="preserve">[Bitko, Vira; Barik, Sailen] Univ S Alabama, Coll Med, Dept Biochem &amp; Mol Biol, 307 Univ Blvd, Mobile, AL 36688 USA</t>
  </si>
  <si>
    <t xml:space="preserve">University of South Alabama</t>
  </si>
  <si>
    <t xml:space="preserve">Barik, S (corresponding author), Univ S Alabama, Coll Med, Dept Biochem &amp; Mol Biol, 307 Univ Blvd, Mobile, AL 36688 USA.</t>
  </si>
  <si>
    <t xml:space="preserve">help@eonbio.com</t>
  </si>
  <si>
    <t xml:space="preserve">This research did not receive any external funding. V.B. was supported in part by a start-up fund from the University of South Alabama. The cost of publication of the paper was paid for by the personal funds of the authors.</t>
  </si>
  <si>
    <t xml:space="preserve">10.1016/j.meegid.2021.105096</t>
  </si>
  <si>
    <t xml:space="preserve">WI9NO</t>
  </si>
  <si>
    <t xml:space="preserve">WOS:000708680000012</t>
  </si>
  <si>
    <t xml:space="preserve">Chen, Y; Deng, XL; Deng, JF; Zhou, JH; Ren, YP; Liu, SX; Prusak, DJ; Wood, TG; Bao, XY</t>
  </si>
  <si>
    <t xml:space="preserve">Chen, Yu; Deng, Xiaoling; Deng, Junfeng; Zhou, Jiehua; Ren, Yuping; Liu, Shengxuan; Prusak, Deborah J.; Wood, Thomas G.; Bao, Xiaoyong</t>
  </si>
  <si>
    <t xml:space="preserve">Functional motifs responsible for human metapneumovirus M2-2-mediated innate immune evasion</t>
  </si>
  <si>
    <t xml:space="preserve">hMPV; M2-2 motif; TRAF; MAVS; Innate immune response</t>
  </si>
  <si>
    <t xml:space="preserve">RESPIRATORY SYNCYTIAL VIRUS; NF-KAPPA-B; ALVEOLAR EPITHELIAL-CELLS; INDUCIBLE GENE-I; M2-2 PROTEIN; MAVS; ACTIVATION; INFECTION; TRANSCRIPTION; DISEASE</t>
  </si>
  <si>
    <t xml:space="preserve">Human metapneumovirus (hMPV) is a major cause of lower respiratory infection in young children. Repeated infections occur throughout life, but its immune evasion mechanisms are largely unknown. We recently found that hMPV M2-2 protein elicits immune evasion by targeting mitochondrial antiviral-signaling protein (MAVS), an antiviral signaling molecule. However, the molecular mechanisms underlying such inhibition are not known. Our mutagenesis studies revealed that PDZ-binding motifs, 29-DEMI-32 and 39-KEALSDGI-46, located in an immune inhibitory region of M2-2, are responsible for M2-2-mediated immune evasion. We also found both motifs prevent TRAF5 and TRAF6, the MAVS downstream adaptors, to be recruited to MAVS, while the motif 39-KEALSDGI-46 also blocks TRAF3 migrating to MAVS. In parallel, these TRAFs are important in activating transcription factors NF-kB and/or IRF-3 by hMPV. Our findings collectively demonstrate that M2-2 uses its PDZ motifs to launch the hMPV immune evasion through blocking the interaction of MAVS and its downstream TRAFs.</t>
  </si>
  <si>
    <t xml:space="preserve">[Chen, Yu; Zhou, Jiehua; Ren, Yuping; Liu, Shengxuan] Huazhong Univ Sci &amp; Technol, TongJi Hosp, TongJi Med Coll, Dept Pediat, Wuhan, Hubei Sheng, Peoples R China; [Chen, Yu; Deng, Xiaoling; Deng, Junfeng; Ren, Yuping; Liu, Shengxuan; Bao, Xiaoyong] Univ Texas Med Branch, Dept Pediat, Galveston, TX 77555 USA; [Deng, Junfeng] Zhejiang Univ, Coll Med, Affiliated Hosp 1, Dept Hepatobiliary Surg, Hangzhou, Zhejiang, Peoples R China; [Prusak, Deborah J.; Wood, Thomas G.] Univ Texas Med Branch, Dept Biochem &amp; Mol Biol, Galveston, TX 77555 USA; [Prusak, Deborah J.; Wood, Thomas G.; Bao, Xiaoyong] Univ Texas Med Branch, Sealy Ctr Mol Med, Galveston, TX 77555 USA; [Bao, Xiaoyong] Univ Texas Med Branch, Inst Translat Sci, Galveston, TX 77555 USA; [Bao, Xiaoyong] Univ Texas Med Branch, Inst Human Infect &amp; Immun, Galveston, TX 77555 USA</t>
  </si>
  <si>
    <t xml:space="preserve">Huazhong University of Science &amp; Technology; University of Texas System; University of Texas Medical Branch Galveston; Zhejiang University; University of Texas System; University of Texas Medical Branch Galveston; University of Texas System; University of Texas Medical Branch Galveston; University of Texas System; University of Texas Medical Branch Galveston; University of Texas System; University of Texas Medical Branch Galveston</t>
  </si>
  <si>
    <t xml:space="preserve">Wood, Thomas/GWZ-2481-2022; Deng, Xiaoling/HTN-7259-2023</t>
  </si>
  <si>
    <t xml:space="preserve">National Institutes of Health-National Institute of Allergy and Infectious Diseases [1R01AI107033-01, R21AI113771-01A1]; American Lung Association [RG232529N]; American Heart Association [12BGIA12060008]; UTMB CTSA - NCATS [UL1TR001439]; American Heart Association (AHA) [12BGIA12060008] Funding Source: American Heart Association (AHA)</t>
  </si>
  <si>
    <t xml:space="preserve">National Institutes of Health-National Institute of Allergy and Infectious Diseases(United States Department of Health &amp; Human ServicesNational Institutes of Health (NIH) - USANIH National Institute of Allergy &amp; Infectious Diseases (NIAID)); American Lung Association; American Heart Association(American Heart Association); UTMB CTSA - NCATS; American Heart Association (AHA)(American Heart Association)</t>
  </si>
  <si>
    <t xml:space="preserve">All authors concur there are no conflicts of interest associated in this published work. This work was supported by grants from the National Institutes of Health-National Institute of Allergy and Infectious Diseases 1R01AI107033-01 and R21AI113771-01A1, the American Lung Association RG232529N, and American Heart Association 12BGIA12060008 to X.B. Authors thank Dr. Animesh Chandra for assistance with manuscript editing and submission, supported by the UTMB CTSA funded by NCATS grant UL1TR001439.</t>
  </si>
  <si>
    <t xml:space="preserve">10.1016/j.virol.2016.09.026</t>
  </si>
  <si>
    <t xml:space="preserve">EC3YI</t>
  </si>
  <si>
    <t xml:space="preserve">WOS:000388062600038</t>
  </si>
  <si>
    <t xml:space="preserve">Ren, YP; Choi, E; Zhang, K; Chen, Y; Ye, S; Deng, XL; Zhang, KL; Bao, XY</t>
  </si>
  <si>
    <t xml:space="preserve">Ren, Yuping; Choi, Eunjin; Zhang, Ke; Chen, Yu; Ye, Sha; Deng, Xiaoling; Zhang, Kangling; Bao, Xiaoyong</t>
  </si>
  <si>
    <t xml:space="preserve">Detection of Nuclear Protein Profile Changes by Human Metapneumovirus M2-2 Protein Using Quantitative Differential Proteomics</t>
  </si>
  <si>
    <t xml:space="preserve">hMPV; M2-2 motif; proteomics</t>
  </si>
  <si>
    <t xml:space="preserve">CENTRAL-NERVOUS-SYSTEM; FACTOR NF-Y; I RIG-I; ALZHEIMERS-DISEASE; INACTIVATED VIRUS; EPITHELIAL-CELLS; GENE-EXPRESSION; INFLUENZA-VIRUS; DNA-BINDING; INFECTION</t>
  </si>
  <si>
    <t xml:space="preserve">Human metapneumovirus (hMPV) is a leading cause of lower respiratory infection in pediatric populations globally. This study examined proteomic profile changes in A549 cells infected with hMPV and two attenuated mutants with deleted PDZ domain-binding motif(s) in the M2-2 protein. These motifs are involved in the interruption of antiviral signaling, namely the interaction between the TNF receptor associated factor (TRAF) and mitochondrial antiviral-signaling (MAVS) proteins. The aim of this study was to provide insight into the overall and novel impact of M2-2 motifs on cellular responses via an unbiased comparison. Tandem mass tagging, stable isotope labeling, and high-resolution mass spectrometry were used for quantitative proteomic analysis. Using quantitative proteomics and Venn analysis, 1248 common proteins were detected in all infected samples of both technical sets. Hierarchical clustering of the differentiated proteome displayed distinct proteomic signatures that were controlled by the motif(s). Bioinformatics and experimental analysis confirmed the differentiated proteomes, revealed novel cellular biological events, and implicated key pathways controlled by hMPV M2-2 PDZ domain-binding motif(s). This provides further insight for evaluating M2-2 mutants as potent vaccine candidates.</t>
  </si>
  <si>
    <t xml:space="preserve">[Ren, Yuping; Choi, Eunjin; Chen, Yu; Ye, Sha; Deng, Xiaoling; Bao, Xiaoyong] Univ Texas Med Branch, Dept Pediat, Galveston, TX 77555 USA; [Ren, Yuping] Huazhong Univ Sci &amp; Technol, TongJi Hosp, Dept Plast Surg, TongJi Med Coll, Wuhan 430073, Peoples R China; [Zhang, Ke] Baylor Univ, Dept Biochem, Waco, TX 76706 USA; [Chen, Yu] Huazhong Univ Sci &amp; Technol, TongJi Hosp, Dept Pediat, TongJi Med Coll, Wuhan 430073, Peoples R China; [Ye, Sha] Cent S Univ, Xiangya Sch Med, Hunan Canc Hosp, Dept Gynecol Oncol Ward 5, Changsha 410008, Hunan, Peoples R China; [Zhang, Kangling] Univ Texas Med Branch, Dept Pharmacol &amp; Toxicol, Galveston, TX 77555 USA; [Bao, Xiaoyong] Univ Texas Med Branch, Sealy Ctr Mol Med, Galveston, TX 77555 USA; [Bao, Xiaoyong] Univ Texas Med Branch, Inst Translat Sci, Galveston, TX 77555 USA; [Bao, Xiaoyong] Univ Texas Med Branch, Inst Human Infect Immun, Galveston, TX 77555 USA</t>
  </si>
  <si>
    <t xml:space="preserve">University of Texas System; University of Texas Medical Branch Galveston; Huazhong University of Science &amp; Technology; Baylor University; Huazhong University of Science &amp; Technology; Central South University; University of Texas System; University of Texas Medical Branch Galveston; University of Texas System; University of Texas Medical Branch Galveston; University of Texas System; University of Texas Medical Branch Galveston; University of Texas System; University of Texas Medical Branch Galveston</t>
  </si>
  <si>
    <t xml:space="preserve">Bao, XY (corresponding author), Univ Texas Med Branch, Dept Pediat, Galveston, TX 77555 USA.;Bao, XY (corresponding author), Univ Texas Med Branch, Sealy Ctr Mol Med, Galveston, TX 77555 USA.;Bao, XY (corresponding author), Univ Texas Med Branch, Inst Translat Sci, Galveston, TX 77555 USA.;Bao, XY (corresponding author), Univ Texas Med Branch, Inst Human Infect Immun, Galveston, TX 77555 USA.</t>
  </si>
  <si>
    <t xml:space="preserve">ypren@tjh.tjmu.edu.cn; euchoi@utmb.edu; Ken_zhang@baylor.edu; yuchen@tjh.tjmu.edu.cn; cindy.ye.dbm@gmail.com; xideng@utmb.edu; Ken_zhang@baylor.edu; xibao@utmb.edu</t>
  </si>
  <si>
    <t xml:space="preserve">Deng, Xiaoling/HTN-7259-2023</t>
  </si>
  <si>
    <t xml:space="preserve">National Institutes of Health-National Institute of Allergy and Infectious Diseases [1R01AI107033-01, R21AI113771-01A1]; American Lung Association [RG232529N]; American Heart Association [12BGIA12060008]; UTMB CTSA - NCATS grant [UL1TR001439]; American Heart Association (AHA) [12BGIA12060008] Funding Source: American Heart Association (AHA)</t>
  </si>
  <si>
    <t xml:space="preserve">National Institutes of Health-National Institute of Allergy and Infectious Diseases(United States Department of Health &amp; Human ServicesNational Institutes of Health (NIH) - USANIH National Institute of Allergy &amp; Infectious Diseases (NIAID)); American Lung Association; American Heart Association(American Heart Association); UTMB CTSA - NCATS grant; American Heart Association (AHA)(American Heart Association)</t>
  </si>
  <si>
    <t xml:space="preserve">All authors concur there are no conflicts of interest associated with this published work. This work was supported by grants from the National Institutes of Health-National Institute of Allergy and Infectious Diseases 1R01AI107033-01 and R21AI113771-01A1; the American Lung Association RG232529N; and American Heart Association 12BGIA12060008 to X.B. Authors thank Bethany J. Baker for assistance with manuscript editing. She is supported by the UTMB CTSA funded by NCATS grant UL1TR001439. We also thank Bruce A. Luxon, who retired as the director of UTMB Bioinformatics Program, for his advice on data analysis.</t>
  </si>
  <si>
    <t xml:space="preserve">10.3390/vaccines5040045</t>
  </si>
  <si>
    <t xml:space="preserve">FR7DH</t>
  </si>
  <si>
    <t xml:space="preserve">WOS:000419226400014</t>
  </si>
  <si>
    <t xml:space="preserve">Sepúlveda-Alfaro, J; Catalán, EA; Vallejos, OP; Ramos-Tapia, I; Madrid-Muñoz, C; Mendoza-León, MJ; Suazo, ID; Rivera-Asin, E; Silva, PH; Alvarez-Mardones, O; Castillo-Godoy, DP; Riedel, CA; Schinnerling, K; Ugalde, JA; Soto, JA; Bueno, SM; Kalergis, AM; Melo-Gonzalez, F</t>
  </si>
  <si>
    <t xml:space="preserve">Sepulveda-Alfaro, Javiera; Catalan, Eduardo A.; Vallejos, Omar P.; Ramos-Tapia, Ignacio; Madrid-Munoz, Cristobal; Mendoza-Leon, Maria J.; Suazo, Isidora D.; Rivera-Asin, Elizabeth; Silva, Pedro H.; Alvarez-Mardones, Oscar; Castillo-Godoy, Daniela P.; Riedel, Claudia A.; Schinnerling, Katina; Ugalde, Juan A.; Soto, Jorge A.; Bueno, Susan M.; Kalergis, Alexis M.; Melo-Gonzalez, Felipe</t>
  </si>
  <si>
    <t xml:space="preserve">Human metapneumovirus respiratory infection affects both innate and adaptive intestinal immunity</t>
  </si>
  <si>
    <t xml:space="preserve">HMPV; lung-gut axis; monocytes; CD8+T cells; microbiota</t>
  </si>
  <si>
    <t xml:space="preserve">SYNCYTIAL VIRUS; PULMONARY INFLAMMATION; HEPARAN-SULFATE; T-CELLS; PATHOGENESIS; MACROPHAGES; HOMEOSTASIS; EXPRESSION; CONTRIBUTE; MONOCYTES</t>
  </si>
  <si>
    <t xml:space="preserve">Introduction Respiratory infections are one of the leading causes of morbidity and mortality worldwide, mainly in children, immunocompromised people, and the elderly. Several respiratory viruses can induce intestinal inflammation and alterations in intestinal microbiota composition. Human metapneumovirus (HMPV) is one of the major respiratory viruses contributing to infant mortality in children under 5 years of age worldwide, and the effect of this infection at the gut level has not been studied.Methods Here, we evaluated the distal effects of HMPV infection on intestinal microbiota and inflammation in a murine model, analyzing several post-infection times (days 1, 3, and 5). Six to eight-week-old C57BL/6 mice were infected intranasally with HMPV, and mice inoculated with a non-infectious supernatant (Mock) were used as a control group.Results We did not detect HMPV viral load in the intestine, but we observed significant changes in the transcription of IFN-gamma in the colon, analyzed by qPCR, at day 1 post-infection as compared to the control group. Furthermore, we analyzed the frequencies of different innate and adaptive immune cells in the colonic lamina propria, using flow cytometry. The frequency of monocyte populations was altered in the colon of HMPV -infected mice at days 1 and 3, with no significant difference from control mice at day 5 post-infection. Moreover, colonic CD8+ T cells and memory precursor effector CD8+ T cells were significantly increased in HMPV-infected mice at day 5, suggesting that HMPV may also alter intestinal adaptive immunity. Additionally, we did not find alterations in antimicrobial peptide expression, the frequency of colonic IgA+ plasma cells, and levels of fecal IgA. Some minor alterations in the fecal microbiota composition of HMPV -infected mice were detected using 16s rRNA sequencing. However, no significant differences were found in beta-diversity and relative abundance at the genus level.Discussion To our knowledge, this is the first report describing the alterations in intestinal immunity following respiratory infection with HMPV infection. These effects do not seem to be mediated by direct viral infection in the intestinal tract. Our results indicate that HMPV can affect colonic innate and adaptive immunity but does not significantly alter the microbiota composition, and further research is required to understand the mechanisms inducing these distal effects in the intestine.</t>
  </si>
  <si>
    <t xml:space="preserve">[Sepulveda-Alfaro, Javiera; Catalan, Eduardo A.; Vallejos, Omar P.; Suazo, Isidora D.; Silva, Pedro H.; Bueno, Susan M.; Kalergis, Alexis M.] Pontificia Univ Catolica Chile, Millennium Inst Immunol &amp; Immunotherapy, Fac Ciencias Biol, Dept Genet Mol &amp; Microbiol, Santiago, Chile; [Catalan, Eduardo A.; Mendoza-Leon, Maria J.; Rivera-Asin, Elizabeth; Alvarez-Mardones, Oscar; Riedel, Claudia A.; Soto, Jorge A.; Melo-Gonzalez, Felipe] Univ Andres Bello, Millennium Inst Immunol &amp; Immunotherapy, Fac Ciencias Vida, Dept Ciencias Biol, Santiago, Chile; [Ramos-Tapia, Ignacio; Ugalde, Juan A.] Univ Andres Bello, Fac Ciencias Vida, Ctr Bioinformat &amp; Integrat Biol, Santiago, Chile; [Madrid-Munoz, Cristobal; Castillo-Godoy, Daniela P.; Schinnerling, Katina] Univ Andres Bello, Fac Ciencias Vida, Santiago, Chile; [Kalergis, Alexis M.] Pontificia Univ Catolica Chile, Fac Med, Dept Endocrinol, Santiago, Chile</t>
  </si>
  <si>
    <t xml:space="preserve">Pontificia Universidad Catolica de Chile; Universidad Andres Bello; Universidad Andres Bello; Universidad Andres Bello; Pontificia Universidad Catolica de Chile</t>
  </si>
  <si>
    <t xml:space="preserve">Kalergis, AM (corresponding author), Pontificia Univ Catolica Chile, Millennium Inst Immunol &amp; Immunotherapy, Fac Ciencias Biol, Dept Genet Mol &amp; Microbiol, Santiago, Chile.;Melo-Gonzalez, F (corresponding author), Univ Andres Bello, Millennium Inst Immunol &amp; Immunotherapy, Fac Ciencias Vida, Dept Ciencias Biol, Santiago, Chile.;Kalergis, AM (corresponding author), Pontificia Univ Catolica Chile, Fac Med, Dept Endocrinol, Santiago, Chile.</t>
  </si>
  <si>
    <t xml:space="preserve">akalergis@bio.puc.cl; felipe.melo@unab.cl</t>
  </si>
  <si>
    <t xml:space="preserve">Bueno, Susan/KSL-5357-2024; Arenas Catalán, Eduardo/AFR-3760-2022; Soto, Jorge/CAH-4118-2022; Mendoza, Maria/JQX-2530-2023; Melo, Felipe/KOC-9022-2024; Ugalde, Juan/E-7070-2010</t>
  </si>
  <si>
    <t xml:space="preserve">Castillo-Godoy, Daniela P./0009-0001-0856-5802; Suazo Galvez, Isidora Del Carmen/0000-0001-8274-7471; Soto, Jorge/0000-0003-0335-9759; Ramos-Tapia, Ignacio/0000-0001-9840-3331; Ugalde, Juan/0000-0001-6638-0817; Melo-Gonzalez, Felipe/0000-0002-3711-2407; Schinnerling, Katina/0000-0003-2669-9764; Mendoza-Leon, Maria Jose/0000-0003-4760-7953</t>
  </si>
  <si>
    <t xml:space="preserve">Fondo Nacional de Desarrollo Cientimath;fico y Tecnologico (FONDECYT) [11220882, 1191300, 1221209, 1231866, PAI SA77210051, 1170964, FONDEF/IDeA ID20I10082, 1190830, 11200764, 1231851]; ANID Becas Doctorado Nacional [21211419]; Anillo [ATE220061]; ANID-Millennium Science Initiative Program-Millennium Institute on Immunology and Immunotherapy [ICN09_016/ICN2021_045, P09/016-F]</t>
  </si>
  <si>
    <t xml:space="preserve">Fondo Nacional de Desarrollo Cientimath;fico y Tecnologico (FONDECYT); ANID Becas Doctorado Nacional; Anillo(Comision Nacional de Investigacion Cientifica y Tecnologica (CONICYT)CONICYT PIA/ANILLOS); ANID-Millennium Science Initiative Program-Millennium Institute on Immunology and Immunotherapy</t>
  </si>
  <si>
    <t xml:space="preserve">The author(s) declarefinancial support was received for theresearch, authorship, and/or publication of this article. This study was supported by grants 11220882 (KS), 1191300 (CAR), 1221209(JU), 1231866 (JAS), PAI SA77210051 (JAS), 1170964 (SB),FONDEF/IDeA ID20I10082 (SB), 1190830 (AK), and 11200764(FM-G), 1231851 (AK) from Fondo Nacional de Desarrollo Cient &amp; imath;fico y Tecnologico (FONDECYT), ANID Becas Doctorado Nacional 21211419 (MML), Anillo ATE220061 (JU, IR-T), and ANID-Millennium Science Initiative Program-Millennium Institute on Immunology and Immunotherapy (ICN09_016/ICN2021_045; former P09/016-F).</t>
  </si>
  <si>
    <t xml:space="preserve">FEB 2</t>
  </si>
  <si>
    <t xml:space="preserve">10.3389/fimmu.2024.1330209</t>
  </si>
  <si>
    <t xml:space="preserve">IW7W8</t>
  </si>
  <si>
    <t xml:space="preserve">WOS:001169451200001</t>
  </si>
  <si>
    <t xml:space="preserve">Choi, EJ; Wu, WZ; Chen, Y; Yan, WY; Li, LQ; Choudhury, A; Bao, XY</t>
  </si>
  <si>
    <t xml:space="preserve">Choi, Eun-Jin; Wu, Wenzhe; Chen, Yu; Yan, Weiyu; Li, Liqing; Choudhury, Atanu; Bao, Xiaoyong</t>
  </si>
  <si>
    <t xml:space="preserve">The role of M2-2 PDZ-binding motifs in pulmonary innate immune responses to human metapneumovirus</t>
  </si>
  <si>
    <t xml:space="preserve">HMPV; innate immunity; PDZ-binding motif; pulmonary innate response</t>
  </si>
  <si>
    <t xml:space="preserve">INDUCIBLE GENE-I; DISEASE SEVERITY; VIRAL LOAD; RIG-I; INFECTION; PROTEIN; CHILDREN; VACCINE; YOUNG; MICE</t>
  </si>
  <si>
    <t xml:space="preserve">Human metapneumovirus (HMPV) is a leading cause of lower respiratory tract infection (LRTI) in pediatric and geriatric populations. We recently found that two PDZ-binding motifs of the M2-2 protein, 29-DEMI-32 and 39-KEALSDGI-46, play a significant role in mediating HMPV immune evasion in airway epithelial cells (AECs). However, their role in the overall pulmonary responses to HMPV infection has not been investigated. In this study, we found that two recombinant HMPVs (rHMPV) lacking the individual M2-2 PDZ-binding motif are attenuated in mouse lungs. Mice infected with mutants produce more cytokines/chemokines in bronchoalveolar lavage (BAL) fluid compared to mice infected with wild-type rHMPV. In addition, both mutants are able to enhance the pulmonary recruitment of dendritic cells (DCs) and T cells and induce effective protections against the HMPV challenge. The DC maturation is also significantly improved by the motif mutation. Taken together, our data provide proof-of-principle for two live-attenuated M2-2 mutants to be promising HMPV vaccine candidates that are effective in inducing higher pulmonary innate immunity and generating protection against HMPV infection.</t>
  </si>
  <si>
    <t xml:space="preserve">[Choi, Eun-Jin; Wu, Wenzhe; Chen, Yu; Yan, Weiyu; Li, Liqing; Choudhury, Atanu; Bao, Xiaoyong] Univ Texas Med Branch, Dept Pediat, Galveston, TX 77555 USA; [Yan, Weiyu] Jiangxi Agr Univ, Honeybee Res Inst, Nanchang, Jiangxi, Peoples R China; [Li, Liqing] Univ Pittsburgh, Dept Microbiol, Pittsburgh, PA USA; [Choudhury, Atanu] Univ Texas Austin, Austin, TX 78712 USA; [Bao, Xiaoyong] Univ Texas Med Branch, Sealy Ctr Mol Med, Galveston, TX 77555 USA; [Bao, Xiaoyong] Univ Texas Med Branch, Inst Translat Sci, Galveston, TX 77555 USA; [Bao, Xiaoyong] Univ Texas Med Branch, Inst Human Infect &amp; Immun, Galveston, TX 77555 USA</t>
  </si>
  <si>
    <t xml:space="preserve">University of Texas System; University of Texas Medical Branch Galveston; Jiangxi Agricultural University; Pennsylvania Commonwealth System of Higher Education (PCSHE); University of Pittsburgh; University of Texas System; University of Texas Austin; University of Texas System; University of Texas Medical Branch Galveston; University of Texas System; University of Texas Medical Branch Galveston; University of Texas System; University of Texas Medical Branch Galveston</t>
  </si>
  <si>
    <t xml:space="preserve">Choi, EJ; Bao, XY (corresponding author), Univ Texas Med Branch, Dept Pediat, Galveston, TX 77555 USA.</t>
  </si>
  <si>
    <t xml:space="preserve">euchoi@utmb.edu; xibao@utmb.edu</t>
  </si>
  <si>
    <t xml:space="preserve">LI, LI QING/GRR-8855-2022</t>
  </si>
  <si>
    <t xml:space="preserve">Bao, Xiaoyong/0000-0002-6884-2584</t>
  </si>
  <si>
    <t xml:space="preserve">Flight Attendant Medical Research Institute; National Institutes of Health-National Institute of Allergy and Infectious Diseases [1R01AI116812, R21 AI113771]</t>
  </si>
  <si>
    <t xml:space="preserve">Flight Attendant Medical Research Institute; National Institutes of Health-National Institute of Allergy and Infectious Diseases(United States Department of Health &amp; Human ServicesNational Institutes of Health (NIH) - USANIH National Institute of Allergy &amp; Infectious Diseases (NIAID))</t>
  </si>
  <si>
    <t xml:space="preserve">Flight Attendant Medical Research Institute; National Institutes of Health-National Institute of Allergy and Infectious Diseases, Grant/Award Numbers: 1R01AI116812, R21 AI113771</t>
  </si>
  <si>
    <t xml:space="preserve">10.1002/jmv.25713</t>
  </si>
  <si>
    <t xml:space="preserve">MAR 2020</t>
  </si>
  <si>
    <t xml:space="preserve">OM9RO</t>
  </si>
  <si>
    <t xml:space="preserve">WOS:000517680000001</t>
  </si>
  <si>
    <t xml:space="preserve">Boggs, KB; Edmonds, K; Cifuentes-Munoz, N; El Najjar, F; Ossandón, C; Roe, M; Wu, C; Moncman, CL; Creamer, TP; Amarasinghe, GK; Leung, DW; Dutch, RE</t>
  </si>
  <si>
    <t xml:space="preserve">Boggs, Kerri Beth; Edmonds, Kearstin; Cifuentes-Munoz, Nicolas; El Najjar, Farah; Ossandon, Conny; Roe, McKenna; Wu, Chao; Moncman, Carole L.; Creamer, Trevor P.; Amarasinghe, Gaya K.; Leung, Daisy W.; Dutch, Rebecca Ellis</t>
  </si>
  <si>
    <t xml:space="preserve">Human Metapneumovirus Phosphoprotein Independently Drives Phase Separation and Recruits Nucleoprotein to Liquid-Like Bodies</t>
  </si>
  <si>
    <t xml:space="preserve">HMPV; inclusion bodies; phase separation; pneumovirus</t>
  </si>
  <si>
    <t xml:space="preserve">RESPIRATORY SYNCYTIAL VIRUS; INFECTED CELLS; PHOSPHORYLATION; TRANSCRIPTION</t>
  </si>
  <si>
    <t xml:space="preserve">Human metapneumovirus (HMPV) is a leading cause of respiratory disease among children, immunocompromised individuals, and the elderly. Currently, no vaccines or antivirals are available for the treatment of HMPV infections. Human metapneumovirus (HMPV) inclusion bodies (IBs) are dynamic structures required for efficient viral replication and transcription. The minimum components needed to form IB-like structures in cells are the nucleoprotein (N) and the tetrameric phosphoprotein (P). HMPV P binds to the following two versions of the N protein in infected cells: N-terminal P residues interact with monomeric N (N-0) to maintain a pool of protein to encapsidate new RNA and C-terminal P residues interact with oligomeric, RNA-bound N (N-RNA). Recent work on other negative-strand viruses has suggested that IBs are, at least in part, liquid-like phase-separated membraneless organelles. Here, HMPV IBs in infected or transfected cells were shown to possess liquid organelle properties, such as fusion and fission. Recombinant versions of HMPV N and P proteins were purified to analyze the interactions required to drive phase separation in vitro. Purified HMPV P was shown to form liquid droplets in isolation. This observation is distinct from other viral systems that also form IBs. Partial removal of nucleic acid from purified P altered phase-separation dynamics, suggesting that nucleic acid interactions play a role in IB formation. HMPV P also recruits monomeric N (N-0-P) and N-RNA to droplets in vitro. These findings suggest that HMPV P may also act as a scaffold protein to mediate multivalent interactions with monomeric and oligomeric N, as well as RNA, to promote phase separation of IBs. Together, these findings highlight an additional layer of regulation in HMPV replication by the viral P and N proteins. IMPORTANCE Human metapneumovirus (HMPV) is a leading cause of respiratory disease among children, immunocompromised individuals, and the elderly. Currently, no vaccines or antivirals are available for the treatment of HMPV infections. Cytoplasmic inclusion bodies (IBs), where HMPV replication and transcription occur, represent a promising target for the development of novel antivirals. The HMPV nucleoprotein (N) and phosphoprotein (P) are the minimal components needed for IB formation in eukaryotic cells. However, interactions that regulate the formation of these dynamic structures are poorly understood. Here, we showed that HMPV IBs possess the properties of liquid organelles and that purified HMPV P phase separates independently in vitro. Our work suggests that HMPV P phase-separation dynamics are altered by nucleic acid. We provide strong evidence that, unlike results reported from other viral systems, HMPV P alone can serve as a scaffold for multivalent interactions with monomeric (N-0) and oligomeric (N-RNA) HMPV N for IB formation.</t>
  </si>
  <si>
    <t xml:space="preserve">[Boggs, Kerri Beth; Edmonds, Kearstin; El Najjar, Farah; Roe, McKenna; Moncman, Carole L.; Creamer, Trevor P.; Dutch, Rebecca Ellis] Univ Kentucky, Coll Med, Dept Mol &amp; Cellular Biochem, Lexington, KY USA; [Cifuentes-Munoz, Nicolas] Univ Autonoma Chile, Fac Ciencias Salud, Inst Ciencias Biomed, Santiago, Chile; [Ossandon, Conny] Univ Antofagasta, Fac Ciencias Mar Recursos Biol, Antofagasta, Chile; [Amarasinghe, Gaya K.] Washington Univ, Dept Pathol &amp; Immunol, Sch Med, St Louis, MO USA; [Leung, Daisy W.] Washington Univ, Dept Med, Sch Med, St Louis, MO USA</t>
  </si>
  <si>
    <t xml:space="preserve">University of Kentucky; Universidad Autonoma de Chile; Universidad de Antofagasta; Washington University (WUSTL); Washington University (WUSTL)</t>
  </si>
  <si>
    <t xml:space="preserve">Dutch, RE (corresponding author), Univ Kentucky, Coll Med, Dept Mol &amp; Cellular Biochem, Lexington, KY USA.</t>
  </si>
  <si>
    <t xml:space="preserve">WU, CHAO/J-7119-2019; Creamer, Trevor/A-5252-2008</t>
  </si>
  <si>
    <t xml:space="preserve">Wu, Chao/0000-0002-9342-1968; Amarasinghe, Gaya/0000-0002-0418-9707</t>
  </si>
  <si>
    <t xml:space="preserve">Fondecyt [11180269]; NIAID [RO1AI40758]; NIH [P01AI120943, R01AI123926, R01AI161374]</t>
  </si>
  <si>
    <t xml:space="preserve">Fondecyt(Comision Nacional de Investigacion Cientifica y Tecnologica (CONICYT)CONICYT FONDECYT); NIAID(United States Department of Health &amp; Human ServicesNational Institutes of Health (NIH) - USANIH National Institute of Allergy &amp; Infectious Diseases (NIAID)); NIH(United States Department of Health &amp; Human ServicesNational Institutes of Health (NIH) - USA)</t>
  </si>
  <si>
    <t xml:space="preserve">Funding for this work was provided to N.C.-M. by Fondecyt grant 11180269; to R.E.D. and D.W.L. by NIAID grant RO1AI40758; and to G.K.A. by NIH P01AI120943, R01AI123926, and R01AI161374.</t>
  </si>
  <si>
    <t xml:space="preserve">10.1128/mbio.01099-22</t>
  </si>
  <si>
    <t xml:space="preserve">2U3OC</t>
  </si>
  <si>
    <t xml:space="preserve">WOS:000797908900002</t>
  </si>
  <si>
    <t xml:space="preserve">Wyde, PR; Moylett, EH; Chetty, SN; Jewell, A; Bowlin, TL; Piedra, PA</t>
  </si>
  <si>
    <t xml:space="preserve">Comparison of the inhibition of human metapneumovirus and respiratory syncytial virus by NMSO3 in tissue culture assays</t>
  </si>
  <si>
    <t xml:space="preserve">hMPV; human metapneumovirus; RSV; antiviral; NMSO3; heparin</t>
  </si>
  <si>
    <t xml:space="preserve">HERPES-SIMPLEX-VIRUS; HUMAN-IMMUNODEFICIENCY-VIRUS; SURFACE HEPARAN-SULFATE; IN-VITRO; ANTIVIRAL ACTIVITY; ENVELOPED VIRUSES; CHILDREN; ATTACHMENT; INFECTION; BINDING</t>
  </si>
  <si>
    <t xml:space="preserve">Human metapneumovirus (hMPV) is a recently elucidated respiratory virus pathogen for which there are no agents currently licensed to prevent or treat infections caused by it. However, NMSO3 has been reported to inhibit replication of human respiratory syncytial virus (hRSV), a virus that is closely related to hMPV, both in vitro in tissue culture cells and in vivo in cotton rats. For this reason, experiments were performed to compare the antiviral activity of NMSO3 against both hRSV and hMPV in tissue culture-based assays. Heparin and ribavirin, two other compounds known to inhibit hRSV, and two other paramyxoviruses, human parainfluenza virus type 3 (PIV3) and measles virus (MV), were included in these tests for comparison. All three compounds significantly inhibited the replication of subtype A and B strains of hRSV and serotypes I and 2 hMPV. However, unlike ribavirin, NMSO3 and heparin inhibited only hMPV and hRSV and not PIV3 or MV. Also unlike ribavirin, the activity of the two sulfated molecules was most effective if these materials were present during virus attachment and penetration of host cells. Interestingly, NMSO3, but not heparin, was able to limit secondary infection and spread of both viruses. (C) 2004 Elsevier BX All rights reserved.</t>
  </si>
  <si>
    <t xml:space="preserve">Baylor Coll Med, Dept Mol Virol &amp; Microbiol, Houston, TX 77030 USA; Baylor Coll Med, Infect Dis Sect, Dept Pediat, Houston, TX 77030 USA; Microbiotix Inc, Worcester, MA 01605 USA</t>
  </si>
  <si>
    <t xml:space="preserve">Baylor College of Medicine; Baylor College of Medicine; Microbiotix, Inc.</t>
  </si>
  <si>
    <t xml:space="preserve">Wyde, PR (corresponding author), Baylor Coll Med, Dept Mol Virol &amp; Microbiol, 1 Baylor Plaza, Houston, TX 77030 USA.</t>
  </si>
  <si>
    <t xml:space="preserve">10.1016/j.antiviral.2004.02.006</t>
  </si>
  <si>
    <t xml:space="preserve">834PR</t>
  </si>
  <si>
    <t xml:space="preserve">WOS:000222423500007</t>
  </si>
  <si>
    <t xml:space="preserve">Carr, MJ; McCormack, GP; Crowley, B</t>
  </si>
  <si>
    <t xml:space="preserve">Human metapneumovirus-associated respiratory tract infections in the Republic of Ireland during the influenza season of 2003-2004</t>
  </si>
  <si>
    <t xml:space="preserve">hMPV; human metapneumovirus; molecular epidemiology; phylogenetics; respiratory tract infections; RT-PCR</t>
  </si>
  <si>
    <t xml:space="preserve">SYNCYTIAL VIRUS; CHILDREN; YOUNG</t>
  </si>
  <si>
    <t xml:space="preserve">Human metapneumovirus (hMPV) is a newly identified paramyxovirus that has been associated with respiratory tract illness in children aged &lt; 5 years, the elderly, and immunocompromised patients. This study determined the frequency of respiratory tract infections (RTIs) associated with hMPV in the Republic of Ireland. Bronchoalveolar lavage (BAL) samples from 168 adult patients and respiratory specimens from 122 children aged &lt; 5 years were collected between September 2003 and May 2004. The virus was detected by reverse-transcription (RT)-PCR using hMPV polymerase (L) and matrix (M)-specific primers in four (2.4%) of 171 BAL specimens obtained from 168 adults. No other respiratory virus was detected in these specimens, and no hMPV RNA was detected in respiratory specimens from children during the same time period. In all four adult cases, two of whom had underlying disease, hMPV was associated with mild, self-limiting upper RTIs. The most common clinical findings included fever (3/4 patients), cough (4/4) and rhinorrhoea (3/4). No patient died as a result of these RTI episodes. Phylogenetic analysis was performed using the amplified regions of the M and fusion (F) genes of hMPV. The Irish isolates belonged to cluster 1B, and did not show a separate Irish sub-lineage.</t>
  </si>
  <si>
    <t xml:space="preserve">Univ Dublin Trinity Coll, Dept Clin Microbiol, Sir Patrick Dun Res Lab, Dublin 2, Ireland; Natl Univ Ireland, Dept Zool, Galway, Ireland; St James Hosp, Dept Microbiol, Cent Pathol Lab, Dublin 8, Ireland; Univ Coll Dublin, Natl Virus Reference Lab, Dublin 2, Ireland</t>
  </si>
  <si>
    <t xml:space="preserve">Trinity College Dublin; Ollscoil na Gaillimhe-University of Galway; Trinity College Dublin; University College Dublin</t>
  </si>
  <si>
    <t xml:space="preserve">St James Hosp, Dept Clin Microbiol, Dublin 8, Ireland.</t>
  </si>
  <si>
    <t xml:space="preserve">bcrowley@stjames.ie</t>
  </si>
  <si>
    <t xml:space="preserve">McCormack, Grace/0000-0003-4960-5185; Carr, Michael/0000-0003-0011-6209</t>
  </si>
  <si>
    <t xml:space="preserve">10.1111/j.1469-0691.2005.01129.x</t>
  </si>
  <si>
    <t xml:space="preserve">920OU</t>
  </si>
  <si>
    <t xml:space="preserve">WOS:000228700800005</t>
  </si>
  <si>
    <t xml:space="preserve">Soto, JA; Gálvez, NMS; Pacheco, GA; Canedo-Marroquín, G; Bueno, SM; Kalergis, AM</t>
  </si>
  <si>
    <t xml:space="preserve">Soto, Jorge A.; Galvez, Nicolas M. S.; Pacheco, Gaspar A.; Canedo-Marroquin, Gisela; Bueno, Susan M.; Kalergis, Alexis M.</t>
  </si>
  <si>
    <t xml:space="preserve">Induction of Protective Immunity by a Single Low Dose of a Master Cell Bank cGMP-rBCG-P Vaccine Against the Human Metapneumovirus in Mice</t>
  </si>
  <si>
    <t xml:space="preserve">hMPV; human metapneumovirus; innate immunity; adaptive immunity; vaccine; recombinant BCG; master cell bank cGMP</t>
  </si>
  <si>
    <t xml:space="preserve">RESPIRATORY SYNCYTIAL VIRUS; ZONE B-CELLS; MARGINAL ZONE; ALVEOLAR MACROPHAGES; CROSS-PROTECTION; VIRAL-INFECTION; DENDRITIC CELLS; T-CELLS; PROTEIN; PATHOGENESIS</t>
  </si>
  <si>
    <t xml:space="preserve">Human metapneumovirus (hMPV) is an emergent virus, which mainly infects the upper and lower respiratory tract epithelium. This pathogen is responsible for a significant portion of hospitalizations due to bronchitis and pneumonia in infants and the elderly worldwide. hMPV infection induces a pro-inflammatory immune response upon infection of the host, which is not adequate for the clearance of this pathogen. The lack of knowledge regarding the different molecular mechanisms of infection of this virus has delayed the licensing of effective treatments or vaccines. As part of this work, we evaluated whether a single and low dose of a recombinant Mycobacterium bovis Bacillus Calmette-Guerin (BCG) expressing the phosphoprotein of hMPV (rBCG-P) can induce a protective immune response in mice. Immunization with the rBCG-P significantly decreased neutrophil counts and viral loads in the lungs of infected mice at different time points. This immune response was also associated with a modulated infiltration of innate cells into the lungs, such as interstitial macrophages (IM) and alveolar macrophages (AM), activated CD4(+) and CD8(+) T cells, and changes in the population of differentiated subsets of B cells, such as marginal zone B cells and plasma cells. The humoral immune response induced by the rBCG-P led to an early and robust IgA response and a late and constant IgG response. Finally, we determined that the transfer of cells or sera from immunized and infected mice to naive mice promoted an efficient viral clearance. Therefore, a single and low dose of rBCG-P can protect mice from the disease caused by hMPV, and this vaccine could be a promising candidate for future clinical trials.</t>
  </si>
  <si>
    <t xml:space="preserve">[Soto, Jorge A.; Galvez, Nicolas M. S.; Pacheco, Gaspar A.; Canedo-Marroquin, Gisela; Bueno, Susan M.; Kalergis, Alexis M.] Pontificia Univ Catolica Chile, Fac Ciencias Biol, Millennium Inst Immunol &amp; Immunotherapy, Dept Genet Mol &amp; Microbiol, Santiago, Chile; [Kalergis, Alexis M.] Pontificia Univ Catolica Chile, Fac Med, Dept Endocrinol, Santiago, Chile</t>
  </si>
  <si>
    <t xml:space="preserve">Kalergis, AM (corresponding author), Pontificia Univ Catolica Chile, Fac Ciencias Biol, Millennium Inst Immunol &amp; Immunotherapy, Dept Genet Mol &amp; Microbiol, Santiago, Chile.;Kalergis, AM (corresponding author), Pontificia Univ Catolica Chile, Fac Med, Dept Endocrinol, Santiago, Chile.</t>
  </si>
  <si>
    <t xml:space="preserve">Bueno, Susan/KSL-5357-2024; Gálvez, Nicolás/AFQ-6129-2022; Soto, Jorge/CAH-4118-2022</t>
  </si>
  <si>
    <t xml:space="preserve">Galvez Arriagada, Nicolas Marcelo Salvador/0000-0003-2046-7882; Canedo-Marroquin, Gisela/0000-0001-8629-5847; Soto, Jorge/0000-0003-0335-9759</t>
  </si>
  <si>
    <t xml:space="preserve">Millennium Institute of Immunology and Immunotherapy [P09/016-F, ICN09_016]; CORFO grant [13CTI-21526/P4, 13CTI-21526/P5]; CONICYT/FONDECYT grants [3190590, 1190830, 1170964]; CONICYT scholarship [21190183]; Regional Government of Antofagasta through the Innovation Fund for Competitiveness FICR [30488811-0]</t>
  </si>
  <si>
    <t xml:space="preserve">Millennium Institute of Immunology and Immunotherapy; CORFO grant; CONICYT/FONDECYT grants; CONICYT scholarship(Comision Nacional de Investigacion Cientifica y Tecnologica (CONICYT)); Regional Government of Antofagasta through the Innovation Fund for Competitiveness FICR</t>
  </si>
  <si>
    <t xml:space="preserve">Millennium Institute of Immunology and Immunotherapy (P09/016-F, ICN09_016, AMK and SMB); CORFO grant #13CTI-21526/P4 and P5; CONICYT/FONDECYTgrants #3190590 (JAS); #1190830 (AMK); #1170964 SMB), CONICYT scholarship #21190183 (NMSG). This work was also supported by the Regional Government of Antofagasta through the Innovation Fund for Competitiveness FICR 2017 (BIP Code: 30488811-0). AMK is a Helen C. Levitt Visiting Professor at the Department of Microbiology and Immunology of the University of Iowa.</t>
  </si>
  <si>
    <t xml:space="preserve">JUN 29</t>
  </si>
  <si>
    <t xml:space="preserve">10.3389/fcimb.2021.662714</t>
  </si>
  <si>
    <t xml:space="preserve">TI7CI</t>
  </si>
  <si>
    <t xml:space="preserve">WOS:000672957600001</t>
  </si>
  <si>
    <t xml:space="preserve">van Dijk, NM; Linssen, CFM; Bussink, M; Span, LFR; van Mook, WNKA</t>
  </si>
  <si>
    <t xml:space="preserve">van Dijk, N. M.; Linssen, C. F. M.; Bussink, M.; Span, L. F. R.; van Mook, W. N. K. A.</t>
  </si>
  <si>
    <t xml:space="preserve">Critical illness after horizontal nosocomial transmission of human metapneumovirus in the haematology ward</t>
  </si>
  <si>
    <t xml:space="preserve">NETHERLANDS JOURNAL OF CRITICAL CARE</t>
  </si>
  <si>
    <t xml:space="preserve">hMPV; human metapneumovirus; critically ill; stem cell transplantation</t>
  </si>
  <si>
    <t xml:space="preserve">Since its discovery in the Netherlands in 2001, human metapneumovirus (hMPV) is mainly known for its association with severe upper and lower respiratory tract disease in very young, elderly, and immunocompromised individuals. Two critically ill patients are described to illustrate that a) haematologists and intensivists should be aware of the possibility of infection by this recently discovered pathogen and the severe respiratory tract disease manifestations it can cause in patients under their care; b) horizontal transmission between patients is possible on wards despite the presence of high-efficiency particulate aerosol (HEPA) filtration; and c) that although the exact incidence of hMPV infections in immunocompromised (critically ill) patients is as yet unknown, routine testing for hMPV may be considered in this population.</t>
  </si>
  <si>
    <t xml:space="preserve">[van Dijk, N. M.; van Mook, W. N. K. A.] Maastricht Univ, Med Ctr, Dept Intens Care Med, Maastricht, Netherlands; [van Dijk, N. M.; Bussink, M.] Maastricht Univ, Med Ctr, Dept Anaesthesiol, Maastricht, Netherlands; [Linssen, C. F. M.] Maastricht Univ, Med Ctr, Dept Med Microbiol, Maastricht, Netherlands; [Span, L. F. R.] Univ Med Ctr Groningen, Div Haematol, Dept Internal Med, Groningen, Netherlands; [van Mook, W. N. K. A.] Maastricht Univ, Med Ctr, Dept Internal Med, Div Gen Internal Med, Maastricht, Netherlands</t>
  </si>
  <si>
    <t xml:space="preserve">Maastricht University; Maastricht University; Maastricht University; University of Groningen; Maastricht University</t>
  </si>
  <si>
    <t xml:space="preserve">van Dijk, NM (corresponding author), Maastricht Univ, Med Ctr, Dept Intens Care Med, Maastricht, Netherlands.</t>
  </si>
  <si>
    <t xml:space="preserve">n.van.dijk@mumc.nl</t>
  </si>
  <si>
    <t xml:space="preserve">NETHERLANDS SOC INTENSIVE CARE</t>
  </si>
  <si>
    <t xml:space="preserve">EDE</t>
  </si>
  <si>
    <t xml:space="preserve">HORAPARK 9, EDE, 6717 LZ, NETHERLANDS</t>
  </si>
  <si>
    <t xml:space="preserve">1569-3511</t>
  </si>
  <si>
    <t xml:space="preserve">NETH J CRIT CARE</t>
  </si>
  <si>
    <t xml:space="preserve">Neth. J. Crit. Care</t>
  </si>
  <si>
    <t xml:space="preserve">VE6PF</t>
  </si>
  <si>
    <t xml:space="preserve">WOS:000439926800004</t>
  </si>
  <si>
    <t xml:space="preserve">Wyde, PR; Chetty, SN; Jewell, AM; Schoonover, SL; Piedra, PA</t>
  </si>
  <si>
    <t xml:space="preserve">Development of a cotton rat-human metapneumovirus (hMPV) model for identifying and evaluating potential hMPV antivirals and vaccines</t>
  </si>
  <si>
    <t xml:space="preserve">hMPV; human metapneumovirus; cotton rats; animal model; antiviral testing; vaccine evaluation</t>
  </si>
  <si>
    <t xml:space="preserve">RESPIRATORY SYNCYTIAL VIRUS; PULMONARY PATHOLOGY; YOUNG-CHILDREN; ANIMAL-MODEL; INFECTION; TRACT; REPLICATION; INHIBITION; RIBAVIRIN; PATHOGENESIS</t>
  </si>
  <si>
    <t xml:space="preserve">Hispid cotton rats were inoculated with two different human metapneumovirus (hMPV) subtype A strains and one subtype B hMPV. Although no overt disease was seen in any virus-inoculated animal, following an eclipse phase, significant pulmonary virus titers were observed in every hMPV-inoculated animal through day 7 post virus inoculation (p.i.) and in most through day 10. Peak virus titers occurred four days p.i. while virus-induced histopathology was most evident in lung sections obtained from animals 7 to 10 days p.i. The latter consisted primarily of desquamating and hypertrophic columnar epithelial cells lining the bronchi and bronchioles and the presence of large numbers of leukocytes in and around the bronchi and bronchioles. In fluorescent antibody studies, virus antigen-specific fluorescence was most evident in the desquamating tall columnar epithelial cells lining bronchi and bronchioles, in pneumocytes lining alveoli and in single or small groups of free cells. most probably leukocytes, present in the lumen of alveoli, bronchi and bronchioles. Virus was generally not detected in inoculated animals &gt; 10 days p.i. Although the pattern of virus replication in cotton rats was similar for all the three virus stains, the B subtype consistently brew to lower levels than the two A strains. Regardless, these findings indicate that hMPV replicates in cotton rats and that these animals may be used as a small animal model of hMPV infection and to facilitate the identification and development of vaccines and antivirals for preventing and/or ameliorating infections caused by this virus. (c) 2005 Elsevier B.V. All rights reserved.</t>
  </si>
  <si>
    <t xml:space="preserve">Baylor Coll Med, Dept Mol Virol, Houston, TX 77030 USA; Baylor Coll Med, Dept Microbiol, Houston, TX 77030 USA; Baylor Coll Med, Dept Pediat, Houston, TX 77030 USA</t>
  </si>
  <si>
    <t xml:space="preserve">Baylor College of Medicine; Baylor College of Medicine; Baylor College of Medicine</t>
  </si>
  <si>
    <t xml:space="preserve">10.1016/j.antiviral.2004.12.009</t>
  </si>
  <si>
    <t xml:space="preserve">914OS</t>
  </si>
  <si>
    <t xml:space="preserve">WOS:000228237800009</t>
  </si>
  <si>
    <t xml:space="preserve">Fausther-Bovendo, H; Hamelin, ME; Carbonneau, J; Venable, MC; Checkmahomed, L; Lavoie, PO; Ouellet, ME; Boivin, G; D'aoust, MA; Kobinger, GP</t>
  </si>
  <si>
    <t xml:space="preserve">Fausther-Bovendo, Hugues; Hamelin, Marie-Eve; Carbonneau, Julie; Venable, Marie-Christine; Checkmahomed, Liva; Lavoie, Pierre-Olivier; Ouellet, Marie-Eve; Boivin, Guy; D'aoust, Marc-Andre; Kobinger, Gary P.</t>
  </si>
  <si>
    <t xml:space="preserve">A Candidate Therapeutic Monoclonal Antibody Inhibits Both HRSV and HMPV Replication in Mice</t>
  </si>
  <si>
    <t xml:space="preserve">BIOMEDICINES</t>
  </si>
  <si>
    <t xml:space="preserve">HMPV; HRSV; therapeutic antibodies</t>
  </si>
  <si>
    <t xml:space="preserve">RESPIRATORY SYNCYTIAL VIRUS; HUMAN METAPNEUMOVIRUS; NONNEUTRALIZING ANTIBODIES; FUSION PROTEIN; CHILDREN; INFECTION; RSV; PREVENTION; SEROPREVALENCE; PROTECTION</t>
  </si>
  <si>
    <t xml:space="preserve">Human metapneumovirus (HMPV) and human respiratory virus (HRSV) are two leading causes of acute respiratory tract infection in young children. While there is no licensed drug against HMPV, the monoclonal antibody (mAb) Palivizumab is approved against HRSV for prophylaxis use only. Novel therapeutics against both viruses are therefore needed. Here, we describe the identification of human mAbs targeting these viruses by using flow cytometry-based cell sorting. One hundred and two antibodies were initially identified from flow cytometry-based cell sorting as binding to the fusion protein from HRSV, HMPV or both. Of those, 95 were successfully produced in plants, purified and characterized for binding activity by ELISA and neutralization assays as well as by inhibition of virus replication in mice. Twenty-two highly reactive mAbs targeting either HRSV or HMPV were isolated. Of these, three mAbs inhibited replication in vivo of a single virus while one mAb could reduce both HRSV and HMPV titers in the lung. Overall, this study identifies several human mAbs with virus-specific therapeutic potential and a unique mAb with inhibitory activities against both HRSV and HMPV.</t>
  </si>
  <si>
    <t xml:space="preserve">[Fausther-Bovendo, Hugues; Hamelin, Marie-Eve; Carbonneau, Julie; Venable, Marie-Christine; Checkmahomed, Liva; Boivin, Guy] CHU Quebec, Fac Med, Dept Microbiol &amp; Immunol, Quebec City, PQ G1V 4G2, Canada; [Fausther-Bovendo, Hugues; Hamelin, Marie-Eve; Carbonneau, Julie; Venable, Marie-Christine; Checkmahomed, Liva; Boivin, Guy] Laval Univ, Quebec City, PQ G1V 4G2, Canada; [Fausther-Bovendo, Hugues] Global Urgent &amp; Adv Res &amp; Dev, Batiscan City, PQ G0X 1A0, Canada; [Lavoie, Pierre-Olivier; Ouellet, Marie-Eve; D'aoust, Marc-Andre] Medicago R&amp;D Inc, Quebec City, PQ G1V 3V9, Canada; [Kobinger, Gary P.] Univ Texas Med Branch, Galveston Natl Lab, Galveston, TX 77555 USA</t>
  </si>
  <si>
    <t xml:space="preserve">Laval University; Laval University; University of Texas System; University of Texas Medical Branch Galveston</t>
  </si>
  <si>
    <t xml:space="preserve">Kobinger, GP (corresponding author), Univ Texas Med Branch, Galveston Natl Lab, Galveston, TX 77555 USA.</t>
  </si>
  <si>
    <t xml:space="preserve">gakobing@utmb.edu</t>
  </si>
  <si>
    <t xml:space="preserve">Boivin, Guy/0000-0003-3027-4662; Carbonneau, Julie/0000-0003-2697-9731; Lavoie, Pierre-Olivier/0000-0001-9994-2417</t>
  </si>
  <si>
    <t xml:space="preserve">Medicago Inc. (Canada)</t>
  </si>
  <si>
    <t xml:space="preserve">This research was funded by Medicago Inc. (Canada).</t>
  </si>
  <si>
    <t xml:space="preserve">2227-9059</t>
  </si>
  <si>
    <t xml:space="preserve">Biomedicines</t>
  </si>
  <si>
    <t xml:space="preserve">10.3390/biomedicines10102516</t>
  </si>
  <si>
    <t xml:space="preserve">Biochemistry &amp; Molecular Biology; Medicine, Research &amp; Experimental; Pharmacology &amp; Pharmacy</t>
  </si>
  <si>
    <t xml:space="preserve">Biochemistry &amp; Molecular Biology; Research &amp; Experimental Medicine; Pharmacology &amp; Pharmacy</t>
  </si>
  <si>
    <t xml:space="preserve">5O1LP</t>
  </si>
  <si>
    <t xml:space="preserve">WOS:000872243600001</t>
  </si>
  <si>
    <t xml:space="preserve">Ramocha, LM; Dorfman, JR; Groome, M; Baillie, V; Verwey, C; Laubscher, M; Nunes, MC; Madhi, SA</t>
  </si>
  <si>
    <t xml:space="preserve">Ramocha, Lesego M.; Dorfman, Jeffrey R.; Groome, Michelle; Baillie, Vicky; Verwey, Charl; Laubscher, Marius; Nunes, Marta C.; Madhi, Shabir A.</t>
  </si>
  <si>
    <t xml:space="preserve">Human Metapneumovirus-Associated Hospitalization in HIV-1 Exposed Uninfected and HIV-1 Uninfected Children Less Than 5 Years in South Africa</t>
  </si>
  <si>
    <t xml:space="preserve">hMPV; hospitalization; incidence; LRTI; pediatric</t>
  </si>
  <si>
    <t xml:space="preserve">Using hospital surveillance data, we estimated Human metapneumovirus (hMPV) hospitalization incidence by age and HIV-exposure status. hMPV-associated hospitalization incidence was highest in &lt;1-year children. Incidence rate ratios of HIV-exposed over unexposed children were 1.5 (95%CI 0.9-2.4) for &lt;6-month children, 1.4 (95%CI 0.7-2.4) for 6- to 11-month children and 0.9 (95%CI 0.4-1.9) for 12- to 59-month children.</t>
  </si>
  <si>
    <t xml:space="preserve">[Ramocha, Lesego M.; Dorfman, Jeffrey R.; Groome, Michelle; Baillie, Vicky; Verwey, Charl; Laubscher, Marius; Nunes, Marta C.; Madhi, Shabir A.] Univ Witwatersrand, Fac Hlth Sci, South African Med Res Council, Vaccines &amp; Infect Dis Analyt Res Unit, Johannesburg, South Africa; [Ramocha, Lesego M.; Dorfman, Jeffrey R.; Groome, Michelle; Baillie, Vicky; Laubscher, Marius; Nunes, Marta C.; Madhi, Shabir A.] Univ Witwatersrand, Natl Res Foundation: Vaccine Preventable Dis, Fac Hlth Sci, Dept Sci, Johannesburg, South Africa; [Dorfman, Jeffrey R.] Stellenbosch Univ, Dept Pathol, Div Med Virol, Cape Town, South Africa; [Groome, Michelle; Madhi, Shabir A.] Univ Witwatersrand, Fac Hlth Sci, African Leadership Vaccinol Expertise ALIVE, Johannesburg, South Africa; [Verwey, Charl] Univ Witwatersrand, Fac Hlth Sci, Dept Pediat &amp; Child Hlth, Johannesburg, South Africa; [Ramocha, Lesego M.] Chris Hani Baragwanath Acad Hosp, SAMRC WITS Vaccine &amp; Infect Dis Analyt Res Unit, Nurses Residence, 11th Floor Cent West Wing, 30 Chris Hani Rd, ZA-1862 Johannesburg, South Africa</t>
  </si>
  <si>
    <t xml:space="preserve">University of Witwatersrand; South African Medical Research Council; University of Witwatersrand; University of Cape Town; Stellenbosch University; University of Witwatersrand; University of Witwatersrand</t>
  </si>
  <si>
    <t xml:space="preserve">Ramocha, LM (corresponding author), Chris Hani Baragwanath Acad Hosp, SAMRC WITS Vaccine &amp; Infect Dis Analyt Res Unit, Nurses Residence, 11th Floor Cent West Wing, 30 Chris Hani Rd, ZA-1862 Johannesburg, South Africa.</t>
  </si>
  <si>
    <t xml:space="preserve">lramocha@gmail.com</t>
  </si>
  <si>
    <t xml:space="preserve">Baillie, Vicky/LJL-0428-2024; Groome, Michelle/AAI-9967-2021; Laubscher, Maritz/AAY-2382-2020; Verwey, Charl/K-7183-2019; Dorfman, Jeffrey/B-4854-2011</t>
  </si>
  <si>
    <t xml:space="preserve">Madhi, Shabir/0000-0002-7629-0636; Nunes, Marta/0000-0003-3788-878X; Groome, Michelle/0000-0001-5893-3725; Dorfman, Jeffrey/0000-0001-9938-8911; Laubscher, Matt/0009-0007-7835-0421</t>
  </si>
  <si>
    <t xml:space="preserve">FEB 9</t>
  </si>
  <si>
    <t xml:space="preserve">10.1093/jpids/piac112</t>
  </si>
  <si>
    <t xml:space="preserve">8O2LX</t>
  </si>
  <si>
    <t xml:space="preserve">WOS:000891991700001</t>
  </si>
  <si>
    <t xml:space="preserve">Lo Presti, A; Cammarota, R; Apostoli, P; Cella, E; Fiorentini, S; Babakir-Mina, M; Ciotti, M; Ciccozzi, M</t>
  </si>
  <si>
    <t xml:space="preserve">Lo Presti, Alessandra; Cammarota, Roberta; Apostoli, Paola; Cella, Eleonora; Fiorentini, Simona; Babakir-Mina, Muhammed; Ciotti, Marco; Ciccozzi, Massimo</t>
  </si>
  <si>
    <t xml:space="preserve">Genetic variability and circulation pattern of human metapneumovirus isolated in Italy over five epidemic seasons</t>
  </si>
  <si>
    <t xml:space="preserve">hMPV; Genetic variability; F gene; Selective pressure</t>
  </si>
  <si>
    <t xml:space="preserve">RESPIRATORY-TRACT DISEASE; SMALL HYDROPHOBIC SH; MEMBRANE-FUSION; SUBGROUP-C; YOUNG-CHILDREN; G-GLYCOPROTEIN; F-PROTEIN; INFECTION; SEQUENCE; SITES</t>
  </si>
  <si>
    <t xml:space="preserve">Human metapneumovirus (hMPV) is an important aetiological agent of respiratory tract infection (PT!) in infants. Based on genetic differences, hMPVs are separated into two main groups, A and B, and two subgroups 1 and 2. To better understand the genetic diversity of hMPV, we analyzed 435 bp fragments of the F gene from 49 isolates obtained from a paediatric clinical centre in Northern Italy from 2005 to 2009. The phylogenetic analysis showed that our liMPV sequences clustered into five main clades (A1, A2a, A2b, B1, B2) statistically supported. Most of the strains belong to A2 (49%) and to B1 (28.5%) lineages. The intermixing in the phylogenetic tree showed no seasonal distribution between samples collected over a 5 year period. Mean genetic distances showed that clade A2 was more heterogeneous than others. In our F glycoprotein dataset we observed only two positively selected sites with an omega value of 1.408 and 1.429, respectively, and 27 negatively selected sites. The two positively selected sites could be considered evolutionary hot spots because they were under positive selection and/or relaxed selective constraints. The abundant negatively selected sites reflect a high degree of conservation of F protein, probably necessary for viral infection.</t>
  </si>
  <si>
    <t xml:space="preserve">[Lo Presti, Alessandra; Cella, Eleonora; Ciccozzi, Massimo] Ist Super Sanita, Dept Infect Parasit &amp; Immunomediated Dis, I-00161 Rome, Italy; [Cammarota, Roberta] Univ Roma Tor Vergata, Dept Expt Med &amp; Biochem, Rome, Italy; [Apostoli, Paola; Fiorentini, Simona; Babakir-Mina, Muhammed] Univ Brescia, Sch Med, Dept Expt &amp; Appl Med, Microbiol Sect, Brescia, Italy; [Apostoli, Paola; Fiorentini, Simona; Babakir-Mina, Muhammed] Brescia Civ Hosp, Pediat Unit, Brescia, Italy; Brescia Civ Hosp, Pediat Unit, Brescia, Italy; [Ciotti, Marco] Fdn Polyclin Tor Vergata, Mol Virol Lab, Rome, Italy</t>
  </si>
  <si>
    <t xml:space="preserve">Istituto Superiore di Sanita (ISS); University of Rome Tor Vergata; University of Brescia; Hospital Spedali Civili Brescia; Hospital Spedali Civili Brescia</t>
  </si>
  <si>
    <t xml:space="preserve">Ciccozzi, M (corresponding author), Ist Super Sanita, Dept Infect Parasit &amp; Immunomediated Dis, Viale Regina Elena 299, I-00161 Rome, Italy.</t>
  </si>
  <si>
    <t xml:space="preserve">massimo.ciccozzi@iss.it</t>
  </si>
  <si>
    <t xml:space="preserve">ciccozzi, massimo/C-6484-2016; Cella, Eleonora/J-9961-2016; Lo Presti, Alessandra/K-1451-2016</t>
  </si>
  <si>
    <t xml:space="preserve">ciccozzi, massimo/0000-0003-3866-9239; Ciotti, Marco/0000-0002-9943-9130; FIORENTINI, SIMONA/0000-0002-1866-314X; Babakir-Mina, Muhammed/0009-0004-6815-2112; Cella, Eleonora/0000-0002-7870-9744; Lo Presti, Alessandra/0000-0001-7611-5021</t>
  </si>
  <si>
    <t xml:space="preserve">855ZC</t>
  </si>
  <si>
    <t xml:space="preserve">WOS:000297603800001</t>
  </si>
  <si>
    <t xml:space="preserve">Ma, SY; Zhu, F; Xu, YZ; Wen, HC; Rao, MJ; Zhang, PP; Peng, WZ; Cui, YH; Yang, H; Tan, CX; Chen, J; Pan, PH</t>
  </si>
  <si>
    <t xml:space="preserve">Ma, Shiyang; Zhu, Fei; Xu, Yizhong; Wen, Haicheng; Rao, Mingjun; Zhang, Peipei; Peng, Wenzhong; Cui, Yanhui; Yang, Hang; Tan, Caixia; Chen, Jie; Pan, Pinhua</t>
  </si>
  <si>
    <t xml:space="preserve">Development of a novel multi-epitope mRNA vaccine candidate to combat HMPV virus</t>
  </si>
  <si>
    <t xml:space="preserve">HMPV; fusion protein; epitope docking; molecular dynamics; multi-epitope vaccine; mRNA vaccine</t>
  </si>
  <si>
    <t xml:space="preserve">HUMAN METAPNEUMOVIRUS INFECTIONS; NEUTRALIZING ANTIBODIES; G-PROTEIN; FUSION; CHILDREN; IMMUNOGENICITY; RECOGNITION; PREDICTION; SERVICE; DISEASE</t>
  </si>
  <si>
    <t xml:space="preserve">Human metapneumovirus (HMPV) is one of the main pathogens causing severe respiratory infections in children, as a common cause of immunodeficiency-related deaths in children and elderly individuals, the prevalence of HMPV has been showing an increasing trend during the last years. However, no vaccines or effective treatment plans are available currently. In this present, based on candidate proteins highly associated with viral virulence and has promising protective potential, we screened for immunodominant cytotoxic T cells, helper T cells, and Linear B-cell epitopes from the most promising candidate Fusion protein, together with G, SH, M, and M2. All epitopes were predicted to have strong antigenicity by Vaxijen and pose no potential toxicity, allergenicity, or hormonology to human proteins by Toxinpred, Allerpred, and Blast analysis, meanwhile, high conservancy is demanded to cover different subtypes. adjuvants beta-defensin II and Pam2Cys was attached with EAAAK linkers to improve vaccine's efficiency. Then, calculation of physicochemical properties proved the protein vaccine as a product can stably exist in the human body. Besides, we assessed the docking between the vaccine and immune receptors to evaluate its ability to stimulate immune responses, and the dynamic simulation further confirmed that the vaccine can tightly bind with immune receptors, which approved that the construction has the potential to induce strong humoral and cellular immune response. Finally, the vaccine was constructed into a multi-epitope mRNA vaccine, the immune simulations suggest that this is a vaccine candidate for controlling HMPV infection.</t>
  </si>
  <si>
    <t xml:space="preserve">[Ma, Shiyang; Zhu, Fei; Xu, Yizhong; Rao, Mingjun; Zhang, Peipei; Peng, Wenzhong; Cui, Yanhui; Yang, Hang; Chen, Jie; Pan, Pinhua] Cent South Univ, Xiangya Hosp, Branch Natl Clin Res Ctr Resp Dis, Dept Resp Med,Natl Key Clin Specialty, Changsha 410008, Hunan, Peoples R China; [Ma, Shiyang; Zhu, Fei; Xu, Yizhong; Rao, Mingjun; Zhang, Peipei; Peng, Wenzhong; Cui, Yanhui; Yang, Hang; Chen, Jie; Pan, Pinhua] Cent South Univ, Xiangya Hosp, Ctr Resp Med, Changsha, Hunan, Peoples R China; [Ma, Shiyang; Zhu, Fei; Xu, Yizhong; Rao, Mingjun; Zhang, Peipei; Peng, Wenzhong; Cui, Yanhui; Yang, Hang; Chen, Jie; Pan, Pinhua] Clin Res Ctr Resp Dis Hunan Prov, Changsha, Hunan, Peoples R China; [Ma, Shiyang; Zhu, Fei; Xu, Yizhong; Rao, Mingjun; Zhang, Peipei; Peng, Wenzhong; Cui, Yanhui; Yang, Hang; Chen, Jie; Pan, Pinhua] Hunan Engn Res Ctr Intelligent Diag &amp; Treatment Re, Changsha, Hunan, Peoples R China; [Ma, Shiyang; Zhu, Fei; Xu, Yizhong; Wen, Haicheng; Rao, Mingjun; Zhang, Peipei; Peng, Wenzhong; Cui, Yanhui; Yang, Hang; Chen, Jie; Pan, Pinhua] Xiangya Hosp, Natl Clin Res Ctr Geriatr Disorders, Changsha, Hunan, Peoples R China; [Tan, Caixia] Cent South Univ, Xiangya Hosp, Dept Infect Control Ctr, Changsha, Hunan, Peoples R China</t>
  </si>
  <si>
    <t xml:space="preserve">Central South University; Central South University; Central South University; Central South University</t>
  </si>
  <si>
    <t xml:space="preserve">Chen, J; Pan, PH (corresponding author), Cent South Univ, Xiangya Hosp, Branch Natl Clin Res Ctr Resp Dis, Dept Resp Med,Natl Key Clin Specialty, Changsha 410008, Hunan, Peoples R China.</t>
  </si>
  <si>
    <t xml:space="preserve">chenjie869@csu.edu.cn; pinhuapan668@csu.edu.cn</t>
  </si>
  <si>
    <t xml:space="preserve">Xu, Yizhong/KXR-8863-2024; WEN, HAO/KZV-0977-2024; cui, yanhui/ITV-4860-2023; Zhang, Peipei/N-6997-2018; Hao, Wenting/AHE-4747-2022; MA, SHIYANG/IQV-3588-2023</t>
  </si>
  <si>
    <t xml:space="preserve">National Natural Science Foundation of China [81770080]; Project Program of National Clinical Research Center for Geriatric Disorders [2020LNJJ05]; National Natural Science Foundation of China [8210012334]; National Key R&amp;D Program of China [2016YFC1304204]; Key R&amp;D Program of Hunan Province [2022SK2038]; Project Program of central south university graduate education teaching reform [2022JGB025]; National key clinical specialist construction programs of China [z047-02]; Research Project of Teaching Reform in Colleges and Universities in Hunan Province [[2021jy139-2]; China Postdoctoral Science Foundation [2022M713520]; Project on the topic of emergency response to combat the COVID-19 epidemic in Hunan Province [2022SK2122]; Research Project on teaching reform of ordinary colleges and universities in Hunan province [2022JGYB037]</t>
  </si>
  <si>
    <t xml:space="preserve">National Natural Science Foundation of China(National Natural Science Foundation of China (NSFC)); Project Program of National Clinical Research Center for Geriatric Disorders; National Natural Science Foundation of China(National Natural Science Foundation of China (NSFC)); National Key R&amp;D Program of China; Key R&amp;D Program of Hunan Province; Project Program of central south university graduate education teaching reform; National key clinical specialist construction programs of China; Research Project of Teaching Reform in Colleges and Universities in Hunan Province; China Postdoctoral Science Foundation(China Postdoctoral Science Foundation); Project on the topic of emergency response to combat the COVID-19 epidemic in Hunan Province; Research Project on teaching reform of ordinary colleges and universities in Hunan province</t>
  </si>
  <si>
    <t xml:space="preserve">This work is supported by the National Natural Science Foundation of China [No. 81770080]; Project Program of National Clinical Research Center for Geriatric Disorders [Xiang ya Hospital, Grant No. 2020LNJJ05]; The National Natural Science Foundation of China [No. 8210012334]; National Key R &amp; D Program of China [No. 2016YFC1304204]; Key R &amp; D Program of Hunan Province [No. 2022SK2038]; Project Program of central south university graduate education teaching reform [No. 2022JGB025]; The national key clinical specialist construction programs of China [Grant Number z047-02]; Research Project of Teaching Reform in Colleges and Universities in Hunan Province [2021jy139-2]; China Postdoctoral Science Foundation [2022M713520]; Project on the topic of emergency response to combat the COVID-19 epidemic in Hunan Province [2022SK2122]; Research Project on teaching reform of ordinary colleges and universities in Hunan province [2022JGYB037].</t>
  </si>
  <si>
    <t xml:space="preserve">10.1080/21645515.2023.2293300</t>
  </si>
  <si>
    <t xml:space="preserve">ED4E6</t>
  </si>
  <si>
    <t xml:space="preserve">WOS:001136957900001</t>
  </si>
  <si>
    <t xml:space="preserve">Okamoto, M; Sugawara, K; Takashita, E; Muraki, Y; Hongo, S; Nishimura, H; Matsuzaki, Y</t>
  </si>
  <si>
    <t xml:space="preserve">Okamoto, Michiko; Sugawara, Kanetsu; Takashita, Emi; Muraki, Yasushi; Hongo, Seiji; Nishimura, Hidekazu; Matsuzaki, Yoko</t>
  </si>
  <si>
    <t xml:space="preserve">Longitudinal Course of Human Metapneumovirus Antibody Titers and Reinfection in Healthy Adults</t>
  </si>
  <si>
    <t xml:space="preserve">hMPV; ELISA; seroprevalence; immunity; medical checkup</t>
  </si>
  <si>
    <t xml:space="preserve">RESPIRATORY-TRACT INFECTIONS; LINKED-IMMUNOSORBENT-ASSAY; YAMAGATA; CHILDREN; PROTEIN</t>
  </si>
  <si>
    <t xml:space="preserve">The purpose of this study was to evaluate the frequency of human metapneumovirus (hMPV) infection in adults and to determine the association between the levels of serum antibody titers and the susceptibility to reinfection. Serum samples collected at the periodic occupational medical checkup for employees of a hospital were subjected to an ELISA test. Of the 289 subjects, 288 (99.7%) had hMPV antibody titers that were more than 1:100 in May 2006. The percentage of subjects with a titer of &gt;= 3,200 was significantly higher in adults aged 40-65 years old (30.2-31.5%) compared to young adults 20-39 years old (13.6%) (P &lt; 0.05). To investigate the longitudinal course of the hMPV antibody titer, a total of 649 serum samples collected from 59 subjects who had participated in all biannual medical checkups between 2001 and 2006 were tested. We found that ten serum pairs showed a greater than fourfold increase in hMPV antibody titers. Additionally, the 5-year reinfection rate was estimated at 16.9% (10 of 59 subjects). The baseline titer before the fourfold increase ranged from 1:100 to 1:3,200, and the titer returned to baseline levels 2 or 3 years after the fourfold increase. The antibody titer of the person with the baseline titer of 1:100 showed a greater than fourfold increase twice within a year. Sixty to 80% of adults had an ELISA titer of 1:800 to 1:1,600, suggesting that such an antibody titer is not enough to protect from hMPV infection and that reinfection could occur among adults. J. Med. Virol. 82:2092-2096,2010. (c) 2010 Wiley-Liss, Inc.</t>
  </si>
  <si>
    <t xml:space="preserve">[Sugawara, Kanetsu; Takashita, Emi; Muraki, Yasushi; Hongo, Seiji; Matsuzaki, Yoko] Yamagata Univ, Fac Med, Dept Infect Dis, Yamagata 9909585, Japan; [Okamoto, Michiko; Nishimura, Hidekazu] Sendai Med Ctr, Div Clin Res, Virus Res Ctr, Sendai, Miyagi, Japan; [Okamoto, Michiko] Tohoku Univ, Grad Sch Med, Dept Virol, Sendai, Miyagi 980, Japan; [Takashita, Emi] Natl Inst Infect Dis, Influenza Virus Res Ctr, Tokyo, Japan; [Muraki, Yasushi] Kanazawa Med Univ, Sch Med, Dept Microbiol, Uchinada, Ishikawa 92002, Japan</t>
  </si>
  <si>
    <t xml:space="preserve">Yamagata University; Tohoku University; National Institute of Infectious Diseases (NIID); Kanazawa Medical University</t>
  </si>
  <si>
    <t xml:space="preserve">Charitable Trust Laboratory Medicine Research Foundation of Japan; Yamagata University</t>
  </si>
  <si>
    <t xml:space="preserve">Grant sponsor: Charitable Trust Laboratory Medicine Research Foundation of Japan in 2006; Grant sponsor: Yamagata University 21st-Century COE Program, Molecular Epidemiological Study Utilizing the Regional Characteristics.</t>
  </si>
  <si>
    <t xml:space="preserve">10.1002/jmv.21920</t>
  </si>
  <si>
    <t xml:space="preserve">672ZY</t>
  </si>
  <si>
    <t xml:space="preserve">WOS:000283628700015</t>
  </si>
  <si>
    <t xml:space="preserve">Steinberg, R; Marty, V; Korten, I; Aebi, C; Latzin, P; Agyeman, PK</t>
  </si>
  <si>
    <t xml:space="preserve">Steinberg, Ruth; Marty, Veronique; Korten, Insa; Aebi, Christoph; Latzin, Philipp; Agyeman, Philipp K. A.</t>
  </si>
  <si>
    <t xml:space="preserve">Epidemiology and Clinical Characteristics of Human Metapneumovirus Infections in Hospitalized Children in Two Consecutive Postpandemic Years</t>
  </si>
  <si>
    <t xml:space="preserve">HMPV; COVID-19; epidemiology; children; hospitalized</t>
  </si>
  <si>
    <t xml:space="preserve">We assessed human metapneumovirus infections in children hospitalized between 2011 and 2023 and compared the strongest pre- and postpandemic seasons. After the COVID-19 pandemic, we observed offseason cases and loss of the alternating pattern of the human metapneumovirus season magnitude. Incidence rate ratio of 0- to 11-month-old versus 12- to 23-month-old children was 2.1 (95% CI: 1.0-4.8) before and 1.3 (95% CI: 0.6-2.9) after the pandemic.</t>
  </si>
  <si>
    <t xml:space="preserve">[Steinberg, Ruth; Marty, Veronique; Korten, Insa; Latzin, Philipp] Bern Univ Hosp, Inselspital, Dept Paediat, Div Paediat Resp Med &amp; Allergol, Bern, Switzerland; [Steinberg, Ruth] Univ Bern, Grad Sch Cellular &amp; Biomed Sci, Bern, Switzerland; [Aebi, Christoph; Agyeman, Philipp K. A.] Univ Bern, Bern Univ Hosp, Div Paediat Infect Dis, Dept Paediat, Bern, Switzerland; [Steinberg, Ruth] Bern Univ Hosp, Dept Paediat, Freiburgstr 15, CH-3010 Bern, Switzerland</t>
  </si>
  <si>
    <t xml:space="preserve">University of Bern; University Hospital of Bern; University of Bern; University of Bern; University Hospital of Bern; University of Bern; University Hospital of Bern</t>
  </si>
  <si>
    <t xml:space="preserve">Steinberg, R (corresponding author), Bern Univ Hosp, Dept Paediat, Freiburgstr 15, CH-3010 Bern, Switzerland.</t>
  </si>
  <si>
    <t xml:space="preserve">rut.steinber@insel.ch; veronique.marty@students.unibe.ch; insa.korten@insel.ch; christoph.aebi@insel.ch; philipp.latzin@insel.ch; philipp.agyeman@insel.ch</t>
  </si>
  <si>
    <t xml:space="preserve">Steinberg, Ruth/JZE-5136-2024; Korten, Insa/AAA-2967-2022; Agyeman, Philipp/HRA-7859-2023; Latzin, Philipp/F-2206-2017</t>
  </si>
  <si>
    <t xml:space="preserve">Agyeman, Philipp Kwame Abayie/0000-0002-8339-5444; Steinberg, Ruth/0000-0003-4108-6085; Aebi, Christoph/0000-0003-3554-7949; Latzin, Philipp/0000-0002-5239-1571</t>
  </si>
  <si>
    <t xml:space="preserve">e141</t>
  </si>
  <si>
    <t xml:space="preserve">e144</t>
  </si>
  <si>
    <t xml:space="preserve">10.1097/INF.0000000000004221</t>
  </si>
  <si>
    <t xml:space="preserve">SO4X8</t>
  </si>
  <si>
    <t xml:space="preserve">WOS:001235391600029</t>
  </si>
  <si>
    <t xml:space="preserve">Yim, KC; Mousa, JJ; Blanco, JCG; Kim, S; Boukhvalova, MS</t>
  </si>
  <si>
    <t xml:space="preserve">Yim, Kevin C.; Mousa, Jarrod J.; Blanco, Jorge C. G.; Kim, Sonnie; Boukhvalova, Marina S.</t>
  </si>
  <si>
    <t xml:space="preserve">Human Metapneumovirus (hMPV) Infection and MPV467 Treatment in Immunocompromised Cotton Rats Sigmodon hispidus</t>
  </si>
  <si>
    <t xml:space="preserve">hMPV; cotton rat; immunocompromised; MPV467</t>
  </si>
  <si>
    <t xml:space="preserve">RESPIRATORY SYNCYTIAL VIRUS; MACROPHAGE INFLAMMATORY PROTEIN-1-ALPHA; TRACT INFECTIONS; YOUNG-CHILDREN; ANIMAL-MODEL; LUNG INJURY; BALB/C MICE; LONG-TERM; DISEASE; VACCINE</t>
  </si>
  <si>
    <t xml:space="preserve">Human metapneumovirus (hMPV) is an important cause of respiratory disease in immunocompromised individuals, yet hMPV infection has not been modeled before in immunocompromised animals. In this work, cotton rats S. hispidus immunosuppressed by cyclophosphamide were infected with hMPV, and viral replication and pulmonary inflammation in these animals were compared to those in normal hMPV-infected S. hispidus. The efficacy of prophylactic and therapeutic administration of the anti-hMPV antibody MPV467 was also evaluated. Immunosuppressed animals had higher pulmonary and nasal titers of hMPV on day 5 post-infection compared to normal animals, and large amounts of hMPV were still present in the respiratory tract of immunosuppressed animals on days 7 and 9 post-infection, indicating prolonged viral replication. Immunosuppression was accompanied by reduced pulmonary histopathology in hMPV-infected cotton rats compared to normal animals; however, a delayed increase in pathology and pulmonary chemokine expression was seen in immunosuppressed cotton rats. Prophylactic and therapeutic MPV467 treatments protected both upper and lower respiratory tracts against hMPV infection. The lung pathology and pulmonary expression of IP-10 and MIP-1 alpha mRNA were reduced by therapeutic MPV467 administration. These results indicate that immunosuppressed cotton rats represent a useful model for studying hMPV pathogenesis and for evaluating therapeutics that could alleviate hMPV-induced disease in immunocompromised subjects.</t>
  </si>
  <si>
    <t xml:space="preserve">[Yim, Kevin C.; Blanco, Jorge C. G.; Boukhvalova, Marina S.] Sigmovir Biosyst Inc, 9610 Med Ctr Dr,Suite 100, Rockville, MD 20850 USA; [Mousa, Jarrod J.] Univ Georgia, Coll Vet Med, Ctr Vaccines &amp; Immunol, Dept Infect Dis, Athens, GA 30602 USA; [Mousa, Jarrod J.] Univ Georgia, Franklin Coll Arts &amp; Sci, Dept Biochem &amp; Mol Biol, Athens, GA 30602 USA; [Kim, Sonnie] NIAID, NIH, Resp Dis Branch, Div Microbiol &amp; Infect Dis, Rockville, MD 20852 USA</t>
  </si>
  <si>
    <t xml:space="preserve">University System of Georgia; University of Georgia; University System of Georgia; University of Georgia; National Institutes of Health (NIH) - USA; NIH National Institute of Allergy &amp; Infectious Diseases (NIAID)</t>
  </si>
  <si>
    <t xml:space="preserve">Boukhvalova, MS (corresponding author), Sigmovir Biosyst Inc, 9610 Med Ctr Dr,Suite 100, Rockville, MD 20850 USA.</t>
  </si>
  <si>
    <t xml:space="preserve">m.boukhvalova@sigmovir.com</t>
  </si>
  <si>
    <t xml:space="preserve">Blanco, Jorge/0000-0002-6173-0213; Mousa, Jarrod/0000-0003-4709-2478</t>
  </si>
  <si>
    <t xml:space="preserve">10.3390/v15020476</t>
  </si>
  <si>
    <t xml:space="preserve">9M1GM</t>
  </si>
  <si>
    <t xml:space="preserve">WOS:000941986400001</t>
  </si>
  <si>
    <t xml:space="preserve">Fathima, S; Lee, BE; May-Hadford, J; Mukhi, S; Drews, SJ</t>
  </si>
  <si>
    <t xml:space="preserve">Fathima, Sumana; Lee, Bonita E.; May-Hadford, Jennifer; Mukhi, Shamir; Drews, Steven J.</t>
  </si>
  <si>
    <t xml:space="preserve">Use of an Innovative Web-Based Laboratory Surveillance Platform to Analyze Mixed Infections Between Human Metapneumovirus (hMPV) and Other Respiratory Viruses Circulating in Alberta (AB), Canada (2009-2012)</t>
  </si>
  <si>
    <t xml:space="preserve">hMPV; co-infection; testing; epidemiology; respiratory</t>
  </si>
  <si>
    <t xml:space="preserve">SYNCYTIAL VIRUS; CLINICAL-FEATURES; TRACT INFECTIONS; PANDEMIC H1N1; INFLUENZA-A; CHILDREN; YOUNG; DIAGNOSIS; PROTEINS; OUTBREAK</t>
  </si>
  <si>
    <t xml:space="preserve">We investigated the proportions of mono vs. mixed infections for human metapneumovirus (hMPV) as compared to adenovirus (ADV), four types of coronavirus (CRV), parainfluenza virus (PIV), RSV, and enterovirus/ rhinovirus (ERV) in Alberta, Canada. Using the Data Integration for Alberta Laboratories (DIAL) platform, 26,226 respiratory specimens at ProvLab between 1 July 2009 and 30 June 2012 were selected and included in the study. Using the Respiratory Virus Panel these specimens tested positive for one or more respiratory virus and negative for influenza A and B. From our subset hMPV was the fourth most common virus (n=2,561) with 373 (15%) identified as mixed infection using DIAL. Mixed infection with hMPV was most commonly found in infants less than 6 months old and ERV was most commonly found in mixed infection with hMPV (230/373, 56%) across all age groups. The proportion of mixed-infection vs. mono-infection was highest for ADV (46%), followed by CRV 229E (32%), CRV HKU1 (31%), CRV NL63 (28%), CRV OC43 (23%), PIV (20%), RSV (17%), hMPV (15%) and ERV (13%). hMPV was significantly more likely to be identified in mono infection as compared with ADV, CRV, PIV, and RSV with the exception of ERV [p&lt;0.05].</t>
  </si>
  <si>
    <t xml:space="preserve">[Fathima, Sumana; Drews, Steven J.] Prov Lab Publ Hlth ProvLab, Calgary, AB T2N 4W4, Canada; [Lee, Bonita E.] Univ Alberta, ECHA, Edmonton, AB T6G 1C9, Canada; [May-Hadford, Jennifer] Publ Hlth Agcy Canada, Ottawa, ON K1A 0K9, Canada; [Mukhi, Shamir] Publ Hlth Agcy Canada, Canadian Network Publ Hlth Intelligence, Winnipeg, MB R3E 3R2, Canada; [Drews, Steven J.] Univ Calgary, Calgary, AB T2N 1N4, Canada</t>
  </si>
  <si>
    <t xml:space="preserve">University of Alberta; Public Health Agency of Canada; Public Health Agency of Canada; University of Calgary</t>
  </si>
  <si>
    <t xml:space="preserve">Drews, SJ (corresponding author), Prov Lab Publ Hlth ProvLab, 3030 Hosp Dr NW, Calgary, AB T2N 4W4, Canada.</t>
  </si>
  <si>
    <t xml:space="preserve">sumana.fathima@albertahealthservices.ca; bonita.lee@albertahealthservices.ca; jennifer.may-hadford@phac-aspc.gc.ca; shamir.nizar.mukhi@phac-aspc.gc.ca; steven.drews@albertahealthservices.ca</t>
  </si>
  <si>
    <t xml:space="preserve">10.3390/v4112754</t>
  </si>
  <si>
    <t xml:space="preserve">041VS</t>
  </si>
  <si>
    <t xml:space="preserve">WOS:000311429900016</t>
  </si>
  <si>
    <t xml:space="preserve">Diab, M; Vitenshtein, A; Drori, Y; Yamin, R; Danziger, O; Zamostiano, R; Mandelboim, M; Bacharach, E; Mandelboim, O</t>
  </si>
  <si>
    <t xml:space="preserve">Diab, Mohammad; Vitenshtein, Alon; Drori, Yaron; Yamin, Rachel; Danziger, Oded; Zamostiano, Rachel; Mandelboim, Michal; Bacharach, Eran; Mandelboim, Ofer</t>
  </si>
  <si>
    <t xml:space="preserve">Suppression of human metapneumovirus (HMPV) infection by the innate sensing gene CEACAM1</t>
  </si>
  <si>
    <t xml:space="preserve">HMPV; CEACAM1; PRRs; PAMPs; RLRs; RIG-I; SHP2; Immunology and Microbiology Section; Immune response; Immunity</t>
  </si>
  <si>
    <t xml:space="preserve">RESPIRATORY-TRACT INFECTIONS; PATTERN-RECOGNITION RECEPTORS; RIG-I; HOMOPHILIC ADHESION; CHILDREN; IMMUNITY; DISEASE; ADULTS; EPIDEMIOLOGY; ACTIVATION</t>
  </si>
  <si>
    <t xml:space="preserve">The innate sensing system is equipped with PRRs specialized in recognizing molecular structures (PAMPs) of various pathogens. This leads to the induction of anti-viral genes and inhibition of virus growth. Human Metapneumovirus (HMPV) is a major respiratory virus that causes an upper and lower respiratory tract infection in children. In this study we show that upon HMPV infection, the innate sensing system detects the viral RNA through the RIG-I sensor leading to induction of CEACAM1 expression. We further show that CEACAM1 is induced via binding of IRF3 to the CEACAM1 promoter. We demonstrate that induction of CEACAM1 suppresses the viral loads via inhibition of the translation machinery in the infected cells in an SHP2-dependent manner. In summary, we show here that HMPV-infected cells upregulates CEACAM1 to restrict HMPV infection.</t>
  </si>
  <si>
    <t xml:space="preserve">[Diab, Mohammad; Vitenshtein, Alon; Yamin, Rachel; Mandelboim, Ofer] Hebrew Univ Jerusalem, Hadassah Med Sch, BioMed Res Inst Israel Canada, Lautenberg Ctr Gen &amp; Tumor Immunol,Fac Med, Jerusalem, Israel; [Drori, Yaron; Mandelboim, Michal] Sheba Med Ctr, Publ Hlth Serv, Minist Hlth, Chaim,Cent Virol Lab, Ramat Gan, Israel; [Drori, Yaron; Mandelboim, Michal] Tel Aviv Univ, Sch Publ Hlth, Dept Epidemiol &amp; Prevent Med, Sackler Fac Med, Tel Aviv, Israel; [Danziger, Oded; Zamostiano, Rachel; Bacharach, Eran] Tel Aviv Univ, Dept Cell Res &amp; Immunol, Fac Life Sci, Tel Aviv, Israel</t>
  </si>
  <si>
    <t xml:space="preserve">Hebrew University of Jerusalem; Chaim Sheba Medical Center; Tel Aviv University; Tel Aviv University</t>
  </si>
  <si>
    <t xml:space="preserve">Mandelboim, O (corresponding author), Hebrew Univ Jerusalem, Hadassah Med Sch, BioMed Res Inst Israel Canada, Lautenberg Ctr Gen &amp; Tumor Immunol,Fac Med, Jerusalem, Israel.</t>
  </si>
  <si>
    <t xml:space="preserve">Bacharach, Eran/JPL-0522-2023; danziger, oded/HKE-7538-2023</t>
  </si>
  <si>
    <t xml:space="preserve">Danziger, Oded/0000-0003-0533-3851; Mandelboim, Ofer/0000-0002-9354-1855; Bacharach, Eran/0000-0001-8341-2833; Vitenshtein, Alon/0000-0001-9914-9726</t>
  </si>
  <si>
    <t xml:space="preserve">European Research Council [320473-BacNK]; Israel Science Foundation; GIF foundation; Lewis family foundation; ICRF professorship grant; Helmholtz Israel grant; Rosetrees Trust</t>
  </si>
  <si>
    <t xml:space="preserve">European Research Council(European Research Council (ERC)); Israel Science Foundation(Israel Science Foundation); GIF foundation(German-Israeli Foundation for Scientific Research and Development); Lewis family foundation; ICRF professorship grant; Helmholtz Israel grant; Rosetrees Trust(Rosetrees Trust)</t>
  </si>
  <si>
    <t xml:space="preserve">This study was supported by the European Research Council under the European Union's Seventh Framework Programme (FP/2007-2013) / ERC Grant Agreement number 320473-BacNK. Further support came from the Israel Science Foundation, the GIF foundation, the Lewis family foundation, the ICRF professorship grant, the Helmholtz Israel grant and the Rosetrees Trust (all to O.M.).</t>
  </si>
  <si>
    <t xml:space="preserve">OCT 11</t>
  </si>
  <si>
    <t xml:space="preserve">10.18632/oncotarget.11979</t>
  </si>
  <si>
    <t xml:space="preserve">EB5UO</t>
  </si>
  <si>
    <t xml:space="preserve">WOS:000387446200013</t>
  </si>
  <si>
    <t xml:space="preserve">Hopkins, MJ; Redmond, C; Shaw, JM; Hart, IJ; Hart, CA; Smyth, RL; Semple, MG</t>
  </si>
  <si>
    <t xml:space="preserve">Hopkins, Mark J.; Redmond, Catherine; Shaw, Janet M.; Hart, Ian J.; Hart, C. Anthony; Smyth, Rosalind L.; Semple, Malcolm G.</t>
  </si>
  <si>
    <t xml:space="preserve">Detection and characterisation of human metapneumovirus from children with acute respiratory symptoms in north-west England, UK</t>
  </si>
  <si>
    <t xml:space="preserve">hMPV; bronchiolitis; real-time PCR; paediatric; phylogeny; lineage</t>
  </si>
  <si>
    <t xml:space="preserve">REVERSE-TRANSCRIPTASE PCR; DIFFERENT CELL-LINES; REAL-TIME PCR; GENETIC DIVERSITY; SYNCYTIAL VIRUS; RT-PCR; INFECTION; DIAGNOSIS; BRONCHIOLITIS; SECRETIONS</t>
  </si>
  <si>
    <t xml:space="preserve">Background: Human metapneumovirus (hMPV) causes a spectrum of respiratory disease ranging from trivial coryzal symptoms to fatal pneumonia, with a predilection for the very young, the immune suppressed and the frail elderly. Five distinct lineages of the Virus genome have been described. Objectives: To develop and evaluate a sensitive, real-time PCR (RT-PCR) assay capable of detecting all lineages of hMPV. suitable for use in a diagnostic laboratory. Study design: An RT-PCR assay was developed using novel primers and dual-labelled minor-groove-binding (MGB) probes complementary to consensus sequences. The assay and two alternative assays were tested against external quality assurance (EQA) panels. 221 respiratory samples collected during 2003-2004 were screened using the new assay. hMPV positive samples were sequenced and phylogenetically analysed. Results: Three genetic lineages of hMPV were detected during 2003-2004. Incidence was low (2.3%) compared to previous years. All five lineages had been present in the same community within the past 3 years. Conclusions: The new assay correctly identified more EQA samples, including those at greatest dilution, than the alternative assays and detected all five lineages. Seasonal circulation of hMPV in paediatric patients with acute respiratory symptoms is dynamic with respect to incidence and viral genotype. (C) 2008 Elsevier B.V. All rights reserved.</t>
  </si>
  <si>
    <t xml:space="preserve">[Smyth, Rosalind L.; Semple, Malcolm G.] Univ Liverpool, Sch Reprod &amp; Dev Med, Liverpool L12 2AP, Merseyside, England; [Hopkins, Mark J.; Redmond, Catherine; Hart, Ian J.] Royal Liverpool Univ Hosp, Liverpool Specialist Virol Ctr, Liverpool, Merseyside, England; [Shaw, Janet M.; Hart, C. Anthony; Semple, Malcolm G.] Univ Liverpool, Sch Infect &amp; Host Def, Liverpool L12 2AP, Merseyside, England</t>
  </si>
  <si>
    <t xml:space="preserve">University of Liverpool; Royal Liverpool &amp; Broadgreen University Hospitals NHS Trust; Royal Liverpool University Hospital; University of Liverpool; University of Liverpool</t>
  </si>
  <si>
    <t xml:space="preserve">Semple, MG (corresponding author), Univ Liverpool, Sch Reprod &amp; Dev Med, Liverpool L12 2AP, Merseyside, England.</t>
  </si>
  <si>
    <t xml:space="preserve">Semple, Malcolm Gracie/A-8790-2008</t>
  </si>
  <si>
    <t xml:space="preserve">Semple, Malcolm Gracie/0000-0001-9700-0418</t>
  </si>
  <si>
    <t xml:space="preserve">10.1016/j.jcv.2008.03.011</t>
  </si>
  <si>
    <t xml:space="preserve">WOS:000257956500008</t>
  </si>
  <si>
    <t xml:space="preserve">Schildgen, O; Geikowski, T; Glatzel, T; Simon, A; Wilkesmann, A; Roggendorf, M; Viazov, S; Matz, B</t>
  </si>
  <si>
    <t xml:space="preserve">New variant of the human metapneumovirus (HMPV) associated with an acute and severe exacerbation of asthma bronchiale</t>
  </si>
  <si>
    <t xml:space="preserve">HMPV; asthma bronchiale; new variant Bonn-01</t>
  </si>
  <si>
    <t xml:space="preserve">RESPIRATORY-TRACT INFECTIONS; YOUNG-CHILDREN; SYNCYTIAL VIRUS; PREVALENCE; INFANTS</t>
  </si>
  <si>
    <t xml:space="preserve">Recently, an increasing number of studies demonstrated that the human metapneumovirus (HMPV) causes mild to severe respiratory infections in children and immunosuppressed adults, and may be a frequent but somewhat undervalued pathogen. Here, we report the detection of a new variant of HMPV that is not closely related to the HMPV strains described until now. The strain was detected in a 6.5-year-old girl with an acute and severe exacerbation of asthma bronchiale triggered by an infection with a newly detected HMPV variant. The presented data provide new information on genetic heterogeneity of HMPV and necessitate an optimization of diagnostic procedures for the detection of HMPV infection. (C) 2004 Elsevier B.V. All rights reserved.</t>
  </si>
  <si>
    <t xml:space="preserve">Univ Hosp, Inst Med Microbiol &amp; Immunol, D-53105 Bonn, Germany; Univ Hosp, Dept Pediat, D-53105 Bonn, Germany; Univ Hosp, Inst Virol, D-45122 Essen, Germany</t>
  </si>
  <si>
    <t xml:space="preserve">University of Bonn; University of Bonn; University of Duisburg Essen</t>
  </si>
  <si>
    <t xml:space="preserve">Schildgen, O (corresponding author), Univ Hosp, Inst Med Microbiol &amp; Immunol, Sigmund Freud Str 25, D-53105 Bonn, Germany.</t>
  </si>
  <si>
    <t xml:space="preserve">10.1016/j.jcv.2004.06.007</t>
  </si>
  <si>
    <t xml:space="preserve">872IG</t>
  </si>
  <si>
    <t xml:space="preserve">WOS:000225200300008</t>
  </si>
  <si>
    <t xml:space="preserve">Hindupur, A; Menon, T; Dhandapani, P</t>
  </si>
  <si>
    <t xml:space="preserve">Hindupur, Anusha; Menon, Thangam; Dhandapani, Prabu</t>
  </si>
  <si>
    <t xml:space="preserve">Molecular investigation of human metapneumovirus in children with acute respiratory infections in Chennai, South India, from 2016-2018</t>
  </si>
  <si>
    <t xml:space="preserve">hMPV; ARI; Real time PCR; Fusion gene; Phylogeny; A2c subcluster</t>
  </si>
  <si>
    <t xml:space="preserve">INFLUENZA-LIKE ILLNESS; GENETIC DIVERSITY; YOUNG-CHILDREN; HOSPITALIZED CHILDREN; TRACT INFECTIONS; EPIDEMIOLOGY; SEQUENCE; VIRUS; PREVALENCE; PCR</t>
  </si>
  <si>
    <t xml:space="preserve">Human metapneumovirus (hMPV) has emerged as a frequent cause of acute respiratory infections (ARI) among young children. The prevalence and genetic diversity of hMPV circulating in Chennai, Southern India, has not been studied yet. Hence, this study was aimed to investigate the prevalence, co-infection with other respiratory viruses like HRSV A and B, influenza A and B, hRV and HPIV 1-4 viruses, socio-demographic associations, and genotypes of hMPV among children in Chennai. A total of 350 nasal swab specimens were collected from children with ARI during April 2016 to August 2018 and tested for hMPV by real time PCR method. In this study, hMPV was detected in 4% (14/350) of the samples. One hMPV positive sample was found to be co-infected with influenza B virus. The mean and median ages of the children with hMPV infection were 61.5 months (5.1 years) and 83 months (6.9 years), respectively. Phylogenetic analysis of the partial F gene revealed the presence of A2c subcluster among the study strains as well as with B1 and B2 lineages. The prevalence data obtained in this study is important in evaluating the role of hMPV in childhood ARI and emphasizes the importance of routine viral diagnosis in hospitals. To the best of our knowledge, this is the first study to report the prevalence, seasonality, and genetic diversity of hMPV in Chennai as well as the first study to report A2c subcluster of hMPV among children in India.</t>
  </si>
  <si>
    <t xml:space="preserve">[Hindupur, Anusha; Dhandapani, Prabu] Univ Madras, Dr ALM Post Grad Inst Basic Med Sci, Dept Microbiol, Chennai, Tamil Nadu, India; [Menon, Thangam] Saveetha Inst Med &amp; Tech Sci, Chennai, Tamil Nadu, India</t>
  </si>
  <si>
    <t xml:space="preserve">University of Madras; Saveetha Institute of Medical &amp; Technical Science</t>
  </si>
  <si>
    <t xml:space="preserve">Menon, T (corresponding author), Saveetha Inst Med &amp; Tech Sci, Chennai, Tamil Nadu, India.</t>
  </si>
  <si>
    <t xml:space="preserve">thangam56@gmail.com</t>
  </si>
  <si>
    <t xml:space="preserve">Menon, Thangam/AAP-3216-2020</t>
  </si>
  <si>
    <t xml:space="preserve">Menon, Thangam/0000-0002-5836-7177; Dhandapani, Prabu/0000-0003-2866-4338</t>
  </si>
  <si>
    <t xml:space="preserve">University of Madras, Chennai, India</t>
  </si>
  <si>
    <t xml:space="preserve">This work was supported by the Intramural Research funds, University of Madras, Chennai, India.</t>
  </si>
  <si>
    <t xml:space="preserve">10.1007/s42770-022-00689-2</t>
  </si>
  <si>
    <t xml:space="preserve">1U7PR</t>
  </si>
  <si>
    <t xml:space="preserve">WOS:000750698900001</t>
  </si>
  <si>
    <t xml:space="preserve">Samransamruajkit, R; Thanasugarn, W; Prapphal, N; Theamboonlers, A; Poovorawan, Y</t>
  </si>
  <si>
    <t xml:space="preserve">Human metapneumovirus in infants and young children in Thailand with lower respiratory tract infections; molecular characteristics and clinical presentations</t>
  </si>
  <si>
    <t xml:space="preserve">hMPV; ALRI; phylogenetic analysis</t>
  </si>
  <si>
    <t xml:space="preserve">SYNCYTIAL VIRUS; BRONCHIOLITIS; RHINOVIRUS; DISEASE</t>
  </si>
  <si>
    <t xml:space="preserve">Human metapneumovirus (hMPV) is a recently identified Paramyxovirus. The clinical features and molecular characteristics of hMPV in Asian populations have so far remained obscure. Objective: The present study was designed to investigate the prevalence of hMPV in infants and young children presented with acute lower respiratory tract infection (ALRI) and to identify the molecular characteristics and clinical presentations. Methods: There were 236 nasopharyngeal secretions (NPs) collected from infants and children presented with ALRI at King Chulatongkorn Memorial hospital between March 2001 and September 2003. Reverse transcriptase-polymerase chain reaction (RT-PCR) applying specific primers was done to identify hMPV and hRSV. Phylogenetic analysis of hMPV N, F and L genes was also performed. Results: Of the 220 (236) infants and young children tested, positive results were found in 12 specimens (5.4%). The mean age of children with hMPV infections was 22 +/- 11 months. They mostly presented with fever with cough (100%) and upper respiratory tract symptoms (10/12, 83%). Eleven of twelve infants (92%) were hospitalized. Additionally, phylogenetic analysis identified two distinct lineages of hMPV. Conclusion: Our results demonstrated the prevalence, molecular characterization and clinical spectrum of hMPV infection in infants and young children presented with lower respiratory tract infections in Thailand. (C) 2005 The British Infection Society. Published by Elsevier Ltd. All rights reserved.</t>
  </si>
  <si>
    <t xml:space="preserve">Chulalongkorn Univ, Fac Med, Dept Pediat, Ctr Excellence Viral Hepatitis,Viral Hepatitis Re, Bangkok 10330, Thailand; Chulalongkorn Univ, Fac Med, Dept Pediat, Resp &amp; Crit Care Unit, Bangkok 10330, Thailand</t>
  </si>
  <si>
    <t xml:space="preserve">Chulalongkorn Univ, Fac Med, Dept Pediat, Ctr Excellence Viral Hepatitis,Viral Hepatitis Re, Bangkok 10330, Thailand.</t>
  </si>
  <si>
    <t xml:space="preserve">ภู่วรวรรณ, ศนพ.ยง/GZK-8615-2022; Samransamruajkit, Rujipat/V-7046-2019</t>
  </si>
  <si>
    <t xml:space="preserve">Poovorawan, Yong/0000-0002-2337-6807</t>
  </si>
  <si>
    <t xml:space="preserve">10.1016/j.jinf.2005.07.001</t>
  </si>
  <si>
    <t xml:space="preserve">035IO</t>
  </si>
  <si>
    <t xml:space="preserve">WOS:000236994400005</t>
  </si>
  <si>
    <t xml:space="preserve">Mendes, G; Soares, AR; Sigiliano, L; Machado, F; Kaiser, C; Romeiro, N; Gestinari, L; Santos, N; Romanos, MTV</t>
  </si>
  <si>
    <t xml:space="preserve">Mendes, Gabriella; Soares, Angelica Ribeiro; Sigiliano, Lorena; Machado, Fernanda; Kaiser, Carlos; Romeiro, Nelilma; Gestinari, Lisia; Santos, Norma; Villela Romanos, Maria Teresa</t>
  </si>
  <si>
    <t xml:space="preserve">In Vitro Anti-HMPV Activity of Meroditerpenoids from Marine Alga Stypopodium zonale (Dictyotales)</t>
  </si>
  <si>
    <t xml:space="preserve">MOLECULES</t>
  </si>
  <si>
    <t xml:space="preserve">HMPV; alga; antiviral; meroditerpenoids; Dictyotaceae</t>
  </si>
  <si>
    <t xml:space="preserve">RESPIRATORY SYNCYTIAL VIRUS; HUMAN METAPNEUMOVIRUS INFECTION; REAL-TIME PCR; HUMAN BOCAVIRUS; REPLICATION; INHIBITION; AGENTS; RIBAVIRIN; IMPACT; ASSAY</t>
  </si>
  <si>
    <t xml:space="preserve">In this paper, we evaluated the antiviral activity against HMPV replication of crude extract of the marine algae Stypopodium zonale and of two meroditerpenoids obtained from it, atomaric acid and epitaondiol, and a methyl ester derivative of atomaric acid. Their selectivity indexes were 20.78, &gt;56.81, 49.26 and 12.82, respectively. Compared to ribavirin, the substances showed a relatively low cytotoxicity on LLC-MK2 cells, with a significant antiviral activity, inhibiting at least 90% of viral replication in vitro, which demonstrates the potential of these marine natural products to combat infections caused by HMPV in vitro.</t>
  </si>
  <si>
    <t xml:space="preserve">[Mendes, Gabriella; Villela Romanos, Maria Teresa] Univ Fed Rio de Janeiro, CCS, Inst Microbiol Paulo de Goes, Dept Virol,LEDAC, BR-21941590 Rio de Janeiro, Brazil; [Mendes, Gabriella; Santos, Norma] Univ Fed Rio de Janeiro, CCS, Inst Microbiol Paulo de Goes, Dept Virol,Lab Viroses Resp Enter &amp; Oculares, BR-21941590 Rio de Janeiro, Brazil; [Soares, Angelica Ribeiro; Sigiliano, Lorena; Machado, Fernanda; Romeiro, Nelilma; Gestinari, Lisia] Univ Fed Rio de Janeiro, CCS, GPNOA, Nucleo Ecol &amp; Desenvolvimento Socioambiental Maca, BR-21941590 Rio de Janeiro, Brazil; [Kaiser, Carlos] Univ Fed Rio de Janeiro, CCS, Inst Quim, BR-21941590 Rio de Janeiro, Brazil</t>
  </si>
  <si>
    <t xml:space="preserve">Universidade Federal do Rio de Janeiro; Universidade Federal do Rio de Janeiro; Universidade Federal do Rio de Janeiro; Universidade Federal do Rio de Janeiro</t>
  </si>
  <si>
    <t xml:space="preserve">Romanos, MTV (corresponding author), Univ Fed Rio de Janeiro, CCS, Inst Microbiol Paulo de Goes, Dept Virol,LEDAC, Bloco 1,Caixa Postal 68040, BR-21941590 Rio de Janeiro, Brazil.</t>
  </si>
  <si>
    <t xml:space="preserve">teresa.romanos@micro.ufrj.br</t>
  </si>
  <si>
    <t xml:space="preserve">Mendes, Gabriella/CAG-0780-2022; Soares, Angelica/AAW-6611-2021; Romeiro, Nelilma/H-8719-2013; Machado, Fernanda/LFS-2789-2024; Santos, Norma/H-6986-2015; Kaiser, Carlos/D-1049-2015</t>
  </si>
  <si>
    <t xml:space="preserve">Santos, Norma/0000-0002-5123-9172; Kaiser, Carlos/0000-0002-2132-1351; Machado, Fernanda Lacerda da Silva/0000-0002-5392-6224; Mendes, Gabriella/0000-0003-1978-9569</t>
  </si>
  <si>
    <t xml:space="preserve">Conselho Nacional de Desenvolvimento Cientifico e Tecnologico (CNPq); Coordenacao de Aperfeicoamento de Pessoal de Nivel Superior (CAPES); Fundacao Carlos Chagas de Amparo a Pesquisa do Estado do Rio de Janeiro (FAPERJ); FINEP/PETROBRAS, Brazil</t>
  </si>
  <si>
    <t xml:space="preserve">Conselho Nacional de Desenvolvimento Cientifico e Tecnologico (CNPq)(Conselho Nacional de Desenvolvimento Cientifico e Tecnologico (CNPQ)); Coordenacao de Aperfeicoamento de Pessoal de Nivel Superior (CAPES)(Coordenacao de Aperfeicoamento de Pessoal de Nivel Superior (CAPES)); Fundacao Carlos Chagas de Amparo a Pesquisa do Estado do Rio de Janeiro (FAPERJ)(Fundacao Carlos Chagas Filho de Amparo a Pesquisa do Estado do Rio De Janeiro (FAPERJ)); FINEP/PETROBRAS, Brazil(Financiadora de Inovacao e Pesquisa (Finep))</t>
  </si>
  <si>
    <t xml:space="preserve">We thank Soluza dos Santos Goncalves for technical assistance. This study was supported in part by the Conselho Nacional de Desenvolvimento Cientifico e Tecnologico (CNPq), Coordenacao de Aperfeicoamento de Pessoal de Nivel Superior (CAPES), Fundacao Carlos Chagas de Amparo a Pesquisa do Estado do Rio de Janeiro (FAPERJ), and FINEP/PETROBRAS, Brazil.</t>
  </si>
  <si>
    <t xml:space="preserve">1420-3049</t>
  </si>
  <si>
    <t xml:space="preserve">Molecules</t>
  </si>
  <si>
    <t xml:space="preserve">10.3390/molecules16108437</t>
  </si>
  <si>
    <t xml:space="preserve">847KY</t>
  </si>
  <si>
    <t xml:space="preserve">WOS:000296973000022</t>
  </si>
  <si>
    <t xml:space="preserve">Bao, X; Liu, T; Spetch, L; Kolli, D; Garofalo, RP; Casola, A</t>
  </si>
  <si>
    <t xml:space="preserve">Bao, X.; Liu, T.; Spetch, L.; Kolli, D.; Garofalo, R. P.; Casola, A.</t>
  </si>
  <si>
    <t xml:space="preserve">Airway epithelial cell response to human metapneumovirus infection</t>
  </si>
  <si>
    <t xml:space="preserve">hMPV; airway epithelial cells; chemokines; inflammation; transcription factors</t>
  </si>
  <si>
    <t xml:space="preserve">RESPIRATORY SYNCYTIAL VIRUS; NF-KAPPA-B; TRANSCRIPTION FACTOR; HOST-DEFENSE; INFLAMMATORY CYTOKINES; PULMONARY INFLAMMATION; TRANSPLANT RECIPIENTS; TRACT INFECTIONS; GENE-EXPRESSION; BALB/C MICE</t>
  </si>
  <si>
    <t xml:space="preserve">Human metapneumovirus (hMPV) is a major cause of lower respiratory tract infections (LRTIs) in infants, elderly and immunocompromised patients. In this study, we show that hMPV can infect in a similar manner epithelial cells representative of different tracts of the airways. hMPV-induced expression of chemokines IL-8 and RANTES in primary small alveolar epithelial cells (SAE) and in a human alveolar type II-like epithelial cell line (A549) was similar, suggesting that A549 cells can be used as a model to study lower airway epithelial cell responses to hMPV infection. A549 secreted a variety of CXC and CC chemokines, cytokines and type I interferons, following hMPV infection. hMPV was also a strong inducer of transcription factors belonging to nuclear factor (NF)-kappa B, interferon regulatory factors (IRFs) and signal transducers and activators of transcription (STATs) families, which are known to orchestrate the expression of inflammatory and immunomodulatory mediators. (C) 2007 Elsevier Inc. All rights reserved.</t>
  </si>
  <si>
    <t xml:space="preserve">Univ Texas, Med Branch, Div Child Hlth Res Ctr, Dept Pediat, Galveston, TX 77555 USA; Univ Texas, Med Branch, Dept Microbiol &amp; Immunol, Galveston, TX 77555 USA; Univ Texas, Med Branch, Sealy Ctr Vaccine Dev, Galveston, TX 77555 USA</t>
  </si>
  <si>
    <t xml:space="preserve">Casola, A (corresponding author), Univ Texas, Med Branch, Div Child Hlth Res Ctr, Dept Pediat, 301 Univ Blvd, Galveston, TX 77555 USA.</t>
  </si>
  <si>
    <t xml:space="preserve">Kolli, Deepthi/B-6008-2009; Garofalo, Roberto/ABL-2322-2022</t>
  </si>
  <si>
    <t xml:space="preserve">NIAID NIH HHS [T32 AI07536, N01 AI030039, T32 AI007536, P01 AI062885-030003, P01 AI062885] Funding Source: Medline; PHS HHS [P01 062885, 06676] Funding Source: Medline</t>
  </si>
  <si>
    <t xml:space="preserve">NOV 10</t>
  </si>
  <si>
    <t xml:space="preserve">10.1016/j.virol.2007.06.023</t>
  </si>
  <si>
    <t xml:space="preserve">227SW</t>
  </si>
  <si>
    <t xml:space="preserve">WOS:000250679100011</t>
  </si>
  <si>
    <t xml:space="preserve">Diaz-Dinamarca, DA; Ibañez, FJ; Soto, DA; Soto, JA; Cespedes, PF; Muena, NA; Garate, DS; Kalergis, AM; Vasquez, AE</t>
  </si>
  <si>
    <t xml:space="preserve">Diaz-Dinamarca, Diego A.; Ibanez, Francisco J.; Soto, Daniel A.; Soto, Jorge A.; Cespedes, Pablo F.; Muena, Nicolas A.; Garate, Diego S.; Kalergis, Alexis M.; Vasquez, Abel E.</t>
  </si>
  <si>
    <t xml:space="preserve">Immunization with a Mixture of Nucleoprotein from Human Metapneumovirus and AbISCO-100 Adjuvant Reduces Viral Infection in Mice Model</t>
  </si>
  <si>
    <t xml:space="preserve">hMPV; AbISCO-100; nucleoprotein</t>
  </si>
  <si>
    <t xml:space="preserve">RESPIRATORY SYNCYTIAL VIRUS; DENDRITIC CELLS; TH1 CELLS; T-CELLS; IMMUNITY; DISEASE; VACCINATION; VACCINES; IMMUNOGENICITY; CLEARANCE</t>
  </si>
  <si>
    <t xml:space="preserve">The human metapneumovirus (hMPV) is the second leading cause globally of acute infection of the respiratory tract in children, infecting the upper and lower airways. The hMPV may induce an inappropriate Th2-type immune response, which causes severe pulmonary inflammation, leading to the obstruction of airways. Despite its severe epidemiological relevance, no vaccines are currently available for the prevention of hMPV-induced illness. In this investigation, we demonstrated that immunization of mice with the recombinant hMPV nucleoprotein (hMPV-N) mixed with the AbISCO-100 adjuvant reduced viral replication in lungs following challenge with the virus. We found that immunized mice had reduced weight loss, decreased granulocytes in the lung, an increased level of specific nucleoprotein antibodies of IgG1 and IgG2a-isotypes, and a local profile of Th1/Th17-type cytokines. Our results suggest that immunization with the hMPV-N and the AbISCO-100 adjuvant induces a reduction of viral infection and could be considered for the development of an hMPV vaccine.</t>
  </si>
  <si>
    <t xml:space="preserve">[Diaz-Dinamarca, Diego A.; Ibanez, Francisco J.; Soto, Daniel A.; Soto, Jorge A.; Muena, Nicolas A.; Garate, Diego S.; Vasquez, Abel E.] Inst Salud Publ Chile, Dept Salud Ambiental, Secc Biotecnol, Santiago 7780050, Chile; [Diaz-Dinamarca, Diego A.; Ibanez, Francisco J.; Soto, Jorge A.; Cespedes, Pablo F.; Kalergis, Alexis M.] Pontificia Univ Catolica Chile, Millenium Inst Immunol &amp; Immunotherapy, Fac Ciencias Biol, Dept Genet Mol &amp; Microbiol, Santiago, Chile; [Kalergis, Alexis M.] Pontificia Univ Catolica Chile, Fac Med, Dept Endocrinol, Santiago, Chile; [Vasquez, Abel E.] Univ San Sebastian, Fac Ciencia, Escuela Bioquim, Santiago, Chile</t>
  </si>
  <si>
    <t xml:space="preserve">Pontificia Universidad Catolica de Chile; Pontificia Universidad Catolica de Chile; Universidad San Sebastian</t>
  </si>
  <si>
    <t xml:space="preserve">Vasquez, AE (corresponding author), Inst Salud Publ Chile, Dept Salud Ambiental, Secc Biotecnol, Santiago 7780050, Chile.</t>
  </si>
  <si>
    <t xml:space="preserve">avasquez@ispch.cl</t>
  </si>
  <si>
    <t xml:space="preserve">de Mendoza, Francisco/ABG-4159-2020; Soto, Jorge/CAH-4118-2022</t>
  </si>
  <si>
    <t xml:space="preserve">Muena Castillo, Nicolas/0000-0003-4641-8077; Vasquez, Abel E/0000-0001-7346-9043; Kalergis, Alexis/0000-0001-7622-5263; Diaz-Dinamarca, Diego/0000-0001-5677-920X; Soto, Jorge/0000-0003-0335-9759</t>
  </si>
  <si>
    <t xml:space="preserve">ICM Program [P IMII P09/016-F]</t>
  </si>
  <si>
    <t xml:space="preserve">ICM Program</t>
  </si>
  <si>
    <t xml:space="preserve">This research was funded by P IMII P09/016-F, funded by the ICM Program granted by A.M. Kalergis and with the institutional support by A.E. Vasquez of the Instituto de Salud Publica de Chile (Institute of Public Health in Santiago, Chile). The authors recognize Barbara Riveros and America Abarca for their technical assistance and Luis Rodriguez for support in the statistical analysis.</t>
  </si>
  <si>
    <t xml:space="preserve">10.1089/vim.2017.0159</t>
  </si>
  <si>
    <t xml:space="preserve">JAN 2018</t>
  </si>
  <si>
    <t xml:space="preserve">GE7NM</t>
  </si>
  <si>
    <t xml:space="preserve">WOS:000423520200001</t>
  </si>
  <si>
    <t xml:space="preserve">Garbino, J; Inoubli, S; Mossdorf, E; Weber, R; Tamm, M; Soccal, P; Aubert, JD; Bridevaux, PO; Tapparel, C; Kaiser, L</t>
  </si>
  <si>
    <t xml:space="preserve">Garbino, Jorge; Inoubli, Sarra; Mossdorf, Erik; Weber, Rainer; Tamm, Michael; Soccal, Paola; Aubert, John-David; Bridevaux, Pierre-Olivier; Tapparel, Caroline; Kaiser, Laurent</t>
  </si>
  <si>
    <t xml:space="preserve">Swiss HIV Cohort Study</t>
  </si>
  <si>
    <t xml:space="preserve">Respiratory viruses in HIV-infected patients with suspected respiratory opportunistic infection</t>
  </si>
  <si>
    <t xml:space="preserve">AIDS</t>
  </si>
  <si>
    <t xml:space="preserve">HIV; respiratory viruses</t>
  </si>
  <si>
    <t xml:space="preserve">HUMAN-IMMUNODEFICIENCY-VIRUS; IMMUNOCOMPROMISED PATIENTS; ADULTS</t>
  </si>
  <si>
    <t xml:space="preserve">Objective: To assess the incidence and epidemiological pattern of respiratory viruses in HIV-infected patients and to evaluate their potential clinical impact. Design and methods: A prospective population-based cohort study was conducted at three Swiss university hospitals. Study participants were HIV-infected patients who underwent a bronchoalveolar lavage to rule out an opportunistic event. All bronchoalveolar lavage specimens were screened using a set of real-time reverse transcriptase-polymerase chain reaction assays targeting 17 different respiratory viruses. Results: Between November 2003 and November 2006, 59 bronchoalveolar episodes from 55 HIV-infected patients were analysed. Eleven of 59 episodes (18.6%) were positive for at least one respiratory virus. Coronavirus OC43 was identified in three cases (27.3%) followed by influenza A in two (18.2%). Parainfluenza virus (PIV) 2, PIV 3, PIV 4, bocavirus, human rhinovirus A and human metapneumovirus were each identified in one case (9%). In the majority of these cases (63.6%) no other concomitant microorganism was isolated. Conclusions: Clinical investigation of respiratory viral infections in HIV-infected patients should not be restricted to prototype viruses and also need to target all the different family of viruses as it seems likely that these viruses contribute to pulmonary complications and morbidity in this population. (C) 2008 Wolters Kluwer Health | Lippincott Williams &amp; Wilkins.</t>
  </si>
  <si>
    <t xml:space="preserve">[Garbino, Jorge; Inoubli, Sarra; Kaiser, Laurent] Univ Hosp Geneva, Div Infect Dis, CH-1211 Geneva, Switzerland; [Soccal, Paola; Bridevaux, Pierre-Olivier] Univ Hosp Geneva, Div Pulm Med, CH-1211 Geneva, Switzerland; [Mossdorf, Erik] Univ Basel Hosp, Div Infect Dis, CH-4031 Basel, Switzerland; [Tamm, Michael] Univ Basel Hosp, Div Pulm Med, CH-4031 Basel, Switzerland; [Aubert, John-David] Univ Lausanne Hosp, Div Pulm Med, Lausanne, Switzerland; [Weber, Rainer] Univ Zurich Hosp, Div Infect Dis, CH-8091 Zurich, Switzerland; [Tapparel, Caroline; Kaiser, Laurent] Univ Hosp Geneva, Cent Lab Virol, CH-1211 Geneva, Switzerland</t>
  </si>
  <si>
    <t xml:space="preserve">University of Geneva; University of Geneva; University of Basel; University of Basel; University of Lausanne; Centre Hospitalier Universitaire Vaudois (CHUV); University of Zurich; University Zurich Hospital; University of Geneva</t>
  </si>
  <si>
    <t xml:space="preserve">Garbino, J (corresponding author), Univ Hosp Geneva, Div Infect Dis, 24 Rue Micheli Crest, CH-1211 Geneva, Switzerland.</t>
  </si>
  <si>
    <t xml:space="preserve">jorge.garbino@hcuge.ch</t>
  </si>
  <si>
    <t xml:space="preserve">Bridevaux, Pierre-Olivier/AAN-8046-2021; Weber, Rainer/D-5175-2012; Aubert, John-David/H-5561-2019; Calmy, Alexandra/HII-7836-2022</t>
  </si>
  <si>
    <t xml:space="preserve">Kaiser, Laurent/0000-0002-0857-2252; Calmy, Alexandra/0000-0002-1137-6826; Egger, Matthias/0000-0001-7462-5132; Bridevaux, Pierre-Olivier/0000-0002-8021-0950; Tapparel Vu, Caroline/0000-0002-0411-6567</t>
  </si>
  <si>
    <t xml:space="preserve">0269-9370</t>
  </si>
  <si>
    <t xml:space="preserve">1473-5571</t>
  </si>
  <si>
    <t xml:space="preserve">Aids</t>
  </si>
  <si>
    <t xml:space="preserve">10.1097/QAD.0b013e3282f470ac</t>
  </si>
  <si>
    <t xml:space="preserve">Immunology; Infectious Diseases; Virology</t>
  </si>
  <si>
    <t xml:space="preserve">291TD</t>
  </si>
  <si>
    <t xml:space="preserve">WOS:000255218800004</t>
  </si>
  <si>
    <t xml:space="preserve">Maartens, G; Griesel, R; Dube, F; Nicol, M; Mendelson, M</t>
  </si>
  <si>
    <t xml:space="preserve">Maartens, Gary; Griesel, Rulan; Dube, Felix; Nicol, Mark; Mendelson, Marc</t>
  </si>
  <si>
    <t xml:space="preserve">Etiology of Pulmonary Infections in Human Immunodeficiency Virus-infected Inpatients Using Sputum Multiplex Real-time Polymerase Chain Reaction</t>
  </si>
  <si>
    <t xml:space="preserve">HIV; bacterial pneumonia; Pneumocystis jirovecii pneumonia; tuberculosis; respiratory viral infections</t>
  </si>
  <si>
    <t xml:space="preserve">PNEUMOCYSTIS-JIROVECII PNEUMONIA; HIV WORLDWIDE; SOUTH-AFRICA; DIFFERENTIATION; HOSPITALIZATION; MORTALITY; CHILDREN; ASSAY; PCR; TB</t>
  </si>
  <si>
    <t xml:space="preserve">Background. There are limited data on the etiology of respiratory infections in human immunodeficiency virus (HIV)-infected patients in resource-limited settings. Methods. We performed quantitative multiplex real-time polymerase chain reaction (PCR) for Pneumocystis jirovecii and common bacterial and viral respiratory pathogens on sputum samples (spontaneous or induced) from a prospective cohort study of HIV-infected inpatients with World Health Organization danger signs and cough. Mycobacterial culture was done on 2 sputum samples, blood cultures, and relevant extrapulmonary samples. Results. We enrolled 284 participants from 2 secondary-level hospitals in Cape Town, South Africa: median CD4 count was 97 cells/mu L, 64% were women, and 38% were on antiretroviral therapy. One hundred forty-eight had culture-positive tuberculosis, 100 had community-acquired pneumonia (CAP), 26 had P. jirovecii pneumonia (PJP), and 64 had other diagnoses. Probable bacterial infection (&gt;10(5) copies/mL) was detected in 133 participants; the prevalence was highest in those with CAP (52%). Haemophilus influenzae and Streptococcus pneumoniae were the commonest bacterial pathogens detected; atypical bacteria were uncommon. Viruses were detected in 203 participants; the prevalence was highest in those with PJP (85%). Human metapneumovirus was the commonest virus detected. Multiple coinfections were commonly detected. Conclusions. Sputum multiplex PCR could become a useful diagnostic tool for bacterial respiratory infections in HIV-infected inpatients, but its value is limited as quantitative cutoffs have only been established for a few bacterial pathogens and validation has not been done in this patient population. We found a high prevalence of respiratory viruses, but it is unclear whether these viruses were causing infection as there are no accepted quantitative PCR cutoffs for diagnosing respiratory viral infections.</t>
  </si>
  <si>
    <t xml:space="preserve">[Maartens, Gary; Griesel, Rulan] Univ Cape Town, Dept Med, Div Clin Pharmacol, Observatory, South Africa; [Dube, Felix; Nicol, Mark] Univ Cape Town, Div Med Microbiol, Dept Pathol, Observatory, South Africa; [Mendelson, Marc] Univ Cape Town, Dept Med, Div Infect Dis &amp; Human Immunodeficiency Virus Med, Observatory, South Africa; [Dube, Felix] Univ Cape Town, Fac Sci, Dept Mol &amp; Cell Biol, Observatory, South Africa; [Nicol, Mark] Univ Western Australia, Sch Biomed Sci, Div Infect &amp; Immun, Perth, WA, Australia</t>
  </si>
  <si>
    <t xml:space="preserve">University of Cape Town; University of Cape Town; University of Cape Town; University of Cape Town; University of Western Australia</t>
  </si>
  <si>
    <t xml:space="preserve">Maartens, G (corresponding author), Univ Cape Town, Hlth Sci Fac, Div Clin Pharmacol, ZA-7925 Observatory, South Africa.</t>
  </si>
  <si>
    <t xml:space="preserve">gary.maartens@uct.ac.za</t>
  </si>
  <si>
    <t xml:space="preserve">Maartens, Gary/S-2788-2019; Nicol, Mark/W-4149-2019; Maartens, Gary/F-3836-2014; Nicol, Mark/J-4987-2014; Dube, Felix Sizwe/HQZ-3697-2023</t>
  </si>
  <si>
    <t xml:space="preserve">Mendelson, Marc/0000-0001-6668-3893; Maartens, Gary/0000-0003-3080-6606; Nicol, Mark/0000-0002-1366-4805; Dube, Felix Sizwe/0000-0003-2775-7786</t>
  </si>
  <si>
    <t xml:space="preserve">National Institutes of Health [R01 AI 96735-01]; National Research Foundation of South Africa [85810]</t>
  </si>
  <si>
    <t xml:space="preserve">National Institutes of Health(United States Department of Health &amp; Human ServicesNational Institutes of Health (NIH) - USA); National Research Foundation of South Africa(National Research Foundation - South Africa)</t>
  </si>
  <si>
    <t xml:space="preserve">This work was supported by the National Institutes of Health (grant number R01 AI 96735-01 International Research in Infectious Diseases including AIDS). G. M. was supported in part by the National Research Foundation of South Africa (grant-specific unique reference number 85810).</t>
  </si>
  <si>
    <t xml:space="preserve">10.1093/cid/ciz332</t>
  </si>
  <si>
    <t xml:space="preserve">KS8IJ</t>
  </si>
  <si>
    <t xml:space="preserve">WOS:000518549900024</t>
  </si>
  <si>
    <t xml:space="preserve">Li, F; Wang, Y; Zhang, YH; Shi, P; Cao, LF; Su, LY; Zhu, QG; Wang, LB; Lu, RJ; Tan, WJ; Shen, J</t>
  </si>
  <si>
    <t xml:space="preserve">Li, Fei; Wang, Yin; Zhang, Yuhan; Shi, Peng; Cao, Linfeng; Su, LiYun; Zhu, Qiguo; Wang, Libo; Lu, Roujian; Tan, Wenjie; Shen, Jun</t>
  </si>
  <si>
    <t xml:space="preserve">Etiology of Severe Pneumonia in Children in Alveolar Lavage Fluid Using a High-Throughput Gene Targeted Amplicon Sequencing Assay</t>
  </si>
  <si>
    <t xml:space="preserve">high-throughput sequencing; targeted amplicon sequencing; multiplex polymerase chain reaction; severe community-acquired pneumonia; alveolar lavage fluid; children</t>
  </si>
  <si>
    <t xml:space="preserve">Objective: To evaluate the diagnostic value of a high-throughput gene targeted amplicon sequencing (TAS) assay for detecting pathogenic microorganisms in alveolar lavage fluid (ALF) from children with severe community-acquired pneumonia (SCAP). Methods: A retrospective study was performed on 48 frozen ALF samples from 47 severe pneumonia cases admitted to Children's Hospital of Fudan University from January 1, 2019, to March 31, 2019. All samples were tested by a multiplex PCR (Multi-PCR) assay and a TAS assay. The results of the TAS panels were parallel compared with Multi-PCR and Conventional Tests (CT) including culture, direct fluorescent antibody method (DFA), and singleplex polymerase chain reaction (PCR). Results: The proportion of pathogens detection by CT was 81.2% (39/48). The 8 common respiratory viruses including respiratory syncytial virus (RSV), adenovirus (ADV), influenza A virus (FLUA), influenza B virus (FLUB), parainfluenza virus 1-3 (PIV1-3), and human Metapneumovirus (hMPV) were found in 31.2% (15/48) of the 48 samples by DFA. With the criteria of CT results used as Golden Standard for determing of TAS results, the proportion of pathogens detection by TAS was 70.8% (34/48). The difference of proportion of pathogens detection between TAS and CT was not statistically significant (p = 0.232). The sensitivity and specificity of TAS for pathogens detection based on CT were 87.1% (95% CI, 71.77-95.18%) and 100.0% (95% CI, 62.88-100%), the positive predictive value (PPV) and negative predictive value (NPV) were 100.0% (95% CI, 87.35-100%) and 64.2% (95% CI, 35.62-86.02%), respectively. While Multi-PCR results were used as Golden Standard, the total pathogens detection rate of TAS was 83.3% (40/48), which had a significant difference with that of Multi-PCR (p = 0.003). The sensitivity and PPV of TAS compared with Multi-PCR were 83.3% (95% CI, 69.23-92.03%) and 100.0% (95% CI, 89.08-100%), respectively. High rates of co-infection were proved by CT, Multi-PCR, and TAS. Mycoplasma pneumoniae (MP) and ADV were the two most frequently detected pathogens in all three assays. Conclusion: Compared with the CT and Multi-PCR methods, this TAS assay had a good performance in detecting bacteriological and viral pathogens from ALF. More research is needed to establish interpretation criteria based on TAS reads or analysis platforms.</t>
  </si>
  <si>
    <t xml:space="preserve">[Li, Fei; Zhang, Yuhan; Shen, Jun] Fudan Univ, Natl Childrens Med Ctr, Childrens Hosp, Infect Dis Dept, Shanghai, Peoples R China; [Wang, Yin] Fudan Univ, Natl Childrens Med Ctr, Childrens Hosp, Clin Trial Unit, Shanghai, Peoples R China; [Shi, Peng] Fudan Univ, Natl Childrens Med Ctr, Childrens Hosp, Stat &amp; Data Management Ctr, Shanghai, Peoples R China; [Cao, Linfeng; Su, LiYun] Fudan Univ, Natl Childrens Med Ctr, Childrens Hosp, Virol Dept, Shanghai, Peoples R China; [Zhu, Qiguo] Childrens Hosp, Resp Dept, Xiamen Branch, Xiamen, Peoples R China; [Wang, Libo] Fudan Univ, Natl Childrens Med Ctr, Childrens Hosp, Resp Dept, Shanghai, Peoples R China; [Lu, Roujian; Tan, Wenjie] China CDC, Natl Inst Viral Dis Control &amp; Prevent, Beijing, Peoples R China</t>
  </si>
  <si>
    <t xml:space="preserve">Fudan University; Fudan University; Fudan University; Fudan University; Fudan University; Chinese Center for Disease Control &amp; Prevention; National Institute for Viral Disease Control &amp; Prevention, Chinese Center for Disease Control &amp; Prevention</t>
  </si>
  <si>
    <t xml:space="preserve">Shen, J (corresponding author), Fudan Univ, Natl Childrens Med Ctr, Childrens Hosp, Infect Dis Dept, Shanghai, Peoples R China.;Tan, WJ (corresponding author), China CDC, Natl Inst Viral Dis Control &amp; Prevent, Beijing, Peoples R China.</t>
  </si>
  <si>
    <t xml:space="preserve">tanwj28@163.com; echoshen11@163.com</t>
  </si>
  <si>
    <t xml:space="preserve">Tan, Wenjie/JOZ-1821-2023; zhang, yuhan/HLH-1222-2023</t>
  </si>
  <si>
    <t xml:space="preserve">Shanghai Municipal Commission of Health and Family Planning [201840282]; Shanghai Science and Technology Commission Medical Project [19411972100]</t>
  </si>
  <si>
    <t xml:space="preserve">Shanghai Municipal Commission of Health and Family Planning; Shanghai Science and Technology Commission Medical Project</t>
  </si>
  <si>
    <t xml:space="preserve">This work was supported by the Shanghai Municipal Commission of Health and Family Planning (201840282), the Shanghai Science and Technology Commission Medical Project (19411972100).</t>
  </si>
  <si>
    <t xml:space="preserve">JUN 25</t>
  </si>
  <si>
    <t xml:space="preserve">10.3389/fped.2021.659164</t>
  </si>
  <si>
    <t xml:space="preserve">TF7IX</t>
  </si>
  <si>
    <t xml:space="preserve">WOS:000670892300001</t>
  </si>
  <si>
    <t xml:space="preserve">Li, K; Shrivastava, S; Brownley, A; Katzel, D; Bera, J; Nguyen, AT; Thovarai, V; Halpin, R; Stockwell, TB</t>
  </si>
  <si>
    <t xml:space="preserve">Li, Kelvin; Shrivastava, Susmita; Brownley, Anushka; Katzel, Dan; Bera, Jayati; Anh Thu Nguyen; Thovarai, Vishal; Halpin, Rebecca; Stockwell, Timothy B.</t>
  </si>
  <si>
    <t xml:space="preserve">Automated degenerate PCR primer design for high-throughput sequencing improves efficiency of viral sequencing</t>
  </si>
  <si>
    <t xml:space="preserve">High-throughput computational degenerate PCR primer design; sequencing viral isolates</t>
  </si>
  <si>
    <t xml:space="preserve">Background: In a high-throughput environment, to PCR amplify and sequence a large set of viral isolates from populations that are potentially heterogeneous and continuously evolving, the use of degenerate PCR primers is an important strategy. Degenerate primers allow for the PCR amplification of a wider range of viral isolates with only one set of pre-mixed primers, thus increasing amplification success rates and minimizing the necessity for genome finishing activities. To successfully select a large set of degenerate PCR primers necessary to tile across an entire viral genome and maximize their success, this process is best performed computationally. Results: We have developed a fully automated degenerate PCR primer design system that plays a key role in the J. Craig Venter Institute's (JCVI) high-throughput viral sequencing pipeline. A consensus viral genome, or a set of consensus segment sequences in the case of a segmented virus, is specified using IUPAC ambiguity codes in the consensus template sequence to represent the allelic diversity of the target population. PCR primer pairs are then selected computationally to produce a minimal amplicon set capable of tiling across the full length of the specified target region. As part of the tiling process, primer pairs are computationally screened to meet the criteria for successful PCR with one of two described amplification protocols. The actual sequencing success rates for designed primers for measles virus, mumps virus, human parainfluenza virus 1 and 3, human respiratory syncytial virus A and B and human metapneumovirus are described, where &gt;90% of designed primer pairs were able to consistently successfully amplify &gt;75% of the isolates. Conclusions: Augmenting our previously developed and published JCVI Primer Design Pipeline, we achieved similarly high sequencing success rates with only minor software modifications. The recommended methodology for the construction of the consensus sequence that encapsulates the allelic variation of the targeted population and is a key step prior to designing degenerate primers is also formally described.</t>
  </si>
  <si>
    <t xml:space="preserve">[Li, Kelvin; Shrivastava, Susmita; Katzel, Dan; Bera, Jayati; Thovarai, Vishal; Halpin, Rebecca; Stockwell, Timothy B.] J Craig Venter Inst, Rockville, MD 20850 USA; [Brownley, Anushka] BioTeam Inc, Middleton, MA 01949 USA; [Anh Thu Nguyen] Univ Virginia, Dept Biol, Charlottesville, VA 22908 USA</t>
  </si>
  <si>
    <t xml:space="preserve">J. Craig Venter Institute; University of Virginia</t>
  </si>
  <si>
    <t xml:space="preserve">Li, K (corresponding author), J Craig Venter Inst, 9704 Med Ctr Dr, Rockville, MD 20850 USA.</t>
  </si>
  <si>
    <t xml:space="preserve">kli@jcvi.org</t>
  </si>
  <si>
    <t xml:space="preserve">Katzel, Daniel/0000-0002-3191-0694; Stockwell, Timothy/0000-0002-3595-4539</t>
  </si>
  <si>
    <t xml:space="preserve">National Institute of Allergy and Infectious Diseases, National Institutes of Health, Department of Health and Human Services [HHSN272200900007C]</t>
  </si>
  <si>
    <t xml:space="preserve">National Institute of Allergy and Infectious Diseases, National Institutes of Health, Department of Health and Human Services(United States Department of Health &amp; Human ServicesNational Institutes of Health (NIH) - USANIH National Institute of Allergy &amp; Infectious Diseases (NIAID))</t>
  </si>
  <si>
    <t xml:space="preserve">We would like to acknowledge David J. Spiro for his scientific leadership in exploring the application of automated degenerate primer design to JCVI's portfolio of viruses under research. This work has been funded in whole or part with federal funds from the National Institute of Allergy and Infectious Diseases, National Institutes of Health, Department of Health and Human Services under contract number HHSN272200900007C.</t>
  </si>
  <si>
    <t xml:space="preserve">NOV 6</t>
  </si>
  <si>
    <t xml:space="preserve">10.1186/1743-422X-9-261</t>
  </si>
  <si>
    <t xml:space="preserve">075VP</t>
  </si>
  <si>
    <t xml:space="preserve">WOS:000313915500001</t>
  </si>
  <si>
    <t xml:space="preserve">Kanne, JP; Godwin, D; Franquet, T; Escuissato, DL; Müller, NL</t>
  </si>
  <si>
    <t xml:space="preserve">Kanne, Jeffrey P.; Godwin, David; Franquet, Thomas; Escuissato, Dante L.; Mueller, Nestor L.</t>
  </si>
  <si>
    <t xml:space="preserve">Viral pneumonia after hematopoietic stem cell transplantation -: High-resolution CT findings</t>
  </si>
  <si>
    <t xml:space="preserve">JOURNAL OF THORACIC IMAGING</t>
  </si>
  <si>
    <t xml:space="preserve">high-resolution CT; viral infection; immunocompromised; bone marrow transplant</t>
  </si>
  <si>
    <t xml:space="preserve">BONE-MARROW-TRANSPLANTATION; RESPIRATORY VIRUS-INFECTIONS; PULMONARY COMPLICATIONS; HUMAN METAPNEUMOVIRUS; INFLUENZA; RECIPIENTS; FEATURES; EPIDEMIC</t>
  </si>
  <si>
    <t xml:space="preserve">Hematopoietic stem cell transplantation (HSCT) is the treatment of choice for many hematologic malignancies and nonmalignant disorders of bone marrow function. Pulmonary infections from bacterial, fungal, and viral organisms are a major cause of morbidity and mortality in patients after HSCT. The radiographic and high-resolution computed tomography (HRCT) findings of the different lower respiratory tract viral infections are quite similar. Findings of viral pneumonia on HRCT include small poorly defined centrilobular nodules and patchy, often bilateral, areas of peribronchial ground-glass opacity and consolidation. Air trapping may be present because of associated bronchiolitis. Interlobular septal thickening, bronchial wall thickening, and tree-in-bud opacities may also be present. Advanced viral pneumonia with diffuse alveolar damage is characterized by patchy or confluent consolidation and ground-glass opacities. Although nonspecific, in the correct clinical setting, these HRCT findings can help suggest the diagnosis of viral pneumonia in recipients of HSCT.</t>
  </si>
  <si>
    <t xml:space="preserve">Vancouver Gen Hosp, Dept Radiol, Vancouver, BC, Canada; Univ Washington, Med Ctr, Dept Radiol, Seattle, WA 98195 USA; Univ Autonoma Barcelona, Hosp Sant Pau, Dept Radiol, E-08193 Barcelona, Spain; Univ Fed Parana, Dept Diagnost Radiol, BR-80060000 Curitiba, Parana, Brazil</t>
  </si>
  <si>
    <t xml:space="preserve">University of British Columbia; University of Washington; University of Washington Seattle; Hospital of Santa Creu i Sant Pau; Autonomous University of Barcelona; Universidade Federal do Parana</t>
  </si>
  <si>
    <t xml:space="preserve">Kanne, JP (corresponding author), Cleveland Clin Fdn, Div Radiol, Thorac Imaging Sect, 9500 Euclid Ave Hb6, Cleveland, OH 44195 USA.</t>
  </si>
  <si>
    <t xml:space="preserve">jkanne@gmail.com</t>
  </si>
  <si>
    <t xml:space="preserve">Kanne, Jeffrey/AAF-5331-2020</t>
  </si>
  <si>
    <t xml:space="preserve">0883-5993</t>
  </si>
  <si>
    <t xml:space="preserve">1536-0237</t>
  </si>
  <si>
    <t xml:space="preserve">J THORAC IMAG</t>
  </si>
  <si>
    <t xml:space="preserve">J. Thorac. Imaging</t>
  </si>
  <si>
    <t xml:space="preserve">10.1097/RTI.0b013e31805467f4</t>
  </si>
  <si>
    <t xml:space="preserve">205WG</t>
  </si>
  <si>
    <t xml:space="preserve">WOS:000249144700019</t>
  </si>
  <si>
    <t xml:space="preserve">Ferro, V; Boccuzzi, E; Battaglia, M; Rossi, FP; Olita, C; Giglioni, E; Concato, C; Piccioni, L; Perrotta, D; Reale, A; Raucci, U</t>
  </si>
  <si>
    <t xml:space="preserve">Ferro, Valentina; Boccuzzi, Elena; Battaglia, Massimo; Rossi, Francesco Paolo; Olita, Carla; Giglioni, Emanuele; Concato, Carlo; Piccioni, Livia; Perrotta, Daniela; Reale, Antonino; Raucci, Umberto</t>
  </si>
  <si>
    <t xml:space="preserve">The Role of Viral Coinfection in Bronchiolitis Treated With High-Flow Nasal Cannula at Pediatric Emergency Department During 2 Consecutive Seasons An Observational Study</t>
  </si>
  <si>
    <t xml:space="preserve">high-flow nasal cannula; respiratory virus; bronchiolitis; infant; severity score</t>
  </si>
  <si>
    <t xml:space="preserve">RESPIRATORY SYNCYTIAL VIRUS; HUMAN METAPNEUMOVIRUS; DISEASE SEVERITY; HOSPITALIZED CHILDREN; INFANTS; INFECTIONS; MULTIPLE; IMPACT; OXYGEN; THERAPY</t>
  </si>
  <si>
    <t xml:space="preserve">Background: The role of multiple respiratory viruses in bronchiolitis treated with high-flow nasal cannula (HFNC) has not been thoroughly investigated. We evaluated the contribution of coinfection on clinical course of bronchiolitis treated with HFNC and on response to this treatment. Methods: We selected 120 children with bronchiolitis, younger than 12 months, admitted to Emergency Department between 2016 and 2018 and treated with HFNC. We compared single and multiple virus infections in relation to specific outcomes such as the clinical response to HFNC and the HFNC failure. The multiple virus infection was defined by the detection of 2 or more viruses in nasopharyngeal aspirates. The HFNC failure was defined as escalation to higher level of care, including Helmet-Continuous Positive Airway Pressure, invasive ventilation or transfer to pediatric intensive care unit within 48 hours from the time of HFNC initiation. We also performed a comparison between HFNC failure and HFNC not-failure groups according to the number of virus and the type of virus. Results: The severity score post-HFNC initiation was significantly associated with coinfection [odds ratio (OR): 1.361; 95% confidence interval (CI): 1.036-1.786; P = 0.027]. The likelihood of coinfection decreased by 23.1% for each increase of saturation O-2 after HFNC initiation (OR: 0.769; 95% CI: 0.609-0.972; P = 0.028). Atelectasis was more likely to occur in coinfection (OR: 2.923; 95% CI: 1.049-8.148; P = 0.04). The duration of HFNC treatment increased significantly in coinfection (OR: 1.018; 95% CI: 1.006-1.029; P = 0.002). No significant differences were described between HFNC failure and the number and the type of detected viruses. Conclusions: The detection of multiple viruses and the type of virus did not influence the HFNC failure, although the coinfection was associated with a deterioration of severity score, a longer HFNC treatment and a major presence of atelectasis. The role of coinfection on HFNC treatment might subtend a complex interplay between multiple viruses and host susceptibility.</t>
  </si>
  <si>
    <t xml:space="preserve">[Ferro, Valentina; Boccuzzi, Elena; Battaglia, Massimo; Rossi, Francesco Paolo; Olita, Carla; Giglioni, Emanuele; Reale, Antonino; Raucci, Umberto] Bambino Gesu Pediat Hosp, IRCCS, Pediat Emergency Dept, Rome, Italy; [Concato, Carlo; Piccioni, Livia] Bambino Gesu Pediat Hosp, IRCCS, Virol Unit, Rome, Italy; [Perrotta, Daniela] Bambino Gesu Pediat Hosp, IRCCS, Pediat Intens Care Unit, Rome, Italy</t>
  </si>
  <si>
    <t xml:space="preserve">IRCCS Bambino Gesu; IRCCS Bambino Gesu; IRCCS Bambino Gesu</t>
  </si>
  <si>
    <t xml:space="preserve">Ferro, V (corresponding author), Bambino Gesu Pediat Hosp, IRCCS, Pediat Emergency Dept, Rome, Italy.</t>
  </si>
  <si>
    <t xml:space="preserve">valentina.ferro@opbg.net</t>
  </si>
  <si>
    <t xml:space="preserve">Rossi, Francesco Paolo/HDO-0683-2022; Umberto, Raucci/AAH-9205-2019; reale, antonino/AAB-8919-2020; Concato, Carlo/AAA-5993-2020; Boccuzzi, Elena/AAA-6503-2020</t>
  </si>
  <si>
    <t xml:space="preserve">Boccuzzi, Elena/0000-0002-4807-7926; reale, antonino/0000-0001-8058-7742; Raucci, Umberto/0000-0002-4881-2038; Concato, Carlo/0000-0003-3995-9537</t>
  </si>
  <si>
    <t xml:space="preserve">10.1097/INF.0000000000002512</t>
  </si>
  <si>
    <t xml:space="preserve">KF9CP</t>
  </si>
  <si>
    <t xml:space="preserve">WOS:000509535000008</t>
  </si>
  <si>
    <t xml:space="preserve">Kurskaya, OG; Prokopyeva, EA; Sobolev, IA; Solomatina, MV; Saroyan, TA; Dubovitskiy, NA; Derko, AA; Nokhova, AR; Anoshina, AV; Leonova, NV; Simkina, OA; Komissarova, TV; Shestopalov, AM; Sharshov, KA</t>
  </si>
  <si>
    <t xml:space="preserve">Kurskaya, Olga G.; Prokopyeva, Elena A.; Sobolev, Ivan A.; Solomatina, Mariya V.; Saroyan, Tereza A.; Dubovitskiy, Nikita A.; Derko, Anastasiya A.; Nokhova, Alina R.; Anoshina, Angelika V.; Leonova, Natalya V.; Simkina, Olga A.; Komissarova, Tatyana V.; Shestopalov, Alexander M.; Sharshov, Kirill A.</t>
  </si>
  <si>
    <t xml:space="preserve">Changes in the Etiology of Acute Respiratory Infections among Children in Novosibirsk, Russia, between 2019 and 2022: The Impact of the SARS-CoV-2 Virus</t>
  </si>
  <si>
    <t xml:space="preserve">HIFV; HRSV; HCoV; HPIV; HMPV; HRV; HAdV; HBoV; SARS-CoV-2</t>
  </si>
  <si>
    <t xml:space="preserve">A wide range of human respiratory viruses are known that may cause acute respiratory infections (ARIs), such as influenza A and B viruses (HIFV), respiratory syncytial virus (HRSV), coronavirus (HCoV), parainfluenza virus (HPIV), metapneumovirus (HMPV), rhinovirus (HRV), adenovirus (HAdV), bocavirus (HBoV), and others. The severe acute respiratory syndrome coronavirus 2 (SARS-CoV-2) caused the COronaVIrus Disease (COVID) that lead to pandemic in 2019 and significantly impacted on the circulation of ARIs. The aim of this study was to analyze the changes in the epidemic patterns of common respiratory viruses among children and adolescents hospitalized with ARIs in hospitals in Novosibirsk, Russia, from November 2019 to April 2022. During 2019 and 2022, nasal and throat swabs were taken from a total of 3190 hospitalized patients 0-17 years old for testing for HIFV, HRSV, HCoV, HPIV, HMPV, HRV, HAdV, HBoV, and severe acute respiratory syndrome coronavirus 2 (SARS-CoV-2) by real-time PCR. The SARS-CoV-2 virus dramatically influenced the etiology of acute respiratory infections among children and adolescents between 2019 and 2022. We observed dramatic changes in the prevalence of major respiratory viruses over three epidemic research seasons: HIFV, HRSV, and HPIV mainly circulated in 2019-2020; HMPV, HRV, and HCoV dominated in 2020-2021; and HRSV, SARS-CoV-2, HIFV, and HRV were the most numerous agents in 2021-2022. Interesting to note was the absence of HIFV and a significant reduction in HRSV during the 2020-2021 period, while HMPV was absent and there was a significant reduction of HCoV during the following epidemic period in 2021-2022. Viral co-infection was significantly more frequently detected in the 2020-2021 period compared with the other two epidemic seasons. Certain respiratory viruses, HCoV, HPIV, HBoV, HRV, and HAdV, were registered most often in co-infections. This cohort study has revealed that during the pre-pandemic and pandemic periods, there were dramatic fluctuations in common respiratory viruses registered among hospitalized patients 0-17 years old. The most dominant virus in each research period differed: HIFV in 2019-2020, HMPV in 2020-2021, and HRSV in 2021-2022. Virus-virus interaction was found to be possible between SARS-CoV-2 and HRV, HRSV, HAdV, HMPV, and HPIV. An increase in the incidence of COVID-19 was noted only during the third epidemic season (January to March 2022).</t>
  </si>
  <si>
    <t xml:space="preserve">[Kurskaya, Olga G.; Prokopyeva, Elena A.; Sobolev, Ivan A.; Solomatina, Mariya V.; Saroyan, Tereza A.; Dubovitskiy, Nikita A.; Derko, Anastasiya A.; Nokhova, Alina R.; Shestopalov, Alexander M.; Sharshov, Kirill A.] Fed Res Ctr Fundamental &amp; Translat Med, Lab Mol Epidemiol &amp; Biodivers Viruses, Novosibirsk 630060, Russia; [Anoshina, Angelika V.; Leonova, Natalya V.] Novosibirsk Childrens Municipal Clin Hosp 6, Dept Childrens Dis, Novosibirsk 630015, Russia; [Simkina, Olga A.; Komissarova, Tatyana V.] Novosibirsk Childrens Municipal Clin Hosp 3, Dept Childrens Dis, Novosibirsk 630040, Russia</t>
  </si>
  <si>
    <t xml:space="preserve">Prokopyeva, EA (corresponding author), Fed Res Ctr Fundamental &amp; Translat Med, Lab Mol Epidemiol &amp; Biodivers Viruses, Novosibirsk 630060, Russia.</t>
  </si>
  <si>
    <t xml:space="preserve">eaprokopeva@frcftm.ru</t>
  </si>
  <si>
    <t xml:space="preserve">Sharshov, Kirill/C-7693-2011; Nokhova, Alina/HGC-8275-2022; Kurskaya, Olga/C-8685-2011; Dubovitskiy, Nikita/ACK-3359-2022; Sobolev, Ivan/AAD-4881-2020; Sobolev, Ivan/D-3069-2017; Derko, Anastasiya/AAH-5462-2020</t>
  </si>
  <si>
    <t xml:space="preserve">Dubovitskiy, Nikita/0000-0002-7780-1485; Sobolev, Ivan/0000-0002-4561-6517; Derko, Anastasiya/0000-0002-5984-0819; Prokopyeva, Elena/0000-0002-5349-8362; Nokhova, Alina/0000-0002-7891-5847</t>
  </si>
  <si>
    <t xml:space="preserve">RSF [19-74-10055-P]; State-funded budget project [122012400086-2]</t>
  </si>
  <si>
    <t xml:space="preserve">RSF(Russian Science Foundation (RSF)); State-funded budget project</t>
  </si>
  <si>
    <t xml:space="preserve">This research was funded by the RSF project 19-74-10055-P (sampling, laboratory diagnostics, analysis). The laboratory of molecular epidemiology and biodiversity of viruses was supported by the State-funded budget project 122012400086-2.</t>
  </si>
  <si>
    <t xml:space="preserve">10.3390/v15040934</t>
  </si>
  <si>
    <t xml:space="preserve">F0PI6</t>
  </si>
  <si>
    <t xml:space="preserve">WOS:000979448200001</t>
  </si>
  <si>
    <t xml:space="preserve">Hopkins, MJ; Moorcroft, JF; Correia, JB; Hart, IJ</t>
  </si>
  <si>
    <t xml:space="preserve">Hopkins, Mark J.; Moorcroft, Jay F.; Correia, Jailson B.; Hart, Ian J.</t>
  </si>
  <si>
    <t xml:space="preserve">Using the full spectral capacity (six channels) of a real-time PCR instrument can simplify diagnostic laboratory screening and typing protocols for pandemic H1N1 influenza</t>
  </si>
  <si>
    <t xml:space="preserve">Hexaplex; influenza; metapneumovirus; real-time PCR; respiratory syncytial virus</t>
  </si>
  <si>
    <t xml:space="preserve">RT-PCR; HUMAN METAPNEUMOVIRUS; VIRUSES</t>
  </si>
  <si>
    <t xml:space="preserve">Background Timely reporting of influenza A virus subtype affects patient management. Real-time PCR is a rapid and sensitive method routinely used to characterise viral nucleic acid, but the full spectral capability of the instruments is not employed. Objectives To evaluate a hexaplex real-time PCR assay (Flu-6plx assay) capable of detecting influenza A and B, hMPV, respiratory syncytial virus (RSV) and distinguishing 2008 'human' influenza A/H1 from 2009 pandemic A/H1 subtypes. Methods Respiratory specimens (n = 213) were tested using the Flu-6plx assay and a further four monoplex PCRs targeting hMPV, RSV, influenza A and B. The FDA-approved ProFlu ST test was used to validate the Flu-6plx PCR influenza A/H1 subtyping components. Discrepant 2009 pandemic A/H1 results were further tested using the CDC swine H1 assay. Results The Flu-6plx assay had excellent sensitivity identifying 106/106 influenza A RNA-positive samples. The ProFlu ST test was a less sensitive subtyping test, and discrepant analysis could not confirm A/H1 status for four samples resulting in Flu-6plx PCR specificities of 98% and 95% for human A/H1 and 2009 pandemic A/H1, respectively. Co-infection affected the sensitivity of the Flu-6plx PCR hMPV component whereby low-level hMPV RNA could be masked by much higher concentrations of influenza A virus RNA. Conclusions The Flu-6plx assay is a sensitive and specific test for the universal detection of influenza A infection and determination of A/H1 subtype. Concomitant detection of influenza B, hMPV and RSV demonstrates the utility of hexaplex real-time PCRs in viral diagnostics.</t>
  </si>
  <si>
    <t xml:space="preserve">[Hopkins, Mark J.; Moorcroft, Jay F.; Hart, Ian J.] Royal Liverpool Univ Hosp, Liverpool Specialist Virol Ctr, Liverpool L7 8XP, Merseyside, England; [Correia, Jailson B.] Inst Med Integral Prof Fernando Figueira, Recife, PE, Brazil</t>
  </si>
  <si>
    <t xml:space="preserve">Royal Liverpool &amp; Broadgreen University Hospitals NHS Trust; Royal Liverpool University Hospital; University of Liverpool; Instituto de Medicina Integral Professor Fernando Figueira (IMIP)</t>
  </si>
  <si>
    <t xml:space="preserve">Hopkins, MJ (corresponding author), Royal Liverpool Univ Hosp, Liverpool Specialist Virol Ctr, Liverpool L7 8XP, Merseyside, England.</t>
  </si>
  <si>
    <t xml:space="preserve">m.hopkins@liv.ac.uk</t>
  </si>
  <si>
    <t xml:space="preserve">Correia, Jailson/J-4331-2015</t>
  </si>
  <si>
    <t xml:space="preserve">de Barros Correia, Jailson/0000-0002-0927-2219</t>
  </si>
  <si>
    <t xml:space="preserve">10.1111/j.1750-2659.2010.00178.x</t>
  </si>
  <si>
    <t xml:space="preserve">719HV</t>
  </si>
  <si>
    <t xml:space="preserve">WOS:000287196200007</t>
  </si>
  <si>
    <t xml:space="preserve">Choi, JH; Choi, EH; Kang, HJ; Park, KD; Park, SS; Shin, HY; Lee, HJ; Ahn, HS</t>
  </si>
  <si>
    <t xml:space="preserve">Choi, Jae Hong; Choi, Eun Hwa; Kang, Hyoung Jin; Park, Kyung Duk; Park, Sung Sup; Shin, Hee Young; Lee, Hoan Jong; Ahn, Hyo Seop</t>
  </si>
  <si>
    <t xml:space="preserve">Respiratory Viral Infections after Hematopoietic Stem Cell Transplantation in Children</t>
  </si>
  <si>
    <t xml:space="preserve">Hematopoietic Stem Cell Transplantation; Respiratory Virus; Respiratory Infections</t>
  </si>
  <si>
    <t xml:space="preserve">BONE-MARROW-TRANSPLANTATION; VIRUS-INFECTIONS; SYNCYTIAL VIRUS; PARAINFLUENZA VIRUS; TRACT INFECTIONS; HEMATOLOGIC MALIGNANCIES; KOREAN CHILDREN; RECIPIENTS; RIBAVIRIN; ADULTS</t>
  </si>
  <si>
    <t xml:space="preserve">This study was performed to characterize respiratory viral infections in pediatric patients undergoing hematopoietic stem cell transplantation (HSCT). Study samples included 402 respiratory specimens obtained from 358 clinical episodes that occurred in the 116 children of the 175 consecutive HSCT cohort at Seoul National University Children's Hospital, Korea from 2007 to 2010. Multiplex reverse-transcription polymerase chain reactions were performed for rhinovirus, respiratory syncytial virus (RSV), parainfluenza viruses (PIVs), adenovirus, human coronavirus (hCoV), influenza viruses and human metapneumovirus. Viruses were identified in 89 clinical episodes that occurred in 58 patients. Among the 89 clinical episodes, frequently detected viruses were rhinovirus in 25 (28.1%), RSV in 23 (25.8%), PIV-3 in 16 (18.0%), adenovirus in 12 (13.5%), and hCoV in 10 (11.2%). Lower respiratory tract infections were diagnosed in 34 (38.2%). Neutropenia was present in 24 (27.0%) episodes and lymphopenia was in 31 (34.8%) episodes. Sixty-three percent of the clinical episodes were hospital-acquired. Three patients died of respiratory failure caused by respiratory viral infections. Respiratory viral infections in pediatric patients who have undergone HSCT are common and are frequently acquired during hospitalization. Continuous monitoring is required to determine the role of respiratory viruses in immunocompromised children and the importance of preventive strategies.</t>
  </si>
  <si>
    <t xml:space="preserve">[Choi, Jae Hong; Choi, Eun Hwa; Kang, Hyoung Jin; Park, Kyung Duk; Shin, Hee Young; Lee, Hoan Jong; Ahn, Hyo Seop] Seoul Natl Univ Hosp, Dept Pediat, Seoul 110744, South Korea; [Choi, Eun Hwa; Lee, Hoan Jong] Seoul Natl Univ, Coll Med, Dept Pediat, Seoul 110769, South Korea; [Kang, Hyoung Jin; Park, Kyung Duk; Shin, Hee Young; Ahn, Hyo Seop] Seoul Natl Univ, Coll Med, Canc Res Inst, Seoul 110769, South Korea; [Park, Sung Sup] Seoul Natl Univ Hosp, Dept Lab Med, Seoul 110744, South Korea</t>
  </si>
  <si>
    <t xml:space="preserve">Seoul National University (SNU); Seoul National University Hospital; Seoul National University (SNU); Seoul National University (SNU); Seoul National University (SNU); Seoul National University Hospital</t>
  </si>
  <si>
    <t xml:space="preserve">Choi, EH (corresponding author), Seoul Natl Univ, Childrens Hosp, Dept Pediat, 101 Daehak Ro, Seoul 110769, South Korea.</t>
  </si>
  <si>
    <t xml:space="preserve">eunchoi@snu.ac.kr</t>
  </si>
  <si>
    <t xml:space="preserve">Hong, Choi/ABB-9295-2020; Park, Sung/J-2756-2012</t>
  </si>
  <si>
    <t xml:space="preserve">Choi, Jae Hong/0000-0003-3284-9407; Park, Sung Sup/0000-0003-3754-4848</t>
  </si>
  <si>
    <t xml:space="preserve">National Research Foundation of Korea (NRF); Korea government (MEST) [2012R1A1A2008316]</t>
  </si>
  <si>
    <t xml:space="preserve">National Research Foundation of Korea (NRF)(National Research Foundation of Korea); Korea government (MEST)(Ministry of Education, Science &amp; Technology (MEST), Republic of KoreaKorean Government)</t>
  </si>
  <si>
    <t xml:space="preserve">This work was supported by the National Research Foundation of Korea (NRF) grant funded by the Korea government (MEST) (No. 2012R1A1A2008316).</t>
  </si>
  <si>
    <t xml:space="preserve">10.3346/jkms.2013.28.1.36</t>
  </si>
  <si>
    <t xml:space="preserve">084GR</t>
  </si>
  <si>
    <t xml:space="preserve">WOS:000314527100005</t>
  </si>
  <si>
    <t xml:space="preserve">Fisher, BT; Danziger-Isakov, L; Sweet, LR; Munoz, FM; Maron, G; Tuomanen, E; Murray, A; Englund, JA; Dulek, D; Halasa, N; Green, M; Michaels, MG; Madan, RP; Herold, BC; Steinbach, WJ</t>
  </si>
  <si>
    <t xml:space="preserve">Fisher, Brian T.; Danziger-Isakov, Lara; Sweet, Leigh R.; Munoz, Flor M.; Maron, Gabriela; Tuomanen, Elaine; Murray, Alistair; Englund, Janet A.; Dulek, Daniel; Halasa, Natasha; Green, Michael; Michaels, Marian G.; Madan, Rebecca Pellett; Herold, Betsy C.; Steinbach, William J.</t>
  </si>
  <si>
    <t xml:space="preserve">A Multicenter Consortium to Define the Epidemiology and Outcomes of Inpatient Respiratory Viral Infections in Pediatric Hematopoietic Stem Cell Transplant Recipients</t>
  </si>
  <si>
    <t xml:space="preserve">hematopoietic stem cell transplantation; pediatrics; respiratory viral infection</t>
  </si>
  <si>
    <t xml:space="preserve">VIRUS-INFECTIONS; SYNCYTIAL VIRUS; HUMAN METAPNEUMOVIRUS; TRACT DISEASE; MORTALITY; INFLUENZA; CHILDREN</t>
  </si>
  <si>
    <t xml:space="preserve">Background. Respiratory virus infections (RVIs) pose a threat to children undergoing hematopoietic stem cell transplantation (HSCT). In this era of sensitive molecular diagnostics, the incidence and outcome of HSCT recipients who are hospitalized with RVI (H-RVI) are not well described. Methods. A retrospective observational cohort of pediatric HSCT recipients (between January 2010 and June 2013) was assembled from 9 US pediatric transplant centers. Their medical charts were reviewed for H-RVI events within 1 year after their transplant. An H-RVI diagnosis required respiratory signs or symptoms plus viral detection (human rhinovirus/enterovirus, human metapneumovirus, influenza, parainfluenza, coronaviruses, and/or respiratory syncytial virus). The incidence of H-RVI was calculated, and the association of baseline HSCT factors with subsequent pulmonary complications and death was assessed. Results. Among 1560 HSCT recipients, 259 (16.6%) acquired at least 1 H-RVI within 1 year after their transplant. The median age of the patients with an H-RVI was lower than that of patients without an H-RVI (4.8 vs 7.1 years; P &lt; .001). Among the patients with a first H-RVI, 48% required some respiratory support, and 14% suffered significant pulmonary sequelae. The all-cause and attributable case-fatality rates within 3 months of H-RVI onset were 11% and 5.4%, respectively. Multivariate logistic regression revealed that H-RVI onset within 60 days of HSCT, steroid use in the 7 days before H-RVI onset, and the need for respiratory support at H-RVI onset were associated with subsequent morbidity or death. Conclusion. Results of this multicenter cohort study suggest that H-RVIs are relatively common in pediatric HSCT recipients and contribute to significant morbidity and death. These data should help inform interventional studies specific to each viral pathogen.</t>
  </si>
  <si>
    <t xml:space="preserve">[Fisher, Brian T.] Childrens Hosp Philadelphia, Dept Pediat, Div Infect Dis, Philadelphia, PA 19104 USA; [Fisher, Brian T.] Childrens Hosp Philadelphia, Ctr Pediat Clin Effectiveness, Philadelphia, PA 19104 USA; [Fisher, Brian T.] Univ Penn, Perelman Sch Med, Ctr Clin Epidemiol &amp; Biostat, Philadelphia, PA 19104 USA; [Danziger-Isakov, Lara] Cincinnati Childrens Hosp Med Ctr, Dept Pediat, Div Infect Dis, Cincinnati, OH 45229 USA; [Sweet, Leigh R.; Munoz, Flor M.] Texas Childrens Hosp, Baylor Coll Med, Dept Pediat, Sect Infect Dis, Houston, TX 77030 USA; [Maron, Gabriela; Tuomanen, Elaine] St Jude Childrens Res Hosp, Dept Infect Dis, 332 N Lauderdale St, Memphis, TN 38105 USA; [Murray, Alistair; Englund, Janet A.] Seattle Childrens Hosp, Seattle Childrens Res Inst, Seattle, WA USA; [Murray, Alistair; Englund, Janet A.] Univ Washington, Seattle, WA 98195 USA; [Dulek, Daniel; Halasa, Natasha] Vanderbilt Univ, Med Ctr, Dept Pediat, Div Pediat Infect Dis,Monroe Carell Jr Childrens, Nashville, TN 37232 USA; [Green, Michael; Michaels, Marian G.] UPMC, Childrens Hosp Pittsburgh, Dept Pediat, Div Infect Dis, Pittsburgh, PA USA; [Green, Michael; Michaels, Marian G.] UPMC, Childrens Hosp Pittsburgh, Dept Surg, Div Infect Dis, Pittsburgh, PA USA; [Green, Michael; Michaels, Marian G.] Univ Pittsburgh, Sch Med, Pittsburgh, PA USA; [Madan, Rebecca Pellett; Herold, Betsy C.] Albert Einstein Coll Med, Dept Pediat, Bronx, NY 10467 USA; [Madan, Rebecca Pellett; Herold, Betsy C.] Childrens Hosp Montefiore, Bronx, NY USA; [Steinbach, William J.] Duke Univ, Dept Pediat, Durham, NC 27706 USA; [Steinbach, William J.] Duke Univ, Dept Mol Genet &amp; Microbiol, Durham, NC USA</t>
  </si>
  <si>
    <t xml:space="preserve">University of Pennsylvania; Pennsylvania Medicine; Childrens Hospital of Philadelphia; University of Pennsylvania; Pennsylvania Medicine; Childrens Hospital of Philadelphia; University of Pennsylvania; Cincinnati Children's Hospital Medical Center; University System of Ohio; University of Cincinnati; Baylor College of Medicine; Baylor College Medical Hospital; St Jude Children's Research Hospital; Seattle Children's Hospital; University of Washington; University of Washington Seattle; Vanderbilt University; Pennsylvania Commonwealth System of Higher Education (PCSHE); University of Pittsburgh; Pennsylvania Commonwealth System of Higher Education (PCSHE); University of Pittsburgh; Pennsylvania Commonwealth System of Higher Education (PCSHE); University of Pittsburgh; Montefiore Medical Center; Albert Einstein College of Medicine; Yeshiva University; Montefiore Medical Center; Albert Einstein College of Medicine; Childrens Hospital at Montefiore; Duke University; Duke University</t>
  </si>
  <si>
    <t xml:space="preserve">Fisher, BT (corresponding author), Childrens Hosp Philadelphia, Div Infect Dis, 34th &amp; Civ Ctr Blvd,CHOP North,Suite 1515, Philadelphia, PA 19104 USA.</t>
  </si>
  <si>
    <t xml:space="preserve">fisherbria@email.chop.edu</t>
  </si>
  <si>
    <t xml:space="preserve">Englund, Janet/ABV-6379-2022; Tuomanen, Elaine/N-3081-2018; Maron, Gabriela/N-8091-2018</t>
  </si>
  <si>
    <t xml:space="preserve">Maron, Gabriela/0000-0001-5247-5399; Herold, Betsy/0000-0001-9974-0786; Fisher, Brian/0000-0002-8224-4281</t>
  </si>
  <si>
    <t xml:space="preserve">10.1093/jpids/pix051</t>
  </si>
  <si>
    <t xml:space="preserve">HI0JQ</t>
  </si>
  <si>
    <t xml:space="preserve">WOS:000456128300003</t>
  </si>
  <si>
    <t xml:space="preserve">Kumar, D; Humar, A</t>
  </si>
  <si>
    <t xml:space="preserve">Kumar, Deepali; Humar, Atul</t>
  </si>
  <si>
    <t xml:space="preserve">Respiratory Viral Infections in Transplant and Oncology Patients</t>
  </si>
  <si>
    <t xml:space="preserve">Hematopoietic stem cell transplant; Solid organ transplant; Influenza; Cancer</t>
  </si>
  <si>
    <t xml:space="preserve">STEM-CELL TRANSPLANT; HUMAN METAPNEUMOVIRUS INFECTION; PARAINFLUENZA VIRUS TYPE-3; NEURAMINIDASE INHIBITOR ZANAMIVIR; DISEASES WORKING PARTY; SYNCYTIAL VIRUS; INFLUENZA-A; ADENOVIRUS INFECTION; HUMAN BOCAVIRUS; INTRAVENOUS RIBAVIRIN</t>
  </si>
  <si>
    <t xml:space="preserve">Respiratory viral infections are a significant cause of morbidity and mortality in the immunocompromised host. In the last two decades, there has been significant advancement in the epidemiology and laboratory diagnosis of respiratory viral infections. In addition, the clinical consequences of many respiratory viruses in the immunocompetent and immunocompromised host continue to be studied. Many therapeutics have also now become available, although their efficacy in transplant recipients remains uncertain. This article describes the current knowledge about respiratory viral infections as it relates to solid organ transplant, hematopoietic stem cell transplant, and oncology settings.</t>
  </si>
  <si>
    <t xml:space="preserve">[Kumar, Deepali; Humar, Atul] Univ Alberta, Dept Med, Ctr Hlth Res, Edmonton, AB T6G 2E1, Canada</t>
  </si>
  <si>
    <t xml:space="preserve">Kumar, D (corresponding author), Univ Alberta, Dept Med, Ctr Hlth Res, 6-030 Katz Rexall, Edmonton, AB T6G 2E1, Canada.</t>
  </si>
  <si>
    <t xml:space="preserve">Deepali.Kumar@ualberta.ca</t>
  </si>
  <si>
    <t xml:space="preserve">10.1016/j.idc.2010.01.007</t>
  </si>
  <si>
    <t xml:space="preserve">606ZB</t>
  </si>
  <si>
    <t xml:space="preserve">WOS:000278466600009</t>
  </si>
  <si>
    <t xml:space="preserve">Lin, HX; Feng, Y; Tu, XM; Zhao, XS; Hsieh, CH; Griffin, L; Junop, M; Zhang, CS</t>
  </si>
  <si>
    <t xml:space="preserve">Lin, Han-Xin; Feng, Yan; Tu, Xinming; Zhao, Xuesen; Hsieh, Chih-Heng; Griffin, Lauren; Junop, Murray; Zhang, Chengsheng</t>
  </si>
  <si>
    <t xml:space="preserve">Characterization of the spike protein of human coronavirus NL63 in receptor binding and pseudotype virus entry</t>
  </si>
  <si>
    <t xml:space="preserve">HCoV-NL63; Spike protein; Receptor binding; Pseudotype virus entry</t>
  </si>
  <si>
    <t xml:space="preserve">RESPIRATORY-SYNDROME-CORONAVIRUS; TRANSMISSIBLE GASTROENTERITIS CORONAVIRUS; ANGIOTENSIN-CONVERTING ENZYME-2; SARS-CORONAVIRUS; TRACT INFECTIONS; S-PROTEIN; HUMAN METAPNEUMOVIRUS; YOUNG-CHILDREN; DOMAIN; IDENTIFICATION</t>
  </si>
  <si>
    <t xml:space="preserve">The spike (S) protein of human coronavirus NL63 (HCoV-NL63) mediates both cell attachment by binding to its receptor hACE2 and membrane fusion during virus entry. We have previously identified the receptor-binding domain (RBD) and residues important for RBD-hACE2 association. Here, we further characterized the S protein by investigating the roles of the cytoplasmic tail and 19 residues located in the RBD in protein accumulation, receptor binding, and pseudotype virus entry. For these purposes, we first identified an entry-efficient S gene template from a pool of gene variants and used it as a backbone to generate a series of cytoplasmic tail deletion and single residue substitution mutants. Our results showed that: (i) deletion of 18 aa from the C-terminus enhanced the S protein accumulation and virus entry, which might be due to the deletion of intracellular retention signals; (ii) further deletion to residue 29 also enhanced the amount of S protein on the cell surface and in virion, but reduced virus entry by 25%, suggesting that residues 19-29 contributes to membrane fusion; (iii) a 29 aa-deletion mutant had a defect in anchoring on the plasma membrane, which led to a dramatic decrease of S protein in virion and virus entry; (iv) a total of 15 residues (Y498, V499, V531, G534, G537, D538, S540, G575, S576, E582, W585, Y590, T591, V593 and G594) within RBD were important for receptor binding and virus entry. They probably form three receptor binding motifs, and the third motif is conserved between NL63 and SARS-CoV. (C) 2011 Elsevier B.V. All rights reserved.</t>
  </si>
  <si>
    <t xml:space="preserve">[Lin, Han-Xin; Feng, Yan; Tu, Xinming; Zhao, Xuesen; Zhang, Chengsheng] McMaster Univ, Dept Pathol &amp; Mol Med, Hamilton, ON L8N 3Z5, Canada; [Lin, Han-Xin; Feng, Yan; Tu, Xinming; Zhao, Xuesen; Zhang, Chengsheng] St Josephs Healthcare, Dept Microbiol, Hamilton, ON L8N 4A6, Canada; [Hsieh, Chih-Heng; Griffin, Lauren; Zhang, Chengsheng] Harvard Univ, Dept Pathol, Brigham &amp; Womens Hosp, Sch Med, Boston, MA 02115 USA; [Junop, Murray] McMaster Univ, Dept Biochem &amp; Biomed Sci, Hamilton, ON L8N 3Z5, Canada; [Junop, Murray] McMaster Univ, MG DeGroote Inst Infect Dis Res, Hamilton, ON L8N 3Z5, Canada</t>
  </si>
  <si>
    <t xml:space="preserve">McMaster University; Harvard University; Harvard Medical School; Brigham &amp; Women's Hospital; McMaster University; McMaster University</t>
  </si>
  <si>
    <t xml:space="preserve">Zhang, CS (corresponding author), EBRC 412,221 Longwood Ave, Boston, MA 02115 USA.</t>
  </si>
  <si>
    <t xml:space="preserve">cszhang@rics.bwh.harvard.edu</t>
  </si>
  <si>
    <t xml:space="preserve">Junop, Murray/E-4160-2015</t>
  </si>
  <si>
    <t xml:space="preserve">Junop, Murray/0000-0001-6676-5717</t>
  </si>
  <si>
    <t xml:space="preserve">Canadian Institute of Health Research [MOP 68955, MOP 53209]</t>
  </si>
  <si>
    <t xml:space="preserve">Canadian Institute of Health Research(Canadian Institutes of Health Research (CIHR))</t>
  </si>
  <si>
    <t xml:space="preserve">We are grateful to Dr. L. van der Hoek from the University of Amsterdam and Dr. J. Miyazaki from Kumamoto University Medical School of Japan for providing HCoV-NL63 virus stock and pCAGGS cloning vector, respectively. This work was supported by the operating grants MOP 68955 (C. Zhang) and MOP 53209 (M. Junop) from the Canadian Institute of Health Research.</t>
  </si>
  <si>
    <t xml:space="preserve">10.1016/j.virusres.2011.06.029</t>
  </si>
  <si>
    <t xml:space="preserve">WOS:000295345600035</t>
  </si>
  <si>
    <t xml:space="preserve">Han, TH; Chung, JY; Kim, SW; Hwang, ES</t>
  </si>
  <si>
    <t xml:space="preserve">Han, Tae Hee; Chung, Ju-Young; Kim, Sang Woo; Hwang, Eung-Soo</t>
  </si>
  <si>
    <t xml:space="preserve">Human Coronavirus-NL63 infections in Korean children, 2004-2006</t>
  </si>
  <si>
    <t xml:space="preserve">HCoV-NL63; croup; acute bronchiolitis; children</t>
  </si>
  <si>
    <t xml:space="preserve">HUMAN CORONAVIRUS NL63; RESPIRATORY-TRACT DISEASE; YOUNG-CHILDREN; HONG-KONG</t>
  </si>
  <si>
    <t xml:space="preserve">Background: Human coronavirus-NL63 (HCoV-NL63) has been isolated from children with respiratory tract infections and its prevalence in Korea has not been reported. Objectives: This study was designed to investigate the presence and the clinical features of HCoV-NL63 during two winter seasons. Study design: During April 2004-April 2006, nasopharyngeal specimens from children hospitalized with acute respiratory disease were tested for common respiratory viruses, including RSV, influenza A, influenza B, parainfluenza viruses, and adenovirus by IFA. hMPV infection was excluded by nested RT-PCR using primers for F-gene. To detect HCoV-NL63, previously described nested PCR assays for 1a and 1b were used. PCR products of the I a gene for HCoV-NL63 were sequenced. Results: Out of 872 nasopharyngeal aspirate from children aged under 16 years, 14 (1.7%) were positive for HCoV-NL63. Most of the patients had croup (64.2%) or bronchiolitis (21.4%). The peak prevalence was found in November (28.5%). Most were collected between November 2004 and February 2005. Conclusions: HCoV-NL63 may be one of the causative agents of acute respiratory tract infection, especially croup. (c) 2006 Elsevier B.V. All rights reserved.</t>
  </si>
  <si>
    <t xml:space="preserve">Inje Univ, Coll Med, Sanggyepaik Hosp, Dept Diagnost Lab Med, Seoul, South Korea; Inje Univ, Coll Med, Sanggyepaik Hosp, Dept Pediat, Seoul, South Korea; Seoul Natl Univ, Coll Med, Dept Microbiol, Seoul 151, South Korea</t>
  </si>
  <si>
    <t xml:space="preserve">Chung, JY (corresponding author), Inje Univ, Coll Med, Sanggyepaik Hosp, Dept Diagnost Lab Med, Seoul, South Korea.</t>
  </si>
  <si>
    <t xml:space="preserve">10.1016/j.jcv.2006.10.009</t>
  </si>
  <si>
    <t xml:space="preserve">WOS:000243736900005</t>
  </si>
  <si>
    <t xml:space="preserve">Ebihara, T; Endo, R; Ma, XM; Ishiguro, N; Kikuta, H</t>
  </si>
  <si>
    <t xml:space="preserve">Detection of human coronavirus NL63 in young children with bronchiolitis</t>
  </si>
  <si>
    <t xml:space="preserve">HCoV-NL63; acute bronchiolitis; acute laryngotracheobronchitis</t>
  </si>
  <si>
    <t xml:space="preserve">HUMAN METAPNEUMOVIRUS; RESPIRATORY-TRACT; INFECTION; DISEASE; INFANTS; VIRUS</t>
  </si>
  <si>
    <t xml:space="preserve">HCoV-NL63, the fourth human coronavirus, has been isolated recently from children with respiratory tract infections, including upper respiratory infection, bronchiolitis, and pneumonia. The virus has been also detected in immunocompromised adults with respiratory tract infections. A total of 118 nasopharyngeal swab samples from 118 hospitalized young children aged less than 2 years with bronchiolitis who were not infected with human respiratory syncytial virus, influenza A or B, or human metaneumovirus were selected. Three (2.5%) of the 118 samples were positive for HCoV-NL63 by reverse transcription-polymerase chain reaction tests. HCoV-NL63 may be one of the causative agents of bronchiolitis in young children. (C) 2005 Wiley-Liss, Inc.</t>
  </si>
  <si>
    <t xml:space="preserve">Hokkaido Univ, Grad Sch Med, Dept Pediat, Kita Ku, Sapporo, Hokkaido 0608638, Japan</t>
  </si>
  <si>
    <t xml:space="preserve">Hokkaido Univ, Grad Sch Med, Dept Pediat, Kita Ku, N-15,W-7, Sapporo, Hokkaido 0608638, Japan.</t>
  </si>
  <si>
    <t xml:space="preserve">10.1002/jmv.20289</t>
  </si>
  <si>
    <t xml:space="preserve">893EA</t>
  </si>
  <si>
    <t xml:space="preserve">WOS:000226700900015</t>
  </si>
  <si>
    <t xml:space="preserve">Salih, SSA; Abdalkafi, BA; Bizzari, RAA; House, AC; Al Bana, MA; Howidi, NR; Manaf, SB</t>
  </si>
  <si>
    <t xml:space="preserve">Salih, Sabir Salah A.; Abdalkafi, Babiker A.; Bizzari, Rikaz A. A.; House, Abdulrahiman Ch.; Al Bana, Mohammad Abdullatif; Howidi, Nourhan Roshdi; Manaf, Sadaf Binu</t>
  </si>
  <si>
    <t xml:space="preserve">Patterns of Viral Pathogens Causing Upper Respiratory Tract Infections in Children Under 13 Years Old: A Retrospective Analysis</t>
  </si>
  <si>
    <t xml:space="preserve">DUBAI MEDICAL JOURNAL</t>
  </si>
  <si>
    <t xml:space="preserve">Hatta Hospital; seasonality; respiratory tract infections; prevalence; influenza; RSV; vaccination</t>
  </si>
  <si>
    <t xml:space="preserve">SYNCYTIAL VIRUS; HUMAN METAPNEUMOVIRUS; RHINOVIRUS INFECTION; UNITED-STATES; INFLUENZA; RSV; SEASONALITY; INFANTS; DISEASE; BURDEN</t>
  </si>
  <si>
    <t xml:space="preserve">Background: Respiratory viral infections strain healthcare globally, accounting for 15% of encounters in the UAE. However, seasonal prevalence in the region remains unclear. This hospital-based study aims to understand viral causes of upper respiratory tract infections (URTIs) in children under 13, focusing on influenza and RSV. Methods: We conducted a retrospective chart review at Hatta Hospital in Dubai, collecting data from pediatric patients under 13 years old with URTI diagnoses from 2022 to 2023. Nasopharyngeal aspirate samples were analyzed using a multiplex chain reaction (mPCR) assay to identify viral pathogens. Data were collected from the hospital's emergency department, walk-in clinic, and admitted patients. Results: During the study period, 2714 samples were analyzed, with 1870 (69%) testing positive for any respiratory pathogen. Most infected individuals were males (56.7%), aged between 1 and 3 years (37.9%). Single viral infections were predominant (85.3%), with 27.3% attributed to Human Enterovirus/Rhinovirus, 26.6% to Influenza A, and 10.2% to respiratory syncytial virus (RSV). The RSV season was observed to span from August to December, peaking in October, while Influenza A had semi-seasonal peaks in June and October. Hospital admissions varied significantly between single (21%) and multiple viral infections (27%). Of 340 children hospitalized with single viral infections, 28.2% were infected with Human Enterovirus/Rhinovirus, 16.7% with RSV, and 13.5% with Influenza A. Conclusion: The study provides insights into viral epidemiology among children in the UAE, highlighting the high prevalence and seasonal peaks of viral pathogens. Awareness of these trends can reduce unnecessary streptococcal testing and antibiotic overuse. Understanding the seasonal patterns aids in optimizing prophylactic measures and vaccination strategies for RSV and influenza, benefiting high-risk infants and children.</t>
  </si>
  <si>
    <t xml:space="preserve">[Salih, Sabir Salah A.; Abdalkafi, Babiker A.; Bizzari, Rikaz A. A.; House, Abdulrahiman Ch.] Dubai Hlth, Hatta Hosp, Pediat Dept, Dubai, U Arab Emirates; [Al Bana, Mohammad Abdullatif; Howidi, Nourhan Roshdi; Manaf, Sadaf Binu] Dubai Hlth, Dubai, U Arab Emirates</t>
  </si>
  <si>
    <t xml:space="preserve">Salih, SSA (corresponding author), Dubai Hlth, Hatta Hosp, Pediat Dept, Dubai, U Arab Emirates.</t>
  </si>
  <si>
    <t xml:space="preserve">SSSalih@dubaihealth.ae</t>
  </si>
  <si>
    <t xml:space="preserve">KNOWLEDGE E</t>
  </si>
  <si>
    <t xml:space="preserve">DUBAI</t>
  </si>
  <si>
    <t xml:space="preserve">OFF 4401, JUMEIRAH BAY X2 TOWER, JUMEIRAH LAKES TOWERS JLT, PO BOX 488239, DUBAI, 00000, U ARAB EMIRATES</t>
  </si>
  <si>
    <t xml:space="preserve">2571-726X</t>
  </si>
  <si>
    <t xml:space="preserve">DUBAI MED J</t>
  </si>
  <si>
    <t xml:space="preserve">Dubai Med. J.</t>
  </si>
  <si>
    <t xml:space="preserve">10.18502/dmj.v7i1.17497</t>
  </si>
  <si>
    <t xml:space="preserve">M5P0X</t>
  </si>
  <si>
    <t xml:space="preserve">WOS:001358043400005</t>
  </si>
  <si>
    <t xml:space="preserve">Falsey, AR; Walsh, EE; House, SL; Vandendijck, Y; Stevens, M; Chan, EKH; Ispas, G</t>
  </si>
  <si>
    <t xml:space="preserve">Falsey, Ann R.; Walsh, Edward E.; House, Stacey L.; Vandendijck, Yannick; Stevens, Marita; Chan, Eric K. H.; Ispas, Gabriela</t>
  </si>
  <si>
    <t xml:space="preserve">Assessment of Illness Severity in Adults Hospitalized With Acute Respiratory Tract Infection due to Influenza, Respiratory Syncytial Virus, or Human Metapneumovirus</t>
  </si>
  <si>
    <t xml:space="preserve">HARTI; hMPV; hospitalization; human metapneumovirus; influenza; patient-reported outcomes; respiratory syncytial virus; RSV</t>
  </si>
  <si>
    <t xml:space="preserve">EXACERBATIONS</t>
  </si>
  <si>
    <t xml:space="preserve">BackgroundInfluenza, respiratory syncytial virus (RSV), and human metapneumovirus (hMPV) are common respiratory viruses causing similar symptoms. Optimal tools to assess illness severity for these viruses have not been defined. Using the Hospitalized Acute Respiratory Tract Infection (HARTI) study data, we report symptom severity by clinician-rated clinical severity scores (CSS) in adults with influenza, RSV, or hMPV and correlations between CSS and patient-reported outcomes (PROs).MethodsHARTI was a global epidemiologic study in adults hospitalized with acute respiratory tract infections. Patients were assessed at enrollment within 24 h of admission with CSS and twice during hospitalization with CSS, Respiratory Infection Intensity and Impact Questionnaire (TM) (RiiQ (TM)), and EQ-5D-5L. Data were summarized descriptively, stratified by pathogen and baseline and hospitalization characteristics. Domain (general, upper respiratory, and lower respiratory) and sign/symptom subscores are presented for CSS; sign/symptom subscores are presented for RiiQ (TM) results.ResultsData from 635 patients with influenza, 248 with RSV, and 107 with hMPV were included. At enrollment, total CSS and general and lower respiratory signs/symptoms (LRS) scores were higher for RSV and hMPV than influenza. Between-pathogen differences were greatest for LRS scores. Dyspnea, rales/rhonchi, wheezing, and shortness of breath scores trended higher for RSV and hMPV than influenza. RiiQ (TM) scores for cough, fatigue, and short of breath were strongly correlated with corresponding clinician-rated symptoms.ConclusionsThese findings support the use of PROs (e.g., the RiiQ (TM)) correlating with clinician assessments to gauge patient well-being and aid patient management by accurately assessing respiratory illness severity due to RSV, hMPV, or influenza.</t>
  </si>
  <si>
    <t xml:space="preserve">[Falsey, Ann R.; Walsh, Edward E.] Univ Rochester, Dept Med, Rochester, NY 14627 USA; [House, Stacey L.] Washington Univ, Sch Med, Dept Emergency Med, St Louis, MO USA; [Vandendijck, Yannick; Stevens, Marita] Janssen Res &amp; Dev, Beerse, Belgium; [Chan, Eric K. H.] Janssen Global Serv LLC, Raritan, NJ USA; [Ispas, Gabriela] Janssen Global Med Affairs Infect Dis &amp; Vaccines, Beerse, Belgium</t>
  </si>
  <si>
    <t xml:space="preserve">University of Rochester; Washington University (WUSTL); Johnson &amp; Johnson; Janssen Pharmaceuticals; Johnson &amp; Johnson; Janssen Pharmaceuticals</t>
  </si>
  <si>
    <t xml:space="preserve">Falsey, AR (corresponding author), Univ Rochester, Dept Med, Rochester, NY 14627 USA.</t>
  </si>
  <si>
    <t xml:space="preserve">ann_falsey@urmc.rochester.edu</t>
  </si>
  <si>
    <t xml:space="preserve">Stevens, Marita/0000-0001-5233-8917</t>
  </si>
  <si>
    <t xml:space="preserve">Janssen Pharmaceuticals; Janssen Pharmaceuticals (Beerse, Belgium) - Janssen Global Medical Affairs, LLC</t>
  </si>
  <si>
    <t xml:space="preserve">Janssen Pharmaceuticals(Johnson &amp; JohnsonJohnson &amp; Johnson USAJanssen Biotech Inc); Janssen Pharmaceuticals (Beerse, Belgium) - Janssen Global Medical Affairs, LLC</t>
  </si>
  <si>
    <t xml:space="preserve">We thank all participants and their families and site personnel involved with this study. This study was sponsored by Janssen Pharmaceuticals (Beerse, Belgium). Medical writing support was provided by Laura Watts, PhD, and William J. Kelley, PhD (Lumanity Communications Inc., Yardley, PA, USA), and funded by Janssen Global Medical Affairs, LLC.</t>
  </si>
  <si>
    <t xml:space="preserve">e13275</t>
  </si>
  <si>
    <t xml:space="preserve">10.1111/irv.13275</t>
  </si>
  <si>
    <t xml:space="preserve">OY7X3</t>
  </si>
  <si>
    <t xml:space="preserve">WOS:001210914700001</t>
  </si>
  <si>
    <t xml:space="preserve">Memish, ZA; Assiri, AM; Alshehri, M; Hussain, R; Alomar, I</t>
  </si>
  <si>
    <t xml:space="preserve">Memish, Ziad A.; Assiri, Abdullah M.; Alshehri, Mohammed; Hussain, Raheela; Alomar, Ibrahim</t>
  </si>
  <si>
    <t xml:space="preserve">The prevalance of respiratory viruses among healthcare workers serving pilgrims in Makkah during the 2009 influenza A (H1N1) pandemic</t>
  </si>
  <si>
    <t xml:space="preserve">TRAVEL MEDICINE AND INFECTIOUS DISEASE</t>
  </si>
  <si>
    <t xml:space="preserve">Hajj; Viral; Respiratory; Healthcare workers; H1N1</t>
  </si>
  <si>
    <t xml:space="preserve">RHINOVIRUS INFECTIONS; HAJJ; SURVEILLANCE; FAMILIES; ILLNESS; ADULTS; MECCA; PCR</t>
  </si>
  <si>
    <t xml:space="preserve">Despite the high risk of acquiring respiratory infections, healthcare workers who treat pilgrims at Hajj have not been studied in previous research on respiratory diseases during Hajj. The objective of this study was to determine the prevalence of different respiratory viruses among healthcare workers who treated pilgrims during Hajj 2009, the year of the influenza A H1N1 pandemic. A cross-sectional study was performed just before and after Hajj (25-29 November, 2009). Nasal and throat swabs were tested for 18 respiratory virus types and subtypes. A total of 184 healthcare workers were examined. Most were men (85%) with an average age of 41 years. Before the Hajj, rates of seasonal influenza vaccination were higher (51%) than rates of pandemic influenza A H1N1 vaccination (22%). After the Hajj, participants reported high rates of maintaining hand hygiene (98%), cough etiquette (89%), and wearing a face mask (90%). Among all the viruses tested, only two were detected: rhinovirus was detected in 12.6% and Coronavirus 229E in 0.6%. Rhinovirus was detected in 21% of those who had respiratory symptoms during Hajj. Influenza A (including H1N1), influenza B. respiratory syncytial virus, other coronaviruses, parainfluenza viruses, human metapneumovirus, adenovirus, and human bocavirus were not detected. The finding of high rates of rhinovirus infection corresponds to their frequent occurrence in adults. None of the participants had influenza A H1N1 2009, possibly because it was also infrequent among the 2009 pilgrims. (C) 2011 Elsevier Ltd. All rights reserved.</t>
  </si>
  <si>
    <t xml:space="preserve">[Memish, Ziad A.] Alfaisal Univ, Coll Med, Riyadh 11176, Saudi Arabia; [Memish, Ziad A.; Assiri, Abdullah M.] Minist Hlth, Prevent Med Directorate, Riyadh, Saudi Arabia; [Alshehri, Mohammed] King Fahad Med City, Dept Pediat, Pediat Infect Dis, Riyadh, Saudi Arabia; [Hussain, Raheela] Minist Hlth, Reg Lab, Jeddah, Saudi Arabia; [Alomar, Ibrahim] Minist Hlth, Adm Labs &amp; Blood Banks, Riyadh, Saudi Arabia</t>
  </si>
  <si>
    <t xml:space="preserve">Ministry of Health - Saudi Arabia; King Fahad Medical City; Ministry of Health - Saudi Arabia; Ministry of Health - Saudi Arabia</t>
  </si>
  <si>
    <t xml:space="preserve">Memish, ZA (corresponding author), Alfaisal Univ, Coll Med, Riyadh 11176, Saudi Arabia.</t>
  </si>
  <si>
    <t xml:space="preserve">zmemish@yahoo.com</t>
  </si>
  <si>
    <t xml:space="preserve">assiri, abdullah/AAF-5665-2021; Memish, Ziad/AEJ-9424-2022; Assiri, Abdullah/GQP-2239-2022</t>
  </si>
  <si>
    <t xml:space="preserve">Assiri, Abdullah/0000-0002-5605-2876</t>
  </si>
  <si>
    <t xml:space="preserve">1477-8939</t>
  </si>
  <si>
    <t xml:space="preserve">1873-0442</t>
  </si>
  <si>
    <t xml:space="preserve">TRAVEL MED INFECT DI</t>
  </si>
  <si>
    <t xml:space="preserve">Travel Med. Infect. Dis.</t>
  </si>
  <si>
    <t xml:space="preserve">10.1016/j.tmaid.2011.11.002</t>
  </si>
  <si>
    <t xml:space="preserve">913LL</t>
  </si>
  <si>
    <t xml:space="preserve">WOS:000301879300002</t>
  </si>
  <si>
    <t xml:space="preserve">Alsayed, SM; Alandijany, TA; El-Kafrawy, SA; Hassan, AM; Bajrai, LH; Faizo, AA; Mulla, EA; Aljandali, LS; Alquthami, KM; Zumla, A; Azhar, E</t>
  </si>
  <si>
    <t xml:space="preserve">Alsayed, Salma M.; Alandijany, Thamir A.; El-Kafrawy, Sherif A.; Hassan, Ahmed M.; Bajrai, Leena H.; Faizo, Arwa A.; Mulla, Eman A.; Aljandali, Lujain S.; Alquthami, Khalid M.; Zumla, Alimuddin; Azhar, Esam, I</t>
  </si>
  <si>
    <t xml:space="preserve">Pattern of Respiratory Viruses among Pilgrims during 2019 Hajj Season Who Sought Healthcare Due to Severe Respiratory Symptoms</t>
  </si>
  <si>
    <t xml:space="preserve">Hajj; mass gathering; pilgrims; respiratory tract infection; respiratory symptoms; viruses; carriage; etiology; Saudi Arabia</t>
  </si>
  <si>
    <t xml:space="preserve">TRACT INFECTIONS; MASS GATHERINGS; RETURNING HAJJ; SURVEILLANCE; ISSUES; PNEUMONIA; ETIOLOGY; DISEASES; RISKS</t>
  </si>
  <si>
    <t xml:space="preserve">The aim of our study was to define the spectrum of viral infections in pilgrims with acute respiratory tract illnesses presenting to healthcare facilities around the holy places in Makkah, Saudi Arabia during the 2019 Hajj pilgrimage. During the five days of Hajj, a total of 185 pilgrims were enrolled in the study. Nasopharyngeal swabs (NPSs) of 126/185 patients (68.11%) tested positive for one or more respiratory viruses by PCR. Among the 126 pilgrims whose NPS were PCR positive: (a) there were 93/126 (74%) with a single virus infection, (b) 33/126 (26%) with coinfection with more than one virus (up to four viruses): of these, 25/33 cases had coinfection with two viruses; 6/33 were infected with three viruses, while the remaining 2/33 patients had infection with four viruses. Human rhinovirus (HRV) was the most common detected viruses with 53 cases (42.06%), followed by 27 (21.43%) cases of influenza A (H1N1), and 23 (18.25%) cases of influenza A other than H1N1. Twenty-five cases of CoV-229E (19.84%) were detected more than other coronavirus members (5 CoV-OC43 (3.97%), 4 CoV-HKU1 (3.17%), and 1 CoV-NL63 (0.79%)). PIV-3 was detected in 8 cases (6.35%). A single case (0.79%) of PIV-1 and PIV-4 were found. HMPV represented 5 (3.97%), RSV and influenza B 4 (3.17%) for each, and Parechovirus 1 (0.79%). Enterovirus, Bocavirus, and M. pneumoniae were not detected. Whether identification of viral nucleic acid represents nasopharyngeal carriage or specific causal etiology of RTI remains to be defined. Large controlled cohort studies (pre-Hajj, during Hajj, and post-Hajj) are required to define the carriage rates and the specific etiology and causal roles of specific individual viruses or combination of viruses in the pathogenesis of respiratory tract infections in pilgrims participating in the annual Hajj. Studies of the specific microbial etiology of respiratory track infections (RTIs) at mass gathering religious events remain a priority, especially in light of the novel SARS-CoV-2 pandemic.</t>
  </si>
  <si>
    <t xml:space="preserve">[Alsayed, Salma M.; Alandijany, Thamir A.; El-Kafrawy, Sherif A.; Hassan, Ahmed M.; Bajrai, Leena H.; Faizo, Arwa A.; Zumla, Alimuddin; Azhar, Esam, I] King Abdulaziz Univ, King Fahd Med Res Ctr, Special Infect Agents Unit, Jeddah 21589, Saudi Arabia; [Alsayed, Salma M.; Alandijany, Thamir A.; El-Kafrawy, Sherif A.; Faizo, Arwa A.; Azhar, Esam, I] King Abdulaziz Univ, Fac Appl Med Sci, Dept Med Lab Technol, Jeddah 21589, Saudi Arabia; [Alsayed, Salma M.] Umm Al Qura Univ, Fac Al Qunfudah Hlth Sci, Dept Nursing, Mecca 28821, Saudi Arabia; [Bajrai, Leena H.] King Abdulaziz Univ, Fac Sci, Dept Biochem, Jeddah 21589, Saudi Arabia; [Mulla, Eman A.] Minist Hlth, Makkah Reg Lab, Mecca 25321, Saudi Arabia; [Aljandali, Lujain S.] Minist Hlth, Publ Hlth Lab, Saudi Ctr Dis Prevent &amp; Control, Riyadh 13354, Saudi Arabia; [Alquthami, Khalid M.] Minist Hlth, Al Noor Specialist Hosp, Mecca 24241, Saudi Arabia; [Zumla, Alimuddin] UCL, Ctr Clin Microbiol, Div Infect &amp; Immun, Royal Free Campus, London WC1E 6DE, England; [Zumla, Alimuddin] UCL Hosp NHS Fdn Trust, NIHR Biomed Res Ctr, London W1T 7DN, England</t>
  </si>
  <si>
    <t xml:space="preserve">King Abdulaziz University; King Abdulaziz University; Umm Al Qura University; King Abdulaziz University; University of London; University College London; University of London; University College London</t>
  </si>
  <si>
    <t xml:space="preserve">Azhar, E (corresponding author), King Abdulaziz Univ, King Fahd Med Res Ctr, Special Infect Agents Unit, Jeddah 21589, Saudi Arabia.;Azhar, E (corresponding author), King Abdulaziz Univ, Fac Appl Med Sci, Dept Med Lab Technol, Jeddah 21589, Saudi Arabia.</t>
  </si>
  <si>
    <t xml:space="preserve">Salsayed0052@stu.kamedu.sa; talandijany@kau.edu.sa; saelkfrawy@kau.edu.sa; hmsahmed@kau.edu.sa; lbajrai@kau.edu.sa; aafaizo@kau.edu.sa; emulla@moh.gov.sa; laljjahdali@moh.gov.sa; kalquthami@moh.gov.sa; a.zumla@ucl.ac.uk</t>
  </si>
  <si>
    <t xml:space="preserve">Zumla, Alimuddin/ABA-8208-2020; KHALIFA, AHMED/HKF-2246-2023; Abass, Ahmed/S-3107-2019; Azhar, Esam/ABI-1044-2020; Alandijany, Thamir/M-5682-2019; Bajrai, Leena/GXV-6896-2022; Zumla, Professor Sir Alimuddin/HJH-4993-2023</t>
  </si>
  <si>
    <t xml:space="preserve">Bajrai, Leena/0000-0001-6889-0730; Azhar, Esam Ibraheem/0000-0002-1736-181X; Zumla, Professor Sir Alimuddin/0000-0002-5111-5735; AL Quthami, khalid/0000-0002-2055-8728; Hassan deif, Ahmed/0009-0002-7989-0466; Hassan, Ahmed/0000-0003-2890-8275; Alandijany, Thamir/0000-0001-9130-4031; Aljahdali, Lujain/0000-0001-6444-9315; Alsayed, Salma/0000-0002-4019-8141</t>
  </si>
  <si>
    <t xml:space="preserve">Ministry of Education and King Abdulaziz University, Jeddah, Saudi Arabia; [IFPRC057-142-2020]</t>
  </si>
  <si>
    <t xml:space="preserve">Ministry of Education and King Abdulaziz University, Jeddah, Saudi Arabia;</t>
  </si>
  <si>
    <t xml:space="preserve">This research work was funded by Institutional Fund Projects under grant no (IFPRC057-142-2020). Therefore, authors gratefully acknowledge technical and financial support from the Ministry of Education and King Abdulaziz University, Jeddah, Saudi Arabia.</t>
  </si>
  <si>
    <t xml:space="preserve">10.3390/pathogens10030315</t>
  </si>
  <si>
    <t xml:space="preserve">RE2FO</t>
  </si>
  <si>
    <t xml:space="preserve">WOS:000633977100001</t>
  </si>
  <si>
    <t xml:space="preserve">Rashid, H; Shafi, S; Haworth, E; El Bashir, H; Memish, ZA; Sudhanva, M; Smith, M; Auburn, H; Booy, R</t>
  </si>
  <si>
    <t xml:space="preserve">Rashid, H.; Shafi, S.; Haworth, E.; El Bashir, H.; Memish, Z. A.; Sudhanva, M.; Smith, M.; Auburn, H.; Booy, R.</t>
  </si>
  <si>
    <t xml:space="preserve">Viral respiratory infections at the Hajj: comparison between UK and Saudi pilgrims</t>
  </si>
  <si>
    <t xml:space="preserve">Hajj; influenza; pilgrims; respiratory tract infections; vaccination rates; virus infections</t>
  </si>
  <si>
    <t xml:space="preserve">HEALTH-CARE WORKERS; TRACT INFECTIONS; HUMAN BOCAVIRUS; INFLUENZA-A; OUTBREAK</t>
  </si>
  <si>
    <t xml:space="preserve">A high incidence of respiratory infection, including influenza, has been reported at the Hajj in Mecca, Saudi Arabia. Reported rates of influenza have been higher among UK than among domestic pilgrims, but this could be explained by methodological differences among studies. Accordingly, the present study compared the frequencies of respiratory viruses among UK and Saudi pilgrims using the same study design. Pilgrims with upper respiratory tract symptoms were recruited from Mecca and the neighbouring valley Mina during the Hajj 2006. Nasal swabs were used for point-of-care influenza testing and real-time RT-PCR (rtRT-PCR) tests for influenza virus, rhinovirus, parainfluenza virus, adenovirus, human metapneumovirus and respiratory syncytial virus. Of 260 pilgrims investigated, 150 were from the UK and 110 were Saudi; of these, 38 (25%) UK pilgrims and 14 (13%) Saudi pilgrims had respiratory infections detectable by rtRT-PCR (p 0.01). In the UK group, there were 19 (13%) cases of rhinovirus infection, 15 (10%) cases of influenza virus infection, two (1%) cases of dual infections with influenza virus and rhinovirus, one (3%) case of parainfluenza virus infection, and one (1%) case of respiratory syncytial virus infection. Fifty-six (37%) UK pilgrims had been vaccinated against influenza virus, with the rates of influenza in the vaccinated and unvaccinated group being 7% and 14%, respectively (p 0.19). In the Saudi group, there were three (3%) cases of rhinovirus infection and 11 (10%) cases of influenza. Only four (4%) Saudi pilgrims had been vaccinated against influenza virus, and none of these was infected with influenza virus. Overall, a significantly higher proportion of the UK pilgrims had detectable respiratory infections (25% vs. 13%, p 0.01). Influenza rates were similar in both groups, but the reported rates of influenza vaccination differed.</t>
  </si>
  <si>
    <t xml:space="preserve">[Rashid, H.; El Bashir, H.; Booy, R.] Acad Unit Child Hlth, Barts, England; [Rashid, H.; El Bashir, H.; Booy, R.] London Queen Mary Sch Med &amp; Dent, London E1 2AT, England; [Haworth, E.] N W London Hosp, Clin Microbiol &amp; HPA Collaborating Lab, NHS Trust, London, England; [Memish, Z. A.] King Abdul Aziz Med City, Dept Med, Natl Guard Hlth Affairs, Riyadh, Saudi Arabia; [Sudhanva, M.; Smith, M.; Auburn, H.] Kings Coll London, NHS Fdn Trust, London Reg Lab, S London Specialist Virol Ctr,Hlth Protect Agcy, London, England; [Booy, R.] Univ Sydney, Sydney, NSW 2006, Australia; [Booy, R.] Childrens Hosp Westmead, Natl Ctr Immunisat Res &amp; Surveillance Vaccine Pre, Westmead, NSW, Australia; [Memish, Z. A.] King Abdul Aziz Med City, Dept Infect Prevent, Natl Guard Hlth Affairs, Riyadh, Saudi Arabia; [Haworth, E.] Hlth Protect Agcy S E, London, England</t>
  </si>
  <si>
    <t xml:space="preserve">University of London; Queen Mary University London; King Saud Bin Abdulaziz University for Health Sciences; Ministry of National Guard - Health Affairs; National Guard Health Affairs - Saudi Arabia; King Abdulaziz Medical City - Riyadh; Oxford University Hospitals NHS Foundation Trust; Health Protection Agency; University of London; King's College London; University of Sydney; University of Sydney; NSW Health; The Children's Hospital at Westmead; Sydney Childrens Hospitals Network; King Saud Bin Abdulaziz University for Health Sciences; King Abdulaziz Medical City - Riyadh; Ministry of National Guard - Health Affairs; National Guard Health Affairs - Saudi Arabia</t>
  </si>
  <si>
    <t xml:space="preserve">Rashid, H (corresponding author), Acad Unit Child Hlth, Barts, England.</t>
  </si>
  <si>
    <t xml:space="preserve">h.rashid@qmul.ac.uk</t>
  </si>
  <si>
    <t xml:space="preserve">Booy, Robert/D-4188-2011; Rashid, Harunor/IZD-5775-2023; Memish, Ziad/AEJ-9424-2022</t>
  </si>
  <si>
    <t xml:space="preserve">Shafi, Shuja/0000-0002-4659-8365; Sudhanva, Malur/0000-0001-8415-4469; Elbashir, Haitham/0000-0002-4014-8750; Rashid, Harunor/0000-0003-2286-5139</t>
  </si>
  <si>
    <t xml:space="preserve">10.1111/j.1469-0691.2008.01987.x</t>
  </si>
  <si>
    <t xml:space="preserve">297FI</t>
  </si>
  <si>
    <t xml:space="preserve">WOS:000255602100007</t>
  </si>
  <si>
    <t xml:space="preserve">Hütten, M; Kohne, E; Yagmur, E; Schaible, T; Wenzil, T; Wagner, N; Heimann, K</t>
  </si>
  <si>
    <t xml:space="preserve">Huetten, M.; Kohne, E.; Yagmur, E.; Schaible, T.; Wenzil, T.; Wagner, N.; Heimann, K.</t>
  </si>
  <si>
    <t xml:space="preserve">Persistent Cyanosis in a 4 Month Old Infant with Severe Pneumonia and Haemoglobin M</t>
  </si>
  <si>
    <t xml:space="preserve">KLINISCHE PADIATRIE</t>
  </si>
  <si>
    <t xml:space="preserve">Haemoglobin M Saskatoon; methaemoglobinaemia; persisting cyanosis</t>
  </si>
  <si>
    <t xml:space="preserve">HUMAN METAPNEUMOVIRUS; OXYGENATION; CHILDREN</t>
  </si>
  <si>
    <t xml:space="preserve">M haemoglobinaemia is a rare cause of persistant cyanosis. We report a four months old infant who suffered from severe pneumonia and respiratory distress syndrome. After return of normal respiration, cyanosis persisted. Oxygen saturation on pulse oximetry never exceeded 85%. Finally, we succeeded in isolating a haemoglobin M Saskatoon. HbM Saskatoon is normally a harmless variant. However, in conjunction with severe pneumonia, we assume that it did not only affect clinical evaluation, but also exacerbated pneumonia by reducing the oxygen binding capacity.</t>
  </si>
  <si>
    <t xml:space="preserve">[Huetten, M.; Wenzil, T.; Wagner, N.; Heimann, K.] Rhein Westfal TH Aachen, Dept Paediat &amp; Adolescent Med, Sect Neonatol &amp; Conservat Paediat Intens Care, Fac Med, D-52074 Aachen, Germany; [Kohne, E.] Univ Hosp, Dept Paediat &amp; Adolescent Med, Haemoglobin Lab, Ulm, Germany; [Yagmur, E.] Rhein Westfal TH Aachen, Inst Clin Chem, Fac Med, D-52074 Aachen, Germany; [Schaible, T.] Heidelberg Univ, Dept Paediat &amp; Adolescent Med, Univ Hosp Mannheim, D-6800 Mannheim, Germany</t>
  </si>
  <si>
    <t xml:space="preserve">RWTH Aachen University; Ulm University; RWTH Aachen University; Ruprecht Karls University Heidelberg</t>
  </si>
  <si>
    <t xml:space="preserve">Hütten, M (corresponding author), Rhein Westfal TH Aachen, Dept Paediat &amp; Adolescent Med, Sect Neonatol &amp; Conservat Paediat Intens Care, Fac Med, Pauwelsstr 30, D-52074 Aachen, Germany.</t>
  </si>
  <si>
    <t xml:space="preserve">mhuetten@ukaachen.de</t>
  </si>
  <si>
    <t xml:space="preserve">Hutten, Matthias/LUW-7964-2024</t>
  </si>
  <si>
    <t xml:space="preserve">0300-8630</t>
  </si>
  <si>
    <t xml:space="preserve">1439-3824</t>
  </si>
  <si>
    <t xml:space="preserve">KLIN PADIATR</t>
  </si>
  <si>
    <t xml:space="preserve">Klinische Padiatr.</t>
  </si>
  <si>
    <t xml:space="preserve">10.1055/s-0028-1104597</t>
  </si>
  <si>
    <t xml:space="preserve">493TS</t>
  </si>
  <si>
    <t xml:space="preserve">WOS:000269761600008</t>
  </si>
  <si>
    <t xml:space="preserve">Kinder, JT; Moncman, CL; Barrett, C; Jin, H; Kallewaard, N; Dutch, RE</t>
  </si>
  <si>
    <t xml:space="preserve">Kinder, J. Tyler; Moncman, Carole L.; Barrett, Chelsea; Jin, Hong; Kallewaard, Nicole; Dutch, Rebecca Ellis</t>
  </si>
  <si>
    <t xml:space="preserve">Respiratory Syncytial Virus and Human Metapneumovirus Infections in Three-Dimensional Human Airway Tissues Expose an Interesting Dichotomy in Viral Replication, Spread, and Inhibition by Neutralizing Antibodies</t>
  </si>
  <si>
    <t xml:space="preserve">HAE models; HMPV; RSV; clinical therapeutics; neutralizing antibodies; viral spread</t>
  </si>
  <si>
    <t xml:space="preserve">PEDIATRIC BRONCHIAL EPITHELIUM; HMPV FUSION PROTEIN; IN-VITRO; PARAINFLUENZA VIRUS; MONOCLONAL-ANTIBODY; CELL-CULTURE; CROSS-NEUTRALIZATION; INCLUSION-BODIES; IMAGING ANALYSIS; YOUNG-CHILDREN</t>
  </si>
  <si>
    <t xml:space="preserve">Respiratory syncytial virus (RSV) and human metapneumovirus (HMPV) are two of the leading causes of respiratory infections in children and elderly and immunocompromised patients worldwide. There is no approved treatment for HMPV and only one prophylactic treatment against RSV, palivizumab, for high-risk infants. Better understanding of the viral lifecycles in a more relevant model system may help identify novel therapeutic targets. By utilizing three-dimensional (3-D) human airway tissues to examine viral infection in a physiologically relevant model system, we showed that RSV infects and spreads more efficiently than HMPV, with the latter requiring higher multiplicities of infection (M01s) to yield similar levels of infection. Apical ciliated cells were the target for both viruses, but RSV apical release was significantly more efficient than HMPV. In RSV- or HMPV-infected cells, cytosolic inclusion bodies containing the nucleoprotein, phosphoprotein, and respective viral genomic RNA were clearly observed in human airway epithelial (HAE) culture. In HMPV-infected cells, actin-based filamentous extensions were more common (35.8%) than those found in RSV-infected cells (4.4%). Interestingly, neither RSV nor HMPV formed syncytia in HAE tissues. Palivizumab and nirsevimab effectively inhibited entry and spread of RSV in HAE tissues, with nirsevimab displaying significantly higher potency than palivizumab. In contrast, 54G10 completely inhibited HMPV entry but only modestly reduced viral spread, suggesting HMPV may use alternative mechanisms for spread. These results represent the first comparative analysis of infection by the two pneumoviruses in a physiologically relevant model, demonstrating an interesting dichotomy in the mechanisms of infection, spread, and consequent inhibition of the viral lifecycles by neutralizing monoclonal antibodies. IMPORTANCE Respiratory syncytial virus and human metapneumovirus are leading causes of respiratory illness worldwide, but limited treatment options are available. To better target these viruses, we examined key aspects of the viral life cycle in three-dimensional (3-D) human airway tissues. Both viruses establish efficient infection through the apical surface, but efficient spread and apical release were seen for respiratory syncytial virus (RSV) but not human metapneumovirus (HMPV). Both viruses form inclusion bodies, minimally composed of nucleoprotein (N), phosphoprotein (P), and viral RNA (vRNA), indicating that these structures are critical for replication in this more physiological model. HMPV formed significantly more long, filamentous actin-based extensions in human airway epithelial (HAE) tissues than RSV, suggesting HMPV may promote cell-to-cell spread via these extensions. Lastly, RSV entry and spread were fully inhibited by neutralizing antibodies palivizumab and the novel nirsevimab. In contrast, while HMPV entry was fully inhibited by 54G10, a neutralizing antibody, spread was only modestly reduced, further supporting a cell-to-cell spread mechanism.</t>
  </si>
  <si>
    <t xml:space="preserve">[Kinder, J. Tyler; Moncman, Carole L.; Barrett, Chelsea; Dutch, Rebecca Ellis] Univ Kentucky, Dept Mol &amp; Cellular Biochem, Lexington, KY 40506 USA; [Jin, Hong] Astrazeneca, San Francisco, CA USA; [Kallewaard, Nicole] Astrazeneca, Gaithersburg, MD USA</t>
  </si>
  <si>
    <t xml:space="preserve">University of Kentucky; AstraZeneca; AstraZeneca</t>
  </si>
  <si>
    <t xml:space="preserve">Kinder, Jonathan/0000-0001-7207-0639; Dutch, Rebecca/0000-0002-5220-8247</t>
  </si>
  <si>
    <t xml:space="preserve">AstraZeneca; NIH [R01AI140758]</t>
  </si>
  <si>
    <t xml:space="preserve">AstraZeneca(AstraZeneca); NIH(United States Department of Health &amp; Human ServicesNational Institutes of Health (NIH) - USA)</t>
  </si>
  <si>
    <t xml:space="preserve">Financial support was provided by AstraZeneca and NIH R01AI140758 to R.E.D.</t>
  </si>
  <si>
    <t xml:space="preserve">e01068-20</t>
  </si>
  <si>
    <t xml:space="preserve">10.1128/JVI.01068-20</t>
  </si>
  <si>
    <t xml:space="preserve">NZ1EU</t>
  </si>
  <si>
    <t xml:space="preserve">WOS:000576835500004</t>
  </si>
  <si>
    <t xml:space="preserve">Lees, EA; Williams, TC; Marlow, R; Fitzgerald, F; Jones, C; Lyall, H; Bamford, A; Pollock, L; Smith, A; Lamagni, T; Kent, A; Whittaker, E</t>
  </si>
  <si>
    <t xml:space="preserve">Lees, Emily A.; Williams, Thomas C.; Marlow, Robin; Fitzgerald, Felicity; Jones, Christine; Lyall, Hermione; Bamford, Alasdair; Pollock, Louisa; Smith, Andrew; Lamagni, Theresa; Kent, Alison; Whittaker, Elizabeth</t>
  </si>
  <si>
    <t xml:space="preserve">Group A Streptococcal Dis Consortium</t>
  </si>
  <si>
    <t xml:space="preserve">Epidemiology and Management of Pediatric Group A Streptococcal Pneumonia With Parapneumonic Effusion: An Observational Study</t>
  </si>
  <si>
    <t xml:space="preserve">Group A streptococcus; empyema; parapneumonic effusion; vaccination; antimicrobial stewardship</t>
  </si>
  <si>
    <t xml:space="preserve">EMPYEMA; INFECTIONS; PYOGENES; CHILDREN; ENGLAND</t>
  </si>
  <si>
    <t xml:space="preserve">Background: During autumn/winter 2022, UK pediatricians reported an unseasonal increase in invasive group A streptococcal infections; a striking proportion presenting with pneumonia with parapneumonic effusion. Methods: Clinicians across the United Kingdom were requested to submit pseudonymized clinical data using a standardized report form for children (&lt;16 years) admitted between September 30, 2022 and February 17, 2023, with microbiologically confirmed group A streptococcal pneumonia with parapneumonic effusion. Results: From 185 cases submitted, the median patient age was 4.4 years, and 163 (88.1%) were previously healthy. Respiratory viral coinfection was detected on admission for 101/153 (66.0%) children using extended respiratory pathogen polymerase chain reaction panel. Molecular testing was the primary method of detecting group A streptococcus on pleural fluid (86/171; 50.3% samples). Primary surgical management was undertaken in 171 (92.4%) children; 153/171 (89.4%) had pleural drain inserted (96 with fibrinolytic agent), 14/171 (8.2%) had video-assisted thoracoscopic surgery. Fever duration after admission was prolonged (median, 12 days; interquartile range, 9-16). Intravenous antibiotic courses varied in length (median, 14 days; interquartile range, 12-21), with many children receiving multiple broad-spectrum antibiotics, although evidence for additional bacterial infection was limited. Conclusions: Most cases occurred with viral coinfection, a previously well-recognized risk with influenza and varicella zoster, highlighting the need to ensure routine vaccination coverage and progress on vaccines for other common viruses (eg, respiratory syncytial virus, human metapneumovirus) and for group A streptococcus. Molecular testing is valuable to detect viral coinfection and confirm invasive group A streptococcal diagnosis, expediting the incorporation of cases into national reporting systems. Range and duration of intravenous antibiotics administered demonstrated the need for research on the optimal duration of antimicrobials and improved stewardship.</t>
  </si>
  <si>
    <t xml:space="preserve">[Lees, Emily A.] Univ Oxford, Childrens Hosp Oxford, Dept Paediat, Oxford, England; [Lees, Emily A.] Univ Cambridge, Fitzwilliam Coll, Cambridge, England; [Williams, Thomas C.] Univ Edinburgh, Dept Child Life &amp; Hlth, Edinburgh, Scotland; [Marlow, Robin] Univ Hosp Bristol &amp; Weston NHS Fdn Trust, Bristol Royal Hosp Children, Bristol, England; [Marlow, Robin] Univ Bristol, Bristol Vaccine Ctr, Sch Populat Hlth Sci, Bristol, England; [Marlow, Robin] Univ Bristol, Bristol Vaccine Ctr, Sch Cellular &amp; Mol Med, Bristol, England; [Fitzgerald, Felicity; Lyall, Hermione; Kent, Alison; Whittaker, Elizabeth] Imperial Coll Healthcare NHS Trust, Dept Paediat, London, England; [Fitzgerald, Felicity; Whittaker, Elizabeth] Imperial Coll London, Dept Infect Dis, Sect Paediat Infect Dis, London, England; [Jones, Christine] Univ Southampton, Fac Med, Southampton, England; [Jones, Christine] Univ Southampton, Inst Life Sci, Southampton, England; [Jones, Christine] Univ Hosp Southampton NHS Fdn Trust, NIHR Southampton Clin Res Facil, Southampton, England; [Jones, Christine] Univ Hosp Southampton NHS Fdn Trust, NIHR Southampton Biomed Res Ctr, Southampton, England; [Bamford, Alasdair] Great Ormond St Hosp NHS Fdn Trust, Dept Infect Dis, London, England; [Bamford, Alasdair] UCL Great Ormond St Inst Child Hlth, Infect Immun &amp; Inflammat Dept, London, England; [Pollock, Louisa] Royal Hosp Children, Dept Paediat Infect Dis &amp; Immunol, Glasgow, Scotland; [Smith, Andrew] Univ Glasgow, Coll Med Vet &amp; Life Sci, Glasgow Dent Sch, Glasgow, Scotland; [Lamagni, Theresa] UK Hlth Secur Agcy, Healthcare Associated Infect &amp; Antimicrobial Resis, London, England</t>
  </si>
  <si>
    <t xml:space="preserve">University of Oxford; University of Cambridge; University of Edinburgh; Bristol Royal Hospital For Children; University of Bristol; University of Bristol; Imperial College London; Imperial College London; University of Southampton; University of Southampton; University of Southampton; University Hospital Southampton NHS Foundation Trust; University of Southampton; University Hospital Southampton NHS Foundation Trust; University of London; University College London; Great Ormond Street Hospital for Children NHS Foundation Trust; University of London; University College London; University of Glasgow; UK Health Security Agency (UKHSA)</t>
  </si>
  <si>
    <t xml:space="preserve">Lees, EA (corresponding author), Univ Oxford, Childrens Hosp Oxford, Dept Paediat, Oxford, England.</t>
  </si>
  <si>
    <t xml:space="preserve">emily.lees@paediatrics.ox.ac.uk; thomas.williams@nhs.scot; Robin.Marlow@uhbw.nhs.uk; felicity.fitzgerald@ucl.ac.uk; C.E.Jones@soton.ac.uk; hermione.lyall@nhs.net; a.bamford@ucl.ac.uk; Louisa.Pollock@ggc.scot.nhs.uk; Andrew.Smith@glasgow.ac.uk; Theresa.Lamagni@ukhsa.gov.uk; alison.kent5@nhs.net</t>
  </si>
  <si>
    <t xml:space="preserve">Williams, Thomas/AFM-7862-2022</t>
  </si>
  <si>
    <t xml:space="preserve">Jones, Christine/0000-0003-1523-2368; Drysdale, Simon/0000-0002-6350-6557; Lyall, Hermione/0000-0002-1255-1833; Bandi, Srini/0000-0002-4689-8851; Williams, Thomas/0000-0002-3866-1344; Bowen, Sarah-Jane/0009-0003-5863-6423; Pollock, Louisa/0000-0002-4240-325X; Fitzgerald, Felicity/0000-0001-9594-3228; Whittaker, Elizabeth/0000-0002-7944-8793</t>
  </si>
  <si>
    <t xml:space="preserve">Respiratory Syncytial Virus Consortium in Europe (RESCEU); National Institute for Health Research (NIHR); NIHR (Development and Skills Enhancement Award); Wellcome Trust (Early Career Award)</t>
  </si>
  <si>
    <t xml:space="preserve">Respiratory Syncytial Virus Consortium in Europe (RESCEU); National Institute for Health Research (NIHR)(National Institutes of Health Research (NIHR)); NIHR (Development and Skills Enhancement Award); Wellcome Trust (Early Career Award)(Wellcome Trust)</t>
  </si>
  <si>
    <t xml:space="preserve">No additional funding was received for the preparation of this manuscript. T.C.W. is the Principal Investigator for the BronchStart project, funded by the Respiratory Syncytial Virus Consortium in Europe (RESCEU), with data collection supported by the National Institute for Health Research (NIHR). F.F. has received salary support from NIHR (Development and Skills Enhancement Award) and Wellcome Trust (Early Career Award). E.W. received an honorarium from the Royal College of General Practitioners (UK) to give a teaching session on group A streptococcal infections.</t>
  </si>
  <si>
    <t xml:space="preserve">10.1097/INF.0000000000004418</t>
  </si>
  <si>
    <t xml:space="preserve">D6O3B</t>
  </si>
  <si>
    <t xml:space="preserve">WOS:001297350900033</t>
  </si>
  <si>
    <t xml:space="preserve">Grützmacher, K; Keil, V; Leinert, V; Leguillon, F; Henlin, A; Couacy-Hymann, E; Köndgen, S; Lang, A; Deschner, T; Wittig, RM; Leendertz, FH</t>
  </si>
  <si>
    <t xml:space="preserve">Gruetzmacher, Kim; Keil, Verena; Leinert, Vera; Leguillon, Floraine; Henlin, Arthur; Couacy-Hymann, Emmanuel; Koendgen, Sophie; Lang, Alexander; Deschner, Tobias; Wittig, Roman M.; Leendertz, Fabian H.</t>
  </si>
  <si>
    <t xml:space="preserve">Human quarantine: Toward reducing infectious pressure on chimpanzees at the Tai Chimpanzee Project, Cote d'Ivoire</t>
  </si>
  <si>
    <t xml:space="preserve">AMERICAN JOURNAL OF PRIMATOLOGY</t>
  </si>
  <si>
    <t xml:space="preserve">great apes; habituation; prevention; quarantine; respiratory disease</t>
  </si>
  <si>
    <t xml:space="preserve">RESPIRATORY SYNCYTIAL VIRUS; WILD CHIMPANZEES; DEVELOPING-COUNTRIES; PAN-TROGLODYTES; NATIONAL-PARK; EBOLA-VIRUS; RAIN-FOREST; GREAT APES; METAPNEUMOVIRUS; TRANSMISSION</t>
  </si>
  <si>
    <t xml:space="preserve">Due to their genetic relatedness, great apes are highly susceptible to common human respiratory pathogens. Although most respiratory pathogens, such as human respiratory syncytial virus (HRSV) and human metapneumovirus (HMPV), rarely cause severe disease in healthy human adults, they are associated with considerable morbidity and mortality in wild great apes habituated to humans for research or tourism. To prevent pathogen transmission, most great ape projects have established a set of hygiene measures ranging from keeping a specific distance, to the use of surgical masks and establishment of quarantines. This study investigates the incidence of respiratory symptoms and human respiratory viruses in humans at a human-great ape interface, the Tai Chimpanzee Project (TCP) in Cote d'Ivoire, and consequently, the effectiveness of a 5-day quarantine designed to reduce the risk of potential exposure to human respiratory pathogens. To assess the impact of quarantine as a preventative measure, we monitored the quarantine process and tested 262 throat swabs for respiratory viruses, collected during quarantine over a period of 1 year. Although only 1 subject tested positive for a respiratory virus (HRSV), 17 subjects developed symptoms of infection while in quarantine and were subsequently kept from approaching the chimpanzees, preventing potential exposure in 18 cases. Our results suggest that quarantinein combination with monitoring for symptomsis effective in reducing the risk of potential pathogen exposure. This research contributes to our understanding of how endangered great apes can be protected from human-borne infectious disease.</t>
  </si>
  <si>
    <t xml:space="preserve">[Gruetzmacher, Kim; Keil, Verena; Leguillon, Floraine; Henlin, Arthur; Koendgen, Sophie; Lang, Alexander; Leendertz, Fabian H.] Robert Koch Inst, Project Grp Epidemiol Highly Pathogen Microorgani, Berlin, Germany; [Gruetzmacher, Kim; Leinert, Vera; Deschner, Tobias; Wittig, Roman M.] Max Planck Inst Evolutionary Anthropol, Dept Primatol, Leipzig, Germany; [Leguillon, Floraine; Henlin, Arthur] Univ Montpellier 2, Montpellier, France; [Couacy-Hymann, Emmanuel] Lab Cent Pathol Anim, Lab Natl Appui Dev Agr, Bingerville, Cote Ivoire; [Wittig, Roman M.] CSRS, Tai Chimpanzee Project, Abidjan, Cote Ivoire</t>
  </si>
  <si>
    <t xml:space="preserve">Robert Koch Institute; Max Planck Society; Universite de Montpellier; Centre Suisse de Recherches Scientifiques en Cote d'Ivoire (CSRS)</t>
  </si>
  <si>
    <t xml:space="preserve">Leendertz, FH (corresponding author), Robert Koch Inst, Project Grp Epidemiol Highly Pathogen Microorgani, Berlin, Germany.</t>
  </si>
  <si>
    <t xml:space="preserve">leendertzf@rki.de</t>
  </si>
  <si>
    <t xml:space="preserve">Hans Bockler Stiftung; EAZA Ape Conservation Fund; Zoo Leipzig</t>
  </si>
  <si>
    <t xml:space="preserve">0275-2565</t>
  </si>
  <si>
    <t xml:space="preserve">1098-2345</t>
  </si>
  <si>
    <t xml:space="preserve">AM J PRIMATOL</t>
  </si>
  <si>
    <t xml:space="preserve">Am. J. Primatol.</t>
  </si>
  <si>
    <t xml:space="preserve">e22619</t>
  </si>
  <si>
    <t xml:space="preserve">10.1002/ajp.22619</t>
  </si>
  <si>
    <t xml:space="preserve">Zoology</t>
  </si>
  <si>
    <t xml:space="preserve">FT5DU</t>
  </si>
  <si>
    <t xml:space="preserve">WOS:000423175000006</t>
  </si>
  <si>
    <t xml:space="preserve">Falsey, AR; Walsh, EE; House, S; Vandenijck, Y; Ren, XH; Keim, S; Kang, DY; Peeters, P; Witek, J; Ispas, G</t>
  </si>
  <si>
    <t xml:space="preserve">Falsey, Ann R.; Walsh, Edward E.; House, Stacey; Vandenijck, Yannick; Ren, Xiaohui; Keim, Sofia; Kang, Diye; Peeters, Pascale; Witek, James; Ispas, Gabriela</t>
  </si>
  <si>
    <t xml:space="preserve">Risk Factors and Medical Resource Utilization of Respiratory Syncytial Virus, Human Metapneumovirus, and Influenza-Related Hospitalizations in Adults-A Global Study During the 2017-2019 Epidemic Seasons (Hospitalized Acute Respiratory Tract Infection [HARTI] Study)</t>
  </si>
  <si>
    <t xml:space="preserve">global prospective study; Influenza; RSV; hMPV; medical resource utilization</t>
  </si>
  <si>
    <t xml:space="preserve">MORTALITY; MORBIDITY; ILLNESS</t>
  </si>
  <si>
    <t xml:space="preserve">Background. Respiratory syncytial virus (RSV), human metapneumovirus (hMPV), and influenza are respiratory pathogens leading to hospitalization in adults. Our understanding of the disease burden is limited to data from single-center or 1-season studies in elderly patients. The HARTI study allows comparison of risk factors for progression to severe disease and medical resources utilization (MRU) during and post-hospitalization in adults diagnosed with influenza, RSV, or hMPV. Methods. This was a prospective global study in adults hospitalized with acute respiratory tract infection (40 centers, 12 countries). Participants with influenza, RSV, or hMPV were enrolled in a substudy and followed for up to 3 months postdischarge. Results. Overall, 366 influenza, 238 RSV, and 100 hMPV-infected participants enrolled in the substudy. RSV participants were older and had greater frequency of risk factors and longer duration of symptoms before hospitalization than influenza participants. The RSV and hMPV groups received more bronchodilators, corticosteroids, and oxygen supplementation. No significant differences in intensive care unit admissions or complications were observed. Readmission occurred in 20%-33% of patients within 3 months postdischarge, with the highest rates for RSV and hMPV. In-hospital death occurred in 2.5% of RSV, 1.6% of influenza, and 2% of hMPV participants. In multivariate analyses, length of stay was independently associated with country, renal disease, and increased age; probability of receiving supplemental oxygen was associated with pathogen (hMPV &gt; RSV &gt; influenza), abnormal chest x-ray, and increased age. Conclusions. Although influenza is more frequent, the HARTI study demonstrates greater frequency of underlying risk factors and MRU for RSV and hMPV vs influenza in hospitalized adults, indicating a need for effective interventions.</t>
  </si>
  <si>
    <t xml:space="preserve">[Falsey, Ann R.; Walsh, Edward E.] Univ Rochester, Sch Med, Rochester, NY USA; [Falsey, Ann R.; Walsh, Edward E.] Rochester Reg Hlth, Rochester, NY USA; [House, Stacey] Washington Univ, Sch Med, St Louis, MO USA; [Vandenijck, Yannick; Ren, Xiaohui; Keim, Sofia; Kang, Diye; Ispas, Gabriela] Janssen Infect Dis, Beerse, Belgium; [Peeters, Pascale] IOVIA Real World Solut, Courbevoie, France; [Witek, James] Janssen Res &amp; Dev LLC, Titusville, NJ USA</t>
  </si>
  <si>
    <t xml:space="preserve">University of Rochester; Washington University (WUSTL); Johnson &amp; Johnson; Johnson &amp; Johnson USA; Janssen Biotech Inc</t>
  </si>
  <si>
    <t xml:space="preserve">Ispas, G (corresponding author), Turnhoutseweg 30, B-2340 Beerse, Belgium.</t>
  </si>
  <si>
    <t xml:space="preserve">gispas@its.jnj.com</t>
  </si>
  <si>
    <t xml:space="preserve">Vandendijck, Yannick/0000-0002-3117-317X</t>
  </si>
  <si>
    <t xml:space="preserve">Janssen Pharmaceutica NV</t>
  </si>
  <si>
    <t xml:space="preserve">Janssen Pharmaceutica NV(Johnson &amp; JohnsonJohnson &amp; Johnson USAJanssen Biotech Inc)</t>
  </si>
  <si>
    <t xml:space="preserve">This work was supported by Janssen Pharmaceutica NV.</t>
  </si>
  <si>
    <t xml:space="preserve">ofab491</t>
  </si>
  <si>
    <t xml:space="preserve">10.1093/ofid/ofab491</t>
  </si>
  <si>
    <t xml:space="preserve">XS2LH</t>
  </si>
  <si>
    <t xml:space="preserve">WOS:000732746200025</t>
  </si>
  <si>
    <t xml:space="preserve">Falsey, AR; Walsh, EE; Osborne, RH; Vandendijck, Y; Ren, XH; Witek, J; Kang, DY; Chan, E; Scott, J; Ispas, G</t>
  </si>
  <si>
    <t xml:space="preserve">Falsey, Ann R.; Walsh, Edward E.; Osborne, Richard H.; Vandendijck, Yannick; Ren, Xiaohui; Witek, James; Kang, Diye; Chan, Eric; Scott, Jane; Ispas, Gabriela</t>
  </si>
  <si>
    <t xml:space="preserve">Comparative assessment of reported symptoms of influenza, respiratory syncytial virus, and human metapneumovirus infection during hospitalization and post-discharge assessed by Respiratory Intensity and Impact Questionnaire</t>
  </si>
  <si>
    <t xml:space="preserve">global prospective study; hMPV; influenza; patient-reported outcomes; RiiQ (TM); RSV</t>
  </si>
  <si>
    <t xml:space="preserve">EQ-5D-5L; ILLNESS</t>
  </si>
  <si>
    <t xml:space="preserve">Background: The hospitalized acute respiratory tract infection (HARTI) study used the Respiratory Intensity and Impact Questionnaire (RiiQ (TM)) Symptom Scale, derived from FluiiQ (TM), to assess and compare the burden of respiratory infection symptoms for patients with influenza, respiratory syncytial virus (RSV), and human metapneumovirus (hMPV) infection, with or without core risk factors (CRF) (age &gt;= 65; chronic heart, renal, obstructive pulmonary disease; asthma). Methods: This was a prospective cohort study in adult patients hospitalized with acute respiratory tract infection (40 centers, 12 countries) during two consecutive influenza/RSV/hMPV seasons (2017-2019). The RiiQ (TM) Symptom Scale and EuroQol 5-Dimensions 5-Levels (EQ-5D-5L) were assessed by interview at two timepoints during hospitalization and at 1, 2, and 3 months post-discharge. Results: Mean lower respiratory tract (LRT) symptom scores were higher for RSV and hMPV participants compared to influenza at 48 h after enrollment/early discharge (p = 0.001) and 3 months post-discharge (p = 0.007). This was driven by LRT symptoms, including shortness of breath (SOB) (p &lt; 0.01) and wheezing (p &lt; 0.01) during hospitalization, and SOB (p &lt; 0.05) and cough (p &lt; 0.05) post-discharge. Participants with CRF reported more moderate-to-severe SOB (p &lt; 0.05) and wheezing (p &lt; 0.05) compared to CRF(-) participants post-discharge. EQ-5D-5L scores were moderately associated with RiiQ (TM) LRT and systemic symptoms domains. Conclusions: Results from the HARTI study suggest that in the study population, LRT symptoms were more severe for RSV and hMPV groups and for patients with CRF. RiiQ (TM) Symptom Scale scores shows a moderate association with EQ-5D-5L indicating that the RiiQ (TM) may provide useful insights and offer advantages over other measures for use in interventional RSV adult clinical studies.</t>
  </si>
  <si>
    <t xml:space="preserve">[Falsey, Ann R.; Walsh, Edward E.] Univ Rochester, Sch Med Rochester Reg Hlth, Rochester, NY USA; [Osborne, Richard H.] Swinburne Univ Technol, Dept Hlth &amp; Med Sci, Melbourne, Vic, Australia; [Vandendijck, Yannick; Ren, Xiaohui; Kang, Diye; Ispas, Gabriela] Janssen Infect Dis, Beerse, Belgium; [Witek, James] Janssen Res &amp; Dev LLC, Titusville, NJ USA; [Chan, Eric; Scott, Jane] Janssen Global Serv LLC, Raritan, NJ USA</t>
  </si>
  <si>
    <t xml:space="preserve">University of Rochester; Swinburne University of Technology; Johnson &amp; Johnson; Johnson &amp; Johnson USA; Janssen Biotech Inc; Johnson &amp; Johnson; Janssen Pharmaceuticals</t>
  </si>
  <si>
    <t xml:space="preserve">Ispas, G (corresponding author), Janssen Infect Dis, Beerse, Belgium.</t>
  </si>
  <si>
    <t xml:space="preserve">; Osborne, Richard/A-9447-2010</t>
  </si>
  <si>
    <t xml:space="preserve">Vandendijck, Yannick/0000-0002-3117-317X; Osborne, Richard/0000-0002-9081-2699</t>
  </si>
  <si>
    <t xml:space="preserve">HARTI Study Group (Ting Soo Chow, Xavier Duval, Thomas Harrer, Stacey House, Nobuhisa Ishikawa, Odile Launay, Jacob Lee, Analia Mykietiuk, Mozar Neto, Marina Okoshi, Jan Rupp, Imitar Sajkov, Desmind Samuel, Masaharu Shinkai, Heidi Siebert, Selim Suner, Seong-Heon Wie, IQVIA Real World Solutions [Pascale Peeters, Rupali Naik, Sara Waugh]), critical reading of the manuscript: Magda Opsomer and Roman Fleischhackl (Janssen). This work was supported by Janssen Pharmaceutica NV.</t>
  </si>
  <si>
    <t xml:space="preserve">10.1111/irv.12903</t>
  </si>
  <si>
    <t xml:space="preserve">SEP 2021</t>
  </si>
  <si>
    <t xml:space="preserve">XR9EL</t>
  </si>
  <si>
    <t xml:space="preserve">WOS:000693214800001</t>
  </si>
  <si>
    <t xml:space="preserve">Li, J; Mao, NY; Zhang, C; Yang, MJ; Wang, M; Xu, WB; Ma, XJ</t>
  </si>
  <si>
    <t xml:space="preserve">Li, Jin; Mao, Nai-Ying; Zhang, Chen; Yang, Meng-Jie; Wang, Miao; Xu, Wen-Bo; Ma, Xue-Jun</t>
  </si>
  <si>
    <t xml:space="preserve">The development of a GeXP-based multiplex reverse transcription-PCR assay for simultaneous detection of sixteen human respiratory virus types/subtypes</t>
  </si>
  <si>
    <t xml:space="preserve">GeXP; Human respiratory viruses; Multiplex RT-PCR</t>
  </si>
  <si>
    <t xml:space="preserve">CLINICAL SPECIMENS; CHILDREN; DISEASE; PANEL; INFECTIONS; DIAGNOSIS</t>
  </si>
  <si>
    <t xml:space="preserve">Background: Existing standard non-molecular diagnostic methods such as viral culture and immunofluorescent (DFA) are time-consuming, labor intensive or limited sensitivity. Several multiplex molecular assays are costly. Therefore, there is a need for the development of a rapid and sensitive diagnosis of respiratory viral pathogens. Methods: A GeXP-based multiplex RT-PCR assay (GeXP assay) was developed to detect simultaneously sixteen different respiratory virus types/subtypes. Seventeen sets of chimeric primers were used to initiate the RT-PCR, and one pair of universal primers was used for the subsequent cycles of the RT-PCR. The specificity of the GeXP assay was examined with positive controls for each virus type/subtype. The sensitivity was evaluated by performing the assay on serial ten-fold dilutions of in vitro-transcribed RNA of all RNA viruses and the plasmids containing the Adv and HBoV target sequence. GeXP assay was further evaluated using 126 clinical specimens and compared with Luminex xTAG RVP Fast assay. Results: The GeXP assay achieved a sensitivity of 20-200 copies for a single virus and 1000 copies when all of the 16 pre-mixed viral targets were present. Analyses of 126 clinical specimens using the GeXP assay demonstrated that GeXP assay and the RVP Fast assay were in complete agreement for 109/126 (88.51%) of the specimens. GeXP assay was more sensitive than the RVP Fast assay for the detection of HRV and PIV3, and slightly less sensitive for the detection of HMPV, Adv, RSVB and HBoV. The whole process of the GeXP assay for the detection of 12 samples was completed within 2.5 hours. Conclusions: In conclusion, the GeXP assay is a rapid, cost-effective, sensitive, specific and high throughput method for the detection of respiratory virus infections.</t>
  </si>
  <si>
    <t xml:space="preserve">[Li, Jin; Mao, Nai-Ying; Zhang, Chen; Yang, Meng-Jie; Wang, Miao; Xu, Wen-Bo; Ma, Xue-Jun] Chinese Ctr Dis Control &amp; Prevent, Natl Inst Viral Dis Control &amp; Prevent, State Key Lab Mol Virol &amp; Genet Engn, Beijing 102206, Changping Distr, Peoples R China</t>
  </si>
  <si>
    <t xml:space="preserve">Xu, WB (corresponding author), Chinese Ctr Dis Control &amp; Prevent, Natl Inst Viral Dis Control &amp; Prevent, State Key Lab Mol Virol &amp; Genet Engn, Changbai Rd 155, Beijing 102206, Changping Distr, Peoples R China.</t>
  </si>
  <si>
    <t xml:space="preserve">wenbo_xu1@yahoo.com.cn; maxj2004@yahoo.com.cn</t>
  </si>
  <si>
    <t xml:space="preserve">China Mega Project for Infectious Disease [2011ZX10004-001, 2009ZX10004-101, 2012ZX10004-215]</t>
  </si>
  <si>
    <t xml:space="preserve">China Mega Project for Infectious Disease</t>
  </si>
  <si>
    <t xml:space="preserve">We acknowledge the Biotech Center for Viral Disease Emergency, Beijing, China gratefully for providing the clinical specimens used in this study. This work was supported by the China Mega Project for Infectious Disease (2011ZX10004-001, 2009ZX10004-101, 2012ZX10004-215).</t>
  </si>
  <si>
    <t xml:space="preserve">10.1186/1471-2334-12-189</t>
  </si>
  <si>
    <t xml:space="preserve">015BT</t>
  </si>
  <si>
    <t xml:space="preserve">WOS:000309420700001</t>
  </si>
  <si>
    <t xml:space="preserve">Perchetti, GA; Wilcox, N; Chu, HY; Katz, J; Khatry, SK; LeClerq, SC; Tielsch, JM; Jerome, KR; Englund, JA; Kuypers, J</t>
  </si>
  <si>
    <t xml:space="preserve">Perchetti, Garrett A.; Wilcox, Naomi; Chu, Helen Y.; Katz, Joanne; Khatry, Subarna K.; LeClerq, Steven C.; Tielsch, James M.; Jerome, Keith R.; Englund, Janet A.; Kuypers, Jane</t>
  </si>
  <si>
    <t xml:space="preserve">Human Metapneumovirus Infection and Genotyping of Infants in Rural Nepal</t>
  </si>
  <si>
    <t xml:space="preserve">genotyping; HMPV; human metapneumovirus; infants; Nepal; rural communities</t>
  </si>
  <si>
    <t xml:space="preserve">RESPIRATORY SYNCYTIAL VIRUS; GENETIC DIVERSITY; HOSPITALIZED CHILDREN; TRACT INFECTIONS; INDIVIDUAL CONTRIBUTIONS; F-GLYCOPROTEIN; YOUNG-CHILDREN; VARIABILITY; DISEASE; PNEUMOVIRUS</t>
  </si>
  <si>
    <t xml:space="preserve">Background. Acute respiratory tract infections are a serious clinical burden in infants; human metapneumovirus (HMPV) is an important etiological agent. We investigated genotypic variation and molecular epidemiological patterns among infants infected with HMPV in Sarlahi, Nepal, to better characterize infection in a rural, low-resource setting. Methods. Between May 2011 and April 2014, mid-nasal swabs were collected from 3528 infants who developed respiratory symptoms during a longitudinal maternal influenza vaccine study. Sequencing glycoprotein genes permitted genotyping and analyses among subtypes. Results. HMPV was detected by reverse-transcriptase polymerase chain reaction (RT-PCR) in 187 (5%) infants, with seasonality observed during fall and winter months. Phylogenetic investigation of complete and partial coding sequences for the F and G genes, respectively, revealed that 3 genotypes were circulating: A2, B1, and B2. HMPV-B was most frequently detected with a single type predominating each season. Both HMPV genotypes exhibited comparable median viral loads. Clinically significant differences between genotypes were limited to increased cough duration and general respiratory symptoms for type B. Conclusions. In rural Nepal, multiple HMPV genotypes circulate simultaneously with an alternating predominance of a single genotype and definitive seasonality. No difference in viral load was detected by genotype and symptom severity was not correlated with RT-PCR cycle threshold or genotype.</t>
  </si>
  <si>
    <t xml:space="preserve">[Perchetti, Garrett A.; Jerome, Keith R.; Kuypers, Jane] Univ Washington, Dept Lab Med &amp; Pathol, Seattle, WA 98102 USA; [Wilcox, Naomi; Chu, Helen Y.] Univ Washington, Dept Med, Seattle, WA 98102 USA; [Katz, Joanne; Khatry, Subarna K.; LeClerq, Steven C.] Johns Hopkins Univ, Dept Int Hlth, Baltimore, MD USA; [Khatry, Subarna K.; LeClerq, Steven C.] Nepal Nutr Intervent Project Sarlahi, Kathmandu, Nepal; [Tielsch, James M.] George Washington Univ, Dept Global Hlth, Washington, DC USA; [Jerome, Keith R.] Fred Hutchinson Canc Res Ctr, Vaccine &amp; Infect Dis Div, 1124 Columbia St, Seattle, WA 98104 USA; [Englund, Janet A.] Univ Washington, Seattle Childrens Res Inst, Dept Pediat, Seattle, WA 98102 USA</t>
  </si>
  <si>
    <t xml:space="preserve">University of Washington; University of Washington Seattle; University of Washington; University of Washington Seattle; Johns Hopkins University; George Washington University; Fred Hutchinson Cancer Center; University of Washington; University of Washington Seattle; Seattle Children's Hospital</t>
  </si>
  <si>
    <t xml:space="preserve">Perchetti, GA (corresponding author), Univ Washington, Dept Lab Med &amp; Pathol, Virol Div, 1616 Eastlake Ave E Suite 320, Seattle, WA 98102 USA.</t>
  </si>
  <si>
    <t xml:space="preserve">gap5@uw.edu</t>
  </si>
  <si>
    <t xml:space="preserve">Englund, Janet/ABV-6379-2022; Perchetti, Garrett/AAA-2664-2020</t>
  </si>
  <si>
    <t xml:space="preserve">Jerome, Keith/0000-0002-8212-3789; Perchetti, Garrett/0000-0003-3786-0509; Chu, Helen/0000-0001-8502-9600</t>
  </si>
  <si>
    <t xml:space="preserve">Social Welfare Council of the Government of Nepal</t>
  </si>
  <si>
    <t xml:space="preserve">This study was carried out in close collaboration with our implementing partner organization, Nepal Netra Jyoti Sangh, under the auspices of the Social Welfare Council of the Government of Nepal. The authors would like to acknowledge the community in Sarlahi, Nepal, and the Nepal Nutrition Intervention Project staff, as well as the mothers and infants who participated in the study. The authors also thank the efforts of the many who have helped build out a robust, yet evolving public genetic database such as NCBI's GenBank, which made genotyping for our research possible.</t>
  </si>
  <si>
    <t xml:space="preserve">10.1093/jpids/piaa118</t>
  </si>
  <si>
    <t xml:space="preserve">TX9CZ</t>
  </si>
  <si>
    <t xml:space="preserve">WOS:000683384400003</t>
  </si>
  <si>
    <t xml:space="preserve">Rahman, MZ; Sumiya, M; Sahabuddin, M; Pell, LG; Gubbay, JB; Rahman, R; Momtaz, F; Azmuda, N; Shanta, SS; Jahan, I; Rahman, M; Mahmud, AA; Roth, DE; Morris, SK</t>
  </si>
  <si>
    <t xml:space="preserve">Rahman, Mohammed Ziaur; Sumiya, Mariya; Sahabuddin, Mohammed; Pell, Lisa G.; Gubbay, Jonathan B.; Rahman, Rajibur; Momtaz, Farhana; Azmuda, Nafisa; Shanta, Shaila S.; Jahan, Ishrat; Rahman, Mustafizur; Mahmud, Abdullah A.; Roth, Daniel E.; Morris, Shaun K.</t>
  </si>
  <si>
    <t xml:space="preserve">Genetic characterization of human metapneumovirus identified through community and facility-based surveillance of infants in Dhaka, Bangladesh</t>
  </si>
  <si>
    <t xml:space="preserve">genetic variability; human metapneumovirus (hMPV); paramyxovirus; seasonal incidence</t>
  </si>
  <si>
    <t xml:space="preserve">ACUTE RESPIRATORY-INFECTIONS; SYNCYTIAL VIRUS; HOSPITALIZED CHILDREN; VIRAL GENOTYPE; F PROTEIN; DIVERSITY; DISEASE; FUSION; EPIDEMIOLOGY; SEASONALITY</t>
  </si>
  <si>
    <t xml:space="preserve">Background Acute respiratory infection (ARI) is a leading cause of morbidity and mortality in children in low and middle-income countries. Human metapneumovirus (hMPV) is one of the most common viral etiological agents for ARIs in children. Objectives In this study, we explored the genotypic diversity and the epidemiology of hMPV among infants in Dhaka, Bangladesh. Study Design Between December 2014 and August 2016, a total of 3810 mid-turbinate nasal swab samples were collected from infants (0 to 6 months of age) who met clinical ARI criteria, as a part of a prospective ARI cohort study. hMPV was detected using polymerase chain reaction, and genotyped by sequencing and phylogenetic analysis. Results hMPV was identified in 206 (5.4%) nasal swab specimens. One-tenth of the hMPV-positive swabs (n = 19) were also positive for other respiratory viruses. hMPV activity peaked in January and September in 2015; however, no seasonal pattern of hMPV infection was detected. Phylogenetic analyses of the N and F gene-fragments revealed that the hMPV strains circulating in Dhaka, Bangladesh, belonged to three genotypes: A2b, A2c, and B1. Genotype A (57%) was the predominant hMPV genotype circulating in Bangladesh during the study period. Conclusion This study describes both the epidemiology of hMPV infection and its genotypic strain diversity in Dhaka, Bangladesh.</t>
  </si>
  <si>
    <t xml:space="preserve">[Rahman, Mohammed Ziaur; Sumiya, Mariya; Sahabuddin, Mohammed; Rahman, Rajibur; Momtaz, Farhana; Rahman, Mustafizur] Icddr B, IDD, Dhaka, Bangladesh; [Pell, Lisa G.; Roth, Daniel E.; Morris, Shaun K.] Hosp Sick Children, Sick Kids Res Inst, Ctr Global Child Hlth &amp; Child Hlth Evaluat Sci, Toronto, ON, Canada; [Gubbay, Jonathan B.; Roth, Daniel E.; Morris, Shaun K.] Hosp Sick Children, Dept Pediat, Toronto, ON, Canada; [Gubbay, Jonathan B.; Roth, Daniel E.; Morris, Shaun K.] Univ Toronto, Toronto, ON, Canada; [Gubbay, Jonathan B.] Publ Hlth Ontario, Toronto, ON, Canada; [Azmuda, Nafisa] Jahangirnagar Univ, Dept Microbiol, Dhaka, Bangladesh; [Shanta, Shaila S.; Mahmud, Abdullah A.] Icddr B, NCSD, Dhaka, Bangladesh; [Jahan, Ishrat] Govt Bangladesh, MCHTI, Minist Hlth &amp; Family Welf, Dhaka, Bangladesh</t>
  </si>
  <si>
    <t xml:space="preserve">International Centre for Diarrhoeal Disease Research (ICDDR); University of Toronto; Hospital for Sick Children (SickKids); University of Toronto; Hospital for Sick Children (SickKids); University of Toronto; Jahangirnagar University; International Centre for Diarrhoeal Disease Research (ICDDR)</t>
  </si>
  <si>
    <t xml:space="preserve">Rahman, MZ (corresponding author), Int Ctr Diarrheal Dis Res, Infect Dis Div, Virol Lab, 68 Shaheed Tajuddin Ahmed Sarani, Dhaka 1212, Bangladesh.</t>
  </si>
  <si>
    <t xml:space="preserve">Pell, Lisa/KFQ-1978-2024; Azmuda, Nafisa/V-8623-2019; Gubbay, Jonathan/Q-8580-2019; Roth, Daniel/KFR-3099-2024; Morris, Shaun/KGL-8778-2024</t>
  </si>
  <si>
    <t xml:space="preserve">Gubbay, Jonathan/0000-0003-0026-3786; Rahman, Mohammed Ziaur/0000-0002-4103-4835</t>
  </si>
  <si>
    <t xml:space="preserve">Bill and Melinda Gates Foundation [OPP1066764]; Bill and Melinda Gates Foundation [OPP1066764] Funding Source: Bill and Melinda Gates Foundation</t>
  </si>
  <si>
    <t xml:space="preserve">Bill and Melinda Gates Foundation, Grant/Award Number: OPP1066764</t>
  </si>
  <si>
    <t xml:space="preserve">10.1002/jmv.25351</t>
  </si>
  <si>
    <t xml:space="preserve">HL2YR</t>
  </si>
  <si>
    <t xml:space="preserve">WOS:000458577200005</t>
  </si>
  <si>
    <t xml:space="preserve">Korsun, N; Angelova, S; Trifonova, I; Voleva, S; Grigorova, I; Tzotcheva, I; Mileva, S; Alexiev, I; Perenovska, P</t>
  </si>
  <si>
    <t xml:space="preserve">Korsun, Neli; Angelova, Svetla; Trifonova, Ivelina; Voleva, Silvia; Grigorova, Iliana; Tzotcheva, Iren; Mileva, Sirma; Alexiev, Ivaylo; Perenovska, Penka</t>
  </si>
  <si>
    <t xml:space="preserve">Predominance of ON1 and BA9 genotypes of respiratory syncytial virus (RSV) in Bulgaria, 2016-2018</t>
  </si>
  <si>
    <t xml:space="preserve">genetic variability; glycoproteins; mutation; mutation rate; respiratory syncytial virus</t>
  </si>
  <si>
    <t xml:space="preserve">GLYCOPROTEIN G GENE; MOLECULAR EPIDEMIOLOGY; CONSECUTIVE SEASONS; 60-NUCLEOTIDE DUPLICATION; PREVAILING GENOTYPE; RAPID REPLACEMENT; CATALONIA SPAIN; YOUNG-CHILDREN; B GENOTYPE; G-PROTEIN</t>
  </si>
  <si>
    <t xml:space="preserve">The objectives of this study were to investigate the prevalence of respiratory syncytial virus (RSV) infections in Bulgaria, to characterize the genetic diversity of the RSV strains, and to perform amino acid sequence analysis of the RSV G protein. Clinical, epidemiological data and nasopharyngeal swabs were prospectively collected from children aged less than 5 years presenting with acute respiratory infections from October 2016 to September 2018. Real-time polymerase chain reaction for 12 respiratory viruses, and sequencing, phylogenetic, and amino acid analyses of the RSV G gene/protein were performed. Of the 875 children examined, 645 (73.7%) were positive for at least one viral respiratory pathogen. RSV was the most commonly detected virus (26.2%), followed by rhinoviruses (15%), influenza A (H3N2) (9.7%), adenoviruses (9%), bocaviruses (7.2%), human metapneumovirus (6.1%), parainfluenza viruses 1/2/3 (5.8%), influenza type B (5.5%), and A(H1N1)pdm09 (3.4%). The detection rate for RSV varied across two winter seasons (36.7% vs 20.3%). RSV-B cases outnumbered those of the RSV-A throughout the study period. RSV was the most common virus detected in patients with bronchiolitis (45.1%) and pneumonia (24%). Phylogenetic analysis indicated that all the sequenced RSV-A strains belonged to the ON1 genotype and the RSV-B strains were classified as BA9 genotype. Amino acid substitutions at 15 and 22 positions of the HVR-2 were identified compared with the ON1 and BA prototype strains, respectively. This study revealed the leading role of RSV as a causative agent of serious respiratory illnesses in early childhood, year-on-year fluctuations in RSV incidence, the dominance of RSV-B, and relatively low genetic diversity in the circulating RSV strains.</t>
  </si>
  <si>
    <t xml:space="preserve">[Korsun, Neli; Angelova, Svetla; Trifonova, Ivelina; Voleva, Silvia; Grigorova, Iliana; Alexiev, Ivaylo] Natl Ctr Infect &amp; Parasit Dis, Dept Virol, Sofia, Bulgaria; [Tzotcheva, Iren; Mileva, Sirma; Perenovska, Penka] Med Univ, Univ Hosp Alexandrovska, Pediat Clin, Sofia, Bulgaria</t>
  </si>
  <si>
    <t xml:space="preserve">Korsun, N (corresponding author), Natl Ctr Infect &amp; Parasit Dis, Dept Virol, Natl Lab Influenza &amp; ARD, 44A Stoletov Blvd, Sofia 1233, Bulgaria.</t>
  </si>
  <si>
    <t xml:space="preserve">ANGELOVA, SVETLA/0000-0002-9119-6373; Mileva, Sirma/0000-0002-5576-5225; Tifonova, Ivelina/0000-0002-4543-6831; Korsun, Neli/0000-0002-3188-2283</t>
  </si>
  <si>
    <t xml:space="preserve">National Science Foundation of Bulgaria [DH 13, DH 14, DH 15]</t>
  </si>
  <si>
    <t xml:space="preserve">National Science Foundation of Bulgaria, Grant/Award Number: Project DH 13 to 15/20.12.2017</t>
  </si>
  <si>
    <t xml:space="preserve">10.1002/jmv.26415</t>
  </si>
  <si>
    <t xml:space="preserve">RM3DO</t>
  </si>
  <si>
    <t xml:space="preserve">WOS:000585034100001</t>
  </si>
  <si>
    <t xml:space="preserve">Galiano, M; Trento, A; Ver, L; Carballal, G; Videla, C</t>
  </si>
  <si>
    <t xml:space="preserve">Genetic heterogeneity of G and F protein gene from Argentinean human metapneumovirus strain</t>
  </si>
  <si>
    <t xml:space="preserve">genetic variability of hMPV; Argentina; human metapneumovirus</t>
  </si>
  <si>
    <t xml:space="preserve">RESPIRATORY SYNCYTIAL VIRUS; ATTACHMENT G PROTEIN; G-GLYCOPROTEIN; SUBGROUP-A; EVOLUTIONARY PATTERN; ANTIGENIC STRUCTURE; SEQUENCE-ANALYSIS; GROUP-B; CHILDREN; DIVERSITY</t>
  </si>
  <si>
    <t xml:space="preserve">Human metapneumovirus (hMPV) is a newly identified paramixovirus, associated with respiratory illnesses in all age groups. Two genetic groups of hMPV have been described. The nucleotide sequences of the G and F genes from 11 Argentinean hMPV strains (1998-2003) were determined by RT-PCR and direct sequencing. Phylogenetic analysis showed that hMPV strains clustered into two main genetic lineages, A and B. Strains clustered into A group were split into two sublineages, A1 and A2. All strains belonging to group B clustered with representative strains from sublineage B1. No Argentinean strains belonged to sublineage B2. F sequences showed high percentage identities at nucleotide and amino acid levels. In contrast, G sequences showed high diversity between A and B groups. Most changes observed in the deduced G protein sequence were amino acid substitutions in the extracellular domain, and changes in stop codon usage leading to different lengths in the G proteins. High content of serine and threonine residues were also shown, suggesting that this protein would be highly glycosylated. The potential sitesfor N- and O-glycosylation seem to have a different conservation pattern between the two main groups. This is the first report on the genetic variability of the G and F protein genes of hMPV strains in South America. Two main genetic groups and at least three subgroups were revealed among Argentinean hMPV strains. The F protein seems to be highly conserved, whereas the G protein showed extensive diversity between groups A and B. (c) 2006 Wiley-Liss, Inc.</t>
  </si>
  <si>
    <t xml:space="preserve">Univ Hosp, CEMIC, Buenos Aires, DF, Argentina; Inst Salud Carlos III, Unidad Biol Virol, Ctr Nacl Microbiol, Madrid, Spain</t>
  </si>
  <si>
    <t xml:space="preserve">Centro de Educacion Medica e Investigaciones Clinicas (CEMIC); University of Buenos Aires; Instituto de Salud Carlos III; Centro Nacional de Microbiologia (CNM)</t>
  </si>
  <si>
    <t xml:space="preserve">Videla, C (corresponding author), CEMIC, Lab Virol Clin, Gavan 4102,C1431FWO, Buenos Aires, DF, Argentina.</t>
  </si>
  <si>
    <t xml:space="preserve">cvidela@cemic.edu.ar</t>
  </si>
  <si>
    <t xml:space="preserve">Trento, Alfonsina/L-3315-2017</t>
  </si>
  <si>
    <t xml:space="preserve">Trento, Alfonsina/0000-0002-2045-9690</t>
  </si>
  <si>
    <t xml:space="preserve">10.1002/jmv.20586</t>
  </si>
  <si>
    <t xml:space="preserve">030TH</t>
  </si>
  <si>
    <t xml:space="preserve">WOS:000236657000015</t>
  </si>
  <si>
    <t xml:space="preserve">Newman, KL; Wolf, CR; Logue, JK; Englund, JA; Boeckh, M; Chu, HY; Seattle Flu Study Investigators</t>
  </si>
  <si>
    <t xml:space="preserve">Newman, Kira L. R.; Wolf, Caitlin R. K.; Logue, Jennifer K. A.; Englund, Janet A.; Boeckh, Michael Y.; Chu, Helen Y.; Seattle Flu Study Investigators</t>
  </si>
  <si>
    <t xml:space="preserve">Nausea, Vomiting, and Diarrhea Are Common in Community-Acquired Acute Viral Respiratory Illness</t>
  </si>
  <si>
    <t xml:space="preserve">DIGESTIVE DISEASES AND SCIENCES</t>
  </si>
  <si>
    <t xml:space="preserve">Gastroenteritis; Respiratory infections; Coronavirus; Influenza; Gastrointestinal tract; Rhinovirus</t>
  </si>
  <si>
    <t xml:space="preserve">BackgroundGastrointestinal (GI) symptoms are recognized sequelae of acute respiratory illness (ARI), but their prevalence is not well documented. Our study aim was to assess the incidence of GI symptoms in community ARI cases for persons of all ages and their association with clinical outcomes.MethodsWe collected mid-nasal swabs, clinical, and symptom data from Seattle-area individuals during the 2018-2019 winter season as part of a large-scale prospective community surveillance study. Swabs were tested by polymerase chain reaction (PCR) for 26 respiratory pathogens. Likelihood of GI symptoms given demographic, clinical, and microbiological covariates were analyzed with Fisher's exact, Wilcoxon-rank-sum, and t-tests and multivariable logistic regression.ResultsIn 3183 ARI episodes, 29.4% had GI symptoms (n = 937). GI symptoms were significantly associated with pathogen detection, illness interfering with daily life, seeking care for the illness, and greater symptom burden (all p &lt; 0.05). Controlling for age, &gt; 3 symptoms, and month, influenza (p &lt; 0.001), human metapneumovirus (p = 0.004), and enterovirus D68 (p = 0.05) were significantly more likely to be associated with GI symptoms than episodes with no pathogen detected. Seasonal coronaviruses (p = 0.005) and rhinovirus (p = 0.04) were significantly less likely to be associated with GI symptoms.ConclusionIn this community-surveillance study of ARI, GI symptoms were common and associated with illness severity and respiratory pathogen detection. GI symptoms did not track with known GI tropism, suggesting GI symptoms may be nonspecific rather than pathogen-mediated. Patients presenting with GI and respiratory symptoms should have respiratory virus testing, even if the respiratory symptom is not the primary concern.</t>
  </si>
  <si>
    <t xml:space="preserve">[Newman, Kira L. R.] Univ Michigan, Taubman Ctr 3912, 1500 East Med Ctr Dr, SPC 5362, Ann Arbor, MI 48109 USA; [Wolf, Caitlin R. K.; Logue, Jennifer K. A.; Englund, Janet A.; Boeckh, Michael Y.; Chu, Helen Y.] Univ Washington, Seattle, WA USA; [Englund, Janet A.] Seattle Childrens, Seattle, WA USA; [Boeckh, Michael Y.] Fred Hutchinson Canc Res Ctr, Seattle, WA USA</t>
  </si>
  <si>
    <t xml:space="preserve">University of Michigan System; University of Michigan; University of Washington; University of Washington Seattle; Seattle Children's Hospital; Fred Hutchinson Cancer Center</t>
  </si>
  <si>
    <t xml:space="preserve">Newman, KL (corresponding author), Univ Michigan, Taubman Ctr 3912, 1500 East Med Ctr Dr, SPC 5362, Ann Arbor, MI 48109 USA.</t>
  </si>
  <si>
    <t xml:space="preserve">kinewman@med.umich.edu</t>
  </si>
  <si>
    <t xml:space="preserve">Chu, Helen/0000-0001-8502-9600; Newman, Kira/0000-0002-8279-1111</t>
  </si>
  <si>
    <t xml:space="preserve">Gates Ventures; NIH [5T32DK094775-10, 1F32DK134043-01]; National Institute of Diabetes and Digestive and Kidney Diseases [F32DK134043, T32DK094775] Funding Source: NIH RePORTER</t>
  </si>
  <si>
    <t xml:space="preserve">Gates Ventures; NIH(United States Department of Health &amp; Human ServicesNational Institutes of Health (NIH) - USA); National Institute of Diabetes and Digestive and Kidney Diseases(United States Department of Health &amp; Human ServicesNational Institutes of Health (NIH) - USANIH National Institute of Diabetes &amp; Digestive &amp; Kidney Diseases (NIDDK))</t>
  </si>
  <si>
    <t xml:space="preserve">The Seattle Flu Study was funded by Gates Ventures (MB, JAE, HYC). KLN was funded by NIH 5T32DK094775-10 and 1F32DK134043-01. These funding sources were not involved in the design of the study and do not have any ownership over the management and conduct of the study, the data, the analysis, the rights to publish, or the manuscript.</t>
  </si>
  <si>
    <t xml:space="preserve">0163-2116</t>
  </si>
  <si>
    <t xml:space="preserve">1573-2568</t>
  </si>
  <si>
    <t xml:space="preserve">DIGEST DIS SCI</t>
  </si>
  <si>
    <t xml:space="preserve">Dig. Dis. Sci.</t>
  </si>
  <si>
    <t xml:space="preserve">10.1007/s10620-023-07976-4</t>
  </si>
  <si>
    <t xml:space="preserve">JUN 2023</t>
  </si>
  <si>
    <t xml:space="preserve">M6MA8</t>
  </si>
  <si>
    <t xml:space="preserve">WOS:001000583400005</t>
  </si>
  <si>
    <t xml:space="preserve">Li, JH; Zhao, Y; Dai, Y; Zhao, JN</t>
  </si>
  <si>
    <t xml:space="preserve">Li, Jinhua; Zhao, Yao; Dai, Ying; Zhao, Junning</t>
  </si>
  <si>
    <t xml:space="preserve">Identification of γ-Fagarine as a novel antiviral agent against respiratory virus (hMPV) infection</t>
  </si>
  <si>
    <t xml:space="preserve">gamma-Fagarine; hMPV; Antiviral activity; Lysosome; HSPG</t>
  </si>
  <si>
    <t xml:space="preserve">FUSION PROTEIN; BINDING</t>
  </si>
  <si>
    <t xml:space="preserve">Human metapneumovirus (hMPV) causes significant upper and lower respiratory disease in all age groups worldwide. However, there is no licensed drugs or vaccine available against hMPV. gamma-Fagarine, an alkaloid isolated from the root of zanthoxylum, has been reported to be effective in the treatment of cancer, inflammatory diseases and antivirals. However, little is known about the inhibitory effect of gamma-Fagarine against respiratory virus infection and the mechanism. In this study, we aim to investigate the effect of gamma-Fagarine on hMPV infection and explore its underlying molecular mechanisms. Vero-E6 and 16HBE cells were used as cell models. Virus replication and microcosm character were explored in Vero-E6 cells. Then, the antiviral activities were investigated by quantitative real-time PCR (RT-qPCR), western blotting (WB), and indirect immunofluorescence assays (IFAs) in Vero-E6 and 16HBE. Potential mechanisms of gamma-Fagarine related to HSPG and lysosome pH were assessed in 16HBE cells. Lastly, a virus-infected mouse model was established and antiviral assay in vivo was conducted. gamma-Fagarine showed no toxicity toward Vero-E6 cells and 16HBE cells but demonstrated anti-hMPV activity. Virus titers of gamma-Fagarine group were reduced to 33% and 45% of the hMPV groups, respectively. Besides, mechanistic studies revealed that gamma-Fagarine could inhibit hMPV by dual mechanisms of direct restraining virus binding with HSPG and influencing lysosome pH. Furthermore, oral delivery of gamma-Fagarine to hMPVinfected mice at a dosage of 25 mg/kg reduced the hMPV load in lung tissues. After gamma-Fagarine treatment, pathological damage caused by viral infection was also ameliorated. These findings suggest that gamma-Fagarine has antiviral effects in vitro and in vivo, which are associated with its ability to restrain virus binding with HSPG and influence lysosome pH, thus indicating that gamma-Fagarine has the potential to serve as a candidate to fight against hMPV infection and other respiratory viruses such as influenza viruses and SARS-CoV-2.</t>
  </si>
  <si>
    <t xml:space="preserve">[Li, Jinhua; Zhao, Junning] Sichuan Univ, West China Sch Pharm, Dept Pharmacognosy, Chengdu 610041, Peoples R China; [Zhao, Junning] Natl Med Prod Adm NMPA, Natl Key Lab Drug Regulatory Sci, Beijing 100038, Peoples R China; [Zhao, Yao] Chongqing Med Univ, Childrens Hosp, Chongqing Key Lab Child Infect &amp; Immun, Chongqing 400014, Peoples R China; [Dai, Ying] Sichuan Acad Chinese Med Sci, Sichuan Inst Translat Chinese Med, Translat Chinese Med Key Lab Sichuan Prov, Chengdu 610041, Sichuan, Peoples R China</t>
  </si>
  <si>
    <t xml:space="preserve">Sichuan University; Chongqing Medical University</t>
  </si>
  <si>
    <t xml:space="preserve">Zhao, JN (corresponding author), Sichuan Univ, West China Sch Pharm, Dept Pharmacognosy, Chengdu 610041, Peoples R China.</t>
  </si>
  <si>
    <t xml:space="preserve">zarmy@189.cn</t>
  </si>
  <si>
    <t xml:space="preserve">Li, Jinhua/HKM-5742-2023</t>
  </si>
  <si>
    <t xml:space="preserve">Project of Sichuan Provincial Administration of Traditional Chinese Medicine [2020YSHB01]; Major Scientific and Technological Projects of Sichuan Provincial Administration of Traditional Chinese Medicine [2021XYCZ001]</t>
  </si>
  <si>
    <t xml:space="preserve">Project of Sichuan Provincial Administration of Traditional Chinese Medicine; Major Scientific and Technological Projects of Sichuan Provincial Administration of Traditional Chinese Medicine</t>
  </si>
  <si>
    <t xml:space="preserve">The study was supported by grants from The Project of Sichuan Provincial Administration of Traditional Chinese Medicine (2020YSHB01) and Major Scientific and Technological Projects of Sichuan Provincial Administration of Traditional Chinese Medicine (2021XYCZ001) .</t>
  </si>
  <si>
    <t xml:space="preserve">10.1016/j.virusres.2023.199223</t>
  </si>
  <si>
    <t xml:space="preserve">U5EZ3</t>
  </si>
  <si>
    <t xml:space="preserve">WOS:001085041700001</t>
  </si>
  <si>
    <t xml:space="preserve">Lekana-Douki, SE; Nkoghe, D; Drosten, C; Ngoungou, EB; Drexler, JF; Leroy, EM</t>
  </si>
  <si>
    <t xml:space="preserve">Lekana-Douki, Sonia Etenna; Nkoghe, Dieudonne; Drosten, Christian; Ngoungou, Edgar Brice; Drexler, Jan Felix; Leroy, Eric M.</t>
  </si>
  <si>
    <t xml:space="preserve">Viral etiology and seasonality of influenza-like illness in Gabon, March 2010 to June 2011</t>
  </si>
  <si>
    <t xml:space="preserve">Gabon; Surveillance network; Influenza-like illness; Viruses; Seasonality</t>
  </si>
  <si>
    <t xml:space="preserve">RESPIRATORY SYNCYTIAL VIRUS; REAL-TIME PCR; HOSPITALIZED CHILDREN; RHINOVIRUS INFECTION; PANDEMIC INFLUENZA; PEDIATRIC-PATIENTS; CLINICAL-FEATURES; TRACT INFECTION; EPIDEMIOLOGY; SURVEILLANCE</t>
  </si>
  <si>
    <t xml:space="preserve">Background: Surveillance of influenza-like illness (ILI) in Central Africa began only recently, and few data are therefore available on the circulation of influenza virus and other respiratory viruses. In Gabon, a Central African country, we established a surveillance network in four major towns in order to analyze cases of ILI among patients who visited health centers between March 2010 and June 2011, and to determine the viral etiology. Methods: Nasal swabs were sent for analysis to the Centre International de Recherches Medicales de Franceville, where they were screened for 17 respiratory viruses in a multiplex real-time reverse transcription polymerase chain reaction for all pathogens according the following pairs: adenovirus/parainfluenza virus 4, respiratory syncytial virus/human metapneumovirus, parainfluenza virus 1/parainfluenza virus 2, pandemic influenza virus A/seasonal influenza virus A (H1N1, H3N2)/seasonal influenza virus B, human coronaviruses 229E/OC43, human coronaviruses NL63/HKU1, rhinovirus/human parechovirus, and enterovirus/parainfluenza virus 3. Results: We analyzed a total of 1041 specimens, of which 639 (61%) were positive for at least one virus. Three-quarters of the patients were children under five years old. We therefore focused on this age group, in which 68.1% of patients were positive for at least one virus. The most common viruses were adenoviruses (17.5%), followed by parainfluenza viruses (PIVs) 1-4 (16.8%), enteroviruses (EV) (14.7%), respiratory syncytial virus (RSV) (13.5%), and influenza virus (11.9%). The prevalence of some viruses was subject to geographic and seasonal variations. One-third of positive samples contained more than one virus. Conclusions: Like most studies in the world, the virus PIVs, EV, RSV, Influenza virus, HRV were predominant among children under five years old in Gabon. An exception is made for adenoviruses which have a high prevalence in our study. However adenoviruses can be detected in asymptomatic persons. These finding gave a better knowledge of the circulation and the seasonality of the viruses involved in ILI in Gabon.</t>
  </si>
  <si>
    <t xml:space="preserve">[Lekana-Douki, Sonia Etenna; Nkoghe, Dieudonne; Leroy, Eric M.] Ctr Int Rech Med Franceville, Franceville, Gabon; [Nkoghe, Dieudonne] Minist Sante Publ, Libreville, Gabon; [Drosten, Christian; Drexler, Jan Felix] Bonn Med Ctr, Inst Virol, Bonn, Germany; [Ngoungou, Edgar Brice] Univ Med, Dept Epidmiol Biostat, Libreville, Gabon; [Leroy, Eric M.] UMR IRD 224 CNRS 5290 UM1 UM2, Montpellier, France</t>
  </si>
  <si>
    <t xml:space="preserve">Centre National de la Recherche Scientifique (CNRS)</t>
  </si>
  <si>
    <t xml:space="preserve">Leroy, EM (corresponding author), Ctr Int Rech Med Franceville, BP 769, Franceville, Gabon.</t>
  </si>
  <si>
    <t xml:space="preserve">eric.leroy@ird.fr</t>
  </si>
  <si>
    <t xml:space="preserve">Drexler, Jan Felix/GMW-5098-2022; Drosten, Christian/AFF-8529-2022; LEROY, Eric/I-4347-2016</t>
  </si>
  <si>
    <t xml:space="preserve">LEROY, Eric/0000-0003-0022-0890; Drexler, Jan Felix/0000-0002-3509-0232</t>
  </si>
  <si>
    <t xml:space="preserve">10.1186/1471-2334-14-373</t>
  </si>
  <si>
    <t xml:space="preserve">AL6ZN</t>
  </si>
  <si>
    <t xml:space="preserve">WOS:000339282700001</t>
  </si>
  <si>
    <t xml:space="preserve">Ondo, GN; Ushijima, Y; Abe, H; Mahmoudou, S; Bikangui, R; Nkoma, AM; Mbadinga, MJVM; More, A; Agbanrin, MD; Pemba, CM; Mba, RB; Adegnika, AA; Lell, B; Yasuda, J</t>
  </si>
  <si>
    <t xml:space="preserve">Ondo, Georgelin Nguema; Ushijima, Yuri; Abe, Haruka; Mahmoudou, Saidou; Bikangui, Rodrigue; Nkoma, Anne Marie; Mbadinga, Marien Juliet Veraldy Magossou; More, Ayong; Agbanrin, Maradona Daouda; Pemba, Christelle M.; Mba, Romuald Beh; Adegnika, Ayola Akim; Lell, Bertrand; Yasuda, Jiro</t>
  </si>
  <si>
    <t xml:space="preserve">Genetic Diversity and Detection of Respiratory Viruses Excluding SARS-CoV-2 during the COVID-19 Pandemic in Gabon, 2020-2021</t>
  </si>
  <si>
    <t xml:space="preserve">Gabon; respiratory viruses; genetic diversity; incidence; COVID-19 pandemic</t>
  </si>
  <si>
    <t xml:space="preserve">HUMAN METAPNEUMOVIRUS INFECTION; REAL-TIME PCR; VIRAL ETIOLOGY; CHILDREN; DIAGNOSIS; ASSAYS; IDENTIFICATION; GENOTYPE; CAMEROON; RNA</t>
  </si>
  <si>
    <t xml:space="preserve">Acute respiratory infections are a major global burden in resource-limited countries, including countries in Africa. Although COVID-19 has been well studied since the pandemic emerged in Gabon, Central Africa, less attention has been paid to other respiratory viral diseases, and very little data are available. Herein, we provide the first data on the genetic diversity and detection of 18 major respiratory viruses in Gabon during the COVID-19 pandemic. Of 582 nasopharyngeal swab specimens collected from March 2020 to July 2021, which were SARS-CoV-2 negative, 156 were positive (26%) for the following viruses: enterovirus (20.3%), human rhinovirus (HRV) (4.6%), human coronavirus OC43 (1.2%), human adenovirus (0.9%), human metapneumovirus (hMPV) (0.5%), influenza A virus (IAV) (0.3%), and human parainfluenza viruses (0.5%). To determine the genetic diversity and transmission route of the viruses, phylogenetic analyses were performed using genome sequences of the detected viruses. The IAV strain detected in this study was genetically similar to strains isolated in the USA, whereas the hMPV strain belonging to the A2b subtype formed a cluster with Kenyan strains. This study provides the first complete genomic sequences of HRV, IAV, and hMPV detected in Gabon, and provides insight into the circulation of respiratory viruses in the country.</t>
  </si>
  <si>
    <t xml:space="preserve">[Ondo, Georgelin Nguema; Mahmoudou, Saidou; Bikangui, Rodrigue; Nkoma, Anne Marie; Mbadinga, Marien Juliet Veraldy Magossou; More, Ayong; Agbanrin, Maradona Daouda; Mba, Romuald Beh; Adegnika, Ayola Akim; Lell, Bertrand] Ctr Rech Med Lambarene, BP242, Lambarene, Gabon; [Ondo, Georgelin Nguema; Yasuda, Jiro] Nagasaki Univ, Grad Sch Biomed Sci, Nagasaki 8528523, Japan; [Ushijima, Yuri; Abe, Haruka; Yasuda, Jiro] Nagasaki Univ, Inst Trop Med NEKKEN, Dept Emerging Infect Dis, Nagasaki 8528523, Japan; [Ushijima, Yuri] Univ Tsukuba, Inst Med, Div Biomed Sci, Tsukuba 3058577, Japan; [Abe, Haruka] Nagasaki Univ, Inst Trop Med NEKKEN, Vietnam Res Stn, Nagasaki 8528523, Japan; [Abe, Haruka; Pemba, Christelle M.; Yasuda, Jiro] Nagasaki Univ, Natl Res Ctr Control &amp; Prevent Infect Dis CCPID, Dept Emerging Infect Dis, Nagasaki 8528523, Japan; [Lell, Bertrand] Med Univ Vienna, Div Infect Dis &amp; Trop Med, A-1090 Vienna, Austria</t>
  </si>
  <si>
    <t xml:space="preserve">Nagasaki University; Nagasaki University; University of Tsukuba; Nagasaki University; Nagasaki University; Medical University of Vienna</t>
  </si>
  <si>
    <t xml:space="preserve">Yasuda, J (corresponding author), Nagasaki Univ, Grad Sch Biomed Sci, Nagasaki 8528523, Japan.;Yasuda, J (corresponding author), Nagasaki Univ, Inst Trop Med NEKKEN, Dept Emerging Infect Dis, Nagasaki 8528523, Japan.;Yasuda, J (corresponding author), Nagasaki Univ, Natl Res Ctr Control &amp; Prevent Infect Dis CCPID, Dept Emerging Infect Dis, Nagasaki 8528523, Japan.</t>
  </si>
  <si>
    <t xml:space="preserve">georgelinkluivert9@gmail.com; ushijima-yu@md.tsukuba.ac.jp; abeh@nagasaki-u.ac.jp; saidou.mahmoudou@cermel.org; bikrod16@gmail.com; mymhankoma@yahoo.fr; julietveraldy@yahoo.fr; ayongterence@gmail.com; daouda_agbanrin@yahoo.fr; christellepemba@nagasaki-u.ac.jp; behmbaroms@gmail.com; aadegnika@cermel.org; bertrand.lell@cermel.org; j-yasuda@nagasaki-u.ac.jp</t>
  </si>
  <si>
    <t xml:space="preserve">Yasuda, Jiro/IAM-7559-2023; ADEGNIKA, Ayola/AAK-7307-2020; NGUEMA ONDO, Georgelin/KUD-5600-2024; Ushijima, Yuri/ISR-9311-2023</t>
  </si>
  <si>
    <t xml:space="preserve">Yasuda, Jiro/0000-0001-9928-5621; MAHMOUDOU, Saidou/0009-0007-6476-4068; NGUEMA ONDO, Georgelin/0000-0003-2254-727X; Adegnika, Ayola Akim/0000-0003-3197-5946; Abe, Haruka/0000-0003-0141-5059</t>
  </si>
  <si>
    <t xml:space="preserve">Japan Society for the Promotion of Science (JSPS) RON-PAKU; Science and Technology Research Partnership for Sustainable Development (SATREPS); Japan International Cooperation Agency (JICA); Japan Agency for Medical Research and Development (AMED) [JP20jm0110013]; AMED [JP23fm0208101, JP223fa627004]; JSPS [JPJSCCB20220009]; Ministry of Education, Culture, Sports,Science and Technology (MEXT)</t>
  </si>
  <si>
    <t xml:space="preserve">Japan Society for the Promotion of Science (JSPS) RON-PAKU(Ministry of Education, Culture, Sports, Science and Technology, Japan (MEXT)Japan Society for the Promotion of Science); Science and Technology Research Partnership for Sustainable Development (SATREPS); Japan International Cooperation Agency (JICA); Japan Agency for Medical Research and Development (AMED)(Japan Agency for Medical Research and Development (AMED)); AMED; JSPS(Ministry of Education, Culture, Sports, Science and Technology, Japan (MEXT)Japan Society for the Promotion of Science); Ministry of Education, Culture, Sports,Science and Technology (MEXT)(Ministry of Education, Culture, Sports, Science and Technology, Japan (MEXT))</t>
  </si>
  <si>
    <t xml:space="preserve">This work was supported by the Japan Society for the Promotion of Science (JSPS) RON-PAKU (Dissertation Ph.D) Program. This work was also funded by the Science and Technology Research Partnership for Sustainable Development (SATREPS), Japan International Cooperation Agency (JICA), and Japan Agency for Medical Research and Development (AMED) (grant number JP20jm0110013), and supported by grants from AMED (grant numbers JP23fm0208101 and JP223fa627004), JSPS (grant number JPJSCCB20220009), and Ministry of Education, Culture, Sports,Science and Technology (MEXT).</t>
  </si>
  <si>
    <t xml:space="preserve">10.3390/v16050698</t>
  </si>
  <si>
    <t xml:space="preserve">SG2I7</t>
  </si>
  <si>
    <t xml:space="preserve">WOS:001233233800001</t>
  </si>
  <si>
    <t xml:space="preserve">Rodríguez, L; Olmedillas, E; Mas, V; Vázquez, M; Cano, O; Terrón, MC; Luque, D; Palomo, C; Melero, JA</t>
  </si>
  <si>
    <t xml:space="preserve">Rodriguez, Laura; Olmedillas, Eduardo; Mas, Vicente; Vazquez, Monica; Cano, Olga; Terron, Maria C.; Luque, Daniel; Palomo, Concepcion; Melero, Jose A.</t>
  </si>
  <si>
    <t xml:space="preserve">Generation of monoclonal antibodies specific of the postfusion conformation of the Pneumovirinae fusion (F) protein</t>
  </si>
  <si>
    <t xml:space="preserve">Fusion proteins; Pneumovirinae; Conformation specific antibodies</t>
  </si>
  <si>
    <t xml:space="preserve">RESPIRATORY SYNCYTIAL-VIRUS; CORONAVIRUS SPIKE PROTEIN; 2 DISTINCT SITES; STRUCTURAL BASIS; MEMBRANE-FUSION; NEUTRALIZING ANTIBODY; ENVELOPE GLYCOPROTEIN; INTERLEUKIN-4 IL-4; CORE STRUCTURE; RSV</t>
  </si>
  <si>
    <t xml:space="preserve">Paramyxovirus entry into cells requires fusion of the viral and cell membranes mediated by one of the major virus glycoproteins, the fusion (F) glycoprotein which transits from a metastable pre-fusion conformation to a highly stable post-fusion structure during the membrane fusion process. F protein refolding involves large conformational changes of the protein trimer. One of these changes results in assembly of two heptad repeat sequences (HRA and HRB) from each protomer into a six-helix bundle (6HB) motif. To assist in distinguishing pre- and post-fusion conformations of the Pneumovirinae F proteins, and as extension of previous work (Palomo et al., 2014), a general strategy was designed to obtain polyclonal and particularly monoclonal antibodies specific of the 6HB motif of the Pneumovirinae fusion protein. The antibodies reported here should assist in the characterization of the structural changes that the F protein of human metapneumovirus or respiratory syncytial virus experiences during the process of membrane fusion. (C) 2015 Elsevier B.V. All rights reserved.</t>
  </si>
  <si>
    <t xml:space="preserve">[Rodriguez, Laura; Olmedillas, Eduardo; Mas, Vicente; Vazquez, Monica; Cano, Olga; Palomo, Concepcion; Melero, Jose A.] Ctr Nacl Microbiol Virol &amp; Inmunol Sanitarias Maja, Unidad Biol Viral, Madrid 28220, Spain; [Rodriguez, Laura; Olmedillas, Eduardo; Mas, Vicente; Vazquez, Monica; Cano, Olga; Palomo, Concepcion; Melero, Jose A.] CIBER Enfermedades Resp, Madrid 28220, Spain; [Terron, Maria C.; Luque, Daniel] Inst Salud Carlos III, Unidad Microscopia Elect &amp; Confocal, Madrid 28220, Spain</t>
  </si>
  <si>
    <t xml:space="preserve">CIBER - Centro de Investigacion Biomedica en Red; CIBERES; Instituto de Salud Carlos III</t>
  </si>
  <si>
    <t xml:space="preserve">Palomo, C (corresponding author), Inst Salud Carlos III, Ctr Nacl Microbiol, Madrid 28220, Spain.</t>
  </si>
  <si>
    <t xml:space="preserve">cpalomo@isciii.es; jmelero@isciii.es</t>
  </si>
  <si>
    <t xml:space="preserve">Palomo, Concepcion/AAF-4788-2019; MC, Terron/AAC-8162-2020; Mas, Vicente/M-4776-2015; Luque, Daniel/I-6467-2015</t>
  </si>
  <si>
    <t xml:space="preserve">Olmedillas Cela, Eduardo/0000-0001-5250-0371; Palomo, Concepcion/0000-0003-4138-1930; VAZQUEZ, MONICA/0009-0009-0027-7855; CANO MORATO, OLGA/0000-0003-4281-7572; Mas, Vicente/0000-0002-0887-0743; Melero, Jose A./0000-0001-8148-6521; Luque, Daniel/0000-0002-0151-6020</t>
  </si>
  <si>
    <t xml:space="preserve">Plan Nacional I + D + I (MINECO) [SAF2012-31217]; MINECO [BFU2013-43149-R]; AES/FIS (ISCIII) [PI10/00895]</t>
  </si>
  <si>
    <t xml:space="preserve">Plan Nacional I + D + I (MINECO); MINECO(Spanish Government); AES/FIS (ISCIII)</t>
  </si>
  <si>
    <t xml:space="preserve">We would like to thank members of the Genomics and Animal House Core Facilities for technical help. This work was supported in part by grants SAF2012-31217 from Plan Nacional I + D + I (JAM, MINECO) and BFU2013-43149-R (DL, MINECO) and PI10/00895 from AES/FIS (DL, ISCIII).</t>
  </si>
  <si>
    <t xml:space="preserve">10.1016/j.jviromet.2015.08.002</t>
  </si>
  <si>
    <t xml:space="preserve">CS1YE</t>
  </si>
  <si>
    <t xml:space="preserve">WOS:000361864000001</t>
  </si>
  <si>
    <t xml:space="preserve">Montes, M; Vicente, D; Esnal, O; Cilla, G; Pérez-Trallero, E</t>
  </si>
  <si>
    <t xml:space="preserve">Montes, M.; Vicente, D.; Esnal, O.; Cilla, G.; Perez-Trallero, E.</t>
  </si>
  <si>
    <t xml:space="preserve">A PCR-restriction fragment length polymorphism assay to genotype human metapneumovirus</t>
  </si>
  <si>
    <t xml:space="preserve">fusion protein gene; genotypes; human metapneumovuris; identification; lineages; PCR-RFLP</t>
  </si>
  <si>
    <t xml:space="preserve">RESPIRATORY-TRACT DISEASE; GENETIC DIVERSITY; CHILDREN</t>
  </si>
  <si>
    <t xml:space="preserve">Human metapneumovirus (hMPV) genotypes A and B show epidemiological and probably clinical differences. This report describes a fast and simple PCR-restriction fragment length polymorphism (PCR-RFLP) assay, involving digestion of the fusion protein gene with Tsp509I, that allows lineages A1, A2, B1 and B2 to be distinguished. The assay should help in elucidating the epidemiology of hMPV, and possibly in predicting the severity of clinical infection.</t>
  </si>
  <si>
    <t xml:space="preserve">[Montes, M.; Vicente, D.; Esnal, O.; Cilla, G.; Perez-Trallero, E.] Univ Basque Country, Microbiol Serv, Hosp Donostia, San Sebastian 20014, Spain; [Perez-Trallero, E.] Univ Basque Country, Dept Med Prevent &amp; Salud Publ, San Sebastian, Spain; [Montes, M.; Vicente, D.; Perez-Trallero, E.] Univ Basque Country, CIBER Enfermedades Res, San Sebastian, Spain</t>
  </si>
  <si>
    <t xml:space="preserve">University of Basque Country; University Hospital Donostia; University of Basque Country; University of Basque Country</t>
  </si>
  <si>
    <t xml:space="preserve">Pérez-Trallero, E (corresponding author), Univ Basque Country, Microbiol Serv, Hosp Donostia, Paseo Dr Beguiristain S-N, San Sebastian 20014, Spain.</t>
  </si>
  <si>
    <t xml:space="preserve">Montes, Mario/B-2463-2013</t>
  </si>
  <si>
    <t xml:space="preserve">10.1111/j.1469-0691.2007.01875.x</t>
  </si>
  <si>
    <t xml:space="preserve">240BT</t>
  </si>
  <si>
    <t xml:space="preserve">WOS:000251562700017</t>
  </si>
  <si>
    <t xml:space="preserve">Winther, TN; Madsen, CD; Pedersen, AG; Von Linstow, ML; Eugen-Olsen, J; Hogh, B</t>
  </si>
  <si>
    <t xml:space="preserve">Limited inter- and intra-patient sequence diversity of the genetic lineage a human metapneumovirus fusion gene</t>
  </si>
  <si>
    <t xml:space="preserve">fusion gene; hMPV; phylogenetic analysis; sequencing</t>
  </si>
  <si>
    <t xml:space="preserve">RESPIRATORY-SYNCYTIAL-VIRUS; AMINO-ACID SITES; MODELS; PROTEIN; LIKELIHOOD; CHILDREN</t>
  </si>
  <si>
    <t xml:space="preserve">Human metapneumovirus (hMPV) is associated with respiratory tract illness especially in young children. Two hMPV genetic lineages, A and B, and four sublineages A1, A2 and B1, B2 have been defined. Infection with hMPV occurs through membrane fusion mediated by the hMPV fusion (F) protein. In this study, the inter- and intra-patient genetic diversity of the lineage A hMPV F gene was investigated. Ten isolates were collected from 10 hMPV infected children. Viral RNA was isolated and amplified, and approximately 10 clones from each isolate were sequenced. Altogether 108 clones were successfully sequenced. The average interpatient sequence diversity was 1.68% and 1.64% at nucleotide and amino acid levels, respectively. The samples were divisible into two groups on the basis of intrapatient sequence diversity. In group 1 (4 children) the intra-patient sequence diversity was low (nt: 0.26-0.39%, aa: 0.51-0.94%) whereas group 2 (6 children) had a higher intra-patient sequence diversity (nt: 0.85-1.98%, aa: 1.08-2.22%). Phylogenetic analyses showed that the group 1 children harboured sublineage A1 only, but interestingly group 2 children harboured both sublineages A1 and A2, indicating they had been infected with at least two viruses. Several independent viruses contained premature stop codons in exactly identical positions resulting in truncated fusion proteins. Possibly this is a mechanism for immune system evasion. The F protein is a major antigenic determinant, and the limited sequence diversity observed lay emphasis on the hMPV F gene as a putative target for future vaccine development.</t>
  </si>
  <si>
    <t xml:space="preserve">Univ Copenhagen, Hvidovre Hosp, Dept Paediat, DK-1168 Copenhagen, Denmark; Univ Copenhagen, Hvidovre Hosp, Clin Res Unit, DK-1168 Copenhagen, Denmark; Tech Univ Denmark, Ctr Biol Sequence Anal, DK-2800 Lyngby, Denmark; FIRC Inst Mol Oncol, IFOM, Milan, Italy</t>
  </si>
  <si>
    <t xml:space="preserve">University of Copenhagen; University of Copenhagen; Technical University of Denmark; IFOM - FIRC Institute of Molecular Oncology</t>
  </si>
  <si>
    <t xml:space="preserve">Univ Copenhagen, Hvidovre Hosp, Dept Paediat, DK-1168 Copenhagen, Denmark.</t>
  </si>
  <si>
    <t xml:space="preserve">birthe.hoegh@hh.hosp.dk</t>
  </si>
  <si>
    <t xml:space="preserve">von Linstow, Marie-Louise/0000-0002-9956-7941; Eugen-Olsen, Jesper/0000-0002-4630-4275; Pedersen, Anders Gorm/0000-0001-9650-8965; Madsen, Chris D/0000-0001-6838-2103</t>
  </si>
  <si>
    <t xml:space="preserve">10.1007/s11262-005-2204-0</t>
  </si>
  <si>
    <t xml:space="preserve">937ES</t>
  </si>
  <si>
    <t xml:space="preserve">WOS:000229908000011</t>
  </si>
  <si>
    <t xml:space="preserve">Naik, S; Vasileiou, S; Aguayo-Hiraldo, P; Mukhi, S; Sasa, G; Martinez, C; Krance, RA; Gottschalk, S; Leen, A</t>
  </si>
  <si>
    <t xml:space="preserve">Naik, Swati; Vasileiou, Spyridoula; Aguayo-Hiraldo, Paibel; Mukhi, Shivani; Sasa, Ghadir; Martinez, Caridad; Krance, Robert A.; Gottschalk, Stephen; Leen, Ann</t>
  </si>
  <si>
    <t xml:space="preserve">Toward Functional Immune Monitoring in Allogeneic Stem Cell Transplant Recipients</t>
  </si>
  <si>
    <t xml:space="preserve">Functional immune reconstitution; Viral infections</t>
  </si>
  <si>
    <t xml:space="preserve">T-CELLS; INFECTIOUS COMPLICATIONS; RECONSTITUTION; CYTOMEGALOVIRUS; RECOVERY; MORTALITY; CHILDREN; RISKS; COUNT; DONOR</t>
  </si>
  <si>
    <t xml:space="preserve">Serious viral infections, due to delayed immune reconstitution, are a leading cause of morbidity and mortality after allogeneic hematopoietic stem cell transplantation (HSCT). Thus, many transplant centers prospectively track cellular immune recovery by evaluating absolute cell numbers and the phenotypic profile of reconstituting T cell subsets to identify individuals who are at highest risk of infection. Conventional assessments, however, fail to measure either the antigen specificity or functional capacity of reconstituting cells-both factors that correlate with endogenous antiviral protection. In this pilot study, we sought to address this limitation by prospectively investigating the tempo of endogenous immune reconstitution in a cohort of 23 pediatric HSCT patients using both quantitative (flow cytometry) and qualitative (IFN gamma ELISpot) measures, which we correlated with either the presence or absence of infections associated with cytomegalovirus, adenovirus, Epstein-Barr virus, BK virus, human herpes virus 6, respiratory syncytial virus, parainfluenza, influenza, and human metapneumovirus. We present data spanning 12 months post-transplant demonstrating the influence of conditioning on immune recovery and highlighting the differential impact of active viral replication on the quantity and quality of reconstituting cells. Judicious use of standard (phenotypic) and novel (functional) monitoring strategies can help guide the clinical care and personalized management of allogenic HSCT recipients with infections. (C) 2020 American Society for Transplantation and Cellular Therapy. Published by Elsevier Inc.</t>
  </si>
  <si>
    <t xml:space="preserve">[Naik, Swati; Vasileiou, Spyridoula; Aguayo-Hiraldo, Paibel; Mukhi, Shivani; Sasa, Ghadir; Martinez, Caridad; Krance, Robert A.; Gottschalk, Stephen; Leen, Ann] Houston Methodist Hosp, Texas Childrens Hosp, Baylor Coll Med, Ctr Cell &amp; Gene Therapy, Houston, TX 77030 USA; [Naik, Swati; Vasileiou, Spyridoula; Aguayo-Hiraldo, Paibel; Mukhi, Shivani; Sasa, Ghadir; Martinez, Caridad; Krance, Robert A.; Gottschalk, Stephen; Leen, Ann] Texas Childrens Hosp, Baylor Coll Med, Texas Childrens Canc Ctr, Houston, TX 77030 USA; [Naik, Swati; Aguayo-Hiraldo, Paibel; Sasa, Ghadir; Martinez, Caridad; Krance, Robert A.; Gottschalk, Stephen; Leen, Ann] Baylor Coll Med, Dept Pediat &amp; Med, Houston, TX 77030 USA</t>
  </si>
  <si>
    <t xml:space="preserve">Houston Methodist; Baylor College of Medicine; Baylor College Medical Hospital; Baylor College of Medicine; Baylor College Medical Hospital; Texas Children's Cancer Center; Baylor College of Medicine</t>
  </si>
  <si>
    <t xml:space="preserve">Naik, S (corresponding author), Baylor Coll Med, Ctr Cell &amp; Gene Therapy, 1102 Bates St,Suite 1640-16, Houston, TX 77030 USA.</t>
  </si>
  <si>
    <t xml:space="preserve">swati.s.naik@gmail.com</t>
  </si>
  <si>
    <t xml:space="preserve">Gottschalk, Stephen/M-9343-2018</t>
  </si>
  <si>
    <t xml:space="preserve">Texas Children's Hospital Pediatric Pilot Award; Flow Cytometry and shared resources in the Dan L. Duncan Comprehensive Cancer Center [P30 CA125123]</t>
  </si>
  <si>
    <t xml:space="preserve">Texas Children's Hospital Pediatric Pilot Award; Flow Cytometry and shared resources in the Dan L. Duncan Comprehensive Cancer Center</t>
  </si>
  <si>
    <t xml:space="preserve">SN was funded by the Texas Children's Hospital Pediatric Pilot Award. This work was supported by the Flow Cytometry and shared resources in the Dan L. Duncan Comprehensive Cancer Center (support grant P30 CA125123).</t>
  </si>
  <si>
    <t xml:space="preserve">10.1016/j.bbmt.2020.01.005</t>
  </si>
  <si>
    <t xml:space="preserve">LK8GJ</t>
  </si>
  <si>
    <t xml:space="preserve">WOS:000531098000017</t>
  </si>
  <si>
    <t xml:space="preserve">Sá, LRM; DiLoreto, C; Leite, MCP; Wakamatsu, A; Santos, RTM; Catao-Dias, JL</t>
  </si>
  <si>
    <t xml:space="preserve">Oral focal epithelial hyperplasia in a howler monkey (Alouatta fusca)</t>
  </si>
  <si>
    <t xml:space="preserve">VETERINARY PATHOLOGY</t>
  </si>
  <si>
    <t xml:space="preserve">focal epithelial hyperplasia; howler monkeys; immunohistochemistry; in situ hybridization; Neotropical primates; oral cavity; papillomavirus</t>
  </si>
  <si>
    <t xml:space="preserve">HUMAN PAPILLOMAVIRUS TYPE-13; PYGMY CHIMPANZEE; EVOLUTION; SEQUENCES</t>
  </si>
  <si>
    <t xml:space="preserve">Oral focal epithelial hyperplasia is a rare and seldom reported disease in animals and humans induced by a papillomavirus. The present report is the first description of this disease in a Neotropical primate, a howler monkey (Alouatta fusca). The diagnosis was based on gross and microscopic findings. The generic papillomavirus antigen was identified by immunohistochemistry and was found not to be related to any human papillomavirus DNA tested by in situ hybridization. This virus is probably a specific papillomavirus of the howler monkey (HMPV).</t>
  </si>
  <si>
    <t xml:space="preserve">Fac Med Vet &amp; Zootecn, Dept Pathol, BR-05508 Sao Paulo, Brazil</t>
  </si>
  <si>
    <t xml:space="preserve">Sá, LRM (corresponding author), Fac Med Vet &amp; Zootecn, Dept Pathol, Av Prof Dr Orlando Marques Paiva 87, BR-05508 Sao Paulo, Brazil.</t>
  </si>
  <si>
    <t xml:space="preserve">Santos, Raimunda/H-5973-2012; Sá, Lilian/M-2071-2014; Catão-Dias, José Luiz/C-4897-2012</t>
  </si>
  <si>
    <t xml:space="preserve">AMER COLL VET PATHOLOGIST</t>
  </si>
  <si>
    <t xml:space="preserve">LAWRENCE</t>
  </si>
  <si>
    <t xml:space="preserve">810 EAST 10TH STREET, LAWRENCE, KS 66044 USA</t>
  </si>
  <si>
    <t xml:space="preserve">0300-9858</t>
  </si>
  <si>
    <t xml:space="preserve">VET PATHOL</t>
  </si>
  <si>
    <t xml:space="preserve">Vet. Pathol.</t>
  </si>
  <si>
    <t xml:space="preserve">10.1354/vp.37-5-492</t>
  </si>
  <si>
    <t xml:space="preserve">Pathology; Veterinary Sciences</t>
  </si>
  <si>
    <t xml:space="preserve">364BE</t>
  </si>
  <si>
    <t xml:space="preserve">WOS:000089871500021</t>
  </si>
  <si>
    <t xml:space="preserve">Chughtai, AA; Wang, Q; Dung, TC; Macintyre, CR</t>
  </si>
  <si>
    <t xml:space="preserve">Chughtai, A. A.; Wang, Q.; Dung, T. C.; Macintyre, C. R.</t>
  </si>
  <si>
    <t xml:space="preserve">The presence of fever in adults with influenza and other viral respiratory infections</t>
  </si>
  <si>
    <t xml:space="preserve">Fever; influenza-like illness; viral infection</t>
  </si>
  <si>
    <t xml:space="preserve">SYMPTOMS PREDICTING INFLUENZA; RANDOMIZED CLINICAL-TRIAL; HEALTH-CARE WORKERS; VIRUS-INFECTIONS; HOSPITALIZED-PATIENTS; SEASONAL INFLUENZA; CIGARETTE-SMOKING; N95 RESPIRATORS; MEDICAL MASKS; CHILDREN</t>
  </si>
  <si>
    <t xml:space="preserve">We compared the rates of fever in adult subjects with laboratory-confirmed influenza and other respiratory viruses and examined the factors that predict fever in adults. Symptom data on 158 healthcare workers (HCWs) with a laboratory-confirmed respiratory virus infection were collected using standardized data collection forms from three separate studies. Overall, the rate of fever in confirmed viral respiratory infections in adult HCWs was 234% (37/158). Rates varied by virus: human rhinovirus (253%, 19/75), influenza A virus (30%, 3/10), coronavirus (286%, 2/7), human metapneumovirus (286%, 2/7), respiratory syncytial virus (143%, 4/28) and parainfluenza virus (83%, 1/12). Smoking [relative risk (RR) 465, 95% confidence interval (CI) 133-1625] and co-infection with two or more viruses (RR 419, 95% CI 121-1452) were significant predictors of fever. Fever is less common in adults with confirmed viral respiratory infections, including influenza, than described in children. More than 75% of adults with a viral respiratory infection do not have fever, which is an important finding for clinical triage of adult patients with respiratory infections. The accepted definition of influenza-like illness' includes fever and may be insensitive for surveillance when high case-finding is required. A more sensitive case definition could be used to identify adult cases, particularly in event of an emerging viral infection.</t>
  </si>
  <si>
    <t xml:space="preserve">[Chughtai, A. A.; Macintyre, C. R.] Univ New South Wales, Sch Publ Hlth &amp; Community Med, UNSW Med, Level 2,Samuels Bldg, Sydney, NSW 2052, Australia; [Wang, Q.] Beijing Ctr Dis Prevent &amp; Control, Beijing, Peoples R China; [Dung, T. C.] NIHE, Hanoi, Vietnam; [Macintyre, C. R.] Arizona State Univ, Coll Publ Serv &amp; Community Solut, Phoenix, AZ USA</t>
  </si>
  <si>
    <t xml:space="preserve">University of New South Wales Sydney; National Institute of Hygiene &amp; Epidemiology (NIHE); Arizona State University; Arizona State University-Downtown Phoenix</t>
  </si>
  <si>
    <t xml:space="preserve">Chughtai, AA (corresponding author), Univ New South Wales, Sch Publ Hlth &amp; Community Med, UNSW Med, Level 2,Samuels Bldg, Sydney, NSW 2052, Australia.</t>
  </si>
  <si>
    <t xml:space="preserve">abrar.chughtai@unsw.edu.au</t>
  </si>
  <si>
    <t xml:space="preserve">MacIntyre, Chandini/D-4182-2011</t>
  </si>
  <si>
    <t xml:space="preserve">Tham, Dung/0000-0003-3524-944X; MacIntyre, C Raina/0000-0002-3060-0555</t>
  </si>
  <si>
    <t xml:space="preserve">Australian National Health &amp; Medical Research Council of Australia [630787]; Australian Research Council (ARC) [LP0990749]; Australian Research Council [LP0990749] Funding Source: Australian Research Council</t>
  </si>
  <si>
    <t xml:space="preserve">Australian National Health &amp; Medical Research Council of Australia; Australian Research Council (ARC)(Australian Research Council); Australian Research Council(Australian Research Council)</t>
  </si>
  <si>
    <t xml:space="preserve">The authors thank the staff at the Beijing Centre for Disease Control and National Institute of Hygiene and Epidemiology. Thanks are also due to the staff from the hospitals in China and Vietnam which participated. 3M helped in fit testing during the first RCT in China, no financial support was provided. The second RCT in China was funded through the Australian National Health &amp; Medical Research Council of Australia (grant no. 630787). Funding to conduct the Vietnam trial study was received from the Australian Research Council (ARC) (grant no. LP0990749).</t>
  </si>
  <si>
    <t xml:space="preserve">10.1017/S0950268816002181</t>
  </si>
  <si>
    <t xml:space="preserve">EF1RD</t>
  </si>
  <si>
    <t xml:space="preserve">WOS:000390101500017</t>
  </si>
  <si>
    <t xml:space="preserve">Sun, BH; Qiu, YZ; Wang, LL; Sun, HB; Wang, ZQ; Mao, LL; Wu, W</t>
  </si>
  <si>
    <t xml:space="preserve">Sun, Baihong; Qiu, Yuzhu; Wang, Lulu; Sun, Haibo; Wang, Zhiqian; Mao, Lingling; Wu, Wei</t>
  </si>
  <si>
    <t xml:space="preserve">Viral etiology of febrile respiratory syndrome among patients in Liaoning Province, China</t>
  </si>
  <si>
    <t xml:space="preserve">Febrile respiratory syndrome; Respiratory viruses; Detection rate; Epidemiology; Coinfections; Seasonal variation</t>
  </si>
  <si>
    <t xml:space="preserve">SYNCYTIAL VIRUS; CLINICAL CHARACTERISTICS; DISEASE SEVERITY; TRACT INFECTIONS; HUMAN BOCAVIRUS; CHILDREN; EPIDEMIOLOGY; PREVALENCE; INFANTS</t>
  </si>
  <si>
    <t xml:space="preserve">BackgroundFebrile respiratory syndrome (FRS) is often associated with viral infections. The aim of this study was to identify the viral pathogens responsible for FRS in Liaoning Province, China.MethodsWe tested eight respiratory viruses, namely, influenza virus (IFV), rhinovirus (RV), human adenovirus (HAdV), human bocavirus (HBoV), human parainfluenza virus (HPIV), human coronavirus (HCoV), respiratory syncytial virus (RSV), and human metapneumovirus (HMPV), using reverse transcription-polymerase chain reaction (RT-PCR). Statistical analyses were performed using SPSS version 25.0, and the data were plotted using RStudio 4.2.1 software.ResultsIFV was the most frequently identified pathogen, followed by RV, HAdV, HBoV, HPIV, HCoV, RSV, and HMPV. RSV/HBoV coinfection occurred most frequently among the mixed cases. The rate of respiratory virus detection was highest in children under one year of age and decreased significantly with age. Seasonal trends showed a peak in virus detection during the winter months.ConclusionsIFV is the leading cause of FRS in Liaoning Province, China, with single-virus infections prevailing over coinfections. Observations indicate a differential virus detection rate across age groups and seasons, highlighting the need for focused preventive strategies to mitigate the transmission of respiratory viruses, particularly among susceptible populations in the colder season.</t>
  </si>
  <si>
    <t xml:space="preserve">[Sun, Baihong; Wang, Lulu; Sun, Haibo; Mao, Lingling] Liaoning Prov Ctr Dis Control &amp; Prevent, Shenyang, Liaoning, Peoples R China; [Qiu, Yuzhu; Wu, Wei] China Med Univ, Sch Publ Hlth, Dept Epidemiol, Shenyang, Liaoning, Peoples R China; [Wang, Zhiqian] China Med Univ, Sch Publ Hlth, Res Ctr Universal Hlth, Shenyang, Liaoning, Peoples R China</t>
  </si>
  <si>
    <t xml:space="preserve">China Medical University; China Medical University</t>
  </si>
  <si>
    <t xml:space="preserve">Mao, LL (corresponding author), Liaoning Prov Ctr Dis Control &amp; Prevent, Shenyang, Liaoning, Peoples R China.;Wu, W (corresponding author), China Med Univ, Sch Publ Hlth, Dept Epidemiol, Shenyang, Liaoning, Peoples R China.</t>
  </si>
  <si>
    <t xml:space="preserve">maolinglinglncdc@126.com; wuwei@cmu.edu.cn</t>
  </si>
  <si>
    <t xml:space="preserve">Major National Science and Technology Projects</t>
  </si>
  <si>
    <t xml:space="preserve">We are very grateful to all staff at Liaoning Provincial Centers for Disease Control and Prevention for providing the data and all medical staff members and field workers who are working on the frontline of caring for patients and collecting the data.</t>
  </si>
  <si>
    <t xml:space="preserve">10.1186/s12879-024-09956-z</t>
  </si>
  <si>
    <t xml:space="preserve">H7A5G</t>
  </si>
  <si>
    <t xml:space="preserve">WOS:001324931400022</t>
  </si>
  <si>
    <t xml:space="preserve">Keum, HR; Lee, SJ; Kim, JM; Kim, SW; Baek, HS; Byun, JC; Kim, YK; Kim, S; Lee, JM</t>
  </si>
  <si>
    <t xml:space="preserve">Keum, Ha Rim; Lee, Seon Jin; Kim, Jeong Min; Kim, Sang Won; Baek, Hee Sun; Byun, Jun Chul; Kim, Yu Kyung; Kim, Saeyoon; Lee, Jae Min</t>
  </si>
  <si>
    <t xml:space="preserve">Seasonal Trend of Viral Prevalence and Incidence of Febrile Convulsion: A Korea Public Health Data Analysis</t>
  </si>
  <si>
    <t xml:space="preserve">febrile convulsion; virus; children</t>
  </si>
  <si>
    <t xml:space="preserve">RISK-FACTORS; SEIZURES; CHILDREN</t>
  </si>
  <si>
    <t xml:space="preserve">Febrile convulsion (FC) is the most common seizure disease in children, which occurs with a fever. We investigated the Korean Health Insurance Review and Assessment Service data of patients aged between 6 months and 5 years at the time of FC diagnosis. Diseases that can cause seizures with fever, such as neoplasms, metabolic disorders, nervous system disorders, cerebrovascular diseases, perinatal problems, and congenital abnormalities, were excluded. Weekly virus-positive detection rate (PDR) data were obtained from the Korea Disease Control and Prevention Agency for adenovirus, parainfluenza virus, respiratory syncytial virus (HRSV), influenza virus, coronavirus (HCoV), rhinovirus (HRV), bocavirus, metapneumovirus (HMPV), rotavirus, norovirus, and astrovirus. Using the Granger test, we then analyzed the monthly PDR and investigated the association between FC incidence and monthly PDR. We additionally identified monthly and seasonal FC incidence trends using the autoregressive integrated moving average. Between 2015 and 2019, 64,291 patients were diagnosed with FC. Annually, the incidence was the highest in May and the lowest in October. Most patients were diagnosed during the spring (26.7%). The PDRs for HRSV, HCoV, HRV, HMPV, and norovirus were associated with FC incidence after 1 month.</t>
  </si>
  <si>
    <t xml:space="preserve">[Keum, Ha Rim; Lee, Seon Jin; Kim, Jeong Min] Yeungnam Univ, Coll Med, Dept Med, Daegu 42415, South Korea; [Kim, Sang Won] Yeungnam Univ, Coll Med, Med Res Ctr, Daegu 42415, South Korea; [Baek, Hee Sun; Kim, Saeyoon; Lee, Jae Min] Yeungnam Univ, Coll Med, Dept Pediat, Daegu 42415, South Korea; [Byun, Jun Chul] Keimyung Univ, Sch Med, Dept Pediat, Daegu 42601, South Korea; [Kim, Yu Kyung] Kyungpook Natl Univ, Sch Med, Dept Clin Pathol, Daegu 41944, South Korea</t>
  </si>
  <si>
    <t xml:space="preserve">Yeungnam University; Yeungnam University; Yeungnam University; Keimyung University; Kyungpook National University (KNU)</t>
  </si>
  <si>
    <t xml:space="preserve">Lee, JM (corresponding author), Yeungnam Univ, Coll Med, Dept Pediat, Daegu 42415, South Korea.</t>
  </si>
  <si>
    <t xml:space="preserve">dekhr0810@daum.net; leejjin7226@naver.com; aq9497@naver.com; kimsw3767@ynu.ac.kr; whiteheesun@gmail.com; junchul1999@hanmail.net; kimyg@knu.ac.kr; sysnow88@hanmail.net; mopic@yu.ac.kr</t>
  </si>
  <si>
    <t xml:space="preserve">; Lee, Jae Min/H-8475-2013</t>
  </si>
  <si>
    <t xml:space="preserve">Byun, Jun chul/0000-0001-5600-6282; Kim, Sang Won/0000-0003-2648-0340; Lee, Jae Min/0000-0001-6822-1051</t>
  </si>
  <si>
    <t xml:space="preserve">[221A480001]</t>
  </si>
  <si>
    <t xml:space="preserve">This work was supported by the 2021 Yeungnam University Research Grant (221A480001).</t>
  </si>
  <si>
    <t xml:space="preserve">10.3390/children10030529</t>
  </si>
  <si>
    <t xml:space="preserve">A6UK5</t>
  </si>
  <si>
    <t xml:space="preserve">WOS:000956451300001</t>
  </si>
  <si>
    <t xml:space="preserve">Suntarattiwong, P; Mott, JA; Mohanty, S; Sinthuwattanawibool, C; Srisantiroj, N; Ayudhaya, OPN; Klungthong, C; Fernandez, S; Kim, L; Hunt, D; Hombroek, D; Brummer, T; Chotpitayasunondh, T; Dawood, FS; Kittikraisak, W</t>
  </si>
  <si>
    <t xml:space="preserve">Suntarattiwong, Piyarat; Mott, Joshua A.; Mohanty, Sarita; Sinthuwattanawibool, Chalinthorn; Srisantiroj, Nattinee; Ayudhaya, Orada Patamasingh Na; Klungthong, Chonticha; Fernandez, Stefan; Kim, Lindsay; Hunt, Danielle; Hombroek, Danielle; Brummer, Tana; Chotpitayasunondh, Tawee; Dawood, Fatimah S.; Kittikraisak, Wanitchaya</t>
  </si>
  <si>
    <t xml:space="preserve">PRIME Study Grp</t>
  </si>
  <si>
    <t xml:space="preserve">Feasibility and Performance of Self-Collected Nasal Swabs for Detection of Influenza Virus, Respiratory Syncytial Virus, and Human Metapneumovirus</t>
  </si>
  <si>
    <t xml:space="preserve">feasibility; performance; self-collection; nasal swab; influenza; RSV; hMPV; pregnant woman; Thailand</t>
  </si>
  <si>
    <t xml:space="preserve">INFECTION; CHILDREN; TOOL</t>
  </si>
  <si>
    <t xml:space="preserve">Background. We assessed performance of participant-collected midturbinate nasal swabs compared to study staff-collected midturbinate nasal swabs for the detection of respiratory viruses among pregnant women in Bangkok, Thailand. Methods. We enrolled pregnant women aged &gt;= 18 years and followed them throughout the 2018 influenza season. Women with acute respiratory illness self-collected midturbinate nasal swabs at home for influenza viruses, respiratory syncytial viruses (RSV), and human metapneumoviruses (hMPV) real-time RT-PCR testing and the study nurse collected a second midturbinate nasal swab during home visits. Paired specimens were processed and tested on the same day. Results. The majority (109,60%) of 182 participants were 20-30 years old. All 200 paired swabs had optimal specimen quality. The median time from symptom onsets to participant-collected swabs was 2 days and to staff-collected swabs was also 2 days. The median time interval between the 2 swabs was 2 hours. Compared to staff-collected swabs, the participant-collected swabs were 93% sensitive and 99% specific for influenza virus detection, 94% sensitive and 99% specific for RSV detection, and 100% sensitive and 100% specific for hMPV detection. Conclusions. Participant-collected midturbinate nasal swabs were a valid alternative approach for laboratory confirmation of influenza-, RSV-, and hMPV-associated illnesses among pregnant women in a community setting.</t>
  </si>
  <si>
    <t xml:space="preserve">[Suntarattiwong, Piyarat; Chotpitayasunondh, Tawee] Queen Sirikit Natl Inst Child Hlth, Bangkok, Thailand; [Mott, Joshua A.; Sinthuwattanawibool, Chalinthorn; Kittikraisak, Wanitchaya] Thailand Minist Publ Hlth US Ctr Dis Control &amp; Pr, Influenza Program, Nonthaburi, Thailand; [Mott, Joshua A.; Mohanty, Sarita; Dawood, Fatimah S.] US Ctr Dis Control &amp; Prevent, Influenza Div, Atlanta, GA USA; [Srisantiroj, Nattinee] Rajavithi Hosp, Bangkok, Thailand; [Ayudhaya, Orada Patamasingh Na] Nopparat Rajathanee Hosp, Bangkok, Thailand; [Klungthong, Chonticha; Fernandez, Stefan] Armed Forces Res Inst Med Sci, Dept Virol, Bangkok, Thailand; [Kim, Lindsay] US Ctr Dis Control &amp; Prevent, Div Viral Dis, Atlanta, GA USA; [Hunt, Danielle; Hombroek, Danielle; Brummer, Tana] Abt Associates Inc, Atlanta, GA USA</t>
  </si>
  <si>
    <t xml:space="preserve">Ministry of Public Health - Thailand; Centers for Disease Control &amp; Prevention - USA; Rajavithi Hospital; Walter Reed Army Institute of Research (WRAIR); Armed Forces Research Institute of Medical Science (AFRIMS); United States Department of Defense; United States Army; Centers for Disease Control &amp; Prevention - USA; ABT Associates</t>
  </si>
  <si>
    <t xml:space="preserve">Kittikraisak, W (corresponding author), Minist Publ Hlth, Thailand MOPH US CDC Collaborat, DDC Bldg 7,Tiwanon Rd, Nonthaburi 11000, Thailand.</t>
  </si>
  <si>
    <t xml:space="preserve">glr9@cdc.gov</t>
  </si>
  <si>
    <t xml:space="preserve">US Centers for Disease Control and Prevention (Thailand Ministry of Public Health) [1U01GH002084]</t>
  </si>
  <si>
    <t xml:space="preserve">US Centers for Disease Control and Prevention (Thailand Ministry of Public Health)</t>
  </si>
  <si>
    <t xml:space="preserve">This work was supported by the US Centers for Disease Control and Prevention (cooperative agreement number 1U01GH002084 with Thailand Ministry of Public Health).</t>
  </si>
  <si>
    <t xml:space="preserve">10.1093/infdis/jiab023</t>
  </si>
  <si>
    <t xml:space="preserve">WC0DI</t>
  </si>
  <si>
    <t xml:space="preserve">WOS:000703933800014</t>
  </si>
  <si>
    <t xml:space="preserve">Shirai, T; Sada, M; Saraya, T; Kurai, D; Sunagawa, S; Ishii, H; Kimura, H</t>
  </si>
  <si>
    <t xml:space="preserve">Shirai, Tatsuya; Sada, Mitsuru; Saraya, Takeshi; Kurai, Daisuke; Sunagawa, Soyoka; Ishii, Haruyuki; Kimura, Hirokazu</t>
  </si>
  <si>
    <t xml:space="preserve">Detailed Analyses of Molecular Interactions between Favipiravir and RNA Viruses In Silico</t>
  </si>
  <si>
    <t xml:space="preserve">favipiravir; human metapneumovirus; respiratory syncytial virus; mumps virus; measles virus; influenza virus; docking simulation</t>
  </si>
  <si>
    <t xml:space="preserve">MUTATIONAL ANALYSIS; POLYMERASE COMPLEX; T-705 FAVIPIRAVIR; L-PROTEIN; DOCKING; VITRO; PREDICTION; ACCURACY; UPDATE; MODEL</t>
  </si>
  <si>
    <t xml:space="preserve">There are currently no antiviral agents for human metapneumovirus (HMPV), respiratory syncytial virus (RSV), mumps virus (MuV), or measles virus (MeV). Favipiravir has been developed as an anti-influenza agent, and this agent may be effective against these viruses in vitro. However, the molecular mechanisms through which the agent affects virus replication remain to be fully elucidated. Thus, to clarify the detailed molecular interactions between favipiravir and the RNA-dependent RNA polymerase (RdRp) of HMPV, RSV, MuV, MeV, and influenza virus, we performed in silico studies using authentic bioinformatics technologies. As a result, we found that the active form of favipiravir (favipiravir ribofuranosyl-5 '-triphosphate [F-RTP]) can bind to the RdRp active sites of HMPV, RSV, MuV, and MeV. The aspartic acid residue of RdRp active sites was involved in the interaction. Moreover, F-RTP was incorporated into the growing viral RNA chain in the presence of nucleotide triphosphate and magnesium ions. The results suggested that favipiravir shows two distinct mechanisms in various viruses: RdRp active site inhibition and/or genome replication inhibition.</t>
  </si>
  <si>
    <t xml:space="preserve">[Shirai, Tatsuya; Saraya, Takeshi; Kurai, Daisuke; Ishii, Haruyuki] Kyorin Univ, Sch Med, Dept Resp Med, Mitaka, Tokyo 1818611, Japan; [Sada, Mitsuru; Sunagawa, Soyoka; Kimura, Hirokazu] Gunma Paz Univ, Grad Sch, Dept Hlth Sci, Takasaki, Gumma 3700006, Japan</t>
  </si>
  <si>
    <t xml:space="preserve">Kyorin University</t>
  </si>
  <si>
    <t xml:space="preserve">Kimura, H (corresponding author), Gunma Paz Univ, Grad Sch, Dept Hlth Sci, Takasaki, Gumma 3700006, Japan.</t>
  </si>
  <si>
    <t xml:space="preserve">dw57td@bma.biglobe.ne.jp; sada@paz.ac.jp; saraya@ks.kyorin-u.ac.jp; kuraida@aol.com; s.sunagawa220@gmail.com; h141@ks.kyorin-u.ac.jp; h-kimura@paz.ac.jp</t>
  </si>
  <si>
    <t xml:space="preserve">SARAYA, TAKESHI/IUP-1141-2023</t>
  </si>
  <si>
    <t xml:space="preserve">Saraya, Takeshi/0000-0003-0502-8128; Kurai, Daisuke/0000-0001-9492-8798</t>
  </si>
  <si>
    <t xml:space="preserve">10.3390/v14020338</t>
  </si>
  <si>
    <t xml:space="preserve">ZJ4TD</t>
  </si>
  <si>
    <t xml:space="preserve">WOS:000762297500001</t>
  </si>
  <si>
    <t xml:space="preserve">Hoellein, A; Hecker, J; Hoffmann, D; Göttle, F; Protzer, U; Peschel, C; Götze, K</t>
  </si>
  <si>
    <t xml:space="preserve">Hoellein, Alexander; Hecker, Judith; Hoffmann, Dieter; Goettle, Franziska; Protzer, Ulrike; Peschel, Christian; Goetze, Katharina</t>
  </si>
  <si>
    <t xml:space="preserve">Serious outbreak of human metapneumovirus in patients with hematologic malignancies</t>
  </si>
  <si>
    <t xml:space="preserve">fatal; Human metapneumovirus; AML; hematologic patients</t>
  </si>
  <si>
    <t xml:space="preserve">RESPIRATORY-TRACT INFECTIONS; YOUNG-CHILDREN; PREVENTION; PNEUMONIA; VIRUSES; ADULTS</t>
  </si>
  <si>
    <t xml:space="preserve">Human metapneumovirus (hMPV) is an important cause of lower respiratory tract infection. In healthy subjects infections are usually mild and rarely necessitate hospitalization. However, more serious outcomes have been described for allogeneic stem cell transplant recipients. This study reports an outbreak of hMPV A2 infection in severely immunocompromised adult hematologic cancer patients in a tertiary care unit. HMPV RNA was detected in bronchoalveolar lavage or produced sputum from patients presenting with typical clinical features. A total of 15 patients were diagnosed in a period of 7 weeks. Molecular subtyping revealed infection with genotype A2a virus, implicating nosocomial transmission. Eleven patients (73%) were treated with intravenous immunoglobulins and ribavirin. Ten patients (65%) presented with severe dyspnea, five (33%) required mechanical ventilation. Four patients (26.6%) died from hMPV-associated pneumonia and consequent multi-organ failure. Thus, hMPV is a critical pathogen for patients with hematologic cancers warranting early detection.</t>
  </si>
  <si>
    <t xml:space="preserve">[Hoellein, Alexander; Hecker, Judith; Peschel, Christian; Goetze, Katharina] Tech Univ Munich, Dept Med 2, D-80290 Munich, Germany; [Hoffmann, Dieter; Protzer, Ulrike] Tech Univ Munich, Dept Virol, D-80290 Munich, Germany; [Hoffmann, Dieter; Protzer, Ulrike] Helmholtz Zentrum, Munich, Germany; [Goettle, Franziska] Univ Klinikum Regensburg, Dept Pediat, Regensburg, Germany</t>
  </si>
  <si>
    <t xml:space="preserve">Technical University of Munich; Technical University of Munich; Helmholtz Association; University of Regensburg</t>
  </si>
  <si>
    <t xml:space="preserve">Götze, K (corresponding author), Ismaninger Str 22, D-81675 Munich, Germany.</t>
  </si>
  <si>
    <t xml:space="preserve">k.goetze@lrz.tum.de</t>
  </si>
  <si>
    <t xml:space="preserve">Protzer, Ulrike/D-5915-2015</t>
  </si>
  <si>
    <t xml:space="preserve">Protzer, Ulrike/0000-0002-9421-1911; Hollein, Alexander/0000-0002-9799-7809</t>
  </si>
  <si>
    <t xml:space="preserve">1029-2403</t>
  </si>
  <si>
    <t xml:space="preserve">MAR 3</t>
  </si>
  <si>
    <t xml:space="preserve">10.3109/10428194.2015.1067699</t>
  </si>
  <si>
    <t xml:space="preserve">DH0UO</t>
  </si>
  <si>
    <t xml:space="preserve">WOS:000372499800019</t>
  </si>
  <si>
    <t xml:space="preserve">Horikoshi, Y; Okazaki, K; Miyokawa, S; Kinoshita, K; Higuchi, H; Suwa, J; Aizawa, Y; Fukuoka, K</t>
  </si>
  <si>
    <t xml:space="preserve">Horikoshi, Yuho; Okazaki, Kaoru; Miyokawa, Shigeko; Kinoshita, Kazue; Higuchi, Hiroshi; Suwa, Junichi; Aizawa, Yuta; Fukuoka, Kahoru</t>
  </si>
  <si>
    <t xml:space="preserve">Sibling visits and viral infection in the neonatal intensive care unit</t>
  </si>
  <si>
    <t xml:space="preserve">family-centered care; neonatal intensive care unit; nosocomial infection; sibling visitation; viral infection</t>
  </si>
  <si>
    <t xml:space="preserve">OUTBREAKS</t>
  </si>
  <si>
    <t xml:space="preserve">BackgroundSibling visits to the neonatal intensive care unit (NICU) are a part of family-centered care, which is now being increasingly endorsed as a positive development in patient care. Sibling visits, however, pose a risk of viral infection, and hence many NICU in Japan impose strict limits on the practice. The aim of this study was therefore to assess whether sibling visits to the NICU are related to an increase in the nosocomial viral infection rate. MethodsThis retrospective study was conducted between April 2012 and March 2017 at Tokyo Metropolitan Children's Medical Center in Japan. Sibling visits were implemented after screening for symptoms of viral illness. Symptomatic patients in the NICU were tested for common viruses on rapid antigen test and polymerase chain reaction. The number of sibling visits and the rate of nosocomial viral infections were examined on Spearman's correlation test. ResultsThe total number of sibling visits and rate of nosocomial viral infection in the NICU was 102 and 0.068 per 1,000 patient-days during the study period, respectively. The number of enterovirus, respiratory syncytial virus, human metapneumovirus, influenza virus A, and Herpes simplex virus infections was 3, 2, 1, 1, 1, and 1, respectively. No infections were identified after sibling visits. The number of sibling visits and the rate of nosocomial viral infections were not correlated (correlation coefficient, -0.1; P = 0.873). ConclusionSibling visits to the NICU did not result in an increase in the nosocomial viral infection rate.</t>
  </si>
  <si>
    <t xml:space="preserve">[Horikoshi, Yuho; Aizawa, Yuta; Fukuoka, Kahoru] Tokyo Metropolitan Childrens Med Ctr, Dept Pediat, Div Infect Dis, Fuchu, Tokyo, Japan; [Okazaki, Kaoru] Tokyo Metropolitan Childrens Med Ctr, Div Neonatol, Fuchu, Tokyo, Japan; [Miyokawa, Shigeko] Tokyo Metropolitan Childrens Med Ctr, Dept Nursing, Fuchu, Tokyo, Japan; [Kinoshita, Kazue] Tokyo Metropolitan Childrens Med Ctr, Div Mol Lab, Fuchu, Tokyo, Japan; [Higuchi, Hiroshi] Tokyo Metropolitan Childrens Med Ctr, Div Microbiol, Dept Lab, Fuchu, Tokyo, Japan; [Suwa, Junichi] Tokyo Metropolitan Childrens Med Ctr, Dept Pharm, Fuchu, Tokyo, Japan</t>
  </si>
  <si>
    <t xml:space="preserve">Tokyo Metropolitan Children's Medical Center; Tokyo Metropolitan Children's Medical Center; Tokyo Metropolitan Children's Medical Center; Tokyo Metropolitan Children's Medical Center; Tokyo Metropolitan Children's Medical Center; Tokyo Metropolitan Children's Medical Center</t>
  </si>
  <si>
    <t xml:space="preserve">Horikoshi, Y (corresponding author), Tokyo Metropolitan Childrens Med Ctr, 2-8-29 Musashidai, Fuchu, Tokyo 1838561, Japan.</t>
  </si>
  <si>
    <t xml:space="preserve">yuho_horikoshi@tmhp.jp</t>
  </si>
  <si>
    <t xml:space="preserve">Okazaki, Kaoru/R-4383-2019; Horikoshi, Yuho/H-7092-2019; Fukuoka-Araki, Kahoru/AAG-1568-2019; Aizawa, Yuta/AAD-2310-2022</t>
  </si>
  <si>
    <t xml:space="preserve">Horikoshi, Yuho/0000-0001-5875-1024; Okazaki, Kaoru/0000-0001-7002-468X</t>
  </si>
  <si>
    <t xml:space="preserve">10.1111/ped.13470</t>
  </si>
  <si>
    <t xml:space="preserve">FX4VN</t>
  </si>
  <si>
    <t xml:space="preserve">WOS:000426076600009</t>
  </si>
  <si>
    <t xml:space="preserve">Abdulqader, NK; Thwiny, HT; Manthar, AA</t>
  </si>
  <si>
    <t xml:space="preserve">Abdulqader, Noora Khudhur; Thwiny, Hazim Talib; Manthar, Aida A.</t>
  </si>
  <si>
    <t xml:space="preserve">Molecular study of human metapneumovirus among children under 5 years with acute respiratory tract infection in Basrah city, Iraq</t>
  </si>
  <si>
    <t xml:space="preserve">JOURNAL OF POPULATION THERAPEUTICS AND CLINICAL PHARMACOLOGY</t>
  </si>
  <si>
    <t xml:space="preserve">Factors; Infections; Work; Results</t>
  </si>
  <si>
    <t xml:space="preserve">CLINICAL SYMPTOMS; PREVALENCE; INFANTS</t>
  </si>
  <si>
    <t xml:space="preserve">Human metapneumovirus (hMPV) is a major global factors that contributes to children getting acute respiratory tract infections (ARTI). This virus is frequently present in paediatric patients, with children under the age of two being particularly vulnerable. However, they are very common from early childhood until age five. Two hundred oropharyngeal swabs were collected from children with respiratory tract infections (RTIs), between December 2020 to December 2021 and were tested for hMPV. The database registered in the work included the sex, age, the season in which the specimen was obtained, feeding style, and the mother's education of infected children as well as major clinical respiratory tract infection symptoms. A molecular method was used to identify the presence of hMPV, and the results showed that 13% of the 200 samples tested positive for the virus. The samples were further broken down based on age groups, sex, season, feeding style, and mothers' education. According to age, the infection rate was noticed high in the age group (2-24 months) which was (13.7%) compared with (25-60 months) age group (12.4%) and there is no significant difference. The results were also shown according to the sex distribution, the infection with hMPV was more in males (14.8%) rather than females (9.7%). But this difference was not significant (P &gt; 0.05). The majority of cases of hMPV occur in the winter and spring with a rate (15.8%), followed by (11.1%) in autumn. While 0 (0%) in summer. There was no noticeable difference (P &gt; 0.05). The majority of hMPV infections have been identified with a rate (18.2%) in mixed feeding, followed by (13.0%) in bottle feeding and (10%) in breastfeeding. There was no significant difference (P &gt; 0.05). while the distribution of infection hMPV against mother's education was as follows: 13.2% in 7-12 years and 12.9% in &lt;= 6 years and 12.8% in &gt;= 13 years.</t>
  </si>
  <si>
    <t xml:space="preserve">[Abdulqader, Noora Khudhur] Univ Basrah, Coll Sci, Dept Biol, Basrah, Iraq; [Thwiny, Hazim Talib] Univ Basrah, Al Zahraa Coll Med, Basrah, Iraq; [Manthar, Aida A.] Univ Basrah, Coll Med, Basrah, Iraq</t>
  </si>
  <si>
    <t xml:space="preserve">University of Basrah; University of Basrah; University of Basrah</t>
  </si>
  <si>
    <t xml:space="preserve">Thwiny, HT (corresponding author), Univ Basrah, Al Zahraa Coll Med, Basrah, Iraq.</t>
  </si>
  <si>
    <t xml:space="preserve">hazim.thwiny@uobasrah.edu.iq</t>
  </si>
  <si>
    <t xml:space="preserve">thwiny, hazim/ITT-2250-2023</t>
  </si>
  <si>
    <t xml:space="preserve">thwiny, hazim/0000-0002-0047-0331</t>
  </si>
  <si>
    <t xml:space="preserve">RESEARCHTRENTZ ACAD PUBL EDUCATION SERVICES</t>
  </si>
  <si>
    <t xml:space="preserve">Somerville</t>
  </si>
  <si>
    <t xml:space="preserve">240 Elm Street, 2nd &amp; 3rd Floors, Somerville, MA, UNITED STATES</t>
  </si>
  <si>
    <t xml:space="preserve">1710-6222</t>
  </si>
  <si>
    <t xml:space="preserve">J POPUL THER CLIN PH</t>
  </si>
  <si>
    <t xml:space="preserve">J. Popul. Ther. Clin. Pharmacol.</t>
  </si>
  <si>
    <t xml:space="preserve">E283</t>
  </si>
  <si>
    <t xml:space="preserve">E289</t>
  </si>
  <si>
    <t xml:space="preserve">10.47750/jptcp.2023.30.04.027</t>
  </si>
  <si>
    <t xml:space="preserve">C2EW8</t>
  </si>
  <si>
    <t xml:space="preserve">WOS:000960121900027</t>
  </si>
  <si>
    <t xml:space="preserve">Kan-o, K; Washio, Y; Fujimoto, T; Shiroyama, N; Nakano, T; Wakamatsu, K; Takata, S; Yoshida, M; Fujita, M; Matsumoto, K</t>
  </si>
  <si>
    <t xml:space="preserve">Kan-o, Keiko; Washio, Yasuyoshi; Fujimoto, Tsuguto; Shiroyama, Natsuko; Nakano, Takako; Wakamatsu, Kentaro; Takata, Shohei; Yoshida, Makoto; Fujita, Masaki; Matsumoto, Koichiro</t>
  </si>
  <si>
    <t xml:space="preserve">Differences in the spectrum of respiratory viruses and detection of human rhinovirus C in exacerbations of adult asthma and chronic obstructive pulmonary disease</t>
  </si>
  <si>
    <t xml:space="preserve">Exacerbation; Virus; Asthma; Chronic obstructive pulmonary disease; Human rhinovirus</t>
  </si>
  <si>
    <t xml:space="preserve">QUALITY-OF-LIFE; VIRAL-INFECTION; ASSOCIATION; DIAGNOSIS; ILLNESS</t>
  </si>
  <si>
    <t xml:space="preserve">Background: Viral respiratory infections are a common cause of acute exacerbations of chronic obstructive pulmonary disease (AECOPD) and asthma. We conducted a multicenter prospective study to determine the differences in the spectrum of viruses between adults with asthma exacerbations and AECOPD and assessed the prevalence and impact of human rhinovirus (HRV)-C in adults, which is more pathogenic in children with asthma than other HRV species. Methods: Nasopharyngeal and serum samples and clinical information were collected from 64 outpatients with adult asthma exacerbations and 44 outpatients with AECOPD between April 2018 and March 2020. Viral pathogens and HRV strains were identified from nasal samples by multiplex PCR and VP4/VP2 nested PCR. Results: Viral pathogens were identified in 31 patients with asthma exacerbations (48.4%) and 17 patients with AECOPD (38.6%). The most commonly detected viruses were HRV/enterovirus followed by human metapneumovirus (hMPV) in patients with asthma exacerbations, and hMPV followed by parainfluenza virus in patients with AECOPD. HRV-C was the HRV species most commonly associated with both asthma exacerbations and AECOPD. Clinical characteristics, baseline lung function, serum inflammatory chemokines, hospitalization, and systemic steroid use did not differ between HRV-C-positive patients and those positive for other HRV species. Conclusions: Exacerbation-associated spectrum of viruses differed between adults with asthma exacerbations and AECOPD. HRV-C was the HRV species most often observed in adult asthma exacerbations and AECOPD, although it did not worsen patients' clinical outcomes relative to those of patients with other HRVs. Underlying disease-specific factors may be responsible for susceptibility to respiratory viruses. (C) 2021 The Authors Published by Elsevier B.V. on behalf of The Japanese Respiratory Society.</t>
  </si>
  <si>
    <t xml:space="preserve">[Kan-o, Keiko; Washio, Yasuyoshi; Matsumoto, Koichiro] Kyushu Univ, Grad Sch Med Sci, Res Inst Dis Chest, Fukuoka 8128582, Japan; [Kan-o, Keiko] Kyushu Univ Hosp, Dept Endoscop Diagnost &amp; Therapeut, Fukuoka 8128582, Japan; [Fujimoto, Tsuguto] Natl Inst Infect Dis, Ctr Emergency Preparedness &amp; Response, Tokyo 1628640, Japan; [Shiroyama, Natsuko; Fujita, Masaki] Fukuoka Univ, Dept Resp Med, Sch Med, Fukuoka 8140180, Japan; [Nakano, Takako; Takata, Shohei] Natl Hosp Org Fukuokahigashi Med Ctr, Dept Resp Med, Koga 8113195, Japan; [Wakamatsu, Kentaro] Natl Hosp Org Omuta Natl Hosp, Dept Resp Med, Omuta 8370911, Japan; [Yoshida, Makoto] Natl Hosp Org Fukuoka Natl Hosp, Div Resp Med, Fukuoka 8111394, Japan</t>
  </si>
  <si>
    <t xml:space="preserve">Kyushu University; Kyushu University; National Institute of Infectious Diseases (NIID); Fukuoka University</t>
  </si>
  <si>
    <t xml:space="preserve">Kan-o, K (corresponding author), Kyushu Univ, Grad Sch Med Sci, Res Inst Dis Chest, Higashi Ku, 3-1-1 Maidashi, Fukuoka 8128582, Japan.</t>
  </si>
  <si>
    <t xml:space="preserve">Fujimoto, Tsuguto/AAG-8675-2019; Kan-o, Keiko/ABF-7827-2021</t>
  </si>
  <si>
    <t xml:space="preserve">Fujimoto, Tsuguto/0000-0002-4861-4349</t>
  </si>
  <si>
    <t xml:space="preserve">AMED [JP20fk0108084]; Clinical Research Promotion Founda-tion; Japanese Society of Allergology, Clinical Research Support Program; Japanese Respiratory Foundation; Grants-in-Aid for Scientific Research [20K08175] Funding Source: KAKEN</t>
  </si>
  <si>
    <t xml:space="preserve">AMED; Clinical Research Promotion Founda-tion; Japanese Society of Allergology, Clinical Research Support Program; Japanese Respiratory Foundation; Grants-in-Aid for Scientific Research(Ministry of Education, Culture, Sports, Science and Technology, Japan (MEXT)Japan Society for the Promotion of ScienceGrants-in-Aid for Scientific Research (KAKENHI))</t>
  </si>
  <si>
    <t xml:space="preserve">The authors thank the patients and investigators who participated in the study. We also acknowledge Dr. Nozomu Hanaoka, Ms. Masami Konagaya, and Ms. Naomi Nojiri for their technical support, and Ms. Yuka Matsuzaki and Ms. Ruriko Kiyotani for their data entry. This study was partly supported by AMED under grant number JP20fk0108084 and funded by grants of the Clinical Research Promotion Founda-tion (2017) , Japanese Society of Allergology, Clinical Research Support Program (2017 and 2018) , and Japanese Respiratory Foundation (2019) . We thank Traci Raley, MS, ELS, from the Edanz Group (https://jp.edanz.com /ac) for editing a draft of this manuscript.</t>
  </si>
  <si>
    <t xml:space="preserve">10.1016/j.resinv.2021.08.009</t>
  </si>
  <si>
    <t xml:space="preserve">YE7LU</t>
  </si>
  <si>
    <t xml:space="preserve">WOS:000741303200012</t>
  </si>
  <si>
    <t xml:space="preserve">Kubale, J; Kujawski, S; Chen, IRA; Wu, ZK; Khader, IA; Hasibra, I; Whitaker, B; Gresh, L; Simaku, A; Simoes, EAF; Al-Gazo, M; Rogers, S; Gerber, S; Balmaseda, A; Tallo, VL; Al-Sanouri, TM; Porter, R; Bino, S; Azziz-Baumgartner, E; Mcmorrow, M; Hunt, D; Thompson, M; Biggs, HM; Gordon, A</t>
  </si>
  <si>
    <t xml:space="preserve">Kubale, John; Kujawski, Stephanie; Chen, Irena; Wu, Zhenke; Khader, Ilham Abu; Hasibra, Iris; Whitaker, Brett; Gresh, Lionel; Simaku, Artan; Simoes, Eric A. F.; Al-Gazo, Mahmoud; Rogers, Shannon; Gerber, Susan, I; Balmaseda, Angel; Tallo, Veronica L.; Al-Sanouri, Tareq M.; Porter, Rachael; Bino, Silvia; Azziz-Baumgartner, Eduardo; Mcmorrow, Meredith; Hunt, Danielle; Thompson, Mark; Biggs, Holly M.; Gordon, Aubree</t>
  </si>
  <si>
    <t xml:space="preserve">Etiology of Acute Lower Respiratory Illness Hospitalizations Among Infants in 4 Countries</t>
  </si>
  <si>
    <t xml:space="preserve">etiology; global health; influenza virus; respiratory infections; RSV</t>
  </si>
  <si>
    <t xml:space="preserve">YOUNG-CHILDREN; PNEUMONIA; INFLUENZA; VIRUS; COINFECTION; INFECTIONS; BURDEN</t>
  </si>
  <si>
    <t xml:space="preserve">Background. Recent studies explored which pathogens drive the global burden of pneumonia hospitalizations among young children. However, the etiology of broader acute lower respiratory tract infections (ALRIs) remains unclear.Methods. Using a multicountry study (Albania, Jordan, Nicaragua, and the Philippines) of hospitalized infants and non-ill community controls between 2015 and 2017, we assessed the prevalence and severity of viral infections and coinfections. We also estimated the proportion of ALRI hospitalizations caused by 21 respiratory pathogens identified via multiplex real-time reverse transcription polymerase chain reaction with bayesian nested partially latent class models.Results. An overall 3632 hospitalized infants and 1068 non-ill community controls participated in the study and had specimens tested. Among hospitalized infants, 1743 (48.0%) met the ALRI case definition for the etiology analysis. After accounting for the prevalence in non-ill controls, respiratory syncytial virus (RSV) was responsible for the largest proportion of ALRI hospitalizations, although the magnitude varied across sites-ranging from 65.2% (95% credible interval, 46.3%-79.6%) in Albania to 34.9% (95% credible interval, 20.0%-49.0%) in the Philippines. While the fraction of ALRI hospitalizations caused by RSV decreased as age increased, it remained the greatest driver. After RSV, rhinovirus/enterovirus (range, 13.4%-27.1%) and human metapneumovirus (range, 6.3%-12.0%) were the next-highest contributors to ALRI hospitalizations.Conclusions. We observed substantial numbers of ALRI hospitalizations, with RSV as the largest source, particularly in infants aged &lt;3 months. This underscores the potential for vaccines and long-lasting monoclonal antibodies on the horizon to reduce the burden of ALRI in infants worldwide.</t>
  </si>
  <si>
    <t xml:space="preserve">[Kubale, John] Univ Michigan, Inst Social Res, Ann Arbor, MI USA; [Kujawski, Stephanie] US CDCP, Epidem Intelligence Serv, Atlanta, GA USA; [Kujawski, Stephanie; Porter, Rachael; Azziz-Baumgartner, Eduardo; Mcmorrow, Meredith; Thompson, Mark; Biggs, Holly M.] US CDCP, Natl Ctr Immunizat &amp; Resp Dis, Atlanta, GA USA; [Chen, Irena; Wu, Zhenke] Univ Michigan, Sch Publ Hlth, Dept Biostat, Ann Arbor, MI USA; [Khader, Ilham Abu; Simoes, Eric A. F.; Al-Gazo, Mahmoud; Al-Sanouri, Tareq M.] Eastern Mediterranean Publ Hlth Network, Amman, Jordan; [Hasibra, Iris; Bino, Silvia] Inst Publ Hlth, Dept Epidemiol &amp; Control Infect Dis, Tirana, Albania; [Balmaseda, Angel] Sustainable Sci Inst, Managua, Nicaragua; [Simoes, Eric A. F.] Univ Colorado, Sch Med, Dept Pediat, Sect Infect Dis, Aurora, CO USA; [Simoes, Eric A. F.] Colorado Sch Publ Hlth, Ctr Global Hlth, Dept Epidemiol, Aurora, CO USA; [Balmaseda, Angel] Minist Hlth, Ctr Nacl Diagnost &amp; Referencia, Managua, Nicaragua; [Tallo, Veronica L.] Res Inst Trop Med, Dept Hlth, Manila, Philippines; [Hunt, Danielle] Abt Associates Inc, Atlanta, GA USA; [Gordon, Aubree] Univ Michigan, Sch Publ Hlth, Dept Epidemiol, Ann Arbor, MI USA; [Gordon, Aubree] Univ Michigan, Sch Publ Hlth, 1415 Washington Hts, Ann Arbor, MI 48109 USA</t>
  </si>
  <si>
    <t xml:space="preserve">University of Michigan System; University of Michigan; Centers for Disease Control &amp; Prevention - USA; Centers for Disease Control &amp; Prevention - USA; University of Michigan System; University of Michigan; University of Colorado System; University of Colorado Anschutz Medical Campus; Colorado School of Public Health; Research Institute for Tropical Medicine - Philippines; Philippine Department Health; ABT Associates; University of Michigan System; University of Michigan; University of Michigan System; University of Michigan</t>
  </si>
  <si>
    <t xml:space="preserve">Gordon, A (corresponding author), Univ Michigan, Sch Publ Hlth, 1415 Washington Hts, Ann Arbor, MI 48109 USA.</t>
  </si>
  <si>
    <t xml:space="preserve">gordonal@umich.edu</t>
  </si>
  <si>
    <t xml:space="preserve">Wu, Zhenke/U-7793-2019; Atwell, Jessica/IVV-7755-2023; Kubale, John/ABC-1076-2021; McMorrow, Meredith/M-1274-2019; Gordon, Aubree/X-1113-2019</t>
  </si>
  <si>
    <t xml:space="preserve">Kubale, John/0000-0001-5571-9774</t>
  </si>
  <si>
    <t xml:space="preserve">Centers for Disease Control and Prevention [HHSD2002013M53890B, 200-2014-F-60406]; Biosciences Initiative at the University of Michigan through a Mid-career Biosciences Faculty Achievement</t>
  </si>
  <si>
    <t xml:space="preserve">Centers for Disease Control and Prevention(United States Department of Health &amp; Human ServicesCenters for Disease Control &amp; Prevention - USA); Biosciences Initiative at the University of Michigan through a Mid-career Biosciences Faculty Achievement</t>
  </si>
  <si>
    <t xml:space="preserve">This work was supported by the Centers for Disease Control and Prevention through contract HHSD2002013M53890B within its Achieving Public Health Impact Through Research and task 200-2014-F-60406 to Abt Associates; and by the Biosciences Initiative at the University of Michigan through a Mid-career Biosciences Faculty Achievement Award to A. G.</t>
  </si>
  <si>
    <t xml:space="preserve">ofad580</t>
  </si>
  <si>
    <t xml:space="preserve">10.1093/ofid/ofad580</t>
  </si>
  <si>
    <t xml:space="preserve">CX3U5</t>
  </si>
  <si>
    <t xml:space="preserve">WOS:001128501100010</t>
  </si>
  <si>
    <t xml:space="preserve">Tang, XF; Dai, G; Jiang, XH; Wang, T; Sun, HM; Chen, ZR; Huang, L; Wang, MJ; Zhu, CH; Yan, YD; Jiang, WJ</t>
  </si>
  <si>
    <t xml:space="preserve">Tang, Xifeng; Dai, Ge; Jiang, Xiaohui; Wang, Ting; Sun, Huiming; Chen, Zhengrong; Huang, Li; Wang, Meijuan; Zhu, Canhong; Yan, Yongdong; Jiang, Wujun</t>
  </si>
  <si>
    <t xml:space="preserve">Clinical Characteristics of Pediatric Respiratory Tract Infection and Respiratory Pathogen Isolation During the Coronavirus Disease 2019 Pandemic</t>
  </si>
  <si>
    <t xml:space="preserve">epidemiology; single infection; coinfection; COVID-19 epidemic; comparison</t>
  </si>
  <si>
    <t xml:space="preserve">HUMAN BOCAVIRUS; RHINOVIRUS; CHILDREN</t>
  </si>
  <si>
    <t xml:space="preserve">Objective: We sought to compare the clinical characteristics of pediatric respiratory tract infection and respiratory pathogen isolations during the coronavirus disease (COVID-19) pandemic to those of cases in 2018 and 2019.Methods: Our study included all children from 28 days to 15 years old with respiratory tract infections who were admitted to the Department of Respiration, in the Children's Hospital of Soochow University, between January 2018 and December 2020. Human rhinovirus (HRV) and human metapneumovirus (hMPV) were detected by reverse transcription polymerase chain reaction (RT-PCR). Mycoplasma pneumoniae (MP) and human bocavirus (HBoV) were detected by real-time fluorescence quantitative polymerase chain reaction (qPCR); In parallel, Mycoplasma pneumoniae was detected by enzyme-linked immunosorbent assays, and bacteria were detected by culture in blood, bronchoalveolar lavage specimen, and pleural fluid.Results: Compared to 2018 and 2019, the pathogen detection rate was significantly lower in 2020. With regard to infections caused by single pathogens, in 2020, the detection rates of MP were the lowest and those of HRV were the highest when compared to those in 2018 and 2019. Meanwhile, the positive rates of respiratory syncytial virus (RSV) and hMPV reported in 2020 were less than those recorded in 2018 but similar to those recorded in 2019. Also, the 2020 rate of adenovirus (ADV) was lower than that recorded in 2019, but similar to that recorded in 2018. There were no statistical differences in the positive rates of HBoV and PIV III over the 3 years surveyed. Infections in infants were significantly less common in 2020, but no significant difference was found among children aged 1 to 3 years. The detection rate of pathogens in children old than 5 years in 2020 was significantly lower than those recorded in the previous 2 years. Notably, the pathogen detection rates in the first and second quarters of 2020 were similar to those recorded in the previous 2 years; however, the rates were reduced in the third and fourth quarters of 2020. As for co-infections, the positive rate was at its lowest in 2020. In the previous 2 years, viral-MP was the most common type of mixed infection. By contrast, in 2020, viral-viral infections were the most common combination.Conclusion: The pathogen detection rate was significantly reduced in Suzhou City during the COVID-19 pandemic. Public interventions may help to prevent respiratory pathogen infections in children.</t>
  </si>
  <si>
    <t xml:space="preserve">[Tang, Xifeng; Dai, Ge; Jiang, Xiaohui; Wang, Ting; Sun, Huiming; Chen, Zhengrong; Huang, Li; Wang, Meijuan; Zhu, Canhong; Yan, Yongdong] Soochow Univ, Dept Resp Med, Childrens Hosp, Suzhou, Peoples R China; [Jiang, Wujun] Soochow Univ, Childrens Hosp Wujiang Dist, Dept Resp Med, Childrens Hosp, Suzhou, Peoples R China</t>
  </si>
  <si>
    <t xml:space="preserve">Soochow University - China; Soochow University - China</t>
  </si>
  <si>
    <t xml:space="preserve">Yan, YD (corresponding author), Soochow Univ, Dept Resp Med, Childrens Hosp, Suzhou, Peoples R China.;Jiang, WJ (corresponding author), Soochow Univ, Childrens Hosp Wujiang Dist, Dept Resp Med, Childrens Hosp, Suzhou, Peoples R China.</t>
  </si>
  <si>
    <t xml:space="preserve">yyd3060@126.com; jwj8701@suda.edu.cn</t>
  </si>
  <si>
    <t xml:space="preserve">Jiang, Wujun/AAC-3111-2019; jiang, xiaohui/GWZ-4110-2022; Wang, Jianye/KFA-4087-2024; Chen, Zhengrong/LSL-5975-2024</t>
  </si>
  <si>
    <t xml:space="preserve">10.3389/fped.2021.759213</t>
  </si>
  <si>
    <t xml:space="preserve">YK4DJ</t>
  </si>
  <si>
    <t xml:space="preserve">WOS:000745165300001</t>
  </si>
  <si>
    <t xml:space="preserve">Jain, B; Singh, AK; Dangi, T; Agarwal, A; Verma, AK; Dwivedi, M; Singh, KP; Jain, A</t>
  </si>
  <si>
    <t xml:space="preserve">Jain, Bhawana; Singh, Ajay Kr; Dangi, Tanushree; Agarwal, Anjali; Verma, Anil Kumar; Dwivedi, Mukesh; Singh, Kaleshwar P.; Jain, Amita</t>
  </si>
  <si>
    <t xml:space="preserve">High prevalence of human metapneumovirus subtype B in cases presenting as severe acute respiratory illness: an experience at tertiary care hospital</t>
  </si>
  <si>
    <t xml:space="preserve">epidemiology; severe acute respiratory illness; respiratory syncytial virus; human metapneumovirus; nasopharyngeal aspirate</t>
  </si>
  <si>
    <t xml:space="preserve">TIME PCR ASSAYS; SYNCYTIAL VIRUS; GENETIC-VARIABILITY; YOUNG-CHILDREN; CIRCULATION PATTERNS; GROUP-A; INFECTION; STRAINS; DISEASE; EPIDEMIOLOGY</t>
  </si>
  <si>
    <t xml:space="preserve">Purpose A comparatively newly discovered human metapneumovirus (HMPV) has emerged as an important cause of severe acute respiratory illness (SARI), second only to respiratory syncytial virus (RSV). RSV and HMPV taxonomically belong to same family and subfamily, and their clinical presentation and seasonal distribution are also seemed to be indistinguishable. Present study was planned to know the epidemiology and prevalence of HMPV and RSV in patients presented as SARI in a tertiary care hospital. Methods Nasopharyngeal aspirate of 440 patients fulfilling World Health Organization criteria of SARI, enrolled during a 2-year study period, were collected and tested for the presence of RSV, HMPV and their subtypes A and B by real time polymerase chain reaction along with other respiratory viruses, viz influenza A, B, parainfluenza 1, 2, 3, 4, adenovirus, measles virus and bocavirus. The demographic details, clinical profile, underlying diseases, clinical diagnosis at the time of admission and seasonal distribution were studied and analyzed statistically. Results Overall positivity of RSV was 14.3% (24.68% in &lt;5 years) and of HMPV was 3.63% (5.1% in &lt;5 years and 5.08% in 6-12 years). Among RSV, subtype A (89%), and among HMPV, genotype B (68.8%) were predominating. Adults having underlying chronic obstructive pulmonary disease were more prone to acquire RSV and HMPV infections. RSV and HMPV positivity was restricted to winter season. We are reporting replacement of RSV with HMPV in this population. Conclusions HMPV has emerged as an important cause of SARI in children RSV and HMPV is an important observation.</t>
  </si>
  <si>
    <t xml:space="preserve">[Jain, Bhawana; Singh, Ajay Kr; Dangi, Tanushree; Agarwal, Anjali; Verma, Anil Kumar; Dwivedi, Mukesh; Singh, Kaleshwar P.; Jain, Amita] King George Med Univ, Dept Microbiol, Lucknow 226003, Uttar Pradesh, India</t>
  </si>
  <si>
    <t xml:space="preserve">Jain, A (corresponding author), King George Med Univ, Dept Microbiol, Lucknow 226003, Uttar Pradesh, India.</t>
  </si>
  <si>
    <t xml:space="preserve">Singh, Ajay/GNH-3223-2022; jain, amita/ABA-9223-2020; SINGH, ANIL/M-4786-2017; Agarwal, Anjali/GVT-8714-2022; Dangi, Tanushree/ABB-7975-2020</t>
  </si>
  <si>
    <t xml:space="preserve">Dangi, Tanushree/0000-0003-1698-8087; SINGH, ANIL KUMAR/0000-0003-2933-4058</t>
  </si>
  <si>
    <t xml:space="preserve">Indian Council of Medical Research, New Delhi, India [5/8/7/14/2009-ECD-I, 5/8/7/17/2010-ECD-I]</t>
  </si>
  <si>
    <t xml:space="preserve">Financial support by the Indian Council of Medical Research, New Delhi, India [Grant no. 5/8/7/14/2009-ECD-I (Phase II) and 5/8/7/17/2010-ECD-I]. We are also grateful to staff of influenza project and viral diagnostic laboratory (VDL) staff for support in lab work and collection of samples.</t>
  </si>
  <si>
    <t xml:space="preserve">10.1111/crj.12064</t>
  </si>
  <si>
    <t xml:space="preserve">AE0YM</t>
  </si>
  <si>
    <t xml:space="preserve">WOS:000333692300013</t>
  </si>
  <si>
    <t xml:space="preserve">Panda, S; Mohakud, NK; Suar, M; Kumar, S</t>
  </si>
  <si>
    <t xml:space="preserve">Panda, Swagatika; Mohakud, Nirmal Kumar; Suar, Mrutyunjay; Kumar, Subrat</t>
  </si>
  <si>
    <t xml:space="preserve">Etiology, Seasonality, and Clinical Characteristics of Respiratory Viruses in Children With Respiratory Tract Infections in Eastern India (Bhubaneswar, Odisha)</t>
  </si>
  <si>
    <t xml:space="preserve">epidemiology; respiratory viruses; respiratory tract infection; human metapneumovirus; influenza viruses</t>
  </si>
  <si>
    <t xml:space="preserve">HUMAN METAPNEUMOVIRUS; CHILDHOOD PNEUMONIA; DELHI</t>
  </si>
  <si>
    <t xml:space="preserve">Acute respiratory tract infections (ARTIs) are a leading cause of morbidity and mortality in young children in low and middle income countries. To analyse the overall burden of respiratory viruses responsible for ARTIs in paediatrics population in eastern India, this study was performed. Clinical information, demographic information and nasal/oral swabs were collected from 332 paediatric patients (aged from 1 month to 12 years old) with the symptoms of ARTI, enrolled from the outpatient department from Nov 2012 to Oct 2014. Multiplex PCR was performed to detect eight respiratory viral pathogens. Seasonal, as well as age-wise prevalence of respiratory viruses was analysed. Of these 332 cases, 32.53% (108/332) were positive for at least one pathogen. Human rhinovirus (HRV) was the most frequently detected pathogen (24.7%, 82/332) followed by respiratory syncytial virus (RSV) (4.22%, 14/332), PIV (2.11%, 7/332), and hMPV (2.11%, 7/332). Single infection was detected in 92.6% (100/108) of positive cases. Respiratory virus infections showed seasonal variation, with peaks during the rainy season followed by winter season, and were most common in patients under 1 year of age. Phylogenetic analysis of HMPV positive samples confirmed the circulation of A2 subgroup in the study area. The present study is first of its kind and adds to our knowledge of the epidemiological characteristics of these common respiratory viruses among patients with ARTIs in the study area. (C) 2016 Wiley Periodicals, Inc.</t>
  </si>
  <si>
    <t xml:space="preserve">[Panda, Swagatika; Suar, Mrutyunjay; Kumar, Subrat] KIIT Univ, Sch Biotechnol, Campus 11, Bhubaneswar 751024, Orissa, India; [Mohakud, Nirmal Kumar] KIIT Univ, Kalinga Inst Med Sci, Dept Pediat, Bhubaneswar, Orissa, India</t>
  </si>
  <si>
    <t xml:space="preserve">Kalinga Institute of Industrial Technology (KIIT); Kalinga Institute of Industrial Technology (KIIT)</t>
  </si>
  <si>
    <t xml:space="preserve">Kumar, S (corresponding author), KIIT Univ, Sch Biotechnol, Campus 11, Bhubaneswar 751024, Orissa, India.</t>
  </si>
  <si>
    <t xml:space="preserve">subrat_kumar@yahoo.com</t>
  </si>
  <si>
    <t xml:space="preserve">Mohakud, Nirmal/AAO-5993-2021; Kumar, Subrat/P-4225-2014</t>
  </si>
  <si>
    <t xml:space="preserve">Kumar, Subrat/0000-0002-0659-6381; Suar, Mrutyunjay/0000-0003-4815-5477; Mohakud, Nirmal/0000-0002-4949-3585</t>
  </si>
  <si>
    <t xml:space="preserve">Department of Science and Technology, Government of India</t>
  </si>
  <si>
    <t xml:space="preserve">Department of Science and Technology, Government of India(Department of Science &amp; Technology (India))</t>
  </si>
  <si>
    <t xml:space="preserve">Authors report no conflict of interest and SP had received fellowship from Department of Science and Technology, Government of India to carry out this work.</t>
  </si>
  <si>
    <t xml:space="preserve">10.1002/jmv.24661</t>
  </si>
  <si>
    <t xml:space="preserve">EK4JM</t>
  </si>
  <si>
    <t xml:space="preserve">WOS:000393892900026</t>
  </si>
  <si>
    <t xml:space="preserve">Finianos, M; Issa, R; Curran, MD; Afif, C; Rajab, M; Irani, J; Hakimeh, N; Naous, A; Hajj, MJ; Hajj, P; El Jisr, T; El Chaar, M</t>
  </si>
  <si>
    <t xml:space="preserve">Finianos, Mayda; Issa, Randi; Curran, Martin D.; Afif, Claude; Rajab, Maryam; Irani, Jihad; Hakimeh, Noha; Naous, Amal; Hajj, Marie-Joelle; Hajj, Pierre; El Jisr, Tamima; El Chaar, Mira</t>
  </si>
  <si>
    <t xml:space="preserve">Etiology, Seasonality, and Clinical Characterization of Viral Respiratory Infections Among Hospitalized Children in Beirut, Lebanon</t>
  </si>
  <si>
    <t xml:space="preserve">epidemiology; respiratory viruses; multiplex PCR; hospitalized children; Lebanon</t>
  </si>
  <si>
    <t xml:space="preserve">SYNCYTIAL VIRUS; HUMAN BOCAVIRUS; INFANTS; HUMIDITY; TRANSMISSION; TEMPERATURE; DISEASE; ILLNESS; COPD</t>
  </si>
  <si>
    <t xml:space="preserve">Acute respiratory tract viral infections occur worldwide and are one of the major global burdens of diseases in children. The aim of this study was to determine the viral etiology of respiratory infections in hospitalized children, to understand the viral seasonality in a major Lebanese hospital, and to correlate disease severity and the presence of virus. Over a 1-year period, nasal and throat swabs were collected from 236 pediatric patients, aged 16-year old or less and hospitalized for acute respiratory illness. Samples collected were tested for the presence of 17 respiratory viruses using multiplex real-time RT-PCR. Pathogens were identified in 165 children (70%) and were frequently observed during fall and winter seasons. Co-infection was found in 37% of positive samples. The most frequently detected pathogens were human Rhinovirus (hRV, 23%), Respiratory Syncytial Virus (RSV, 19%), human Bocavirus (hBov, 15%), human Metapneumovirus (hMPV, 10%), and human Adenovirus (hAdV, 10%). A total of 48% of children were diagnosed with bronchiolitis and 25% with pneumonia. While bronchiolitis was often caused by RSV single virus infection and hAdV/hBoV coinfection, pneumonia was significantly associated with hBoV and HP1V1 infections. No significant correlation was observed between a single viral etiology infection and a specific clinical symptom. This study provides relevant facts on the circulatory pattern of respiratory viruses in Lebanon and the importance of using PCR as a useful tool for virus detection. Early diagnosis at the initial time of hospitalization may reduce the spread of the viruses in pediatric units. (C) 2016 Wiley Periodicals, Inc.</t>
  </si>
  <si>
    <t xml:space="preserve">[Finianos, Mayda; Issa, Randi; El Chaar, Mira] Univ Balamand, Fac Hlth Sci, POB 166378, Beirut 11002807, Lebanon; [Curran, Martin D.] Addenbrookes Hosp, Publ Hlth England Clin Microbiol Lab, Cambridge, England; [Afif, Claude; Irani, Jihad; Hakimeh, Noha; Hajj, Marie-Joelle; Hajj, Pierre] St Georges Univ, Med Ctr, Univ Balamand, Fac Med, Beirut, Lebanon; [Rajab, Maryam; Naous, Amal] Makassed Gen Hosp, Dept Pediat, Beirut, Lebanon; [El Jisr, Tamima] Makassed Gen Hosp, Lab Med, Beirut, Lebanon</t>
  </si>
  <si>
    <t xml:space="preserve">University Balamand; University of Cambridge; Cambridge University Hospitals NHS Foundation Trust; Addenbrooke's Hospital; University Balamand; American University of Beirut</t>
  </si>
  <si>
    <t xml:space="preserve">El Chaar, M (corresponding author), Univ Balamand, Fac Hlth Sci, POB 166378, Beirut 11002807, Lebanon.</t>
  </si>
  <si>
    <t xml:space="preserve">mira.elchaar@balamand.edu.lb</t>
  </si>
  <si>
    <t xml:space="preserve">Irani, Jihad/0000-0002-4219-710X; el chaar, mira/0000-0002-8889-4234</t>
  </si>
  <si>
    <t xml:space="preserve">Lebanese Council for Scientific Research (CNRS); University of Balamand</t>
  </si>
  <si>
    <t xml:space="preserve">Grant sponsor 1: Lebanese Council for Scientific Research (CNRS); Grant sponsor 2: Partly by the University of Balamand</t>
  </si>
  <si>
    <t xml:space="preserve">10.1002/jmv.24544</t>
  </si>
  <si>
    <t xml:space="preserve">WOS:000385723000006</t>
  </si>
  <si>
    <t xml:space="preserve">Li, YT; Liang, Y; Ling, YS; Duan, MQ; Pan, L; Chen, ZG</t>
  </si>
  <si>
    <t xml:space="preserve">Li, Ya-Ting; Liang, Ying; Ling, Ye-Sheng; Duan, Meng-Qi; Pan, Li; Chen, Zhuang-Gui</t>
  </si>
  <si>
    <t xml:space="preserve">The spectrum of viral pathogens in children with severe acute lower respiratory tract infection: A 3-year prospective study in the pediatric intensive care unit</t>
  </si>
  <si>
    <t xml:space="preserve">epidemiology; respiratory tract; severe acute lower respiratory infection; virus</t>
  </si>
  <si>
    <t xml:space="preserve">HOSPITALIZED-PATIENTS; HUMAN RHINOVIRUS; VIRUSES; IMMUNOCOMPETENT; PNEUMONIA; BURDEN; ADULTS; PREVALENCE; ETIOLOGY; CHINA</t>
  </si>
  <si>
    <t xml:space="preserve">Background No comprehensive analysis is available on the viral etiology and clinical characterization among children with severe acute lower respiratory tract infection (SALRTI) in Southern China. Methods Cohort of 659 hospitalized children (2 months to 14 years) with SALRTI admitted to the Pediatric Intensive Care Unit (PICU) in the Guangzhou from May 2015 to April 2018 was enrolled in this study. Nasopharyngeal aspirate specimens or induced sputum were tested for eight categories respiratory viral targets. The viral distribution and its clinical characters were statistically analyzed. Results Viral pathogen was detected in 326 (49.5%) of children with SALRTI and there were 36 (5.5%) viral coinfections. Overall, the groups of viruses identified were, in descending order of prevalence: Influenza virus (IFV) (n = 94, 14.3%), respiratory syncytial virus (RSV) (n = 75, 11.4%), human rhinovirus (HRV) (n = 56, 8.5%), adenovirus (ADV) (n = 55, 8.3%), parainfluenza (PIV) (n = 47, 7.1%), human coronavirus (HCoV) (n = 15, 2.3%), human metapneumovirus (HMPV) (n = 14, 2.1%) and human bocavirus (HBoV) (n = 11, 1.7%). The positive rate in younger children (&lt; 5 years) was significantly higher than the positive rate detected in elder children (&gt; 5 years) (52.5% vs 35.1%, P = 0.001). There were clear seasonal peaks for IFV, RSV, HRV, ADV, PIV, and HMPV. And the individuals with different viral infection varied significantly in terms of clinical profiles. Conclusions Viral infections are present in a consistent proportion of patients admitted to the PICU. IFV, RSV, HRV, and ADV accounted for more than two-thirds of all viral SALRTI. Our findings could help the prediction, prevention and potential therapeutic approaches of SALRTI in children.</t>
  </si>
  <si>
    <t xml:space="preserve">[Li, Ya-Ting; Liang, Ying; Ling, Ye-Sheng; Duan, Meng-Qi; Pan, Li; Chen, Zhuang-Gui] Sun Yat Sen Univ, Affiliated Hosp 3, Dept Pediat Intens Care Unit, 600 Tianhe Rd, Guangzhou 510630, Guangdong, Peoples R China</t>
  </si>
  <si>
    <t xml:space="preserve">Sun Yat Sen University</t>
  </si>
  <si>
    <t xml:space="preserve">Chen, ZG (corresponding author), Sun Yat Sen Univ, Affiliated Hosp 3, Dept Pediat Intens Care Unit, 600 Tianhe Rd, Guangzhou 510630, Guangdong, Peoples R China.</t>
  </si>
  <si>
    <t xml:space="preserve">chzhgui@mail.sysu.edu.cn</t>
  </si>
  <si>
    <t xml:space="preserve">mengqi, duan/KCZ-2082-2024</t>
  </si>
  <si>
    <t xml:space="preserve">Science and Technology Projects Foundation of Guangdong Province [2014A020212120]; Third Affiliated Hospital of Sun Yat-Sen University, Clinical Research Program [QHJH201803]; National Mega Project on Major Infectious Disease Prevention [2017ZX10103011]; National Natural Science Foundation of China [81470219]</t>
  </si>
  <si>
    <t xml:space="preserve">Science and Technology Projects Foundation of Guangdong Province; Third Affiliated Hospital of Sun Yat-Sen University, Clinical Research Program; National Mega Project on Major Infectious Disease Prevention; National Natural Science Foundation of China(National Natural Science Foundation of China (NSFC))</t>
  </si>
  <si>
    <t xml:space="preserve">Science and Technology Projects Foundation of Guangdong Province, Grant/Award Number: 2014A020212120; Third Affiliated Hospital of Sun Yat-Sen University, Clinical Research Program, Grant/Award Number: QHJH201803; National Mega Project on Major Infectious Disease Prevention, Grant/Award Number: 2017ZX10103011; National Natural Science Foundation of China, Grant/Award Number: 81470219</t>
  </si>
  <si>
    <t xml:space="preserve">10.1002/jmv.25502</t>
  </si>
  <si>
    <t xml:space="preserve">IR5CL</t>
  </si>
  <si>
    <t xml:space="preserve">WOS:000481450500008</t>
  </si>
  <si>
    <t xml:space="preserve">Ferreira, HLD; Costa, KLP; Cariolano, MS; Oliveira, GS; Felipe, KKP; Silva, ESA; Alves, MS; Maramaldo, CEC; de Sousa, EM; Rego, JS; Silva, ICPA; Albuquerque, RKS; Araujo, NSC; Amorim, AMM; Costa, LD; Pinheiro, CS; Guimaraes, VA; Santos, MC; Mello, WA; Falcai, A; Lima-Neto, LG</t>
  </si>
  <si>
    <t xml:space="preserve">dos Santos Ferreira, Hivylla L.; Costa, Karla Luana P.; Cariolano, Marilha S.; Oliveira, Gustavo S.; Felipe, Karen K. P.; Silva, Elen S. A.; Alves, Matheus S.; Maramaldo, Carlos Eduardo C.; de Sousa, Eduardo M.; Rego, Joseany S.; Silva, Ilana C. P. A.; Albuquerque, Rejane K. S.; Araujo, Nathalya S. C.; Amorim, Angela M. M.; Costa, Luciane D.; Pinheiro, Claudiana S.; Guimaraes, Vinicius A.; Santos, Mirleide C.; Mello, Wyller A.; Falcai, Angela; Lima-Neto, Lidio Goncalves</t>
  </si>
  <si>
    <t xml:space="preserve">High incidence of rhinovirus infection in children with community-acquired pneumonia from a city in the Brazilian pre-Amazon region</t>
  </si>
  <si>
    <t xml:space="preserve">epidemiology; respiratory tract; seasonal incidence</t>
  </si>
  <si>
    <t xml:space="preserve">RESPIRATORY VIRUS-INFECTIONS; VIRAL-INFECTIONS; INFANTS; DISEASE; EPIDEMIOLOGY; ASSOCIATION; SEASONALITY; PREVENTION; SEVERITY; ETIOLOGY</t>
  </si>
  <si>
    <t xml:space="preserve">Community-acquired pneumonia (CAP) is the leading cause of child death worldwide. Viruses are the most common pathogens associated with CAP in children, but their incidence varies greatly. This study investigated the presence of respiratory syncytial virus (RSV), adenovirus, human rhinovirus (HRV), human metapneumovirus (HMPV), human coronavirus (HCoV-OC43 and HCoV-NL63), and influenza A virus (FluA) in children with CAP and the contributing risk factors. Here, children with acute respiratory infections were screened by pediatrics; and a total of 150 radiographically-confirmed CAP patients (aged 3 months to 10 years) from two clinical centers in Sao Luis, Brazil were recruited. Patient's clinical and epidemiological data were recorded. Nasopharyngeal swab and tracheal aspirate samples were collected to extract viral nucleic acid. RSV, adenovirus, rhinovirus, FluA, HMPV, HCoV-OC43, and HCoV-NL63 were detected by real-time polymerase chain reaction. The severe CAP was associated with ages between 3 and 12 months. Viruses were detected in 43% of CAP patients. Rhinovirus infections were the most frequently identified (68%). RSV, adenovirus, FluA, and coinfections were identified in 14%, 14%, 5%, and 15% of children with viral infection, respectively. Rhinovirus was associated with nonsevere CAP (P = .014); RSV, FluA, and coinfections were associated with severe CAP (P &lt; .05). New strategies for prevention and treatment of viral respiratory infections, mainly rhinovirus and RSV infections, are necessary.</t>
  </si>
  <si>
    <t xml:space="preserve">[dos Santos Ferreira, Hivylla L.; Costa, Karla Luana P.; Cariolano, Marilha S.; Oliveira, Gustavo S.; Felipe, Karen K. P.; Silva, Elen S. A.; Alves, Matheus S.; Maramaldo, Carlos Eduardo C.; de Sousa, Eduardo M.; Silva, Ilana C. P. A.; Lima-Neto, Lidio Goncalves] Univ CEUMA, Programa Posgrad, Sao Luis, Maranhao, Brazil; [Rego, Joseany S.] Maternidade Benedito Leite, Hosp Dr Juvencio Mattos, Complexo Hosp Materno Infantil Maranhao, Sao Luis, Maranhao, Brazil; [Albuquerque, Rejane K. S.; Araujo, Nathalya S. C.; Amorim, Angela M. M.; Costa, Luciane D.; Pinheiro, Claudiana S.] Hosp Crianca Dr Odorico Amaral Matos, Sao Luis, Maranhao, Brazil; [Guimaraes, Vinicius A.] Univ Fed Maranhao, Hosp Univ, Sao Luis, Maranhao, Brazil; [Santos, Mirleide C.; Mello, Wyller A.] Minist Saude, Secretaria Vigilancia Saude, Inst Evandro Chagas, Ananindeua, Para, Brazil; [Falcai, Angela] Univ CEUMA, Meio Ambiente, Sao Luis, Maranhao, Brazil</t>
  </si>
  <si>
    <t xml:space="preserve">Universidade Ceuma; Universidade Federal do Maranhao; Instituto Evandro Chagas; Universidade Ceuma</t>
  </si>
  <si>
    <t xml:space="preserve">Lima-Neto, LG (corresponding author), Univ CEUMA, Programa Posgrad, Rua Josue Montello 1,Renascenca 2, BR-65075120 Sao Luis, MA, Brazil.</t>
  </si>
  <si>
    <t xml:space="preserve">de Sousa, Eduardo/AAT-9294-2020; Gonçalves, Lidio/AAU-1699-2020; Falcai, Angela/E-2082-2016</t>
  </si>
  <si>
    <t xml:space="preserve">da Silva Cariolano, Marilha/0000-0002-9288-993X; Falcai, Angela/0000-0002-6036-7504; Ferreira, Hivylla Lorrana dos Santos/0000-0002-7822-3410; Lima Neto, Lidio/0000-0001-7696-0882</t>
  </si>
  <si>
    <t xml:space="preserve">10.1002/jmv.25524</t>
  </si>
  <si>
    <t xml:space="preserve">IO0YH</t>
  </si>
  <si>
    <t xml:space="preserve">WOS:000479106100006</t>
  </si>
  <si>
    <t xml:space="preserve">Al-Romaihi, HE; Smatti, MK; Al-Khatib, HA; Coyle, PV; Ganesan, N; Nadeem, S; Farag, EA; Al Thani, AA; Al Khal, A; Al Ansari, KM; Al Maslamani, MA; Yassine, HM</t>
  </si>
  <si>
    <t xml:space="preserve">Al-Romaihi, Hamad E.; Smatti, Maria K.; Al-Khatib, Hebah A.; Coyle, Peter V.; Ganesan, Nandakumar; Nadeem, Shazia; Farag, Elmoubasher A.; Al Thani, Asmaa A.; Al Khal, Abdullatif; Al Ansari, Khalid M.; Al Maslamani, Muna A.; Yassine, Hadi M.</t>
  </si>
  <si>
    <t xml:space="preserve">Molecular epidemiology of influenza, RSV, and other respiratory infections among children in Qatar: A six years report (2012-2017)</t>
  </si>
  <si>
    <t xml:space="preserve">Epidemiology; Respiratory infections; Influenza; RSV; Pediatrics; Surveillance</t>
  </si>
  <si>
    <t xml:space="preserve">SYNCYTIAL VIRUS; VIRAL-INFECTIONS; HUMAN BOCAVIRUS; B VIRUSES; ILLNESS; ETIOLOGY; OLD; COINFECTIONS; BURDEN</t>
  </si>
  <si>
    <t xml:space="preserve">Background: Studies on the etiology of respiratory infections among children in Qatar and surrounding countries are limited. Objectives: To describe the prevalence and seasonality of RSV, influenza, and other respiratory pathogens among children in Qatar. Methods: We retrospectively collected and analyzed data of 33,404 children (&lt;15 years) presented with influenza-like illness from 2012 to 2017. Results: At least one respiratory pathogen was detected in 26,138 (78%) of patients. Together, human rhinoviruses (HRV), respiratory syncytial virus (RSV), and influenza viruses comprised nearly two-thirds of all cases, affecting 24%, 19.7%, and 18.5%, respectively. A prevalence of 5-10% was recorded for adenovirus, parainfluenza viruses (PIVs), human bocavirus (HboV), and human coronaviruses (HCoVs). Human metapneumovirus (HMPV), enteroviruses, M. pneumonia, and parechovirus had prevalences below 5%. While RSV, influenza, and HMPV exhibited strong seasonal activity in the winter, HRV was active during low RSV and influenza circulation. The burden of RSV exceeds that of influenza among young age groups, whereas influenza correlated positively with age. Further, HRV, adenovirus, influenza, and RSV infection rates varied significantly between male and females. Conclusion: This comprehensive multi-year study provides insights into the etiology of ILI among children in Qatar, which represents the Gulf region. Our results reinforce the significance of active surveillance of respiratory pathogens to improve infection prevention and control strategies, particularly among children. (C) 2020 The Author(s). Published by Elsevier Ltd on behalf of International Society for Infectious Diseases.</t>
  </si>
  <si>
    <t xml:space="preserve">[Al-Romaihi, Hamad E.; Ganesan, Nandakumar; Nadeem, Shazia; Farag, Elmoubasher A.] Minist Publ Hlth, Doha, Qatar; [Smatti, Maria K.; Al Thani, Asmaa A.; Yassine, Hadi M.] Qatar Univ, Biomed Res Ctr, Doha, Qatar; [Al-Khatib, Hebah A.] Hamad Bin Khalifa Univ, Coll Hlth &amp; Life Sci, Doha, Qatar; [Coyle, Peter V.; Al Khal, Abdullatif; Al Maslamani, Muna A.] Hamad Med Corp, Doha, Qatar; [Al Thani, Asmaa A.; Yassine, Hadi M.] Qatar Univ, Coll Hlth Sci QU Hlth, Doha, Qatar; [Al Ansari, Khalid M.] Sidra Med, Emergency Med Dept, Doha, Qatar</t>
  </si>
  <si>
    <t xml:space="preserve">Qatar University; Qatar Foundation (QF); Hamad Bin Khalifa University-Qatar; Hamad Medical Corporation; Qatar University; Sidra Medical &amp; Research Center</t>
  </si>
  <si>
    <t xml:space="preserve">Yassine, HM (corresponding author), Qatar Univ, Biomed Res Ctr, Doha, Qatar.;Al Maslamani, MA (corresponding author), Hamad Med Corp, Communicable Dis Ctr, Doha, Qatar.</t>
  </si>
  <si>
    <t xml:space="preserve">halromaihi@moph.gov.qa; msmatti@qu.edu.qa; halkhatib@qf.org.qa; PCoyle@hamad.qa; nkumar@moph.gov.qa; snadeem@moph.gov.qa; eabdfarag@moph.gov.qa; aaja@qu.edu.qa; aalkhal@hamad.qa; kalansari@sidra.org; malmaslamani@hamad.qa; hyassine@qu.edu.qa</t>
  </si>
  <si>
    <t xml:space="preserve">Alansari/ABE-3918-2020; YASSINE, HADI/AAW-6475-2020</t>
  </si>
  <si>
    <t xml:space="preserve">Smatti, Maria/0000-0002-7621-0130; YASSINE, HADI M./0000-0001-7592-2788; Al Khatib, Hebah/0000-0003-3321-7364; Alansari, Prof. Khalid/0000-0001-8173-541X</t>
  </si>
  <si>
    <t xml:space="preserve">Hamad Medical Corporation [16335/16]; Qatar University [QUCG-BRC-2018/2019-1]; Qatar National Library</t>
  </si>
  <si>
    <t xml:space="preserve">Hamad Medical Corporation(Hamad Medical Corporation); Qatar University(Qatar UniversityQatar National Research Fund (QNRF)); Qatar National Library(Qatar National Research Fund (QNRF))</t>
  </si>
  <si>
    <t xml:space="preserve">This study was supported by funds from Hamad Medical Corporation (grant #16335/16) and Qatar University (grant #QUCG-BRC-2018/2019-1). The publication of this article was funded by Qatar National Library.</t>
  </si>
  <si>
    <t xml:space="preserve">10.1016/j.ijid.2020.04.008</t>
  </si>
  <si>
    <t xml:space="preserve">WOS:000540737100022</t>
  </si>
  <si>
    <t xml:space="preserve">Arruda, E; Jones, MH; de Paula, FE; Chong, D; Bugarin, G; Notario, G; Matsuno, AK; Pitrez, PM; Vo, P; Suzuki, C; Rosario, N; Stein, RT</t>
  </si>
  <si>
    <t xml:space="preserve">Arruda, Eurico; Jones, Marcus H.; de Paula, Flavia Escremim; Chong, Debora; Bugarin, Gabriela; Notario, Gerard; Matsuno, Alessandra K.; Pitrez, Paulo M.; Vo, Pamela; Suzuki, Claudia; Rosario Filho, Nelson; Stein, Renato T.</t>
  </si>
  <si>
    <t xml:space="preserve">The Burden of Single Virus and Viral Coinfections on Severe Lower Respiratory Tract Infections Among Preterm Infants A Prospective Birth Cohort Study in Brazil</t>
  </si>
  <si>
    <t xml:space="preserve">Epidemiology; preterm birth; respiratory viruses; RSV</t>
  </si>
  <si>
    <t xml:space="preserve">REAL-TIME PCR; SYNCYTIAL VIRUS; BRONCHOPULMONARY DYSPLASIA; RISK-FACTORS; HUMAN METAPNEUMOVIRUS; GESTATIONAL-AGE; YOUNG-CHILDREN; 1ST YEAR; PREVALENCE; BRONCHIOLITIS</t>
  </si>
  <si>
    <t xml:space="preserve">Background: Respiratory syncytial virus (RSV) is associated with severe lower respiratory tract infection (LRTI), especially in preterm infants. Other viruses, co-detected with RSV, may play a role in the severity of respiratory outcomes. Methods: This prospective epidemiologic study of severe LRTI incidence among children born &lt;= 35 weeks gestational age at 3 sites in Brazil (2008-2010) followed a birth cohort for 1 year post-enrollment. Nasal washes from subjects with LRTI were tested for respiratory viruses using polymerase chain reaction. The primary outcome was the incidence of severe LRTI requiring hospitalization associated with RSV infection. Secondary outcomes included identification of viruses associated with LRTI, alone or coinfections, and risk factors associated with severe LRTI. Results: Among 303 subjects, 176 (58.1%) experienced LRTI. Among these subjects, 162 had samples tested using polymerase chain reaction; 27.8% (45/162) experienced severe LRTI. More subjects with severe LRTI were infected with RSV (30/45, 66.7%) than with other viruses. RSV was present in 33.1% (143/432) of LRTI events tested, 57.3% (82/143) were coinfections. RSV was the virus most frequently associated with severe LRTIs (34/56 events, 60.7%); 50% (17/34 events) single and 50% coinfections. Significantly longer hospital stays were associated with LRTI events involving RSV coinfections compared with RSV single infections (P = 0.012). Infants with severe LRTIs had significantly lower mean RSV-IgG levels at study entry compared with those with nonsevere or no LRTIs (P &lt; 0.05). Conclusions: This study confirms the association of RSV alone or as a coinfection with severe LRTI and reinforces the importance of providing adequate prophylaxis for susceptible infants.</t>
  </si>
  <si>
    <t xml:space="preserve">[Arruda, Eurico; de Paula, Flavia Escremim; Matsuno, Alessandra K.] Univ Sao Paulo, Sch Med, Dept Cell Biol, BR-14049 Ribeirao Preto, Brazil; [Jones, Marcus H.; Pitrez, Paulo M.; Stein, Renato T.] Pontificia Univ Catolica Rio Grande do Sul, Sch Med, Infant Ctr, Biomed Res Inst, Porto Alegre, RS, Brazil; [Chong, Debora; Rosario Filho, Nelson] Univ Fed Parana, Sch Med, Dept Pediat, BR-80060000 Curitiba, Parana, Brazil; [Bugarin, Gabriela] AbbVie Inc, Med Affairs, Virol, Buenos Aires, DF, Argentina; [Notario, Gerard; Vo, Pamela] AbbVie Inc, Virol Global Project Team, Global Pharmaceut Res &amp; Dev GFN &amp; Global HEOR PV, N Chicago, IL USA; [Suzuki, Claudia] Abbott Brazil, Med Affairs, Sao Paulo, Brazil</t>
  </si>
  <si>
    <t xml:space="preserve">Universidade de Sao Paulo; Pontificia Universidade Catolica Do Rio Grande Do Sul; Universidade Federal do Parana; AbbVie; AbbVie</t>
  </si>
  <si>
    <t xml:space="preserve">Stein, Renato/K-2568-2014; rosario, nelson/K-7205-2012; Arruda, Eurico/E-4101-2012; Pitrez, Paulo/W-2098-2019; Matsuno, Alessandra Kimie/H-9507-2012; Jones, Marcus Herbert/A-3580-2011; Pitrez, Paulo/A-3040-2011</t>
  </si>
  <si>
    <t xml:space="preserve">Matsuno, Alessandra Kimie/0000-0002-3491-1641; STEIN, RENATO/0000-0003-0269-0757; Jones, Marcus Herbert/0000-0002-8263-1265; Pitrez, Paulo/0000-0001-7319-1133</t>
  </si>
  <si>
    <t xml:space="preserve">AbbVie; AbbVie Inc.</t>
  </si>
  <si>
    <t xml:space="preserve">AbbVie(AbbVie); AbbVie Inc.(AbbVie)</t>
  </si>
  <si>
    <t xml:space="preserve">This study was sponsored by AbbVie. AbbVie contributed to the study design, research, analysis and interpretation of data and publication writing, reviewing and approval. The authors determined the final content. No payments were made to the authors for writing this manuscript or performing the study. Medical writing support was provided by Daniel E. McCallus, PhD, at Complete Publication Solutions, LLC; this support was funded by AbbVie Inc. The authors thank the BREVI Study Group for their participation in this study; Rodrigo Sini (Abbott) for assistance in the review of study data; study subinvestigators Taisa Paim (PUC-RS), Camila Parreira Schmidt, MD (PUCRS), Marcia S. Freitas da Motta (HC FMRP USP), Gustavo Xavier Yamaguti (HCFMRP USP) and Juliana Castanheira (HC FMRP USP); study coordinators: Ana Lucia Campelo Prestes (HCUFPR), Giovana dos Santos (PUC-RS), Andreia Tompsen (PUC-RS) and Mariluiza Shizue Iwamoto (HC FMRP USP); study coordinator Marisa Akiko Iwamoto (HC FMRP USP); study CRA Priscila Biegun (Abbott) and study clinical operations manager Karla Salomao (Abbott).</t>
  </si>
  <si>
    <t xml:space="preserve">10.1097/INF.0000000000000349</t>
  </si>
  <si>
    <t xml:space="preserve">AP6PC</t>
  </si>
  <si>
    <t xml:space="preserve">WOS:000342198700005</t>
  </si>
  <si>
    <t xml:space="preserve">Lormeau, B; Foulongne, V; Baccino, E; Adriansen, A; Pidoux, O; Prodhomme, O; Haquet, A; Guyon, G; Jeziorski, E</t>
  </si>
  <si>
    <t xml:space="preserve">Lormeau, B.; Foulongne, V.; Baccino, E.; Adriansen, A.; Pidoux, O.; Prodhomme, O.; Haquet, A.; Guyon, G.; Jeziorski, E.</t>
  </si>
  <si>
    <t xml:space="preserve">Epidemiological survey in a day care center following toddler sudden death due to human metapneumovirus infection</t>
  </si>
  <si>
    <t xml:space="preserve">ARCHIVES DE PEDIATRIE</t>
  </si>
  <si>
    <t xml:space="preserve">Epidemiology; Metapneumovirus; Sudden infant death syndrome; Acute respiratory distress syndrome</t>
  </si>
  <si>
    <t xml:space="preserve">We report the sudden death of a 33-month-old child owing to acute respiratory distress syndrome due to human metapneumovirus (hMPV) infection. Of 30 children attending the same day care centre, 26% and 59% had hMPV and multiple infections, respectively; three of six children with pneumonia had a diagnosis of hMPV. hMPV infection is common in childhood viral co-infections but it can cause sudden death. (C) 2019 French Society of Pediatrics. Published by Elsevier Masson SAS. All rights reserved.</t>
  </si>
  <si>
    <t xml:space="preserve">[Lormeau, B.; Haquet, A.; Guyon, G.; Jeziorski, E.] CHU Montpellier, Dept Urgences Posturgences Pediat, F-34295 Montpellier, France; [Lormeau, B.; Baccino, E.; Adriansen, A.] CHU Montpellier, Dept Med Legale, F-34295 Montpellier, France; [Foulongne, V.] Univ Montpellier I, INSERM, Pathogenesis &amp; Control Chron Infect, F-34295 Montpellier, France; [Foulongne, V.] CHU Montpellier, Dept Bacteriol Virol, F-34295 Montpellier, France; [Pidoux, O.] CHU Montpellier, Dept Pediat Neonatale &amp; Reanimat, F-34295 Montpellier, France; [Prodhomme, O.] CHU Montpellier, Dept Imagerie Pediat, F-34295 Montpellier, France</t>
  </si>
  <si>
    <t xml:space="preserve">Universite de Montpellier; CHU de Montpellier; Universite de Montpellier; CHU de Montpellier; Universite de Montpellier; Institut National de la Sante et de la Recherche Medicale (Inserm); Universite de Montpellier; CHU de Montpellier; Universite de Montpellier; CHU de Montpellier; Universite de Montpellier; CHU de Montpellier</t>
  </si>
  <si>
    <t xml:space="preserve">Lormeau, B (corresponding author), CHU Montpellier, Inst Med Legal Urgences Pediat, 371 Ave Doyen Gaston Giraud, F-34295 Montpellier 5, France.</t>
  </si>
  <si>
    <t xml:space="preserve">b-lormeau@chu-montpellier.fr</t>
  </si>
  <si>
    <t xml:space="preserve">Jeziorski, Eric/AAI-3530-2021</t>
  </si>
  <si>
    <t xml:space="preserve">Jeziorski, Eric/0000-0003-0318-3044</t>
  </si>
  <si>
    <t xml:space="preserve">ISSY-LES-MOULINEAUX</t>
  </si>
  <si>
    <t xml:space="preserve">65 RUE CAMILLE DESMOULINS, CS50083, 92442 ISSY-LES-MOULINEAUX, FRANCE</t>
  </si>
  <si>
    <t xml:space="preserve">0929-693X</t>
  </si>
  <si>
    <t xml:space="preserve">1769-664X</t>
  </si>
  <si>
    <t xml:space="preserve">ARCH PEDIATRIE</t>
  </si>
  <si>
    <t xml:space="preserve">Arch. Pediatr.</t>
  </si>
  <si>
    <t xml:space="preserve">10.1016/j.arcped.2019.10.002</t>
  </si>
  <si>
    <t xml:space="preserve">JZ0OK</t>
  </si>
  <si>
    <t xml:space="preserve">WOS:000504803600007</t>
  </si>
  <si>
    <t xml:space="preserve">Thongpan, I; Suntronwong, N; Vichaiwattana, P; Wanlapakorn, N; Vongpunsawad, S; Poovorawan, Y</t>
  </si>
  <si>
    <t xml:space="preserve">Thongpan, Ilada; Suntronwong, Nungruthai; Vichaiwattana, Preeyaporn; Wanlapakorn, Nasamon; Vongpunsawad, Sompong; Poovorawan, Yong</t>
  </si>
  <si>
    <t xml:space="preserve">Respiratory syncytial virus, human metapneumovirus, and influenza virus infection in Bangkok, 2016-2017</t>
  </si>
  <si>
    <t xml:space="preserve">PEERJ</t>
  </si>
  <si>
    <t xml:space="preserve">Epidemiology; Influenza virus; Respiratory syncytial virus; Human metapneumovirus; Influenza A H3N2; Age group analysis; Viral genotype</t>
  </si>
  <si>
    <t xml:space="preserve">MOLECULAR CHARACTERIZATION; CLINICAL SEVERITY; GENETIC DIVERSITY; TRACT INFECTIONS; UNITED-STATES; GENOTYPE; CHILDREN; DISEASE; EPIDEMIOLOGY; ADULTS</t>
  </si>
  <si>
    <t xml:space="preserve">Children and adults residing in densely populated urban centers around the world are at risk of seasonal influenza-like illness caused by respiratory viruses such as influenza virus, human metapneumovirus (hMPV), and respiratory syncytial virus (RSV). In a large metropolitan of Thailand's capital city Bangkok, most respiratory infections are rarely confirmed by molecular diagnostics. We therefore examined the frequency of RSV, hMPV, and influenza virus in 8,842 patients who presented influenza-like illness and sought medical care at a large hospital in Bangkok between 2016 and 2017. Using a multiplex real-time reverse-transcription polymerase chain reaction (RT-PCR), 30.5% (2,699/8,842) of nasopharyngeal (NP) swab samples tested positive for one or more of these viruses. Influenza virus comprised 17.3% (1,528/8,842), of which the majority were influenza A/H3N2. Such infection was most prevalent among adults and the elderly. RSV was identified in 11.4% (1,011/8,842) and were mostly ON1 and BA9 genotypes. Of the hMPV-positive samples (3.6%, 318/8,842), genotypes A2, B1, and B2 were detected. A small number of individuals experienced co-infections (1.8%, 155/8,842), most commonly between RSV and influenza A/H3N2. RSV and hMPV co-infections were also found, but mainly in young children. Viral respiratory tract infection peaked locally in the rainy season (June to September). These findings support the utility of rapid nucleic acid testing of RSV, hMPV, and influenza virus in patients with ILI.</t>
  </si>
  <si>
    <t xml:space="preserve">[Thongpan, Ilada; Suntronwong, Nungruthai; Vichaiwattana, Preeyaporn; Wanlapakorn, Nasamon; Vongpunsawad, Sompong; Poovorawan, Yong] Chulalongkorn Univ, Fac Med, Ctr Excellence Clin Virol, Dept Pediat, Bangkok, Thailand</t>
  </si>
  <si>
    <t xml:space="preserve">Chulalongkorn University</t>
  </si>
  <si>
    <t xml:space="preserve">Poovorawan, Y (corresponding author), Chulalongkorn Univ, Fac Med, Ctr Excellence Clin Virol, Dept Pediat, Bangkok, Thailand.</t>
  </si>
  <si>
    <t xml:space="preserve">Yong.P@chula.ac.th</t>
  </si>
  <si>
    <t xml:space="preserve">ภู่วรวรรณ, ศนพ.ยง/GZK-8615-2022; Thongpan, Ilada/LCD-6894-2024</t>
  </si>
  <si>
    <t xml:space="preserve">vongpunsawad, sompong/0000-0001-7520-8728</t>
  </si>
  <si>
    <t xml:space="preserve">National Science and Technology Development Agency (NSTDA) for the Research Chair Grant [P-15-50004]; Chulalongkorn University; Center of Excellence in Clinical Virology Chulalongkorn University [GLE 58-014-30-004, RES560530093]; Chulalongkorn Hospital; 100th Anniversary Chulalongkorn University Fund; Overseas Research Experience Scholarship</t>
  </si>
  <si>
    <t xml:space="preserve">National Science and Technology Development Agency (NSTDA) for the Research Chair Grant; Chulalongkorn University(Chulalongkorn University); Center of Excellence in Clinical Virology Chulalongkorn University(Chulalongkorn University); Chulalongkorn Hospital; 100th Anniversary Chulalongkorn University Fund; Overseas Research Experience Scholarship</t>
  </si>
  <si>
    <t xml:space="preserve">This work was supported by the National Science and Technology Development Agency (NSTDA) for the Research Chair Grant (P-15-50004), Chulalongkorn University, the Center of Excellence in Clinical Virology (GLE 58-014-30-004, RES560530093) Chulalongkorn University and Chulalongkorn Hospital. This research was also supported by the 100th Anniversary Chulalongkorn University Fund for doctoral scholarship and the Overseas Research Experience Scholarship for Graduate Student to Ilada Thongpan. The funders had no role in study design, data collection and analysis, decision to publish, or preparation of the manuscript.</t>
  </si>
  <si>
    <t xml:space="preserve">PEERJ INC</t>
  </si>
  <si>
    <t xml:space="preserve">341-345 OLD ST, THIRD FLR, LONDON, EC1V 9LL, ENGLAND</t>
  </si>
  <si>
    <t xml:space="preserve">2167-8359</t>
  </si>
  <si>
    <t xml:space="preserve">PeerJ</t>
  </si>
  <si>
    <t xml:space="preserve">APR 11</t>
  </si>
  <si>
    <t xml:space="preserve">e6748</t>
  </si>
  <si>
    <t xml:space="preserve">10.7717/peerj.6748</t>
  </si>
  <si>
    <t xml:space="preserve">HS8BH</t>
  </si>
  <si>
    <t xml:space="preserve">WOS:000464093500005</t>
  </si>
  <si>
    <t xml:space="preserve">Walker, E; Ison, MG</t>
  </si>
  <si>
    <t xml:space="preserve">Walker, Ellie; Ison, Michael G.</t>
  </si>
  <si>
    <t xml:space="preserve">Respiratory viral infections among hospitalized adults: experience of a single tertiary healthcare hospital</t>
  </si>
  <si>
    <t xml:space="preserve">Epidemiology; infection; outcomes; respiratory; virus</t>
  </si>
  <si>
    <t xml:space="preserve">COMMUNITY-ACQUIRED PNEUMONIA; HUMAN METAPNEUMOVIRUS INFECTION; SYNCYTIAL VIRUS-INFECTION; STEM-CELL; TRANSPLANT RECIPIENTS; RHINOVIRUS INFECTIONS; RISK-FACTORS; INFLUENZA-VIRUS; UNITED-STATES; OUTCOMES</t>
  </si>
  <si>
    <t xml:space="preserve">Background Following the 2009 H1N1 pandemic, there have been a large number of studies focusing on the epidemiology and outcomes of influenza A infection; however, there have been fewer studies focused on other respiratory viral infections. Objectives To define the epidemiology and outcomes of non-influenza respiratory viral infections in hospitalized adults. Patients/Methods Data on all patients &gt;= 18 years of age with a positive molecular respiratory viral assay who were hospitalized at a single tertiary healthcare system in Chicago, IL, from retrospectively collected and analyzed. Results Over the study period, 503 of 46 024 (1.1%) admitted patients had a positive RVP result. Human rhinovirus was the most commonly detected virus followed by influenza A, human metapneumovirus, respiratory syncytial virus, and parainfluenza virus, adenovirus, and influenza B, respectively. Infection in immunocompromised patients was associated with a higher rate of progression to pneumonia and death. Conclusions Non-influenza respiratory viral infections are commonly detected among adults admitted to the hospital and can cause serious illness. The data can inform the prioritization of research into novel antiviral therapies for these infections.</t>
  </si>
  <si>
    <t xml:space="preserve">[Walker, Ellie; Ison, Michael G.] Northwestern Univ, Div Infect Dis, Feinberg Sch Med, Chicago, IL 60611 USA; [Ison, Michael G.] Northwestern Univ, Div Organ Transplantat, Feinberg Sch Med, Chicago, IL 60611 USA</t>
  </si>
  <si>
    <t xml:space="preserve">Northwestern University; Feinberg School of Medicine; Northwestern University; Feinberg School of Medicine</t>
  </si>
  <si>
    <t xml:space="preserve">Ison, MG (corresponding author), Div Infect Dis, 645 N Michigan Ave Suite 900, Chicago, IL 60611 USA.</t>
  </si>
  <si>
    <t xml:space="preserve">NIAID NIH HHS [T32 AI095207] Funding Source: Medline</t>
  </si>
  <si>
    <t xml:space="preserve">10.1111/irv.12237</t>
  </si>
  <si>
    <t xml:space="preserve">AE6PS</t>
  </si>
  <si>
    <t xml:space="preserve">WOS:000334116600003</t>
  </si>
  <si>
    <t xml:space="preserve">Howard, PF; McCaw, JM; Richmond, PC; Nissen, M; Sloots, T; Lambert, SB; Lai, M; Greenberg, M; Nolan, T; McVernon, J</t>
  </si>
  <si>
    <t xml:space="preserve">Howard, Peter F.; McCaw, James M.; Richmond, Peter C.; Nissen, Michael; Sloots, Theo; Lambert, Stephen B.; Lai, Michael; Greenberg, Michael; Nolan, Terry; McVernon, Jodie</t>
  </si>
  <si>
    <t xml:space="preserve">Virus detection and its association with symptoms during influenza-like illness in a sample of healthy adults enrolled in a randomised controlled vaccine trial</t>
  </si>
  <si>
    <t xml:space="preserve">Epidemiology; human; influenza; influenza vaccines; picornavirus infection; respiratory tract infection</t>
  </si>
  <si>
    <t xml:space="preserve">RESPIRATORY VIRUSES; HUMAN METAPNEUMOVIRUS; HUMAN RHINOVIRUSES; COST-EFFECTIVENESS; VIRAL-INFECTION; RT-PCR; CHILDREN; EXACERBATIONS; CORONAVIRUS; IDENTIFICATION</t>
  </si>
  <si>
    <t xml:space="preserve">Background Viral respiratory infections are associated with significant morbidity and mortality. Many new aetiological agents have been described recently. Objectives We looked for respiratory viruses in a population-based sample of healthy adults with influenza-like illness (ILI). We investigated host and spatio-temporal associations with virus isolation and host, spatio-temporal and virus associations with self-reported symptoms. Patients/Methods We recruited 586 participants experiencing 651 illness episodes from a population of healthy adults enrolled in an influenza vaccine effectiveness trial. At ILI assessment visits, a respiratory swab was collected and tested for viruses using a combination of polymerase chain reaction (PCR) assays. Participants also completed a questionnaire detailing their clinical course in 336 episodes. Results Of 643 samples analysed, a virus was identified in 44%. Half were picornaviruses, with influenza and coronaviruses the next most common. Individuals with influenza were significantly less likely to have been immunised than the reference (virus negative) population (OR=0 center dot 52 (0 center dot 31, 0 center dot 87) P=0 center dot 01). The mean symptom score (95% CI) reported by individuals with influenza was significantly higher than in all other episodes [Influenza: 10 center dot 2 (9 center dot 4, 10 center dot 9); Other: 7 center dot 4 (7 center dot 2, 7 center dot 7); Difference (95% CI): 2 center dot 5 (1 center dot 5, 3 center dot 5); P&lt;0 center dot 001]. In an analysis restricted to influenza-positive cases, the symptom score was not attenuated by vaccination. Conclusions Our findings indicate that a greater number of symptoms are displayed by individuals presenting with influenza confirmed ILI compared with other agents that cause ILI. While influenza vaccination reduced the probability of influenza virus detection, symptom score for influenza-positive ILI was not attenuated.</t>
  </si>
  <si>
    <t xml:space="preserve">[Howard, Peter F.; McCaw, James M.; Nolan, Terry; McVernon, Jodie] Univ Melbourne, Murdoch Childrens Res Inst, Parkville, Vic 3010, Australia; [Howard, Peter F.; McCaw, James M.; Nolan, Terry; McVernon, Jodie] Univ Melbourne, Melbourne Sch Populat Hlth, Parkville, Vic 3010, Australia; [Richmond, Peter C.] Univ Western Australia, Sch Paediat &amp; Child Hlth, Perth, WA 6009, Australia; [Richmond, Peter C.] Princess Margaret Hosp Children, Telethon Inst Child Hlth Res, Perth, WA, Australia; [Nissen, Michael; Sloots, Theo; Lambert, Stephen B.] Univ Queensland, Queensland Paediat Infect Dis Lab, Queensland Childrens Med Res Inst, Brisbane, Qld, Australia; [Nissen, Michael; Sloots, Theo; Lambert, Stephen B.] Univ Queensland, Sir Albert Sakzewski Virus Res Ctr, Queensland Childrens Hlth Serv, Brisbane, Qld, Australia; [Lai, Michael; Greenberg, Michael] CSL Ltd, Clin Res &amp; Dev, Parkville, Vic, Australia</t>
  </si>
  <si>
    <t xml:space="preserve">Murdoch Children's Research Institute; University of Melbourne; University of Melbourne; University of Western Australia; Princess Margaret Hospital for Children; The Kids Research Institute Australia; University of Queensland; University of Queensland; CSL</t>
  </si>
  <si>
    <t xml:space="preserve">McCaw, JM (corresponding author), Univ Melbourne, Vaccine &amp; Immunisat Res Grp, Melbourne Sch Populat Hlth, Parkville, Vic 3010, Australia.</t>
  </si>
  <si>
    <t xml:space="preserve">jamesm@unimelb.edu.au</t>
  </si>
  <si>
    <t xml:space="preserve">Lambert, Stephen/N-7819-2019; Nissen, Michael/M-6823-2013; Richmond, Peter/G-3379-2012; Sloots, Theo/E-6118-2011; Greenberg, Michael/IAM-4210-2023; Nolan, Terry/A-2236-2008; Lambert, Stephen/B-8348-2008</t>
  </si>
  <si>
    <t xml:space="preserve">Lambert, Stephen/0000-0002-2709-193X; Lai, Michael/0000-0003-4983-7146; McCaw, James/0000-0002-2452-3098; McVernon, Jodie/0000-0001-9774-1961; Richmond, Peter/0000-0001-7562-7228</t>
  </si>
  <si>
    <t xml:space="preserve">Wyeth Australia; Abbott; Baxter; CSL; GSK; MedImmune; Merck; Novartis; Sanofi-Pasteur; Wyeth; Pfizer; Australian Research Council Linkage Project [LP0989464]; CSL Limited, Victoria, Australia; National Health and Medical Research Council (Australia) Career Development Award [566635]; Australian Research Council [LP0989464] Funding Source: Australian Research Council</t>
  </si>
  <si>
    <t xml:space="preserve">Wyeth Australia(Wyeth); Abbott(Abbott Laboratories); Baxter; CSL; GSK(GlaxoSmithKline); MedImmune(AstraZenecaMedimmune); Merck(Merck &amp; Company); Novartis(Novartis); Sanofi-Pasteur; Wyeth(Wyeth); Pfizer(Pfizer); Australian Research Council Linkage Project(Australian Research Council); CSL Limited, Victoria, Australia; National Health and Medical Research Council (Australia) Career Development Award(National Health &amp; Medical Research Council (NHMRC) of Australia); Australian Research Council(Australian Research Council)</t>
  </si>
  <si>
    <t xml:space="preserve">MN has received travel grants from Wyeth Australia to present independent research at international meetings, and currently and previously has been the principal investigator for clinical trials sponsored by Abbott, Baxter, CSL, GSK, MedImmune, Merck, Novartis, Sanofi-Pasteur, Wyeth, and Pfizer.We thank study staff at the 12 sites for the recruitment of participants and collection of and processing of samples for this substudy. We thank Dale Cooper (CSL Limited) for facilitating study conduct including provision of study data collected by CSL as part of the main vaccine study. Terry Nolan (Vaccination and Immunisation Research Group, Melbourne, Victoria), Peter Richmond (Telethon Institute for Child Health Research, Perth, Western Australia), Jeff Karrasch (Australian Clinical Research Organisation, four sites across Queensland NSW), Helen Marshall (Adelaide Women's and Children's Hospital, Adelaide, South Australia), Sepehr Shakib (CMAX, Adelaide, South Australia), Fred de Looze (Queensland Trialworks, Queensland), John McBride (James Cook University, Cairns, Queensland), Maree O'Sullivan (Hobart Sexual Health Service, Hobart, Tasmania) and Walter Abhayaratna (Australian National University, Canberra, Australian Capital Territory) led the investigation at participating sites. We thank Dr Julie Simpson for statistical advice. This research was supported by an Australian Research Council Linkage Project (LP0989464) with support from CSL Limited, Victoria, Australia. Jodie McVernon is supported by a National Health and Medical Research Council (Australia) Career Development Award (566635).</t>
  </si>
  <si>
    <t xml:space="preserve">10.1111/j.1750-2659.2012.00395.x</t>
  </si>
  <si>
    <t xml:space="preserve">131XX</t>
  </si>
  <si>
    <t xml:space="preserve">WOS:000318033100017</t>
  </si>
  <si>
    <t xml:space="preserve">Zhou, JY; Peng, Y; Peng, XY; Gao, HC; Sun, YP; Xie, LY; Zhong, LL; Duan, ZJ; Xie, ZP; Cao, YD</t>
  </si>
  <si>
    <t xml:space="preserve">Zhou, Jie-ying; Peng, Ying; Peng, Xiao-you; Gao, Han-chun; Sun, Ya-ping; Xie, Le-yun; Zhong, Li-li; Duan, Zhao-jun; Xie, Zhi-ping; Cao, You-de</t>
  </si>
  <si>
    <t xml:space="preserve">Human bocavirus and human metapneumovirus in hospitalized children with lower respiratory tract illness in Changsha, China</t>
  </si>
  <si>
    <t xml:space="preserve">epidemiology; human bocavirus; human metapneumovirus</t>
  </si>
  <si>
    <t xml:space="preserve">REAL-TIME PCR; COMMUNITY-ACQUIRED PNEUMONIA; HUMAN CORONAVIRUS INFECTIONS; YOUNG-CHILDREN; VIRAL LOAD; SYNCYTIAL VIRUS; DISEASE SEVERITY; PREVALENCE; PATHOGENS</t>
  </si>
  <si>
    <t xml:space="preserve">BackgroundLower respiratory tract illness is a major cause of morbidity and mortality in children worldwide, however, information about the epidemiological and clinical characteristics of LRTIs caused by HMPV and HBoV in China is limited. ObjectivesHuman bocavirus (HBoV) and human metapneumovirus (HMPV) are two important viruses for children with lower respiratory tract infections (LRTI). We aimed to assay the correlation between viral load and clinical characteristics of HBoV and HMPV with LRTI in Changsha, China. MethodsNasopharyngeal aspirates (NPAs) from children with LRTI were collected. Real-time PCR was used to screen HBoV and HMPV. Analyses were performed using SPSS 16.0 software. ResultsPneumonia was the most frequent diagnosis. There was no significant difference between HBoV- and HMPV-positive patients in age (P=.506) or hospitalization duration (P=.280); 24.1% and 18.2% were positive for HBoV and HMPV. HBoV infections peaked in summer (32.2%), and HMPV infections peaked in winter (28.9%). The HBoV-positive patients had a shorter hospitalization duration than the HBoV-negative patients (P=.021), and the HMPV-positive patients had a higher prevalence of fever than the HMPV-negative patients (P=.002). The HBoV viral load was significantly higher among patients aged &lt;1year (P=.006). The mean HBoV and HMPV viral loads were not significantly different between patients with single infections and coinfections. Patients infected with HBoV only were older than those coinfected with HBoV and other respiratory viruses (P=.005). No significant difference was found in the clinical characteristics of patients infected with HMPV only and those coinfected with HMPV and other respiratory viruses. ConclusionPneumonia was the most frequent diagnosis caused by HBoV and HMPV. Neither HBoV nor HMPV viral load was correlated with disease severity.</t>
  </si>
  <si>
    <t xml:space="preserve">[Zhou, Jie-ying; Peng, Xiao-you] First Peoples Hosp Hunan Chenzhou, Dept Lab Med, Chenzhou, Peoples R China; [Zhou, Jie-ying; Peng, Ying; Gao, Han-chun; Duan, Zhao-jun; Xie, Zhi-ping] Ctr Dis Control, Key Lab Med Virol, Minist Hlth, Natl Inst Viral Dis Control &amp; Prevent, Beijing, Peoples R China; [Zhou, Jie-ying; Cao, You-de] Hunan Normal Univ, Dept Lab Med, Affiliated Hosp 1, Changsha, Hunan, Peoples R China; [Peng, Ying; Xie, Le-yun; Zhong, Li-li] Hunan Normal Univ, Dept Paediat, Affiliated Hosp 1, Changsha, Hunan, Peoples R China; [Sun, Ya-ping] Yuhang Dist Ctr Dis Control &amp; Prevent, Hangzhou, Zhejiang, Peoples R China</t>
  </si>
  <si>
    <t xml:space="preserve">Chinese Center for Disease Control &amp; Prevention; National Institute for Viral Disease Control &amp; Prevention, Chinese Center for Disease Control &amp; Prevention; Hunan Normal University; Hunan Normal University</t>
  </si>
  <si>
    <t xml:space="preserve">Cao, YD (corresponding author), Hunan Normal Univ, Dept Lab Med, Affiliated Hosp 1, Changsha, Hunan, Peoples R China.;Xie, ZP (corresponding author), CDC China, Natl Inst Viral Dis Control &amp; Prevent, Beijing, Peoples R China.</t>
  </si>
  <si>
    <t xml:space="preserve">xiezhiping@126.com; youde120@aliyun.com</t>
  </si>
  <si>
    <t xml:space="preserve">Cao, You/KEI-2218-2024; peng, ye/GXZ-9245-2022</t>
  </si>
  <si>
    <t xml:space="preserve">Special National Project on Research and Development of Key Biosafety Technologies [2016YFC1201900]; National Natural Science Foundation of China, China [81290345]</t>
  </si>
  <si>
    <t xml:space="preserve">Special National Project on Research and Development of Key Biosafety Technologies; National Natural Science Foundation of China, China(National Natural Science Foundation of China (NSFC))</t>
  </si>
  <si>
    <t xml:space="preserve">This study was funded by the Special National Project on Research and Development of Key Biosafety Technologies (2016YFC1201900) and The National Natural Science Foundation of China (Grant No. 81290345), China</t>
  </si>
  <si>
    <t xml:space="preserve">10.1111/irv.12535</t>
  </si>
  <si>
    <t xml:space="preserve">FW9CU</t>
  </si>
  <si>
    <t xml:space="preserve">WOS:000425634100010</t>
  </si>
  <si>
    <t xml:space="preserve">Windsor, WJ; Lamb, MM; Dominguez, SR; Mistry, RD; Rao, SC</t>
  </si>
  <si>
    <t xml:space="preserve">Windsor, W. Jon; Lamb, Molly M.; Dominguez, Samuel R.; Mistry, Rakesh D.; Rao, Suchitra</t>
  </si>
  <si>
    <t xml:space="preserve">Clinical characteristics and illness course based on pathogen among children with respiratory illness presenting to an emergency department</t>
  </si>
  <si>
    <t xml:space="preserve">epidemiology; hospitalization; infectious diseases; pediatrics; public health; symptom duration</t>
  </si>
  <si>
    <t xml:space="preserve">SYNCYTIAL VIRUS; DISEASE SEVERITY; VIRAL LOAD; INFLUENZA; INFECTIONS; MULTIPLE</t>
  </si>
  <si>
    <t xml:space="preserve">Upper respiratory illnesses due to viruses are the most common reason for pediatric emergency department (ED) visits in the United States. We explored the clinical characteristics, hospitalization risk, and symptom duration of children in an ED setting by respiratory pathogen including coinfections. A retrospective analysis was conducted from a randomized controlled trial evaluating a rapid molecular pathogen panel among 931 children 1 month to 18 years of age with acute respiratory illness. We assessed hospitalization risk by pathogen using multivariable Poisson regression with robust variance. Symptom duration was assessed using multivariable Cox proportional hazards models. Among 931 children, 702 (75%) were aged 0-5 years and 797 (85%) tested positive for a respiratory pathogen. Children with respiratory syncytial virus (RSV), human metapneumovirus (hMPV), and human rhinovirus/enterovirus (HRV/EV) had higher hospitalization risk compared with influenza (adjusted risk ratio [aRR]: 2.95, 95% confidence interval [CI]: 1.17-7.45; 3.56, 95% CI: 1.05-12.02; aRR: 2.58, 95% CI: 1.05-6.35, respectively). Children with RSV, parainfluenza and atypical bacterial pathogens had longer illness duration compared with influenza (adjusted hazards ratio [aHR]: 2.16 95% CI: 1.41-3.29; aHR: 1.67, 95% CI:1.06-2.64; aHR: 2.60 95% CI: 1.30-5.19, respectively). Children with RSV, hMPV, and atypical bacterial pathogens had higher illness severity and duration compared with other respiratory pathogens. Coinfection was not associated with increased illness severity.</t>
  </si>
  <si>
    <t xml:space="preserve">[Windsor, W. Jon; Lamb, Molly M.] Ctr Global Hlth, Dept Epidemiol, Aurora, CO USA; [Windsor, W. Jon; Lamb, Molly M.] Ctr Global Hlth, Colorado Sch Publ Hlth, Aurora, CO USA; [Dominguez, Samuel R.] Univ Colorado, Sch Med, Dept Pediat Infect Dis &amp; Epidemiol Pathol &amp; Lab M, Aurora, CO USA; [Dominguez, Samuel R.; Mistry, Rakesh D.; Rao, Suchitra] Childrens Hosp Colorado, 13123 E 16th Ave,B 055, Aurora, CO 80045 USA; [Mistry, Rakesh D.] Univ Colorado, Sch Med, Dept Pediat Emergency Med, Aurora, CO USA; [Rao, Suchitra] Univ Colorado, Sch Med, Dept Pediat Infect Dis Epidemiol &amp; Hosp Med, 13123 E 16th Ave,B 055, Aurora, CO 80045 USA</t>
  </si>
  <si>
    <t xml:space="preserve">Colorado School of Public Health; University of Colorado System; University of Colorado Anschutz Medical Campus; Children's Hospital Colorado; University of Colorado System; University of Colorado Anschutz Medical Campus; University of Colorado System; University of Colorado Anschutz Medical Campus</t>
  </si>
  <si>
    <t xml:space="preserve">Rao, SC (corresponding author), Childrens Hosp Colorado, 13123 E 16th Ave,B 055, Aurora, CO 80045 USA.;Rao, SC (corresponding author), Univ Colorado, Sch Med, Dept Pediat Infect Dis Epidemiol &amp; Hosp Med, 13123 E 16th Ave,B 055, Aurora, CO 80045 USA.</t>
  </si>
  <si>
    <t xml:space="preserve">suchitra.rao@childrenscolorado.org</t>
  </si>
  <si>
    <t xml:space="preserve">Mistry, Rakesh/ABI-1930-2020</t>
  </si>
  <si>
    <t xml:space="preserve">Biofire</t>
  </si>
  <si>
    <t xml:space="preserve">10.1002/jmv.28031</t>
  </si>
  <si>
    <t xml:space="preserve">5H7KX</t>
  </si>
  <si>
    <t xml:space="preserve">WOS:000835792600001</t>
  </si>
  <si>
    <t xml:space="preserve">Teo, KW; Patel, D; Sisodia, S; Roland, D; Gaillard, EA; Tang, JW</t>
  </si>
  <si>
    <t xml:space="preserve">Teo, Kah Wee; Patel, Deepa; Sisodia, Shilpa; Roland, Damian; Gaillard, Erol A.; Tang, Julian W.</t>
  </si>
  <si>
    <t xml:space="preserve">Rhinovirus persistence during the COVID-19 pandemic-Impact on pediatric acute wheezing presentations</t>
  </si>
  <si>
    <t xml:space="preserve">epidemiology; horizontal transmission; human rhinovirus 1A; infection; pandemics; pathogenesis; respiratory tract; virus classification</t>
  </si>
  <si>
    <t xml:space="preserve">TRANSMISSION; POLLUTION; CARE</t>
  </si>
  <si>
    <t xml:space="preserve">Rhinoviruses have persisted throughout the COVID-19 pandemic, despite other seasonal respiratory viruses (influenza, parainfluenza, respiratory syncytial virus, adenoviruses, human metapneumovirus) being mostly suppressed by pandemic restrictions, such as masking and other forms of social distancing, especially during the national lockdown periods. Rhinoviruses, as nonenveloped viruses, are known to transmit effectively via the airborne and fomite route, which has allowed infection among children and adults to continue despite pandemic restrictions. Rhinoviruses are also known to cause and exacerbate acute wheezing episodes in children predisposed to this condition. Noninfectious causes such as air pollutants (PM2.5, PM10) can also play a role. In this retrospective ecological study, we demonstrate the correlation between UK national sentinel rhinovirus surveillance, the level of airborne particulates, and the changing patterns of pediatric emergency department presentations for acute wheezing, before and during the COVID-19 pandemic (2018-2021) in a large UK teaching hospital.</t>
  </si>
  <si>
    <t xml:space="preserve">[Teo, Kah Wee; Patel, Deepa; Gaillard, Erol A.] Univ Hosp Leicester NHS Trust, Dept Paediat Resp Med, Leicester, Leics, England; [Sisodia, Shilpa] Leicester City Council, Publ Hlth, Leicester, Leics, England; [Roland, Damian] Univ Hosp Leicester NHS Trust, Childrens Emergency Dept, Paediat Emergency Med Leicester Acad PEMLA Grp, Leicester, Leics, England; [Roland, Damian] Univ Leicester, SAPPHIRE Grp, Hlth Sci, Leicester, Leics, England; [Gaillard, Erol A.; Tang, Julian W.] Univ Leicester, Dept Resp Sci, Leicester, Leics, England; [Tang, Julian W.] Univ Hosp Leicester NHS Trust, Dept Clin Microbiol, Leicester Royal Infirm, Leicester, Leics, England</t>
  </si>
  <si>
    <t xml:space="preserve">University of Leicester; University Hospitals of Leicester NHS Trust; University Hospitals of Leicester NHS Trust; University of Leicester; University of Leicester; University of Leicester; University Hospitals of Leicester NHS Trust; University of Leicester</t>
  </si>
  <si>
    <t xml:space="preserve">Tang, JW (corresponding author), Univ Hosp Leicester NHS Trust, Clin Microbiol, Leicester Royal Infirm, Infirm Sq, Leicester LE1 5WW, Leics, England.</t>
  </si>
  <si>
    <t xml:space="preserve">julian.tang@uhl-tr.nhs.uk</t>
  </si>
  <si>
    <t xml:space="preserve">Teo, Kah Wee/GNM-7978-2022; , Julian W Tang/H-2348-2014; Patel, Deepa/LKK-3186-2024; Roland, Damian/D-9553-2018</t>
  </si>
  <si>
    <t xml:space="preserve">Tang, Julian/0000-0002-4963-1028; Roland, Damian/0000-0001-9334-5144; Teo, Kah Wee/0000-0003-4986-171X</t>
  </si>
  <si>
    <t xml:space="preserve">10.1002/jmv.27986</t>
  </si>
  <si>
    <t xml:space="preserve">4M1UX</t>
  </si>
  <si>
    <t xml:space="preserve">WOS:000827934400001</t>
  </si>
  <si>
    <t xml:space="preserve">Annan, A; Ebach, F; Corman, VM; Krumkamp, R; Adu-Sarkodie, Y; Eis-Hübinger, AM; Kruppa, T; Simon, A; May, J; Evans, J; Panning, M; Drosten, C; Drexler, JF</t>
  </si>
  <si>
    <t xml:space="preserve">Annan, A.; Ebach, F.; Corman, V. M.; Krumkamp, R.; Adu-Sarkodie, Y.; Eis-Huebinger, A. M.; Kruppa, T.; Simon, A.; May, J.; Evans, J.; Panning, M.; Drosten, C.; Drexler, J. F.</t>
  </si>
  <si>
    <t xml:space="preserve">Similar virus spectra and seasonality in paediatric patients with acute respiratory disease, Ghana and Germany</t>
  </si>
  <si>
    <t xml:space="preserve">Epidemiology; Germany; Ghana; infant; PCR; respiratory tract infections; viruses</t>
  </si>
  <si>
    <t xml:space="preserve">PCR ASSAYS; TRACT INFECTION; VIRAL ETIOLOGY; DIAGNOSIS</t>
  </si>
  <si>
    <t xml:space="preserve">Epidemiological differences between tropical and temperate regions regarding viruses causing acute respiratory infection are poorly understood. This is in part because methodological differences limit the comparability of data from these two regions. Using identical molecular detection methods, we tested 1174 Ghanaian and 539 German children with acute respiratory infections sampled over 12 months for the 15 most common respiratory viruses by PCR. A total 43.2% of the Ghanaian and 56.6% of the German children tested positive for at least one respiratory virus. The pneumoviruses respiratory syncytial virus and human metapneumovirus were most frequently detected, in 13.1% and 25.1% within the Ghanaian and German children, respectively. At both study sites, pneumoviruses were more often observed at younger ages (p &lt; 0.001). In the Ghanaian rainy season, enveloped viruses were detected twice as often as non-enveloped viruses (prevalence rate ratio (PR) 2.0, 95% CI 1.7-2.4). In contrast, non-enveloped viruses were more frequent during the Ghanaian dry season (PR 0.6, 95% CI 0.4-0.8). In Germany, enveloped viruses were also more frequently detected during the relatively colder winter season (PR 1.6, 95% CI 1.2-2.1) and non-enveloped viruses during summer (PR 0.7, 95% CI 0.5-0.9). Despite a distance of about 5000 km and a difference of 44 degrees latitude separating Germany and Ghana, virus spectra, age associations and seasonal fluctuation showed similarities between sites. Neither respiratory viruses overall, nor environmentally stable (non-enveloped) viruses in particular were more frequent in tropical Ghana. The standardization of our sampling and laboratory testing revealed similarities in acute respiratory infection virus patterns in tropical and temperate climates. (C) 2015 European Society of Clinical Microbiology and Infectious Diseases. Published by Elsevier Ltd. All rights reserved.</t>
  </si>
  <si>
    <t xml:space="preserve">[Annan, A.; Kruppa, T.; Evans, J.] Kumasi Ctr Collaborat Res Trop Med, Kumasi, Ghana; [Ebach, F.; Corman, V. M.; Eis-Huebinger, A. M.; Panning, M.; Drosten, C.; Drexler, J. F.] Univ Bonn, Med Ctr, Inst Virol, D-53127 Bonn, Germany; [Corman, V. M.; Drosten, C.; Drexler, J. F.] German Ctr Infect Res DZIF, Partner Site Bonn Cologne, Cologne, Germany; [Krumkamp, R.; Kruppa, T.; May, J.] BNITM, Hamburg, Germany; [Krumkamp, R.; May, J.] German Ctr Infect Res DZIF, Partner Site Hamburg Lubeck Borstel, Lubeck, Germany; [Adu-Sarkodie, Y.] Kwame Nkrumah Univ Sci &amp; Technol, Sch Med Sci, Dept Clin Microbiol, Kumasi, Ghana; [Simon, A.] Univ Bonn, Childrens Hosp, Med Ctr, Paediat Haematol &amp; Oncol, Bonn, Germany; [Simon, A.] Univ Saarland, Childrens Hosp, Sch Med, Dept Paediat Oncol &amp; Haematol, Homburg, Germany; [Panning, M.] Univ Freiburg, Med Ctr, Inst Virol, Hugstetter Str 55, D-79106 Freiburg, Germany</t>
  </si>
  <si>
    <t xml:space="preserve">Kumasi Center for Collaborative Research; University of Bonn; German Center for Infection Research; University of Cologne; Bernhard Nocht Institut fur Tropenmedizin; German Center for Infection Research; Kwame Nkrumah University Science &amp; Technology; University of Bonn; Saarland University; University of Freiburg</t>
  </si>
  <si>
    <t xml:space="preserve">Drosten, C (corresponding author), Univ Bonn, Med Ctr, Inst Virol, D-53127 Bonn, Germany.</t>
  </si>
  <si>
    <t xml:space="preserve">drosten@virology-bonn.de</t>
  </si>
  <si>
    <t xml:space="preserve">Drexler, Jan Felix/GMW-5098-2022; Panning, Marcus/I-7889-2016; May, Jürgen/E-7857-2011; Sylverken, Augustina/HOF-0890-2023; Drosten, Christian/AFF-8529-2022; Corman, Victor Max/K-1319-2019</t>
  </si>
  <si>
    <t xml:space="preserve">Panning, Marcus/0000-0003-3596-5964; SYLVERKEN, AUGUSTINA/0000-0002-7691-914X; Corman, Victor Max/0000-0002-3605-0136; May, Jurgen/0000-0001-7831-8420; Drexler, Jan Felix/0000-0002-3509-0232</t>
  </si>
  <si>
    <t xml:space="preserve">United Bank of Switzerland Optimus Foundation; European Union FP7 project EMPERIE [223498]</t>
  </si>
  <si>
    <t xml:space="preserve">United Bank of Switzerland Optimus Foundation; European Union FP7 project EMPERIE</t>
  </si>
  <si>
    <t xml:space="preserve">We are grateful to Monika Eschbach-Bludau, Ulrike Reber, Sebastian Brunink, Ulrich Everling and Daniel Schacht for technical support and Alexander N. Lukashev and Ellis Owusu-Dabo for helpful suggestions. Work in Ghana was funded by the United Bank of Switzerland Optimus Foundation, and in Germany by the European Union FP7 project EMPERIE (Grant agreement number 223498).</t>
  </si>
  <si>
    <t xml:space="preserve">10.1016/j.cmi.2015.11.002</t>
  </si>
  <si>
    <t xml:space="preserve">WOS:000375399900008</t>
  </si>
  <si>
    <t xml:space="preserve">Jagusic, M; Slovic, A; Ljubin-Sternak, S; Mlinaric-Galinovic, G; Forcic, D</t>
  </si>
  <si>
    <t xml:space="preserve">Jagusic, Maja; Slovic, Anamarija; Ljubin-Sternak, Suncanica; Mlinaric-Galinovic, Gordana; Forcic, Dubravko</t>
  </si>
  <si>
    <t xml:space="preserve">Genetic diversity of human metapneumovirus in hospitalized children with acute respiratory infections in Croatia</t>
  </si>
  <si>
    <t xml:space="preserve">epidemiology; fusion protein; genetic variability; glycoproteins; human metapneumovirus</t>
  </si>
  <si>
    <t xml:space="preserve">MOLECULAR EPIDEMIOLOGY; PHYLOGENETIC ANALYSIS; SYNCYTIAL VIRUS; YOUNG-CHILDREN; PROTEIN; FUSION; SH; PREVALENCE; SELECTION; SEQUENCE</t>
  </si>
  <si>
    <t xml:space="preserve">Human metapneumovirus (HMPV) is recognized as a global and frequent cause of acute respiratory tract infections among people of all ages. The objectives of this study were molecular epidemiology and evolutionary analysis of HMPV strains which produced moderate and severe acute respiratory tract infections in children in Croatia during four consecutive seasons (2011-2014). A total of 117 HMPV-positive samples collected from hospitalized pediatric patients presenting with acute respiratory tract infections and tested by direct immunofluorescence assay were first analyzed by amplifying a part of the F gene. Sixteen samples were further analyzed based on complete F, G, and SH gene sequences. HMPV genome was identified in 92 of 117 samples (78%) and the circulation of multiple lineages of HMPV was confirmed. In 2011, 2012, and 2014, subgroups A2 and B2 co-circulated, while B1 gained prevalence in 2013 and 2014. The study established the presence of a novel subcluster A2c in Croatia. This subcluster has only recently been detected in East and Southeast Asia. This study provides new insights into epidemiology and genetic diversity of HMPV in this part of Europe.</t>
  </si>
  <si>
    <t xml:space="preserve">[Jagusic, Maja; Slovic, Anamarija; Forcic, Dubravko] Univ Zagreb, Ctr Res &amp; Knowledge Transfer Biotechnol, Rockefellerova 10, Zagreb 10000, Croatia; [Jagusic, Maja; Slovic, Anamarija; Forcic, Dubravko] CERVirVac, Ctr Excellence Viral Immunol &amp; Vaccines, Rijeka, Croatia; [Ljubin-Sternak, Suncanica] Teaching Inst Publ Hlth Dr Andrija Stampar, Zagreb, Croatia; [Ljubin-Sternak, Suncanica; Mlinaric-Galinovic, Gordana] Univ Zagreb, Sch Med, Zagreb, Croatia</t>
  </si>
  <si>
    <t xml:space="preserve">University of Zagreb; University of Rijeka; University of Zagreb; University of Zagreb</t>
  </si>
  <si>
    <t xml:space="preserve">Jagusic, M (corresponding author), Univ Zagreb, Ctr Res &amp; Knowledge Transfer Biotechnol, Rockefellerova 10, Zagreb 10000, Croatia.</t>
  </si>
  <si>
    <t xml:space="preserve">mmarkusi@unizg.hr</t>
  </si>
  <si>
    <t xml:space="preserve">Jagusic (nee Markusic), Maja/0000-0003-4952-9776; Slovic, Anamarija/0000-0003-3137-0576</t>
  </si>
  <si>
    <t xml:space="preserve">Croatian Science Foundation [6255]</t>
  </si>
  <si>
    <t xml:space="preserve">Croatian Science Foundation, Grant number: 6255</t>
  </si>
  <si>
    <t xml:space="preserve">10.1002/jmv.24884</t>
  </si>
  <si>
    <t xml:space="preserve">FH3PJ</t>
  </si>
  <si>
    <t xml:space="preserve">WOS:000411061400001</t>
  </si>
  <si>
    <t xml:space="preserve">Pogka, V; Kossivakis, A; Kalliaropoulos, A; Moutousi, A; Sgouras, D; Panagiotopoulos, T; Chrousos, GP; Theodoridou, M; Syriopoulou, VP; Mentis, AF</t>
  </si>
  <si>
    <t xml:space="preserve">Pogka, Vasiliki; Kossivakis, Athanasios; Kalliaropoulos, Antonios; Moutousi, Afroditi; Sgouras, Dionyssios; Panagiotopoulos, Takis; Chrousos, George P.; Theodoridou, Maria; Syriopoulou, Vassiliki P.; Mentis, Andreas F.</t>
  </si>
  <si>
    <t xml:space="preserve">Respiratory Viruses Involved in Influenza-Like Illness in a Greek Pediatric Population During the Winter Period of the Years 2005-2008</t>
  </si>
  <si>
    <t xml:space="preserve">epidemiology; children; polymerase chain reaction; coinfection; Greece</t>
  </si>
  <si>
    <t xml:space="preserve">REVERSE TRANSCRIPTION-PCR; REAL-TIME PCR; SYNCYTIAL-VIRUS; HUMAN METAPNEUMOVIRUS; HUMAN BOCAVIRUS; HOSPITALIZED CHILDREN; RHINOVIRUS INFECTIONS; SEVERE BRONCHIOLITIS; DIAGNOSTIC VIROLOGY; TRACT INFECTIONS</t>
  </si>
  <si>
    <t xml:space="preserve">Viruses are the major cause of pediatric respiratory tract infection and yet many suspected cases of illness remain uncharacterized. This study aimed to determine the distribution of several respiratory viruses in children diagnosed as having influenza-like illness, over the winter period of 2005-2008. Molecular assays including conventional and real time PCR protocols, were employed to screen respiratory specimens, collected by clinicians of the Influenza sentinel system and of outpatient pediatric clinics, for identification of several respiratory viruses. Of 1,272 specimens tested, 814 (64%) were positive for at least one virus and included 387 influenza viruses, 160 rhinoviruses, 155 respiratory syncytial viruses, 95 adenoviruses, 81 bocaviruses, 47 parainfluenza viruses, 44 metapneumoviruses, and 30 coronaviruses. Simultaneous presence of two or three viruses was observed in 173 of the above positive cases, 21% of which included influenza virus and rhinovirus. The majority of positive cases occurred during January and February. Influenza virus predominated in children older than 1 year old, with type B being the dominant type for the first season and subtypes A/H3N2 and A/H1N1 the following two winter seasons, respectively. Respiratory syncytial virus prevailed in children younger than 2 years old, with subtypes A and B alternating from year to year. This is the most comprehensive study of the epidemiology of respiratory viruses in Greece, indicating influenza, rhinovirus and respiratory syncytial virus as major contributors to influenza-like illness in children. J. Med. Virol. 83:1841-1848, 2011. (C) 2011 Wiley-Liss, Inc.</t>
  </si>
  <si>
    <t xml:space="preserve">[Pogka, Vasiliki; Kossivakis, Athanasios; Kalliaropoulos, Antonios; Moutousi, Afroditi; Sgouras, Dionyssios; Mentis, Andreas F.] Hellenic Pasteur Inst, Natl Influenza Reference Lab So Greece, Athens 11521, Greece; [Panagiotopoulos, Takis] Hellen Ctr Dis Control &amp; Prevent, Athens, Greece; [Chrousos, George P.; Theodoridou, Maria; Syriopoulou, Vassiliki P.] Univ Athens, Dept Pediat 1, Aghia Sophia Childrens Hosp, Sch Med, Athens 11528, Greece</t>
  </si>
  <si>
    <t xml:space="preserve">Athens Medical School; The Aghia Sophia Children's Hospital; National &amp; Kapodistrian University of Athens</t>
  </si>
  <si>
    <t xml:space="preserve">Mentis, AF (corresponding author), Hellenic Pasteur Inst, Natl Influenza Reference Lab So Greece, Vas Sofias 127, Athens 11521, Greece.</t>
  </si>
  <si>
    <t xml:space="preserve">mentis@pasteur.gr</t>
  </si>
  <si>
    <t xml:space="preserve">Pogka, Vasiliki/H-7602-2019; Chrousos, George/G-8702-2011; Sgouras, Dionyssios Nicholas/D-9943-2012</t>
  </si>
  <si>
    <t xml:space="preserve">POGKA, VASILIKI/0000-0002-1543-2418; Sgouras, Dionyssios Nicholas/0000-0003-0975-2607</t>
  </si>
  <si>
    <t xml:space="preserve">Hellenic Centre for Disease Control and Prevention (HCDCP)</t>
  </si>
  <si>
    <t xml:space="preserve">Grant sponsor: Hellenic Centre for Disease Control and Prevention (HCDCP; partial support).</t>
  </si>
  <si>
    <t xml:space="preserve">10.1002/jmv.22173</t>
  </si>
  <si>
    <t xml:space="preserve">WOS:000293985900023</t>
  </si>
  <si>
    <t xml:space="preserve">Liu, S; Lei, Y; Chen, XX; Wen, ZH; Mei, B</t>
  </si>
  <si>
    <t xml:space="preserve">Liu, Shun; Lei, Yao; Chen, Xiuxiu; Wen, Zihan; Mei, Bing</t>
  </si>
  <si>
    <t xml:space="preserve">Epidemiological characteristics of respiratory pathogens infections among children after the removal of non-pharmaceutical interventions in central China</t>
  </si>
  <si>
    <t xml:space="preserve">Epidemiological characteristics; Respiratory pathogens; Non-pharmaceutical interventions; COVID-19; Jingzhou</t>
  </si>
  <si>
    <t xml:space="preserve">DEATHS</t>
  </si>
  <si>
    <t xml:space="preserve">Background During the COVID-19 pandemic between 2020 and 2022 in China, various non-pharmaceutical interventions (NPIs) were implemented to reduce the spread of SARS-CoV-2 and other respiratory pathogens. From 2023, China downgraded the management of COVID-19, and compliance with NPIs was no longer mandatory. This study aimed to reveal the epidemiological characteristics of respiratory pathogens in 2023 after the removal of NPIs in central China. Methods Respiratory specimens of children with acute respiratory infections (ARIs) were obtained to detect seven common respiratory pathogens, including influenza A (FluA), influenza B (FluB), adenovirus (ADV), human rhinovirus (HRV), human respiratory syncytial virus (HRSV), human metapneumovirus (HMPV), Mycoplasma pneumoniae (MP). From January 2022 to December 2023, a total of 5423 specimens were collected, including 1122 children in 2022 and 4301 children in 2023. Results One or more pathogens were detected in 62.50% specimens in 2023, significantly higher than that in 2022 (44.12%). HRV (13.81%) was the most common pathogen in 2022, whereas MP (24.67%) was predominant in 2023. There was no significant difference in the overall prevalence of HRV, HRSV and HMPV between 2022 and 2023. HRSV was the most common pathogen in the &lt; 1 years children both in 2022 and 2023. However in the &gt;= 7 years group, FluB was the predominant pathogen in 2022 whereas MP ranked first in 2023. Co-detection were significantly more frequent in 2023 compared to 2022. Conclusions The removal of NPIs significantly increased the infection rates of the respiratory pathogens among children. Some NPIs, such as wearing mask and hand hygiene are necessary to decrease the prevalence of certain pathogens.</t>
  </si>
  <si>
    <t xml:space="preserve">[Liu, Shun; Lei, Yao; Chen, Xiuxiu; Wen, Zihan; Mei, Bing] Yangtze Univ, Jingzhou Hosp, Dept Lab Med, Jingzhou, Hubei, Peoples R China</t>
  </si>
  <si>
    <t xml:space="preserve">Yangtze University</t>
  </si>
  <si>
    <t xml:space="preserve">Mei, B (corresponding author), Yangtze Univ, Jingzhou Hosp, Dept Lab Med, Jingzhou, Hubei, Peoples R China.</t>
  </si>
  <si>
    <t xml:space="preserve">meibing008@163.com</t>
  </si>
  <si>
    <t xml:space="preserve">Chen, Xiuxiu/HNI-0779-2023</t>
  </si>
  <si>
    <t xml:space="preserve">Key Research and Development Plan Project Supporting Local Special Funds in the Field of Comprehensive Health of Hubei Province</t>
  </si>
  <si>
    <t xml:space="preserve">We thank those who contributed to the publication of the article.</t>
  </si>
  <si>
    <t xml:space="preserve">NOV 26</t>
  </si>
  <si>
    <t xml:space="preserve">10.1186/s12985-024-02579-5</t>
  </si>
  <si>
    <t xml:space="preserve">N3P5G</t>
  </si>
  <si>
    <t xml:space="preserve">WOS:001363499100001</t>
  </si>
  <si>
    <t xml:space="preserve">Choi, EJ; Ren, YP; Chen, Y; Liu, SX; Wu, WZ; Ren, JP; Wang, PY; Garofalo, RP; Zhou, J; Bao, XY</t>
  </si>
  <si>
    <t xml:space="preserve">Choi, Eun-Jin; Ren, Yuping; Chen, Yu; Liu, Shengxuan; Wu, Wenzhe; Ren, Junping; Wang, Pingyuan; Garofalo, Roberto P.; Zhou, Jia; Bao, Xiaoyong</t>
  </si>
  <si>
    <t xml:space="preserve">Exchange Proteins Directly Activated by cAMP and Their Roles in Respiratory Syncytial Virus Infection</t>
  </si>
  <si>
    <t xml:space="preserve">EPAC; RSV; replication and immune response; EPAC2; inflammation; replication</t>
  </si>
  <si>
    <t xml:space="preserve">NF-KAPPA-B; INTERFERON REGULATORY FACTOR-3; HUMAN METAPNEUMOVIRUS; EPITHELIAL-CELLS; GENE-EXPRESSION; DISEASE SEVERITY; CYCLIC-AMP; DENDRITIC CELLS; SMALL MOLECULES; RSV INFECTION</t>
  </si>
  <si>
    <t xml:space="preserve">Respiratory syncytial virus (RSV) is the leading cause of respiratory infection in young children and high-risk adults. However, a specific treatment for this viral infection is not currently available. In this study, we discovered that an exchange protein directly activated by cyclic AMP (EPAC) can serve as a potential therapeutic target for RSV. In both lower and upper epithelial cells, treatment with EPAC inhibitor (ESI-09), but not protein kinase A inhibitor (H89), significantly inhibits RSV replication and proinflammatory cytokine/chemokine induction. In addition, RSV-activated transcriptional factors belonging to the NF-kappa B and IRF families are also suppressed by ESI-09. Through isoform-specific gene knockdown, we found that EPAC2, but not EPAC1, plays a dominant role in controlling RSV replication and virus-induced host responses. Experiments using both EPAC2 knockout and EPAC2-specific inhibitor support such roles of EPAC2. Therefore, EPAC2 is a promising therapeutic target to regulate RSV replication and associated inflammation. IMPORTANCE RSV is a serious public health problem, as it is associated with bronchiolitis, pneumonia, and asthma exacerbations. Currently no effective treatment or vaccine is available, and many molecular mechanisms regarding RSV-induced lung disease are still significantly unknown. This project aims to elucidate an important and novel function of a protein, called EPAC2, in RSV replication and innate inflammatory responses. Our results should provide an important insight into the development of new pharmacologic strategies against RSV infection, thereby reducing RSV-associated morbidity and mortality.</t>
  </si>
  <si>
    <t xml:space="preserve">[Choi, Eun-Jin; Ren, Yuping; Chen, Yu; Liu, Shengxuan; Wu, Wenzhe; Ren, Junping; Garofalo, Roberto P.; Bao, Xiaoyong] Univ Texas Med Branch, Dept Pediat, Galveston, TX 77555 USA; [Ren, Yuping] Huazhong Univ Sci &amp; Technol, TongJi Med Coll, TongJi Hosp, Dept Plast &amp; Cosmet Surg, Wuhan, Hubei, Peoples R China; [Chen, Yu; Liu, Shengxuan] Huazhong Univ Sci &amp; Technol, TongJi Med Coll, TongJi Hosp, Dept Pediat, Wuhan, Hubei, Peoples R China; [Wang, Pingyuan; Zhou, Jia] Univ Texas Med Branch, Dept Pharmacol &amp; Toxicol, Galveston, TX 77555 USA; [Garofalo, Roberto P.; Zhou, Jia; Bao, Xiaoyong] Univ Texas Med Branch, Sealy Ctr Mol Med, Galveston, TX 77555 USA; [Garofalo, Roberto P.; Zhou, Jia; Bao, Xiaoyong] Univ Texas Med Branch, Inst Translat Sci, Galveston, TX 77555 USA; [Garofalo, Roberto P.; Bao, Xiaoyong] Univ Texas Med Branch, Inst Human Infect &amp; Immun, Galveston, TX 77555 USA</t>
  </si>
  <si>
    <t xml:space="preserve">University of Texas System; University of Texas Medical Branch Galveston; Huazhong University of Science &amp; Technology; Huazhong University of Science &amp; Technology; University of Texas System; University of Texas Medical Branch Galveston; University of Texas System; University of Texas Medical Branch Galveston; University of Texas System; University of Texas Medical Branch Galveston; University of Texas System; University of Texas Medical Branch Galveston</t>
  </si>
  <si>
    <t xml:space="preserve">Bao, XY (corresponding author), Univ Texas Med Branch, Dept Pediat, Galveston, TX 77555 USA.;Bao, XY (corresponding author), Univ Texas Med Branch, Sealy Ctr Mol Med, Galveston, TX 77555 USA.;Bao, XY (corresponding author), Univ Texas Med Branch, Inst Translat Sci, Galveston, TX 77555 USA.;Bao, XY (corresponding author), Univ Texas Med Branch, Inst Human Infect &amp; Immun, Galveston, TX 77555 USA.</t>
  </si>
  <si>
    <t xml:space="preserve">ren, jun/KHG-7717-2024; Wang, Pingyuan/U-8680-2019; Garofalo, Roberto/ABL-2322-2022</t>
  </si>
  <si>
    <t xml:space="preserve">Wang, Pingyuan/0009-0005-0368-5070</t>
  </si>
  <si>
    <t xml:space="preserve">National Institute of Allergy and Infectious Diseases, NIH [1R01AI107033-01, R21AI113771-01A1]; Flight Attendant Medical Research Institute Clinical Innovator Award; UTMB CTSA - NCATS [UL1TR001439]</t>
  </si>
  <si>
    <t xml:space="preserve">National Institute of Allergy and Infectious Diseases, NIH(United States Department of Health &amp; Human ServicesNational Institutes of Health (NIH) - USANIH National Institute of Allergy &amp; Infectious Diseases (NIAID)); Flight Attendant Medical Research Institute Clinical Innovator Award; UTMB CTSA - NCATS</t>
  </si>
  <si>
    <t xml:space="preserve">This work was supported by grants from the National Institute of Allergy and Infectious Diseases, NIH (1R01AI107033-01 and R21AI113771-01A1), and a Flight Attendant Medical Research Institute Clinical Innovator Award to X.B.We thank Animesh Chandra for assistance with manuscript editing and Cynthia Tribble for graphics preparation. A. Chandra is supported by the UTMB CTSA, funded by NCATS grant UL1TR001439. We thank Kimberly Palkowetz for technical assistance.</t>
  </si>
  <si>
    <t xml:space="preserve">e01200-18</t>
  </si>
  <si>
    <t xml:space="preserve">10.1128/JVI.01200-18</t>
  </si>
  <si>
    <t xml:space="preserve">GY4ZA</t>
  </si>
  <si>
    <t xml:space="preserve">WOS:000448576900016</t>
  </si>
  <si>
    <t xml:space="preserve">Banerjee, S; Sullender, WM; Ahuja, RK; Broor, S</t>
  </si>
  <si>
    <t xml:space="preserve">Banerjee, S.; Sullender, W. M.; Ahuja, R. K.; Broor, S.</t>
  </si>
  <si>
    <t xml:space="preserve">Seroepidemiological study of human metapneumovirus in New Delhi, India</t>
  </si>
  <si>
    <t xml:space="preserve">Enzyme linked immunosorbant assay; human metapneumovirus; seroprevalence</t>
  </si>
  <si>
    <t xml:space="preserve">LINKED-IMMUNOSORBENT-ASSAY; RESPIRATORY SYNCYTIAL VIRUS; HIGH SEROPREVALENCE; YOUNG-CHILDREN; PROTEIN; INFECTIONS; ANTIBODIES; HMPV</t>
  </si>
  <si>
    <t xml:space="preserve">Purpose: There are a few seroepidemiological studies reported on human metapneumovirus (hMPV) as hMPV was only discovered in the year 2001. This respiratory virus has been reported to be ubiquitous and associated with respiratory tract infections in all age groups. The present study aimed at determining the prevalence of antibodies to hMPV in children and adults of 1 month to 55 years of age. Materials and Methods: Serum samples from 100 study subjects were tested for hMPV antibody by an in-house ELISA system that used hMPV-infected cell lysate antigen. Result: The prevalence of antibody to hMPV was lowest in children less than 5 years of age (60%) and increased throughout age to &gt; 80%. Similarly, geometric mean titres were 1: 180 in children less than 5 years of age and reached a peak of 1: 419 in adults over 35 years of age. Conclusion: The results show that hMPV infection is acquired early in life and re-infection in later life may maintain the seroprevalence and antibody levels in adult population.</t>
  </si>
  <si>
    <t xml:space="preserve">[Broor, S.] All India Inst Med Sci, Dept Microbiol, New Delhi 110029, India; [Sullender, W. M.] Univ Alabama, Birmingham, AL 35233 USA</t>
  </si>
  <si>
    <t xml:space="preserve">All India Institute of Medical Sciences (AIIMS) New Delhi; University of Alabama System; University of Alabama Birmingham</t>
  </si>
  <si>
    <t xml:space="preserve">Broor, Shobha/AAX-4163-2021; Banerjee, Sagarika/AAR-2682-2020</t>
  </si>
  <si>
    <t xml:space="preserve">Banerjee, Sagarika/0000-0002-4549-3342</t>
  </si>
  <si>
    <t xml:space="preserve">Council for Scientific and Industrial research (CSIR); National Institute of Health (NIH) [MPV R21]</t>
  </si>
  <si>
    <t xml:space="preserve">Council for Scientific and Industrial research (CSIR)(Council of Scientific &amp; Industrial Research (CSIR) - India); National Institute of Health (NIH)(United States Department of Health &amp; Human ServicesNational Institutes of Health (NIH) - USA)</t>
  </si>
  <si>
    <t xml:space="preserve">We thank Council for Scientific and Industrial research (CSIR) for financial support to Sagarika Banerjee and National Institute of Health (NIH) for providing financial assistance for the project. We would also like to thank Mr. Yashpal Yadav and Ms. Prema Nair for technical assistance.National Institute of Health (NIH; grant MPV R21),</t>
  </si>
  <si>
    <t xml:space="preserve">OCT-DEC</t>
  </si>
  <si>
    <t xml:space="preserve">10.4103/0255-0857.90162</t>
  </si>
  <si>
    <t xml:space="preserve">854TD</t>
  </si>
  <si>
    <t xml:space="preserve">WOS:000297516500008</t>
  </si>
  <si>
    <t xml:space="preserve">Bhardwaj, SD; Potdar, VA; Yadav, PD; Chaudhary, ML; Chadha, MS; Mourya, D</t>
  </si>
  <si>
    <t xml:space="preserve">Bhardwaj, Sumit D.; Potdar, Varsha A.; Yadav, Pragya D.; Chaudhary, Manohar L.; Chadha, Mandeep S.; Mourya, Devendra</t>
  </si>
  <si>
    <t xml:space="preserve">A case report of the enterovirus-D68 associated severe acute respiratory illness in a pediatric case from India</t>
  </si>
  <si>
    <t xml:space="preserve">Enterovirus D68; Genome; India; NGS; Respiratory illness</t>
  </si>
  <si>
    <t xml:space="preserve">D68</t>
  </si>
  <si>
    <t xml:space="preserve">Since, early 2000s, there have been several clusters of enterovirus-D68 (EV D68) associated respiratory illness reported from various countries. Recent largest and most wide-spread outbreak of EV-D68 associated severe acute respiratory illness (SARI) occurred in North America. Present report describes a case of EV-D68 associated severe acute respiratory illness from India with a whole genome sequence. The case was identified through retrospective analysis of Influenza SARI surveillance sample collected during September 2017 using Next Generation sequencing. EV D68 positive child aged two years and presented with asthma like symptoms for which he was admitted to ICU. The child tested negative for Influenza, RSV, Rhinovirus, PIV, hMPV and adenovirus, on real time RT-PCR. And on NGS full EV D68 genome was retrieved belonging to sub-clade B3. In ICU, child received anti-bacterial and anti-viral therapy. The child recovered with-out any sequelae and was discharged one week later. Present report highlights the importance of studying this emergent virus EV-D68 through prospective studies to understand the burden and epidemiological pattern in the country and its implications. (C) 2019 The Authors. Published by Elsevier Limited on behalf of King Saud Bin Abdulaziz University for Health Sciences. This is an open access article under the CC BY-NC-ND license (hap:// creativecommons.org/licenses/by-nc-nd/4.0/).</t>
  </si>
  <si>
    <t xml:space="preserve">[Bhardwaj, Sumit D.; Potdar, Varsha A.; Yadav, Pragya D.; Chaudhary, Manohar L.; Chadha, Mandeep S.; Mourya, Devendra] Natl Inst Virol, Pune 411001, Maharashtra, India</t>
  </si>
  <si>
    <t xml:space="preserve">Indian Council of Medical Research (ICMR); ICMR - National Institute of Virology (NIV)</t>
  </si>
  <si>
    <t xml:space="preserve">Mourya, D (corresponding author), Natl Inst Virol, Pune 411001, Maharashtra, India.</t>
  </si>
  <si>
    <t xml:space="preserve">directorniv@gmail.com</t>
  </si>
  <si>
    <t xml:space="preserve">Potdar, Varsha/ABA-3799-2021; Yadav, Pragya/AAR-2431-2021</t>
  </si>
  <si>
    <t xml:space="preserve">Yadav, Pragya/0000-0002-0861-7166</t>
  </si>
  <si>
    <t xml:space="preserve">Centre for Disease Control and Prevention, Atlanta, USA under Co-operative agreement DHHS CDC [1U2GGH001903-01]</t>
  </si>
  <si>
    <t xml:space="preserve">Centre for Disease Control and Prevention, Atlanta, USA under Co-operative agreement DHHS CDC</t>
  </si>
  <si>
    <t xml:space="preserve">Financial support was provided from Centre for Disease Control and Prevention, Atlanta, USA under Co-operative agreement DHHS CDC, Grant No 1U2GGH001903-01. Authors do not have any conflict of interest.</t>
  </si>
  <si>
    <t xml:space="preserve">10.1016/j.jiph.2019.04.013</t>
  </si>
  <si>
    <t xml:space="preserve">JJ2OD</t>
  </si>
  <si>
    <t xml:space="preserve">WOS:000494000800026</t>
  </si>
  <si>
    <t xml:space="preserve">Debiaggi, M; Ceresola, ER; Sampaolo, M; Alessandrino, EP; Brerra, R; Piazza, A; Clementi, M; Canducci, F</t>
  </si>
  <si>
    <t xml:space="preserve">Debiaggi, Maurizia; Ceresola, Elisa Rita; Sampaolo, Michela; Alessandrino, Emilio Paolo; Brerra, Roberto; Piazza, Aurora; Clementi, Massimo; Canducci, Filippo</t>
  </si>
  <si>
    <t xml:space="preserve">Epidemiological, molecular and clinical features of Enterovirus 109 infection in children and in adult stem cell transplant recipients</t>
  </si>
  <si>
    <t xml:space="preserve">Enterovirus 109; Rhinoviruses; Acute respiratory disease</t>
  </si>
  <si>
    <t xml:space="preserve">HUMAN METAPNEUMOVIRUS INFECTION; RHINOVIRUSES; CORONAVIRUS; INFANTS</t>
  </si>
  <si>
    <t xml:space="preserve">Background: A novel human enterovirus (HEV) type within the species HEV-C, named EV109, was discovered from cases of respiratory illness in Nicaragua in September 2010. The aim of this study, was to retrospectively examine the presence and the role of EV109 in respiratory samples from two patients populations; infants below the age of 2 years, hospitalized for acute respiratory diseases (ARDs) and adult hematopoietic stem cell transplantation recipients. Results: A total of 1149 nasopharingeal aspirates were collected and tested for the presence of EV109 by reverse transcription-PCR (RT-PCR). In positive samples, the presence of the most common respiratory viruses was also assayed and clinical symptoms were evaluated. Samples from 2 of the 974 infants tested positive for EV109 RNA (0.2%) and belonged to patients with lower ARDs; co-infection with other viral pathogens under study was observed in both cases. In transplant recipients, one out of the 175 samples analyzed, from a patients with upper respiratory simptoms tested positive for HEV 109 in the absence of co-infecting viruses. Sequence analysis of amplified EV109 genomic regions, showed only a few nucleotide differences when compared with the Nicaraguan strains. Conclusions: Overall these results indicate that HEV109 variants have circulated and differentiated in different lineages worldwide. Although more cases and larger studies are needed, HEV109 infection may be associated to ARDs both in infants and in hematopoietic stem cell transplantation recipients. If these preliminary observations will be confirmed, improved molecular methods with a wider panel of potential pathogens will be useful for monitoring these categories of patients.</t>
  </si>
  <si>
    <t xml:space="preserve">[Ceresola, Elisa Rita; Sampaolo, Michela; Clementi, Massimo; Canducci, Filippo] San Raffaele Univ, San Raffaele Sci Inst, Lab Microbiol &amp; Virol, Milan, Italy; [Debiaggi, Maurizia; Brerra, Roberto; Piazza, Aurora] Univ Pavia, Dept Morphol &amp; Clin Sci, Microbiol Sect, I-27100 Pavia, Italy; [Alessandrino, Emilio Paolo] Policlin San Matteo, Fdn Ist Ricovero &amp; Cura Carattere Sci, Div Hematol, I-27100 Pavia, Italy</t>
  </si>
  <si>
    <t xml:space="preserve">Vita-Salute San Raffaele University; IRCCS Ospedale San Raffaele; University of Pavia; IRCCS Fondazione San Matteo</t>
  </si>
  <si>
    <t xml:space="preserve">Canducci, F (corresponding author), San Raffaele Univ, San Raffaele Sci Inst, Lab Microbiol &amp; Virol, Milan, Italy.</t>
  </si>
  <si>
    <t xml:space="preserve">canducci.filippo@hsr.t</t>
  </si>
  <si>
    <t xml:space="preserve">Clementi, Massimo/F-6646-2013</t>
  </si>
  <si>
    <t xml:space="preserve">Canducci, Filippo/0000-0002-5637-6205; Piazza, Aurora/0000-0003-0535-2542; Clementi, Massimo/0000-0002-7461-5898</t>
  </si>
  <si>
    <t xml:space="preserve">SEP 4</t>
  </si>
  <si>
    <t xml:space="preserve">10.1186/1743-422X-9-183</t>
  </si>
  <si>
    <t xml:space="preserve">023AO</t>
  </si>
  <si>
    <t xml:space="preserve">WOS:000310005500001</t>
  </si>
  <si>
    <t xml:space="preserve">Lee, SJ; Kim, JM; Keum, H; Kim, SW; Baek, HS; Byun, JC; Kim, YK; Kim, S; Lee, JM</t>
  </si>
  <si>
    <t xml:space="preserve">Lee, Seon Jin; Kim, Jeong Min; Keum, Ha Rim; Kim, Sang Won; Baek, Hee Sun; Byun, Jun Chul; Kim, Yu Kyung; Kim, Saeyoon; Lee, Jae Min</t>
  </si>
  <si>
    <t xml:space="preserve">Seasonal Trends in the Prevalence and Incidence of Viral Encephalitis in Korea (2015-2019)</t>
  </si>
  <si>
    <t xml:space="preserve">encephalitis; respiratory syncytial virus; coronavirus; influenza virus; norovirus</t>
  </si>
  <si>
    <t xml:space="preserve">HUMAN METAPNEUMOVIRUS; CEREBROSPINAL-FLUID; UNITED-STATES; NEUROLOGIC COMPLICATIONS; HUMAN BOCAVIRUS; CHILDREN; EPIDEMIOLOGY; ENCEPHALOPATHY; INFLUENZA; INFECTION</t>
  </si>
  <si>
    <t xml:space="preserve">Viral infections are a common cause of encephalitis. This study investigated the relationship between the incidence of encephalitis and that of respiratory and enteric viral infections in all age groups from 2015 to 2019, using the Health Insurance Review and Assessment (HIRA) Open Access Big Data Platform. We identified monthly incidence patterns and seasonal trends using the autoregressive integrated moving average (ARIMA). The Granger causality test was used to analyze correlations between encephalitis incidence and the positive detection rate (PDR) at 1-month intervals. A total of 42,775 patients were diagnosed with encephalitis during the study period. The incidence of encephalitis was highest in the winter (26.8%). The PDRs for respiratory syncytial virus (HRSV) and coronavirus (HCoV) were associated with the trend in encephalitis diagnosis in all age groups, with a 1-month lag period. In addition, an association with norovirus was observed in patients aged over 20 years, and with influenza virus (IFV) in patients aged over 60 years. This study found that HRSV, HCoV, IFV, and norovirus tended to precede encephalitis by 1 month. Further research is required to confirm the association between these viruses and encephalitis.</t>
  </si>
  <si>
    <t xml:space="preserve">[Lee, Seon Jin; Kim, Jeong Min; Keum, Ha Rim] Yeungnam Univ, Coll Med, Dept Med, Daegu 42415, South Korea; [Kim, Sang Won] Yeungnam Univ, Coll Med, Med Res Ctr, Daegu 42415, South Korea; [Baek, Hee Sun; Kim, Saeyoon; Lee, Jae Min] Yeungnam Univ, Coll Med, Dept Pediat, Daegu 42415, South Korea; [Byun, Jun Chul] Keimyung Univ, Sch Med, Dept Pediat, Daegu 42601, South Korea; [Kim, Yu Kyung] Kyungpook Natl Univ, Sch Med, Dept Clin Pathol, Daegu 41944, South Korea</t>
  </si>
  <si>
    <t xml:space="preserve">Kim, S; Lee, JM (corresponding author), Yeungnam Univ, Coll Med, Dept Pediat, Daegu 42415, South Korea.</t>
  </si>
  <si>
    <t xml:space="preserve">sysnow88@hanmail.net; mopic@yu.ac.kr</t>
  </si>
  <si>
    <t xml:space="preserve">Kim, Sang Won/0000-0003-2648-0340; Lee, Jae Min/0000-0001-6822-1051; Keum, Ha Rim/0000-0002-9135-7536; Byun, Jun chul/0000-0001-5600-6282</t>
  </si>
  <si>
    <t xml:space="preserve">Yeungnam University [215A480026]</t>
  </si>
  <si>
    <t xml:space="preserve">Yeungnam University</t>
  </si>
  <si>
    <t xml:space="preserve">This research was supported by 2015 Yeungnam University research grant (215A480026).</t>
  </si>
  <si>
    <t xml:space="preserve">10.3390/jcm12052003</t>
  </si>
  <si>
    <t xml:space="preserve">9T9SS</t>
  </si>
  <si>
    <t xml:space="preserve">WOS:000947362200001</t>
  </si>
  <si>
    <t xml:space="preserve">Nishi, SPE; Valentine, VG; Duncan, S</t>
  </si>
  <si>
    <t xml:space="preserve">Nishi, Shawn P. E.; Valentine, Vincent G.; Duncan, Steve</t>
  </si>
  <si>
    <t xml:space="preserve">Emerging Bacterial, Fungal, and Viral Respiratory Infections in Transplantation</t>
  </si>
  <si>
    <t xml:space="preserve">Emerging; Transplant; Respiratory infections</t>
  </si>
  <si>
    <t xml:space="preserve">HUMAN METAPNEUMOVIRUS INFECTION; ASPERGILLUS-TERREUS INFECTION; OF-THE-LITERATURE; NOCARDIA-TRANSVALENSIS INFECTION; SOLID-ORGAN TRANSPLANTATION; SCEDOSPORIUM-APIOSPERMUM INFECTION; LYMPHOCYTIC CHORIOMENINGITIS VIRUS; INVASIVE PULMONARY ASPERGILLOSIS; RHODOCOCCUS-EQUI INFECTION; STEM-CELL TRANSPLANTATION</t>
  </si>
  <si>
    <t xml:space="preserve">Kidney, liver, heart, pancreas, lung, and small intestine transplantations are viable. therapeutic options for patients with end-stage organ failure. Ongoing advancements of surgical techniques, immunosuppressive regimens, and perioperative management have resulted in improved survival of allograft recipients. Despite these refinements, infections still contribute to substantial morbidity and mortality, limiting long-term success rates of these procedures. This article discusses the emerging bacterial, fungal, and viral respiratory infections in transplantation.</t>
  </si>
  <si>
    <t xml:space="preserve">[Valentine, Vincent G.] Univ Texas Med Branch, Div Pulm &amp; Crit Care Med, Texas Transplant Ctr, Galveston, TX 77555 USA; [Duncan, Steve] Univ Pittsburgh, Div Pulm Allergy &amp; Crit Care Med, Pittsburgh, PA 15213 USA</t>
  </si>
  <si>
    <t xml:space="preserve">University of Texas System; University of Texas Medical Branch Galveston; Pennsylvania Commonwealth System of Higher Education (PCSHE); University of Pittsburgh</t>
  </si>
  <si>
    <t xml:space="preserve">Valentine, VG (corresponding author), Univ Texas Med Branch, Div Pulm &amp; Crit Care Med, Texas Transplant Ctr, 301 Univ Blvd, Galveston, TX 77555 USA.</t>
  </si>
  <si>
    <t xml:space="preserve">vgvalent@utmb.edu</t>
  </si>
  <si>
    <t xml:space="preserve">Nishi, Shawn/0000-0002-7510-2664</t>
  </si>
  <si>
    <t xml:space="preserve">10.1016/j.idc.2010.04.005</t>
  </si>
  <si>
    <t xml:space="preserve">644CV</t>
  </si>
  <si>
    <t xml:space="preserve">WOS:000281349500003</t>
  </si>
  <si>
    <t xml:space="preserve">Zhang, FF; Chase-Topping, M; Guo, CG; Woolhouse, MEJ</t>
  </si>
  <si>
    <t xml:space="preserve">Zhang, Feifei; Chase-Topping, Margo; Guo, Chuan-Guo; Woolhouse, Mark E. J.</t>
  </si>
  <si>
    <t xml:space="preserve">Predictors of human-infective RNA virus discovery in the United States, China, and Africa, an ecological study</t>
  </si>
  <si>
    <t xml:space="preserve">ELIFE</t>
  </si>
  <si>
    <t xml:space="preserve">emerging virus; risk factor; machine learning; Viruses</t>
  </si>
  <si>
    <t xml:space="preserve">IMMUNE ELECTRON-MICROSCOPY; VIRAL HEMORRHAGIC-FEVER; BORNA-DISEASE VIRUS; RIFT-VALLEY FEVER; GROUP-C ROTAVIRUS; EPIDEMIC NON-A; SEROLOGICAL EVIDENCE; YELLOW-FEVER; HUMAN METAPNEUMOVIRUS; COMPLETE GENOME</t>
  </si>
  <si>
    <t xml:space="preserve">Background: The variation in the pathogen type as well as the spatial heterogeneity of predictors make the generality of any associations with pathogen discovery debatable. Our previous work confirmed that the association of a group of predictors differed across different types of RNA viruses, yet there have been no previous comparisons of the specific predictors for RNA virus discovery in different regions. The aim of the current study was to close the gap by investigating whether predictors of discovery rates within three regions-the United States, China, and Africa-differ from one another and from those at the global level. Methods: Based on a comprehensive list of human-infective RNA viruses, we collated published data on first discovery of each species in each region. We used a Poisson boosted regression tree (BRT) model to examine the relationship between virus discovery and 33 predictors representing climate, socio-economics, land use, and biodiversity across each region separately. The discovery probability in three regions in 2010-2019 was mapped using the fitted models and historical predictors. Results: The numbers of human-infective virus species discovered in the United States, China, and Africa up to 2019 were 95, 80, and 107 respectively, with China lagging behind the other two regions. In each region, discoveries were clustered in hotspots. BRT modelling suggested that in all three regions RNA virus discovery was better predicted by land use and socio-economic variables than climatic variables and biodiversity, although the relative importance of these predictors varied by region. Map of virus discovery probability in 2010-2019 indicated several new hotspots outside historical high-risk areas. Most new virus species since 2010 in each region (6/6 in the United States, 19/19 in China, 12/19 in Africa) were discovered in high-risk areas as predicted by our model. Conclusions: The drivers of spatiotemporal variation in virus discovery rates vary in different regions of the world. Within regions virus discovery is driven mainly by land-use and socio-economic variables; climate and biodiversity variables are consistently less important predictors than at a global scale. Potential new discovery hotspots in 2010-2019 are identified. Results from the study could guide active surveillance for new human-infective viruses in local high-risk areas.</t>
  </si>
  <si>
    <t xml:space="preserve">[Zhang, Feifei; Chase-Topping, Margo; Woolhouse, Mark E. J.] Univ Edinburgh, Usher Inst, Edinburgh, Scotland; [Chase-Topping, Margo] Univ Edinburgh, Roslin Inst, Edinburgh, Scotland; [Chase-Topping, Margo] Univ Edinburgh, Royal Dick Sch Vet Studies, Edinburgh, Scotland; [Guo, Chuan-Guo] Univ Hong Kong, Li Ka Shing Fac Med, Dept Med, Hong Kong, Peoples R China</t>
  </si>
  <si>
    <t xml:space="preserve">University of Edinburgh; University of Edinburgh; UK Research &amp; Innovation (UKRI); Biotechnology and Biological Sciences Research Council (BBSRC); Roslin Institute; University of Edinburgh; University of Hong Kong</t>
  </si>
  <si>
    <t xml:space="preserve">Zhang, FF (corresponding author), Univ Edinburgh, Usher Inst, Edinburgh, Scotland.</t>
  </si>
  <si>
    <t xml:space="preserve">Feifei.Zhang@ed.ac.uk</t>
  </si>
  <si>
    <t xml:space="preserve">Guo, Chuan-Guo/GWU-8356-2022; Zhang, Feifei/HTN-7236-2023</t>
  </si>
  <si>
    <t xml:space="preserve">Zhang, Feifei/0000-0002-3718-243X</t>
  </si>
  <si>
    <t xml:space="preserve">Darwin Trust of Edinburgh; European Union [874735]</t>
  </si>
  <si>
    <t xml:space="preserve">Darwin Trust of Edinburgh; European Union(European Union (EU))</t>
  </si>
  <si>
    <t xml:space="preserve">Darwin Trust of Edinburgh Feifei ZhangEuropean Union's Horizon 2020 research and innovation programme 874735 Mark EJ WoolhouseThe funders had no role in study design, data collection and interpretation, or the decision to submit the work for publication.</t>
  </si>
  <si>
    <t xml:space="preserve">eLIFE SCIENCES PUBL LTD</t>
  </si>
  <si>
    <t xml:space="preserve">SHERATON HOUSE, CASTLE PARK, CAMBRIDGE, CB3 0AX, ENGLAND</t>
  </si>
  <si>
    <t xml:space="preserve">2050-084X</t>
  </si>
  <si>
    <t xml:space="preserve">eLife</t>
  </si>
  <si>
    <t xml:space="preserve">e72123</t>
  </si>
  <si>
    <t xml:space="preserve">10.7554/eLife.72123</t>
  </si>
  <si>
    <t xml:space="preserve">Biology</t>
  </si>
  <si>
    <t xml:space="preserve">Life Sciences &amp; Biomedicine - Other Topics</t>
  </si>
  <si>
    <t xml:space="preserve">3B3KL</t>
  </si>
  <si>
    <t xml:space="preserve">WOS:000827842600001</t>
  </si>
  <si>
    <t xml:space="preserve">Gray, GC; Abdelgadir, A</t>
  </si>
  <si>
    <t xml:space="preserve">Gray, Gregory C.; Abdelgadir, Anfal</t>
  </si>
  <si>
    <t xml:space="preserve">While We Endure This Pandemic, What New Respiratory Virus Threats Are We Missing?</t>
  </si>
  <si>
    <t xml:space="preserve">emerging respiratory viruses; adenoviruses; coronaviruses; influenza viruses; enteroviruses</t>
  </si>
  <si>
    <t xml:space="preserve">HUMAN METAPNEUMOVIRUS; WILD CHIMPANZEES; INFLUENZA-VIRUS; UNITED-STATES; SURVEILLANCE; OUTBREAKS; EPIDEMIOLOGY; HOTSPOTS; POULTRY; DISEASE</t>
  </si>
  <si>
    <t xml:space="preserve">In this paper, we review recent human respiratory virus epidemics, their zoonotic nature, and our current inability to identify future prepandemic threats. We propose a cost-efficient, One Health surveillance strategy that will be more efficient and more sustainable than previous efforts.</t>
  </si>
  <si>
    <t xml:space="preserve">[Gray, Gregory C.; Abdelgadir, Anfal] Duke Univ, Sch Med, Div Infect Dis, Durham, NC USA; [Gray, Gregory C.; Abdelgadir, Anfal] Duke Univ, Duke Global Hlth Inst, Durham, NC USA; [Gray, Gregory C.] Duke Kunshan Univ, Global Hlth Res Ctr, Kunshan, Peoples R China; [Gray, Gregory C.] Duke NUS Med Sch, Emerging Infect Dis Program, Singapore, Singapore</t>
  </si>
  <si>
    <t xml:space="preserve">Duke University; Duke University; Duke Kunshan University; National University of Singapore</t>
  </si>
  <si>
    <t xml:space="preserve">Gray, GC (corresponding author), DUMC Box 102359, Durham, NC 27710 USA.</t>
  </si>
  <si>
    <t xml:space="preserve">grogory.gray@duke.edu</t>
  </si>
  <si>
    <t xml:space="preserve">Abdelgadir, Anfal/0000-0001-5345-9972; Gray, Gregory/0000-0002-4628-5908</t>
  </si>
  <si>
    <t xml:space="preserve">US Naval Medical Research Center-Asia [SC-2016-SABER-003-002, SC-2017-SABER-010-001]; Duke University</t>
  </si>
  <si>
    <t xml:space="preserve">US Naval Medical Research Center-Asia; Duke University</t>
  </si>
  <si>
    <t xml:space="preserve">This work was funded by the US Naval Medical Research Center-Asia and Vysnova Partners (SC-2016-SABER-003-002, SC-2017-SABER-010-001), and Professor Gregory Gray's discretionary funds from Duke University.</t>
  </si>
  <si>
    <t xml:space="preserve">ofab078</t>
  </si>
  <si>
    <t xml:space="preserve">10.1093/ofid/ofab078</t>
  </si>
  <si>
    <t xml:space="preserve">RL6MQ</t>
  </si>
  <si>
    <t xml:space="preserve">WOS:000639085100030</t>
  </si>
  <si>
    <t xml:space="preserve">Hardick, J; Shaw-Saliba, K; McBryde, B; Gaydos, CA; Hsieh, YH; Lovecchio, F; Steele, M; Talan, D; Rothman, RE</t>
  </si>
  <si>
    <t xml:space="preserve">Hardick, Justin; Shaw-Saliba, Kathryn; McBryde, Breana; Gaydos, Charlotte A.; Hsieh, Yu-Hsiang; Lovecchio, Frank; Steele, Mark; Talan, David; Rothman, Richard E.</t>
  </si>
  <si>
    <t xml:space="preserve">Emergency Dept Natl Network Influ</t>
  </si>
  <si>
    <t xml:space="preserve">Identification of pathogens from the upper respiratory tract of adult emergency department patients at high risk for influenza complications in a pre-Sars-CoV-2 environment</t>
  </si>
  <si>
    <t xml:space="preserve">Emergency department; Influenza; Multiplex diagnostics; Respiratory infections; Coinfections</t>
  </si>
  <si>
    <t xml:space="preserve">SINGAPORE MILITARY SERVICEMEN; HOSPITALIZED CHILDREN; VIRAL-INFECTIONS; DIAGNOSIS; ETIOLOGY; ILLNESS; VIRUSES; IMPACT</t>
  </si>
  <si>
    <t xml:space="preserve">The emergence of SARS-CoV-2 and subsequent COVID-19 pandemic highlights the morbidity and potential disease severity caused by respiratory viruses. To elucidate pathogen prevalence, etiology of coinfections and URIs from symptomatic adult Emergency department patients in a pre-SARS-CoV-2 environment, we evaluated specimens from four geographically diverse Emergency departments in the United States from 2013-2014 utilizing ePlex RP RUO cartridges (Genmark Diagnostics). The overall positivity was 30.1% (241/ 799), with 6.6% (16/241) coinfections. Noninfluenza pathogens from most to least common were rhinovirus/ enterovirus, coronavirus, human metapneumovirus and RSV, respectively. Broad differences in disease prevalence and pathogen distributions were observed across geographic regions; the site with the highest detection rate (for both mono and coinfections) demonstrated the greatest pathogen diversity. A variety of respiratory pathogens and geographic variations in disease prevalence and copathogen type were observed. Further research is required to evaluate the clinical relevance of these findings, especially considering the SARS-CoV-2 pandemic and related questions regarding SARS-CoV-2 disease severity and the presence of co infections.&amp; nbsp; (c) 2021 The Authors. Published by Elsevier Inc. This is an open access article under the CC BY license (http://creativecommons.org/licenses/by/4.0/)</t>
  </si>
  <si>
    <t xml:space="preserve">[Hardick, Justin; Gaydos, Charlotte A.; Rothman, Richard E.] Johns Hopkins Univ, Sch Med, Dept Infect Dis, Baltimore, MD 21218 USA; [Shaw-Saliba, Kathryn; McBryde, Breana; Gaydos, Charlotte A.; Hsieh, Yu-Hsiang; Rothman, Richard E.] Johns Hopkins Univ, Sch Med, Dept Emergency Med, Baltimore, MD 21218 USA; [Lovecchio, Frank] Maricopa Cty Gen Hosp, Phoenix, AZ USA; [Steele, Mark] Truman Med Ctr, Kansas City, MO USA; [Talan, David] Oliver View Med Ctr, Los Angeles, CA USA</t>
  </si>
  <si>
    <t xml:space="preserve">Johns Hopkins University; Johns Hopkins University; Maricopa County General Hospital</t>
  </si>
  <si>
    <t xml:space="preserve">Hardick, J (corresponding author), Johns Hopkins Univ, Sch Med, Dept Infect Dis, Baltimore, MD 21218 USA.;Shaw-Saliba, K (corresponding author), Johns Hopkins Univ, Sch Med, Dept Emergency Med, Baltimore, MD 21218 USA.</t>
  </si>
  <si>
    <t xml:space="preserve">jhardic1@jhmi.edu</t>
  </si>
  <si>
    <t xml:space="preserve">Shaw Saliba, Katy/0000-0002-4396-2432</t>
  </si>
  <si>
    <t xml:space="preserve">US Department of Health and Human Services Biomedical Advanced Research and Development Authority (BARDA) [IDSEP150026-01-00]; National Institute of Allergy and Infectious Diseases [HHSN272201400007C]; Johns Hopkins University (JHU) [IDSEP1500260100]</t>
  </si>
  <si>
    <t xml:space="preserve">US Department of Health and Human Services Biomedical Advanced Research and Development Authority (BARDA); National Institute of Allergy and Infectious Diseases(United States Department of Health &amp; Human ServicesNational Institutes of Health (NIH) - USANIH National Institute of Allergy &amp; Infectious Diseases (NIAID)); Johns Hopkins University (JHU)(Johns Hopkins University)</t>
  </si>
  <si>
    <t xml:space="preserve">This work was supported by a cooperative agreement between Johns Hopkins University (JHU) and the US Department of Health and Human Services Biomedical Advanced Research and Development Authority (BARDA; grant number IDSEP1500260100) . Work was also supported in part by the National Institute of Allergy and Infectious Diseases Contract HHSN272201400007C awarded to the Johns Hopkins Center for Influenza Research and Surveillance (JHCEIRS) at the Johns Hopkins University. Any opinions, finding, conclusions or recommendations expressed in this publication are those of the author (s) and do not represent the policy or position of NIAID or NIH.</t>
  </si>
  <si>
    <t xml:space="preserve">10.1016/j.diagmicrobio.2021.115352</t>
  </si>
  <si>
    <t xml:space="preserve">RY1KR</t>
  </si>
  <si>
    <t xml:space="preserve">WOS:000647675900009</t>
  </si>
  <si>
    <t xml:space="preserve">Chen, KF; Blyn, L; Rothman, RE; Ramachandran, P; Valsamakis, A; Ecker, D; Sampath, R; Gaydos, CA</t>
  </si>
  <si>
    <t xml:space="preserve">Chen, Kuan-Fu; Blyn, Lawrence; Rothman, Richard E.; Ramachandran, Padmini; Valsamakis, Alexandra; Ecker, David; Sampath, Rangarajan; Gaydos, Charlotte A.</t>
  </si>
  <si>
    <t xml:space="preserve">Reverse transcription polymerase chain reaction and electrospray ionization mass spectrometry for identifying acute viral upper respiratory tract infections</t>
  </si>
  <si>
    <t xml:space="preserve">Electrospray ionization mass spectrometry; Respiratory tract infections; Viruses; Diagnosis; Surveillance</t>
  </si>
  <si>
    <t xml:space="preserve">TIME PCR ASSAYS; RAPID IDENTIFICATION; VIRUSES; PATHOGENS; DIAGNOSIS; SURVEILLANCE; CHILDREN</t>
  </si>
  <si>
    <t xml:space="preserve">Diagnosis of respiratory viruses traditionally relies on culture or antigen detection. We aimed to demonstrate capacity of the reverse transcription polymerase chain reaction/electrospray ionization mass spectrometry (RT-PCR/ESI-MS) platform to identify clinical relevant respiratory viruses in nasopharyngeal aspirate (NPA) samples and compare the diagnostic performance characteristics relative to conventional culture- and antigen-based methods. An RT-PCR/ESI-MS respiratory virus surveillance kit designed to detect respiratory syncytial virus, influenza A and B, parainfluenza types 1-4, Adenoviridae types A-F, Coronaviridae, human bocavirus, and human metapneumovirus was evaluated using both mock-ups and frozen archived NPA (N = 280), 95 of which were positive by clinical virology methods. RT-PCR/ESI-MS detected 74/95 (77.9%) known positive samples and identified an additional 13/185 (7%) from culture-negative samples. Viruses that are nondetectable with conventional methods were also identified. Viral load was semiquantifiable and ranged from 2400 to &gt;320 000 copies/mL. Time to results was 8 h. RT-PCR/ESI-MS showed promise in rapid detection of respiratory viruses and merits further evaluation for use in clinical settings. (C) 2011 Elsevier Inc. All rights reserved.</t>
  </si>
  <si>
    <t xml:space="preserve">[Chen, Kuan-Fu; Rothman, Richard E.; Ramachandran, Padmini; Gaydos, Charlotte A.] Johns Hopkins Univ, Dept Emergency Med, Baltimore, MD 21204 USA; [Rothman, Richard E.; Valsamakis, Alexandra; Gaydos, Charlotte A.] Johns Hopkins Univ, Dept Infect Dis, Baltimore, MD 21204 USA; [Blyn, Lawrence; Ecker, David; Sampath, Rangarajan] Ibis Biosci, Carlsbad, CA 92008 USA; [Chen, Kuan-Fu] Chang Gung Univ, Chang Gung Mem Hosp, Dept Emergency Med, Tao Yuan 333, Taiwan</t>
  </si>
  <si>
    <t xml:space="preserve">Johns Hopkins University; Johns Hopkins University; Chang Gung University; Chang Gung Memorial Hospital</t>
  </si>
  <si>
    <t xml:space="preserve">Chen, KF (corresponding author), Johns Hopkins Univ, Dept Emergency Med, Baltimore, MD 21204 USA.</t>
  </si>
  <si>
    <t xml:space="preserve">kfchen@adm.cgmh.org.tw</t>
  </si>
  <si>
    <t xml:space="preserve">Chen, Kuan-Fu/J-1580-2019; Gaydos, Charlotte/E-9937-2010</t>
  </si>
  <si>
    <t xml:space="preserve">Ramachandran, Padmini/0000-0002-3958-3843; Chen, Kuan-Fu/0000-0001-7287-9497; Rothman, Richard/0000-0002-1017-9505; Ecker, David/0000-0003-4350-9037</t>
  </si>
  <si>
    <t xml:space="preserve">Middle Atlantic Regional Center of Excellence (MARCE) [U54 AI57168-01P1]</t>
  </si>
  <si>
    <t xml:space="preserve">Middle Atlantic Regional Center of Excellence (MARCE)(United States Department of Health &amp; Human ServicesNational Institutes of Health (NIH) - USANIH National Institute of Allergy &amp; Infectious Diseases (NIAID))</t>
  </si>
  <si>
    <t xml:space="preserve">Funding: Middle Atlantic Regional Center of Excellence (MARCE) for Biodefense and Emerging Infectious Diseases, Public Health Response Project VI. NIH; U54 AI57168-01P1.</t>
  </si>
  <si>
    <t xml:space="preserve">10.1016/j.diagmicrobio.2010.10.010</t>
  </si>
  <si>
    <t xml:space="preserve">718JR</t>
  </si>
  <si>
    <t xml:space="preserve">WOS:000287117800010</t>
  </si>
  <si>
    <t xml:space="preserve">Chen, KF; Rothman, RE; Ramachandran, P; Blyn, L; Sampath, R; Ecker, DJ; Valsamakis, A; Gaydos, CA</t>
  </si>
  <si>
    <t xml:space="preserve">Chen, Kuan-Fu; Rothman, Richard E.; Ramachandran, Padmini; Blyn, Lawrence; Sampath, Rangarajan; Ecker, David J.; Valsamakis, Alexandra; Gaydos, Charlotte A.</t>
  </si>
  <si>
    <t xml:space="preserve">Rapid identification viruses from nasal pharyngeal aspirates in acute viral respiratory infections by RT-PCR and electrospray ionization mass spectrometry</t>
  </si>
  <si>
    <t xml:space="preserve">Electrospray ionization mass spectrometry; Respiratory tract infections; Virus; Diagnosis; Surveillance</t>
  </si>
  <si>
    <t xml:space="preserve">REVERSE TRANSCRIPTION-PCR; ACID AMPLIFICATION TESTS; DIAGNOSIS; ASSAYS; PATHOGENS</t>
  </si>
  <si>
    <t xml:space="preserve">Diagnosis of the etiologic agent of respiratory viral infection relies traditionally on culture or antigen detection. This pilot evaluation compared performance characteristics of the RT-PCR and electrospray ionization mass spectrometry (RT-PCR/ESI-MS) platform to conventional virologic methods for identifying multiple clinically relevant respiratory viruses in nasopharyngeal aspirates. The RT-PCR/ESI-MS respiratory virus surveillance kit was designed to detect respiratory syncytial virus, influenza A and B. parainfluenza types 1-4, adenoviridae types A-F, coronaviridae, human bocavirus, and human metapneumovirus. Patients (N = 192) attending an emergency department during the 2007-2008 respiratory season consented, and excess frozen archived nasopharyngeal aspirates were analysed; 46 were positive by conventional virology and 69 by RT-PCR/ESI-MS, among which there were six samples with multiple viral pathogens detected. The sensitivity and specificity of the assay were 89.1% and 80.3%, respectively. Additional viruses that were not identified by conventional virology assays were detected (4 human bocaviruses and 7 coronaviruses). Samples in which the RT-PCR/ESI-MS results disagreed with conventional virology were sent for analysis by a third method using a commercial RT-PCR-based assay, which can identify viruses not detectable by conventional virologic procedures. Time to first result of RT-PCR/ESI-MS was 8 h. RT-PCR/ESI-MS demonstrated capacity to detect respiratory viruses identifiable and unidentifiable by conventional methods rapidly. (C) 2011 Elsevier B.V. All rights reserved.</t>
  </si>
  <si>
    <t xml:space="preserve">[Chen, Kuan-Fu; Rothman, Richard E.; Ramachandran, Padmini; Valsamakis, Alexandra; Gaydos, Charlotte A.] Johns Hopkins Univ, Div Infect Dis, Dept Med, Baltimore, MD 21205 USA; [Chen, Kuan-Fu] Chang Gung Univ, Tao Yuan, Taiwan; [Chen, Kuan-Fu] Chang Gung Mem Hosp, Keelung, Taiwan; [Blyn, Lawrence; Sampath, Rangarajan; Ecker, David J.] Ibis Biosci Inc, Carlsbad, CA USA</t>
  </si>
  <si>
    <t xml:space="preserve">Johns Hopkins University; Chang Gung University; Chang Gung Memorial Hospital</t>
  </si>
  <si>
    <t xml:space="preserve">Gaydos, CA (corresponding author), Johns Hopkins Univ, Div Infect Dis, Dept Med, 855 N Wolfe St,530 Rangos Bldg, Baltimore, MD 21205 USA.</t>
  </si>
  <si>
    <t xml:space="preserve">cgaydos@jhmi.edu</t>
  </si>
  <si>
    <t xml:space="preserve">Rothman, Richard/0000-0002-1017-9505; Ramachandran, Padmini/0000-0002-3958-3843; Ecker, David/0000-0003-4350-9037; Chen, Kuan-Fu/0000-0001-7287-9497</t>
  </si>
  <si>
    <t xml:space="preserve">NIAID [2U54AI057168]</t>
  </si>
  <si>
    <t xml:space="preserve">NIAID(United States Department of Health &amp; Human ServicesNational Institutes of Health (NIH) - USANIH National Institute of Allergy &amp; Infectious Diseases (NIAID))</t>
  </si>
  <si>
    <t xml:space="preserve">Drs. Gaydos and Rothman are supported in part by NIAID 2U54AI057168.</t>
  </si>
  <si>
    <t xml:space="preserve">10.1016/j.jviromet.2011.01.007</t>
  </si>
  <si>
    <t xml:space="preserve">753GF</t>
  </si>
  <si>
    <t xml:space="preserve">WOS:000289759600010</t>
  </si>
  <si>
    <t xml:space="preserve">Kaur, J; Tang, RS; Spaete, RR; Schickli, JH</t>
  </si>
  <si>
    <t xml:space="preserve">Kaur, J.; Tang, R. S.; Spaete, R. R.; Schickli, J. H.</t>
  </si>
  <si>
    <t xml:space="preserve">Optimization of plasmid-only rescue of highly attenuated and temperature-sensitive respiratory syncytial virus (RSV) vaccine candidates for human trials</t>
  </si>
  <si>
    <t xml:space="preserve">Electroporation; Paramyxovirus; Clinical trials; Reverse-genetics; Respiratory syncytial virus; Human metapneumovirus</t>
  </si>
  <si>
    <t xml:space="preserve">OPEN READING FRAME; HUMAN METAPNEUMOVIRUS; MAJOR DETERMINANT; GENE-EXPRESSION; CLONED CDNA; M2 GENE; CHILDREN; LIVE; INFECTION; INFANTS</t>
  </si>
  <si>
    <t xml:space="preserve">Respiratory syncytial virus (RSV) is the most common cause of severe bronchiolitis in infants and young children in the US. No licensed RSV vaccines are currently available. Established techniques for recovering RSV from cDNA utilize mammalian cells, such as HEp-2 or BSR T7/5, that are not currently suitable for vaccine manufacture. When using HEp-2 cells, co-infection with an attenuated vaccinia virus that expresses T7 RNA polymerase is also required. For human clinical trials, processes that do not require the use of helper viruses and minimize the use of animal derived materials must be developed to reduce the potential theoretical risk of transmitting adventitious agents such as BSE. RSV was generated by electroporating Vero cells from a well characterized cell bank with 6 plasmids expressing 17 RNA polymerase, the full-length anti-genomic RSV and RSV N, P, M2-1 and L The process was optimized such that highly attenuated and temperature-sensitive RSV vaccine candidates could be recovered in a system completely free of animal derived components. Efficiencies of virus recovery ranged from 30% to 100%. Human metapneumovirus was also readily recovered, suggesting that this protocol is applicable for the production of clinical trial material of other non-segmented negative sense RNA viruses. (C) 2008 Elsevier B.V. All rights reserved.</t>
  </si>
  <si>
    <t xml:space="preserve">[Kaur, J.; Tang, R. S.; Spaete, R. R.; Schickli, J. H.] Medimmune, Mountain View, CA 94043 USA</t>
  </si>
  <si>
    <t xml:space="preserve">Schickli, JH (corresponding author), Medimmune, 297 N Bernardo Ave, Mountain View, CA 94043 USA.</t>
  </si>
  <si>
    <t xml:space="preserve">schicklij@Medimmune.com</t>
  </si>
  <si>
    <t xml:space="preserve">10.1016/j.jviromet.2008.07.012</t>
  </si>
  <si>
    <t xml:space="preserve">WOS:000260565200018</t>
  </si>
  <si>
    <t xml:space="preserve">Chasqueira, MJ; Paixao, P; Rodrigues, ML; Piedade, C; Caires, I; Palmeiro, T; Botelho, MA; Santos, M; Curran, M; Guiomar, R; Pechirra, P; Costa, I; Papoila, A; Alves, M; Neuparth, N</t>
  </si>
  <si>
    <t xml:space="preserve">Chasqueira, Maria-Jesus; Paixao, Paulo; Rodrigues, Maria-Lucia; Piedade, Catia; Caires, Iolanda; Palmeiro, Teresa; Botelho, Maria-Amalia; Santos, Madalena; Curran, Martin; Guiomar, Raquel; Pechirra, Pedro; Costa, Ines; Papoila, Ana; Alves, Marta; Neuparth, Nuno</t>
  </si>
  <si>
    <t xml:space="preserve">Respiratory infections in elderly people: Viral role in a resident population of elderly care centers in Lisbon, winter 2013-2014</t>
  </si>
  <si>
    <t xml:space="preserve">Elderly; Respiratory infections; Respiratory viruses; Legionella pneumophila; Elderly care centers; Real time PCR</t>
  </si>
  <si>
    <t xml:space="preserve">MYCOPLASMA-PNEUMONIAE; DISEASE; TRACT; CHILDREN</t>
  </si>
  <si>
    <t xml:space="preserve">Objective: The aim of this study was to analyze the etiology and clinical consequences of viral respiratory infections in 18 elderly care centers (ECC) in Lisbon, which housed a total of 1022 residents. Methods: Nasopharyngeal swabs were collected whenever an elderly had symptoms of acute respiratory infections (ARI). PCR and RT-PCR were performed for influenza A/B, human parainfluenza virus 1-4, adenovirus, human metapneumovirus (HMPV), respiratory syncytial virus (RSV), rhinovirus, enterovirus, human coronavirus and human Bocavirus (HBoV). Array cards for atypical bacteria were also used in severe cases. Results: In total, 188 episodes of ARI were reported, being rhinovirus the most frequently detected (n = 53), followed by influenza A(H3) (n = 19) and HBoV (n = 14). Severe infections were reported in 19 patients, 11 of which were fatal, Legionela pneumophila, rhinovirus, HMPV and RSV associated with these fatalities. Nine influenza strains were analyzed, all antigenically dissimilar from vaccine strain 2013/14. Age, HMPV and Respiratory disease showed an association with severe infection. Conclusions: In this study an etiologic agent could be found in 60% of the acute respiratory episodes. These data provides information about the circulating viruses in ECC and highlights the importance of searching both viruses and atypical bacteria in severe ARI. (C) 2018 The Authors. Published by Elsevier Ltd on behalf of International Society for Infectious Diseases.</t>
  </si>
  <si>
    <t xml:space="preserve">[Chasqueira, Maria-Jesus; Rodrigues, Maria-Lucia; Piedade, Catia] Fac Ciencias Med, NOVA Med Sch, Campo Martires da Patria 130, P-1169056 Lisbon, Portugal; [Paixao, Paulo; Caires, Iolanda; Palmeiro, Teresa; Botelho, Maria-Amalia; Neuparth, Nuno] CEDOC I, Fac Ciencias Med, NOVA Med Sch, Ctr Estudos Doencas Cron,CEDOC, Rua Inst Bacteriol S 5,5-A &amp; 5-B, P-1150190 Lisbon, Portugal; [Santos, Madalena] Ctr Hosp Lisboa Cent, Hosp Curry Cabral, Rua Beneficencia 8, P-1069166 Lisbon, Portugal; [Curran, Martin] Addenbrookes Hosp, Clin Microbiol &amp; Publ Hlth Lab, Hills Rd, Cambridge CB2 0QQ, England; [Guiomar, Raquel; Pechirra, Pedro; Costa, Ines] Inst Nacl Saude Ricardo Jorge, Lab Nacl Referencia Virus Gripe, Ave Padre Cruz 1600, Lisbon, Portugal; [Papoila, Ana; Alves, Marta] Ctr Hosp Lisboa Cent, EPE, Res Unit, Epidemiol &amp; Stat, Rua Jose Antonio Serrano, P-1150199 Lisbon, Portugal; [Alves, Marta] CEDOC I, Fac Ciencias Med, NOVA Med Sch, CEAUL,Dept Bioestat &amp; Informat, Rua Inst Bacteriol S 5,5-A &amp; 5-B, P-1150190 Lisbon, Portugal</t>
  </si>
  <si>
    <t xml:space="preserve">Universidade Nova de Lisboa; Universidade Nova de Lisboa; Centro Hospitalar de Lisboa Central, EPE; Universidade de Lisboa; University of Cambridge; Cambridge University Hospitals NHS Foundation Trust; Addenbrooke's Hospital; Instituto Nacional de Saude Dr. Ricardo Jorge; Universidade de Lisboa; Centro Hospitalar de Lisboa Central, EPE; Universidade Nova de Lisboa; Universidade de Lisboa</t>
  </si>
  <si>
    <t xml:space="preserve">Chasqueira, MJ (corresponding author), Univ Nova Lisboa, Fac Ciencias Med, NOVA Med Sch, Campo Martires da Patria 130, P-1169056 Lisbon, Portugal.</t>
  </si>
  <si>
    <t xml:space="preserve">mjchasqueira@nms.unl.pt; paulo.paixao@nms.unl.pt; lucia.rodrigues@nms.unl.pt; catia.piedade@labco.eu; iolanda.caires@nms.unl.pt; teresapalmeiro@hotmail.com; amalia.botelho@nms.unl.pt; maria.santos22@chlc.min-saude.pt; martin.curran@addenbrookes.nhs.uk; raquel.guiomar@insa.min-saude.pt; Pedro.Pechirra@insa.min-saude.pt; ines.costa@insa.min-saude.pt; ana.papoila@nms.unl.pt; marta.l.alves@gmail.com; nuno.neuparth@nms.unl.pt</t>
  </si>
  <si>
    <t xml:space="preserve">Papoila, Ana/S-2164-2019; Costa, Inês/HKE-2713-2023; Papoila, Ana Luisa/S-2515-2016; Alves, Marta/P-2486-2016; Neuparth, Nuno/P-8444-2019</t>
  </si>
  <si>
    <t xml:space="preserve">Papoila, Ana Luisa/0000-0002-2918-8364; Alves, Marta/0000-0002-7421-8550; Neuparth, Nuno/0000-0001-5149-7473; Guiomar, Raquel/0000-0002-4563-6315; Paixao, Paulo/0000-0002-4294-0872; Pechirra, Pedro/0000-0001-6352-1100; Caires Correia, Iolanda/0000-0003-2841-6836</t>
  </si>
  <si>
    <t xml:space="preserve">Foundation for Science and Technology (Fundacao para a Ciencia e Tecnologia - FCT through Operational Competitiveness Programme (COMPETE) as part of the National Strategic Reference Framework [PTDC/SAU-SAP/116563/2010]; Fundação para a Ciência e a Tecnologia [PTDC/SAU-SAP/116563/2010] Funding Source: FCT</t>
  </si>
  <si>
    <t xml:space="preserve">Foundation for Science and Technology (Fundacao para a Ciencia e Tecnologia - FCT through Operational Competitiveness Programme (COMPETE) as part of the National Strategic Reference Framework; Fundação para a Ciência e a Tecnologia(Fundacao para a Ciencia e a Tecnologia (FCT))</t>
  </si>
  <si>
    <t xml:space="preserve">This work was supported by Foundation for Science and Technology (Fundacao para a Ciencia e Tecnologia - FCT, grant number PTDC/SAU-SAP/116563/2010) through Operational Competitiveness Programme (COMPETE) as part of the National Strategic Reference Framework.</t>
  </si>
  <si>
    <t xml:space="preserve">10.1016/j.ijid.2018.01.012</t>
  </si>
  <si>
    <t xml:space="preserve">GD0DE</t>
  </si>
  <si>
    <t xml:space="preserve">WOS:000430169000001</t>
  </si>
  <si>
    <t xml:space="preserve">Zeng, L; Chen, R; Ishigami, K; Atsumi, M; Koizumi, Y; Sato, K; Iritani, O; Okuro, M; Morimoto, S</t>
  </si>
  <si>
    <t xml:space="preserve">Zeng, Li; Chen, Rui; Ishigami, Keiichiro; Atsumi, Mikiko; Koizumi, Yumi; Sato, Kazuto; Iritani, Osamu; Okuro, Masashi; Morimoto, Shigeto</t>
  </si>
  <si>
    <t xml:space="preserve">Association between human metapneumovirus seroprevalence and hypertension in elderly subjects in a long-term care facility</t>
  </si>
  <si>
    <t xml:space="preserve">HYPERTENSION RESEARCH</t>
  </si>
  <si>
    <t xml:space="preserve">elderly; human metapneumovirus; seroprevalence</t>
  </si>
  <si>
    <t xml:space="preserve">SMOOTH-MUSCLE-CELLS; RISK-FACTOR; INFECTION; OUTBREAK; ATHEROSCLEROSIS; ANTIBODIES; CHILDREN; DISEASE; PROTEIN; BURDEN</t>
  </si>
  <si>
    <t xml:space="preserve">Recently, relations between hypertension and infections caused by several pathogens have been reported. However, few studies have examined the relationship between human metapneumovirus (hMPV) and hypertension in elderly inpatients. To assess the association between anti-hMPV-immunoglobulin G (IgG) titer and the prevalence of hypertension, we conducted a case-control study in a Japanese long-term care facility (LTCF). The participants included 84 hypertensive patients aged &gt;= 65years, and 84 age-and sex-matched normotensive controls (38 males and 46 females in each group; cases, 79.9 +/- 8.4 (s.d.) years; controls, 80.1 +/- 8.3 years). Data on underling chronic clinical conditions were collected. Titers were measured using an immunofluorescence assay kit. The significance of risk factor differences was analyzed using univariate and multivariate comparisons of cases and controls. All serum samples were positive for hMPV, and IgG titers ranged from 40-fold to more than 5120-fold. There were no significant sex-or age-related differences in log(2) (anti-hMPV-IgG titer/10) among the subjects. Compared with normotensive subjects, hypertensive patients presented significantly higher log(2) (anti-hMPV-IgG titer/10) values (P &lt; 0.001). After adjustment with multiple logistic analysis, the odds ratio for log(2) (anti-hMPV-IgG titer/10) was 1.42 (95% confidence interval 1.16-1.75, P=0.001) relative to normotensive subjects. In all subjects, stepwise multiple regression analysis revealed that both hypertension and a poor nutritional state independently contributed to increased log(2) (anti-hMPV-IgG titer/10). These observations suggest that an increased anti-hMPV-IgG titer was closely related to hypertension in elderly subjects in a Japanese LTCF. Hypertension Research (2011) 34, 474-478; doi:10.1038/hr.2010.268; published online 20 January 2011</t>
  </si>
  <si>
    <t xml:space="preserve">[Zeng, Li; Chen, Rui; Ishigami, Keiichiro; Atsumi, Mikiko; Koizumi, Yumi; Sato, Kazuto; Iritani, Osamu; Okuro, Masashi; Morimoto, Shigeto] Kanazawa Med Univ, Dept Geriatr Med, Uchinada, Ishikawa 9200293, Japan</t>
  </si>
  <si>
    <t xml:space="preserve">Kanazawa Medical University</t>
  </si>
  <si>
    <t xml:space="preserve">Morimoto, S (corresponding author), Kanazawa Med Univ, Dept Geriatr Med, 1-1 Daigaku, Uchinada, Ishikawa 9200293, Japan.</t>
  </si>
  <si>
    <t xml:space="preserve">shigeto@kanazawa-med.ac.jp</t>
  </si>
  <si>
    <t xml:space="preserve">National Center for Geriatrics and Gerontology Japan [20A-02]; Comprehensive Research on Aging and Health; Ministry of Health, Labour and Welfare; Ministry of Education, Culture, Sports, Science and Technology of Japan</t>
  </si>
  <si>
    <t xml:space="preserve">National Center for Geriatrics and Gerontology Japan; Comprehensive Research on Aging and Health; Ministry of Health, Labour and Welfare(Ministry of Health, Labour and Welfare, Japan); Ministry of Education, Culture, Sports, Science and Technology of Japan(Ministry of Education, Culture, Sports, Science and Technology, Japan (MEXT))</t>
  </si>
  <si>
    <t xml:space="preserve">This work was supported by the Research Funding for Longevity Sciences (20A-02) from the National Center for Geriatrics and Gerontology Japan, Comprehensive Research on Aging and Health, the Ministry of Health, Labour and Welfare, and grants from the Ministry of Education, Culture, Sports, Science and Technology of Japan.</t>
  </si>
  <si>
    <t xml:space="preserve">0916-9636</t>
  </si>
  <si>
    <t xml:space="preserve">1348-4214</t>
  </si>
  <si>
    <t xml:space="preserve">HYPERTENS RES</t>
  </si>
  <si>
    <t xml:space="preserve">Hypertens. Res.</t>
  </si>
  <si>
    <t xml:space="preserve">10.1038/hr.2010.268</t>
  </si>
  <si>
    <t xml:space="preserve">Peripheral Vascular Disease</t>
  </si>
  <si>
    <t xml:space="preserve">Cardiovascular System &amp; Cardiology</t>
  </si>
  <si>
    <t xml:space="preserve">745UV</t>
  </si>
  <si>
    <t xml:space="preserve">WOS:000289194100013</t>
  </si>
  <si>
    <t xml:space="preserve">Poelaert, KCK; Van Cleemput, J; Laval, K; Xie, JX; Favoreel, HW; Nauwynck, HJ</t>
  </si>
  <si>
    <t xml:space="preserve">Poelaert, Katrien C. K.; Van Cleemput, Jolien; Laval, Kathlyn; Xie, Jiexiong; Favoreel, Herman W.; Nauwynck, Hans J.</t>
  </si>
  <si>
    <t xml:space="preserve">Equine herpesvirus 1 infection orchestrates the expression of chemokines in equine respiratory epithelial cells</t>
  </si>
  <si>
    <t xml:space="preserve">EHV1; chemokines; mononuclear cells; respiratory tract; glycoproteins</t>
  </si>
  <si>
    <t xml:space="preserve">HUMAN METAPNEUMOVIRUS LACKING; NATURAL-KILLER-CELLS; GLYCOPROTEIN-G; REPLICATION KINETICS; HIGH-AFFINITY; TYPE-1 EHV-1; T-CELLS; VIRUS; PROTEIN; RECEPTORS</t>
  </si>
  <si>
    <t xml:space="preserve">The ancestral equine herpesvirus 1 (EHV1), closely related to human herpes viruses, exploits leukocytes to reach its target organs, accordingly evading the immune surveillance system. Circulating EHV1 strains can be divided into abortigenic/neurovirulent, causing reproductive/neurological disorders. Neurovirulent EHV1 more efficiently recruits monocytic CD172a(+) cells to the upper respiratory tract (URT), while abortigenic EHV1 tempers monocyte migration. Whether similar results could be expected for T lymphocytes is not known. Therefore, we questioned whether differences in T cell recruitment could be associated with variations in cell tropism between both EHV1 phenotypes, and which viral proteins might be involved. The expression of CXCL9 and CXCL10 was evaluated in abortigenic/neurovirulent EHV1-inoculated primary respiratory epithelial cells (ERECs). The bioactivity of chemokines was tested with a functional migration assay. Replication of neurovirulent EHV1 in the URT resulted in an enhanced expression/bioactivity of CXCL9 and CXCL10, compared to abortigenic EHV1. Interestingly, deletion of glycoprotein 2 resulted in an increased recruitment of both monocytic CD172a(+) cells and T lymphocytes to the corresponding EREC supernatants. Our data reveal a novel function of EHV1-gp2, tempering leukocyte migration to the URT, further indicating a sophisticated virus-mediated orchestration of leukocyte recruitment to the URT.</t>
  </si>
  <si>
    <t xml:space="preserve">[Poelaert, Katrien C. K.; Van Cleemput, Jolien; Xie, Jiexiong; Favoreel, Herman W.; Nauwynck, Hans J.] Univ Ghent, Fac Vet Med, Dept Virol Immunol &amp; Parasitol, Salisburylaan 133, B-9820 Merelbeke, Belgium; [Van Cleemput, Jolien; Laval, Kathlyn] Princeton Univ, Dept Mol Biol, Schultz Lab 301, Washington Rd, Princeton, NJ 08544 USA</t>
  </si>
  <si>
    <t xml:space="preserve">Ghent University; Princeton University</t>
  </si>
  <si>
    <t xml:space="preserve">Nauwynck, HJ (corresponding author), Univ Ghent, Fac Vet Med, Dept Virol Immunol &amp; Parasitol, Salisburylaan 133, B-9820 Merelbeke, Belgium.</t>
  </si>
  <si>
    <t xml:space="preserve">hans.nauwynck@ugent.be</t>
  </si>
  <si>
    <t xml:space="preserve">Poelaert, Katrien/R-5475-2018; Laval, Kathlyn/AAO-3926-2020; Xie, Jiexiong/I-5454-2019; Favoreel, Herman/H-8712-2013</t>
  </si>
  <si>
    <t xml:space="preserve">Nauwynck, Hans/0000-0001-5470-0713; Laval, Kathlyn/0000-0002-6873-4110; Favoreel, Herman/0000-0003-4993-6857; Xie, Jiexiong/0000-0002-3374-6605</t>
  </si>
  <si>
    <t xml:space="preserve">'Institute for the promotion of Innovation through Science and Technology in Flanders' (IWT-Vlaanderen) [141627]; Institute for the promotion of Innovation through Science and Technology in Flanders (IWT-Vlaanderen) [141627]; Research Foundation Flanders (FWO) [11Y5415N]; Ghent University [01G01317]</t>
  </si>
  <si>
    <t xml:space="preserve">'Institute for the promotion of Innovation through Science and Technology in Flanders' (IWT-Vlaanderen)(Institute for the Promotion of Innovation by Science and Technology in Flanders (IWT)); Institute for the promotion of Innovation through Science and Technology in Flanders (IWT-Vlaanderen)(Institute for the Promotion of Innovation by Science and Technology in Flanders (IWT)); Research Foundation Flanders (FWO)(FWO); Ghent University(Ghent University)</t>
  </si>
  <si>
    <t xml:space="preserve">This research was funded by 'Institute for the promotion of Innovation through Science and Technology in Flanders' (IWT-Vlaanderen) (141627). K.P. was funded by the Institute for the promotion of Innovation through Science and Technology in Flanders (IWT-Vlaanderen) (141627). J.V.C. was funded by the Research Foundation Flanders (FWO) (11Y5415N). This research was supported by grants from the Special Research Fund of Ghent University (G.O.A. grant 01G01317).</t>
  </si>
  <si>
    <t xml:space="preserve">10.1099/jgv.0.001317</t>
  </si>
  <si>
    <t xml:space="preserve">JJ2FF</t>
  </si>
  <si>
    <t xml:space="preserve">WOS:000493976100011</t>
  </si>
  <si>
    <t xml:space="preserve">Shafik, CF; Mohareb, EW; Yassin, AS; Amin, MA; El Kholy, A; El-Karaksy, H; Youssef, FG</t>
  </si>
  <si>
    <t xml:space="preserve">Shafik, Caroline F.; Mohareb, Emad W.; Yassin, Aymen S.; Amin, Madgy A.; El Kholy, Amani; El-Karaksy, Hanaa; Youssef, Fouad G.</t>
  </si>
  <si>
    <t xml:space="preserve">Viral etiologies of lower respiratory tract infections among Egyptian children under five years of age</t>
  </si>
  <si>
    <t xml:space="preserve">Egypt; Direct fluorescence assay; Lower respiratory tract infections; Pediatric; Polymerase chain reaction; Respiratory viruses; Shell vial culture</t>
  </si>
  <si>
    <t xml:space="preserve">COMMUNITY-ACQUIRED PNEUMONIA; SYNCYTIAL VIRUS; HUMAN METAPNEUMOVIRUS; HOSPITALIZED CHILDREN; INFANTS; ILLNESS; PATHOGENS; DISEASE; IMPACT</t>
  </si>
  <si>
    <t xml:space="preserve">Background: Lower respiratory tract infections (LRTI) are responsible for a considerable number of deaths among children, particularly in developing countries. In Egypt and the Middle East region, there is a lack of data regarding the viral causes of LRTI. In this study, we aimed to identify the relative prevalence of various respiratory viruses that contribute to LRTIs in young children. Although, nucleic acid-based methods have gained importance as a sensitive tool to determine the viral infections, their use is limited because of their prohibitive cost in low-income countries. Therefore, we applied three different laboratory methods, and presented the different virus prevalence patterns detected by each method. Methods: We collected nasopharyngeal aspirate samples, demographic data and, clinical data from 450 children under five years of age who presented with LRTI at Abou El Reesh hospital in Cairo during a one-year period. To identify the viral causes of the LRTI we used direct fluorescence assay, real-time reverse-transcriptase polymerase chain reaction (rt-RT-PCR), and shell vial culture. We tested for eight major respiratory viruses. Results: Two hundred sixty-nine patients (59.9%) had a viral infection, among which 10.8% had a co-infection with two or more viruses. By all three methods, respiratory syncytial virus (RSV) was the most predominant, and parainfluenza virus type 2 (HPIV-2), influenza B virus (FLUBV) were the least predominant. Other viral prevalence patterns differed according to the detection method used. The distribution of various viruses among different age groups and seasonal distribution of the viruses were also determined. Conclusions: RSV and human adenovirus were the most common respiratory viruses detected by rt-RT-PCR. Co-infections were found to be frequent among children and the vast majority of co-infections were detected by nucleic acid-based detection assays.</t>
  </si>
  <si>
    <t xml:space="preserve">[Shafik, Caroline F.; Mohareb, Emad W.; Youssef, Fouad G.] USN, Med Res Unit 3, Cairo 11517, Egypt; [Yassin, Aymen S.; Amin, Madgy A.] Cairo Univ, Dept Microbiol &amp; Immunol, Fac Pharm, Cairo, Egypt; [El Kholy, Amani] Cairo Univ, Dept Clin Pathol, Fac Med, Cairo, Egypt; [El-Karaksy, Hanaa] Cairo Univ, Dept Pediat, Fac Med, Giza, Egypt</t>
  </si>
  <si>
    <t xml:space="preserve">Naval Medical Research Center (NMRC); Naval Medical Research Unit - No. 3 (NAMRU-3); United States Department of Defense; United States Navy; Egyptian Knowledge Bank (EKB); Cairo University; Egyptian Knowledge Bank (EKB); Cairo University; Egyptian Knowledge Bank (EKB); Cairo University</t>
  </si>
  <si>
    <t xml:space="preserve">Shafik, CF (corresponding author), USN, Med Res Unit 3, Cairo 11517, Egypt.</t>
  </si>
  <si>
    <t xml:space="preserve">caroline.fayez.eg@med.navy.mil</t>
  </si>
  <si>
    <t xml:space="preserve">El-Karaksy, Hanaa/ABG-6674-2020; Kholy, Amani/ABA-4759-2020; Yassin, Aymen/N-8490-2016</t>
  </si>
  <si>
    <t xml:space="preserve">Yassin, Aymen/0000-0002-4423-164X; El Kholy, Amani/0000-0002-0645-7664</t>
  </si>
  <si>
    <t xml:space="preserve">United States Department of Defense Global Emerging Infections Systems Surveillance and Response (AFHSC-GEIS) Program [847705.82000.25 GB.E0018]</t>
  </si>
  <si>
    <t xml:space="preserve">United States Department of Defense Global Emerging Infections Systems Surveillance and Response (AFHSC-GEIS) Program(United States Department of Defense)</t>
  </si>
  <si>
    <t xml:space="preserve">The views expressed in this article are those of the author and do not necessarily reflect the official policy or position of the Department of the Navy, Department of Defense, or the U.S. Government. This study was funded by the United States Department of Defense Global Emerging Infections Systems Surveillance and Response (AFHSC-GEIS) Program, work unit # 847705.82000.25 GB.E0018. The funders had no role in study design, data collection and analysis, decision to publish, or preparation of the manuscript. The study protocol # NAMRU3.2006.0010 was approved by the Naval Medical Research Unit No. 3 Institutional Review Board in compliance with all applicable Federal regulations governing the protection of human subjects. Some of the authors are employees of the U.S. Government. This work was prepared as part of their official duties.</t>
  </si>
  <si>
    <t xml:space="preserve">10.1186/1471-2334-12-350</t>
  </si>
  <si>
    <t xml:space="preserve">063ZE</t>
  </si>
  <si>
    <t xml:space="preserve">WOS:000313039900001</t>
  </si>
  <si>
    <t xml:space="preserve">An, TJ; Lee, J; Shin, M; Rhee, CK</t>
  </si>
  <si>
    <t xml:space="preserve">An, Tai Joon; Lee, Jangwon; Shin, Myoungin; Rhee, Chin Kook</t>
  </si>
  <si>
    <t xml:space="preserve">Seasonality of common respiratory viruses: Analysis of nationwide time-series data</t>
  </si>
  <si>
    <t xml:space="preserve">RESPIROLOGY</t>
  </si>
  <si>
    <t xml:space="preserve">dynamic time warping; respiratory tract infection; seasonal autoregressive integrated moving average; time-series analysis; viruses</t>
  </si>
  <si>
    <t xml:space="preserve">PARAINFLUENZA VIRUS; COVID-19</t>
  </si>
  <si>
    <t xml:space="preserve">Background and ObjectiveUnderstanding the seasonal behaviours of respiratory viruses is crucial for preventing infections. We evaluated the seasonality of respiratory viruses using time-series analyses.MethodsThis study analysed prospectively collected nationwide surveillance data on eight respiratory viruses, gathered from the Korean Influenza and Respiratory Surveillance System. The data were collected on a weekly basis by 52 nationwide primary healthcare institutions between 2015 and 2019. We performed Spearman correlation analyses, similarity analyses via dynamic time warping (DTW) and seasonality analyses using seasonal autoregressive integrated moving average (SARIMA).ResultsThe prevalence of rhinovirus (RV, 23.6%-31.4%), adenovirus (AdV, 9.2%-16.6%), human coronavirus (HCoV, 3.0%-6.6%), respiratory syncytial virus (RSV, 11.7%-20.1%), influenza virus (IFV, 11.7%-21.5%), parainfluenza virus (PIV, 9.2%-12.6%), human metapneumovirus (HMPV, 5.6%-6.9%) and human bocavirus (HBoV, 5.0%-6.4%) were derived. Most of them exhibited a high positive correlation in Spearman analyses. In DTW analyses, all virus data from 2015 to 2019, except AdV, exhibited good alignments. In SARIMA, AdV and RV did not show seasonality. Other viruses showed 12-month seasonality. We describe the viruses as winter viruses (HCoV, RSV and IFV), spring/summer viruses (PIV, HBoV), a spring virus (HMPV) and all-year viruses with peak incidences during school periods (RV and AdV).ConclusionThis is the first study to comprehensively analyse the seasonal behaviours of the eight most common respiratory viruses using nationwide, prospectively collected, sentinel surveillance data. imageConclusionThis is the first study to comprehensively analyse the seasonal behaviours of the eight most common respiratory viruses using nationwide, prospectively collected, sentinel surveillance data. image We revealed the seasonal behaviour of respiratory viruses through time-series analysis using nationwide surveillance data from South Korea. Even before and after the COVID-19 pandemic, respiratory viruses were categorized by season: winter (coronavirus, respiratory syncytial virus and influenza virus), spring/summer (parainfluenza and bocavirus), spring (metapneumovirus) and all-year (rhinovirus and adenovirus).image</t>
  </si>
  <si>
    <t xml:space="preserve">[An, Tai Joon] Catholic Univ Korea, Yeouido St Marys Hosp, Dept Internal Med, Div Pulm &amp; Crit Care Med,Coll Med, Seoul, South Korea; [Lee, Jangwon] Korea Univ, Dept Stat, Seoul, South Korea; [Shin, Myoungin] Sejong Univ, Dept Ocean Syst Engn, Seoul, South Korea; [Rhee, Chin Kook] Catholic Univ Korea, Seoul St Marys Hosp, Dept Internal Med, Div Pulm &amp; Crit Care Med,Coll Med, Seoul, South Korea</t>
  </si>
  <si>
    <t xml:space="preserve">Catholic University of Korea; Korea University; Sejong University; Seoul St. Mary's Hospital; Catholic University of Korea</t>
  </si>
  <si>
    <t xml:space="preserve">Rhee, CK (corresponding author), Catholic Univ Korea, Seoul St Marys Hosp, Dept Internal Med, Div Pulm &amp; Crit Care Med,Coll Med, Seoul, South Korea.</t>
  </si>
  <si>
    <t xml:space="preserve">; Rhee, Chin Kook/P-8885-2018</t>
  </si>
  <si>
    <t xml:space="preserve">Shin, MyoungIn/0000-0003-3456-8123; An, Tai Joon/0000-0002-0286-2638; Rhee, Chin Kook/0000-0003-4533-7937</t>
  </si>
  <si>
    <t xml:space="preserve">Korea Ministry of Environment [2022003310008]</t>
  </si>
  <si>
    <t xml:space="preserve">Korea Ministry of Environment(Ministry of Environment (ME), Republic of Korea)</t>
  </si>
  <si>
    <t xml:space="preserve">Korea Ministry of Environment, Grant/AwardNumber: 2022003310008</t>
  </si>
  <si>
    <t xml:space="preserve">1323-7799</t>
  </si>
  <si>
    <t xml:space="preserve">1440-1843</t>
  </si>
  <si>
    <t xml:space="preserve">Respirology</t>
  </si>
  <si>
    <t xml:space="preserve">10.1111/resp.14818</t>
  </si>
  <si>
    <t xml:space="preserve">J8D0G</t>
  </si>
  <si>
    <t xml:space="preserve">WOS:001288878000001</t>
  </si>
  <si>
    <t xml:space="preserve">Liu, ZR; Xie, ZB; Sun, R; Zhang, F; Xu, WB; Wang, ZG; Zhang, Y</t>
  </si>
  <si>
    <t xml:space="preserve">Liu, Ziran; Xie, Zhibo; Sun, Rui; Zhang, Feng; Xu, Wenbo; Wang, Zhaoguo; Zhang, Yan</t>
  </si>
  <si>
    <t xml:space="preserve">The A2c111nt-dup variants of human metapneumovirus predominantly circulating in Qingdao, China, during 2018 and 2019</t>
  </si>
  <si>
    <t xml:space="preserve">duplication; genetic variations; human metapneumovirus; pediatric inpatient</t>
  </si>
  <si>
    <t xml:space="preserve">ACUTE RESPIRATORY-INFECTION; GENETIC DIVERSITY; DUPLICATION</t>
  </si>
  <si>
    <t xml:space="preserve">Human metapneumovirus (HMPV) plays an important role in acute respiratory tract infections (ARTIs), especially in children. We investigated the epidemiology of HMPV associated with ARTIs among pediatric inpatients and identified HMPV genetic variations in Qingdao, China, from January 2018 to June 2019. HMPV-positive samples were identified from throat swabs by multiplex real-time reverse transcriptase polymerase chain reaction (RT-PCR). The G gene sequences of HMPV were obtained, followed by phylogenetic analysis. As a result, 71 out of 1051 (6.76%) patients were HMPV positive, and the HMPV-positive rate in children under 5 years of age was three times higher than that in those aged 5-17 years. The epidemic season of HMPV was in spring, with a peak mainly in March. Thirty-two nucleotide sequences of the HMPV G gene successfully obtained were clustered into three genotypes, A2c (25/32, 78.13%), B1 (3/32, 9.38%) and B2 (4/32, 12.50%). In addition, 76% (19/25) of A2c viruses were identified as the emerging A2c(111nt-dup) variants, which were predominantly circulating among pediatric inpatients with ARTIs between January 2018 and June 2019 in Qingdao. The emerging A2c(111nt-dup) variants have spread between countries and cities and might spread more widely in the future. Further prevalence monitoring of this duplication variant is needed to clarify the potentially expanding transmission and to provide a scientific basis for disease control and vaccine development.</t>
  </si>
  <si>
    <t xml:space="preserve">[Liu, Ziran; Sun, Rui; Zhang, Feng; Wang, Zhaoguo] Qingdao Municipal Ctr Dis Control &amp; Prevent, Qingdao, Shandong, Peoples R China; [Xie, Zhibo; Xu, Wenbo; Zhang, Yan] China CDC, Natl Inst Viral Dis Control &amp; Prevent, Beijing, Peoples R China</t>
  </si>
  <si>
    <t xml:space="preserve">Wang, ZG (corresponding author), Qingdao Municipal Ctr Dis Control &amp; Prevent, Qingdao, Shandong, Peoples R China.;Zhang, Y (corresponding author), China CDC, Natl Inst Viral Dis Control &amp; Prevent, Beijing, Peoples R China.</t>
  </si>
  <si>
    <t xml:space="preserve">wzg-003@163.com; zhangyan@ivdc.chinacdc.cn</t>
  </si>
  <si>
    <t xml:space="preserve">Liu, Ziran/M-2132-2018; Sun, Rui/KCX-8313-2024</t>
  </si>
  <si>
    <t xml:space="preserve">Xie, Zhibo/0000-0002-3327-453X</t>
  </si>
  <si>
    <t xml:space="preserve">Key Technologies R&amp;D Program of the National Ministry of Science [2018ZX10713002, 2018ZX10711001]</t>
  </si>
  <si>
    <t xml:space="preserve">Key Technologies R&amp;D Program of the National Ministry of Science</t>
  </si>
  <si>
    <t xml:space="preserve">This study was supported by the Key Technologies R&amp;D Program of the National Ministry of Science (2018ZX10713002 and 2018ZX10711001).</t>
  </si>
  <si>
    <t xml:space="preserve">10.1002/jmv.27888</t>
  </si>
  <si>
    <t xml:space="preserve">2V4WZ</t>
  </si>
  <si>
    <t xml:space="preserve">WOS:000814050500001</t>
  </si>
  <si>
    <t xml:space="preserve">Saikusa, M; Nao, N; Kawakami, C; Usuku, S; Sasao, T; Toyozawa, T; Takeda, M; Okubo, I</t>
  </si>
  <si>
    <t xml:space="preserve">Saikusa, Miwako; Nao, Naganori; Kawakami, Chiharu; Usuku, Shuzo; Sasao, Tadayoshi; Toyozawa, Takahiro; Takeda, Makoto; Okubo, Ichiro</t>
  </si>
  <si>
    <t xml:space="preserve">A novel 111-nucleotide duplication in the G gene of human metapneumovirus</t>
  </si>
  <si>
    <t xml:space="preserve">duplication; G gene; human metapneumovirus</t>
  </si>
  <si>
    <t xml:space="preserve">RESPIRATORY SYNCYTIAL VIRUS; 180-NUCLEOTIDE DUPLICATION; VARIABILITY; DIVERSITY</t>
  </si>
  <si>
    <t xml:space="preserve">In 2017, novel human metapneumovirus (HMPV) A2b subgroup strains with a 111-nucleotide duplication in the G gene was detected by the present team. These strains were related to previously identified HMPV A2b strains with a 180-nucleotide duplication; however, they appeared to be different strains, produced by an independent duplication event. The recent evolution of HMPV suggests that careful monitoring of this virus is required.</t>
  </si>
  <si>
    <t xml:space="preserve">[Saikusa, Miwako; Kawakami, Chiharu; Usuku, Shuzo; Sasao, Tadayoshi; Okubo, Ichiro] Yokohama City Inst Publ Hlth, Yokohama, Kanagawa 2360051, Japan; [Nao, Naganori; Takeda, Makoto] Natl Inst Infect Dis, Dept Virol 3, 4-7-1 Gakuen, Musashimurayama, Tokyo 2080011, Japan; [Toyozawa, Takahiro] Yokohama City Publ Hlth Ctr, Yokohama, Kanagawa 2310017, Japan</t>
  </si>
  <si>
    <t xml:space="preserve">Takeda, M (corresponding author), Natl Inst Infect Dis, Dept Virol 3, 4-7-1 Gakuen, Musashimurayama, Tokyo 2080011, Japan.</t>
  </si>
  <si>
    <t xml:space="preserve">mtakeda@nih.go.jp</t>
  </si>
  <si>
    <t xml:space="preserve">Research Program on Emerging and Re-emerging Infectious Diseases of the Japan Agency for Medical Research and Development, AMED; Japan Foundation for Pediatric Research [15-004]</t>
  </si>
  <si>
    <t xml:space="preserve">Research Program on Emerging and Re-emerging Infectious Diseases of the Japan Agency for Medical Research and Development, AMED(Japan Agency for Medical Research and Development (AMED)); Japan Foundation for Pediatric Research</t>
  </si>
  <si>
    <t xml:space="preserve">We thank the staff of the clinics and hospitals that collected the specimens and clinical information. We are also grateful to all members of the Yokohama City Institute of Public Health for their technical support and dedicated assistance. This work was partly supported by the Research Program on Emerging and Re-emerging Infectious Diseases of the Japan Agency for Medical Research and Development, AMED and the Japan Foundation for Pediatric Research (No 15-004).</t>
  </si>
  <si>
    <t xml:space="preserve">10.1111/1348-0421.12543</t>
  </si>
  <si>
    <t xml:space="preserve">FN0LN</t>
  </si>
  <si>
    <t xml:space="preserve">WOS:000415669400006</t>
  </si>
  <si>
    <t xml:space="preserve">Piñana, M; Vila, J; Gimferrer, L; Valls, M; Andrés, C; Codina, MG; Ramón, J; Martín, MC; Fuentes, F; Saiz, R; Alcubilla, P; Rodrigo, C; Pumarola, T; Antón, A</t>
  </si>
  <si>
    <t xml:space="preserve">Pinana, Maria; Vila, Jorgina; Gimferrer, Laura; Valls, Maria; Andres, Cristina; Gema Codina, Maria; Ramon, Javier; Carmen Martin, Maria; Fuentes, Francisco; Saiz, Rosario; Alcubilla, Pilar; Rodrigo, Carlos; Pumarola, Tomas; Anton, Andres</t>
  </si>
  <si>
    <t xml:space="preserve">Novel human metapneumovirus with a 180-nucleotide duplication in the G gene</t>
  </si>
  <si>
    <t xml:space="preserve">FUTURE MICROBIOLOGY</t>
  </si>
  <si>
    <t xml:space="preserve">duplication; evolution; genetic diversity; genotype; G protein; human metapneumovirus; molecular epidemiology; respiratory tract infection; respiratory virus; surveillance</t>
  </si>
  <si>
    <t xml:space="preserve">GLYCOPROTEINS; VARIABILITY; INFECTIONS; EVOLUTION; CHILDREN</t>
  </si>
  <si>
    <t xml:space="preserve">Aim: To describe the circulation, genetic diversity and clinical features of human metapneumovirus (HMPV) in pediatric patients that attended the Hospital Universitari Vall d'Hebron, Spain from 2014 to 2016. Materials &amp; methods: Partial G gene was sequenced from laboratory-confirmed HMPV respiratory specimens for subsequent phylogenetic analysis. Results: A total of 121 different samples were HMPV laboratory-confirmed out of 6658 specimens received. The highest circulation was from February to April, with a prevalence of 3%. Different genetic groups within both genotypes were detected at variable levels. A 180-nucleotide duplication was first characterized within the G gene in nine cases, mostly related to lower respiratory-tract infection. Conclusion: This study reported on the circulation of a novel HMPV with a 180-nucleotide duplication in the G gene, but no clinical changes in related cases were observed. Their prevalence increased during the last season suggesting changes in viral features.</t>
  </si>
  <si>
    <t xml:space="preserve">[Pinana, Maria; Gimferrer, Laura; Andres, Cristina; Gema Codina, Maria; Ramon, Javier; Carmen Martin, Maria; Fuentes, Francisco; Saiz, Rosario; Alcubilla, Pilar; Pumarola, Tomas; Anton, Andres] Univ Autonoma Barcelona, Resp Viruses Unit, Virol Sect, Microbiol Dept,Hosp Univ Vall dHebron,Vall dHebro, Barcelona, Spain; [Vila, Jorgina; Valls, Maria; Rodrigo, Carlos] Univ Autonoma Barcelona, Pediatr Hospitalizat Unit, Dept Pediat, Hosp Univ Maternoinfantil Vall dHebron, Barcelona, Spain</t>
  </si>
  <si>
    <t xml:space="preserve">Autonomous University of Barcelona; Hospital Universitari Vall d'Hebron; Autonomous University of Barcelona</t>
  </si>
  <si>
    <t xml:space="preserve">Antón, A (corresponding author), Univ Autonoma Barcelona, Resp Viruses Unit, Virol Sect, Microbiol Dept,Hosp Univ Vall dHebron,Vall dHebro, Barcelona, Spain.</t>
  </si>
  <si>
    <t xml:space="preserve">aanton@vhebron.net</t>
  </si>
  <si>
    <t xml:space="preserve">Pumarola, Tomàs/AAB-5532-2019; Vila, Jorgina/ITV-2504-2023; Piñana, María/GWC-6136-2022; JIMENEZ, FRANCISCO/G-4311-2016; Pumarola Sune, Tomas/F-7583-2017; Rodrigo, Carlos/F-7602-2017; Anton Pagarolas, Andres/B-3308-2011</t>
  </si>
  <si>
    <t xml:space="preserve">Pumarola Sune, Tomas/0000-0002-5171-7461; Rodrigo, Carlos/0000-0003-1140-2585; Ramon, Javier/0000-0002-0673-9338; Anton Pagarolas, Andres/0000-0002-1476-0815; Andres Verges, Cristina/0000-0002-3200-0895; Pinana, Maria/0000-0002-4766-2613</t>
  </si>
  <si>
    <t xml:space="preserve">Plan Nacional de I + D + I; Instituto de Salud Carlos III, Subdireccion General de Redes y Centros de Investigacion Cooperativa, Ministerio Espanol de Economia y Competitividad, Spanish Network for Research in Infectious Diseases [REIPI RD12/0015/0003]; Fondo de Investigacion Sanitaria, Ministerio Espanol de Economia y Competitividad [FIS PI14/01838]; European regional development fund (ERDF)</t>
  </si>
  <si>
    <t xml:space="preserve">Plan Nacional de I + D + I(Spanish Government); Instituto de Salud Carlos III, Subdireccion General de Redes y Centros de Investigacion Cooperativa, Ministerio Espanol de Economia y Competitividad, Spanish Network for Research in Infectious Diseases; Fondo de Investigacion Sanitaria, Ministerio Espanol de Economia y Competitividad; European regional development fund (ERDF)(European Union (EU))</t>
  </si>
  <si>
    <t xml:space="preserve">This work was partially supported by Plan Nacional de I + D + I 2008-2011 and by Instituto de Salud Carlos III, Subdireccion General de Redes y Centros de Investigacion Cooperativa, Ministerio Espanol de Economia y Competitividad, Spanish Network for Research in Infectious Diseases (REIPI RD12/0015/0003); by Fondo de Investigacion Sanitaria, Ministerio Espanol de Economia y Competitividad (grant FIS PI14/01838); and European regional development fund (ERDF). The authors have no other relevant affiliations or financial involvement with any organization or entity with a financial interest in or financial conflict with the subject matter or materials discussed in the manuscript apart from those disclosed.</t>
  </si>
  <si>
    <t xml:space="preserve">1746-0913</t>
  </si>
  <si>
    <t xml:space="preserve">1746-0921</t>
  </si>
  <si>
    <t xml:space="preserve">FUTURE MICROBIOL</t>
  </si>
  <si>
    <t xml:space="preserve">Future Microbiol.</t>
  </si>
  <si>
    <t xml:space="preserve">10.2217/fmb-2016-0211</t>
  </si>
  <si>
    <t xml:space="preserve">FA0NR</t>
  </si>
  <si>
    <t xml:space="preserve">WOS:000405133000004</t>
  </si>
  <si>
    <t xml:space="preserve">Arvia, R; Corcioli, F; Ciccone, N; Della Malva, N; Azzi, A</t>
  </si>
  <si>
    <t xml:space="preserve">Arvia, Rosaria; Corcioli, Fabiana; Ciccone, Nunziata; Della Malva, Nunzia; Azzi, Alberta</t>
  </si>
  <si>
    <t xml:space="preserve">Detection of 12 respiratory viruses by duplex real time PCR assays in respiratory samples</t>
  </si>
  <si>
    <t xml:space="preserve">Duplex real time PCR; Respiratory viruses detection</t>
  </si>
  <si>
    <t xml:space="preserve">RT-PCR; MULTIPLEX PCR; CLINICAL SPECIMENS; PANEL; INFECTIONS; DIAGNOSIS</t>
  </si>
  <si>
    <t xml:space="preserve">Different viruses can be responsible for similar clinical manifestations of respiratory infections. Thus, the etiological diagnosis of respiratory viral diseases requires the detection of a large number of viruses. In this study, 6 duplex real-time PCR assays, using EvaGreen intercalating dye, were developed to detect 12 major viruses responsible for respiratory diseases: influenza A and B viruses, enteroviruses (including enterovirus spp, and rhinovirus spp), respiratory syncytial virus, human metapneumovirus, coronaviruses group I (of which CoV 229E and CoV NL63 are part) and II (including Coy OC43 and CoV HKU1), parainfluenza viruses type 1, 2, 3 and 4, human adenoviruses and human bocaviruses. The 2 target viruses of each duplex reaction were distinguishable by the melting temperatures of their amplicons. The 6 duplex real time PCR assays were applied for diagnostic purpose on 202 respiratory samples from 157 patients. One hundred fifty-seven samples were throat swabs and 45 were bronchoalveolar lavages. The results of the duplex PCR assays were confirmed by comparison with a commercial, validated, assay; in addition, the positive results were confirmed by sequencing. The analytical sensitivity of the duplex PCR assays varied from 10(3) copies/ml to 10(4) copies/ml. For parainfluenza virus 2 only it was 10(5) copies/ml. Seventy clinical samples (35%) from 55 patients (30 children and 25 adults) were positive for 1 or more viruses. In adult patients, influenza A virus was the most frequently detected respiratory virus followed by rhinoviruses. In contrast, respiratory syncytial virus was the most common virus in children, followed by enteroviruses, influenza A virus and coronavirus NL63. The small number of samples/patients does not allow us to draw any epidemiological conclusion. Altogether, the results of this study indicate that the 6 duplex PCR assays described in this study are sensitive, specific and cost-effective. Thus, this assay could be particularly useful to identify the main respiratory viruses directly from clinical samples, after nucleic acid extraction, and, also, to screen a large number of patients for epidemiological studies. (C) 2015 Elsevier Ltd. All rights reserved.</t>
  </si>
  <si>
    <t xml:space="preserve">[Arvia, Rosaria; Corcioli, Fabiana; Azzi, Alberta] Univ Florence, Dept Expt &amp; Clin Med, I-50134 Florence, Italy; [Ciccone, Nunziata; Della Malva, Nunzia] Careggi Teaching Hosp, I-50134 Florence, Italy</t>
  </si>
  <si>
    <t xml:space="preserve">University of Florence; University of Florence; Azienda Ospedaliero Universitaria Careggi</t>
  </si>
  <si>
    <t xml:space="preserve">Azzi, A (corresponding author), Univ Florence, Dept Expt &amp; Clin Med, Viale Morgagni 48, I-50134 Florence, Italy.</t>
  </si>
  <si>
    <t xml:space="preserve">rosaria.arvia@libero.it; f.corcioli@virgilio.it; cicconen@aou-careggi.toscana.it; nunziadellamalva@yahoo.it; alberta.azzi@unifi.it</t>
  </si>
  <si>
    <t xml:space="preserve">Arvia, Rosaria/AAD-6034-2021</t>
  </si>
  <si>
    <t xml:space="preserve">Foundation Istituto di Ricerca Virologica Oretta Bartolomei Corsi, Florence, Italy; Tuscany Region (SETTORE SERVIZI DI PREVENZIONE IN SANITA' PUBBLICA E VETERINARIA)</t>
  </si>
  <si>
    <t xml:space="preserve">This work was partially supported by a grant from the Foundation Istituto di Ricerca Virologica Oretta Bartolomei Corsi, Florence, Italy, and from the Tuscany Region (SETTORE SERVIZI DI PREVENZIONE IN SANITA' PUBBLICA E VETERINARIA).</t>
  </si>
  <si>
    <t xml:space="preserve">1096-1194</t>
  </si>
  <si>
    <t xml:space="preserve">10.1016/j.mcp.2015.08.006</t>
  </si>
  <si>
    <t xml:space="preserve">CZ6LD</t>
  </si>
  <si>
    <t xml:space="preserve">WOS:000367211900010</t>
  </si>
  <si>
    <t xml:space="preserve">Chupin, C; Pizzorno, A; Traversier, A; Brun, P; Ogonczyk-Makowska, D; Padey, B; Milesi, C; Dulière, V; Laurent, E; Julien, T; Galloux, M; Lina, B; Eléouët, JF; Moreau, K; Hamelin, ME; Terrier, O; Boivin, G; Dubois, J; Rosa-Calatrava, M</t>
  </si>
  <si>
    <t xml:space="preserve">Chupin, Caroline; Pizzorno, Andres; Traversier, Aurelien; Brun, Pauline; Ogonczyk-Makowska, Daniela; Padey, Blandine; Milesi, Cedrine; Duliere, Victoria; Laurent, Emilie; Julien, Thomas; Galloux, Marie; Lina, Bruno; Eleouet, Jean-Francois; Moreau, Karen; Hamelin, Marie-Eve; Terrier, Olivier; Boivin, Guy; Dubois, Julia; Rosa-Calatrava, Manuel</t>
  </si>
  <si>
    <t xml:space="preserve">Avian Cell Line DuckCelt(R)-T17 Is an Efficient Production System for Live-Attenuated Human Metapneumovirus Vaccine Candidate Metavac(R)</t>
  </si>
  <si>
    <t xml:space="preserve">DuckCelt-T17 avian cell line; in-suspension serum-free bioproduction; production process optimization; human metapneumovirus (HMPV); live-attenuated vaccine (LAV); SH protein; gene deletion</t>
  </si>
  <si>
    <t xml:space="preserve">RESPIRATORY SYNCYTIAL VIRUS; YOUNG-CHILDREN; PROTEIN; INFECTION; LACKING; DISEASE; FUSION; MICE; MVA; SH</t>
  </si>
  <si>
    <t xml:space="preserve">The development of a live-attenuated vaccine (LAV) for the prevention of human metapneumovirus (HMPV) infection is often hampered by the lack of highly efficient and scalable cell-based production systems that support eventual global vaccine production. Avian cell lines cultivated in suspension compete with traditional cell platforms used for viral vaccine manufacture. We investigated whether the DuckCelt(R)-T17 avian cell line (Vaxxel), previously described as an efficient production system for several influenza strains, could also be used to produce a new HMPV LAV candidate (Metavac(R), SH gene-deleted A1/C-85473 HMPV). To that end, we characterized the operational parameters of MOI, cell density, and trypsin addition to achieve the optimal production of Metavac(R), and demonstrated that the DuckCelt(R)-T17 cell line is permissive and well-adapted to the production of the wild-type A1/C-85473 HMPV and the Metavac(R) vaccine candidate. Moreover, our results confirmed that the LAV candidate produced in DuckCelt(R)-T17 cells conserves its advantageous replication properties in LLC-MK2 and 3D-reconstituted human airway epithelium models, and its capacity to induce efficient neutralizing antibodies in a BALB/c mouse model. Our results suggest that the DuckCelt(R)-T17 avian cell line is a very promising platform for the scalable in-suspension serum-free production of the HMPV-based LAV candidate Metavac(R).</t>
  </si>
  <si>
    <t xml:space="preserve">[Chupin, Caroline; Pizzorno, Andres; Traversier, Aurelien; Brun, Pauline; Padey, Blandine; Milesi, Cedrine; Duliere, Victoria; Laurent, Emilie; Julien, Thomas; Lina, Bruno; Terrier, Olivier; Dubois, Julia; Rosa-Calatrava, Manuel] Univ Lyon, Univ Claude Bernard Lyon 1, Ctr Int Rech Infectiol, ENS Lyon,CIRI,CNRS,UMR5308,Inserm,U1111, F-69007 Lyon, France; [Chupin, Caroline; Dubois, Julia] Vaxxel, 43 Blvd Onze Novembre 1918, F-69100 Villeurbanne, France; [Chupin, Caroline; Pizzorno, Andres; Traversier, Aurelien; Brun, Pauline; Ogonczyk-Makowska, Daniela; Padey, Blandine; Milesi, Cedrine; Duliere, Victoria; Laurent, Emilie; Julien, Thomas; Lina, Bruno; Hamelin, Marie-Eve; Terrier, Olivier; Boivin, Guy; Dubois, Julia; Rosa-Calatrava, Manuel] Univ Laval, Int Associated Lab RespiVir, LIA VirPath LVMC France Quebec, Quebec City, PQ G1V 4G2, Canada; [Chupin, Caroline; Pizzorno, Andres; Traversier, Aurelien; Brun, Pauline; Ogonczyk-Makowska, Daniela; Padey, Blandine; Milesi, Cedrine; Duliere, Victoria; Laurent, Emilie; Julien, Thomas; Lina, Bruno; Hamelin, Marie-Eve; Terrier, Olivier; Boivin, Guy; Dubois, Julia; Rosa-Calatrava, Manuel] Univ Lyon, Univ Claude Bernard Lyon 1, F-69008 Lyon, France; [Traversier, Aurelien; Brun, Pauline; Milesi, Cedrine; Duliere, Victoria; Laurent, Emilie; Julien, Thomas; Rosa-Calatrava, Manuel] Univ Lyon, Univ Claude Bernard Lyon 1, Fac Med RTH Laennec, VirNext, F-69008 Lyon, France; [Ogonczyk-Makowska, Daniela; Hamelin, Marie-Eve; Boivin, Guy] Univ Laval, Ctr Hosp Univ Quebec, Ctr Rech Infectiol, Quebec City, PQ G1V 4G2, Canada; [Galloux, Marie; Eleouet, Jean-Francois] Univ Paris Saclay, Unite Virol &amp; Immunol Mol, INRAE, UVSQ, F-78350 Jouy En Josas, France; [Moreau, Karen] Univ Lyon, Univ Claude Bernard Lyon 1, Ctr Int Rech Infectiol,Inserm,U1111, ENS Lyon,CNRS,UMR5308,CIRI,Team STAPHPATH, F-69007 Lyon, France</t>
  </si>
  <si>
    <t xml:space="preserve">Ecole Normale Superieure de Lyon (ENS de LYON); Universite Claude Bernard Lyon 1; Institut National de la Sante et de la Recherche Medicale (Inserm); Centre National de la Recherche Scientifique (CNRS); CNRS - National Institute for Biology (INSB); Laval University; Universite Claude Bernard Lyon 1; Universite Claude Bernard Lyon 1; Laval University; INRAE; Universite Paris Cite; Universite Paris Saclay; Universite Claude Bernard Lyon 1; Centre National de la Recherche Scientifique (CNRS); CNRS - National Institute for Biology (INSB); Institut National de la Sante et de la Recherche Medicale (Inserm); Ecole Normale Superieure de Lyon (ENS de LYON)</t>
  </si>
  <si>
    <t xml:space="preserve">Dubois, J; Rosa-Calatrava, M (corresponding author), Univ Lyon, Univ Claude Bernard Lyon 1, Ctr Int Rech Infectiol, ENS Lyon,CIRI,CNRS,UMR5308,Inserm,U1111, F-69007 Lyon, France.;Dubois, J (corresponding author), Vaxxel, 43 Blvd Onze Novembre 1918, F-69100 Villeurbanne, France.;Dubois, J; Rosa-Calatrava, M (corresponding author), Univ Laval, Int Associated Lab RespiVir, LIA VirPath LVMC France Quebec, Quebec City, PQ G1V 4G2, Canada.;Dubois, J; Rosa-Calatrava, M (corresponding author), Univ Lyon, Univ Claude Bernard Lyon 1, F-69008 Lyon, France.;Rosa-Calatrava, M (corresponding author), Univ Lyon, Univ Claude Bernard Lyon 1, Fac Med RTH Laennec, VirNext, F-69008 Lyon, France.</t>
  </si>
  <si>
    <t xml:space="preserve">caroline.chupin@univ-lyon1.fr; mario-andres.pizzorno@univ-lyon1.fr; aurelien.traversier@univ-lyon1.fr; pauline.brun@univ-lyon1.fr; daniela.ogonczyk-makowska@crchudequebec.ulaval.ca; blandine.padey@univ-lyon1.fr; cedrine.milesi@univ-lyon1.fr; victoria.duliere@univ-lyon1.fr; emilielaurent@univ-lyon1.fr; thomas.julien@univ-lyon1.fr; marie.galloux@inrae.fr; bruno.lina@univ-lyon1.fr; jean-francois.eleouet@inrae.fr; karen.moreau@univ-lyon1.fr; marie-eve.hamelin@crchudequebec.ulaval.ca; olivietterrier@univ-lyon1.fr; guy.boivin@crchudequebec.ulaval.ca; julia.dubois@vaxxel.fr; manuel.rosa-calatrava@univ-lyon1.fr</t>
  </si>
  <si>
    <t xml:space="preserve">Terrier, Olivier/B-6301-2009; Moreau, Karen/L-9903-2014; Dubois, Julia/AAH-5914-2019; Rosa-calatrava, Manuel/M-7263-2014; lina, bruno/N-3663-2019; Eléouët, Jean-François/AAD-1994-2019; Pizzorno, Andrés/M-9633-2019</t>
  </si>
  <si>
    <t xml:space="preserve">Rosa-calatrava, Manuel/0000-0002-7559-9527; Hamelin, Marie-Eve/0000-0002-7568-5097; PADEY, Blandine/0000-0002-2159-6507; Ogonczyk-Makowska, Daniela/0000-0001-8178-4879; Dubois, Julia/0000-0002-9777-2968; Julien, Thomas/0000-0002-8607-2827; Chupin, Caroline/0000-0003-3860-3475; Traversier, Aurelien/0000-0003-1874-3075</t>
  </si>
  <si>
    <t xml:space="preserve">Agence National de la Recherche [ANR AAP19 METAVAC-T17]; Canadian Institutes of Health Research [273261]; Universite Claude Bernard Lyon 1, Lyon, France; Region Auvergne-Rhone-Alpes (grant CMIRA Accueil Pro); Region Auvergne-Rhone-Alpes (grant CMIRA ExploRA'DOC); Consulat General de France a Quebec (Programme Frontenac); Association Nationale Recherche Technologie (ANRT)</t>
  </si>
  <si>
    <t xml:space="preserve">Agence National de la Recherche(Agence Nationale de la Recherche (ANR)); Canadian Institutes of Health Research(Canadian Institutes of Health Research (CIHR)); Universite Claude Bernard Lyon 1, Lyon, France; Region Auvergne-Rhone-Alpes (grant CMIRA Accueil Pro); Region Auvergne-Rhone-Alpes (grant CMIRA ExploRA'DOC); Consulat General de France a Quebec (Programme Frontenac); Association Nationale Recherche Technologie (ANRT)(Agence Nationale de la Recherche (ANR))</t>
  </si>
  <si>
    <t xml:space="preserve">This study was supported by a grant from Agence National de la Recherche (ANR AAP19 METAVAC-T17) to Manuel Rosa-Calatrava and a grant from Canadian Institutes of Health Research (No. 273261) to Guy Boivin and Universite Claude Bernard Lyon 1, Lyon, France. Andres Pizzorno received the support of the Region Auvergne-Rhone-Alpes (grant CMIRA Accueil Pro). Julia Dubois received the support of the Region Auvergne-Rhone-Alpes (grant CMIRA ExploRA'DOC) and of the Consulat General de France a Quebec (Programme Frontenac). Caroline Chupin received the support of the Association Nationale Recherche Technologie (ANRT).</t>
  </si>
  <si>
    <t xml:space="preserve">10.3390/vaccines9101190</t>
  </si>
  <si>
    <t xml:space="preserve">WR5OD</t>
  </si>
  <si>
    <t xml:space="preserve">WOS:000714547700001</t>
  </si>
  <si>
    <t xml:space="preserve">Stewart-Jones, GBE; Gorman, J; Ou, L; Zhang, BS; Joyce, MG; Yang, LJ; Cheng, C; Chuang, GY; Foulds, KE; Kong, WP; Olia, AS; Sastry, M; Shen, CH; Todd, JP; Tsybovsky, Y; Verardi, R; Yang, YP; Collins, PL; Corti, D; Lanzavecchia, A; Scorpio, DG; Mascola, JR; Buchholz, UJ; Kwong, PD</t>
  </si>
  <si>
    <t xml:space="preserve">Stewart-Jones, Guillaume B. E.; Gorman, Jason; Ou, Li; Zhang, Baoshan; Joyce, M. Gordon; Yang, Lijuan; Cheng, Cheng; Chuang, Gwo-Yu; Foulds, Kathryn E.; Kong, Wing-Pui; Olia, Adam S.; Sastry, Mallika; Shen, Chen-Hsiang; Todd, John-Paul; Tsybovsky, Yaroslav; Verardi, Raffaello; Yang, Yongping; Collins, Peter L.; Corti, Davide; Lanzavecchia, Antonio; Scorpio, Diana G.; Mascola, John R.; Buchholz, Ursula J.; Kwong, Peter D.</t>
  </si>
  <si>
    <t xml:space="preserve">Interprotomer disulfide-stabilized variants of the human metapneumovirus fusion glycoprotein induce high titer-neutralizing responses</t>
  </si>
  <si>
    <t xml:space="preserve">disulfide-based stabilization; nonhuman primates; paramyxoviruses; structure-based vaccine; type; fusion machines</t>
  </si>
  <si>
    <t xml:space="preserve">PNEUMONIA REQUIRING HOSPITALIZATION; RESPIRATORY SYNCYTIAL VIRUS; VACCINE; CHILDREN; INFECTION; RSV; DISEASE; DESIGN; YOUNG</t>
  </si>
  <si>
    <t xml:space="preserve">Human metapneumovirus (HMPV) is a major cause of respiratory disease worldwide, particularly among children and the elderly. Although there is no licensed HMPV vaccine, promising candidates have been identified for related pneumoviruses based on the structure-based stabilization of the fusion (F) glycoprotein trimer, with prefusion-stabilized F glycoprotein trimers eliciting significantly higher neutralizing responses than their postfusion F counterparts. However, immunization with HMPV F trimers in either prefusion or postfusion conformations has been reported to elicit equivalent neutralization responses. Here we investigate the impact of stabilizing disulfides, especially interprotomer disulfides (IP-DSs) linking protomers of the F trimer, on the elicitation of HMPV-neutralizing responses. We designed F trimer disulfides, screened for their expression, and used electron microscopy (EM) to confirm their formation, including that of an unexpected post fusion variant. In mice, IP-DS-stabilized prefusion and postfusion HMPV F elicited significantly higher neutralizing responses than non-IP-DS-stabilized HMPV Fs. In macaques, the impact of IP-DS stabilization was more measured, although IP-DS-stabilized variants of either prefusion or postfusion HMPV F induced neutralizing responses many times the average titers observed in a healthy human cohort. Serological and absorption-based analyses of macaque responses revealed elicited HMPV-neutralizing responses to be absorbed differently by IP-DS-containing and by non-IP-DS-containing postfusion Fs, suggesting IP-DS stabilization to alter not only the immunogenicity of select epitopes but their antigenicity as well. We speculate the observed increase in immunogenicity by IP-DS trimers to be related to reduced interprotomer flexibility within the HMPV F trimer.</t>
  </si>
  <si>
    <t xml:space="preserve">[Stewart-Jones, Guillaume B. E.; Gorman, Jason; Ou, Li; Zhang, Baoshan; Joyce, M. Gordon; Cheng, Cheng; Chuang, Gwo-Yu; Foulds, Kathryn E.; Kong, Wing-Pui; Olia, Adam S.; Sastry, Mallika; Shen, Chen-Hsiang; Todd, John-Paul; Verardi, Raffaello; Yang, Yongping; Scorpio, Diana G.; Mascola, John R.; Kwong, Peter D.] NIH, Vaccine Res Ctr, Bldg 10, Bethesda, MD 20892 USA; [Gorman, Jason] New York Struct Biol Ctr, Simons Electron Microscopy Ctr, Natl Resource Automated Mol Microscopy, New York, NY 10027 USA; [Joyce, M. Gordon] Henry M Jackson Fdn Adv Mil Med, Silver Spring, MD 20910 USA; [Yang, Lijuan; Collins, Peter L.; Buchholz, Ursula J.] NIAID, Lab Infect Dis, Bethesda, MD 20892 USA; [Tsybovsky, Yaroslav] Frederick Natl Lab Canc Res, Electron Microscopy Lab, Canc Res Technol Program, Frederick, MD 21701 USA; [Corti, Davide; Lanzavecchia, Antonio] Univ Svizzera Italiana, Inst Res Biomed, CH-6500 Bellinzona, Switzerland; [Corti, Davide] Humabs BioMed SA, CH-6500 Bellinzona, Switzerland</t>
  </si>
  <si>
    <t xml:space="preserve">National Institutes of Health (NIH) - USA; Henry M. Jackson Foundation for the Advancement of Military Medicine, Inc; National Institutes of Health (NIH) - USA; NIH National Institute of Allergy &amp; Infectious Diseases (NIAID); National Institutes of Health (NIH) - USA; NIH National Cancer Institute (NCI); Frederick National Laboratory for Cancer Research; Universita della Svizzera Italiana</t>
  </si>
  <si>
    <t xml:space="preserve">Mascola, JR; Kwong, PD (corresponding author), NIH, Vaccine Res Ctr, Bldg 10, Bethesda, MD 20892 USA.;Buchholz, UJ (corresponding author), NIAID, Lab Infect Dis, Bethesda, MD 20892 USA.</t>
  </si>
  <si>
    <t xml:space="preserve">jmascola@nih.gov; ubuchholz@niaid.nih.gov; pdkwong@nih.gov</t>
  </si>
  <si>
    <t xml:space="preserve">Buchholz, Ursula/AAA-4547-2022; Zhang, Baoshan/AES-0794-2022; Mascola, John/AAI-7193-2021; Gorman, Jason/AGG-9417-2022; Kwong, Peter/ACQ-5047-2022</t>
  </si>
  <si>
    <t xml:space="preserve">Corti, Davide/0000-0002-5797-1364; Gorman, Jason/0000-0002-3775-6560</t>
  </si>
  <si>
    <t xml:space="preserve">Intramural Research Programs of the Vaccine Research Center; Division of Intramural Research, National Institute of Allergy and Infectious Diseases, NIH; Frederick National Laboratory for Cancer Research, NIH [HHSN261200800001E]; Simons Foundation [SF349247]; NYSTAR; NIH National Institute of General Medical Sciences [GM103310]; Swiss Vaccine Research Institute; European Research Council [670955]; European Research Council (ERC) [670955] Funding Source: European Research Council (ERC); National Institute of General Medical Sciences [P41GM103310] Funding Source: NIH RePORTER</t>
  </si>
  <si>
    <t xml:space="preserve">Intramural Research Programs of the Vaccine Research Center; Division of Intramural Research, National Institute of Allergy and Infectious Diseases, NIH(United States Department of Health &amp; Human ServicesNational Institutes of Health (NIH) - USANIH National Institute of Allergy &amp; Infectious Diseases (NIAID)); Frederick National Laboratory for Cancer Research, NIH; Simons Foundation; NYSTAR; NIH National Institute of General Medical Sciences(United States Department of Health &amp; Human ServicesNational Institutes of Health (NIH) - USANIH National Institute of General Medical Sciences (NIGMS)); Swiss Vaccine Research Institute; European Research Council(European Research Council (ERC)); European Research Council (ERC)(European Research Council (ERC)); National Institute of General Medical Sciences(United States Department of Health &amp; Human ServicesNational Institutes of Health (NIH) - USANIH National Institute of General Medical Sciences (NIGMS))</t>
  </si>
  <si>
    <t xml:space="preserve">We thank members of the Structural Biology Section and the Structural Bioinformatics Core Section of the Vaccine Research Center for helpful comments, and members of the Electron Microscopy Group at the New York Structural Biology Center for assistance with data collection. Support for this work was provided by the Intramural Research Programs of the Vaccine Research Center and the Division of Intramural Research, National Institute of Allergy and Infectious Diseases, NIH. This work was also supported in part by federal funds from the Frederick National Laboratory for Cancer Research, NIH, under contract HHSN261200800001E. Some of this work was performed at the Simons Electron Microscopy Center and National Resource for Automated Molecular Microscopy located at the New York Structural Biology Center, supported by grants from the Simons Foundation (SF349247), NYSTAR, and the NIH National Institute of General Medical Sciences (GM103310). The work at the Institute for Research in Biomedicine was partially supported by the Swiss Vaccine Research Institute and by the European Research Council (grant 670955 BROADimmune).</t>
  </si>
  <si>
    <t xml:space="preserve">SEP 28</t>
  </si>
  <si>
    <t xml:space="preserve">e2106196118</t>
  </si>
  <si>
    <t xml:space="preserve">10.1073/pnas.2106196118</t>
  </si>
  <si>
    <t xml:space="preserve">WI0IZ</t>
  </si>
  <si>
    <t xml:space="preserve">WOS:000708052600009</t>
  </si>
  <si>
    <t xml:space="preserve">Szentiks, CA; Köndgen, S; Silinski, S; Speck, S; Leendertz, FH</t>
  </si>
  <si>
    <t xml:space="preserve">Szentiks, Claudia A.; Koendgen, Sophie; Silinski, Sandra; Speck, Stephanie; Leendertz, Fabian H.</t>
  </si>
  <si>
    <t xml:space="preserve">Lethal pneumonia in a captive juvenile chimpanzee (Pan troglodytes) due to human-transmitted human respiratory syncytial virus (HRSV) and infection with Streptococcus pneumoniae</t>
  </si>
  <si>
    <t xml:space="preserve">JOURNAL OF MEDICAL PRIMATOLOGY</t>
  </si>
  <si>
    <t xml:space="preserve">Disease transmission; non-human primates; respiratory disease</t>
  </si>
  <si>
    <t xml:space="preserve">HUMAN METAPNEUMOVIRUS INFECTIONS; CHILDREN; DISEASES; ASSAY</t>
  </si>
  <si>
    <t xml:space="preserve">Background During an outbreak of respiratory disease in captive chimpanzees (Pan troglodytes), gorillas (Gorilla gorilla), Bornean orangutans (Pongo pygmaeus), and red-capped mangabeys (Cercocebus torquatus) also staff members showed non-specific upper respiratory signs. One infant female chimpanzee with severe respiratory symptoms died despite immediate medical treatment and was submitted for necropsy. Methods Routine post mortem, histological and bacteriological examinations were conducted. Additionally lung tissue samples form the chimpanzee and swab samples from the staff members and the other primates were examined by PCR. Results A severe catarrhal to purulent bronchopneumonia and an interstitial pneumonia were found and human respiratory syncytial virus (HRSV) as well as Streptococcus pneumoniae was detected in lung samples by PCR. Swab samples from one animal keeper revealed the same HRSV sequence as of the chimpanzee. Conclusions Therefore, it is suggested that the outbreak of respiratory disease within a zoological institution was due to transmission of HRSV between both human and primates.</t>
  </si>
  <si>
    <t xml:space="preserve">[Szentiks, Claudia A.; Speck, Stephanie] Leibniz Inst Zoo &amp; Wildlife Res, D-10315 Berlin, Germany; [Koendgen, Sophie; Leendertz, Fabian H.] Robert Koch Inst, Jr Res Grp Emerging Zoonoses, D-1000 Berlin, Germany; [Silinski, Sandra] Westfalischer Zool Garten Munster GmbH, Allwetterzoo Munster, Munster, Germany</t>
  </si>
  <si>
    <t xml:space="preserve">Leibniz Institut fur Zoo und Wildtierforschung; Robert Koch Institute</t>
  </si>
  <si>
    <t xml:space="preserve">Szentiks, CA (corresponding author), Leibniz Inst Zoo &amp; Wildlife Res, Alfred Kowalke Str 17, D-10315 Berlin, Germany.</t>
  </si>
  <si>
    <t xml:space="preserve">szentiks@izw-berlin.de</t>
  </si>
  <si>
    <t xml:space="preserve">Allwetterzoo Munster</t>
  </si>
  <si>
    <t xml:space="preserve">We thank the great ape keepers at Allwetterzoo Munster for their kind permission to examine their swab samples, M. Biering, N. Jahn, D. Krumnow, M. Leider, Z. Mezo, A. Nitsche and U. Thiesen for their technical support and G. Wibbelt for reviewing and copy-editing of the manuscript.</t>
  </si>
  <si>
    <t xml:space="preserve">0047-2565</t>
  </si>
  <si>
    <t xml:space="preserve">1600-0684</t>
  </si>
  <si>
    <t xml:space="preserve">J MED PRIMATOL</t>
  </si>
  <si>
    <t xml:space="preserve">J. Med. Primatol.</t>
  </si>
  <si>
    <t xml:space="preserve">10.1111/j.1600-0684.2009.00346.x</t>
  </si>
  <si>
    <t xml:space="preserve">Veterinary Sciences; Zoology</t>
  </si>
  <si>
    <t xml:space="preserve">466ZP</t>
  </si>
  <si>
    <t xml:space="preserve">WOS:000267705000003</t>
  </si>
  <si>
    <t xml:space="preserve">Vos, LM; Bruyndonckx, R; Zuithoff, NPA; Little, P; Oosterheert, JJ; Broekhuizen, BDL; Lammens, C; Loens, K; Viveen, M; Butler, CC; Crook, D; Zlateva, K; Goossens, H; Claas, ECJ; Ieven, M; Van Loon, AM; Verheij, TJM; Coenjaerts, FEJ</t>
  </si>
  <si>
    <t xml:space="preserve">Vos, L. M.; Bruyndonckx, R.; Zuithoff, N. P. A.; Little, P.; Oosterheert, J. J.; Broekhuizen, B. D. L.; Lammens, C.; Loens, K.; Viveen, M.; Butler, C. C.; Crook, D.; Zlateva, K.; Goossens, H.; Claas, E. C. J.; Ieven, M.; Van Loon, A. M.; Verheij, T. J. M.; Coenjaerts, F. E. J.</t>
  </si>
  <si>
    <t xml:space="preserve">GRACE Consortium</t>
  </si>
  <si>
    <t xml:space="preserve">Lower respiratory tract infection in the community: associations between viral aetiology and illness course</t>
  </si>
  <si>
    <t xml:space="preserve">Disease burden; lower respiratory tract infection; primary healthcare; public health; respiratory tract infection; respiratory virus; symptom duration; symptom severity</t>
  </si>
  <si>
    <t xml:space="preserve">PRIMARY-CARE; INFLUENZA; PNEUMONIA; AMOXICILLIN; VIRUSES; SEVERITY; BURDEN; LOAD; LIFE</t>
  </si>
  <si>
    <t xml:space="preserve">Objectives: This study determined associations between respiratory viruses and subsequent illness course in primary care adult patients presenting with acute cough and/or suspected lower respiratory tract infection. Methods: A prospective European primary care study recruited adults with symptoms of lower respiratory tract infection between November 2007 and April 2010. Real-time in-house polymerase chain reaction (PCR) was performed to test for six common respiratory viruses. In this secondary analysis, symptom severity (scored 1 = no problem, 2 = mild, 3 = moderate, 4 = severe) and symptom duration were compared between groups with different viral aetiologies using regression and Cox proportional hazard models, respectively. Additionally, associations between baseline viral load (cycle threshold (Ct) value) and illness course were assessed. Results: The PCR tested positive for a common respiratory virus in 1354 of the 2957 (45.8%) included patients. The overall mean symptom score at presentation was 2.09 (95% confidence interval (CI) 2.07-2.11) and the median duration until resolution of moderately bad or severe symptoms was 8.70 days (interquartile range 4.50-11.00). Patients with influenza virus, human metapneumovirus (hMPV), respiratory syncytial virus (RSV), coronavirus (CoV) or rhinovirus had a significantly higher symptom score than patients with no virus isolated (0.07-0.25 points or 2.3-8.3% higher symptom score). Time to symptom resolution was longer in RSV infections (adjusted hazard ratio (AHR) 0.80, 95% CI 0.65-0.96) and hMPV infections (AHR 0.77, 95% CI 0.62-0.94) than in infections with no virus isolated. Overall, baseline viral load was associated with symptom severity (difference 0.11, 95% CI 0.06-0.16 per 10 cycles decrease in Ct value), but not with symptom duration. Conclusions: In healthy, working adults from the general community presenting at the general practitioner with acute cough and/or suspected lower respiratory tract infection other than influenza impose an illness burden comparable to influenza. Hence, the public health focus for viral respiratory tract infections should be broadened. (C) 2020 Published by Elsevier Ltd on behalf of European Society of Clinical Microbiology and Infectious Diseases.</t>
  </si>
  <si>
    <t xml:space="preserve">[Vos, L. M.; Oosterheert, J. J.] Univ Utrecht, Univ Med Ctr Utrecht, Dept Infect Dis, Heidelberglaan 100, NL-3584 CX Utrecht, Netherlands; [Bruyndonckx, R.; Lammens, C.; Loens, K.; Goossens, H.; Ieven, M.] Univ Antwerp, Vaccine &amp; Infect Dis Inst Vaxinfectio, Lab Med Microbiol, Antwerp, Belgium; [Bruyndonckx, R.; Goossens, H.] Hasselt Univ, Interuniv Inst Biostat &amp; Stat Bioinformat I BIOST, Hasselt, Belgium; [Zuithoff, N. P. A.; Broekhuizen, B. D. L.; Verheij, T. J. M.] Univ Utrecht, Univ Med Ctr Utrecht, Julius Ctr Hlth Sci &amp; Primary Care, Utrecht, Netherlands; [Little, P.] Univ Southampton, Primary Care &amp; Populat Sci Unit, Southampton, Hants, England; [Viveen, M.; Van Loon, A. M.; Coenjaerts, F. E. J.] Univ Utrecht, Univ Med Ctr Utrecht, Dept Med Microbiol, Utrecht, Netherlands; [Butler, C. C.] Cardiff Univ, Inst Primary Care &amp; Publ Hlth, Cardiff, Wales; [Crook, D.] Univ Oxford, Nuffield Dept Primary Care Hlth Sci, Oxford, England; [Zlateva, K.; Claas, E. C. J.] Leiden Univ, Leiden Univ Med Ctr, Dept Med Microbiol, Leiden, Netherlands</t>
  </si>
  <si>
    <t xml:space="preserve">Utrecht University; Utrecht University Medical Center; University of Antwerp; Hasselt University; Utrecht University; Utrecht University Medical Center; University of Southampton; Utrecht University; Utrecht University Medical Center; Cardiff University; University of Oxford; Leiden University; Leiden University Medical Center (LUMC); Leiden University - Excl LUMC</t>
  </si>
  <si>
    <t xml:space="preserve">Vos, LM (corresponding author), Univ Utrecht, Univ Med Ctr Utrecht, Dept Infect Dis, Heidelberglaan 100, NL-3584 CX Utrecht, Netherlands.</t>
  </si>
  <si>
    <t xml:space="preserve">l.m.vos-6@umcutrecht.nl</t>
  </si>
  <si>
    <t xml:space="preserve">Butler, Christopher/B-5048-2009; Little, Peter/F-9865-2015; Bruyndonckx, Robin/AAC-3638-2020</t>
  </si>
  <si>
    <t xml:space="preserve">Butler, Christopher/0000-0002-0102-3453; Oosterheert, Jan Jelrik/0000-0001-6146-3808; Little, Paul/0000-0003-3664-1873; Crook, Derrick/0000-0002-0590-2850; Bruyndonckx, Robin/0000-0002-4217-2869</t>
  </si>
  <si>
    <t xml:space="preserve">European Commission Framework Programme 6 (FP6) funded Network of Excellence GRACE [518226]</t>
  </si>
  <si>
    <t xml:space="preserve">European Commission Framework Programme 6 (FP6) funded Network of Excellence GRACE(European Union (EU))</t>
  </si>
  <si>
    <t xml:space="preserve">The authors declare that they have no conflicts of interest. The study was part of the European Commission Framework Programme 6 (FP6) funded Network of Excellence GRACE, grant number 518226. Orion Diagnostics provided the QuikRead instruments and kits for this study. The study sponsors played no role in the study design; in the collection, analysis, and interpretation of data; in the writing of the report; or in the decision to submit the paper for publication.</t>
  </si>
  <si>
    <t xml:space="preserve">10.1016/j.cmi.2020.03.023</t>
  </si>
  <si>
    <t xml:space="preserve">PH7HC</t>
  </si>
  <si>
    <t xml:space="preserve">Green Accepted, Green Published, Bronze</t>
  </si>
  <si>
    <t xml:space="preserve">WOS:000600577900018</t>
  </si>
  <si>
    <t xml:space="preserve">Pretorius, MA; Tempia, S; Walaza, S; Cohen, AL; Moyes, J; Variava, E; Dawood, H; Seleka, M; Hellferscee, O; Treurnicht, F; Cohen, C; Venter, M</t>
  </si>
  <si>
    <t xml:space="preserve">Pretorius, Marthi A.; Tempia, Stefano; Walaza, Sibongile; Cohen, Adam L.; Moyes, Jocelyn; Variava, Ebrahim; Dawood, Halima; Seleka, Mpho; Hellferscee, Orienka; Treurnicht, Florette; Cohen, Cheryl; Venter, Marietjie</t>
  </si>
  <si>
    <t xml:space="preserve">The role of influenza, RSV and other common respiratory viruses in severe acute respiratory infections and influenza-like illness in a population with a high HIV sero-prevalence, South Africa 2012-2015</t>
  </si>
  <si>
    <t xml:space="preserve">Disease association; Respiratory virus infection; Severe acute respiratory illness; Influenza like illness; Controls; Pneumonia; HIV; South Africa</t>
  </si>
  <si>
    <t xml:space="preserve">COMMUNITY-ACQUIRED PNEUMONIA; REVERSE TRANSCRIPTION-PCR; SYNCYTIAL VIRUS; REQUIRING HOSPITALIZATION; RHINOVIRUS INFECTIONS; VIRAL CULTURE; CHILDREN; ETIOLOGY; EPIDEMIOLOGY; MORTALITY</t>
  </si>
  <si>
    <t xml:space="preserve">Background: Viruses detected in patients with acute respiratory infections may be the cause of illness or asymptomatic shedding. Objective: To estimate the attributable fraction (AF) and the detection rate attributable to illness for each of the different respiratory viruses Study design: We compared the prevalence of 10 common respiratory viruses (influenza A and B viruses, parainfluenza virus 1-3; respiratory syncytial virus (RSV); adenovirus, rhinovirus, human metapneumovirus (hMPV) and enterovirus) in both HIV positive and negative patients hospitalized with severe acute respiratory illness (SARI), outpatients with influenza-like illness (ILI), and control subjects who did not report any febrile, respiratory or gastrointestinal illness during 2012-2015 in South Africa. Results: We enrolled 1959 SARI, 3784 ILI and 1793 controls with a HIV sero-prevalence of 26%, 30% and 43%, respectively. Influenza virus (AF: 86.3%; 95%CI: 77.7-91.6%), hMPV (AF: 85.6%; 95%CI: 72.0-92.6%), and RSV (AF: 83.7%; 95%CI: 77.5-88.2%) infections were associated with severe disease., while rhinovirus (AF: 46.9%; 95%CI: 37.6-56.5%) and adenovirus (AF: 36.4%; 95%CI: 20.6-49.0%) were only moderately associated. Conclusions: Influenza, RSV and hMPV can be considered pathogens if detected in ILI and SARI while rhinovirus and adenovirus were commonly identified in controls suggesting that they may cause only a proportion of clinical disease observed in positive patients. Nonetheless, they may be important contributors to disease. (C) 2015 Elsevier B.V. All rights reserved.</t>
  </si>
  <si>
    <t xml:space="preserve">[Pretorius, Marthi A.] Tshwane Acad Div, Natl Hlth Lab Serv, Tshwane, South Africa; [Pretorius, Marthi A.; Venter, Marietjie] Univ Pretoria, Dept Med Virol, ZA-0002 Pretoria, South Africa; [Pretorius, Marthi A.; Walaza, Sibongile; Moyes, Jocelyn; Seleka, Mpho; Hellferscee, Orienka; Treurnicht, Florette; Cohen, Cheryl] Natl Hlth Lab Serv, Natl Inst Communicable Dis, Ctr Resp Dis &amp; Meningitis, Johannesburg, South Africa; [Tempia, Stefano; Cohen, Adam L.] Ctr Dis Control &amp; Prevent, Influenza Div, Atlanta, GA USA; [Tempia, Stefano; Cohen, Adam L.] Ctr Dis Control &amp; Prevent, Influenza Program, Pretoria, South Africa; [Moyes, Jocelyn; Cohen, Cheryl] Univ Witwatersrand, Fac Hlth Sci, Sch Publ Hlth, Johannesburg, South Africa; [Variava, Ebrahim] Klerksdorp Tshepong Hosp, Dept Med, Klerksdorp, South Africa; [Variava, Ebrahim] Univ Witwatersrand, Fac Hlth Sci, Dept Med, Johannesburg, South Africa; [Dawood, Halima] Pietermaritzburg Metropolitan Hosp, Dept Med, Pietermaritzburg, South Africa; [Dawood, Halima] Univ KwaZulu Natal, Dept Med, Durban, South Africa; [Venter, Marietjie] Ctr Dis Control &amp; Prevent, Global Dis Detect, Pretoria, South Africa</t>
  </si>
  <si>
    <t xml:space="preserve">University of Pretoria; National Institute for Communicable Diseases (NICD); National Health Laboratory Service; Centers for Disease Control &amp; Prevention - USA; University of Witwatersrand; University of Witwatersrand; University of Kwazulu Natal</t>
  </si>
  <si>
    <t xml:space="preserve">Pretorius, MA (corresponding author), Univ Pretoria, Dept Med Virol, Tshwane Acad Div, Natl Hlth Lab Serv, ZA-0002 Pretoria, South Africa.</t>
  </si>
  <si>
    <t xml:space="preserve">marthi.pretorius@up.ac.za</t>
  </si>
  <si>
    <t xml:space="preserve">Walaza, Sibongile/HKP-0810-2023; Variava, Ebrahim/AAO-5717-2020; Dawood, Halima/AAF-6045-2020; Hellferscee, Orienka/AAN-6202-2020; Moyes, Jocelyn/AAF-7882-2019; Venter, Marietjie/P-9604-2016; Cohen, Cheryl/HKV-1000-2023</t>
  </si>
  <si>
    <t xml:space="preserve">Walaza, Sibongile/0000-0001-7588-2480; Pretorius, Marthi/0000-0003-2163-6158; Venter, Marietjie/0000-0003-2696-824X; Variava, Ebrahim/0000-0003-2888-789X; Cohen, Cheryl/0000-0003-0376-2302; TREURNICHT, FLORETTE KATHLEEN/0000-0002-0853-8011</t>
  </si>
  <si>
    <t xml:space="preserve">Centers for Disease Control and Prevention, Atlanta, Georgia, USA [5U51/IP000155]</t>
  </si>
  <si>
    <t xml:space="preserve">Centers for Disease Control and Prevention, Atlanta, Georgia, USA(United States Department of Health &amp; Human ServicesCenters for Disease Control &amp; Prevention - USA)</t>
  </si>
  <si>
    <t xml:space="preserve">Funding provided by co-operative agreement 5U51/IP000155 with the Centers for Disease Control and Prevention, Atlanta, Georgia, USA.</t>
  </si>
  <si>
    <t xml:space="preserve">10.1016/j.jcv.2015.12.004</t>
  </si>
  <si>
    <t xml:space="preserve">DB9ER</t>
  </si>
  <si>
    <t xml:space="preserve">WOS:000368819700005</t>
  </si>
  <si>
    <t xml:space="preserve">Jokela, P; Piiparinen, H; Mannonen, L; Auvinen, E; Lappalainen, M</t>
  </si>
  <si>
    <t xml:space="preserve">Jokela, Pia; Piiparinen, Heli; Mannonen, Laura; Auvinen, Eeva; Lappalainen, Maija</t>
  </si>
  <si>
    <t xml:space="preserve">Performance of the Luminex xTAG Respiratory Viral Panel Fast in a clinical laboratory setting</t>
  </si>
  <si>
    <t xml:space="preserve">Direct fluorescent assay; Microarray Respiratory virus; RT-PCR; xTAG RVP</t>
  </si>
  <si>
    <t xml:space="preserve">REAL-TIME PCR; INFLUENZA-A; MULTIPLEX PCR; VIRUS PANEL; HIGH-THROUGHPUT; SYSTEM; ASSAYS; IDENTIFICATION; INFECTION</t>
  </si>
  <si>
    <t xml:space="preserve">The aim of the study was to develop a real-time RT-PCR for the detection of enteroviruses (EVs) and rhinoviruses (RVs) and to assess the performance of the xTAG RVP Fast assay in comparison to a direct fluorescent assay (DFA), a real-time RT-PCR assay for the detection of respiratory syncytial virus (RSV) and human metapneumovirus (hMPV), and the EV/RV RT-PCR assay developed in this study. The performance of the RVP Fast assay was assessed in the analysis of 373 nasopharyngeal samples. For the viruses of the DFA panel, detection rates of 27.6% and 23.8% were obtained by RVP and DFA, respectively, in analysis of a set of 297 samples collected in 2009-2010. These results show statistically significant superiority of the RVP Fast assay (P= 0.049). For RSV, hMPV, EV, and RV, detection rates of 48.0% and 45.2% were achieved by RVP and RT-PCR, respectively. For individual targets, increased detection of EV/RV (P=0.043) and decreased detection of influenza A virus (P= 0.004) by RVP in comparison to real-time RT-PCR was observed. The results of the present study imply the need to adjust the InfA component of the RVP Fast assay to also cover the InfA(H1N1) 2009 virus. (C) 2012 Elsevier B.V. All rights reserved.</t>
  </si>
  <si>
    <t xml:space="preserve">[Jokela, Pia; Piiparinen, Heli] Univ Helsinki, Dept Virol, Haartman Inst, FIN-00014 Helsinki, Finland; [Jokela, Pia; Mannonen, Laura; Auvinen, Eeva; Lappalainen, Maija] Univ Helsinki, Cent Hosp, Lab Div HUSLAB, FIN-00029 Helsinki, Finland</t>
  </si>
  <si>
    <t xml:space="preserve">University of Helsinki; University of Helsinki; Helsinki University Central Hospital</t>
  </si>
  <si>
    <t xml:space="preserve">Jokela, P (corresponding author), Univ Helsinki, Dept Virol, Haartman Inst, POB 21, FIN-00014 Helsinki, Finland.</t>
  </si>
  <si>
    <t xml:space="preserve">pia.jokela@helsinki.fi</t>
  </si>
  <si>
    <t xml:space="preserve">Lappalainen, Maija/0000-0001-5400-1250; Auvinen, Eeva/0000-0002-2094-985X</t>
  </si>
  <si>
    <t xml:space="preserve">Finnish Cultural Foundation</t>
  </si>
  <si>
    <t xml:space="preserve">Finnish Cultural Foundation(Finnish Cultural FoundationFinnish IT center for science)</t>
  </si>
  <si>
    <t xml:space="preserve">The authors wish to thank Sari Tillander and Suvi Karjalainen for skilful technical assistance. The study was supported by the Finnish Cultural Foundation.</t>
  </si>
  <si>
    <t xml:space="preserve">10.1016/j.jviromet.2012.03.015</t>
  </si>
  <si>
    <t xml:space="preserve">940NP</t>
  </si>
  <si>
    <t xml:space="preserve">WOS:000303900600012</t>
  </si>
  <si>
    <t xml:space="preserve">El-Wakil, DM; El-Seidi, EA; Dwedar, RA; Madkour, LAEF; Rady, HI</t>
  </si>
  <si>
    <t xml:space="preserve">El-Wakil, Doaa Mahdy; El-Seidi, Eman Ahmed; Dwedar, Reham Aly; Madkour, Lamiaa Abd El-Fattah; Rady, Hanaa Ibrahim</t>
  </si>
  <si>
    <t xml:space="preserve">Human Metapneumovirus Pediatric Respiratory Infections: Comparing Direct Immunofluorescence versus Polymerase Chain Reaction</t>
  </si>
  <si>
    <t xml:space="preserve">Direct Fluorescent Antibody Assay; Polymerase Chain Reaction; Human Metapneumovirus; Pneumonia; Infants</t>
  </si>
  <si>
    <t xml:space="preserve">TRACT INFECTIONS; HOSPITALIZED CHILDREN; YOUNG-CHILDREN; DIAGNOSIS; VIRUSES; ASSAY; INFLUENZA; STRAINS; INFANTS; DISEASE</t>
  </si>
  <si>
    <t xml:space="preserve">Background: Estimated as the second or third most prevalent respiratory pathogen in the pediatric population, routine testing for human metapneumovirus (hMPV) can have a pivotal impact on children's clinical outcome. Objectives: This cross-sectional analytical study aimed to determine the efficiency of direct fluorescent antibody (DFA) assay as a rapid tool for the diagnosis of hMPV infection as compared to real time reverse transcriptase polymerase chain reaction (rRT-PCR). In the meantime, we endeavored to analyze the clinical features in hMPV patients. Methods: A total of 50 children aged &lt;= 24 months presenting with manifestations of acute respiratory tract infection (ARTI) at El-Mounira pediatric university hospital, Cairo university were enrolled in the study. Nasopharyngeal aspirates (or endotracheal aspirates in intubated children) were examined with the DFA assay as well as rRT-PCR as a gold standard for the detection and quantification of hMPV. Results and conclusion: Human MPV was detected in two cases by DFA and in four cases by rRT-PCR among hospitalized children with ARTIs. The DFA assay proved to be a highly specific test, yet with low sensitivity when compared to rRT-PCR. Most of hMPV-infected cases presented during the winter season, with January and February exhibiting the highest hMPV activity. Pneumonia was the most common presentation of ARTIs in hMPV-infected patients. Direct evaluation of respiratory specimens by DFA provides rapid results with low cost and a subsequent early medical management. However, its use should be restricted as a first-line approach, and a confirmatory test would be needed for a definite diagnosis.</t>
  </si>
  <si>
    <t xml:space="preserve">[El-Wakil, Doaa Mahdy; El-Seidi, Eman Ahmed; Dwedar, Reham Aly; Madkour, Lamiaa Abd El-Fattah] Cairo Univ, Dept Microbiol &amp; Immunol, Fac Med, Cairo, Egypt; [Rady, Hanaa Ibrahim] Cairo Univ, Dept Pediat, Fac Med, Cairo, Egypt</t>
  </si>
  <si>
    <t xml:space="preserve">Madkour, LAEF (corresponding author), Cairo Univ, Dept Microbiol &amp; Immunol, Fac Med, Cairo, Egypt.</t>
  </si>
  <si>
    <t xml:space="preserve">m_l@kasralainy.edu.eg</t>
  </si>
  <si>
    <t xml:space="preserve">El-Wakil, Doaa/AAB-6257-2021; MADKOUR, Prof. LOUTFY/H-4810-2019</t>
  </si>
  <si>
    <t xml:space="preserve">MADKOUR, Prof. LOUTFY/0000-0002-3101-8356; , Lamiaa/0000-0002-7849-3904; Mahdy El-Wakil, Doaa/0000-0002-3863-5664</t>
  </si>
  <si>
    <t xml:space="preserve">Cairo University</t>
  </si>
  <si>
    <t xml:space="preserve">Cairo University(Egyptian Knowledge Bank (EKB)Cairo University)</t>
  </si>
  <si>
    <t xml:space="preserve">The authors would like to thank Cairo University for providing the funds for the PCR kit.</t>
  </si>
  <si>
    <t xml:space="preserve">e39830</t>
  </si>
  <si>
    <t xml:space="preserve">10.5812/pedinfect.39830</t>
  </si>
  <si>
    <t xml:space="preserve">FB3VQ</t>
  </si>
  <si>
    <t xml:space="preserve">WOS:000406071300012</t>
  </si>
  <si>
    <t xml:space="preserve">Jokela, P; Piiparinen, H; Luiro, K; Lappalainen, M</t>
  </si>
  <si>
    <t xml:space="preserve">Jokela, P.; Piiparinen, H.; Luiro, K.; Lappalainen, M.</t>
  </si>
  <si>
    <t xml:space="preserve">Detection of human metapneumovirus and respiratory syncytial virus by duplex real-time RT-PCR assay in comparison with direct fluorescent assay</t>
  </si>
  <si>
    <t xml:space="preserve">Direct antigen assay; human metapneumovirus; human respiratory syncytial virus; realtime; respiratory tract infection; RT-PCR</t>
  </si>
  <si>
    <t xml:space="preserve">REVERSE-TRANSCRIPTASE PCR; NASOPHARYNGEAL SECRETIONS; TRACT INFECTIONS; CHILDREN; ADULTS; DIAGNOSIS; SPECIMENS; ILLNESS; SAMPLES; QUANTIFICATION</t>
  </si>
  <si>
    <t xml:space="preserve">Human respiratory syncytial virus (hRSV) and human metapneumovirus (hMPV) are important respiratory pathogens of small children and adults. The present study aimed to design a sensitive real-time RT-PCR assay for the detection of hRSV and hMPV in comparison with direct fluorescent assay (DFA) and to determine the incidence of hMPV and hRSV as causative agents of respiratory infections in a Finnish population. For DFA detection of hMPV antigen, four commercial antibodies were evaluated. The duplex real-time RT-PCR assay achieved a sensitivity of 10(3) copies/mL of specimen for hRSV and hMPV type A viruses and 10(4) copies/mL for type B hMPV. The detection rate of the RT-PCR assay was compared with those for DFA detection of hMPV and hRSV in analyses of 350 nasopharyngeal aspirates sent to HUSLAB, Helsinki University Hospital, for routine virus diagnostics during November 2007 to June 2008. Of the samples analyzed, 43 (12.3%) were positive for hRSV by DFA and an additional 13 specimens (3.7%) were positive for hRSV by RT-PCR. Only four samples (1.1 %) were found to be positive for hMPV RNA by RT-PCR, with two of them also positive by DFA. The duplex real-time RT-PCR assay described in the present study can therefore be applied for efficient identification of hMPV and hRSV in clinical specimens and collection of information on the epidemiology and clinical outcome of these viruses.</t>
  </si>
  <si>
    <t xml:space="preserve">[Jokela, P.; Piiparinen, H.; Lappalainen, M.] Univ Helsinki, Haartman Inst, Dept Virol, FIN-00014 Helsinki, Finland; [Jokela, P.; Luiro, K.; Lappalainen, M.] Helsinki Univ Hosp, Lab Serv HUSLAB, Helsinki, Finland</t>
  </si>
  <si>
    <t xml:space="preserve">Jokela, P (corresponding author), Univ Helsinki, Haartman Inst, Dept Virol, PO Box 21, FIN-00014 Helsinki, Finland.</t>
  </si>
  <si>
    <t xml:space="preserve">Lappalainen, Maija/0000-0001-5400-1250</t>
  </si>
  <si>
    <t xml:space="preserve">This study was supported by a grant from the Finnish Cultural Foundation.</t>
  </si>
  <si>
    <t xml:space="preserve">10.1111/j.1469-0691.2010.03191.x</t>
  </si>
  <si>
    <t xml:space="preserve">654QY</t>
  </si>
  <si>
    <t xml:space="preserve">WOS:000282184300012</t>
  </si>
  <si>
    <t xml:space="preserve">Ingram, T; Evbuomwan, MO; Jyothidasan, A</t>
  </si>
  <si>
    <t xml:space="preserve">Ingram, Toyin; Evbuomwan, Moses O.; Jyothidasan, Amudhan</t>
  </si>
  <si>
    <t xml:space="preserve">A Case Report of Sepsis-Induced Dilated Cardiomyopathy Secondary to Human Metapneumovirus Infection</t>
  </si>
  <si>
    <t xml:space="preserve">dilated cardiomyopathy; sepsis-induced cardiomyopathy; viral endocarditis; myocarditis; human metapneumovirus infection; severe sepsis; sepsis</t>
  </si>
  <si>
    <t xml:space="preserve">Sepsis is a medical emergency that describes the body's systemic immunological response to an infectious process that can lead to end -stage organ dysfunction and death. Sepsis -induced cardiomyopathy (SICM) is an increasingly recognized form of transient cardiac dysfunction characterized by left ventricular dilation, depressed ejection fraction, and recovery in 10 days without cardiac -related medical intervention. Injury to the myocardium by inflammatory cytokines has been proposed as one of the main causative mechanisms. Human metapneumovirus (hMPV) is a paramyxovirus and a common cause of respiratory tract infection that has been reported to modulate chemical mediators that produce inflammatory cytokines. Extrapulmonary cardiac complications of hMPV have been reported; but literature on SICM associated with hMPV are very rare. We describe a case of a 43 -year -old male with no known cardiac history diagnosed with SICM associated with hMPV. His sepsis was managed in the intensive care unit, and his heart ejection fraction improved within 10 days without the initiation of guideline -directed medical therapy.</t>
  </si>
  <si>
    <t xml:space="preserve">[Ingram, Toyin] Cape Fear Valley Hlth, Internal Med, Fayetteville, NC 28304 USA; [Evbuomwan, Moses O.] Univ Iowa, Radiat Oncol, Iowa City, IA USA; [Jyothidasan, Amudhan] Cape Fear Valley Med Ctr, Cardiol, Fayetteville, NC USA</t>
  </si>
  <si>
    <t xml:space="preserve">University of Iowa</t>
  </si>
  <si>
    <t xml:space="preserve">Ingram, T (corresponding author), Cape Fear Valley Hlth, Internal Med, Fayetteville, NC 28304 USA.</t>
  </si>
  <si>
    <t xml:space="preserve">oderinde_toyin@hotmail.com</t>
  </si>
  <si>
    <t xml:space="preserve">Jyothidasan, Amudhan/AAO-2887-2020</t>
  </si>
  <si>
    <t xml:space="preserve">Evbuomwan, Moses/0000-0002-3933-1005</t>
  </si>
  <si>
    <t xml:space="preserve">e57951</t>
  </si>
  <si>
    <t xml:space="preserve">10.7759/cureus.57951</t>
  </si>
  <si>
    <t xml:space="preserve">OU4H3</t>
  </si>
  <si>
    <t xml:space="preserve">WOS:001209776500031</t>
  </si>
  <si>
    <t xml:space="preserve">Rodriguez-Nava, G; Shrestha, E; Upadhyay, B; Morante, A; Joseph, D; Suhail, A; Trelles-Garcia, DP; Yanez-Bello, MA</t>
  </si>
  <si>
    <t xml:space="preserve">Rodriguez-Nava, Guillermo; Shrestha, Ekta; Upadhyay, Binayak; Morante, Aldo; Joseph, Deepa; Suhail, Aimen; Trelles-Garcia, Daniela Patricia; Yanez-Bello, Maria Adriana</t>
  </si>
  <si>
    <t xml:space="preserve">Bleeding pneumonia: Diffuse alveolar hemorrhage due to human metapneumovirus</t>
  </si>
  <si>
    <t xml:space="preserve">IDCASES</t>
  </si>
  <si>
    <t xml:space="preserve">Diffuse alveolar hemorrhage; Human metapneumovirus; Emerging disease; Case report</t>
  </si>
  <si>
    <t xml:space="preserve">Diffuse alveolar hemorrhage is a condition with high morbidity and mortality. The majority of cases are caused by pulmonary capillaritis associated with systemic vasculitis. Infection disease has also been associated with this condition. A 62-year-old woman with a history of chronic alcohol abuse presented with shortness of breath, hemoptysis, constipation, and icterus. Chest x-rays on admission showed diffuse patchy opacities concerning for diffuse alveolar hemorrhage. The patient quickly developed acute respiratory failure requiring intubation. PCR identified human metapneumovirus and bronchoalveolar lavage confirmed alveolar hemorrhage. Despite all efforts, the patient ultimately developed multi-organ failure and died. Human metapneumovirus is usually associated with mild upper and lower respiratory tract infections in young children. Nevertheless, clinicians should recognize that this virus has recently emerged as a significant pathogen, particularly in adult patients with underlying conditions and the elderly population. (C) 2020 The Author(s). Published by Elsevier Ltd.</t>
  </si>
  <si>
    <t xml:space="preserve">[Rodriguez-Nava, Guillermo; Shrestha, Ekta; Upadhyay, Binayak; Morante, Aldo; Joseph, Deepa; Suhail, Aimen; Trelles-Garcia, Daniela Patricia; Yanez-Bello, Maria Adriana] AMITA Hlth St Francis Hosp, Dept Internal Med, 355 Ridge Ave, Evanston, IL 60202 USA</t>
  </si>
  <si>
    <t xml:space="preserve">Rodriguez-Nava, G (corresponding author), AMITA Hlth St Francis Hosp, Dept Internal Med, 355 Ridge Ave, Evanston, IL 60202 USA.</t>
  </si>
  <si>
    <t xml:space="preserve">Guillermo.RodriguezNava@amitahealth.org; ekta.shrestha965@gmail.com; binayakupadhyay@gmail.com; almorantedo@gmail.com; deepaj@auamed.net; aimensuhailkhan@gmail.com; mari.geme@hotmail.com; mariayanezb09@gmail.com</t>
  </si>
  <si>
    <t xml:space="preserve">Rodriguez-Nava, Guillermo/HJA-8378-2022</t>
  </si>
  <si>
    <t xml:space="preserve">Rodriguez-Nava, Guillermo/0000-0001-9826-7050</t>
  </si>
  <si>
    <t xml:space="preserve">2214-2509</t>
  </si>
  <si>
    <t xml:space="preserve">IDCases</t>
  </si>
  <si>
    <t xml:space="preserve">e00894</t>
  </si>
  <si>
    <t xml:space="preserve">10.1016/j.idcr.2020.e00894</t>
  </si>
  <si>
    <t xml:space="preserve">NM1MP</t>
  </si>
  <si>
    <t xml:space="preserve">WOS:000567868500027</t>
  </si>
  <si>
    <t xml:space="preserve">Gómez, RS; Mora, JE; Cortés, CM; Riedel, CA; Ferrés, M; Bueno, SM; Kalergis, AM</t>
  </si>
  <si>
    <t xml:space="preserve">Gomez, Roberto S.; Mora, Jorge E.; Cortes, Claudia M.; Riedel, Claudia A.; Ferres, Marcela; Bueno, Susan M.; Kalergis, Alexis M.</t>
  </si>
  <si>
    <t xml:space="preserve">Respiratory syncytial virus detection in cells and clinical samples by using three new monoclonal antibodies</t>
  </si>
  <si>
    <t xml:space="preserve">diagnosis; RSV; clinical samples; monoclonal antibodies; ELISA</t>
  </si>
  <si>
    <t xml:space="preserve">CYTOMETRIC BEAD ARRAY; RISK-FACTORS; INFECTION; DISEASE; INFANTS; CULTURE; CANCER; MOLECULES; DIAGNOSIS; CYTOKINES</t>
  </si>
  <si>
    <t xml:space="preserve">Acute respiratory infections caused by the respiratory syncytial virus (RSV) are important health burdens that affect infants worldwide. RSV is also an important cause of morbidity and disease in adults, which causes enormous economic losses. At the present time, RSV infection is diagnosed by immunofluorescence, test pack and/or PCR, obtaining better results with PCR than with any other technique. The production of new monoclonal antibodies (mAbs) capable of detecting RSV in clinical samples is necessary to generate better and faster diagnosis tools for RSV. In this study, three new mAbs, directed against the RSV N and M2-1 proteins, were evaluated for the detection of RSV in clinical samples. Nasopharyngeal swabs were obtained from: 27 RSV-positive patients; 15 human metapneumovirus (hMPV)-positive patients; and 6 healthy controls. To evaluate RSV presence in these samples, clinical samples and RSV-infected cells were tested by Enzyme-Linked ImmunoSorbent Assay (ELISA), flow cytometry, immunofluorescence, and dot-blot assays. Specificity and sensitivity were determined for each mAb by using purified RSV antigens and antigens from different viruses. Infected cells and clinical samples tested with the three new mAbs resulted positive by immunofluorescence, ELISA, flow cytometry, and dot blot. No false positives were obtained in samples infected with other respiratory virus (hMPV) or from healthy controls. These results suggest that these new anti-RSV mAbs can be considered for the rapid and reliable detection of RSV on infected cells and clinical specimens by multiple immunological approaches. J. Med. Virol. 86:1256-1266, 2014. (c) 2013 Wiley Periodicals, Inc.</t>
  </si>
  <si>
    <t xml:space="preserve">[Gomez, Roberto S.; Mora, Jorge E.; Bueno, Susan M.; Kalergis, Alexis M.] Pontificia Univ Catolica Chile, Fac Ciencias Biol, Dept Genet Mol &amp; Microbiol, Millennium Inst Immunol &amp; Immunotherapy, Santiago 8331010, Chile; [Gomez, Roberto S.; Bueno, Susan M.; Kalergis, Alexis M.] INSERM, U1064, Nantes, France; [Cortes, Claudia M.; Riedel, Claudia A.] Univ Andres Bello, Millenium Inst Immunol &amp; Immunotherapy, Fac Ciencias Biol, Dept Ciencias Biol, Santiago, Chile; [Cortes, Claudia M.; Riedel, Claudia A.] Univ Andres Bello, Fac Med, Santiago, Chile; [Ferres, Marcela] Pontificia Univ Catolica Chile, Fac Med, Ctr Invest Med, Santiago 8331010, Chile; [Kalergis, Alexis M.] Pontificia Univ Catolica Chile, Dept Inmunol Clin &amp; Reumatol, Santiago 8331010, Chile</t>
  </si>
  <si>
    <t xml:space="preserve">Pontificia Universidad Catolica de Chile; Institut National de la Sante et de la Recherche Medicale (Inserm); Universidad Andres Bello; Universidad Andres Bello; Pontificia Universidad Catolica de Chile; Pontificia Universidad Catolica de Chile</t>
  </si>
  <si>
    <t xml:space="preserve">Kalergis, AM (corresponding author), Pontificia Univ Catolica Chile, Fac Ciencias Biol, Dept Genet Mol &amp; Microbiol, Millennium Inst Immunol &amp; Immunotherapy, Santiago 8331010, Chile.</t>
  </si>
  <si>
    <t xml:space="preserve">Bueno, Susan/KSL-5357-2024; Ferres, Marcela/LFU-5739-2024</t>
  </si>
  <si>
    <t xml:space="preserve">Bueno, Susan M./0000-0002-7551-8088; Riedel, Claudia/0000-0001-6168-8601; Kalergis, Alexis/0000-0001-7622-5263; Ferres, Marcela/0000-0001-9415-4657</t>
  </si>
  <si>
    <t xml:space="preserve">FONDECYT (Fondo Nacional de Desarrollo Cientifico y Tecnologico) [1110397, 1110518, 1100926]; Biomedical Research Consortium-Chileand Millennium Nucleus on Immunology and Immunotherapy [P04/030-F]</t>
  </si>
  <si>
    <t xml:space="preserve">FONDECYT (Fondo Nacional de Desarrollo Cientifico y Tecnologico)(Comision Nacional de Investigacion Cientifica y Tecnologica (CONICYT)CONICYT FONDECYT); Biomedical Research Consortium-Chileand Millennium Nucleus on Immunology and Immunotherapy</t>
  </si>
  <si>
    <t xml:space="preserve">Grant sponsor: FONDECYT (Fondo Nacional de Desarrollo Cientifico y Tecnologico); Grant numbers: 1110397; 1110518; 1100926; Grant sponsor: Biomedical Research Consortium-Chileand Millennium Nucleus on Immunology and Immunotherapy; Grant number: P04/030-F.</t>
  </si>
  <si>
    <t xml:space="preserve">10.1002/jmv.23807</t>
  </si>
  <si>
    <t xml:space="preserve">WOS:000335195300024</t>
  </si>
  <si>
    <t xml:space="preserve">Prendergast, C; Papenburg, J</t>
  </si>
  <si>
    <t xml:space="preserve">Prendergast, Caitlin; Papenburg, Jesse</t>
  </si>
  <si>
    <t xml:space="preserve">Rapid antigen-based testing for respiratory syncytial virus: moving diagnostics from bench to bedside?</t>
  </si>
  <si>
    <t xml:space="preserve">diagnosis; immunoassay; point-of-care testing; respiratory infections; respiratory syncytial virus</t>
  </si>
  <si>
    <t xml:space="preserve">SERIOUS BACTERIAL-INFECTIONS; REAL-TIME DETECTION; DIRECT IMMUNOFLUORESCENCE; HUMAN METAPNEUMOVIRUS; RSV; CHILDREN; CARE; INFANTS; EPIDEMIOLOGY; IMMUNOASSAY</t>
  </si>
  <si>
    <t xml:space="preserve">Respiratory syncytial virus (RSV) is the most important cause of infantile bronchiolitis and pneumonia. It is ubiquitous, with most children acquiring their primary infection within the first year of life and with subsequent reinfection occurring in all age groups. Clinically, RSV is virtually indistinguishable from other viral respiratory infections. Traditionally, the microbiologic diagnosis of RSV has been based on moderate to complex techniques performed in a laboratory (cell culture, nucleic acid amplification and immunofluorescence assays); however, rapid antigen-detection tests offer potential advantages associated with point-of-care testing. This review seeks to familiarize the readers with RSV rapid antigen-detection tests, describe their performance characteristics and comment on their strengths and weaknesses. The authors will discuss the impact of rapid RSV testing on clinical practice, with a look to the future of what the field ultimately requires of a point-of-care diagnostic technique.</t>
  </si>
  <si>
    <t xml:space="preserve">[Prendergast, Caitlin; Papenburg, Jesse] McGill Univ, Fac Med, Montreal, PQ, Canada; [Papenburg, Jesse] Montreal Childrens Hosp, Dept Pediat, Div Pediat Infect Dis, Montreal, PQ H3H 1P3, Canada; [Papenburg, Jesse] Montreal Childrens Hosp, Dept Microbiol, Montreal, PQ H3H 1P3, Canada</t>
  </si>
  <si>
    <t xml:space="preserve">McGill University; McGill University; McGill University</t>
  </si>
  <si>
    <t xml:space="preserve">Papenburg, J (corresponding author), McGill Univ, Fac Med, Montreal, PQ, Canada.</t>
  </si>
  <si>
    <t xml:space="preserve">jesse.papenburg@mcgill.ca</t>
  </si>
  <si>
    <t xml:space="preserve">Papenburg, Jesse/0000-0003-4232-871X</t>
  </si>
  <si>
    <t xml:space="preserve">10.2217/FMB.13.9</t>
  </si>
  <si>
    <t xml:space="preserve">115GA</t>
  </si>
  <si>
    <t xml:space="preserve">WOS:000316799400007</t>
  </si>
  <si>
    <t xml:space="preserve">Fuenzalida, L; Fabrega, J; Blanco, S; del Mar Martinez, M; Prat, C; Pérez, M; Ramil, C; Domínguez, J; Ausina, V; Rodrigo, C</t>
  </si>
  <si>
    <t xml:space="preserve">Fuenzalida, L.; Fabrega, J.; Blanco, S.; del Mar Martinez, M.; Prat, C.; Perez, M.; Ramil, C.; Dominguez, J.; Ausina, V.; Rodrigo, C.</t>
  </si>
  <si>
    <t xml:space="preserve">Usefulness of two new methods for diagnosing metapneumovirus infections in children</t>
  </si>
  <si>
    <t xml:space="preserve">Diagnosis; enzyme immunoassay; human metapneumovirus; real-time RT-PCR; respiratory tract infection</t>
  </si>
  <si>
    <t xml:space="preserve">RESPIRATORY SYNCYTIAL VIRUS; DIFFERENT CELL-LINES; HOSPITALIZED CHILDREN; TRACT INFECTIONS; CLINICAL IMPACT; SEROPREVALENCE; PREVALENCE; PNEUMONIA; SYMPTOMS; INFANTS</t>
  </si>
  <si>
    <t xml:space="preserve">Human metapneumovirus (hMPV) is associated with acute respiratory tract infections, mainly in paediatric patients. The aim of this study was to evaluate the usefulness of two new commercial techniques available for the detection of hMPV in clinical samples from children: an enzyme immunoassay, hMPV EIA (Biotrin International Ltd), and a molecular assay, real-time RT-PCR (Pro hMPV Real Time Assay Kit; Prodesse). A total of 184 nasopharyngeal aspirate specimens from 173 children aged less than 5 years who were hospitalized with acute wheezing were analysed. Respiratory syncytial virus was detected in 27% of the samples, followed by influenza A virus (6%), parainfluenza virus (PIV)3 (2.2%), adenovirus (2%), PIV1 (1.1%), PIV2 (1.1%), and influenza B virus (0.5%). The presence of hMPV was tested in all samples, using the real-time RT-PCR and EIA. Real-time RT-PCR detected 13 hMPV-positive samples (8%), and EIA detected 17 (9.3%). When the EIA results were compared with those of real-time RT-PCR for the detection of hMPV, a good correlation was found (94%). A relatively low co-infection rate (15%) was observed in our patients. RT-PCR and EIA provide robust methods for the diagnosis of hMPV infection in children.</t>
  </si>
  <si>
    <t xml:space="preserve">[Fuenzalida, L.] Univ Autonoma Barcelona, Hosp Univ Germans Trias &amp; Pujol, Microbiol Serv, Microbiol Dept,Dept Genet &amp; Microbiol, Barcelona 08916, Spain; [Fuenzalida, L.; Blanco, S.; Prat, C.; Perez, M.; Ramil, C.; Dominguez, J.; Ausina, V.] Fundacio Inst Invest Ciences Salut Germans Trias, Badalona, Spain; [Fabrega, J.; del Mar Martinez, M.; Rodrigo, C.] Hosp Badalona Germans Trias &amp; Pujol, Dept Paediat, Badalona, Spain; [Blanco, S.; Prat, C.; Dominguez, J.; Ausina, V.] Inst Salud Carlos III, CIBER Enfermedades Resp, Madrid, Spain</t>
  </si>
  <si>
    <t xml:space="preserve">Autonomous University of Barcelona; Hospital Germans Trias i Pujol; Fundacio Institut d'Investigacio en Ciencies de la Salut Germans Trias i Pujol (IGTP); Hospital Germans Trias i Pujol; CIBER - Centro de Investigacion Biomedica en Red; CIBERES; Instituto de Salud Carlos III</t>
  </si>
  <si>
    <t xml:space="preserve">Fuenzalida, L (corresponding author), Univ Autonoma Barcelona, Hosp Univ Germans Trias &amp; Pujol, Microbiol Serv, Microbiol Dept,Dept Genet &amp; Microbiol, Carretera Canyet S-N, Barcelona 08916, Spain.</t>
  </si>
  <si>
    <t xml:space="preserve">loretoffi@gmail.com</t>
  </si>
  <si>
    <t xml:space="preserve">Rodrigo, Carlos/F-7602-2017; PRAT AYMERICH, CRISTINA/R-3484-2016</t>
  </si>
  <si>
    <t xml:space="preserve">Rodrigo, Carlos/0000-0003-1140-2585; AUSINA, VICENTE/0000-0002-1798-9869; PRAT AYMERICH, CRISTINA/0000-0001-6974-9165; Fuenzalida, Loreto F/0000-0002-9570-6043; Dominguez, Jose/0000-0001-7888-0309</t>
  </si>
  <si>
    <t xml:space="preserve">Presidente de la Republica de Chile (CONICYT), Chilean State</t>
  </si>
  <si>
    <t xml:space="preserve">Presidente de la Republica de Chile (CONICYT), Chilean State(Comision Nacional de Investigacion Cientifica y Tecnologica (CONICYT))</t>
  </si>
  <si>
    <t xml:space="preserve">The authors would like to thank Inverness Medical Iberica S.A.U. (Barcelona, Spain), for providing the hMPV EIA Biotrin kits required for the study. Loreto Fuenzalida is funded by a Presidente de la Republica de Chile (CONICYT) scholarship from the Chilean State.</t>
  </si>
  <si>
    <t xml:space="preserve">10.1111/j.1469-0691.2010.03192.x</t>
  </si>
  <si>
    <t xml:space="preserve">662OQ</t>
  </si>
  <si>
    <t xml:space="preserve">WOS:000282819000012</t>
  </si>
  <si>
    <t xml:space="preserve">Ingram, RE; Fenwick, F; McGuckin, R; Tefari, A; Taylor, C; Toms, GL</t>
  </si>
  <si>
    <t xml:space="preserve">Ingram, R. E.; Fenwick, F.; McGuckin, R.; Tefari, A.; Taylor, C.; Toms, G. L.</t>
  </si>
  <si>
    <t xml:space="preserve">Detection of human metapneumovirus in respiratory secretions by reverse-transcriptasepolymerase chain reaction, indirect imimunofluorescence, and virus isolation in human bronchial epithelial cells</t>
  </si>
  <si>
    <t xml:space="preserve">diagnosis; culture; phylogenetic analysis; genotypes; antiserum</t>
  </si>
  <si>
    <t xml:space="preserve">GENETIC DIVERSITY; SYNCYTIAL VIRUS; CHILDREN; INFECTIONS; EXPRESSION; DIAGNOSIS; YOUNG</t>
  </si>
  <si>
    <t xml:space="preserve">Over two winters in Newcastle upon Tyne, respiratory secretions, negative by immunofluorescence staining for other respiratory viruses, were tested for the presence of human metapneumovirus (HMPV) by RT-PCR. In the second winter, specimens were also tested by immunofluorescence staining with an anti-HMPV polyclonal rabbit antiserum and immunofluorescence positive specimens were inoculated into a line of human bronchiolar cells, 16HBE140. Overall, 55 of 549 (10%) specimens tested were positive for HMPV by RT-PCR. Of 162 specimens tested by both RT/PCR and immunofluorescence staining, 23 were positive by both techniques. Of five specimens positive by RT-PCR alone, only one was confirmed with a second set of primers. Of three specimens positive by immunofluorescence alone, only one was confirmed by virus culture. All four previously recognized sub-genotypes of the virus were identified by both RT-PCR and immunofluorescence staining. Sub-genotype A1 was prevalent in the first winter and B1 prevalent in the second. HMPV replication and virus isolation rates were higher in 16HBE140 cells than in monkey kidney cells and did not require exogenous trypsin. Low passage isolates of both sub-genotypes A2 and B1 replicated slowly reaching peak titers only 12 days after inoculation. In summary, single round RT/PCR and immunofluorescence staining with a polyclonal rabbit antiserum proved of equal sensitivity in the diagnosis of HMPV infection in respiratory secretions both detecting 96% of confirmed positive specimens. 16HBE40 cells provided a significant improvement on monkey kidney cells for the isolation and propagation of the virus.</t>
  </si>
  <si>
    <t xml:space="preserve">Newcastle Univ, Sch Med, Sch Clin Med Sci, Newcastle Upon Tyne NE2 4HH, Tyne &amp; Wear, England; Hlth Protect Agcy, NE Lab, Newcastle Upon Tyne, Tyne &amp; Wear, England</t>
  </si>
  <si>
    <t xml:space="preserve">Toms, GL (corresponding author), Newcastle Univ, Sch Med, Sch Clin Med Sci, Framlington Pl, Newcastle Upon Tyne NE2 4HH, Tyne &amp; Wear, England.</t>
  </si>
  <si>
    <t xml:space="preserve">McGuckin, Michael/G-2310-2010</t>
  </si>
  <si>
    <t xml:space="preserve">McGuckin, Michael/0000-0002-8375-2675</t>
  </si>
  <si>
    <t xml:space="preserve">10.1002/jmv.20685</t>
  </si>
  <si>
    <t xml:space="preserve">WOS:000239404400012</t>
  </si>
  <si>
    <t xml:space="preserve">Couturier, MR; Barney, T; Alger, G; Hymas, WC; Stevenson, JB; Hillyard, D; Daly, JA</t>
  </si>
  <si>
    <t xml:space="preserve">Couturier, Marc Roger; Barney, Trenda; Alger, Garrison; Hymas, Weston C.; Stevenson, Jeffery B.; Hillyard, David; Daly, Judy A.</t>
  </si>
  <si>
    <t xml:space="preserve">Evaluation of the FilmArray® Respiratory Panel for Clinical Use in a Large Children's Hospital</t>
  </si>
  <si>
    <t xml:space="preserve">DFA; multiplex PCR; respiratory virus</t>
  </si>
  <si>
    <t xml:space="preserve">REAL-TIME PCR; MULTIPLEX PCR; VIRUS DETECTION; ASSAYS</t>
  </si>
  <si>
    <t xml:space="preserve">BackgroundRespiratory pathogens are a leading cause of hospital admission and traditional detection methods are time consuming and insensitive. Multiplex molecular detection methods have recently been investigated in hope of replacing these traditional techniques with rapid panel-based testing. ObjectivesThis study evaluated the FilmArray((R)) Respiratory Panel ([FARP], Idaho Technology Inc., Salt Lake City, UT) as a replacement for direct fluorescent antibody (DFA) testing in a pediatric hospital. MethodsEleven of the 21 FARP analytes (Adenovirus, Bordetella pertussis, human Metapneumovirus, Influenza A, Influenza A H1N1 2009, Influenza B, Parainfluenza [1, 2, &amp; 3], Respiratory Syncytial Virus, and rhinovirus) were evaluated using nasopharyngeal specimens. Positive samples were pooled in groups of 5. Samples identified by reference methods as positive for respiratory pathogens were used for the majority of positive samples. DFA was the reference method for ten analytes; Luminex(TM) xTAG Respiratory Virus Panel (RVP) was the reference method for rhinovirus. Discrepant results were resolved by positive culture and fluorescent antibody stain and/or laboratory-developed real-time polymerase chain reaction (PCR) assays (LDT). ResultsThe agreement for most analytes was in concordance with the established reference methods with the exception of Adenovirus. Additionally, the FARP detected several pathogens not previously detected by DFA, and most were confirmed by LDT. Several DFA-positive analytes were confirmed as true-negatives by the FARP and LDT. ConclusionFARP overall performed better than DFA with the exception of Adenovirus, making the FARP an attractive alternative to laboratories looking to replace DFA with a rapid, user-friendly, multiplex molecular assay. J. Clin. Lab. Anal. 27:148-154, 2013. (c) 2013 Wiley Periodicals, Inc.</t>
  </si>
  <si>
    <t xml:space="preserve">[Couturier, Marc Roger; Hillyard, David; Daly, Judy A.] Univ Utah, Dept Pathol, Salt Lake City, UT USA; [Couturier, Marc Roger; Hymas, Weston C.; Stevenson, Jeffery B.; Hillyard, David] ARUP Inst Clin &amp; Expt Pathol, Salt Lake City, UT USA; [Barney, Trenda; Alger, Garrison; Daly, Judy A.] Primary Childrens Med Ctr, Salt Lake City, UT 84103 USA</t>
  </si>
  <si>
    <t xml:space="preserve">Utah System of Higher Education; University of Utah; Utah System of Higher Education; University of Utah; ARUP Laboratories</t>
  </si>
  <si>
    <t xml:space="preserve">Couturier, MR (corresponding author), Dept Pathol, 500 Chipeta Way, Salt Lake City, UT 84108 USA.</t>
  </si>
  <si>
    <t xml:space="preserve">marc.couturier@aruplab.com</t>
  </si>
  <si>
    <t xml:space="preserve">Clinical Virology Symposium</t>
  </si>
  <si>
    <t xml:space="preserve">MRC received an honorarium from Idaho Technology Inc. to present a subset of this data at an industry-sponsored session at the 2011 Clinical Virology Symposium. For all other authors, there were no conflicts.</t>
  </si>
  <si>
    <t xml:space="preserve">10.1002/jcla.21576</t>
  </si>
  <si>
    <t xml:space="preserve">291EP</t>
  </si>
  <si>
    <t xml:space="preserve">WOS:000329810800010</t>
  </si>
  <si>
    <t xml:space="preserve">Guerrero-Plata, A; Casola, A; Suarez, G; Yu, XA; Spetch, L; Peeples, ME; Garofalo, RP</t>
  </si>
  <si>
    <t xml:space="preserve">Differential response of dendritic cells to human metapneumovirus and respiratory syncytial virus</t>
  </si>
  <si>
    <t xml:space="preserve">dendritic cells; respiratory syncytial virus; human metapneumovirus; interferon type I; innate immunity</t>
  </si>
  <si>
    <t xml:space="preserve">DOUBLE-STRANDED-RNA; EPITHELIAL-CELLS; IMMUNE-RESPONSES; ALPHA INDUCTION; GENE-EXPRESSION; INTERFERON; INFECTION; TRACT; CHILDREN; ANTIGEN</t>
  </si>
  <si>
    <t xml:space="preserve">Dendritic cells (DCs) play a pivotal role in shaping antiviral immune responses in the respiratory tract. Human metapneumovirus (hMPV) is a recently identified pathogen and like its better known relative, respiratory syncytial virus (RSV), has been increasingly recognized as a major cause of respiratory morbidity in infants and in elderly persons. In the present study, we examined susceptibility as well as cellular responses of human DCs to hMPV compared with RSV. Monocyte-derived DCs (moDCs) were susceptible to infection by both viruses, but only RSV was able to induce a productive infection with release of viral progeny. Despite the fact that viral infection resulted in phenotypic maturation of moDCs, as shown by the upregulation of cell surface markers and antigen-presenting molecules (MHC I and II, CD80, CD83, CD86, CD38), RSV-infected moDCs showed a severely impaired capacity to stimulate CD4(+) T cell proliferation. Compared with hMPV, RSV was a more potent inducer of inflammatory and immunomodulatory cytokines, including TNF-alpha, IL-6, IL-1 beta, IL-10, and IL-12p70 in both moDCs and plasmacytoid dendritic cells (pDCs). On the other hand, hMPV, but not RSV, was able to trigger production of IFN-alpha by moDCs, while both viruses strongly induced IFN-a in pDCs. Finally, both viruses strikingly suppressed IFN-alpha production by moDCs or pDCs stimulated with synthetic dsRNA and CpG-ODN, respectively. The findings provide novel evidence that RSV and hMPV differentially activate human DCs and may use distinct mechanisms to interfere with the host innate and adaptive immune responses.</t>
  </si>
  <si>
    <t xml:space="preserve">Univ Texas, Med Branch, Dept Pediat, Galveston, TX 77555 USA; Univ Texas, Med Branch, Dept Microbiol &amp; Immunol, Galveston, TX 77555 USA; Univ Texas, Med Branch, Sealy Ctr Vaccine Dev, Galveston, TX 77555 USA; Ohio State Univ, Dept Pediat, Columbus, OH 43210 USA</t>
  </si>
  <si>
    <t xml:space="preserve">University of Texas System; University of Texas Medical Branch Galveston; University of Texas System; University of Texas Medical Branch Galveston; University of Texas System; University of Texas Medical Branch Galveston; University System of Ohio; Ohio State University</t>
  </si>
  <si>
    <t xml:space="preserve">Univ Texas, Med Branch, Dept Pediat, 301 Univ Blvd, Galveston, TX 77555 USA.</t>
  </si>
  <si>
    <t xml:space="preserve">rpgarofa@utmb.edu</t>
  </si>
  <si>
    <t xml:space="preserve">Garofalo, Roberto/ABL-2322-2022; Peeples, Mark/HJB-3610-2022</t>
  </si>
  <si>
    <t xml:space="preserve">Peeples, Mark/0000-0002-4582-317X; Guerrero-Plata, Antonieta/0000-0002-0424-2563</t>
  </si>
  <si>
    <t xml:space="preserve">NHLBI NIH HHS [N01 HV28184] Funding Source: Medline; NIAID NIH HHS [AI053785] Funding Source: Medline</t>
  </si>
  <si>
    <t xml:space="preserve">NHLBI NIH HHS(United States Department of Health &amp; Human ServicesNational Institutes of Health (NIH) - USANIH National Heart Lung &amp; Blood Institute (NHLBI)); NIAID NIH HHS(United States Department of Health &amp; Human ServicesNational Institutes of Health (NIH) - USANIH National Institute of Allergy &amp; Infectious Diseases (NIAID))</t>
  </si>
  <si>
    <t xml:space="preserve">10.1165/rcmb.2005-0287OC</t>
  </si>
  <si>
    <t xml:space="preserve">016ZG</t>
  </si>
  <si>
    <t xml:space="preserve">WOS:000235663200008</t>
  </si>
  <si>
    <t xml:space="preserve">González, PA; Carreño, LJ; Bueno, SM; Riedel, CA; Kalergis, AM</t>
  </si>
  <si>
    <t xml:space="preserve">Gonzalez, P. A.; Carreno, L. J.; Bueno, S. M.; Riedel, C. A.; Kalergis, A. M.</t>
  </si>
  <si>
    <t xml:space="preserve">Understanding Respiratory Syncytial Virus Infection to Improve Treatment and Immunity</t>
  </si>
  <si>
    <t xml:space="preserve">CURRENT MOLECULAR MEDICINE</t>
  </si>
  <si>
    <t xml:space="preserve">Dendritic cells; immune evasion; immune modulation; prophylaxis; T cells; vaccine; virus infective cycle</t>
  </si>
  <si>
    <t xml:space="preserve">T-CELL-ACTIVATION; INHIBITOR CLINICAL CANDIDATE; MYELOID DENDRITIC CELLS; REPLICATION IN-VITRO; FC-GAMMA RECEPTORS; CORYZA AGENT CCA; VACCINE CANDIDATE; MATRIX PROTEIN; IMMUNOLOGICAL SYNAPSE; HUMAN METAPNEUMOVIRUS</t>
  </si>
  <si>
    <t xml:space="preserve">Despite significant research since it was discovered more than 50 years ago, respiratory syncytial virus (RSV) continues to be the leading agent causing infant hospitalization and respiratory distress worldwide. Although RSV normally does not cause mortality, this virus is recognized as a major public health and economic burden around the globe. RSV can modulate host immunity leading to an inflammatory response that produces lung damage and virus dissemination in the host airways. Remarkably, infection with the virus elicits poor immunity that in most cases fails to protect against subsequent exposures. Here, we review advances made on the understanding of the lifecycle of the virus, some of the molecular mechanisms it has evolved to cause pathology and ineffective immunity during infection. Hopefully, ongoing research will contribute to developing new drugs and candidate vaccines that will decrease the health burden caused by this virus.</t>
  </si>
  <si>
    <t xml:space="preserve">[Gonzalez, P. A.; Carreno, L. J.; Bueno, S. M.; Kalergis, A. M.] Pontificia Univ Catolica Chile, Fac Ciencias Biol, Dept Mol Genet &amp; Microbiol, Millennium Inst Immunol &amp; Immunotherapy, Santiago 8331010, Chile; [Bueno, S. M.; Kalergis, A. M.] INSERM U1064, Nantes, France; [Riedel, C. A.] Univ Andres Bello, Fac Ciencias Biol, Millennium Inst Immunol &amp; Immunotherapy, Santiago, Chile; [Riedel, C. A.] Univ Andres Bello, Fac Med, Millennium Inst Immunol &amp; Immunotherapy, Santiago, Chile; [Kalergis, A. M.] Pontificia Univ Catolica Chile, Fac Med, Dept Endocrinol, Millennium Inst Immunol &amp; Immunotherapy, Santiago 8331010, Chile</t>
  </si>
  <si>
    <t xml:space="preserve">Pontificia Universidad Catolica de Chile; Institut National de la Sante et de la Recherche Medicale (Inserm); Universidad Andres Bello; Universidad Andres Bello; Pontificia Universidad Catolica de Chile</t>
  </si>
  <si>
    <t xml:space="preserve">Kalergis, AM (corresponding author), Pontificia Univ Catolica Chile, Fac Ciencias Biol, Dept Mol Genet &amp; Microbiol, Millennium Inst Immunol &amp; Immunotherapy, Alameda 340, Santiago 8331010, Chile.</t>
  </si>
  <si>
    <t xml:space="preserve">Bueno, Susan/KSL-5357-2024; Carreno, Leandro J/H-4571-2014; Gonzalez, Pablo Alberto/L-1973-2013</t>
  </si>
  <si>
    <t xml:space="preserve">Carreno, Leandro J/0000-0003-2037-7158; Bueno, Susan M./0000-0002-7551-8088; Kalergis, Alexis/0000-0001-7622-5263; Riedel, Claudia/0000-0001-6168-8601; Gonzalez, Pablo Alberto/0000-0001-7709-6870</t>
  </si>
  <si>
    <t xml:space="preserve">FONDECYT [1070352, 1085281, 1100926, 3070018, 3100090, 11075060]; Millennium Institute on Immunology and Immunotherapy [P09/016-F]</t>
  </si>
  <si>
    <t xml:space="preserve">FONDECYT(Comision Nacional de Investigacion Cientifica y Tecnologica (CONICYT)CONICYT FONDECYT); Millennium Institute on Immunology and Immunotherapy</t>
  </si>
  <si>
    <t xml:space="preserve">The authors are supported by grants FONDECYT no 1070352, FONDECYT no 1085281, FONDECYT no 1100926, FONDECYT no 3070018, FONDECYT no 3100090, FONDECYT no 11075060 and Millennium Institute on Immunology and Immunotherapy (NoP09/016-F). LC is a PEW fellow and AMK is a Chaire De La Region Pays De La Loire De Chercheur Etranger D'excellence.</t>
  </si>
  <si>
    <t xml:space="preserve">1566-5240</t>
  </si>
  <si>
    <t xml:space="preserve">1875-5666</t>
  </si>
  <si>
    <t xml:space="preserve">CURR MOL MED</t>
  </si>
  <si>
    <t xml:space="preserve">Curr. Mol. Med.</t>
  </si>
  <si>
    <t xml:space="preserve">180UJ</t>
  </si>
  <si>
    <t xml:space="preserve">WOS:000321623900007</t>
  </si>
  <si>
    <t xml:space="preserve">Lay, MK; Céspedes, PF; Palavecino, CE; León, MA; Díaz, RA; Salazar, FJ; Méndez, GP; Bueno, SM; Kalergis, AM</t>
  </si>
  <si>
    <t xml:space="preserve">Lay, Margarita K.; Cespedes, Pablo F.; Palavecino, Christian E.; Leon, Miguel A.; Diaz, Rodrigo A.; Salazar, Francisco J.; Mendez, Gonzalo P.; Bueno, Susan M.; Kalergis, Alexis M.</t>
  </si>
  <si>
    <t xml:space="preserve">Human metapneumovirus infection activates the TSLP pathway that drives excessive pulmonary inflammation and viral replication in mice</t>
  </si>
  <si>
    <t xml:space="preserve">Dendritic cells; hMPV; Inflammation; Neutrophils; OX40L; TSLP; Viral replication</t>
  </si>
  <si>
    <t xml:space="preserve">THYMIC STROMAL LYMPHOPOIETIN; RESPIRATORY SYNCYTIAL VIRUS; NATURAL-KILLER-CELLS; HUMAN NK CELLS; DENDRITIC CELLS; EPITHELIAL-CELLS; AIRWAY INFLAMMATION; IMMUNE-RESPONSE; YOUNG-CHILDREN; MACROPHAGES</t>
  </si>
  <si>
    <t xml:space="preserve">Human metapneumovirus (hMPV) is a leading cause of acute respiratory tract infections in children and the elderly. The mechanism by which this virus triggers an inflammatory response still remains unknown. Here, we evaluated whether the thymic stromal lymphopoietin (TSLP) pathway contributes to lung inflammation upon hMPV infection. We found that hMPV infection promotes TSLP expression both in human airway epithelial cells and in the mouse lung. hMPV infection induced lung infiltration of OX40L(+)CD11b(+) DCs. Mice lacking the TSLP receptor deficient mice (tslpr(-/-)) showed reduced lung inflammation and hMPV replication. These mice displayed a decreased number of neutrophils as well a reduction in levels of thymus and activation-regulated chemokine/CCL17, IL-5, IL-13, and TNF- in the airways upon hMPV infection. Furthermore, a higher frequency of CD4(+) and CD8(+) Tcells was found in tslpr(-/-) mice compared to WT mice, which could contribute to controlling viral spread. Depletion of neutrophils in WT and tslpr(-/-) mice decreased inflammation and hMPV replication. Remarkably, blockage of TSLP or OX40L with specific Abs reduced lung inflammation and viral replication following hMPV challenge in mice. Altogether, these results suggest that activation of the TSLP pathway is pivotal in the development of pulmonary pathology and pulmonary hMPV replication.</t>
  </si>
  <si>
    <t xml:space="preserve">[Lay, Margarita K.; Cespedes, Pablo F.; Palavecino, Christian E.; Leon, Miguel A.; Diaz, Rodrigo A.; Salazar, Francisco J.; Bueno, Susan M.; Kalergis, Alexis M.] Pontificia Univ Catolica Chile, Dept Genet Mol &amp; Microbiol, Fac Ciencias Biol, Millennium Inst Immunol &amp; Immunotherapy, Santiago 8331010, Chile; [Mendez, Gonzalo P.] Pontificia Univ Catolica Chile, Fac Med, Dept Anat Patol, Santiago 8331010, Chile; [Bueno, Susan M.; Kalergis, Alexis M.] INSERM, U1064, Nantes, France; [Kalergis, Alexis M.] Pontificia Univ Catolica Chile, Fac Med, Dept Reumatol, Santiago 8331010, Chile</t>
  </si>
  <si>
    <t xml:space="preserve">Pontificia Universidad Catolica de Chile; Pontificia Universidad Catolica de Chile; Institut National de la Sante et de la Recherche Medicale (Inserm); Pontificia Universidad Catolica de Chile</t>
  </si>
  <si>
    <t xml:space="preserve">Kalergis, AM (corresponding author), Pontificia Univ Catolica Chile, Dept Genet Mol &amp; Microbiol, Fac Ciencias Biol, Millennium Inst Immunol &amp; Immunotherapy, Alameda 340, Santiago 8331010, Chile.</t>
  </si>
  <si>
    <t xml:space="preserve">Lay, Margarita/AAW-6352-2021; Palavecino, Christian/AAT-7437-2020; Salazar, Francisco/JVN-6510-2024; Bueno, Susan/KSL-5357-2024; Mendez, Gonzalo/KYQ-8031-2024</t>
  </si>
  <si>
    <t xml:space="preserve">Cespedes Donoso, Pablo Francisco/0000-0002-1641-4107; Palavecino, Christian/0000-0002-4581-7327; Bueno, Susan M./0000-0002-7551-8088; Leon-Rios, Miguel/0000-0002-7647-5454; Mendez, Gonzalo/0000-0003-4657-7107; Cespedes, Pablo/0000-0002-4112-4531; Kalergis, Alexis/0000-0001-7622-5263</t>
  </si>
  <si>
    <t xml:space="preserve">National Fund for Scientific and Technological Development (FONDECYT) program of the ministry of Education of Chile [3120019, 3140455, 1070352, 1050979, 1040349, 1100926, 1110397, 1100971, 1110604]; Millennium Institute in Immunology and Immunotherapy of the ministry of Economy of Chile [P09-016-F]</t>
  </si>
  <si>
    <t xml:space="preserve">National Fund for Scientific and Technological Development (FONDECYT) program of the ministry of Education of Chile(Comision Nacional de Investigacion Cientifica y Tecnologica (CONICYT)CONICYT FONDECYT); Millennium Institute in Immunology and Immunotherapy of the ministry of Economy of Chile</t>
  </si>
  <si>
    <t xml:space="preserve">We thank Dr. Leonard Warren (NIH, USA) for providing us the tslpr-/- mice. We also thank Dr. Pedro Piedra (Baylor College of Medicine, USA) for kindly providing us the A549 cells. We also thank Dr. KJ Sastry (The University of Texas M. D. Anderson Cancer Center, USA) for providing us protocols and valuable scientific discussion. We thank Maria Olga Bargsted D. V. M. and Alfredo Bermudez D. V. M. (PUC, Chile) for maintaining the mouse colonies that were used in this work as well in helping us in animal management. We also thank Geraldyne Salazar and Nicolas Galvez for technical support. Authors are supported by grant numbers 3120019, 3140455, 1070352, 1050979, 1040349, 1100926, 1110397, 1100971 and 1110604 from the National Fund for Scientific and Technological Development (FONDECYT) program of the ministry of Education of Chile; and by grant P09-016-F from the Millennium Institute in Immunology and Immunotherapy of the ministry of Economy of Chile. AMK is a Chaire De La Region Pays De La Loire De Chercheur Etranger D'excellence.</t>
  </si>
  <si>
    <t xml:space="preserve">10.1002/eji.201445021</t>
  </si>
  <si>
    <t xml:space="preserve">CJ9QE</t>
  </si>
  <si>
    <t xml:space="preserve">WOS:000355836500012</t>
  </si>
  <si>
    <t xml:space="preserve">Tan, MC; Battini, L; Tuyama, AC; Macip, S; Melendi, GA; Horga, MA; Gusella, GL</t>
  </si>
  <si>
    <t xml:space="preserve">Tan, Maria C.; Battini, Lorenzo; Tuyama, Ana C.; Macip, Salvador; Melendi, Guillermina A.; Horga, Maria-Arantxa; Gusella, G. Luca</t>
  </si>
  <si>
    <t xml:space="preserve">Characterization of human metapneumovirus infection of myeloid dendritic cells</t>
  </si>
  <si>
    <t xml:space="preserve">dendritic cell; human metapneumovirus; paramyxovirus; immunity; cytokine</t>
  </si>
  <si>
    <t xml:space="preserve">RESPIRATORY SYNCYTIAL VIRUS; PARAINFLUENZA VIRUS; TRACT INFECTIONS; BALB/C MICE; CHILDREN; MATURATION; CYTOKINES; FEATURES; RECEPTOR; TYPE-3</t>
  </si>
  <si>
    <t xml:space="preserve">Recent in vivo studies suggest that hMPV is a poor inducer of inflammatory cytokines and that clinical symptoms may not be related to immune-mediated pathogenesis as it has been proposed for respiratory syncytial virus (RSV) and human parainfluenza 3 (HPF3). Dendritic cells (DCs) are specialized antigen presenting cells, and very effective at inducing specific CTLs after encountering invading viruses. Interactions of hMPV with DCs have not been characterized. We hypothesized that the relatively mild inflammatory responses observed in vivo after hMPV infection might be at least in part due to hMPV's poor ability to stimulate and activate DCs. hMPV actively infected immature monocyte-derived CD11c(+)/HLA-DR+ DCs. However, in contrast to RSV or HPF3, hMPV caused no gross cytopathic effects such as syncytia, lytic infection, or massive apoptosis. DCs exposed to hMPV show no cytopathic effects under tissue culture conditions permissive for viral replication. The surface maturation markers CD83 and CD86 were not significantly up-regulated in infected DCs as compared to uninfected controls, while expression of CD80 appeared increased. Stimulation of hMPV-infected DCs with LPS resulted in the enhanced expression of all these surface markers indicating that hMPV is not generally suppressing DC maturation. Overall, cytokine expression remained low. These results indicate that hMPV does not induce effective DC maturation in vitro and suggest that the weak stimulation of DCs may account for the overall low immunogenicity of this virus observed in vivo. (c) 2006 Elsevier Inc. All rights reserved.</t>
  </si>
  <si>
    <t xml:space="preserve">Mt Sinai Sch Med, Dept Med, New York, NY 10029 USA; CUNY Mt Sinai Sch Med, Dept Pediat Infect Dis, New York, NY 10029 USA; CUNY Mt Sinai Sch Med, Dept Oncol Sci, New York, NY 10029 USA; Johns Hopkins Univ, Sch Med, Dept Pediat, Baltimore, MD 21205 USA</t>
  </si>
  <si>
    <t xml:space="preserve">Icahn School of Medicine at Mount Sinai; City University of New York (CUNY) System; Icahn School of Medicine at Mount Sinai; City University of New York (CUNY) System; Icahn School of Medicine at Mount Sinai; Johns Hopkins University</t>
  </si>
  <si>
    <t xml:space="preserve">Gusella, GL (corresponding author), Mt Sinai Sch Med, Dept Med, 1 Gustave Levy Pl,Box 1243, New York, NY 10029 USA.</t>
  </si>
  <si>
    <t xml:space="preserve">luca.gusella@mssm.edu</t>
  </si>
  <si>
    <t xml:space="preserve">Macip, Salvador/P-4233-2019; Tan, Maria/AAF-4177-2019</t>
  </si>
  <si>
    <t xml:space="preserve">Macip, Salvador/0000-0003-1963-8840</t>
  </si>
  <si>
    <t xml:space="preserve">NIAID NIH HHS [K08 AI001727, AI01727, Y01 AI001727, AI057968, R21 AI057968] Funding Source: Medline; NIDDK NIH HHS [DK63611, R01 DK063611] Funding Source: Medline</t>
  </si>
  <si>
    <t xml:space="preserve">NIAID NIH HHS(United States Department of Health &amp; Human ServicesNational Institutes of Health (NIH) - USANIH National Institute of Allergy &amp; Infectious Diseases (NIAID)); NIDDK NIH HHS(United States Department of Health &amp; Human ServicesNational Institutes of Health (NIH) - USANIH National Institute of Diabetes &amp; Digestive &amp; Kidney Diseases (NIDDK))</t>
  </si>
  <si>
    <t xml:space="preserve">10.1016/j.virol.2006.08.004</t>
  </si>
  <si>
    <t xml:space="preserve">114OD</t>
  </si>
  <si>
    <t xml:space="preserve">WOS:000242674600001</t>
  </si>
  <si>
    <t xml:space="preserve">Lademann, H; Bertsche, A; Petzold, A; Zack, F; Büttner, A; Däbritz, J; Hauenstein, C; Bahn, E; Spang, C; Reuter, D; Warnke, P; Ehler, J</t>
  </si>
  <si>
    <t xml:space="preserve">Lademann, Hanne; Bertsche, Astrid; Petzold, Axel; Zack, Fred; Buettner, Andreas; Daebritz, Jan; Hauenstein, Christina; Bahn, Erik; Spang, Christian; Reuter, Daniel; Warnke, Philipp; Ehler, Johannes</t>
  </si>
  <si>
    <t xml:space="preserve">Acute Disseminated Encephalomyelitis with Seizures and Myocarditis: A Fatal Triad</t>
  </si>
  <si>
    <t xml:space="preserve">MEDICINA-LITHUANIA</t>
  </si>
  <si>
    <t xml:space="preserve">delirium; critical ill patient; critical illness; ADEM</t>
  </si>
  <si>
    <t xml:space="preserve">NEUROCARDIOGENIC INJURY; CARDIOMYOPATHY; ADEM</t>
  </si>
  <si>
    <t xml:space="preserve">Autoimmune pathology of acute disseminated encephalomyelitis (ADEM) is generally restricted to the brain. Our objective is to expand the phenotype of ADEM. A four-year-old girl was admitted to the pediatric emergency room of a university medical center five days after a common upper respiratory tract infection. Acute symptoms were fever, leg pain, and headaches. She developed meningeal signs, and her level of consciousness dropped rapidly. Epileptic seizure activity started, and she became comatose, requiring intubation and mechanical ventilation. Serial brain magnetic resonance imaging (MRI) illustrated the fulminant development of ADEM. Treatment escalation with high-dose corticosteroids, immunoglobulins, and plasma exchange did not lead to clinical improvement. On day ten, the patient developed treatment-refractory cardiogenic shock and passed away. The postmortem assessment confirmed ADEM and revealed acute lymphocytic myocarditis, likely explaining the acute cardiac failure. Human metapneumovirus and picornavirus were detected in the tracheal secrete by PCR. Data sources-medical chart of the patient. This case is consistent with evidence from experimental findings of an association of ADEM with myocarditis as a postinfectious systemic autoimmune response, with life-threatening involvement of the brain and heart.</t>
  </si>
  <si>
    <t xml:space="preserve">[Lademann, Hanne] Univ Med Ctr Rostock, Dept Pediat, Interdisciplinary Pediat Intens Care Med, D-18057 Rostock, Germany; [Bertsche, Astrid] Univ Med Ctr Rostock, Dept Pediat, Neuropediat, D-18057 Rostock, Germany; [Petzold, Axel] UCL Inst Neurol, Natl Hosp Neurol &amp; Neurosurg, Dept Neuroimmunol, Queen Sq, London WC1N 3BG, England; [Zack, Fred; Buettner, Andreas] Univ Med Ctr Rostock, Inst Legal Med, D-18055 Rostock, Germany; [Daebritz, Jan] Univ Med Ctr Rostock, Dept Pediat, D-18057 Rostock, Germany; [Hauenstein, Christina] Univ Med Ctr Rostock, Inst Diagnost &amp; Intervent Radiol Pediat Radiol &amp;, D-18057 Rostock, Germany; [Bahn, Erik] Univ Med Ctr Gottingen, Inst Neuropathol, D-37073 Gottingen, Germany; [Spang, Christian; Reuter, Daniel; Ehler, Johannes] Univ Med Ctr Rostock, Dept Anesthesiol &amp; Intens Care Med, Interdisciplinary Pediat Intens Care Med, D-18057 Rostock, Germany; [Warnke, Philipp] Univ Med Ctr Rostock, Inst Med Microbiol Virol &amp; Hyg, D-18057 Rostock, Germany</t>
  </si>
  <si>
    <t xml:space="preserve">University of Rostock; University of Rostock; University of London; University College London; UCL Medical School; University College London Hospitals NHS Foundation Trust; University of Rostock; University of Rostock; University of Rostock; University of Gottingen; UNIVERSITY GOTTINGEN HOSPITAL; University of Rostock; University of Rostock</t>
  </si>
  <si>
    <t xml:space="preserve">Ehler, J (corresponding author), Univ Med Ctr Rostock, Dept Anesthesiol &amp; Intens Care Med, Interdisciplinary Pediat Intens Care Med, D-18057 Rostock, Germany.</t>
  </si>
  <si>
    <t xml:space="preserve">hanne.lademann@med.uni-rostock.de; astrid.bertsche@med.uni-rostock.de; a.petzold@ucl.ac.uk; fred.zack@med.uni-rostock.de; andreas.buettner@med.uni-rostock.de; jan.daebritz@med.uni-rostock.de; christina.hauenstein@med.uni-rostock.de; ebahn@gwdg.de; christian.spang@med.uni-rostock.de; daniel.reuter@med.uni-rostock.de; philipp.warnke@med.uni-rostock.de; johannes.ehler@med.uni-rostock.de</t>
  </si>
  <si>
    <t xml:space="preserve">Lademann, Hanne/ABC-2343-2020; Ehler, Johannes/AEE-6893-2022; Bertsche, Astrid/AFW-5875-2022; Däbritz, Jan/GXG-1969-2022; Büttner, Andreas/I-5974-2014; Bertsche, Astrid/KDP-0304-2024; Petzold, Axel/C-1090-2009</t>
  </si>
  <si>
    <t xml:space="preserve">Dabritz, Jan/0000-0003-4219-5283; Lademann, Hanne/0000-0003-1320-163X; Bertsche, Astrid/0000-0003-2832-0156; Petzold, Axel/0000-0002-0344-9749</t>
  </si>
  <si>
    <t xml:space="preserve">1010-660X</t>
  </si>
  <si>
    <t xml:space="preserve">1648-9144</t>
  </si>
  <si>
    <t xml:space="preserve">Med. Lith.</t>
  </si>
  <si>
    <t xml:space="preserve">10.3390/medicina56060277</t>
  </si>
  <si>
    <t xml:space="preserve">MN9TU</t>
  </si>
  <si>
    <t xml:space="preserve">WOS:000551182800058</t>
  </si>
  <si>
    <t xml:space="preserve">Tang, E; Gador-Whyte, AP; Newman, MR</t>
  </si>
  <si>
    <t xml:space="preserve">Tang, Eva; Gador-Whyte, Andrew Peter; Newman, Marsali Ruth</t>
  </si>
  <si>
    <t xml:space="preserve">Viral Cytopathic Changes in Sputum Cytology in a Patient with Known Human Metapneumovirus</t>
  </si>
  <si>
    <t xml:space="preserve">ACTA CYTOLOGICA</t>
  </si>
  <si>
    <t xml:space="preserve">Cytopathology of infectious diseases; Infectious cytology; Human metapneumovirus</t>
  </si>
  <si>
    <t xml:space="preserve">Introduction: Viral cytopathic changes seen in sputum cytology have been described in association with infection by viruses such as cytomegalovirus (CMV), herpes simplex virus (HSV), adenovirus, and even measles. However, viral cytopathic changes due to human metapneumovirus (hMPV) have not yet been well described in cytology. hMPV is a relatively new entity, discovered in 2001. It is known to cause upper and lower respiratory tract infections in children, the elderly, and immunocompromised patients. Case Presentation: We describe the viral cytopathic changes seen in sputum in a 63-year-old male patient with known hMPV. These changes include multinucleation, nuclear enlargement, homogenised nuclei, basophilic nuclear inclusions with perinuclear halos, and small eosinophilic cytoplasmic inclusions. Conclusion: We aim to raise awareness that hMPV can cause viral cytopathic changes and to describe these cytological features, which have been elucidated in only 1 case report thus far. Distinction from other viruses with similar changes, such as HSV and CMV, is important due to their differing clinical implications. (c) 2024 S. Karger AG, Basel</t>
  </si>
  <si>
    <t xml:space="preserve">[Tang, Eva; Newman, Marsali Ruth] Austin Hlth, Dept Anat Pathol, Heidelberg, Vic, Australia; [Gador-Whyte, Andrew Peter] Austin Hlth, Dept Microbiol, Heidelberg, Vic, Australia</t>
  </si>
  <si>
    <t xml:space="preserve">Austin Research Institute; Florey Institute of Neuroscience &amp; Mental Health; Florey Institute of Neuroscience &amp; Mental Health; Austin Research Institute</t>
  </si>
  <si>
    <t xml:space="preserve">Tang, E (corresponding author), Austin Hlth, Dept Anat Pathol, Heidelberg, Vic, Australia.</t>
  </si>
  <si>
    <t xml:space="preserve">evatang.au@gmail.com</t>
  </si>
  <si>
    <t xml:space="preserve">, Marsali/0000-0001-9958-7400</t>
  </si>
  <si>
    <t xml:space="preserve">0001-5547</t>
  </si>
  <si>
    <t xml:space="preserve">1938-2650</t>
  </si>
  <si>
    <t xml:space="preserve">ACTA CYTOL</t>
  </si>
  <si>
    <t xml:space="preserve">Acta Cytol.</t>
  </si>
  <si>
    <t xml:space="preserve">10.1159/000540184</t>
  </si>
  <si>
    <t xml:space="preserve">H3O8Z</t>
  </si>
  <si>
    <t xml:space="preserve">WOS:001322576700011</t>
  </si>
  <si>
    <t xml:space="preserve">Sato, K; Watanabe, O; Ohmiya, S; Chiba, F; Suzuki, A; Okamoto, M; Jiang, YH; Hata, A; Nonaka, H; Kitaoka, S; Nagai, Y; Kawamura, K; Hayashi, M; Kumaki, S; Suzuki, T; Kawakami, K; Nishimura, H</t>
  </si>
  <si>
    <t xml:space="preserve">Sato, Ko; Watanabe, Oshi; Ohmiya, Suguru; Chiba, Fumiko; Suzuki, Akira; Okamoto, Michiko; Jiang Younghuang; Hata, Akihiro; Nonaka, Hiroyuki; Kitaoka, Setsuko; Nagai, Yukio; Kawamura, Kazuhisa; Hayashi, Masahiro; Kumaki, Satoru; Suzuki, Tamio; Kawakami, Kazuyoshi; Nishimura, Hidekazu</t>
  </si>
  <si>
    <t xml:space="preserve">Efficient isolation of human metapneumovirus using MNT-1, a human malignant melanoma cell line with early and distinct cytopathic effects</t>
  </si>
  <si>
    <t xml:space="preserve">Cytopathic effect; human metapneumovirus; MNT-1 cells; virus isolation</t>
  </si>
  <si>
    <t xml:space="preserve">GENOTYPE HUMAN METAPNEUMOVIRUS; ACUTE RESPIRATORY-INFECTIONS; GENETIC-VARIABILITY; PARAINFLUENZA VIRUSES; HOSPITALIZED CHILDREN; PHYLOGENETIC ANALYSIS; YOUNG-CHILDREN; FUSION PROTEIN; TRACT DISEASE; UP-REGULATION</t>
  </si>
  <si>
    <t xml:space="preserve">Isolation of human metapneumovirus (HMPV) from clinical specimens is currently inefficient because of the lack of a cell culture system in which a distinct cytopathic effect (CPE) occurs. The cell lines LLC-MK2, Vero and Vero E6 are used for isolation of HMPV; however, the CPE in these cell lines is subtle and usually requires a long observation period and sometimes blind passages. Thus, a cell line in which an early and distinct CPE occurs following HMPV inoculation is highly desired by clinical virology laboratories. In this study, it was demonstrated that, in the human malignant melanoma cell line MNT-1, obvious syncytium formation occurs shortly after inoculation with HMPV-positive clinical specimens. In addition, the growth and efficiency of isolation of HMPV were greater using MNT-1 than using any other conventional cell line. Addition of this cell line to our routine viral isolation system for clinical specimens markedly enhanced isolation frequency, allowing isolation-based surveillance. MNT-1 has the potential to facilitate clinical and epidemiological studies of HMPV.</t>
  </si>
  <si>
    <t xml:space="preserve">[Sato, Ko; Watanabe, Oshi; Ohmiya, Suguru; Chiba, Fumiko; Suzuki, Akira; Okamoto, Michiko; Nishimura, Hidekazu] Sendai Med Ctr, Clin Res Div, Virus Res Ctr, Miyagino Ku, 2-8-8 Miyagino, Sendai, Miyagi 9838520, Japan; [Sato, Ko; Kawakami, Kazuyoshi] Tohoku Univ, Grad Sch Med, Dept Med Microbiol Mycol &amp; Immunol, Aoba Ku, 2-1 Seiryo Machi, Sendai, Miyagi 9808575, Japan; [Jiang Younghuang; Hata, Akihiro; Nonaka, Hiroyuki] Tauns Labs, 761-1 Kamishima, Izunokuni, Shizuoka 4102325, Japan; [Kitaoka, Setsuko; Kumaki, Satoru] Sendai Med Ctr, Dept Pediat, Miyagino Ku, 2-8-8 Miyagino, Sendai, Miyagi 9838520, Japan; [Nagai, Yukio] Nagai Pediat Clin, Miyagino Ku, 1-25-10 Miyagino, Sendai, Miyagi 9830045, Japan; [Kawamura, Kazuhisa] Kawamura Childrens Clin, Aoba Ku, 1-16-1 Takamatsu, Sendai, Miyagi 9810907, Japan; [Hayashi, Masahiro; Suzuki, Tamio] Yamagata Univ, Dept Dermatol, Fac Med, 2-2-2 Iida Nishi, Yamagata 9909585, Japan; [Suzuki, Akira] Tohoku Univ, Sch Med, Dept Pediat, Aoba Ku, 2-1 Seiryo Machi, Sendai, Miyagi 9808575, Japan; [Okamoto, Michiko] Tohoku Univ, Grad Sch Med, Dept Virol, Aoba Ku, 2-1 Seiryo Machi, Sendai, Miyagi 9808575, Japan</t>
  </si>
  <si>
    <t xml:space="preserve">Tohoku University; Yamagata University; Tohoku University; Tohoku University</t>
  </si>
  <si>
    <t xml:space="preserve">Nishimura, H (corresponding author), Sendai Med Ctr, Clin Res Div, Virus Res Ctr, Miyagino Ku, 2-8-8 Miyagino, Sendai, Miyagi 9838520, Japan.</t>
  </si>
  <si>
    <t xml:space="preserve">hide-nishimura@mte.biglobe.ne.jp</t>
  </si>
  <si>
    <t xml:space="preserve">Kumaki, Satoru/HQY-7760-2023; Okamoto, Michiko/AAE-4373-2019</t>
  </si>
  <si>
    <t xml:space="preserve">Sato, Ko/0000-0002-5548-6285; Suzuki, Akira/0000-0002-8223-0314</t>
  </si>
  <si>
    <t xml:space="preserve">Clinical Research Division of Sendai Medical Center; Miyagi Association of Public Health and Policy-based Medical Services Foundation of Japan</t>
  </si>
  <si>
    <t xml:space="preserve">This work was supported by funds from the Clinical Research Division of Sendai Medical Center and a grant from the Miyagi Association of Public Health and Policy-based Medical Services Foundation of Japan. We thank Dr. Vincent J. Hearing (Laboratory of Cell Biology, National Cancer Institute, National Institutes of Health, Bethesda, MD, USA) for providing the MNT-1 cell line, Professor Eric Claassen (ViroNovative BV, Rotterdam, the Netherlands) for providing the prototype strains of HMPV, Dr. Hidenori Nagai (Stress Signal Research Group, Biomedical Research Institute, National Institute of Advanced Industrial Science and Technology, Osaka, Japan) for providing the standard cDNA and Enago for careful reading and English language review.</t>
  </si>
  <si>
    <t xml:space="preserve">10.1111/1348-0421.12542</t>
  </si>
  <si>
    <t xml:space="preserve">WOS:000415669400005</t>
  </si>
  <si>
    <t xml:space="preserve">Boeckh, M; Stevens-Ayers, T; Travi, G; Huang, ML; Cheng, GS; Xie, H; Leisenring, W; Erard, V; Seo, S; Kimball, L; Corey, L; Pergam, SA; Jerome, KR</t>
  </si>
  <si>
    <t xml:space="preserve">Boeckh, Michael; Stevens-Ayers, Terry; Travi, Giovanna; Huang, Meei-Li; Cheng, Guang-Shing; Xie, Hu; Leisenring, Wendy; Erard, Veronique; Seo, Sachiko; Kimball, Louise; Corey, Lawrence; Pergam, Steven A.; Jerome, Keith R.</t>
  </si>
  <si>
    <t xml:space="preserve">Cytomegalovirus (CMV) DNA Quantitation in Bronchoalveolar Lavage Fluid From Hematopoietic Stem Cell Transplant Recipients With CMV Pneumonia</t>
  </si>
  <si>
    <t xml:space="preserve">cytomegalovirus; viral load; pneumonia</t>
  </si>
  <si>
    <t xml:space="preserve">ALLOGENEIC MARROW TRANSPLANTATION; RESPIRATORY-TRACT INFECTIONS; POLYMERASE-CHAIN-REACTION; REAL-TIME PCR; HUMAN METAPNEUMOVIRUS; PULMONARY INFECTION; CLINICAL-OUTCOMES; VIRAL LOAD; DISEASE; GANCICLOVIR</t>
  </si>
  <si>
    <t xml:space="preserve">Background. Quantitative cytomegalovirus (CMV) DNA-specific polymerase chain reaction (PCR) analysis is widely used as a surveillance method for hematopoietic stem cell transplant (HCT) recipients. However, no CMV DNA threshold exists in bronchoalveolar lavage (BAL) to differentiate pneumonia from pulmonary shedding. Methods. We tested archived BAL fluid samples from 132 HCT recipients with CMV pneumonia and 139 controls (100 patients with non-CMV pneumonia, 18 with idiopathic pneumonia syndrome [IPS], and 21 who were asymptomatic) by quantitative CMV and beta-globin DNA-specific PCR. Results. Patients with CMV pneumonia had higher median viral loads (3.9 log(10) IU/mL; interquartile range [IQR], 2.6-6.0 log(10) IU/mL) than controls (0 log(10) IU/mL [IQR, 0-1.6 log(10) IU/mL] for patients with non-CMV pneumonia, 0 log(10) IU/mL [IQR, 0-1.6 log(10) IU/mL] for patients with IPS, and 1.63 log(10) IU/mL [IQR, 0-2.5 log(10) IU/mL] for patients who were asymptomatic; P&lt;.001 for all comparisons to patients with CMV pneumonia). Receiver operating characteristic curve analyses and predictive models identified a cutoff CMV DNA level of 500 IU/mL to differentiate between CMV pneumonia and pulmonary shedding, using current CMV pneumonia prevalence figures. However, different levels may be appropriate in settings of very high or low CMV pneumonia prevalence. The presence of pulmonary copathogens, radiographic presentation, or pulmonary hemorrhage did not alter predictive values. Conclusion. CMV DNA load in BAL can be used to differentiate CMV pneumonia from pulmonary shedding.</t>
  </si>
  <si>
    <t xml:space="preserve">[Boeckh, Michael; Stevens-Ayers, Terry; Travi, Giovanna; Huang, Meei-Li; Erard, Veronique; Seo, Sachiko; Kimball, Louise; Corey, Lawrence; Pergam, Steven A.; Jerome, Keith R.] Univ Washington, Fred Hutchinson Canc Res Ctr, Vaccine &amp; Infect Dis Div, Seattle, WA 98195 USA; [Boeckh, Michael; Cheng, Guang-Shing; Xie, Hu; Leisenring, Wendy; Pergam, Steven A.] Univ Washington, Clin Res Div, Fred Hutchinson Canc Res Ctr, Seattle, WA 98195 USA; [Boeckh, Michael; Cheng, Guang-Shing; Corey, Lawrence; Pergam, Steven A.] Univ Washington, Dept Med, Seattle, WA USA; [Leisenring, Wendy] Univ Washington, Div Biostat, Seattle, WA 98195 USA; [Huang, Meei-Li; Corey, Lawrence; Jerome, Keith R.] Univ Washington, Dept Lab Med, Virol Div, Seattle, WA 98195 USA; [Travi, Giovanna] Ist Sci San Raffaele, Milan, Italy; [Erard, Veronique] Hop Fribourgeois Fribourg, Fribourg, Switzerland; [Seo, Sachiko] Natl Canc Res Ctr, Chiba, Japan</t>
  </si>
  <si>
    <t xml:space="preserve">Fred Hutchinson Cancer Center; University of Washington; University of Washington Seattle; Fred Hutchinson Cancer Center; University of Washington; University of Washington Seattle; University of Washington; University of Washington Seattle; University of Washington; University of Washington Seattle; University of Washington; University of Washington Seattle; Vita-Salute San Raffaele University; IRCCS Ospedale San Raffaele</t>
  </si>
  <si>
    <t xml:space="preserve">Boeckh, M (corresponding author), Fred Hutchinson Canc Res Ctr, Vaccine Infect Dis Div, 1100 Fairview Ave North, Seattle, WA 98109 USA.;Boeckh, M (corresponding author), Fred Hutchinson Canc Res Ctr, Clin Res Div, 1100 Fairview Ave North, Seattle, WA 98109 USA.</t>
  </si>
  <si>
    <t xml:space="preserve">Corey, Lawrence/AAE-1796-2020; Pergam, Steven/C-2286-2008; Boeckh, Michael/AAA-1607-2022; Travi, Giovanna/K-5124-2018</t>
  </si>
  <si>
    <t xml:space="preserve">Xie, Hu/0000-0003-0556-6591; Leisenring, Wendy/0000-0001-7405-0906; Travi, Giovanna/0000-0002-4206-0066; Corey, Lawrence/0000-0002-2179-2436</t>
  </si>
  <si>
    <t xml:space="preserve">National Institutes of Health [K24HL093294, K23HL096831, CA18029, CA15704]; Fred Hutchinson Cancer Research Center Vaccine and Infectious Disease Division; Joel Meyers Endowment Scholarship; Grants-in-Aid for Scientific Research [15K09591] Funding Source: KAKEN</t>
  </si>
  <si>
    <t xml:space="preserve">National Institutes of Health(United States Department of Health &amp; Human ServicesNational Institutes of Health (NIH) - USA); Fred Hutchinson Cancer Research Center Vaccine and Infectious Disease Division; Joel Meyers Endowment Scholarship; Grants-in-Aid for Scientific Research(Ministry of Education, Culture, Sports, Science and Technology, Japan (MEXT)Japan Society for the Promotion of ScienceGrants-in-Aid for Scientific Research (KAKENHI))</t>
  </si>
  <si>
    <t xml:space="preserve">This work was supported by the National Institutes of Health (grants K24HL093294 [to M. B.], K23HL096831 [to S. P.], CA18029 [to W. L., clinical database and biorepository], and CA15704 [to H. X.]), the Fred Hutchinson Cancer Research Center Vaccine and Infectious Disease Division (biorepository), and the Joel Meyers Endowment Scholarship (to V. E., S. P., and S. S.).</t>
  </si>
  <si>
    <t xml:space="preserve">10.1093/infdis/jix048</t>
  </si>
  <si>
    <t xml:space="preserve">WOS:000402821800005</t>
  </si>
  <si>
    <t xml:space="preserve">Flerlage, T; Souquette, A; Allen, EK; Brahm, T; Crawford, JC; Tang, L; Sun, YL; Maron, G; Wolf, J; Triplett, B; Thomas, PG</t>
  </si>
  <si>
    <t xml:space="preserve">Flerlage, Tim; Souquette, Aisha; Allen, E. Kaitlynn; Brahm, Timothy; Crawford, Jeremy Chase; Tang, Li; Sun, Yilun; Maron, Gabriela; Wolf, Joshua; Triplett, Brandon; Thomas, Paul G.</t>
  </si>
  <si>
    <t xml:space="preserve">Nasal Wash Cytokines during Respiratory Viral Infection in Pediatric Allogeneic Hematopoietic Cell-Transplant Recipients</t>
  </si>
  <si>
    <t xml:space="preserve">cytokines; pediatric; allogeneic; transplant</t>
  </si>
  <si>
    <t xml:space="preserve">INTERLEUKIN-1 RECEPTOR ANTAGONIST; VERSUS-HOST-DISEASE; SYNCYTIAL VIRUS; NATURAL-KILLER; IMMUNE RECONSTITUTION; HUMAN METAPNEUMOVIRUS; INFLUENZA-VIRUS; RESPONSES; IL-12; EXPRESSION</t>
  </si>
  <si>
    <t xml:space="preserve">Allogeneic hematopoietic cell-transplant (alloHCT) recipients are at increased risk of complications from viral respiratory-tract infections (vRTIs). We measured cytokine concentrations in nasal washes (NWs) from pediatric alloHCT recipients to better understand their local response to vRTI. Forty-one immunologic analytes were measured in 70 NWs, collected during and after vRTI, from 15 alloHCT recipients (median age, 11 yr) with 19 episodes of vRTI. These were compared with NW cytokine concentrations from an independent group of otherwise healthy patients. AlloHCT recipients are able to produce a local response to vRTI and produce IFN-alpha 2 and IL-12p40 in significant quantities above an uninfected baseline early in infection. Compared with otherwise healthy comparator-group patients, alloHCT recipients have higher NW concentrations of IL-4 when challenged with vRTI. Further study of these immunologic analytes as well as of type 1 versus type 2 balance in the respiratory mucosa in the context of vRTI during immune reconstitution may be of future research interest in this vulnerable patient population.</t>
  </si>
  <si>
    <t xml:space="preserve">[Flerlage, Tim; Maron, Gabriela; Wolf, Joshua] St Jude Childrens Res Hosp, Dept Infect Dis, Memphis, TN 38105 USA; [Souquette, Aisha; Allen, E. Kaitlynn; Brahm, Timothy; Crawford, Jeremy Chase; Thomas, Paul G.] St Jude Childrens Res Hosp, Dept Immunol, 262 Danny Thomas Pl,MS 351, Memphis, TN 38105 USA; [Tang, Li; Sun, Yilun] St Jude Childrens Res Hosp, Dept Biostat, Memphis, TN 38105 USA; [Triplett, Brandon] St Jude Childrens Res Hosp, Dept Bone Marrow Transplantat &amp; Cellular Therapy, Memphis, TN 38105 USA; [Flerlage, Tim] Univ Tennessee, Hlth Sci Ctr, Div Pediat Crit Care Med, Memphis, TN USA; [Wolf, Joshua] Univ Tennessee, Hlth Sci Ctr, Dept Pediat, Memphis, TN USA</t>
  </si>
  <si>
    <t xml:space="preserve">St Jude Children's Research Hospital; St Jude Children's Research Hospital; St Jude Children's Research Hospital; St Jude Children's Research Hospital; University of Tennessee System; University of Tennessee Health Science Center; University of Tennessee System; University of Tennessee Health Science Center</t>
  </si>
  <si>
    <t xml:space="preserve">Thomas, PG (corresponding author), St Jude Childrens Res Hosp, Dept Immunol, 262 Danny Thomas Pl,MS 351, Memphis, TN 38105 USA.</t>
  </si>
  <si>
    <t xml:space="preserve">paul.thomas@stjude.org</t>
  </si>
  <si>
    <t xml:space="preserve">Souquette, Aisha/AAA-6169-2019; Crawford, Jeremy Chase/G-5711-2013; Wolf, Joshua/ADO-0221-2022; Thomas, Paul G./H-1063-2018; Maron, Gabriela/N-8091-2018; Triplett, Brandon/N-2463-2018; Wolf, Joshua/G-8766-2018</t>
  </si>
  <si>
    <t xml:space="preserve">Souquette, Aisha/0000-0001-6197-5870; Thomas, Paul G./0000-0001-7955-0256; Maron, Gabriela/0000-0001-5247-5399; Crawford, Jeremy Chase/0000-0003-4096-6048; Triplett, Brandon/0000-0001-8220-9980; Wolf, Joshua/0000-0002-9912-3646</t>
  </si>
  <si>
    <t xml:space="preserve">American Lebanese Syrian Associated Charities (ALSAC); National Institute of Allergy and Infectious Diseases under U.S. Department of Health and Human Services (HHS) [HHSN27220140006C]</t>
  </si>
  <si>
    <t xml:space="preserve">American Lebanese Syrian Associated Charities (ALSAC)(American Lebanese Syrian Associated Charities (ALSAC)); National Institute of Allergy and Infectious Diseases under U.S. Department of Health and Human Services (HHS)</t>
  </si>
  <si>
    <t xml:space="preserve">Supported by American Lebanese Syrian Associated Charities (ALSAC) funding and the National Institute of Allergy and Infectious Diseases under U.S. Department of Health and Human Services (HHS) contract HHSN27220140006C for the St. Jude Center of Excellence for Influenza Research and Surveillance (P.G.T.) and ALSAC.</t>
  </si>
  <si>
    <t xml:space="preserve">10.1165/rcmb.2020-0014OC</t>
  </si>
  <si>
    <t xml:space="preserve">NM0AG</t>
  </si>
  <si>
    <t xml:space="preserve">WOS:000567767500011</t>
  </si>
  <si>
    <t xml:space="preserve">Rahman, MM; Mim, SA; Tumpa, MAA; Sarker, MT; Ahmed, M; Alghamdi, BS; Hafeez, A; Alexiou, A; Perveen, A; Ashraf, GM</t>
  </si>
  <si>
    <t xml:space="preserve">Rahman, Md. Mominur; Mim, Sadia Afsana; Tumpa, Mst. Afroza Alam; Sarker, Md. Taslim; Ahmed, Muniruddin; Alghamdi, Badrah S.; Hafeez, Abdul; Alexiou, Athanasios; Perveen, Asma; Ashraf, Ghulam Md</t>
  </si>
  <si>
    <t xml:space="preserve">Exploring the management approaches of cytokines including viral infection and neuroinflammation for neurological disorders</t>
  </si>
  <si>
    <t xml:space="preserve">CYTOKINE</t>
  </si>
  <si>
    <t xml:space="preserve">Cytokine; Viral infection; Neuroinflammation; Neurological disorder; Parkinson ?s disease</t>
  </si>
  <si>
    <t xml:space="preserve">CHRONIC-FATIGUE-SYNDROME; DIPEPTIDYL PEPTIDASE-IV; QUALITY-OF-LIFE; MULTIPLE-SCLEROSIS; IMPACT SCALE; ALZHEIMERS-DISEASE; HUMAN METAPNEUMOVIRUS; CEREBROSPINAL-FLUID; PARKINSONS-DISEASE; POSTPOLIO SYNDROME</t>
  </si>
  <si>
    <t xml:space="preserve">Considerable evidence supports that cytokines are important mediators of pathophysiologic processes within the central nervous system (CNS). Numerous studies have documented the increased production of various cytokines in the human CNS in various neurological and neuropsychiatric disorders. Deciphering cytokine actions in the intact CNS has important implications for our understanding of the pathogenesis and treatment of these disorders. The purpose of this study is to discuss the recent research on treating cytokine storm and amyloids, including stroke, Parkinson's disease (PD), Alzheimer's disease (AD), Huntington's condition, Multi-sclerosis (MS), Amyotrophic Lateral Sclerosis (ALS). Neuroinflammation observed in neurological disorders has a pivotal role in exacerbating A beta burden and tau hyperphosphorylation, suggesting that stimulating cytokines in response to an undesirable external response could be a checkpoint for treating neurological disorders. Furthermore, the pro -inflammatory cytokines help our immune system through a neuroprotective mechanism in clearing viral infec-tion by recruiting mononuclear cells. This study reveals that cytokine applications may play a vital role in providing novel regulation and methods for the therapeutic approach to neurological disorders and the causes of the deregulation, which is responsible for neuroinflammation and viral infection. However, it needs to be further investigated to clarify better the mechanisms of cytokine release in response to various stimuli, which could be the central point for treating neurological disorders.</t>
  </si>
  <si>
    <t xml:space="preserve">[Rahman, Md. Mominur; Mim, Sadia Afsana; Tumpa, Mst. Afroza Alam; Sarker, Md. Taslim; Ahmed, Muniruddin] Daffodil Int Univ, Fac Allied Hlth Sci, Dept Pharm, Dhaka, Bangladesh; [Alghamdi, Badrah S.] King Abdulaziz Univ, Fac Med, Dept Physiol, Jeddah, Saudi Arabia; [Alghamdi, Badrah S.; Ashraf, Ghulam Md] King Abdulaziz Univ, King Fahd Med Res Ctr, Preclin Res Unit, Jeddah, Saudi Arabia; [Alghamdi, Badrah S.] King Abdulaziz Univ, Fac Med, Neurosci Res Unit, Jeddah, Saudi Arabia; [Hafeez, Abdul] Glocal Univ, Glocal Sch Pharm, Saharanpur, Uttar Pradesh, India; [Alexiou, Athanasios] Novel Global Community Educ Fdn, Dept Sci &amp; Engn, Hebersham, NSW 2770, Australia; [Alexiou, Athanasios] AFNP Med Austria, A-1010 Vienna, Austria; [Perveen, Asma] Glocal Univ, Glocal Sch Life Sci, Saharanpur, Uttar Pradesh, India; [Ashraf, Ghulam Md] King Abdulaziz Univ, Fac Appl Med Sci, Dept Med Lab Technol, Jeddah, Saudi Arabia</t>
  </si>
  <si>
    <t xml:space="preserve">Daffodil International University; King Abdulaziz University; King Abdulaziz University; King Abdulaziz University; King Abdulaziz University</t>
  </si>
  <si>
    <t xml:space="preserve">Ashraf, GM (corresponding author), King Abdulaziz Univ, King Fahd Med Res Ctr, Preclin Res Unit, Jeddah, Saudi Arabia.;Alexiou, A (corresponding author), Novel Global Community Educ Fdn, Dept Sci &amp; Engn, Hebersham, NSW 2770, Australia.;Alexiou, A (corresponding author), AFNP Med Austria, A-1010 Vienna, Austria.;Ashraf, GM (corresponding author), King Abdulaziz Univ, Fac Appl Med Sci, Dept Med Lab Technol, Jeddah, Saudi Arabia.</t>
  </si>
  <si>
    <t xml:space="preserve">taslim29-136@diu.edu.bd; basalghamdi@kau.edu.sa; alextha@yahoo.gr; gashraf@kau.edu.sa</t>
  </si>
  <si>
    <t xml:space="preserve">Rahman, Md. Mominur/ABB-4175-2021; Hafeez, Dr. Abdul/AAU-5935-2020; Perveen, Asma/AAQ-4087-2021; Sarker, Taslim/AEO-8457-2022; Ashraf, Ghulam Md/H-9485-2012; Alexiou, Athanasios/AAT-8491-2021</t>
  </si>
  <si>
    <t xml:space="preserve">HAFEEZ, Dr. ABDUL/0000-0002-0272-5190; Ashraf, Ghulam Md/0000-0002-9820-2078; Alexiou, Athanasios/0000-0002-2206-7236</t>
  </si>
  <si>
    <t xml:space="preserve">Institutional Fund Projects [IFPDP-63-22]; Ministry of Education and Deanship of Scientific Research (DSR) , King Abdulaziz University, Jed- dah, Saudi Arabia</t>
  </si>
  <si>
    <t xml:space="preserve">Institutional Fund Projects; Ministry of Education and Deanship of Scientific Research (DSR) , King Abdulaziz University, Jed- dah, Saudi Arabia</t>
  </si>
  <si>
    <t xml:space="preserve">This research work was funded by the Institutional Fund Projects under grant no. (IFPDP-63-22) . Therefore, authors gratefully acknowl- edge technical and financial support from Ministry of Education and Deanship of Scientific Research (DSR) , King Abdulaziz University, Jed- dah, Saudi Arabia.</t>
  </si>
  <si>
    <t xml:space="preserve">1043-4666</t>
  </si>
  <si>
    <t xml:space="preserve">1096-0023</t>
  </si>
  <si>
    <t xml:space="preserve">Cytokine</t>
  </si>
  <si>
    <t xml:space="preserve">10.1016/j.cyto.2022.155962</t>
  </si>
  <si>
    <t xml:space="preserve">Biochemistry &amp; Molecular Biology; Cell Biology; Immunology</t>
  </si>
  <si>
    <t xml:space="preserve">3G7NL</t>
  </si>
  <si>
    <t xml:space="preserve">WOS:000831536500006</t>
  </si>
  <si>
    <t xml:space="preserve">Moreira, ALE; da Silva, PAN; Gomes, RS; Santos, MD; Ito, CRM; Barbosa, LCG; de Souza, PP; Peixoto, FAD; Wastowski, IJ; Carneiro, LC; Avelino, MAG</t>
  </si>
  <si>
    <t xml:space="preserve">Moreira, Andre Luis Elias; da Silva, Paulo Alex Neves; Gomes, Rodrigo Saar; Santos, Monica de Oliveira; Ito, Celia Regina Malveste; Barbosa, Lucas Candido Goncalves; de Souza, Paula Pires; Peixoto, Fernanda Aparecida de Oliveira; Wastowski, Isabela Jube; Carneiro, Lilian Carla; Avelino, Melissa Ameloti Gomes</t>
  </si>
  <si>
    <t xml:space="preserve">Characterization of T Helper 1 and 2 Cytokine Profiles in Newborns of Mothers with COVID-19</t>
  </si>
  <si>
    <t xml:space="preserve">cytokine storm; newborn; mother; COVID-19; SARS; comorbidity</t>
  </si>
  <si>
    <t xml:space="preserve">RESPIRATORY SYNCYTIAL VIRUS; HUMAN METAPNEUMOVIRUS; CHILDREN; INFECTION; RESPONSES; INFANTS; CORONAVIRUS; TRACT; BRONCHIOLITIS; TRANSMISSION</t>
  </si>
  <si>
    <t xml:space="preserve">An infectious disease caused by SARS-CoV-2, COVID-19 greatly affects the pediatric population and is 3 times more prevalent in newborns than in the general population. In newborns, the overexpression of immunological molecules may also induce a so-called cytokine storm. In our study, we evaluated the expression of cytokines in newborns admitted to a neonatal ICU whose mothers had SARS-CoV-2 and symptoms of SARS. The blood of newborns of infected and healthy mothers was collected to identify their Th1 and Th2 cytokine profiles, and via flow cytometry, the cytokines TNF-alpha, IFN-gamma, IL-2, IL-6, and IL-10 were identified. Overexpression was observed in the Th1 and Th2 cytokine profiles of newborns from infected mothers compared with the control group. Statistical analysis also revealed significant differences between the cellular and humoral responses of the infected group versus the control group. The cellular versus humoral responses of the newborns of infected mothers were also compared, which revealed the prevalence of the cellular immune response. These data demonstrate that some cytokines identified relate to more severe symptoms and even some comorbidities. IL-6, TNF-alpha, and IL-10 may especially be related to cytokine storms in neonates of mothers with COVID-19.</t>
  </si>
  <si>
    <t xml:space="preserve">[Moreira, Andre Luis Elias; da Silva, Paulo Alex Neves; Santos, Monica de Oliveira; Ito, Celia Regina Malveste; Barbosa, Lucas Candido Goncalves; Carneiro, Lilian Carla; Avelino, Melissa Ameloti Gomes] Univ Fed Goias, Inst Trop Pathol &amp; Publ Hlth, Microorganism Biotechnol Lab, BR-74605050 Goiania, Brazil; [Gomes, Rodrigo Saar] Univ Fed Goias, Inst Trop Pathol &amp; Publ Hlth, Nat Immun Lab, St 235, BR-74605050 Goiania, Brazil; [de Souza, Paula Pires] Neonatol Childrens Hosp, St 86,160 St Sul, BR-74083330 Goiania, Brazil; [Peixoto, Fernanda Aparecida de Oliveira] Univ Fed Goias, Hosp Clin, Neonatal Intens Care Unit NICU, BR-74605020 Goiania, Brazil; [Wastowski, Isabela Jube] Goias State Univ, Mol Immunol Lab, Laranjeiras Campus,St Prof Alfredo Castro 9175,Par, BR-74855130 Goiania, Brazil; [Avelino, Melissa Ameloti Gomes] Univ Fed Goias, Dept Pediat, BR-74605050 Goiania, Brazil; [Moreira, Andre Luis Elias] Univ Fed Goias, Inst Trop Pathol &amp; Publ Hlth, St 235, BR-74605050 Goiania, Brazil</t>
  </si>
  <si>
    <t xml:space="preserve">Universidade Federal de Goias; Universidade Federal de Goias; Universidade Federal de Goias; Universidade Federal de Goias; Universidade Federal de Goias</t>
  </si>
  <si>
    <t xml:space="preserve">Moreira, ALE (corresponding author), Univ Fed Goias, Inst Trop Pathol &amp; Publ Hlth, Microorganism Biotechnol Lab, BR-74605050 Goiania, Brazil.;Moreira, ALE (corresponding author), Univ Fed Goias, Inst Trop Pathol &amp; Publ Hlth, St 235, BR-74605050 Goiania, Brazil.</t>
  </si>
  <si>
    <t xml:space="preserve">andre.bio.br@hotmail.com</t>
  </si>
  <si>
    <t xml:space="preserve">Wastowski, Isabela/F-5003-2012; Moreira, André/S-7904-2018; de Oliveira Santos, Monica/D-9040-2019</t>
  </si>
  <si>
    <t xml:space="preserve">Avelino, Melissa/0000-0003-0342-0978; Gomes, Rodrigo/0000-0001-9551-9419; de Oliveira Santos, Monica/0000-0001-7110-5430; Candido Goncalves, Lucas/0000-0001-7246-9359</t>
  </si>
  <si>
    <t xml:space="preserve">10.3390/biomedicines11030910</t>
  </si>
  <si>
    <t xml:space="preserve">A3LW1</t>
  </si>
  <si>
    <t xml:space="preserve">WOS:000954190600001</t>
  </si>
  <si>
    <t xml:space="preserve">Hoek, RAS; Paats, MS; Pas, SD; Bakker, M; Hoogsteden, HC; Boucher, CAB; van der Eerden, MM</t>
  </si>
  <si>
    <t xml:space="preserve">Hoek, Rogier A. S.; Paats, Marthe S.; Pas, Suzan D.; Bakker, Marleen; Hoogsteden, Henk C.; Boucher, Charles A. B.; van der Eerden, Menno M.</t>
  </si>
  <si>
    <t xml:space="preserve">Incidence of viral respiratory pathogens causing exacerbations in adult cystic fibrosis patients</t>
  </si>
  <si>
    <t xml:space="preserve">Cystic fibrosis; viral respiratory infections; exacerbation; viruses</t>
  </si>
  <si>
    <t xml:space="preserve">PCR ASSAY; RT-PCR; INFECTIONS; VIRUSES</t>
  </si>
  <si>
    <t xml:space="preserve">Respiratory infections caused by respiratory viruses are common in paediatric cystic fibrosis (CF) patients and are associated with increased morbidity. There is only little data on the incidence of viral respiratory pathogens causing exacerbations in the adult CF patient population. In this observational pilot study we show, by using molecular as well as conventional techniques for viral isolation, that during 1 y a viral pathogen could be isolated in 8/24 (33%) adult CF patients who presented with a pulmonary exacerbation. This result shows that there is a considerable incidence of viral pathogens in pulmonary exacerbations in adult CF patients. Newly identified viruses such as pandemic influenza A/H1N1, human metapneumovirus, human bocavirus, and human coronavirus NL63 were not detected in our population, except for 1 human coronavirus NL63.</t>
  </si>
  <si>
    <t xml:space="preserve">[Hoek, Rogier A. S.; Paats, Marthe S.; Bakker, Marleen; Hoogsteden, Henk C.; van der Eerden, Menno M.] Erasmus MC, Dept Pulm Med, NL-3000 CA Rotterdam, Netherlands; [Pas, Suzan D.; Boucher, Charles A. B.] Erasmus MC, Dept Virol, NL-3000 CA Rotterdam, Netherlands</t>
  </si>
  <si>
    <t xml:space="preserve">Erasmus University Rotterdam; Erasmus MC; Erasmus University Rotterdam; Erasmus MC</t>
  </si>
  <si>
    <t xml:space="preserve">van der Eerden, MM (corresponding author), Erasmus MC, Dept Pulm Med, POB 2040, NL-3000 CA Rotterdam, Netherlands.</t>
  </si>
  <si>
    <t xml:space="preserve">m.vandereerden@erasmusmc.nl</t>
  </si>
  <si>
    <t xml:space="preserve">Pas, Suzan/M-9863-2013; van der Eerden, Menno/P-8383-2018</t>
  </si>
  <si>
    <t xml:space="preserve">Paats, Marthe Sentijna/0000-0003-1602-6195; van der Eerden, Menno/0000-0002-8407-2524</t>
  </si>
  <si>
    <t xml:space="preserve">10.3109/00365548.2012.708942</t>
  </si>
  <si>
    <t xml:space="preserve">056PP</t>
  </si>
  <si>
    <t xml:space="preserve">WOS:000312503600009</t>
  </si>
  <si>
    <t xml:space="preserve">Brestovac, B; Lawrence, C; Speers, DJ; Sammels, LM; Mulrennan, S</t>
  </si>
  <si>
    <t xml:space="preserve">Brestovac, Brian; Lawrence, Charleigh; Speers, David J.; Sammels, Leanne M.; Mulrennan, Siobhain</t>
  </si>
  <si>
    <t xml:space="preserve">Respiratory viral infections in Western Australians with cystic fibrosis</t>
  </si>
  <si>
    <t xml:space="preserve">Cystic fibrosis; Respiratory viruses; Human rhinovirus; Influenza A</t>
  </si>
  <si>
    <t xml:space="preserve">TRACT INFECTIONS; YOUNG-CHILDREN; VIRUSES; EXACERBATIONS; RHINOVIRUS; ADULTS; EPIDEMIOLOGY; ASSOCIATION; MORTALITY; IMPACT</t>
  </si>
  <si>
    <t xml:space="preserve">Background: Viral respiratory infections (VRI) in people living with Cystic fibrosis (CF) is less well understood than respiratory bacterial infections, particularly adults with CF and few studies have compared children with adults. This study evaluated the frequency of respiratory viruses in patients with cystic fibrosis (CF) in Western Australia (WA). We determined the VRI in CF and compared them with non-CF patients. Further, we compared CF patients that were hospitalised with those that were not. Patients/methods: Nucleic acid from sputum of 157 CF and 348 non-CF patients was analysed for influenzavirus A (Flu A) and B, (Flu B), respiratory syncytial virus (RSV), human metapneumovirus (hMPV), human rhinovirus (RV), and parainfluenza viruses (PIV 1-3) by RT-PCR, during the 2016 winter respiratory season. Results: No significant difference in the frequency of respiratory virus detection between CF and non-CF patients was found. RV was the most frequently detected virus in CF patients, and in hospitalised CF. RSV and hMPV were found less frequently in CF patients and RSV was not found in any hospitalised CF patient. A trend for fewer influenzavirus detections in adult CF patients was observed, however the trend was opposite for paediatric patients. RV and Flu A were the most common viruses detected in hospitalised CF patients. Conclusion: There was no significant difference in VRI between CF and non-CF patients. RV and influenza A were most commonly found in hospitalised CF patients, suggesting that infection with these viruses may contribute to hospitalisation for CF respiratory exacerbations.</t>
  </si>
  <si>
    <t xml:space="preserve">[Brestovac, Brian; Lawrence, Charleigh] Curtin Univ, Sch Pharm &amp; Biomed Sci, GPO Box U1987, Perth, WA 6102, Australia; [Speers, David J.; Sammels, Leanne M.] PathWest Lab Med, Dept Microbiol, Perth, WA, Australia; [Mulrennan, Siobhain] Sir Charles Gairdner Hosp, Dept Resp Med, Nedlands, WA, Australia</t>
  </si>
  <si>
    <t xml:space="preserve">Curtin University; Pathwest Laboratory Medicine; Sir Charles Gairdner Hospital; University of Western Australia</t>
  </si>
  <si>
    <t xml:space="preserve">Brestovac, B (corresponding author), Curtin Univ, Sch Pharm &amp; Biomed Sci, GPO Box U1987, Perth, WA 6102, Australia.</t>
  </si>
  <si>
    <t xml:space="preserve">B.Brestovac@curtin.edu.au</t>
  </si>
  <si>
    <t xml:space="preserve">10.1016/j.rmed.2019.105854</t>
  </si>
  <si>
    <t xml:space="preserve">KH7MN</t>
  </si>
  <si>
    <t xml:space="preserve">WOS:000510834400018</t>
  </si>
  <si>
    <t xml:space="preserve">Hamed, DH; Soliman, MS; Emam, OS; El Attar, MM</t>
  </si>
  <si>
    <t xml:space="preserve">Hamed, Dina H.; Soliman, Mai Sherif; Emam, Ola Soliman; El Attar, Mona Mohsen</t>
  </si>
  <si>
    <t xml:space="preserve">Is there a role of viral infection in cystic fibrosis exacerbation in children</t>
  </si>
  <si>
    <t xml:space="preserve">cystic fibrosis; exacerbation; respiratory viruses; rhinovirus</t>
  </si>
  <si>
    <t xml:space="preserve">RESPIRATORY VIRUSES; PATHOGENS; IMPACT</t>
  </si>
  <si>
    <t xml:space="preserve">Background. Cystic fibrosis (CF) is a degenerative disease distinguished by progressive epithelial secretory gland dysfunction associated with recurrent respiratory tract infections. Despite that bacteria have previously been studied as the main cause of CF airway damage, a strong effect of respiratory viral infections is also now recognized. We aimed to detect the relationship between viral infection and exacerbation in children with cystic fibrosis. Methods. This is a cross sectional observational study recruiting 60 patients diagnosed as CF following in Cystic Fibrosis Clinic, Children's Hospital, Cairo University, throughout a period of 7 months. Their age ranged from 6 months to 13 years. Patients had nasal swabs and sputum samples obtained when they developed respiratory exacerbations. Multiplex PCR (polymerase chain reaction) technique was used to detect respiratory viruses from nasal swabs. Results. We detected viruses in 48 patients during exacerbation (80%), the most common virus was rhinovirus in 43.4% of patients, followed by bocavirus in 20%, adenovirus in 13.3%, enterovirus in 10% and human metapneumovirus in 6.7%. Co-infection with double viruses was detected in 10 patients. Bacterial infection was present in 56.7% of patients; the most common organism was Pseudomonas in 20% of patients, followed by Staphylococcus aureus, methicillin resistant Staphylococcus aureus, Klebsiella and Haemophilus influenzae. CRP was positive in 53.3% of patients. There was a significant relationship between sputum positive bacterial culture and each of influenza A virus, enterovirus and human metapneumovirus. Conclusions. This study demonstrated that exacerbation in cystic fibrosis may be exaggerated by viral infections such as influenza A and enterovirus necessitating hospitalization which shows the important protective role of vaccination. Also, a strong relationship was detected between some viruses such as enterovirus, human metapneumovirus and influenza and between bacterial infection.</t>
  </si>
  <si>
    <t xml:space="preserve">[Hamed, Dina H.; Emam, Ola Soliman; El Attar, Mona Mohsen] Cairo Univ, Childrens Hosp, Dept Pediat, Cairo, Egypt; [Soliman, Mai Sherif] Cairo Univ, Dept Clin &amp; Chem Pathol, Cairo, Egypt</t>
  </si>
  <si>
    <t xml:space="preserve">Hamed, DH (corresponding author), Cairo Univ, Childrens Hosp, Dept Pediat, Cairo, Egypt.</t>
  </si>
  <si>
    <t xml:space="preserve">dina.alkhtaib@cu.edu.eg</t>
  </si>
  <si>
    <t xml:space="preserve">Hamed, Dina/L-1407-2019</t>
  </si>
  <si>
    <t xml:space="preserve">Hossam, Dina/0000-0002-6927-5294</t>
  </si>
  <si>
    <t xml:space="preserve">10.24953/turkjped.2020.1926</t>
  </si>
  <si>
    <t xml:space="preserve">WOS:000830892400014</t>
  </si>
  <si>
    <t xml:space="preserve">Huang, JC; Chopra, P; Liu, L; Nagy, T; Murray, J; Tripp, RA; Boons, GJ; Mousa, JJ</t>
  </si>
  <si>
    <t xml:space="preserve">Huang, Jiachen; Chopra, Pradeep; Liu, Lin; Nagy, Tamas; Murray, Jackelyn; Tripp, Ralph A.; Boons, Geert-Jan; Mousa, Jarrod J.</t>
  </si>
  <si>
    <t xml:space="preserve">Structure, Immunogenicity, and Conformation-Dependent Receptor Binding of the Postfusion Human Metapneumovirus F Protein</t>
  </si>
  <si>
    <t xml:space="preserve">crystal structure; fusion protein; heparan sulfate; heparin; human metapneumovirus; receptor binding</t>
  </si>
  <si>
    <t xml:space="preserve">RESPIRATORY SYNCYTIAL VIRUS; HMPV FUSION PROTEIN; CRYSTAL-STRUCTURE; YOUNG-CHILDREN; COTTON RATS; VACCINE; INFECTION; ANTIBODY; GLYCOPROTEIN; DISEASE</t>
  </si>
  <si>
    <t xml:space="preserve">Human metapneumovirus (hMPV) is an important cause of acute viral respiratory infection. As the only target of neutralizing antibodies, the hMPV fusion (F) protein has been a major focus for vaccine development and targeting by drugs and monoclonal antibodies (MAbs). While X-ray structures of trimeric prefusion and postfusion hMPV F proteins from genotype A, and monomeric prefusion hMPV F protein from genotype B have been determined, structural data for the postfusion conformation for genotype B is lacking. We determined the crystal structure of this protein and compared the structural differences of postfusion hMPV F between hMPV A and B genotypes. We also assessed the receptor binding properties of the hMPV F protein to heparin and heparan sulfate (HS). A library of HS oligomers was used to verify the HS binding activity of hMPV F, and several compounds showed binding to predominantly prefusion hMPV F, but had limited binding to postfusion hMPV F. Furthermore, MAbs to antigenic sites III and the 66-87 intratrimeric epitope block heparin binding. In addition, we evaluated the efficacy of postfusion hMPV B2 F protein as a vaccine candidate in BALB/c mice. Mice immunized with hMPV B2 postfusion F protein showed a balanced Th1/Th2 immune response and generated neutralizing antibodies against both subgroup A2 and B2 hMPV strains, which protected the mice from hMPV challenge. Antibody competition analysis revealed the antibodies generated by immunization target two known antigenic sites (III and IV) on the hMPV F protein. Overall, this study provides new characteristics of the hMPV F protein, which may be informative for vaccine and therapy development. IMPORTANCE Human metapneumovirus (hMPV) is an important cause of viral respiratory disease. In this paper, we report the X-ray crystal structure of the hMPV fusion (F) protein in the postfusion conformation from genotype B. We also assessed binding of the hMPV F protein to heparin and heparan sulfate, a previously reported receptor for the hMPV F protein. Furthermore, we determined the immunogenicity and protective efficacy of postfusion hMPV B2 F protein, which is the first study using a homogenous conformation of the protein. Antibodies generated in response to vaccination give a balanced Th1/Th2 response and target two previously discovered neutralizing epitopes.</t>
  </si>
  <si>
    <t xml:space="preserve">[Huang, Jiachen; Murray, Jackelyn; Tripp, Ralph A.; Mousa, Jarrod J.] Univ Georgia, Coll Vet Med, Dept Infect Dis, Athens, GA 30602 USA; [Huang, Jiachen; Mousa, Jarrod J.] Univ Georgia, Coll Vet Med, Ctr Vaccines &amp; Immunol, Athens, GA 30602 USA; [Chopra, Pradeep; Liu, Lin; Boons, Geert-Jan] Univ Georgia, Complex Carbohydrate Res Ctr, Athens, GA 30602 USA; [Nagy, Tamas] Univ Georgia, Coll Vet Med, Dept Pathol, Athens, GA 30602 USA; [Boons, Geert-Jan] Univ Georgia, Dept Chem, Franklin Coll Arts &amp; Sci, Athens, GA 30602 USA; [Boons, Geert-Jan] Univ Utrecht, Utrecht Inst Pharmaceut Sci, Dept Chem Biol &amp; Drug Discovery, Utrecht, Netherlands; [Mousa, Jarrod J.] Univ Georgia, Franklin Coll Arts &amp; Sci, Dept Biochem &amp; Mol Biol, Athens, GA 30602 USA</t>
  </si>
  <si>
    <t xml:space="preserve">University System of Georgia; University of Georgia; University System of Georgia; University of Georgia; University System of Georgia; University of Georgia; University System of Georgia; University of Georgia; University System of Georgia; University of Georgia; Utrecht University; University System of Georgia; University of Georgia</t>
  </si>
  <si>
    <t xml:space="preserve">Mousa, JJ (corresponding author), Univ Georgia, Coll Vet Med, Dept Infect Dis, Athens, GA 30602 USA.;Mousa, JJ (corresponding author), Univ Georgia, Coll Vet Med, Ctr Vaccines &amp; Immunol, Athens, GA 30602 USA.;Mousa, JJ (corresponding author), Univ Georgia, Franklin Coll Arts &amp; Sci, Dept Biochem &amp; Mol Biol, Athens, GA 30602 USA.</t>
  </si>
  <si>
    <t xml:space="preserve">Huang, Jiachen/GON-5679-2022; Chopra, Pradeep/L-6223-2018; Tripp, Ralph/F-5218-2011; Boons, Geert-Jan/J-3211-2016; Liu, Lin/B-8440-2014</t>
  </si>
  <si>
    <t xml:space="preserve">Boons, Geert-Jan/0000-0003-3111-5954; Mousa, Jarrod/0000-0003-4709-2478; Liu, Lin/0000-0002-0310-5946; Tripp, Ralph/0000-0002-2924-9956</t>
  </si>
  <si>
    <t xml:space="preserve">National Institutes of Health [S10_RR25528, S10_RR028976, 1R01AI143865, 1K01OD026569, 5R01HL151617]; U.S. Department of Energy, Office of Science, Office of Basic Energy Sciences [W-31-109-Eng-38]</t>
  </si>
  <si>
    <t xml:space="preserve">National Institutes of Health(United States Department of Health &amp; Human ServicesNational Institutes of Health (NIH) - USA); U.S. Department of Energy, Office of Science, Office of Basic Energy Sciences(United States Department of Energy (DOE))</t>
  </si>
  <si>
    <t xml:space="preserve">X-ray data were collected at the Southeast Regional Collaborative Access Team (SER-CAT) 22-ID beamline at the Advanced Photon Source, Argonne National Laboratory. SER-CAT is supported by its member institutions (see www.ser-cat.org/members.htmL) and equipment grants (S10_RR25528 and S10_RR028976) from the National Institutes of Health. Use of the Advanced Photon Source was supported by the U.S. Department of Energy, Office of Science, Office of Basic Energy Sciences, under contract W-31-109-Eng-38. The content is solely the responsibility of the authors and does not necessarily represent the official views of the National Institutes of Health.r These studies were supported by National Institutes of Health grants 1R01AI143865 (J.J.M.) , 1K01OD026569 (J.J.M.) , and 5R01HL151617 (G.-J.B.) . The funders had no role in study design, data collection and analysis, the decision to publish, or preparation of the manuscript.</t>
  </si>
  <si>
    <t xml:space="preserve">e00593-21</t>
  </si>
  <si>
    <t xml:space="preserve">10.1128/JVI.00593-21</t>
  </si>
  <si>
    <t xml:space="preserve">WI8XO</t>
  </si>
  <si>
    <t xml:space="preserve">WOS:000708638400013</t>
  </si>
  <si>
    <t xml:space="preserve">Mendes, GS; Duarte, MER; Colodi, FG; Noseda, MD; Ferreira, LG; Berté, SD; Cavalcanti, JF; Santos, N; Romanos, MTV</t>
  </si>
  <si>
    <t xml:space="preserve">Mendes, Gabriella S.; Duarte, Maria E. R.; Colodi, Franciely G.; Noseda, Miguel D.; Ferreira, Luciana G.; Berte, Siliane D.; Cavalcanti, Jessica F.; Santos, Norma; Romanos, Maria T. V.</t>
  </si>
  <si>
    <t xml:space="preserve">Structure and anti-metapneumovirus activity of sulfated galactans from the red seaweed Cryptonemia seminervis</t>
  </si>
  <si>
    <t xml:space="preserve">CARBOHYDRATE POLYMERS</t>
  </si>
  <si>
    <t xml:space="preserve">Cryptonemia seminervis; Sulfated galactans; Chemical structure; Partial depolymerization; Human metapneumovirus; Antiviral activity</t>
  </si>
  <si>
    <t xml:space="preserve">HERPES-SIMPLEX-VIRUS; ANTIVIRAL ACTIVITY; IN-VITRO; TETRASPORIC STAGES; CHEMICAL-STRUCTURE; POLYSACCHARIDES; RHODOPHYTA; CARRAGEENAN; CERAMIALES; SYSTEM</t>
  </si>
  <si>
    <t xml:space="preserve">The anti-HMPV (human metapneumovirus) activity was determined for sulfated Ex-hybrid galactans obtained from the red seaweed Cryptonemia seminervis and their depolymerized products obtained by reductive partial hydrolysis. Structural studies carried out in three homogeneous depolymerized fractions DS-1, DS-2e and DS-3 (Mw of 51.6-63.8 kDa) showed that these galactans present different chemical characteristics, as monosaccharide composition, content of sulfate groups (14.1-29.9%) and agaran:carrageenan molar ratio diads, 2.7:1 for DS-1 and DS-2e and 1:1 for DS-3. The sulfate groups are located principally on C-2 of beta-D-galactopyranose and 4,6-O-(1'-carboxyethylidene)-beta-D-galactopyranose residues and on C-6 of alpha-galactose residues. Sulfated DL-galactans and their depolymerized products exhibited antiviral activity at a very early stage of the viral infection cycle. All fractions, except DS-2e inhibited HMPV replication by binding to the viral particle. Besides depolymerized galactans DS-2e and DS-3 inhibited the recognition of cell receptor by HMPV and penetration to the host cell, respectively. (C) 2013 Elsevier Ltd. All rights reserved.</t>
  </si>
  <si>
    <t xml:space="preserve">[Mendes, Gabriella S.; Cavalcanti, Jessica F.; Romanos, Maria T. V.] Univ Fed Rio de Janeiro, Inst Microbiol Paulo Goes, Dept Virol, Lab Expt Drogas Antivirais &amp; Citotox, BR-21941 Rio De Janeiro, Brazil; [Mendes, Gabriella S.; Santos, Norma] Univ Fed Rio de Janeiro, Inst Microbiol Paulo Goes, Dept Virol, Lab Viroses Resp Enter &amp; Oculares, BR-21941 Rio De Janeiro, Brazil; [Duarte, Maria E. R.; Colodi, Franciely G.; Noseda, Miguel D.; Ferreira, Luciana G.; Berte, Siliane D.] Univ Fed Parana, Dept Bioquim &amp; Biol Mol, Lab Glicobiol Estrutural Carboidratos Algas Marin, BR-81531980 Curitiba, Parana, Brazil; [Berte, Siliane D.] Univ Fed Parana, Dept Engn Quim, Lab Proc Biotecnol, BR-80060000 Curitiba, Parana, Brazil</t>
  </si>
  <si>
    <t xml:space="preserve">Universidade Federal do Rio de Janeiro; Universidade Federal do Rio de Janeiro; Universidade Federal do Parana; Universidade Federal do Parana</t>
  </si>
  <si>
    <t xml:space="preserve">Duarte, MER (corresponding author), Univ Fed Parana, Dept Bioquim &amp; Biol Mol, Lab Glicobiol Estrutural Carboidratos Algas Marin, POB 19046, BR-81531980 Curitiba, Parana, Brazil.</t>
  </si>
  <si>
    <t xml:space="preserve">eugenia.duarte@pq.cnpq.br; teresa.romanos@micro.ufrj.br</t>
  </si>
  <si>
    <t xml:space="preserve">Colodi, Franciely/ABC-2038-2021; Mendes, Gabriella/CAG-0780-2022; Rabello Duarte, Maria Eugenia/O-2872-2017; Noseda, Miguel/I-6480-2013; Santos, Norma/H-6986-2015</t>
  </si>
  <si>
    <t xml:space="preserve">Mendes, Gabriella/0000-0003-1978-9569; Rabello Duarte, Maria Eugenia/0000-0002-3288-060X; Noseda, Miguel/0000-0002-0724-1515; Grose Colodi, Franciely/0000-0002-3546-2518; Santos, Norma/0000-0002-5123-9172</t>
  </si>
  <si>
    <t xml:space="preserve">National Research Council of Brazil (CNPq); Coordenacao de Aperfeicoamento de Pessoal de Nivel Superior (CAPES); Fundacao Carlos Chagas de Amparo a Pesquisa do Estado do Rio de Janeiro (FAPERJ), Brazil; Fundacao Araucaria/CNPq-Brazil (PRONEX-Carboidratos); MCT/CNPq/CT-PETRO [558044/2009-3]; Projeto Universal-CNPq [483722/2012-0]; doctoral scholarships from CNPq and CAPES-REUNI</t>
  </si>
  <si>
    <t xml:space="preserve">National Research Council of Brazil (CNPq)(Conselho Nacional de Desenvolvimento Cientifico e Tecnologico (CNPQ)); Coordenacao de Aperfeicoamento de Pessoal de Nivel Superior (CAPES)(Coordenacao de Aperfeicoamento de Pessoal de Nivel Superior (CAPES)); Fundacao Carlos Chagas de Amparo a Pesquisa do Estado do Rio de Janeiro (FAPERJ), Brazil(Fundacao Carlos Chagas Filho de Amparo a Pesquisa do Estado do Rio De Janeiro (FAPERJ)); Fundacao Araucaria/CNPq-Brazil (PRONEX-Carboidratos); MCT/CNPq/CT-PETRO(Conselho Nacional de Desenvolvimento Cientifico e Tecnologico (CNPQ)); Projeto Universal-CNPq; doctoral scholarships from CNPq and CAPES-REUNI</t>
  </si>
  <si>
    <t xml:space="preserve">We thank Soluza dos Santos Goncalves for technical assistance. This study was supported by the National Research Council of Brazil (CNPq), Coordenacao de Aperfeicoamento de Pessoal de Nivel Superior (CAPES), Fundacao Carlos Chagas de Amparo a Pesquisa do Estado do Rio de Janeiro (FAPERJ), Brazil, Fundacao Araucaria/CNPq-Brazil (PRONEX-Carboidratos), MCT/CNPq/CT-PETRO (558044/2009-3), and Projeto Universal-CNPq (483722/2012-0). M.D.N., M.E.D. and N.S. are Research Members of the National Research Council of Brazil, G.S.M., F.G.C., J.F.C., L.G.F. and S.D.B. acknowledge doctoral scholarships from CNPq and CAPES-REUNI.</t>
  </si>
  <si>
    <t xml:space="preserve">0144-8617</t>
  </si>
  <si>
    <t xml:space="preserve">1879-1344</t>
  </si>
  <si>
    <t xml:space="preserve">CARBOHYD POLYM</t>
  </si>
  <si>
    <t xml:space="preserve">Carbohydr. Polym.</t>
  </si>
  <si>
    <t xml:space="preserve">10.1016/j.carbpol.2013.09.026</t>
  </si>
  <si>
    <t xml:space="preserve">Chemistry, Applied; Chemistry, Organic; Polymer Science</t>
  </si>
  <si>
    <t xml:space="preserve">Chemistry; Polymer Science</t>
  </si>
  <si>
    <t xml:space="preserve">300WN</t>
  </si>
  <si>
    <t xml:space="preserve">WOS:000330494800038</t>
  </si>
  <si>
    <t xml:space="preserve">Cao, DD; Liang, B</t>
  </si>
  <si>
    <t xml:space="preserve">Cao, Dongdong; Liang, Bo</t>
  </si>
  <si>
    <t xml:space="preserve">Cryo-Electron Microscopy Structures of the Pneumoviridae Polymerases</t>
  </si>
  <si>
    <t xml:space="preserve">cryo-EM; structure; Pneumoviridae; polymerases; human respiratory syncytial virus; human metapneumovirus</t>
  </si>
  <si>
    <t xml:space="preserve">RESPIRATORY SYNCYTIAL VIRUS; RNA-CAPPING ENZYME; VESICULAR STOMATITIS-VIRUS; MESSENGER-RNA; CRYO-EM; SEQUENTIAL TRANSCRIPTION; GENE-START; L PROTEIN; METAPNEUMOVIRUS; COMPLEX</t>
  </si>
  <si>
    <t xml:space="preserve">The resolution revolution of cryo-electron microscopy (cryo-EM) has made a significant impact on the structural analysis of the Pneumoviridae multifunctional RNA polymerases. In recent months, several high-resolution structures of apo RNA polymerases of Pneumoviridae, which includes the human respiratory syncytial virus (HRSV) and human metapneumovirus (HMPV), have been determined by single-particle cryo-EM. These structures illustrated high similarities and minor differences between the Pneumoviridae polymerases and revealed the potential mechanisms of the Pneumoviridae RNA synthesis.</t>
  </si>
  <si>
    <t xml:space="preserve">[Cao, Dongdong; Liang, Bo] Emory Univ, Sch Med, Dept Biochem, Atlanta, GA 30322 USA</t>
  </si>
  <si>
    <t xml:space="preserve">Emory University</t>
  </si>
  <si>
    <t xml:space="preserve">Liang, B (corresponding author), Emory Univ, Sch Med, Dept Biochem, Atlanta, GA 30322 USA.</t>
  </si>
  <si>
    <t xml:space="preserve">bo.liang@emory.edu</t>
  </si>
  <si>
    <t xml:space="preserve">Liang, Bo/H-2476-2011</t>
  </si>
  <si>
    <t xml:space="preserve">Cao, Dongdong/0000-0002-2031-9321; Liang, Bo/0000-0002-5617-9228</t>
  </si>
  <si>
    <t xml:space="preserve">US National Institute of General Medical Sciences (NIGMS), National Institutes of Health (NIH) [R01GM130950]; Research Start-Up Fund at Emory University School of Medicine</t>
  </si>
  <si>
    <t xml:space="preserve">US National Institute of General Medical Sciences (NIGMS), National Institutes of Health (NIH); Research Start-Up Fund at Emory University School of Medicine</t>
  </si>
  <si>
    <t xml:space="preserve">The research programs in the B.L. laboratory are supported by the US National Institute of General Medical Sciences (NIGMS), National Institutes of Health (NIH) under award number R01GM130950, and the Research Start-Up Fund at Emory University School of Medicine.</t>
  </si>
  <si>
    <t xml:space="preserve">10.1089/vim.2020.0018</t>
  </si>
  <si>
    <t xml:space="preserve">PZ1HO</t>
  </si>
  <si>
    <t xml:space="preserve">WOS:000535565200001</t>
  </si>
  <si>
    <t xml:space="preserve">Gréve, FV; Juffermans, NP; Bos, LDJ; Binnekade, JM; Braber, A; Cremer, OL; de Jonge, E; Molenkamp, R; Ong, DSY; Rebers, SPH; Spoelstra-de Man, AME; van der Sluijs, KF; Spronk, PE; Verheul, KD; de Waard, MC; de Wilde, RBP; Winters, T; de Jong, MD; Schultz, MJ</t>
  </si>
  <si>
    <t xml:space="preserve">Greve, Frank van Someren; Juffermans, Nicole P.; Bos, Lieuwe D. J.; Binnekade, Jan M.; Braber, Annemarije; Cremer, Olaf L.; de Jonge, Evert; Molenkamp, Richard; Ong, David S. Y.; Rebers, Sjoerd P. H.; Spoelstra-de Man, Angelique M. E.; van der Sluijs, Koenraad F.; Spronk, Peter E.; Verheul, Kirsten D.; de Waard, Monique C.; de Wilde, Rob B. P.; Winters, Tineke; de Jong, Menno D.; Schultz, Marcus J.</t>
  </si>
  <si>
    <t xml:space="preserve">Respiratory Viruses in Invasively Ventilated Critically Ill Patients-A Prospective Multicenter Observational Study</t>
  </si>
  <si>
    <t xml:space="preserve">CRITICAL CARE MEDICINE</t>
  </si>
  <si>
    <t xml:space="preserve">critical illness; intensive care units; pneumonia; prospective studies; virus diseases; viral respiratory tract infections</t>
  </si>
  <si>
    <t xml:space="preserve">COMMUNITY-ACQUIRED PNEUMONIA; INTENSIVE-CARE UNITS; VIRAL-INFECTION; MICROBIOLOGY; GUIDELINES; MANAGEMENT</t>
  </si>
  <si>
    <t xml:space="preserve">Objectives: The presence of respiratory viruses and the association with outcomes were assessed in invasively ventilated ICU patients, stratified by admission diagnosis. Design: Prospective observational study. Setting: Five ICUs in the Netherlands. Patients: Between September 1, 2013, and April 30, 2014, 1,407 acutely admitted and invasively ventilated patients were included. Interventions: None. Measurements and Main Results: Nasopharyngeal swabs and tracheobronchial aspirates were collected upon intubation and tested for 14 respiratory viruses. Out of 1,407 patients, 156 were admitted because of a severe acute respiratory infection and 1,251 for other reasons (non-severe acute respiratory infection). Respiratory viruses were detected in 28.8% of severe acute respiratory infection patients and 17.0% in non-severe acute respiratory infection (p &lt; 0.001). In one third, viruses were exclusively detected in tracheobronchial aspirates. Rhinovirus and human metapneumovirus were more prevalent in severe acute respiratory infection patients (9.6% and 2.6% vs 4.5 and 0.2%; p = 0.006 and p &lt; 0.001). In both groups, there were no associations between the presence of viruses and the number of ICU-free days at day 28, crude mortality, and mortality in multivariate regression analyses. Conclusions: Respiratory viruses are frequently detected in acutely admitted and invasively ventilated patients. Rhinovirus and human metapneumovirus are more frequently found in severe acute respiratory infection patients. Detection of respiratory viruses is not associated with worse clinically relevant outcomes in the studied cohort of patients.</t>
  </si>
  <si>
    <t xml:space="preserve">[Greve, Frank van Someren; Juffermans, Nicole P.; Bos, Lieuwe D. J.; Binnekade, Jan M.; van der Sluijs, Koenraad F.; Winters, Tineke; Schultz, Marcus J.] Acad Med Ctr, Dept Intens Care, Amsterdam, Netherlands; [Greve, Frank van Someren; Molenkamp, Richard; Rebers, Sjoerd P. H.; Verheul, Kirsten D.; de Jong, Menno D.] Acad Med Ctr, Dept Med Microbiol, Amsterdam, Netherlands; [Braber, Annemarije; Spronk, Peter E.] Gelre Hosp, Dept Intens Care, Apeldoorn, Netherlands; [Cremer, Olaf L.; Ong, David S. Y.] Univ Med Ctr Utrecht, Dept Intens Care Med, Utrecht, Netherlands; [de Jonge, Evert; de Wilde, Rob B. P.] Leiden Univ, Dept Intens Care, Med Ctr, Leiden, Netherlands; [Ong, David S. Y.] Univ Med Ctr Utrecht, Dept Med Microbiol, Utrecht, Netherlands; [Spoelstra-de Man, Angelique M. E.] Vrije Univ Amsterdam, Dept Intens Care, Med Ctr, Amsterdam, Netherlands</t>
  </si>
  <si>
    <t xml:space="preserve">University of Amsterdam; Academic Medical Center Amsterdam; University of Amsterdam; Academic Medical Center Amsterdam; Gelre Hospitals; Utrecht University; Utrecht University Medical Center; Leiden University - Excl LUMC; Leiden University; Leiden University Medical Center (LUMC); Utrecht University; Utrecht University Medical Center; Vrije Universiteit Amsterdam</t>
  </si>
  <si>
    <t xml:space="preserve">Gréve, FV (corresponding author), Acad Med Ctr, Dept Intens Care, Amsterdam, Netherlands.;Gréve, FV (corresponding author), Acad Med Ctr, Dept Med Microbiol, Amsterdam, Netherlands.</t>
  </si>
  <si>
    <t xml:space="preserve">frankvsg@gmail.com</t>
  </si>
  <si>
    <t xml:space="preserve">Ong, David/HKO-8708-2023; Cremer, Olaf/G-3855-2016; Schultz, Marcus/AAB-6379-2021; De Wilde, Rob/N-7997-2013; Bos, Lieuwe/H-2578-2018</t>
  </si>
  <si>
    <t xml:space="preserve">Molenkamp, Richard/0000-0002-9004-3850; de Man, Angelique/0000-0001-8738-8295; De Wilde, Rob/0000-0003-2388-4243; de Jonge, Evert/0000-0003-1431-8039; Bos, Lieuwe/0000-0003-2911-4549; Ong, David/0000-0001-5688-6443; Schultz, Marcus/0000-0003-3969-7792</t>
  </si>
  <si>
    <t xml:space="preserve">Academic Medical Center (University of Amsterdam, Amsterdam, the Netherlands); Crucell Holland BV (Leiden, the Netherlands); EU FP7 project PREPARE [602525]; EU FP7 project Platform for European Preparedness Against (Re-) emerging Epidemics [602525]; Maquet; Dutch Lung Foundation; GlaxoSmithKline (GSK); Bayer; Academic Medical Centre, Amsterdam, the Netherlands; Crucell B.V.; Janssen Pharmaceuticals; MedImmune; GSK</t>
  </si>
  <si>
    <t xml:space="preserve">Academic Medical Center (University of Amsterdam, Amsterdam, the Netherlands)(Netherlands Government); Crucell Holland BV (Leiden, the Netherlands); EU FP7 project PREPARE(European Union (EU)); EU FP7 project Platform for European Preparedness Against (Re-) emerging Epidemics; Maquet; Dutch Lung Foundation; GlaxoSmithKline (GSK)(GlaxoSmithKline); Bayer(Bayer AG); Academic Medical Centre, Amsterdam, the Netherlands(Netherlands Government); Crucell B.V.; Janssen Pharmaceuticals(Johnson &amp; JohnsonJohnson &amp; Johnson USAJanssen Biotech Inc); MedImmune(AstraZenecaMedimmune); GSK(GlaxoSmithKline)</t>
  </si>
  <si>
    <t xml:space="preserve">Supported, in part, by the Academic Medical Center (University of Amsterdam, Amsterdam, the Netherlands), Crucell Holland BV (Leiden, the Netherlands), and EU FP7 project PREPARE (grant number 602525). Crucell Holland BV was involved in the study design but had neither a role in collection, management, analysis, and interpretation of the data nor in preparation, review, and the decision to submit the article. Drs. van Someren Greve and Cremer's institutions received funding from Crucell Holland BV (Leiden, the Netherlands), EU FP7 project Platform for European Preparedness Against (Re-) emerging Epidemics (grant number 602525). Dr. Bos' institution received funding from Maquet (unrestrictive research grant) and Dutch Lung Foundation (research grant), and he received funding from GlaxoSmithKline (GSK) (honorarium for presentation) and Bayer (advisory board). Dr. Spoelstra-de Man's institution received funding from Academic Medical Centre, Amsterdam, the Netherlands. Dr. de Jong's institution received funding from Crucell B.V. (unrestricted grant), Janssen Pharmaceuticals (Scientific Advisory Board and Independent Data and Safety Monitoring Board), MedImmune (Scientific Advisory Board), and GSK (Independent Data and Safety Monitoring Board). The remaining authors have disclosed that they do not have any potential conflicts of interest.</t>
  </si>
  <si>
    <t xml:space="preserve">0090-3493</t>
  </si>
  <si>
    <t xml:space="preserve">1530-0293</t>
  </si>
  <si>
    <t xml:space="preserve">CRIT CARE MED</t>
  </si>
  <si>
    <t xml:space="preserve">Crit. Care Med.</t>
  </si>
  <si>
    <t xml:space="preserve">10.1097/CCM.0000000000002752</t>
  </si>
  <si>
    <t xml:space="preserve">FW6LU</t>
  </si>
  <si>
    <t xml:space="preserve">WOS:000425430600026</t>
  </si>
  <si>
    <t xml:space="preserve">Kawaguchi, A; Bates, A; Lee, BE; Drews, S; Garros, D</t>
  </si>
  <si>
    <t xml:space="preserve">Kawaguchi, Atsushi; Bates, Angela; Lee, Bonita E.; Drews, Steven; Garros, Daniel</t>
  </si>
  <si>
    <t xml:space="preserve">Virus detection in critically ill children with acute respiratory disease: a new profile in view of new technology</t>
  </si>
  <si>
    <t xml:space="preserve">Critical care; Intubation; Respiratory disease; Viral infection</t>
  </si>
  <si>
    <t xml:space="preserve">SYNCYTIAL VIRUS; HUMAN METAPNEUMOVIRUS; YOUNG-CHILDREN; INFECTIONS; ILLNESS; IMPACT; COINFECTION; ADMISSIONS; INFLUENZA; BURDEN</t>
  </si>
  <si>
    <t xml:space="preserve">Aim: To describe the epidemiology of critically ill children admitted to a paediatric intensive care unit (PICU) with acute respiratory disease. The association with intubation was analysed for the three most prevalent viruses and in those with and without viral co-infection. Methods: Patients admitted to the PICU (2004-2014) with acute respiratory disease were included. Analyses were performed utilising each respiratory viral infection or multiple viral infections as an exposure. Results: There were 1766 admissions with acute respiratory disease of which 1372 had respiratory virus testing and 748 had one or more viruses detected. The risk of intubation before or during the PICU stay was higher if parainfluenza virus was detected compared to respiratory syncytial virus (RSV) (OR: 2.20; 95% CI: 1.06-4.56). Sixty-three admissions had two or more viruses detected, and the combination of RSV and Rhinovirus/enterovirus was the most common. No significant difference was observed in the risk of intubation between patients with multiple and single viral infections. Conclusion: Higher risk of intubation was found in patients with parainfluenza as compared to RSV. The risk of intubation comparing parainfluenza virus to other viruses and for patients with multiple versus single virus needs to be further studied.</t>
  </si>
  <si>
    <t xml:space="preserve">[Kawaguchi, Atsushi; Bates, Angela; Garros, Daniel] Univ Alberta, Dept Pediat, Pediat Crit Care Med, Edmonton, AB, Canada; [Kawaguchi, Atsushi] Univ Alberta, Sch Publ Hlth, Edmonton, AB, Canada; [Lee, Bonita E.] Univ Alberta, Dept Pediat, Pediat Infect Dis, Edmonton, AB, Canada; [Drews, Steven] Alberta Hlth Serv, Prov Lab Publ Hlth, Edmonton, AB, Canada; [Drews, Steven] Univ Alberta, Dept Lab Med &amp; Pathol, Edmonton, AB, Canada</t>
  </si>
  <si>
    <t xml:space="preserve">University of Alberta; University of Alberta; University of Alberta; Alberta Health Services (AHS); University of Alberta</t>
  </si>
  <si>
    <t xml:space="preserve">Kawaguchi, A (corresponding author), Univ Alberta, Stollery Childrens Hosp, Dept Pediat, Pediat Crit Care Med, 3A3-06 Walter C MacKenzie Hlth Ctr,8440 112 St, Edmonton, AB T6G 2B7, Canada.</t>
  </si>
  <si>
    <t xml:space="preserve">atsushi@ualberta.ca</t>
  </si>
  <si>
    <t xml:space="preserve">kawaguchi, atsushi/H-6861-2019</t>
  </si>
  <si>
    <t xml:space="preserve">Graduate Studentship Award from the Women and Children's Health Research Institute</t>
  </si>
  <si>
    <t xml:space="preserve">AK is supported by a Graduate Studentship Award from the Women and Children's Health Research Institute.</t>
  </si>
  <si>
    <t xml:space="preserve">10.1111/apa.14148</t>
  </si>
  <si>
    <t xml:space="preserve">FV9CJ</t>
  </si>
  <si>
    <t xml:space="preserve">WOS:000424884000025</t>
  </si>
  <si>
    <t xml:space="preserve">Du, Y; Liu, XR; Gao, HD; Liu, XQ; Huang, M; Chai, Q; Xing, ZH; Zhang, T; Ma, DL</t>
  </si>
  <si>
    <t xml:space="preserve">Du, Yao; Liu, Xiaorong; Gao, Hongdan; Liu, Xiaoqian; Huang, Meng; Chai, Qiang; Xing, Zhihao; Zhang, Tao; Ma, Dongli</t>
  </si>
  <si>
    <t xml:space="preserve">Rapid and one-tube detection of human metapneumovirus using the RT-RPA and CRISPR/Cas12a</t>
  </si>
  <si>
    <t xml:space="preserve">CRISPR/Cas12a; Reverse Transcription-Recombinase Polymer-ase Amplification; One-tube; Human metapneumovirus; Fluorescence</t>
  </si>
  <si>
    <t xml:space="preserve">CRISPR-CAS12A; INFECTIONS; CHILDREN; YOUNG</t>
  </si>
  <si>
    <t xml:space="preserve">Human metapneumovirus (HMPV) is a common pathogen that can cause acute respiratory tract infections and is prevalent worldwide. There is yet no effective vaccine or specific treatment for HMPV. Early, rapid, and accurate detection is essential to treat the disease and control the spread of infection. In this study, we created the Onetube assay by combining Reverse Transcription-Recombinase Polymerase Amplification (RT-RPA) with the CRISPR/Cas12a system. By targeting the nucleoprotein (N) gene of HMPV to design specific primers and CRISPR RNAs (crRNAs), combining RT-RPA and CRISPR/Cas12a, established the One-tube assay. Meanwhile, the reaction conditions of the One-tube assay were optimized to achieve rapid and visual detection of HMPV. This assay could detect HMPV at 1 copy/mu L in 30 min, without cross-reactivity with nine other respiratory pathogens. We validated the detection performance using clinical specimens and showed that the coincidence rate was 98.53 %,compared to the quantitative reverse-transcription polymerase chain reaction. The One-tube assay reduced the detection time and simplified the manual operation, while maintaining the detection performance and providing a new platform for HMPV detection.</t>
  </si>
  <si>
    <t xml:space="preserve">[Du, Yao; Gao, Hongdan; Liu, Xiaoqian] Bengbu Med Univ, Sch Lab Med, Bengbu 233030, Peoples R China; [Du, Yao; Liu, Xiaorong; Gao, Hongdan; Liu, Xiaoqian; Huang, Meng; Chai, Qiang; Xing, Zhihao; Ma, Dongli] Shenzhen Childrens Hosp, Pediat Res Inst, Shenzhen 518034, Peoples R China; [Zhang, Tao] Bengbu Med Coll, Dept Pathogen Biol, Bengbu 233030, Peoples R China</t>
  </si>
  <si>
    <t xml:space="preserve">Bengbu Medical University; Shenzhen Children's Hospital; Bengbu Medical University</t>
  </si>
  <si>
    <t xml:space="preserve">Ma, DL (corresponding author), Shenzhen Childrens Hosp, Pediat Res Inst, Shenzhen 518034, Peoples R China.;Zhang, T (corresponding author), Bengbu Med Coll, Dept Pathogen Biol, Bengbu 233030, Peoples R China.</t>
  </si>
  <si>
    <t xml:space="preserve">1695948210@qq.com; liuxiaorongsmile@outlook.com; 974014794@qq.com; LiuXQ1231@163.com; h_18523807980@outlook.com; 13516280604@163.com; xingzhihao@hotmail.com; zsrt1215@126.com; madl1234@126.com</t>
  </si>
  <si>
    <t xml:space="preserve">liu, xiaoqian/KSL-7906-2024; Xing, Zhihao/IAM-3303-2023</t>
  </si>
  <si>
    <t xml:space="preserve">Guangdong High-level Hospital Construction Fund [SEY-GSP-YXPT-A02]</t>
  </si>
  <si>
    <t xml:space="preserve">Guangdong High-level Hospital Construction Fund</t>
  </si>
  <si>
    <t xml:space="preserve">This work was supported by the Guangdong High-level Hospital Construction Fund (SEY-GSP-YXPT-A02) .</t>
  </si>
  <si>
    <t xml:space="preserve">10.1016/j.jviromet.2024.115001</t>
  </si>
  <si>
    <t xml:space="preserve">A4Z5Q</t>
  </si>
  <si>
    <t xml:space="preserve">WOS:001282631600001</t>
  </si>
  <si>
    <t xml:space="preserve">Qian, WD; Huang, J; Wang, T; He, XX; Xu, GZ; Li, YD</t>
  </si>
  <si>
    <t xml:space="preserve">Qian, Weidong; Huang, Jie; Wang, Ting; He, Xiaoxian; Xu, Guozhang; Li, Yongdong</t>
  </si>
  <si>
    <t xml:space="preserve">Visual detection of human metapneumovirus using CRISPR-Cas12a diagnostics</t>
  </si>
  <si>
    <t xml:space="preserve">CRISPR-Cas12a; RT-RPA; Detection; Human metapneumovirus</t>
  </si>
  <si>
    <t xml:space="preserve">RESPIRATORY SYNCYTIAL VIRUS; YOUNG-CHILDREN; RT-PCR; INFECTIONS; HMPV</t>
  </si>
  <si>
    <t xml:space="preserve">Human metapneumovirus (HmPV) is a common and serious virus that causes respiratory tract infection. This study aimed to develop a detection technique by combining reverse transcription recombinase polymerase amplification (RT-RPA) with CRISPR-Cas12a (RT-RPA-Cas12a) for clinical diagnosis of HmPV. Herein, four primer pairs targeting partial nucleoprotein (N) gene of HmPV were designed and evaluated. Then, the products amplified by RT-RPA were detected using CRISPR-Cas12a combined with fluorescence or lateral flow (LF). RT-RPA-Cas12a-based fluorescence or LF assay can be completed within 35 min or 45 min, and the detection limit was up to 6.97 x 10(2) copies/mL. And there was no cross reaction with human bocavirus, respiratory syncytial virus, adenovirus and parainfluenza virus. By combining with LF, the detection results were evaluated by naked eyes. Furthermore, 28 clinical samples were applied to examine the performance of RT-RPA-Cas12a system. The detection coincidence rates of RT-RPA-Cas12a-fluorescence and RT-RPA-Cas12a-LF with quantitative RT-PCR were 96.4% and 92.9%, respectively. Together, the new method for detecting HmPV with high sensitivity and specificity based on RT-RPA-Cas12a-fluorescence or LF shows promising potential for clinical diagnosis of HmPV without professional skills or ancillary equipment.</t>
  </si>
  <si>
    <t xml:space="preserve">[Qian, Weidong; Huang, Jie; Wang, Ting; He, Xiaoxian] Shaanxi Univ Sci &amp; Technol, Sch Food &amp; Biol Engn, Xian 710021, Peoples R China; [Xu, Guozhang; Li, Yongdong] Ningbo Municipal Ctr Dis Control &amp; Prevent, Ningbo 315010, Peoples R China</t>
  </si>
  <si>
    <t xml:space="preserve">Shaanxi University of Science &amp; Technology</t>
  </si>
  <si>
    <t xml:space="preserve">Li, YD (corresponding author), Ningbo Municipal Ctr Dis Control &amp; Prevent, Ningbo 315010, Peoples R China.;Qian, WD (corresponding author), Shaanxi Univ Sci &amp; Technol, Food Sci &amp; Bioengn Coll, Xian 710021, Peoples R China.</t>
  </si>
  <si>
    <t xml:space="preserve">qianweidong@sust.edu.cn; liyd@nbcdc.org.cn</t>
  </si>
  <si>
    <t xml:space="preserve">Li, Yongdong/P-5605-2016; Zhang, Zixuan/JSL-3603-2023</t>
  </si>
  <si>
    <t xml:space="preserve">Xi'an Weiyang District Science and Technology Project [201926]</t>
  </si>
  <si>
    <t xml:space="preserve">Xi'an Weiyang District Science and Technology Project</t>
  </si>
  <si>
    <t xml:space="preserve">This study received funding from the Xi'an Weiyang District Science and Technology Project (201926).</t>
  </si>
  <si>
    <t xml:space="preserve">10.1016/j.virusres.2021.198568</t>
  </si>
  <si>
    <t xml:space="preserve">WF0LN</t>
  </si>
  <si>
    <t xml:space="preserve">WOS:000706007200009</t>
  </si>
  <si>
    <t xml:space="preserve">Jarmolinski, T; Matkowska-Kocjan, A; Rosa, M; Olejnik, I; Gorczynska, E; Kalwak, K; Ussowicz, M</t>
  </si>
  <si>
    <t xml:space="preserve">Jarmolinski, Tomasz; Matkowska-Kocjan, Agnieszka; Rosa, Monika; Olejnik, Igor; Gorczynska, Ewa; Kalwak, Krzysztof; Ussowicz, Marek</t>
  </si>
  <si>
    <t xml:space="preserve">SARS-CoV-2 viral clearance during bone marrow aplasia after allogeneic hematopoietic stem cell transplantation-A case report</t>
  </si>
  <si>
    <t xml:space="preserve">COVID19; metapneumovirus; pediatric hematopoietic stem cell transplantation; pneumonia; respiratory syncytial virus; SARS-CoV-2</t>
  </si>
  <si>
    <t xml:space="preserve">RESPIRATORY VIRUS-INFECTIONS; SYNCYTIAL VIRUS; COVID-19; CHILDREN; DISEASE; SINGLE; COINFECTION; SEVERITY; MULTIPLE</t>
  </si>
  <si>
    <t xml:space="preserve">Respiratory viral infections are known causes of mortality after allogeneic hematopoietic stem cell transplantation (HSCT). Here, we report a unique case of a child with viral pneumonia caused by coinfection with human metapneumovirus (MPV), respiratory syncytial virus (RSV), and SARS-CoV-2 after HSCT. A 9-year-old girl with acute lymphoblastic leukemia underwent allogeneic HSCT from a matched, unrelated donor. During the post-transplant period, in profound leukopenia (below 10 leukocytes/mu L), she was diagnosed with SARS-CoV-2, MPV, and RSV pneumonia and was treated with ribavirin and chloroquine. Before leukocyte recovery, the girl became asymptomatic, and SARS-CoV-2 and RSV clearance was achieved. The shedding of SARS-CoV-2 stopped before immune system recovery, and one may hypothesize that the lack of an inflammatory response might have been a contributing factor to the mild clinical course. Post-transplant care in HSCT recipients with COVID-19 infection is feasible in regular transplant units, provided the patient does not present with respiratory failure. Early and repeated testing for SARS-CoV-2 in post-transplant patients with concomitant infection mitigation strategies should be considered in children after HSCT who develop fever, respiratory symptoms, and perhaps gastrointestinal symptoms to control the spread of COVID-19 both in patients and in healthcare workers in hospital environments. Training of staff and the availability of personal protective equipment are crucial for containing SARS-CoV-2 infection.</t>
  </si>
  <si>
    <t xml:space="preserve">[Jarmolinski, Tomasz; Rosa, Monika; Olejnik, Igor; Gorczynska, Ewa; Kalwak, Krzysztof; Ussowicz, Marek] Wroclaw Med Univ, Dept Pediat Bone Marrow Transplantat Oncol &amp; Hema, Borowska 213, PL-50556 Wroclaw, Poland; [Matkowska-Kocjan, Agnieszka] Wroclaw Med Univ, Dept &amp; Clin Pediat Infect Dis, Wroclaw, Poland</t>
  </si>
  <si>
    <t xml:space="preserve">Wroclaw Medical University; Wroclaw Medical University</t>
  </si>
  <si>
    <t xml:space="preserve">Ussowicz, M (corresponding author), Wroclaw Med Univ, Dept Pediat Bone Marrow Transplantat Oncol &amp; Hema, Borowska 213, PL-50556 Wroclaw, Poland.</t>
  </si>
  <si>
    <t xml:space="preserve">USSOWICZ@TLEN.PL</t>
  </si>
  <si>
    <t xml:space="preserve">Jarmoliński, Tomasz/HPD-5941-2023; Ussowicz, Marek/T-7487-2019</t>
  </si>
  <si>
    <t xml:space="preserve">KALWAK, KRZYSZTOF/0000-0003-1174-5799; Ussowicz, Marek/0000-0001-5725-4835; Rosa, Monika/0000-0003-1585-3164; Olejnik, Igor/0000-0003-4101-0435; Gorczynska, Ewa/0000-0002-5709-6731; Jarmolinski, Tomasz/0000-0002-3441-6165</t>
  </si>
  <si>
    <t xml:space="preserve">Wroclaw Medical University statutory grant [ST.C200.18.013]</t>
  </si>
  <si>
    <t xml:space="preserve">Wroclaw Medical University statutory grant</t>
  </si>
  <si>
    <t xml:space="preserve">This work was supported by Wroclaw Medical University statutory grant ST.C200.18.013.</t>
  </si>
  <si>
    <t xml:space="preserve">1399-3046</t>
  </si>
  <si>
    <t xml:space="preserve">e13875</t>
  </si>
  <si>
    <t xml:space="preserve">10.1111/petr.13875</t>
  </si>
  <si>
    <t xml:space="preserve">TR6LG</t>
  </si>
  <si>
    <t xml:space="preserve">WOS:000579219800001</t>
  </si>
  <si>
    <t xml:space="preserve">Rodgers, L; Sheppard, M; Smith, A; Dietz, S; Jayanthi, P; Yuan, Y; Bull, L; Wotiz, S; Schwarze, T; Azondekon, R; Hartnett, K; Adjemian, J; Kirking, HL; Kite-Powell, A</t>
  </si>
  <si>
    <t xml:space="preserve">Rodgers, Loren; Sheppard, Michael; Smith, Amanda; Dietz, Stephanie; Jayanthi, Praveena; Yuan, Yan; Bull, Lara; Wotiz, Samantha; Schwarze, Tessa; Azondekon, Roseric; Hartnett, Kathleen; Adjemian, Jennifer; Kirking, Hannah L.; Kite-Powell, Aaron</t>
  </si>
  <si>
    <t xml:space="preserve">Changes in Seasonal Respiratory Illnesses in the United States During the Coronavirus Disease 2019 (COVID-19) Pandemic</t>
  </si>
  <si>
    <t xml:space="preserve">COVID-19; syndromic; respiratory; emergency department visits; laboratory</t>
  </si>
  <si>
    <t xml:space="preserve">INFLUENZA TRANSMISSION; COMMON COLD; HOSPITALIZATIONS</t>
  </si>
  <si>
    <t xml:space="preserve">Background. Respiratory tract infections are common, often seasonal, and caused by multiple pathogens. We assessed whether seasonal respiratory illness patterns changed during the COVID-19 pandemic. Methods. We categorized emergency department (ED) visits reported to the National Syndromic Surveillance Program according to chief complaints and diagnosis codes, excluding visits with diagnosed SARS-CoV-2 infections. For each week during 1 March 2020 through 26 December 2020 (pandemic period), we compared the proportion of ED visits in each respiratory category with the proportion of visits in that category during the corresponding weeks of 2017-2019 (pre-pandemic period). We analyzed positivity of respiratory viral tests from 2 independent clinical laboratories. Results. During March 2020, cough, shortness of breath, and influenza-like illness accounted for twice as many ED visits compared with the pre-pandemic period. During the last 4 months of 2020, all respiratory conditions, except shortness of breath, accounted for a smaller proportion of ED visits than during the pre-pandemic period. Percent positivity for influenza virus, respiratory syncytial virus, human parainfluenza virus, adenoviruses, and human metapneumovirus was lower in 2020 than 2019. Although test volume decreased, percent positivity was higher for rhinovirus/enterovirus during the final weeks of 2020 compared with 2019, with ED visits similar to the pre-pandemic period. Conclusions. Broad reductions in respiratory test positivity and respiratory ED visits (excluding COVID-19) occurred during 2020. Interventions for mitigating spread of SARS-CoV-2 likely also reduced transmission of other pathogens. Timely surveillance is needed to understand community health threats, particularly when current trends deviate from seasonal norms.</t>
  </si>
  <si>
    <t xml:space="preserve">[Rodgers, Loren; Sheppard, Michael; Smith, Amanda; Dietz, Stephanie; Jayanthi, Praveena; Yuan, Yan; Bull, Lara; Wotiz, Samantha; Azondekon, Roseric; Hartnett, Kathleen; Adjemian, Jennifer; Kite-Powell, Aaron] Ctr Dis Control &amp; Prevent, Div Hlth Informat &amp; Surveillance, Ctr Surveillance Epidemiol &amp; Lab Serv, Atlanta, GA 30329 USA; [Rodgers, Loren; Hartnett, Kathleen; Adjemian, Jennifer; Kirking, Hannah L.] US Publ Hlth Serv Commissioned Corps, Rockville, MD USA; [Smith, Amanda] Ctr Dis Control &amp; Prevent, Epidem Intelligence Serv, Ctr Surveillance Epidemiol &amp; Lab Serv, Atlanta, GA 30329 USA; [Jayanthi, Praveena] ICF Int Inc, Atlanta, GA USA; [Wotiz, Samantha] Deloitte, Atlanta, GA USA; [Schwarze, Tessa] Ctr Dis Control &amp; Prevent, Off Safety Secur &amp; Asset Management, Atlanta, GA 30329 USA; [Schwarze, Tessa] Chenega Enterprise Syst &amp; Solut LLC, Chesapeake, VA USA; [Kirking, Hannah L.] Ctr Dis Control &amp; Prevent, Div Viral Dis, Natl Ctr Immunizat &amp; Resp Dis, Atlanta, GA 30329 USA</t>
  </si>
  <si>
    <t xml:space="preserve">Centers for Disease Control &amp; Prevention - USA; United States Public Health Service; Centers for Disease Control &amp; Prevention - USA; Deloitte Touche Tohmatsu Limited; Centers for Disease Control &amp; Prevention - USA; Centers for Disease Control &amp; Prevention - USA</t>
  </si>
  <si>
    <t xml:space="preserve">Rodgers, L (corresponding author), Ctr Dis Control &amp; Prevent, 1600 Clifton Rd NE,MS V25-3, Atlanta, GA 30329 USA.</t>
  </si>
  <si>
    <t xml:space="preserve">lrodgers@cdc.gov</t>
  </si>
  <si>
    <t xml:space="preserve">Azondekon, Roseric/AAE-4382-2020</t>
  </si>
  <si>
    <t xml:space="preserve">Schwarze, Tessa/0000-0002-3913-8838; Bull-Otterson, Lara/0000-0003-4863-5139; Smith, Amanda/0000-0001-7348-1499; Azondekon, Roseric/0000-0001-9155-4153</t>
  </si>
  <si>
    <t xml:space="preserve">Centers for Disease Control and Prevention's regular operating funds</t>
  </si>
  <si>
    <t xml:space="preserve">Centers for Disease Control and Prevention's regular operating funds(United States Department of Health &amp; Human ServicesCenters for Disease Control &amp; Prevention - USACDC Intramural Centers for Disease Control and Prevention)</t>
  </si>
  <si>
    <t xml:space="preserve">This work was supported by the Centers for Disease Control and Prevention's regular operating funds.</t>
  </si>
  <si>
    <t xml:space="preserve">S110</t>
  </si>
  <si>
    <t xml:space="preserve">S117</t>
  </si>
  <si>
    <t xml:space="preserve">10.1093/cid/ciab311</t>
  </si>
  <si>
    <t xml:space="preserve">XN9CM</t>
  </si>
  <si>
    <t xml:space="preserve">WOS:000729795000019</t>
  </si>
  <si>
    <t xml:space="preserve">Kozinska, A; Wegrzynska, K; Komiazyk, M; Walory, J; Wasko, I; Baraniak, A</t>
  </si>
  <si>
    <t xml:space="preserve">Kozinska, Aleksandra; Wegrzynska, Karolina; Komiazyk, Magdalena; Walory, Jaroslaw; Wasko, Izabela; Baraniak, Anna</t>
  </si>
  <si>
    <t xml:space="preserve">Viral Etiological Agent(s) of Respiratory Tract Infections in Symptomatic Individuals during the Second Wave of COVID-19 Pandemic: A Single Drive-Thru Mobile Collection Site Study</t>
  </si>
  <si>
    <t xml:space="preserve">COVID-19; SARS-CoV-2; variants of SARS-CoV-2; respiratory viruses; co-infection</t>
  </si>
  <si>
    <t xml:space="preserve">CORONAVIRUS DISEASE 2019; SARS-COV-2; EFFICIENT; MODEL; SAFE</t>
  </si>
  <si>
    <t xml:space="preserve">One of the tools to contain the SARS-CoV-2 pandemic was to increase the number of performed tests and to improve the access to diagnostics. To this effect, mobile collection sites (MCSs) were established. This study was performed on samples collected at the MCS between November 2020 and March 2021. We aimed to confirm/exclude SARS-CoV-2, differentiate SARS-CoV-2 variants, and detect other respiratory pathogens. SARS-CoV-2 and other respiratory viruses were identified by RT-qPCRs. A total of 876 (46.35%) SARS-CoV-2 positive specimens in the diagnostic tests were identified. The wild-type variant was determined in 667 (76.14%) samples; the remaining 209 (23.86%) samples specimens were identified as Alpha variant. A total of 51 (5.6%) non-SARS-CoV-2 cases were detected in retrospective studies. These accounted for 33 cases of mono-infection including rhinovirus (RV), human adenovirus (HAdV), human metapneumovirus (HMPV), enterovirus (EV), and influenza virus, and 18 cases of co-infection (SARS-CoV-2 with RV or HAdV or HMPV, and RV with EV). Our research shows that the results obtained from the MCS have value in epidemiological studies, reflecting national trends on a micro scale. Although the spread of COVID-19 is a major public health concern, SARS-CoV-2 is not the only pathogen responsible for respiratory infections.</t>
  </si>
  <si>
    <t xml:space="preserve">[Kozinska, Aleksandra; Wegrzynska, Karolina; Komiazyk, Magdalena; Walory, Jaroslaw; Wasko, Izabela; Baraniak, Anna] Natl Med Inst, Dept Biomed Res, PL-00725 Warsaw, Poland</t>
  </si>
  <si>
    <t xml:space="preserve">National Medicines Institute Lekow (NIL)</t>
  </si>
  <si>
    <t xml:space="preserve">Baraniak, A (corresponding author), Natl Med Inst, Dept Biomed Res, PL-00725 Warsaw, Poland.</t>
  </si>
  <si>
    <t xml:space="preserve">a.kozinska@nil.gov.pl; k.wegrzynska@nil.gov.pl; m.komiazyk@nil.gov.pl; j.walory@nil.gov.pl; i.wasko@nil.gov.pl; a.baraniak@nil.gov.pl</t>
  </si>
  <si>
    <t xml:space="preserve">; Walory, Jaroslaw/AAC-8702-2022; Kozinska, Aleksandra/JVY-9827-2024; Baraniak, Anna/U-9015-2018</t>
  </si>
  <si>
    <t xml:space="preserve">Wasko, Izabela/0000-0001-5494-3635; Walory, Jaroslaw/0000-0003-2352-2621; Kozinska, Aleksandra/0000-0001-6949-4860; Wegrzynska, Karolina/0000-0003-4030-6795; Baraniak, Anna/0000-0001-9996-8553; Komiazyk-Mikulska, Magdalena/0000-0003-3107-3424</t>
  </si>
  <si>
    <t xml:space="preserve">National Medicines Institute</t>
  </si>
  <si>
    <t xml:space="preserve">This work was financed by internal funding from the National Medicines Institute.</t>
  </si>
  <si>
    <t xml:space="preserve">10.3390/pathogens11040475</t>
  </si>
  <si>
    <t xml:space="preserve">0U1NO</t>
  </si>
  <si>
    <t xml:space="preserve">WOS:000787424100001</t>
  </si>
  <si>
    <t xml:space="preserve">Kislal, FM; Hanilçe, Y; Altas, B; Büyükbasaran, ZE; Güven, D</t>
  </si>
  <si>
    <t xml:space="preserve">Kislal, F. M.; Hanilce, Y.; Altas, B.; Buyukbasaran, Z. E.; Guven, D.</t>
  </si>
  <si>
    <t xml:space="preserve">The disappearance of respiratory syncytial virus and influenza viruses in children during the second year of the COVID-19 pandemic-are non-pharmaceutical interventions as effective as vaccines?</t>
  </si>
  <si>
    <t xml:space="preserve">COVID-19; SARS-CoV-2; Respiratoryviruses; Respira-tory syncytial virus; Influenza; Children</t>
  </si>
  <si>
    <t xml:space="preserve">INFECTIONS; EPIDEMIOLOGY</t>
  </si>
  <si>
    <t xml:space="preserve">OBJECTIVE: Respiratory viral diseases are common in children. A viral di-agnostic test is necessary, because COVID-19 shows signs and symptoms similar to those of common respiratory viruses. The article aims at analyzing the presence of respiratory viruses that were common before the pandemic in chil-dren who were tested for suspected COVID-19, and is also concerned with how common respi-rator y viruses were impacted by COVID-19 mea-sures during the second year of pandemic. PATIENTS AND METHODS: Nasopharyngeal swabs were examined to detect the presence of respiratory viruses. The respiratory panel kit in-cluded SARS-CoV-2, influenza A and B, rhinovi-rus/enterovirus, parainfluenza 1, 2, 3 and 4, coro-naviruses NL 63, 229E, OC43, and HKU1, human metapneumovirus A/B, human bocavirus, respi-ratory syncytial virus (RSV) A/B, human pare-chovirus, and adenovirus. Virus scans were com-pared during and after the restricted period. RESULTS: No virus was isolated from the 86 patients. SARS-CoV-2 was the most frequent-ly observed virus, as expected, and rhinovirus was the second, and coronavirus OC43 was the third. Influenza viruses and RSV were not de-tected in the scans. CONCLUSIONS: Influenza and RSV viruses disappeared during the pandemic period and rhinovirus was the second most common vi-rus after the CoVs during and after the restric-tion period. Non-pharmaceutical interventions should be established as a precaution to prevent infectious diseases even after the pandemic.</t>
  </si>
  <si>
    <t xml:space="preserve">[Kislal, F. M.; Hanilce, Y.; Guven, D.] Univ Hlth &amp; Sci, Ankara Ataturk Sanat Training &amp; Res Hosp, Dept Pediat, Ankara, Turkiye; [Altas, B.] Natl Influenza Ctr, Publ Hlth Inst Turkey, Virol Reference &amp; Res Lab, Ankara, Turkiye; [Buyukbasaran, Z. E.] Univ Hlth Sci, Ankara Ataturk Sanat Training &amp; Res Hosp, Dept Microbiol, Ankara, Turkiye</t>
  </si>
  <si>
    <t xml:space="preserve">University of Health Sciences Turkey; Refik Saydam Hifzissihha Merkezi Baskanligi; University of Health Sciences Turkey</t>
  </si>
  <si>
    <t xml:space="preserve">Kislal, FM (corresponding author), Univ Hlth &amp; Sci, Ankara Ataturk Sanat Training &amp; Res Hosp, Dept Pediat, Ankara, Turkiye.</t>
  </si>
  <si>
    <t xml:space="preserve">fmehmetkislal@gmail.com</t>
  </si>
  <si>
    <t xml:space="preserve">Kislal, Fatih/GRX-8419-2022; Guven, Deniz/GNW-5628-2022</t>
  </si>
  <si>
    <t xml:space="preserve">Guven, Deniz/0000-0002-4293-910X</t>
  </si>
  <si>
    <t xml:space="preserve">H4XI8</t>
  </si>
  <si>
    <t xml:space="preserve">WOS:000996006000013</t>
  </si>
  <si>
    <t xml:space="preserve">Arguni, E; Supriyati, E; Hakim, MS; Daniwijaya, EW; Makrufardi, F; Rahayu, A; Rovik, A; Saraswati, U; Oktoviani, FN; Prastiwi, N; Nuryastuti, T; Wibawa, T; Haryana, SM</t>
  </si>
  <si>
    <t xml:space="preserve">Arguni, Eggi; Supriyati, Endah; Hakim, Mohamad Saifudin; Daniwijaya, Edwin Widyanto; Makrufardi, Firdian; Rahayu, Ayu; Rovik, Anwar; Saraswati, Utari; Oktoviani, Farida Nur; Prastiwi, Nenes; Nuryastuti, Titik; Wibawa, Tri; Haryana, Sofia Mubarika</t>
  </si>
  <si>
    <t xml:space="preserve">Co-infection of SARS-CoV-2 with other viral respiratory pathogens in Yogyakarta, Indonesia: A cross-sectional study</t>
  </si>
  <si>
    <t xml:space="preserve">ANNALS OF MEDICINE AND SURGERY</t>
  </si>
  <si>
    <t xml:space="preserve">COVID-19; SARS-CoV-2; Co-infection; Viral respiratory pathogens; Coronavirus</t>
  </si>
  <si>
    <t xml:space="preserve">HUMAN METAPNEUMOVIRUS; INFECTIONS; COVID-19; OUTBREAK; SARS</t>
  </si>
  <si>
    <t xml:space="preserve">Background: Growing evidence shows that viral co-infection is found repeatedly in patients with Coronavirus Disease-2019 (COVID-19). This is the first report of SARS-CoV-2 co-infection with viral respiratory pathogens in Indonesia. Methods: Over a one month period of April to May 2020, SARS-CoV-2 positive nasopharyngeal swabs in our COVID-19 referral laboratory in Yogyakarta, Indonesia, were tested for viral respiratory pathogens by real-time, reverse transcription polymerase chain reaction (RT-PCR). Proportion of co-infection reported in percentage. Results: Fifty-nine samples were positive for other viral respiratory pathogens among a total of 125 samples. Influenza A virus was detected in 32 samples, Influenza B in 16 samples, Human metapneumovirus in 1 sample, and adenovirus in 10 samples. We did not detect any co-infection with respiratory syncytial virus. Nine (7.2%) patients had co-infection with more than two viruses. Conclusion: Viral co-infection with SARS-CoV-2 is common. These results will provide a helpful reference for diagnosis and clinical treatment of patients with COVID-19.</t>
  </si>
  <si>
    <t xml:space="preserve">[Arguni, Eggi; Makrufardi, Firdian] Univ Gadjah Mada, Fac Med Publ Hlth &amp; Nursing, Dept Child Hlth, Yogyakarta 55281, Indonesia; [Supriyati, Endah; Rahayu, Ayu; Rovik, Anwar; Saraswati, Utari] Univ Gadjah Mada, Fac Med Publ Hlth &amp; Nursing, Ctr Trop Med, Yogyakarta 55281, Indonesia; [Supriyati, Endah] Univ Gadjah Mada, Fac Med Publ Hlth &amp; Nursing, COVID Lab, Fac Med, Yogyakarta 55281, Indonesia; [Hakim, Mohamad Saifudin; Daniwijaya, Edwin Widyanto; Oktoviani, Farida Nur; Prastiwi, Nenes; Nuryastuti, Titik; Wibawa, Tri] Univ Gadjah Mada, Fac Med Publ Hlth &amp; Nursing, Dept Microbiol, Yogyakarta 55281, Indonesia; [Haryana, Sofia Mubarika] Univ Gadjah Mada, Fac Med Publ Hlth, Fac Med Publ Hlth &amp; Nursing, Yogyakarta 55281, Indonesia</t>
  </si>
  <si>
    <t xml:space="preserve">Gadjah Mada University; Gadjah Mada University; Gadjah Mada University; Gadjah Mada University; Gadjah Mada University</t>
  </si>
  <si>
    <t xml:space="preserve">Arguni, E (corresponding author), Univ Gadjah Mada, Fac Med Publ Hlth &amp; Nursing, Dept Child Hlth, Yogyakarta 55281, Indonesia.</t>
  </si>
  <si>
    <t xml:space="preserve">eggiarguni@ugm.ac.id; endah.supriyati@gmail.com; m.s.hakim@ugm.ac.id; m.edwin.d@ugm.ac.id; firdianmakruf@gmail.com; arahayu.id@gmail.com; anwarrovik.ps@gmail.com; m.edwin.d@ugm.ac.id; farida.nur.o@ugm.ac.id; nenesprastiwi@ugm.ac.id; t.nuryastuti@ugm.ac.id; twibawa@ugm.ac.id; sofia.mubarika@gmail.com</t>
  </si>
  <si>
    <t xml:space="preserve">Daniwijaya, Edwin Widyanto/GLV-2830-2022; Supriyati, Endah/LDG-1110-2024; Hakim, Mohamad S./AAB-4765-2019; Wibawa, Tri/AAD-7736-2021; Oktoviani, Farida/KHZ-0200-2024; Arguni, Eggi/AFO-5492-2022</t>
  </si>
  <si>
    <t xml:space="preserve">Hakim, Mohamad Saifudin/0000-0001-8341-461X; Wibawa, Tri/0000-0003-0477-4575; Arguni, Eggi/0000-0001-7462-7904; Supriyati, Endah/0000-0002-9912-1608; Daniwijaya, Edwin Widyanto/0000-0002-3028-2761; Oktoviani, Farida/0000-0003-3865-5603; Rahayu, Ayu/0000-0002-0833-9258</t>
  </si>
  <si>
    <t xml:space="preserve">COVID Pemandatan UGM</t>
  </si>
  <si>
    <t xml:space="preserve">This study was funded by COVID Pemandatan UGM .</t>
  </si>
  <si>
    <t xml:space="preserve">2049-0801</t>
  </si>
  <si>
    <t xml:space="preserve">ANN MED SURG</t>
  </si>
  <si>
    <t xml:space="preserve">Ann. Med. Surg.</t>
  </si>
  <si>
    <t xml:space="preserve">10.1016/j.amsu.2022.103676</t>
  </si>
  <si>
    <t xml:space="preserve">1V6BG</t>
  </si>
  <si>
    <t xml:space="preserve">WOS:000806172000004</t>
  </si>
  <si>
    <t xml:space="preserve">Charlton, CL; Kanji, JN; Johal, K; Bailey, A; Plitt, SS; MacDonald, C; Kunst, A; Buss, E; Burnes, LE; Fonseca, K; Berenger, BM; Schnabl, K; Hu, J; Stokes, W; Zelyas, N; Tipples, G</t>
  </si>
  <si>
    <t xml:space="preserve">Charlton, Carmen L.; Kanji, Jamil N.; Johal, Kam; Bailey, Ashley; Plitt, Sabrina S.; MacDonald, Clayton; Kunst, Andrea; Buss, Emily; Burnes, Laura E.; Fonseca, Kevin; Berenger, Byron M.; Schnabl, Kareena; Hu, Jia; Stokes, William; Zelyas, Nathan; Tipples, Graham</t>
  </si>
  <si>
    <t xml:space="preserve">Evaluation of Six Commercial Mid- to High-Volume Antibody and Six Point-of-Care Lateral Flow Assays for Detection of SARS-CoV-2 Antibodies</t>
  </si>
  <si>
    <t xml:space="preserve">COVID-19; SARS-CoV-2; antibody testing; serology</t>
  </si>
  <si>
    <t xml:space="preserve">Coronavirus disease (COVID) serological tests are essential to determine the overall seroprevalence of a population and to facilitate exposure estimates within that population. We performed a head-to-head assessment of enzyme immunoassays (EIAs) and point-of-care lateral flow assays (POCTs) to detect severe acute respiratory syndrome coronavirus 2 (SARS-CoV-2) antibodies. Demographics, symptoms, comorbidities, treatment, and mortality of patients whose sera were used were also reviewed. Six EIAs (Abbott, Affinity, Bio-Rad, DiaSorin, Euroimmun, and Roche) and six POCTs (BTNX, Biolidics, Deep Blue, Genrui, Getein BioTech, and Innovita) were evaluated for the detection of SARS-CoV-2 antibodies in known COVID-19-infected individuals. Sensitivity of ElAs ranged from 50 to 100%, with only four assays having overall sensitivities of &gt;95% after 21 days after symptom onset. Notably, cross-reactivity with other respiratory viruses (parainfluenza virus [PIV-4] [n = 5], human metapneumovirus [hMPV] [n = 3], rhinovirus/enterovirus [n = 1], CoV-229E [n = 2], CoV-NL63 [n = 2], and CoV-OC43 [n = 2]) was observed; however, overall specificity of EIAs was good (92 to 100%; all but one assay had specificity above 95%). POCTs were 0 to 100% sensitive &gt;21 days after onset, with specificity ranging from 96 to 100%. However, many POCTs had faint banding and were often difficult to interpret. Serology assays can detect SARS-CoV-2 antibodies as early as 10 days after symptom onset. Serology assays vary in their sensitivity based on the marker (IgA/IgM versus IgG versus total) and by manufacturer; however, overall only 4 EIAs and 4 POCTs had sensitivities of &gt;95% &gt;21 days after symptom onset. Crossreactivity with other seasonal coronaviruses is of concern. Serology assays should not be used for the diagnosis of acute infection but rather in carefully designed serosurveys to facilitate understanding of seroprevalence in a population and to identify previous exposure to SARS-CoV-2.</t>
  </si>
  <si>
    <t xml:space="preserve">[Charlton, Carmen L.; Kanji, Jamil N.; Johal, Kam; Bailey, Ashley; MacDonald, Clayton; Burnes, Laura E.; Fonseca, Kevin; Berenger, Byron M.; Zelyas, Nathan; Tipples, Graham] Alberta Precis Labs, Publ Hlth Lab, Calgary, AB, Canada; [Charlton, Carmen L.; MacDonald, Clayton; Burnes, Laura E.; Schnabl, Kareena; Zelyas, Nathan] Univ Alberta, Dept Lab Med &amp; Pathol, Edmonton, AB, Canada; [Charlton, Carmen L.; Tipples, Graham] Univ Alberta, Li Ka Shing Inst Virol, Edmonton, AB, Canada; [Kanji, Jamil N.] Univ Alberta, Dept Med, Div Infect Dis, Edmonton, AB, Canada; [Plitt, Sabrina S.] Publ Hlth Agcy Canada, Ctr Communicable Dis &amp; Infect Control, Ottawa, ON, Canada; [Kunst, Andrea; Buss, Emily; Schnabl, Kareena] Alberta Precis Labs, Special Chem Lab, Edmonton, AB, Canada; [Fonseca, Kevin] Univ Calgary, Dept Microbiol Immunol &amp; Infect Dis, Calgary, AB, Canada; [Berenger, Byron M.] Univ Calgary, Dept Pathol &amp; Lab Med, Calgary, AB, Canada; [Hu, Jia] Univ Calgary, Dept Community Hlth Sci, Calgary, AB, Canada; [Hu, Jia] Alberta Hlth Serv, Calgary, AB, Canada; [Stokes, William] Univ Calgary, Dept Med, Calgary, AB, Canada; [Tipples, Graham] Univ Alberta, Dept Med Microbiol &amp; Immunol, Edmonton, AB, Canada</t>
  </si>
  <si>
    <t xml:space="preserve">University of Alberta; University of Alberta; University of Alberta; Public Health Agency of Canada; University of Calgary; University of Calgary; University of Calgary; Alberta Health Services (AHS); University of Calgary; University of Calgary; University of Alberta</t>
  </si>
  <si>
    <t xml:space="preserve">Charlton, CL (corresponding author), Alberta Precis Labs, Publ Hlth Lab, Calgary, AB, Canada.;Charlton, CL (corresponding author), Univ Alberta, Dept Lab Med &amp; Pathol, Edmonton, AB, Canada.;Charlton, CL (corresponding author), Univ Alberta, Li Ka Shing Inst Virol, Edmonton, AB, Canada.</t>
  </si>
  <si>
    <t xml:space="preserve">carmen.charlton@aplabs.ca</t>
  </si>
  <si>
    <t xml:space="preserve">Berenger, Byron/M-4761-2019; Zelyas, Nathan/JTD-2678-2023; Charlton, Carmen/JNE-9527-2023</t>
  </si>
  <si>
    <t xml:space="preserve">Charlton, Carmen/0000-0002-9129-5136; Reis, AlessanRSS/0000-0001-8486-7469; Kanji, Jamil/0000-0002-1043-6807; Plitt, Sabrina/0000-0002-3793-3109</t>
  </si>
  <si>
    <t xml:space="preserve">e01361-20</t>
  </si>
  <si>
    <t xml:space="preserve">10.1128/JCM.01361-20</t>
  </si>
  <si>
    <t xml:space="preserve">NX7AG</t>
  </si>
  <si>
    <t xml:space="preserve">WOS:000575858700003</t>
  </si>
  <si>
    <t xml:space="preserve">El-Heneidy, A; Ware, RS; Robson, JM; Cherian, SG; Lambert, SB; Grimwood, K</t>
  </si>
  <si>
    <t xml:space="preserve">El-Heneidy, Asmaa; Ware, Robert S.; Robson, Jennifer M.; Cherian, Sarah G.; Lambert, Stephen B.; Grimwood, Keith</t>
  </si>
  <si>
    <t xml:space="preserve">Respiratory virus detection during the COVID-19 pandemic in Queensland, Australia</t>
  </si>
  <si>
    <t xml:space="preserve">AUSTRALIAN AND NEW ZEALAND JOURNAL OF PUBLIC HEALTH</t>
  </si>
  <si>
    <t xml:space="preserve">COVID-19; respiratory viruses; influenza; non-pharmaceutical interventions; SARS-CoV-2</t>
  </si>
  <si>
    <t xml:space="preserve">HUMAN RHINOVIRUSES; SYNCYTIAL VIRUS; INFLUENZA; CHILDREN; ASTHMA; IMPACT</t>
  </si>
  <si>
    <t xml:space="preserve">Objective: To determine if non-pharmaceutical interventions (NPIs) impacted on respiratory virus detections in Queensland, Australia, during the COVID-19 pandemic year of 2020. Methods: We analysed weekly counts of influenza, human metapneumovirus, parainfluenza, respiratory syncytial virus, rhinovirus, and adenovirus available from a Queensland laboratory network for the year 2020. These were compared with averaged counts from 2015 to 2019. Results: Overall, 686,199 tests were performed. The timing of NPI implementation was associated with a sharp and sustained decline in influenza, where during the typical annual influenza season (weeks 23-40) no cases were detected from 163,296 tests compared with an average of 26.1% (11,844/45,396) of tests positive in 2015-2019. Similar results were observed for human metapneumovirus and parainfluenza. Respiratory syncytial virus detections also declined but increased in weeks 48-52 (5.6%; 562/10,078) to exceed the 2015-2019 average (2.9%; 150/5,018). Rhinovirus detections increased after schools reopened, peaking in weeks 23-27 (57.4%; 36,228/63,115), exceeding the 2017-2019 detections during that period (21.9%; 8,365/38,072). Conclusions: NPIs implemented to control COVID-19 were associated with altered frequency and proportions of respiratory virus detections. Implications for public health: NPIs derived from influenza pandemic plans were associated with profound decreases in influenza detections during 2020.</t>
  </si>
  <si>
    <t xml:space="preserve">[El-Heneidy, Asmaa; Ware, Robert S.; Grimwood, Keith] Griffith Univ, Sch Med &amp; Dent, Gold Coast Campus, Southport, Qld 4222, Australia; [El-Heneidy, Asmaa; Ware, Robert S.; Grimwood, Keith] Griffith Univ, Menzies Hlth Inst Queensland, Gold Coast Campus, Southport, Qld 4222, Australia; [Robson, Jennifer M.; Cherian, Sarah G.] Sullivan Nicolaides Pathol, Dept Microbiol, Bowen Hills, Qld, Australia; [Lambert, Stephen B.] Univ Queensland, Child Hlth Res Ctr, Brisbane, Qld, Australia; [Grimwood, Keith] Gold Coast Hlth, Dept Paediat, Southport, Qld, Australia; [Grimwood, Keith] Gold Coast Hlth, Dept Infect Dis, Southport, Qld, Australia</t>
  </si>
  <si>
    <t xml:space="preserve">Griffith University; Griffith University - Gold Coast Campus; Griffith University; Griffith University - Gold Coast Campus; Sullivan Nicolaides Pathology; University of Queensland; Gold Coast Health; Gold Coast Health</t>
  </si>
  <si>
    <t xml:space="preserve">El-Heneidy, A (corresponding author), Griffith Univ, Sch Med &amp; Dent, Gold Coast Campus, Southport, Qld 4222, Australia.;El-Heneidy, A (corresponding author), Griffith Univ, Menzies Hlth Inst Queensland, Gold Coast Campus, Southport, Qld 4222, Australia.</t>
  </si>
  <si>
    <t xml:space="preserve">a.el-heneidy@griffith.edu.au</t>
  </si>
  <si>
    <t xml:space="preserve">Grimwood, Keith/F-9334-2011; Lambert, Stephen/N-7819-2019; Ware, Robert/B-2024-2014; Lambert, Stephen/B-8348-2008</t>
  </si>
  <si>
    <t xml:space="preserve">Ware, Robert/0000-0002-6129-6736; Lambert, Stephen/0000-0002-2709-193X; Grimwood, Keith/0000-0003-3174-9834; El-Heneidy, Asmaa/0000-0003-4937-1673</t>
  </si>
  <si>
    <t xml:space="preserve">Australian Government Research Training Program</t>
  </si>
  <si>
    <t xml:space="preserve">Australian Government Research Training Program(Australian Government)</t>
  </si>
  <si>
    <t xml:space="preserve">Asmaa El-Heneidy is a recipient of a Higher Degree Research Scholarship from the Australian Government Research Training Program.</t>
  </si>
  <si>
    <t xml:space="preserve">1326-0200</t>
  </si>
  <si>
    <t xml:space="preserve">1753-6405</t>
  </si>
  <si>
    <t xml:space="preserve">AUST NZ J PUBL HEAL</t>
  </si>
  <si>
    <t xml:space="preserve">Aust. N.Z. J. Publ. Health</t>
  </si>
  <si>
    <t xml:space="preserve">10.1111/1753-6405.13168</t>
  </si>
  <si>
    <t xml:space="preserve">YV1AC</t>
  </si>
  <si>
    <t xml:space="preserve">WOS:000707145800001</t>
  </si>
  <si>
    <t xml:space="preserve">Ye, CC; Tian, Y; Huo, DZ; Zhang, T; Zhang, L; Zhao, B; Shen, YF; Jiang, XL; Hu, XC; Zhang, HY; Hao, LP; Li, ZJ; Fang, LQ</t>
  </si>
  <si>
    <t xml:space="preserve">Ye, Chuchu; Tian, Yao; Huo, Dazhu; Zhang, Ting; Zhang, Li; Zhao, Bing; Shen, Yifeng; Jiang, Xinli; Hu, Xuancheng; Zhang, Haiyang; Hao, Lipeng; Li, Zhongjie; Fang, Li-Qun</t>
  </si>
  <si>
    <t xml:space="preserve">Changes in Epidemics of Respiratory Viral Infections Resulted From the COVID-19 Pandemic in Shanghai</t>
  </si>
  <si>
    <t xml:space="preserve">COVID-19; respiratory viral infections; sentinel surveillance</t>
  </si>
  <si>
    <t xml:space="preserve">UNITED-STATES; INFLUENZA; VIRUS</t>
  </si>
  <si>
    <t xml:space="preserve">To investigate the changing patterns of respiratory viral infections within the context of COVID-19 pandemic. The etiological surveillance data of eight respiratory viral pathogens among patients with ARIs in Shanghai between 2013 and 2023 were analyzed to evaluate the dynamic patterns of respiratory viral infections in Shanghai compared to global other regions during pre-pandemic (period 1), pandemic (period 2), and post-pandemic (period 3) periods of COVID-19. In Shanghai and various other global regions, there was a delay of 2-4 months in the peak positive rate of IFV and a reverse seasonality for RSV, HMPV, and HBoV was observed following the relaxation of NPIs. The proportion of patients infected with any of these eight viruses experiencing fever or high fever notably increased. During the entire study period, IFV was consistently identified as the most prevalent virus, with IFV-B as the predominant stain during period 2, and IFV-A regained its dominance following the lifting of NPIs. The proportion of RSV among children significantly increased during period 2 compared to period 1. With the relaxation of NPIs, there has been a resurgence of certain viral pathogens, accompanied by notable alterations in seasonal patterns and the spectrum of viral pathogens.</t>
  </si>
  <si>
    <t xml:space="preserve">[Ye, Chuchu; Zhang, Li; Zhao, Bing; Shen, Yifeng; Hao, Lipeng] Shanghai Pudong New Area Ctr Dis Control &amp; Prevent, Shanghai, Peoples R China; [Tian, Yao; Fang, Li-Qun] Acad Mil Med Sci, State Key Lab Pathogen &amp; Biosecur, Beijing, Peoples R China; [Huo, Dazhu] Chinese Acad Med Sci CAMS &amp; Peking Union Med Coll, Sch Hlth Policy &amp; Management, Beijing, Peoples R China; [Zhang, Ting; Jiang, Xinli; Hu, Xuancheng; Li, Zhongjie] Chinese Acad Med Sci CAMS &amp; Peking Union Med Coll, Sch Populat Med &amp; Publ Hlth, Beijing, Peoples R China; [Zhang, Haiyang] Cent Theater Command Ctr Dis Control &amp; Prevent, Beijing, Peoples R China</t>
  </si>
  <si>
    <t xml:space="preserve">Academy of Military Medical Sciences - China; Chinese Academy of Medical Sciences - Peking Union Medical College; Cancer Institute &amp; Hospital - CAMS; Peking Union Medical College; Chinese Academy of Medical Sciences - Peking Union Medical College; Peking Union Medical College; Cancer Institute &amp; Hospital - CAMS</t>
  </si>
  <si>
    <t xml:space="preserve">Hao, LP (corresponding author), Shanghai Pudong New Area Ctr Dis Control &amp; Prevent, Shanghai, Peoples R China.;Li, ZJ (corresponding author), Chinese Acad Med Sci CAMS &amp; Peking Union Med Coll, Sch Populat Med &amp; Publ Hlth, Beijing, Peoples R China.</t>
  </si>
  <si>
    <t xml:space="preserve">hlpmail@126.com; lizhongjiecdc@163.com</t>
  </si>
  <si>
    <t xml:space="preserve">Ye, Chuchu/Y-6147-2019; Fang, Li-Qun/GWD-0296-2022; Li, Zhongjie/J-1474-2018</t>
  </si>
  <si>
    <t xml:space="preserve">Tian, Yao/0009-0003-9107-5269</t>
  </si>
  <si>
    <t xml:space="preserve">Key Disciplines Program of Shanghai Municipal Health Commission; Pudong New Area Health System Discipline Leader Training Program; Pudong New Area Science and Technology Development-Innovation fund; National Key Research and Development Program of China; CAMS Innovation Fund for Medical Sciences</t>
  </si>
  <si>
    <t xml:space="preserve">Key Disciplines Program of Shanghai Municipal Health Commission; Pudong New Area Health System Discipline Leader Training Program; Pudong New Area Science and Technology Development-Innovation fund; National Key Research and Development Program of China(National Key Research &amp; Development Program of China); CAMS Innovation Fund for Medical Sciences</t>
  </si>
  <si>
    <t xml:space="preserve">This study was supported by Key Disciplines Program of Shanghai Municipal Health Commission; Pudong New Area Health System Discipline Leader Training Program; Pudong New Area Science and Technology Development-Innovation fund; National Key Research and Development Program of China; The CAMS Innovation Fund for Medical Sciences.</t>
  </si>
  <si>
    <t xml:space="preserve">e70034</t>
  </si>
  <si>
    <t xml:space="preserve">10.1002/jmv.70034</t>
  </si>
  <si>
    <t xml:space="preserve">O1H6G</t>
  </si>
  <si>
    <t xml:space="preserve">WOS:001368725400001</t>
  </si>
  <si>
    <t xml:space="preserve">Tehrani, RS; Mohammadjafari, H; Alizadeh, S; Naseroleslami, M; Niya, MHK</t>
  </si>
  <si>
    <t xml:space="preserve">Sadeh Tehrani, Reyhaneh; Mohammadjafari, Hanieh; Alizadeh, Sheida; Naseroleslami, Maryam; Karbalaie Niya, Mohammad Hadi</t>
  </si>
  <si>
    <t xml:space="preserve">The prevalence of 17 common respiratory viruses in patients with respiratory illness but negative for COVID-19: A cross-sectional study</t>
  </si>
  <si>
    <t xml:space="preserve">COVID-19; prevalence; multiplex real-time PCR; respiratory illness; viral infection</t>
  </si>
  <si>
    <t xml:space="preserve">Background and AimsSecond to COVID-19 pandemic, other viral respiratory infections are still important causes of human diseases or co-infections. Hence, the present study was carried out to investigate the common respiratory viruses in patients with respiratory illness diagnosed negative for severe acute respiratory syndrome coronavirus-2 in primary screening.MethodsIn a cross-sectional study, a real-time PCR was carried out using HiTeq. 17 Viro Respiratory pathogen One Step RT-PCR Kit (Genova, Bonda Faravar, Bioluence, Tehran, Iran).ResultsA total of 311 individuals (mean age +/- SD: 48.2 +/- 21.7 years, range: 1-97 years) underwent second PCR. Among these, 161 (51.7%) were female. In total, 55 (17.6%) cases (mean age +/- SD: 45.7 +/- 18.1 years) were found positive for respiratory viruses panel in the second PCR. The HCoV-OC43/HKU1 was in 5.4% (17/311), Flu A in 4.5% (14/311), HCoV-229E/NL63 in 2.8% (9/311), HMPV in 1.9% (6/311), HPiV 1, 2, 3 in 1.2% (4/311), HRSV in 0.9% (3/311), and HAdV in 0.6% (2/311) of the cases studies. Also, co-infection was detected in 4 samples (1.2%). In addition, sore throat (0.028), headache (p = 0.016), and body pain (p = 0.0001) were statistically the most significant symptoms in studied cases.ConclusionAccording to the findings of our study, respiratory virus infections and co-infections were 17.6% and 1.2% frequent, respectively. Interestingly, nearly half of our positive cases (47.2%) were identified by coronaviruses (OC43, E229, NL63, and HKUI), followed by influenza A virus (25.4%). However, for more comprehensive results, we recommend using greater sample size.</t>
  </si>
  <si>
    <t xml:space="preserve">[Sadeh Tehrani, Reyhaneh; Mohammadjafari, Hanieh; Naseroleslami, Maryam] Islamic Azad Univ, Fac Adv Sci &amp; Technol, Dept Cellular &amp; Mol Biol, Tehran Med Sci, Tehran, Iran; [Alizadeh, Sheida] Shiraz Univ Med Sci, Dept Bacteriol &amp; Virol, Shiraz, Iran; [Alizadeh, Sheida; Karbalaie Niya, Mohammad Hadi] Iran Univ Med Sci, Gastrointestinal &amp; Liver Dis Res Ctr, Tehran, Iran; [Karbalaie Niya, Mohammad Hadi] Iran Univ Med Sci, Sch Med, Dept Virol, Tehran, Iran</t>
  </si>
  <si>
    <t xml:space="preserve">Islamic Azad University; Shiraz University of Medical Science; Iran University of Medical Sciences; Iran University of Medical Sciences</t>
  </si>
  <si>
    <t xml:space="preserve">Niya, MHK (corresponding author), Iran Univ Med Sci, Gastrointestinal &amp; Liver Dis Res Ctr, Tehran, Iran.</t>
  </si>
  <si>
    <t xml:space="preserve">Karbalai.mh@iums.ac.ir</t>
  </si>
  <si>
    <t xml:space="preserve">Niya, Mohammad/Q-2861-2019; naseroleslami, maryam/V-8156-2017</t>
  </si>
  <si>
    <t xml:space="preserve">naseroleslami, maryam/0000-0001-9163-7346; Karbalaie Niya, Mohammad Hadi/0000-0002-1364-5743</t>
  </si>
  <si>
    <t xml:space="preserve">Tehran Medical Sciences, Islamic Azad University [IR.IAU.PS.REC.1401.343, IR.IAU.PS.REC.1401.342]; Mehr Hospital personnel, affiliated to Iran University of Medical Sciences, Tehran, Iran; Tehran Medical Sciences, Islamic Azad University, Tehran, Iran</t>
  </si>
  <si>
    <t xml:space="preserve">Tehran Medical Sciences, Islamic Azad University; Mehr Hospital personnel, affiliated to Iran University of Medical Sciences, Tehran, Iran; Tehran Medical Sciences, Islamic Azad University, Tehran, Iran</t>
  </si>
  <si>
    <t xml:space="preserve">The authors would like to appreciate the sincere help provided by Mehr Hospital personnel, affiliated to Iran University of Medical Sciences, Tehran, Iran. This article is based on a dissertation by two MSc students, Hanieh Mohammadjafari and Reyhaneh Sadeh Tehrani (code: IR.IAU.PS.REC.1401.343 and IR.IAU.PS.REC.1401.342) which were financially supported by Tehran Medical Sciences, Islamic Azad University, Tehran, Iran.</t>
  </si>
  <si>
    <t xml:space="preserve">e1986</t>
  </si>
  <si>
    <t xml:space="preserve">10.1002/hsr2.1986</t>
  </si>
  <si>
    <t xml:space="preserve">LR5I4</t>
  </si>
  <si>
    <t xml:space="preserve">WOS:001188537900001</t>
  </si>
  <si>
    <t xml:space="preserve">Karabey, M; Kaya, H; Kaba, K; Ceylan, A; Taskin, Z; Özdemir, M; Feyzioglu, B</t>
  </si>
  <si>
    <t xml:space="preserve">Karabey, Mehmet; Kaya, Havva; Kaba, Kadir; Ceylan, Alperen; Taskin, Zekeriya; Ozdemir, Mehmet; Feyzioglu, Bahadir</t>
  </si>
  <si>
    <t xml:space="preserve">Changing Infection Dynamics with the Pandemic: Distribution of Viral Agents of Respiratory Tract Infections in the Last 5 Years</t>
  </si>
  <si>
    <t xml:space="preserve">MEDITERRANEAN JOURNAL OF INFECTION MICROBES AND ANTIMICROBIALS</t>
  </si>
  <si>
    <t xml:space="preserve">COVID-19; PCR; respiratory viruses; SARS-CoV-2</t>
  </si>
  <si>
    <t xml:space="preserve">INFLUENZA ACTIVITY; SARS-COV-2</t>
  </si>
  <si>
    <t xml:space="preserve">Introduction: The measures taken against Severe acute respiratory syndrome-Coronavirus-2 (SARS-CoV-2) positively impacted the reduction of its transmission. In addition, these measures also significantly decreased the spread of infections caused by other respiratory viruses. In this study, we aimed to determine the frequency of respiratory virus infections, other than SARS-CoV-2, during the Coronavirus disease-2019 (COVID-19) pandemic and investigated their course during both the quarantine and normalization periods.Materials and Methods: Swab samples sent to Necmettin Erbakan University Meram Faculty of Medicine Hospital Medical Microbiology Laboratory between May 2017 and May 2022 to determine the viral agents of respiratory tract infections by polymerase chain reaction (PCR) were retrospectively scanned.Results: A total of 187,240 SARS-CoV-2 PCR tests were performed between April 1, 2020, and May 31, 2020, and 14,773 (9.82%) tests were reported as positive. Based on our observation, the viruses demonstrating a decrease during the pandemic period were influenza A and B, seasonal H1N1, human metapneumovirus, respiratory syncytial virus A and B, and human herpes virus 7. No changes were observed in the infection rates of parvovirus B19, adenovirus, and human rhinovirus.Conclusion: In our study, we observed a serious decline in the cases caused by other respiratory viral agents and the detection rates of these agents during the pandemic period compared to the pre-pandemic period. This can be attributed to the extensive impact of the measures implemented during the COVID-19 pandemic to mitigate the spread of respiratory infections. Our results are a reflection of this situation. We believe that the data obtained from a large number of samples will serve as a guide for managing infections during the current pandemic and for future experiences.</t>
  </si>
  <si>
    <t xml:space="preserve">[Karabey, Mehmet; Kaya, Havva; Ceylan, Alperen; Taskin, Zekeriya; Ozdemir, Mehmet; Feyzioglu, Bahadir] Necmettin Erbakan Univ, Meram Fac Med, Dept Med Microbiol, Konya, Turkiye; [Karabey, Mehmet; Kaya, Havva; Ozdemir, Mehmet; Feyzioglu, Bahadir] Necmettin Erbakan Univ, Meram Fac Med, Dept Med Virol, Konya, Turkiye; [Kaba, Kadir] Necmettin Erbakan Univ, Meram Fac Med, Dept Med Biochem, Konya, Turkiye</t>
  </si>
  <si>
    <t xml:space="preserve">Necmettin Erbakan University; Necmettin Erbakan University; Necmettin Erbakan University</t>
  </si>
  <si>
    <t xml:space="preserve">Karabey, M (corresponding author), Necmettin Erbakan Univ, Meram Fac Med, Dept Med Microbiol, Konya, Turkiye.;Karabey, M (corresponding author), Necmettin Erbakan Univ, Meram Fac Med, Dept Med Virol, Konya, Turkiye.</t>
  </si>
  <si>
    <t xml:space="preserve">karamehmetbey@gmail.com</t>
  </si>
  <si>
    <t xml:space="preserve">KAYA, HAVVA/KUG-8012-2024; Özdemir, Mehmet/B-9092-2011; Karabey, Mehmet/KWT-6088-2024</t>
  </si>
  <si>
    <t xml:space="preserve">Kaya, Havva/0000-0001-8956-7107</t>
  </si>
  <si>
    <t xml:space="preserve">2147-673X</t>
  </si>
  <si>
    <t xml:space="preserve">MEDITERR J INFECT M</t>
  </si>
  <si>
    <t xml:space="preserve">Mediterr. J. Infect. Microbes Antimicrob.</t>
  </si>
  <si>
    <t xml:space="preserve">10.4274/mjima.galenos.2023.23046</t>
  </si>
  <si>
    <t xml:space="preserve">DU2M7</t>
  </si>
  <si>
    <t xml:space="preserve">WOS:001134528100001</t>
  </si>
  <si>
    <t xml:space="preserve">Liu, PC; Xu, MH; Cao, LF; Su, LY; Lu, LJ; Dong, NN; Jia, R; Zhu, XH; Xu, J</t>
  </si>
  <si>
    <t xml:space="preserve">Liu, Pengcheng; Xu, Menghua; Cao, Lingfeng; Su, Liyun; Lu, Lijuan; Dong, Niuniu; Jia, Ran; Zhu, Xunhua; Xu, Jin</t>
  </si>
  <si>
    <t xml:space="preserve">Impact of COVID-19 pandemic on the prevalence of respiratory viruses in children with lower respiratory tract infections in China</t>
  </si>
  <si>
    <t xml:space="preserve">COVID-19; Nonpharmaceutical interventions; Respiratory viruses; Prevalence; Children</t>
  </si>
  <si>
    <t xml:space="preserve">Background The multifaceted non-pharmaceutical interventions (NPIs) taken during the COVID-19 pandemic not only decrease the spreading of the SARS-CoV-2, but have impact on the prevalence of other viruses. This study aimed to explore the prevalence of common respiratory viruses among hospitalized children with lower respiratory tract infections (LRTI) in China during the COVID-19 pandemic. Methods Respiratory specimens were obtained from children with LRTI at Children's Hospital of Fudan University for detection of respiratory syncytial virus (RSV), adenovirus (ADV), parainfluenza virus (PIV) 1 to 3, influenza virus A (FluA), influenza virus B (FluB), human metapneumovirus (MPV) and rhinovirus (RV). The data were analyzed and compared between the year of 2020 (COVID-19 pandemic) and 2019 (before COVID-19 pandemic). Results A total of 7107 patients were enrolled, including 4600 patients in 2019 and 2507 patients in 2020. Compared with 2019, we observed an unprecedented reduction of RSV, ADV, FluA, FluB, and MPV infections in 2020, despite of reopening of schools in June, 2020. However, the RV infection was significantly increased in 2020 and a sharp increase was observed especially after reopening of schools. Besides, the PIV infection showed resurgent characteristic after September of 2020. The mixed infections were significantly less frequent in 2020 compared with the year of 2019. Conclusions The NPIs during the COVID-19 pandemic have great impact on the prevalence of common respiratory viruses in China. Meanwhile, we do need to be cautious of a possible resurgence of some respiratory viruses as the COVID-19 restrictions are relaxed.</t>
  </si>
  <si>
    <t xml:space="preserve">[Liu, Pengcheng; Xu, Menghua; Cao, Lingfeng; Su, Liyun; Lu, Lijuan; Dong, Niuniu; Jia, Ran; Zhu, Xunhua; Xu, Jin] Fudan Univ, Dept Clin Lab, Childrens Hosp, Natl Childrens Med Ctr, 399 Wanyuan Rd, Shanghai 201102, Peoples R China</t>
  </si>
  <si>
    <t xml:space="preserve">Xu, J (corresponding author), Fudan Univ, Dept Clin Lab, Childrens Hosp, Natl Childrens Med Ctr, 399 Wanyuan Rd, Shanghai 201102, Peoples R China.</t>
  </si>
  <si>
    <t xml:space="preserve">jinxu_125@163.com</t>
  </si>
  <si>
    <t xml:space="preserve">jia, ran/GNW-4268-2022; liu, pengcheng/CAI-0997-2022</t>
  </si>
  <si>
    <t xml:space="preserve">AUG 3</t>
  </si>
  <si>
    <t xml:space="preserve">10.1186/s12985-021-01627-8</t>
  </si>
  <si>
    <t xml:space="preserve">TU2TG</t>
  </si>
  <si>
    <t xml:space="preserve">WOS:000680893200001</t>
  </si>
  <si>
    <t xml:space="preserve">Johnson, MG; Strizki, JM; Jensen, E; Cohen, J; Katlama, C; Fishchuk, R; Ponce-de-León, A; Fourie, N; Cheng, CY; McCoy, D; Vesnesky, M; Norice, CT; Zhang, Y; Williams-Diaz, A; Brown, ML; Carmelitano, P; Grobler, JA; Paschke, A; De Anda, C</t>
  </si>
  <si>
    <t xml:space="preserve">Johnson, Matthew G.; Strizki, Julie M.; Jensen, Erin; Cohen, Jonathan; Katlama, Christine; Fishchuk, Roman; Ponce-de-Leon, Alfredo; Fourie, Nyda; Cheng, Chien-Yu; McCoy, Dorothy; Vesnesky, Mary; Norice, Carmelle T.; Zhang, Ying; Williams-Diaz, Angela; Brown, Michelle L.; Carmelitano, Patricia; Grobler, Jay A.; Paschke, Amanda; De Anda, Carisa</t>
  </si>
  <si>
    <t xml:space="preserve">Respiratory virus coinfections during the COVID-19 pandemic: epidemiologic analysis and clinical outcomes from the Phase 2/3 molnupiravir trial (MOVe-OUT)</t>
  </si>
  <si>
    <t xml:space="preserve">COVID-19; molnupiravir; epidemiology; respiratory pathogens</t>
  </si>
  <si>
    <t xml:space="preserve">ANTIVIRAL ACTIVITY; REPLICATION</t>
  </si>
  <si>
    <t xml:space="preserve">This exploratory post hoc analysis assessed the incidence of respiratory viral coinfections and their impact on clinical outcomes in non-hospitalized adults with mild-to-moderate coronavirus disease-2019 (COVID-19) treated with molnupiravir versus placebo for 5 days in the Phase 2/3 MOVe-OUT trial (NCT04575597), which took place in October 2020 to January 2021 (Phase 2, n = 302) and May 2021 to October 2021 (Phase 3, n = 1,433). Among 1,735 total randomized participants, 1,674 had a baseline respiratory pathogen panel (NxTAG Respiratory Pathogen Panel for the Luminex MAGPIX instrument) performed and 69 (4.1%) were coinfected with at least one additional respiratory viral pathogen. Human rhinovirus/enterovirus (39/69, 56.5%) was the most common coinfection detected at baseline. In the modified intention-to-treat population, two participants with coinfecting respiratory RNA viruses were hospitalized and received respiratory interventions through Day 29, and none died; one participant in the molnupiravir group was coinfected with human rhinovirus/enterovirus, and one participant in the placebo group was coinfected with human metapneumovirus. Hospitalization or death occurred in 6.2% and 9.0% of non-coinfected participants in the molnupiravir versus placebo group, respectively, and over 90% did not require respiratory interventions. Most coinfecting respiratory RNA viruses detected at baseline were not detected at the end of therapy in both the molnupiravir and placebo groups. In summary, participants coinfected with severe acute respiratory syndrome coronavirus 2 (SARS-CoV-2) and another respiratory RNA virus were not more likely to be hospitalized or die, or require respiratory interventions, compared to participants who were not coinfected with another respiratory RNA virus at baseline in both groups.IMPORTANCERespiratory viral coinfections are known to occur with coronavirus disease-2019 (COVID-19). In a cohort of non-hospitalized adults with mild-to-moderate COVID-19 treated with molnupiravir versus placebo in the MOVe-OUT trial during October 2020 to October 2021, 4.1% of participants had a documented viral coinfection; human rhinovirus/enterovirus was the most common pathogen detected with the NxTAG Respiratory Pathogen Panel assay. Participants who had a coinfection with severe acute respiratory syndrome coronavirus 2 (SARS-CoV-2) and another respiratory RNA virus were not more likely to have worse clinical outcomes compared to those participants without a viral coinfection, and many coinfecting respiratory RNA viruses were no longer detected at the end of the 5-day treatment period in both groups. Respiratory viral coinfections are known to occur with coronavirus disease-2019 (COVID-19). In a cohort of non-hospitalized adults with mild-to-moderate COVID-19 treated with molnupiravir versus placebo in the MOVe-OUT trial during October 2020 to October 2021, 4.1% of participants had a documented viral coinfection; human rhinovirus/enterovirus was the most common pathogen detected with the NxTAG Respiratory Pathogen Panel assay. Participants who had a coinfection with severe acute respiratory syndrome coronavirus 2 (SARS-CoV-2) and another respiratory RNA virus were not more likely to have worse clinical outcomes compared to those participants without a viral coinfection, and many coinfecting respiratory RNA viruses were no longer detected at the end of the 5-day treatment period in both groups.</t>
  </si>
  <si>
    <t xml:space="preserve">[Johnson, Matthew G.; Strizki, Julie M.; Jensen, Erin; McCoy, Dorothy; Vesnesky, Mary; Norice, Carmelle T.; Zhang, Ying; Williams-Diaz, Angela; Brown, Michelle L.; Carmelitano, Patricia; Grobler, Jay A.; Paschke, Amanda; De Anda, Carisa] Merck &amp; Co Inc, Rahway, NJ 07065 USA; [Cohen, Jonathan] Jadestone Clin Res LLC, Rockville, MD USA; [Katlama, Christine] Sorbonne Univ, Hop Pitie Salpetriere, AP HP, Paris, France; [Katlama, Christine] Univ Toulouse III Paul Sabatier, CHU Toulouse, Toulouse, France; [Fishchuk, Roman] CNE Cent City Clin Hosp, Ivano Frankivsk City Council, Ivano Frankivsk, Ukraine; [Ponce-de-Leon, Alfredo] Inst Nacl Ciencias Med &amp; Nutr Salvador Zubiran, Mexico City, Mexico; [Fourie, Nyda] IATROS Int, Bloemfontein, South Africa; [Cheng, Chien-Yu] Taoyuan Gen Hosp, Taoyuan, Taiwan</t>
  </si>
  <si>
    <t xml:space="preserve">Merck &amp; Company; Merck &amp; Company USA; Sorbonne Universite; Assistance Publique Hopitaux Paris (APHP); Hopital Universitaire Pitie-Salpetriere - APHP; Universite de Toulouse; Universite Toulouse III - Paul Sabatier; CHU de Toulouse; Instituto Nacional de Ciencias Medicas y Nutricion Salvador Zubiran - Mexico</t>
  </si>
  <si>
    <t xml:space="preserve">Johnson, MG (corresponding author), Merck &amp; Co Inc, Rahway, NJ 07065 USA.</t>
  </si>
  <si>
    <t xml:space="preserve">matthew.johnson1@merck.com</t>
  </si>
  <si>
    <t xml:space="preserve">cheng, chien-yu/M-1108-2019; McCoy, Dorothy/GWC-7742-2022</t>
  </si>
  <si>
    <t xml:space="preserve">cheng, chien-yu/0000-0002-1886-0370; Ponce-de-Leon, Alfredo/0000-0003-2640-2916; , Dorothy McCoy/0009-0008-9130-462X</t>
  </si>
  <si>
    <t xml:space="preserve">Merck (Merck Co.); Rahway, NJ, USA</t>
  </si>
  <si>
    <t xml:space="preserve">We thank the patients and their families and caregivers for participating in this study, along with all investigators and site personnel. We thank Jiejun Du, PhD for her statistical expertise. Editorial assistance by Carol Zecca, BS and Khushbu Patel, BS, PharmD of Merck Sharp &amp; Dohme LLC, a subsidiary of Merck &amp; Co., Inc., Rahway, NJ, USA.</t>
  </si>
  <si>
    <t xml:space="preserve">MAR 5</t>
  </si>
  <si>
    <t xml:space="preserve">10.1128/spectrum.03563-23</t>
  </si>
  <si>
    <t xml:space="preserve">KL2D6</t>
  </si>
  <si>
    <t xml:space="preserve">WOS:001154568000001</t>
  </si>
  <si>
    <t xml:space="preserve">Zhang, SA; Liu, XW; Zhao, Y; Wang, P; Yu, R; Xu, PG; Jiang, Y; Cheng, L</t>
  </si>
  <si>
    <t xml:space="preserve">Zhang, Sainan; Liu, Xingwang; Zhao, Yue; Wang, Ping; Yu, Rui; Xu, Peigang; Jiang, Yue; Cheng, Liang</t>
  </si>
  <si>
    <t xml:space="preserve">Microbiome characteristics description of COVID-19 patients based on bulk RNA-seq and scRNA-Seq data</t>
  </si>
  <si>
    <t xml:space="preserve">COMPUTERS IN BIOLOGY AND MEDICINE</t>
  </si>
  <si>
    <t xml:space="preserve">COVID-19; Microbial re-annotation; Cell type-specific microbe; hMPV co-infection</t>
  </si>
  <si>
    <t xml:space="preserve">TUMOR MICROBIOME; DISEASE</t>
  </si>
  <si>
    <t xml:space="preserve">After infection with SARS-CoV-2, the microbiome inside the human body changes dramatically. By re-annotating microbial sequences in bulk RNA-seq and scRNA-seq data of COVID-19 patients, we described the cellular microbial landscape of COVID-19 patients and identified characteristic microorganisms in various tissues. We found that Acinetobacter lwoffii was highly correlated with COVID-19 symptoms and might disrupt some pathways of patients by interacting with the host and other microbes, such as Klebsiella pneumoniae. We further identified characteristic microorganisms specific to cell type, indicating the enrichment preference of some microbes. We also revealed the co-infection of SARS-CoV-2 with hMPV, which may cause the development of COVID-19. Overall, we demonstrated that the presence of intracellular microorganisms in COVID-19 patients and the synergies between microorganisms were strongly correlated with disease progression, providing a theoretical basis for COVID-19 treatment in a certain extent.</t>
  </si>
  <si>
    <t xml:space="preserve">[Zhang, Sainan; Liu, Xingwang; Zhao, Yue; Wang, Ping; Yu, Rui; Cheng, Liang] Harbin Med Univ, Coll Bioinformat Sci &amp; Technol, Harbin 150081, Heilongjiang, Peoples R China; [Cheng, Liang] Harbin Med Univ, NHC Key Lab Mol Probes &amp; Targeted Diag &amp; Therapy, Harbin 150028, Heilongjiang, Peoples R China; [Xu, Peigang] Chongqing Res Inst, Harbin Inst Technol, Chongqing, Peoples R China; [Jiang, Yue] Cipher Gene Ltd, Beijing 100080, Peoples R China</t>
  </si>
  <si>
    <t xml:space="preserve">Harbin Medical University; Harbin Medical University; Harbin Institute of Technology</t>
  </si>
  <si>
    <t xml:space="preserve">Cheng, L (corresponding author), Harbin Med Univ, Coll Bioinformat Sci &amp; Technol, Harbin 150081, Heilongjiang, Peoples R China.;Jiang, Y (corresponding author), Cipher Gene Ltd, Beijing 100080, Peoples R China.</t>
  </si>
  <si>
    <t xml:space="preserve">zhangsainan@hrbmu.edu.cn; xingwangliu@hrbmu.edu.cn; 2021020551@hrbmu.edu.cn; ping.wang@hrbmu.edu.cn; yurui@hrbmu.edu.cn; peigang.xu@hit.edu.cn; yue.jiang.hit@gmail.com; liangcheng@hrbmu.edu.cn</t>
  </si>
  <si>
    <t xml:space="preserve">liu, xingwang/KCY-1277-2024</t>
  </si>
  <si>
    <t xml:space="preserve">Tou-Yan Innovation Team Program of Heilongjiang Province [2019-15]; National Natural Science Foundation of China [61871160, 62172130, 62222104]; Heilongjiang Postdoctoral Fund [LBH- Q20030]</t>
  </si>
  <si>
    <t xml:space="preserve">Tou-Yan Innovation Team Program of Heilongjiang Province; National Natural Science Foundation of China(National Natural Science Foundation of China (NSFC)); Heilongjiang Postdoctoral Fund</t>
  </si>
  <si>
    <t xml:space="preserve">This work was supported by the Tou-Yan Innovation Team Program of Heilongjiang Province (grant number 2019-15 to LC) , National Natural Science Foundation of China (grant numbers 61871160, 62172130, and 62222104 to LC) , and Heilongjiang Postdoctoral Fund (LBH- Q20030 to LC) .</t>
  </si>
  <si>
    <t xml:space="preserve">PERGAMON-ELSEVIER SCIENCE LTD</t>
  </si>
  <si>
    <t xml:space="preserve">THE BOULEVARD, LANGFORD LANE, KIDLINGTON, OXFORD OX5 1GB, ENGLAND</t>
  </si>
  <si>
    <t xml:space="preserve">0010-4825</t>
  </si>
  <si>
    <t xml:space="preserve">1879-0534</t>
  </si>
  <si>
    <t xml:space="preserve">COMPUT BIOL MED</t>
  </si>
  <si>
    <t xml:space="preserve">Comput. Biol. Med.</t>
  </si>
  <si>
    <t xml:space="preserve">10.1016/j.compbiomed.2023.107400</t>
  </si>
  <si>
    <t xml:space="preserve">Biology; Computer Science, Interdisciplinary Applications; Engineering, Biomedical; Mathematical &amp; Computational Biology</t>
  </si>
  <si>
    <t xml:space="preserve">Life Sciences &amp; Biomedicine - Other Topics; Computer Science; Engineering; Mathematical &amp; Computational Biology</t>
  </si>
  <si>
    <t xml:space="preserve">T7RP1</t>
  </si>
  <si>
    <t xml:space="preserve">WOS:001079921300001</t>
  </si>
  <si>
    <t xml:space="preserve">Takashita, E; Kawakami, C; Momoki, T; Saikusa, M; Shimizu, K; Ozawa, H; Kumazaki, M; Usuku, S; Tanaka, N; Okubo, I; Morita, H; Nagata, S; Watanabe, S; Hasegawa, H; Kawaoka, Y</t>
  </si>
  <si>
    <t xml:space="preserve">Takashita, Emi; Kawakami, Chiharu; Momoki, Tomoko; Saikusa, Miwako; Shimizu, Kouhei; Ozawa, Hiroki; Kumazaki, Makoto; Usuku, Shuzo; Tanaka, Nobuko; Okubo, Ichiro; Morita, Hiroko; Nagata, Shiho; Watanabe, Shinji; Hasegawa, Hideki; Kawaoka, Yoshihiro</t>
  </si>
  <si>
    <t xml:space="preserve">Increased risk of rhinovirus infection in children during the coronavirus disease-19 pandemic</t>
  </si>
  <si>
    <t xml:space="preserve">COVID-19; influenza; rhinovirus; SARS-CoV-2; viral interference</t>
  </si>
  <si>
    <t xml:space="preserve">VIRUS; INTERFERENCE; CITY</t>
  </si>
  <si>
    <t xml:space="preserve">Background Coronavirus disease (COVID-19), which is caused by severe acute respiratory syndrome coronavirus 2 (SARS-CoV-2), was first detected in Japan in January 2020 and has spread throughout the country. Previous studies have reported that viral interference among influenza virus, rhinovirus, and other respiratory viruses can affect viral infections at the host and population level. Methods To investigate the impact of COVID-19 on influenza and other respiratory virus infections, we analyzed clinical specimens collected from 2244 patients in Japan with respiratory diseases between January 2018 and September 2020. Results The frequency of influenza and other respiratory viruses (coxsackievirus A and B; echovirus; enterovirus; human coronavirus 229E, HKU1, NL63, and OC43; human metapneumovirus; human parainfluenza virus 1, 2, 3, and 4; human parechovirus; human respiratory syncytial virus; human adenovirus; human bocavirus; human parvovirus B19; herpes simplex virus type 1; and varicella-zoster virus) was appreciably reduced among all patients during the COVID-19 pandemic except for that of rhinovirus in children younger than 10 years, which was appreciably increased. COVID-19 has not spread among this age group, suggesting an increased risk of rhinovirus infection in children. Conclusions Rhinovirus infections should be continuously monitored to understand their increased risk during the COVID-19 pandemic and viral interference with SARS-CoV-2.</t>
  </si>
  <si>
    <t xml:space="preserve">[Takashita, Emi; Morita, Hiroko; Nagata, Shiho; Watanabe, Shinji; Hasegawa, Hideki] Natl Inst Infect Dis, Influenza Virus Res Ctr, Tokyo, Japan; [Kawakami, Chiharu; Momoki, Tomoko; Saikusa, Miwako; Shimizu, Kouhei; Ozawa, Hiroki; Kumazaki, Makoto; Usuku, Shuzo; Tanaka, Nobuko; Okubo, Ichiro] Yokohama City Inst Publ Hlth, Yokohama, Kanagawa, Japan; [Kawaoka, Yoshihiro] Univ Tokyo, Inst Med Sci, Div Virol, Dept Microbiol &amp; Immunol, Tokyo, Japan; [Kawaoka, Yoshihiro] Univ Tokyo, Inst Med Sci, Dept Special Pathogens, Int Res Ctr Infect Dis, Tokyo, Japan; [Kawaoka, Yoshihiro] Univ Wisconsin, Sch Vet Med, Dept Pathobiol Sci, Madison, WI 53706 USA</t>
  </si>
  <si>
    <t xml:space="preserve">National Institute of Infectious Diseases (NIID); University of Tokyo; University of Tokyo; University of Wisconsin System; University of Wisconsin Madison</t>
  </si>
  <si>
    <t xml:space="preserve">Takashita, E (corresponding author), Natl Inst Infect Dis, Influenza Virus Res Ctr, Tokyo, Japan.</t>
  </si>
  <si>
    <t xml:space="preserve">emitaka@nih.go.jp</t>
  </si>
  <si>
    <t xml:space="preserve">Hasegawa, Hideki/C-7978-2014</t>
  </si>
  <si>
    <t xml:space="preserve">Takashita, Emi/0000-0002-9064-4699</t>
  </si>
  <si>
    <t xml:space="preserve">Ministry of Health, Labour and Welfare, Japan [10111307]; Japan Agency for Medical Research and Development (AMED) [JP19fk0108113]; Japan Initiative for Global Research Network on Infectious Diseases (J-GRID) from AMED [JP19fm0108006]; Japan Program for Infectious diseases Research and Infrastructure from AMED [JP20wm0125002]</t>
  </si>
  <si>
    <t xml:space="preserve">Ministry of Health, Labour and Welfare, Japan(Ministry of Health, Labour and Welfare, Japan); Japan Agency for Medical Research and Development (AMED)(Japan Agency for Medical Research and Development (AMED)); Japan Initiative for Global Research Network on Infectious Diseases (J-GRID) from AMED; Japan Program for Infectious diseases Research and Infrastructure from AMED</t>
  </si>
  <si>
    <t xml:space="preserve">This work was supported by a Grant-in-Aid for Emerging and Re-emerging Infectious Diseases from the Ministry of Health, Labour and Welfare, Japan (10111307), by a Research Program on Emerging and Re-emerging Infectious Diseases from the Japan Agency for Medical Research and Development (AMED) (JP19fk0108113), by the Japan Initiative for Global Research Network on Infectious Diseases (J-GRID) from AMED (JP19fm0108006), and by the Japan Program for Infectious diseases Research and Infrastructure from AMED (JP20wm0125002).</t>
  </si>
  <si>
    <t xml:space="preserve">10.1111/irv.12854</t>
  </si>
  <si>
    <t xml:space="preserve">SO8ME</t>
  </si>
  <si>
    <t xml:space="preserve">WOS:000628545600001</t>
  </si>
  <si>
    <t xml:space="preserve">Wolters, F; Grünberg, M; Huber, M; Kessler, HH; Prüller, F; Saleh, L; Fébreau, C; Rahamat-Langendoen, J; Thibault, V; Melchers, WJG</t>
  </si>
  <si>
    <t xml:space="preserve">Wolters, Femke; Grunberg, Maria; Huber, Michael; Kessler, Harald H.; Prueller, Florian; Saleh, Lanja; Febreau, Christine; Rahamat-Langendoen, Janette; Thibault, Vincent; Melchers, Willem J. G.</t>
  </si>
  <si>
    <t xml:space="preserve">European multicenter evaluation of Xpert® Xpress SARS-CoV-2/Flu/RSV test</t>
  </si>
  <si>
    <t xml:space="preserve">COVID-19; influenza; multiplex PCR; pandemic; respiratory syncytial virus; SARS-CoV-2</t>
  </si>
  <si>
    <t xml:space="preserve">RESPIRATORY SYNCYTIAL VIRUS; INFLUENZA; MORTALITY; MORBIDITY</t>
  </si>
  <si>
    <t xml:space="preserve">Rapid diagnostics for severe acute respiratory syndrome coronavirus 2 (SARS-CoV-2) are paramount for reducing the spread of the current pandemic. During additional seasonal epidemics with influenza A/B and respiratory syncytial virus (RSV), the clinical signs and symptoms cannot be distinguished easily from SARS-CoV-2. Therefore, a new assay combining four targets in the form of the new Xpert Xpress SARS-CoV-2/Flu/RSV assay was evaluated. The assay was compared to the Xpert Xpress SARS-CoV-2, Xpert Xpress Flu/RSV, Seegene Flu/RSV, influenza A/B r-gene (R) and RSV/hMPV r-gene (R). A total of 295 nasopharyngeal and throat swabs were tested at four institutes throughout Europe including 72 samples positive for SARS-CoV-2, 65 for influenza A, 47 for influenza B, and 77 for RSV. The sensitivity of the new assay was above 95% for all targets, with the highest for SARS-CoV-2 (97.2%). The overall correlation of SARS-CoV-2 Ct values between Xpert Xpress SARS-CoV-2 assay and Xpert Xpress SARS-CoV-2/Flu/RSV assay was high. The agreement between Ct values above 30 showed the multiplex giving higher Ct values for SARS-CoV-2 on average than the singleplex assay. In conclusion, the new assay is a rapid and reliable alternative with less hands-on time for the detection of not one, but four upper respiratory tract pathogens that may circulate at the same time.</t>
  </si>
  <si>
    <t xml:space="preserve">[Wolters, Femke; Rahamat-Langendoen, Janette; Melchers, Willem J. G.] Radboud Univ Nijmegen, Med Ctr, Dept Med Microbiol, Nijmegen, Netherlands; [Grunberg, Maria; Huber, Michael] Univ Zurich, Inst Med Virol, Zurich, Switzerland; [Kessler, Harald H.] Med Univ Graz, Diagnost &amp; Res Inst Hyg Microbiol &amp; Environm Med, Mol Diagnost Lab, Graz, Austria; [Prueller, Florian] Med Univ Graz, Clin Inst Med &amp; Lab Diagnost, Graz, Austria; [Saleh, Lanja] Univ Zurich, Univ Hosp Zurich, Inst Clin Chem, Zurich, Switzerland; [Febreau, Christine; Thibault, Vincent] Univ Hosp Rennes, Dept Virol, Rennes, France</t>
  </si>
  <si>
    <t xml:space="preserve">Radboud University Nijmegen; University of Zurich; Medical University of Graz; Medical University of Graz; University of Zurich; University Zurich Hospital; CHU Rennes; Universite de Rennes</t>
  </si>
  <si>
    <t xml:space="preserve">Wolters, F (corresponding author), Radboud Univ Nijmegen, Med Ctr, Geert Grootepl Zuid 10, NL-6525 GA Nijmegen, Netherlands.</t>
  </si>
  <si>
    <t xml:space="preserve">Femke.Wolters@radboudumc.nl</t>
  </si>
  <si>
    <t xml:space="preserve">Melchers, Willem/C-8819-2015; Pruller, Florian/P-5326-2014; Huber, Michael/B-8509-2015</t>
  </si>
  <si>
    <t xml:space="preserve">Melchers, Willem/0000-0002-5446-2230; Wolters, Femke/0000-0002-6455-9802; Pruller, Florian/0000-0002-3388-0089; Huber, Michael/0000-0002-0384-0000</t>
  </si>
  <si>
    <t xml:space="preserve">10.1002/jmv.27111</t>
  </si>
  <si>
    <t xml:space="preserve">TZ1RI</t>
  </si>
  <si>
    <t xml:space="preserve">WOS:000658272400001</t>
  </si>
  <si>
    <t xml:space="preserve">Abouelkhair, MA</t>
  </si>
  <si>
    <t xml:space="preserve">Abouelkhair, Mohamed A.</t>
  </si>
  <si>
    <t xml:space="preserve">Non-SARS-CoV-2 genome sequences identified in clinical samples from COVID-19 infected patients: Evidence for co-infections</t>
  </si>
  <si>
    <t xml:space="preserve">COVID-19; Influenza A virus; Human immunodeficiency virus; Co-infections; Bacteria</t>
  </si>
  <si>
    <t xml:space="preserve">DIAGNOSIS</t>
  </si>
  <si>
    <t xml:space="preserve">Background: In December 2019, an ongoing outbreak of pneumonia caused by severe acute respiratory syndrome coronavirus 2 (SARS-CoV-2/ 2019-nCoV) infection was initially reported in Wuhan, Hubei Province, China. Early in 2020, the World Health Organization (WHO) announced a new name for the 2019-nCoV-caused disease: coronavirus disease 2019 (COVID-19) and declared COVID-19 to be a Public Health Emergency of International Concern (PHEIC). Cellular co-infection is a critical determinant of viral fitness and infection outcomes and plays a crucial role in shaping the host immune response to infections. Methods: In this study, 68 public next-generation sequencing data from SARS-CoV-2 infected patients were retrieved from the NCBI Sequence Read Archive database using SRA-Toolkit. Data screening was performed using an alignment-free method based on k-mer mapping and extension, fastv. Taxonomic classification was performed using Kraken 2 on all reads containing one or more virus sequences other than SARS-CoV-2. Results: SARS-CoV-2 was identified in all except three patients. Influenza type A (H7N9) virus, human immunodeficiency virus, rhabdovirus, human metapneumovirus, Human adenovirus, Human herpesvirus 1, coronavirus NL63, parvovirus, simian virus 40, and hepatitis virus genomes sequences were detected in SARS-CoV-2 infected patients. Besides, a very diverse group of bacterial populations were observed in the samples.</t>
  </si>
  <si>
    <t xml:space="preserve">[Abouelkhair, Mohamed A.] Univ Tennessee, Coll Vet Med, Dept Biomed &amp; Diagnost Sci, Knoxville, TN 37996 USA</t>
  </si>
  <si>
    <t xml:space="preserve">University of Tennessee System; University of Tennessee Knoxville; UT Institute of Agriculture</t>
  </si>
  <si>
    <t xml:space="preserve">Abouelkhair, MA (corresponding author), Univ Tennessee, Coll Vet Med, Dept Biomed &amp; Diagnost Sci, Knoxville, TN 37996 USA.</t>
  </si>
  <si>
    <t xml:space="preserve">mabouelk@vols.utk.edu</t>
  </si>
  <si>
    <t xml:space="preserve">Abouelkhair, Mohamed/AAA-4665-2020</t>
  </si>
  <si>
    <t xml:space="preserve">Abouelkhair, Mohamed/0000-0003-0109-6000</t>
  </si>
  <si>
    <t xml:space="preserve">e10246</t>
  </si>
  <si>
    <t xml:space="preserve">10.7717/peerj.10246</t>
  </si>
  <si>
    <t xml:space="preserve">OJ0AU</t>
  </si>
  <si>
    <t xml:space="preserve">WOS:000583631300005</t>
  </si>
  <si>
    <t xml:space="preserve">Jurkowicz, M; Cohen, H; Nemet, I; Keller, N; Leibovitz, E; Sherman, G; Kriger, O; Barkai, G; Mandelboim, M; Stein, M</t>
  </si>
  <si>
    <t xml:space="preserve">Jurkowicz, Menucha; Cohen, Hodaya; Nemet, Ital; Keller, Nathan; Leibovitz, Eugene; Sherman, Gilad; Kriger, Or; Barkai, Galia; Mandelboim, Michal; Stein, Michal</t>
  </si>
  <si>
    <t xml:space="preserve">Epidemiological and clinical characteristics of hospitalized human metapneumovirus patients in Israel, 2015-2021: A retrospective cohort study</t>
  </si>
  <si>
    <t xml:space="preserve">COVID-19; hMPV; hospitalized; respiratory; virus</t>
  </si>
  <si>
    <t xml:space="preserve">RESPIRATORY-TRACT INFECTIONS; CHANGING EPIDEMIOLOGY; INFLUENZA; CHILDREN; VIRUSES</t>
  </si>
  <si>
    <t xml:space="preserve">This study evaluated the epidemiological and clinical characteristics of human metapneumovirus (hMPV) infection among hospitalized patients with acute respiratory infections during 2015-2021 and assessed the impact of the coronavirus disease 2019 pandemic on hMPV infection. A single-center, retrospective cohort study was performed, including pediatric and adult patients with laboratory-confirmed hMPV. Of a total of 990 patients, 253 (25.6%), 105 (10.6%), 121 (12.2%), and 511 (51.6%) belonged to age groups 0-2, 3-17, 18-59, and &gt;= 60 years, respectively. The highest percentage (23.0%) of patients were hospitalized during 2019 and the lowest (4.7%) during 2020. Patients &lt; 18 years experienced high rates of comorbidities (immunodeficiencies: 14.4% and malignancies: 29.9%). Here, 37/39 (94.9%) of all bronchiolitis cases were diagnosed in patients &lt; 2 years, whereas more patients in older age groups were diagnosed with pneumonia. A greater proportion of hMPV patients diagnosed with viral coinfection (mostly respiratory syncytial virus and adenovirus) were &lt;18 years. The highest percentages of intensive care unit admissions were recorded among patients &lt; 18 years. Our findings demonstrate that hMPV is an important cause of morbidity in young children and a possibly underestimated cause of morbidity among older adults.</t>
  </si>
  <si>
    <t xml:space="preserve">[Jurkowicz, Menucha; Mandelboim, Michal] Tel Aviv Univ, Fac Med, Sch Publ Hlth, Dept Epidemiol &amp; Prevent Med, Tel Aviv, Israel; [Jurkowicz, Menucha; Cohen, Hodaya; Nemet, Ital; Mandelboim, Michal] Chaim Sheba Med Ctr, Minist Hlth, Cent Virol Lab, Ramat Gan, Israel; [Jurkowicz, Menucha; Leibovitz, Eugene; Sherman, Gilad; Kriger, Or; Barkai, Galia; Stein, Michal] Chaim Sheba Med Ctr, Edmond &amp; Lily Safra Childrens Hosp, Pediat Infect Dis Unit, Derech Sheba 2, Ramat Gan, Israel; [Keller, Nathan] Ariel Univ, Fac Med, Ariel, Israel; [Stein, Michal] Tel Aviv Univ, Fac Med, Tel Aviv, Israel</t>
  </si>
  <si>
    <t xml:space="preserve">Tel Aviv University; Chaim Sheba Medical Center; Chaim Sheba Medical Center; Ariel University; Tel Aviv University</t>
  </si>
  <si>
    <t xml:space="preserve">Stein, M (corresponding author), Chaim Sheba Med Ctr, Edmond &amp; Lily Safra Childrens Hosp, Pediat Infect Dis Unit, Derech Sheba 2, Ramat Gan, Israel.</t>
  </si>
  <si>
    <t xml:space="preserve">Michal.stein@sheba.health.gov.il</t>
  </si>
  <si>
    <t xml:space="preserve">e29709</t>
  </si>
  <si>
    <t xml:space="preserve">10.1002/jmv.29709</t>
  </si>
  <si>
    <t xml:space="preserve">WQ1R3</t>
  </si>
  <si>
    <t xml:space="preserve">WOS:001256251900063</t>
  </si>
  <si>
    <t xml:space="preserve">Hirotsu, Y; Nagakubo, Y; Maejima, M; Shibusawa, M; Hosaka, K; Sueki, H; Mochizuki, H; Omata, M</t>
  </si>
  <si>
    <t xml:space="preserve">Hirotsu, Yosuke; Nagakubo, Yuki; Maejima, Makoto; Shibusawa, Masahiro; Hosaka, Kazuhiro; Sueki, Hitomi; Mochizuki, Hitoshi; Omata, Masao</t>
  </si>
  <si>
    <t xml:space="preserve">Changes in Viral Dynamics Following the Legal Relaxation of COVID-19 Mitigation Measures in Japan From Children to Adults: A Single Center Study, 2020-2023</t>
  </si>
  <si>
    <t xml:space="preserve">COVID-19; enterovirus; influenza; rhinovirus; RSV</t>
  </si>
  <si>
    <t xml:space="preserve">IntroductionRespiratory infections are an ongoing global health challenge. The COVID-19 pandemic triggered global nonpharmacological measures that reshaped public health. In Japan, the shift from legal to individual discretion in pandemic management started on May 8, 2023. However, it still unknown how the relaxation of measures affects respiratory pathogens across age groups.MethodsWe collected 16,946 samples from 13,526 patients between February 2020 and September 2023, analyzing the circulating respiratory pathogen dynamics using FilmArray respiratory panel.ResultsOur analysis revealed significant increases in the positivity rates of respiratory pathogens across multiple age groups after relaxation. The pathogens including adenovirus, Bordetella pertussis, parainfluenza 2 and parainfluenza 4 showed increased positivity predominantly in children aged under 10 years. Conversely, some pathogens including human metapneumovirus, rhinovirus/enterovirus, and respiratory virus (RSV) increased in broad range of age groups. SARS-CoV-2 positivity rates decreased in children under 10 years but increased in those aged over 60 years.DiscussionAge-stratified analysis reveals a dynamic pattern of circulating pathogen in each age group after relaxation measures. This study provides essential epidemiologic data that can guide strategies to protect different age groups and effectively respond to respiratory infections in post-COVID-19 era.</t>
  </si>
  <si>
    <t xml:space="preserve">[Hirotsu, Yosuke; Nagakubo, Yuki; Mochizuki, Hitoshi] Yamanashi Cent Hosp, Genome Anal Ctr, Kofu, Yamanashi, Japan; [Nagakubo, Yuki; Maejima, Makoto; Shibusawa, Masahiro; Hosaka, Kazuhiro; Sueki, Hitomi] Yamanashi Cent Hosp, Div Microbiol Clin Lab, Kofu, Yamanashi, Japan; [Nagakubo, Yuki] Yamanashi Cent Hosp, Div Genet &amp; Clin Lab, Kofu, Yamanashi, Japan; [Mochizuki, Hitoshi] Yamanashi Cent Hosp, Cent Clin Lab, Kofu, Yamanashi, Japan; [Mochizuki, Hitoshi; Omata, Masao] Yamanashi Cent Hosp, Dept Gastroenterol, Kofu, Yamanashi, Japan; [Omata, Masao] Univ Tokyo, Tokyo, Japan</t>
  </si>
  <si>
    <t xml:space="preserve">Grant-in-Aid for the Genome Research Project from Yamanashi Prefecture; Genome Research Project from Yamanashi Prefecture [JP18K16292, 20H03668, 23H02955]; Japan Society for the Promotion of Science (JSPS) KAKENHI; YASUDA Medical Foundation; Uehara Memorial Foundation; Takeda Science Foundation; Kato Memorial Bioscience Foundation</t>
  </si>
  <si>
    <t xml:space="preserve">Grant-in-Aid for the Genome Research Project from Yamanashi Prefecture; Genome Research Project from Yamanashi Prefecture; Japan Society for the Promotion of Science (JSPS) KAKENHI(Ministry of Education, Culture, Sports, Science and Technology, Japan (MEXT)Japan Society for the Promotion of ScienceGrants-in-Aid for Scientific Research (KAKENHI)); YASUDA Medical Foundation; Uehara Memorial Foundation(Uehara Memorial Foundation); Takeda Science Foundation(Takeda Science Foundation (TSF)); Kato Memorial Bioscience Foundation</t>
  </si>
  <si>
    <t xml:space="preserve">This study was supported by a Grant-in-Aid for the Genome Research Project from Yamanashi Prefecture (to M.O. and Y.H.), the Japan Society for the Promotion of Science (JSPS) KAKENHI Early-Career Scientists JP18K16292 (to Y.H.), a Grant-in-Aid for Scientific Research (B) 20H03668 and 23H02955 (to Y.H.), a Research Grant for Young Scholars (to Y.H.), the YASUDA Medical Foundation (to Y.H.), the Uehara Memorial Foundation (to Y.H.), and Medical Research Grants from the Takeda Science Foundation (to Y.H.) and Kato Memorial Bioscience Foundation (to Y.H.). The authors would like to thank the medical doctors and clinical laboratory technicians in the microbiology laboratories at our institution.</t>
  </si>
  <si>
    <t xml:space="preserve">e13278</t>
  </si>
  <si>
    <t xml:space="preserve">10.1111/irv.13278</t>
  </si>
  <si>
    <t xml:space="preserve">LR0F7</t>
  </si>
  <si>
    <t xml:space="preserve">WOS:001188404700001</t>
  </si>
  <si>
    <t xml:space="preserve">Scott, SJ; Pfotenhauer, B; Weiner, JJ; Hilleshiem, J; Khubbar, M; Bhattacharyya, S</t>
  </si>
  <si>
    <t xml:space="preserve">Scott, Samantha J.; Pfotenhauer, Beth; Weiner, Joshua J.; Hilleshiem, Jordan; Khubbar, Manjeet; Bhattacharyya, Sanjib</t>
  </si>
  <si>
    <t xml:space="preserve">Respiratory Pathogen Coinfections in SARS-CoV-2-Positive Patients in Southeastern Wisconsin: A Retrospective Analysis</t>
  </si>
  <si>
    <t xml:space="preserve">COVID-19; coinfections; polymicrobial infections; public health; respiratory pathogen panel; SARS-CoV-2</t>
  </si>
  <si>
    <t xml:space="preserve">UNITED-STATES; INFLUENZA; COVID-19; VIRUS</t>
  </si>
  <si>
    <t xml:space="preserve">Severe acute respiratory syndrome coronavirus 2 (SARS-CoV-2), the etiological agent of coronavirus disease 2019 (COVID-19), has infected all age groups and disproportionately impacted vulnerable populations globally. Polymicrobial infections may play an important role in the development of SARS-CoV-2 infection in susceptible hosts. These coinfections may increase the risk of disease severity and pose challenges to the diagnosis, treatment, and prognosis of COVID-19. There have been limited SARS-CoV-2 coinfection studies. In this retrospective study, residual nucleic acid extracts from 796 laboratory-confirmed COVID-19-positive specimens, collected between March 2020 and February 2021, were analyzed using a Luminex NxTAG respiratory pathogen panel (RPP). Of these, 745 returned valid results and were used for analysis; 53 (7.1%) were positive for one or more additional pathogens. Six different respiratory viruses were detected among the 53 SARS-CoV-2-positive patient specimens, and 7 of those specimens tested positive for more than one additional respiratory virus. The most common pathogens include rhinovirus/enterovirus (RV/EV) (n = 22, 41.51%), human metapneumovirus (hMPV) (n = 18, 33.9%), and adenovirus (n = 12, 22.6%). Interestingly, there were no SARS-CoV-2 coinfections involving influenza A or influenza B in the study specimens. The median age of the SARS-CoV-2-positive patients with coinfections was 38 years; 53% identified as female, and 47% identified as male. Based on our retrospective analysis, respiratory coinfections associated with SARS-CoV-2-positive patients were more common in young children (&lt;= 9 years old), with white being the most common race. Our findings will likely prompt additional investigation of polymicrobial infection associated with SARS-CoV-2 during seasonal respiratory pathogen surveillance by public health laboratories. IMPORTANCE This examination of respiratory pathogen coinfections in SARS-CoV-2 patients will likely shed light on our understanding of polymicrobial infection associated with COVID-19. Our results should prompt public health authorities to improve seasonal respiratory pathogen surveillance practices and address the risk of disease severity.</t>
  </si>
  <si>
    <t xml:space="preserve">[Scott, Samantha J.; Pfotenhauer, Beth; Weiner, Joshua J.; Hilleshiem, Jordan; Khubbar, Manjeet; Bhattacharyya, Sanjib] City Milwaukee Hlth Dept Lab, Milwaukee, WI 53202 USA</t>
  </si>
  <si>
    <t xml:space="preserve">Bhattacharyya, S (corresponding author), City Milwaukee Hlth Dept Lab, Milwaukee, WI 53202 USA.</t>
  </si>
  <si>
    <t xml:space="preserve">sbhatt@milwaukee.gov</t>
  </si>
  <si>
    <t xml:space="preserve">Scott, Samantha/0000-0002-5662-2226</t>
  </si>
  <si>
    <t xml:space="preserve">Centers for Disease Control and Prevention of the United States Department of Health and Human Services (HHS)</t>
  </si>
  <si>
    <t xml:space="preserve">We acknowledge the critical role of the MHD communicable disease and preparedness team in coordinating respiratory specimen collection, case investigations, and contact tracing. Special thanks to the laboratory staff at MHDL involved in order entry, extraction of nucleic acids, SARS-CoV-2 PCR setup, and result reporting (Katherine Akinyemi, Zorangel Amezquita-Montes, Amy Bauer, Mary Lou Butterbrodt, Raquel Gomez, Tenysha Guzman, Dion Huff, Alexis Ingelbretsen, Brad Krause, Jennifer Lentz, Suzanna Mardanus-Budiono, Rebeca Pinhancos, Jenna Rainey, Addie Skillman, Kathy Windham, Jean Wojnar, and Elizabeth Zembrowski). We thank Noah Leigh for LIS support. We are thankful to Kristin Schieble for the laboratory operations coordination, and we thank Julie Plevak and Nandhakumar Balakrishnan for critical review of the manuscript. We appreciate all of the support from the MHD administration and leadership team during this study. This publication was partially supported by the Centers for Disease Control and Prevention of the United States Department of Health and Human Services (HHS) as part of a financial assistance award towards Epidemiology and Laboratory Capacity for the Prevention and Control of Emerging Infectious Diseases (ELC) COVID-19 Enhancing Detection efforts. The manuscript contents are those of the authors and do not necessarily represent the official views of, nor an endorsement, by the CDC/HHS, or the United States Government.</t>
  </si>
  <si>
    <t xml:space="preserve">e00831-21</t>
  </si>
  <si>
    <t xml:space="preserve">10.1128/Spectrum.00831-21</t>
  </si>
  <si>
    <t xml:space="preserve">WOS:000728629300117</t>
  </si>
  <si>
    <t xml:space="preserve">Veisi, P; Malekshahi, SS; Choobin, H; Jabbari, MR; Torbati, PM</t>
  </si>
  <si>
    <t xml:space="preserve">Veisi, Parsa; Malekshahi, Somayeh Shatizadeh; Choobin, Hamzeh; Jabbari, Mohammad Reza; Torbati, Peyman Mohammadi</t>
  </si>
  <si>
    <t xml:space="preserve">Simultaneous Detection of Multiple Respiratory Viruses Among SARS-CoV-2-Positive and Negative Patients by Multiplex TaqMan One-Step Real-Time PCR</t>
  </si>
  <si>
    <t xml:space="preserve">COVID-19; Coinfection; Respiratory Infection; SARS-CoV-2; Virology</t>
  </si>
  <si>
    <t xml:space="preserve">INFLUENZA-A; CORONAVIRUS; COINFECTION; COVID-19; IRAN</t>
  </si>
  <si>
    <t xml:space="preserve">Background: Severe acute respiratory syndrome coronavirus 2 (SARS-CoV-2) has clinical manifestations similar to other common respiratory viral infections. There are limited data on the frequency of viral respiratory coinfection among patients infected with Objectives: This cross-sectional study investigated the prevalence of multiple respiratory viruses among SARS-CoV-2-positive and negative patients during the coronavirus disease 2019 (COVID-19) pandemic in Iran. Methods: We included oropharyngeal/nasopharyngeal swab specimens of patients suspected of COVID-19 from December 2020 to March 2021. A reliable multiplex TaqMan one-step real-time PCR method was employed to detect 17 viral respiratory pathogens simultaneously. Descriptive analyses were performed to characterize the specimens concerning age, gender, clinical manifestations, and underlying disease. Results: Multiple respiratory viruses with a frequency of 18.78% were detected in 197 studied patients. Human metapneumovirus was the most prevalent pathogen detected in both SARS-CoV-2-positive (n = 7, 7.7%) and negative (n = 7, 6.6%) patients. Moreover, the frequency rate of viral infection was almost the same in both SARS-CoV-2-positive (18.68%) and negative (18.86%) patients. Altogether, there were no differences in baseline demographic characteristics such as age, sex, clinical symptoms, and comorbidities between Conclusions: The data presented here expand our understanding of the epidemiology of multiple types of viral respiratory pathogens in suspected COVID-19 patients. Therefore, simultaneous screening of other viral respiratory pathogens will be helpful for clinicians and researchers interested in the control of viral respiratory tract infections.</t>
  </si>
  <si>
    <t xml:space="preserve">[Veisi, Parsa; Malekshahi, Somayeh Shatizadeh; Choobin, Hamzeh; Jabbari, Mohammad Reza] Tarbiat Modares Univ, Fac Med Sci, Dept Virol, Tehran, Iran; [Torbati, Peyman Mohammadi] Shahid Beheshti Univ Med Sci, Labbafinejad Hosp, Dept Pathol, Tehran, Iran</t>
  </si>
  <si>
    <t xml:space="preserve">Tarbiat Modares University; Shahid Beheshti University Medical Sciences</t>
  </si>
  <si>
    <t xml:space="preserve">Malekshahi, SS (corresponding author), Tarbiat Modares Univ, Fac Med Sci, Dept Virol, Tehran, Iran.</t>
  </si>
  <si>
    <t xml:space="preserve">s.shatizadeh@modares.ac.ir</t>
  </si>
  <si>
    <t xml:space="preserve">malekshahi, Somayeh/N-1987-2019; Jabbari, Mohammad Reza/GNH-4114-2022</t>
  </si>
  <si>
    <t xml:space="preserve">Shatizadeh Malekshahi, Somayeh/0000-0003-2741-2745</t>
  </si>
  <si>
    <t xml:space="preserve">Faculty of Medical Sciences, Research Deputy of Tarbiat Modares University, Tehran, Iran [Med-86141]</t>
  </si>
  <si>
    <t xml:space="preserve">Faculty of Medical Sciences, Research Deputy of Tarbiat Modares University, Tehran, Iran</t>
  </si>
  <si>
    <t xml:space="preserve">The results presented in this paper were part of a student thesis supported by a grant number (no. Med-86141) from the Faculty of Medical Sciences, Research Deputy of Tarbiat Modares University, Tehran, Iran.</t>
  </si>
  <si>
    <t xml:space="preserve">e122090</t>
  </si>
  <si>
    <t xml:space="preserve">10.5812/jjm.122090</t>
  </si>
  <si>
    <t xml:space="preserve">0W9ZN</t>
  </si>
  <si>
    <t xml:space="preserve">WOS:000789376700005</t>
  </si>
  <si>
    <t xml:space="preserve">Li, F; Zhang, YH; Shi, P; Cao, LF; Su, LY; Zhang, YL; Peng, K; Lu, RJ; Tan, WJ; Shen, J</t>
  </si>
  <si>
    <t xml:space="preserve">Li, Fei; Zhang, Yuhan; Shi, Peng; Cao, Linfeng; Su, Liyun; Zhang, Yulan; Peng, Ke; Lu, Roujian; Tan, Wenjie; Shen, Jun</t>
  </si>
  <si>
    <t xml:space="preserve">Epidemiology of Viruses Causing Pediatric Community Acquired Pneumonia in Shanghai During 2010-2020: What Happened Before and After the COVID-19 Outbreak?</t>
  </si>
  <si>
    <t xml:space="preserve">COVID-19; Children; Pneumonia; Respiratory viruses</t>
  </si>
  <si>
    <t xml:space="preserve">SARS-COV-2; CHILDREN</t>
  </si>
  <si>
    <t xml:space="preserve">Introduction Since the global outbreak of COVID-19, there has been a significant reduction in pediatric outpatient and emergency visits for infectious diseases. The purpose of this study was to analyze the changes in respiratory viruses in children with community-acquired pneumonia (CAP) in Shanghai in the past 10 years, especially in the first year after COVID-19. Methods We conducted a retrospective, observational study; the results for eight common respiratory viruses (respiratory syncytial virus (RSV), influenza virus A and B, parainfluenza virus 1-3 (PIV), adenovirus (ADV) and human metapneumovirus) tested by direct fluorescent antibody assays in hospitalized CAP cases in Children's Hospital of Fudan University during 2010-2020 were analyzed. Results Of the 5544 hospitalized CAP patients included in this study, 20.2% (1125/5544) were positive for the eight respiratory viruses. The top three pathogens were RSV, PIV3 and ADV, detected from 9.8% (543/5544), 5.3% (294/5544) and 2.0% (111/5544) of the samples, respectively. RSV had the highest positive rates among children &lt; 2 years old. In 2020, the detection rate of all viruses showed a sharp decline from February to August compared with the previous 9 years. When the Shanghai community reopened in August 2020, the detection rate of eight viruses rebounded significantly in September. Conclusions These eight respiratory viruses, especially RSV and PIV, were important pathogens of CAP in Shanghai children in the past 10 years. The COVID-19 pandemic had a significant impact on the detection rates for eight respiratory viruses in children with CAP in Shanghai.</t>
  </si>
  <si>
    <t xml:space="preserve">[Li, Fei; Zhang, Yuhan; Shi, Peng; Cao, Linfeng; Su, Liyun; Shen, Jun] Fudan Univ, Natl Childrens Med Ctr, Childrens Hosp, Shanghai, Peoples R China; [Zhang, Yulan; Peng, Ke] Chinese Acad Sci, Wuhan Inst Virol, Wuhan, Peoples R China; [Lu, Roujian; Tan, Wenjie] China CDC, Natl Inst Viral Dis Control &amp; Prevent, Beijing, Peoples R China</t>
  </si>
  <si>
    <t xml:space="preserve">Fudan University; Chinese Academy of Sciences; Wuhan Institute of Virology, CAS; Chinese Center for Disease Control &amp; Prevention; National Institute for Viral Disease Control &amp; Prevention, Chinese Center for Disease Control &amp; Prevention</t>
  </si>
  <si>
    <t xml:space="preserve">Shen, J (corresponding author), Fudan Univ, Natl Childrens Med Ctr, Childrens Hosp, Shanghai, Peoples R China.;Tan, WJ (corresponding author), China CDC, Natl Inst Viral Dis Control &amp; Prevent, Beijing, Peoples R China.</t>
  </si>
  <si>
    <t xml:space="preserve">zhang, yuhan/HLH-1222-2023; Tan, Wenjie/JOZ-1821-2023; Peng, Ke/B-7720-2019</t>
  </si>
  <si>
    <t xml:space="preserve">Peng, Ke/0000-0003-0172-8725</t>
  </si>
  <si>
    <t xml:space="preserve">This work was partially supported by the Shanghai Municipal Commission of Health and Family Planning (grant 201840282) and the Shanghai Science and Technology Commission Medical Project (grant 19411972100). The journal's Rapid Service Fee was funded by the authors.</t>
  </si>
  <si>
    <t xml:space="preserve">10.1007/s40121-021-00548-x</t>
  </si>
  <si>
    <t xml:space="preserve">ZA0ZX</t>
  </si>
  <si>
    <t xml:space="preserve">WOS:000710814600002</t>
  </si>
  <si>
    <t xml:space="preserve">Li, ZJ; Yu, LJ; Zhang, HY; Shan, CX; Lu, QB; Zhang, XA; Ren, X; Zhang, CH; Wang, YF; Lin, SH; Xu, Q; Jiang, BG; Jiang, T; Lv, CL; Chen, JJ; Gao, GF; Yang, WZ; Wang, LP; Yang, Y; Fang, LQ; Liu, W</t>
  </si>
  <si>
    <t xml:space="preserve">Li, Zhong-Jie; Yu, Lin-Jie; Zhang, Hai-Yang; Shan, Chun-Xi; Lu, Qing-Bin; Zhang, Xiao-Ai; Ren, Xiang; Zhang, Cui-Hong; Wang, Yi-Fei; Lin, Sheng-Hong; Xu, Qiang; Jiang, Bao-Gui; Jiang, Tao; Lv, Chen-Long; Chen, Jin-Jin; Gao, George F.; Yang, Wei-Zhong; Wang, Li-Ping; Yang, Yang; Fang, Li-Qun; Liu, Wei</t>
  </si>
  <si>
    <t xml:space="preserve">Chinese Ctr Dis Control Prevention</t>
  </si>
  <si>
    <t xml:space="preserve">Broad Impacts of Coronavirus Disease 2019 (COVID-19) Pandemic on Acute Respiratory Infections in China: An Observational Study</t>
  </si>
  <si>
    <t xml:space="preserve">COVID-19; acute respiratory infection; nonpharmaceutical interventions; China</t>
  </si>
  <si>
    <t xml:space="preserve">VIRUS; TRAVEL</t>
  </si>
  <si>
    <t xml:space="preserve">Background. To combat the coronavirus disease 2019 (COVID-19) pandemic, nonpharmaceutical interventions (NPIs) were implemented worldwide, which impacted a broad spectrum of acute respiratory infections (ARIs). Methods. Etiologically diagnostic data from 142 559 cases with ARIs, who were tested for 8 viral pathogens (influenza virus [IFV], respiratory syncytial virus [RSV], human parainfluenza virus [HPIV], human adenovirus [HAdV], human metapneumovirus [HMPV], human coronavirus [HCoV], human bocavirus [HBoV], and human rhinovirus [HRV]) between 2012 and 2021, were analyzed to assess the changes in respiratory infections in China during the first COVID-19 pandemic year compared with pre-pandemic years. Results. Test-positive rates of all respiratory viruses decreased during 2020, compared to the average levels during 2012-2019, with changes ranging from -17.2% for RSV to -87.6% for IFV. Sharp decreases mostly occurred between February and August when massive NPIs remained active, although HRV rebounded to the historical level during the summer. While IFV and HMPV were consistently suppressed year-round, RSV, HPIV, HCoV, HRV, and HBoV resurged and went beyond historical levels during September 2020-January 2021, after NPIs were largely relaxed and schools reopened. Resurgence was more prominent among children &lt;18 years and in northern China. These observations remain valid after accounting for seasonality and long-term trend of each virus. Conclusions. Activities of respiratory viral infections were reduced substantially in the early phases of the COVID-19 pandemic, and massive NPIs were likely the main driver. Lifting of NPIs can lead to resurgence of viral infections, particularly in children.</t>
  </si>
  <si>
    <t xml:space="preserve">[Li, Zhong-Jie; Ren, Xiang; Zhang, Cui-Hong; Wang, Yi-Fei; Lin, Sheng-Hong; Wang, Li-Ping] Chinese Ctr Dis Control &amp; Prevent, Div Infect Dis, Key Lab Surveillance &amp; Early Warning Infect Dis, Beijing, Peoples R China; [Yu, Lin-Jie; Zhang, Hai-Yang; Shan, Chun-Xi; Zhang, Xiao-Ai; Xu, Qiang; Jiang, Bao-Gui; Jiang, Tao; Lv, Chen-Long; Chen, Jin-Jin; Fang, Li-Qun; Liu, Wei] Beijing Inst Microbiol &amp; Epidemiol, State Key Lab Pathogen &amp; Biosecur, 20 Dong Da St, Beijing 100071, Peoples R China; [Zhang, Hai-Yang] Ctr Dis Control &amp; Prevent Cent Theater Command, Beijing, Peoples R China; [Lu, Qing-Bin] Peking Univ, Sch Publ Hlth, Dept Laboratorial Sci &amp; Technol, Beijing, Peoples R China; [Gao, George F.; Yang, Wei-Zhong] Chinese Ctr Dis Control &amp; Prevent, Beijing, Peoples R China; [Yang, Yang] Univ Florida, Coll Publ Hlth &amp; Hlth Profess, Dept Biostat, Gainesville, FL USA; [Yang, Yang] Univ Florida, Emerging Pathogens Inst, Gainesville, FL USA</t>
  </si>
  <si>
    <t xml:space="preserve">Chinese Center for Disease Control &amp; Prevention; Beijing Institute of Microbiology &amp; Epidemiology; Peking University; Chinese Center for Disease Control &amp; Prevention; State University System of Florida; University of Florida; State University System of Florida; University of Florida</t>
  </si>
  <si>
    <t xml:space="preserve">Liu, W (corresponding author), Beijing Inst Microbiol &amp; Epidemiol, State Key Lab Pathogen &amp; Biosecur, 20 Dong Da St, Beijing 100071, Peoples R China.</t>
  </si>
  <si>
    <t xml:space="preserve">liuwei@bmi.ac.cn</t>
  </si>
  <si>
    <t xml:space="preserve">Li, Zhongjie/J-1474-2018; Zhang, Hai-Yang/AAU-3845-2021; Zhang, Xiao/D-9084-2019; Wang, Liping/B-2827-2012; liu, li/HGC-0900-2022; Tao, Jiang/AAE-6623-2019; Gao, George/ABD-5229-2021; Jiang, Baogui/ABE-5439-2021; Fang, Li-Qun/GWD-0296-2022</t>
  </si>
  <si>
    <t xml:space="preserve">Tao, Jiang/0000-0003-1908-2926; Zhang, Xiao-Ai/0000-0002-9505-1307; Liu, Wei/0009-0001-6937-2430; ren, xiang/0000-0001-5020-5838; Liu, Wei/0000-0002-9302-8170</t>
  </si>
  <si>
    <t xml:space="preserve">China Mega-Project on Infectious Disease Prevention [2018ZX10713002, 2018ZX10713001, 2017ZX10103004]; National Natural Science Funds of China [81825019, 91846302]; Capital's Funds for Health Improvement and Research [2021-1G-4271]; US National Institutes of Health of China [R56 AI148284, R01 AI139761]</t>
  </si>
  <si>
    <t xml:space="preserve">China Mega-Project on Infectious Disease Prevention; National Natural Science Funds of China(National Natural Science Foundation of China (NSFC)); Capital's Funds for Health Improvement and Research; US National Institutes of Health of China(United States Department of Health &amp; Human ServicesNational Institutes of Health (NIH) - USA)</t>
  </si>
  <si>
    <t xml:space="preserve">This work was supported by grants from the China Mega-Project on Infectious Disease Prevention (grant numbers 2018ZX10713002, 2018ZX10713001 and 2017ZX10103004), the National Natural Science Funds of China (grant numbers 81825019 and 91846302), Capital's Funds for Health Improvement and Research (grant numbers 2021-1G-4271), and the US National Institutes of Health of China (grant numbers R56 AI148284 and R01 AI139761).</t>
  </si>
  <si>
    <t xml:space="preserve">E1054</t>
  </si>
  <si>
    <t xml:space="preserve">E1062</t>
  </si>
  <si>
    <t xml:space="preserve">10.1093/cid/ciab942</t>
  </si>
  <si>
    <t xml:space="preserve">MAR 2022</t>
  </si>
  <si>
    <t xml:space="preserve">WOS:000769671700001</t>
  </si>
  <si>
    <t xml:space="preserve">Nam, EJ; Kim, DJ; Ham, JY; Song, KE; Lee, NY</t>
  </si>
  <si>
    <t xml:space="preserve">Nam, Eon Jeong; Kim, Dong Ja; Ham, Ji Yeon; Song, Kyung Eun; Lee, Nan Young</t>
  </si>
  <si>
    <t xml:space="preserve">Recent Changes in the Human Metapneumovirus Outbreak at a University Hospital in Korea</t>
  </si>
  <si>
    <t xml:space="preserve">COVID-19 pandemic; human metapneumovirus; altered distribution</t>
  </si>
  <si>
    <t xml:space="preserve">RESPIRATORY SYNCYTIAL VIRUS; PARAINFLUENZA VIRUS; INFECTIONS; INFLUENZA; EPIDEMIOLOGY; PATTERNS; CHILDREN; IMPACT; TIME</t>
  </si>
  <si>
    <t xml:space="preserve">Background: Although the detection of respiratory viruses other than severe acute respiratory syndrome corona -virus 2 (SARS-CoV-2) was significantly reduced because of quarantine due to the coronavirus disease (COVID-19) pandemic, an epidemic of several viruses was reported unexpectedly. We also detected a change in the pattern of human metapneumovirus (HMPV) outbreak compared to that before the COVID-19 pandemic. Therefore, the authors intended to identify the incidence and altered distribution pattern of the HMPV outbreak and provide useful information for clinical practice.Methods: This retrospective study investigated the incidence and distribution of HMPV from March 2020 to December 2022 during the COVID-19 pandemic. Detection of respiratory microorganisms was performed by multi-plex polymerase chain reaction using a commercial kit and FilmArray assay.Results: The overall incidence of at least one respiratory microorganism was 50.3% (1,152/2,290). HMPV was not detected between March 2020 and June 2022. However, it was suddenly detected in July 2022 and continued for approximately five months until November 2022. In particular, the detection rate of HMPV was high in September and October 2022, accounting for approximately 76.1% (51/67) of the total HMPV-positive cases. Seasonally, 92.5% (62/67) of HMPV cases were detected in autumn, while the rest of the cases were detected in summer. The HMPV detection rate, according to the age group, was highest in group 4 (3 -6 years) at 7.4% (27/367), followed by group 3 (4 months to 2 years) at 3.6% (31/861). In HMPV-positive cases, the rate of more than two respiratory pathogens was 46.3% (31/67). An analysis of co-infecting pathogens showed that HMPV with rhinovirus A/B/C/ enteroviruses accounted for the highest percentage (51.6%), followed by HMPV with respiratory syncytial virus (48.4%).Conclusions: The COVID-19 pandemic has caused several changes in our lives. This study confirmed that the sea-sonal distribution of HMPV was different from that before the COVID-19 pandemic. Therefore, it can be as-sumed that the distribution of other respiratory microorganisms could have changed and it appears that changes could occur in previously known viral epidemiology. Clinicians should therefore be alert to this possibility. (Clin. Lab. 2023;69:1708-1714. DOI: 10.7754/Clin.Lab.2023.230216)</t>
  </si>
  <si>
    <t xml:space="preserve">[Nam, Eon Jeong] Kyungpook Natl Univ, Sch Med, Dept Internal Med, Div Rheumatol, Daegu 41404, South Korea; [Kim, Dong Ja] Kyungpook Natl Univ, Sch Med, Dept Forens Med, Daegu, South Korea; [Ham, Ji Yeon; Song, Kyung Eun; Lee, Nan Young] Kyungpook Natl Univ, Sch Med, Dept Clin Pathol, Daegu, South Korea; [Ham, Ji Yeon; Song, Kyung Eun; Lee, Nan Young] Kyungpook Natl Univ, Chilgok Hosp, Dept Lab Med, Daegu, South Korea; [Lee, Nan Young] Kyungpook Natl Univ, Dept Lab Med, Chilgok Hosp, 807 Hoguk Ro, Daegu 41404, South Korea</t>
  </si>
  <si>
    <t xml:space="preserve">Kyungpook National University (KNU); Kyungpook National University (KNU); Kyungpook National University (KNU); Kyungpook National University (KNU); Kyungpook National University (KNU)</t>
  </si>
  <si>
    <t xml:space="preserve">Lee, NY (corresponding author), Kyungpook Natl Univ, Dept Lab Med, Chilgok Hosp, 807 Hoguk Ro, Daegu 41404, South Korea.</t>
  </si>
  <si>
    <t xml:space="preserve">leenanyoung70@gmail.com</t>
  </si>
  <si>
    <t xml:space="preserve">Ham, Ji Yeon/0000-0002-7638-0658</t>
  </si>
  <si>
    <t xml:space="preserve">Biomedical Research Institute grant; Kyungpook National University Hospital (2021)</t>
  </si>
  <si>
    <t xml:space="preserve">This work was supported by Biomedical Research Institute grant, Kyungpook National University Hospital (2021).</t>
  </si>
  <si>
    <t xml:space="preserve">10.7754/Clin.Lab.2023.230216</t>
  </si>
  <si>
    <t xml:space="preserve">X2KA8</t>
  </si>
  <si>
    <t xml:space="preserve">WOS:001096784100020</t>
  </si>
  <si>
    <t xml:space="preserve">Chen, HH; Chen, JP; Nguyen, H</t>
  </si>
  <si>
    <t xml:space="preserve">Chen, Haihua; Chen, Jiangping; Nguyen, Huyen</t>
  </si>
  <si>
    <t xml:space="preserve">Demystifying COVID-19 publications: institutions, journals, concepts, and topics</t>
  </si>
  <si>
    <t xml:space="preserve">JOURNAL OF THE MEDICAL LIBRARY ASSOCIATION</t>
  </si>
  <si>
    <t xml:space="preserve">COVID-19 pandemic; CORD-19 dataset; global research roadmap; data analytics; topic modeling</t>
  </si>
  <si>
    <t xml:space="preserve">EVOLUTION</t>
  </si>
  <si>
    <t xml:space="preserve">Objective: We analyzed the COVID-19 Open Research Dataset (CORD-19) to understand leading research institutions, collaborations among institutions, major publication venues, key research concepts, and topics covered by pandemic related research. Methods: We conducted a descriptive analysis of authors' institutions and relationships, automatic content extraction of key words and phrases from titles and abstracts, and topic modeling and evolution. Data visualization techniques were applied to present the results of the analysis. Results: We found that leading research institutions on COVID-19 included the Chinese Academy of Sciences, the US National Institutes of Health, and the University of California. Research studies mostly involved collaboration among different institutions at national and international levels. In addition to bioRxiv, major publication venues included journals such as The BMJ, PLOS One, Journal of Virology, and The Lancet. Key research concepts included the coronavirus, acute respiratory impairments, health care, and social distancing. The ten most popular topics were identified through topic modeling and included human metapneumovirus and livestock, clinical outcomes of severe patients, and risk factors for higher mortality rate. Conclusion: Data analytics is a powerful approach for quickly processing and understanding large-scale datasets like CORD-19. This approach could help medical librarians, researchers, and the public understand important characteristics of COVID-19 research and could be applied to the analysis of other large datasets.</t>
  </si>
  <si>
    <t xml:space="preserve">[Chen, Haihua; Chen, Jiangping; Nguyen, Huyen] Univ North Texas, Dept Informat Sci, Denton, TX 76203 USA</t>
  </si>
  <si>
    <t xml:space="preserve">University of North Texas System; University of North Texas Denton</t>
  </si>
  <si>
    <t xml:space="preserve">Chen, HH (corresponding author), Univ North Texas, Dept Informat Sci, Denton, TX 76203 USA.</t>
  </si>
  <si>
    <t xml:space="preserve">haihua.chen@unt.edu; jiangping.chen@unt.edu; huyennguyen5@my.unt.edu</t>
  </si>
  <si>
    <t xml:space="preserve">Chen, Jiangping/0000-0002-7016-4583; Chen, Haihua/0000-0002-7088-9752</t>
  </si>
  <si>
    <t xml:space="preserve">MEDICAL LIBRARY ASSOC</t>
  </si>
  <si>
    <t xml:space="preserve">CHICAGO</t>
  </si>
  <si>
    <t xml:space="preserve">65 EAST WACKER PLACE, STE 1900, CHICAGO, IL 60601-7298 USA</t>
  </si>
  <si>
    <t xml:space="preserve">1536-5050</t>
  </si>
  <si>
    <t xml:space="preserve">J MED LIBR ASSOC</t>
  </si>
  <si>
    <t xml:space="preserve">J. Med. Libr. Assoc.</t>
  </si>
  <si>
    <t xml:space="preserve">10.5195/jmla.2021.1141</t>
  </si>
  <si>
    <t xml:space="preserve">Information Science &amp; Library Science</t>
  </si>
  <si>
    <t xml:space="preserve">WD8RN</t>
  </si>
  <si>
    <t xml:space="preserve">WOS:000705202000007</t>
  </si>
  <si>
    <t xml:space="preserve">Vila, J; Lera, E; Andrés, C; Piñana, M; Rello-Saltor, V; Tobeña-Rué, M; Balcells, J; Benítez-Díaz, Z; Aller, MB; Muñoz, R; Vázquez, A; Rodrigo, C; Soler-Palacín, P; Antón, A</t>
  </si>
  <si>
    <t xml:space="preserve">Vila, Jorgina; Lera, Esther; Andres, Cristina; Pinana, Maria; Rello-Saltor, Victoria; Tobena-Rue, Marc; Balcells, Joan; Benitez-Diaz, Zaira; Beatriz Aller, Marta; Munoz, Rosario; Vazquez, Ana; Rodrigo, Carlos; Soler-Palacin, Pere; Anton, Andres</t>
  </si>
  <si>
    <t xml:space="preserve">The burden of non-SARS-CoV2 viral lower respiratory tract infections in hospitalized children in Barcelona (Spain): A long-term, clinical, epidemiologic and economic study</t>
  </si>
  <si>
    <t xml:space="preserve">cost of illness; global burden of disease; hospitalization; respiratory tract infections; viruses</t>
  </si>
  <si>
    <t xml:space="preserve">HUMAN METAPNEUMOVIRUS; SYNCYTIAL VIRUS; GLOBAL BURDEN; RHINOVIRUS; CATALONIA; INFLUENZA; CARE</t>
  </si>
  <si>
    <t xml:space="preserve">BackgroundViral lower respiratory tract infections (LRTI) are the leading cause of hospitalization in children. In Catalonia (Spain), information is scarce about the burden of viral LRTIs in paediatric hospitalizations. The aim of this study is to describe epidemiological, clinical, virological and economic features of paediatric hospitalizations due to viral LRTI. MethodsFrom October 2012 to December 2020, children aged &lt;16 years admitted to a tertiary paediatric hospital in Catalonia (Spain) with confirmed viral LRTI were included in the study. Virus seasonality, prevalence, age and sex distribution, clinical characteristics, hospital costs and bed occupancy rates were determined. ResultsA total of 3,325 children were included (57.17% male, 9.44% with comorbidities) accounting for 4056 hospitalizations (32.47% &lt;= 12 months): 53.87% with wheezing/asthma, 37.85% with bronchiolitis and 8.28% with pneumonia. The most common virus was respiratory syncytial virus (RSV) (52.59%). Influenza A was associated with pneumonia (odds ratio [OR] 7.75) and caused longer hospitalizations (7 +/- 31.58 days), while RSV was associated with bronchiolitis (OR 6.62) and was the most frequent reason for admission to the paediatric intensive care unit (PICU) (11.23%) and for respiratory support (78.76%). Male sex, age &lt;= 12 months, chronic conditions and bronchiolitis significantly increased the odds of PICU admission. From October to May, viral LRTIs accounted for 12.36% of overall hospital bed days. The total hospitalization cost during the study period was euro16,603,415. ConclusionsViral LRTIs are an important cause of morbidity, hospitalization and PICU admission in children. The clinical burden is associated with significant bed occupancy and health-care costs, especially during seasonal periods.</t>
  </si>
  <si>
    <t xml:space="preserve">[Vila, Jorgina; Rello-Saltor, Victoria; Tobena-Rue, Marc] Hosp Univ Vall dHebron, Paediat Hosp Med, Dept Paediat, Barcelona, Spain; [Vila, Jorgina; Lera, Esther; Tobena-Rue, Marc; Balcells, Joan; Rodrigo, Carlos; Soler-Palacin, Pere] Univ Autonoma Barcelona, Fac Med, Dept Paediat Obstet &amp; Gynecol, Prevent Med &amp; Publ Hlth, Barcelona, Spain; [Vila, Jorgina; Soler-Palacin, Pere] Vall dHebron Res Inst, Infect Immunocompromised Paediat Patients, Barcelona, Spain; [Lera, Esther] Hosp Univ Vall dHebron, Dept Paediat, Paediat Emergency Unit, Barcelona, Spain; [Andres, Cristina; Pinana, Maria; Anton, Andres] Hosp Univ Vall dHebron, Microbiol Dept, Resp Viruses Unit, Virol Sect, Barcelona, Spain; [Balcells, Joan] Hosp Univ Vall dHebron, Dept Paediat, Paediat Crit Care Unit, Barcelona, Spain; [Benitez-Diaz, Zaira; Beatriz Aller, Marta; Munoz, Rosario] Hosp Univ Vall dHebron, Dept Informat Syst &amp; Decis Support, Barcelona, Spain; [Benitez-Diaz, Zaira; Beatriz Aller, Marta; Munoz, Rosario] Vall dHebron Res Inst, Hlth Serv Res Grp, Barcelona, Spain; [Vazquez, Ana] Univ Autonoma Barcelona, Dept Appl Stat, Barcelona, Spain; [Rodrigo, Carlos] Hosp Univ Germans Trias I Pujol, Dept Paediat, Barcelona, Spain; [Rodrigo, Carlos] Germans Trias I Pujol Res Inst, Barcelona, Spain; [Soler-Palacin, Pere] Hosp Univ Vall dHebron, Dept Paediat, Paediat Infect Dis &amp; Immunodeficiencies Unit, Barcelona, Spain</t>
  </si>
  <si>
    <t xml:space="preserve">Hospital Universitari Vall d'Hebron; University of Barcelona; Autonomous University of Barcelona; Autonomous University of Barcelona; Hospital Universitari Vall d'Hebron; Vall d'Hebron Institut de Recerca (VHIR); Hospital Universitari Vall d'Hebron; Hospital Universitari Vall d'Hebron; Hospital Universitari Vall d'Hebron; Hospital Universitari Vall d'Hebron; Autonomous University of Barcelona; Hospital Universitari Vall d'Hebron; Vall d'Hebron Institut de Recerca (VHIR); Autonomous University of Barcelona; Hospital Germans Trias i Pujol; Hospital Universitari Vall d'Hebron</t>
  </si>
  <si>
    <t xml:space="preserve">Soler-Palacín, P (corresponding author), Hosp Univ Vall dHebron, Dept Paediat, Vall dHebron Barcelona Hosp Campus, Barcelona 08035, Spain.</t>
  </si>
  <si>
    <t xml:space="preserve">Piñana, María/GWC-6136-2022; Vila, Jorgina/ITV-2504-2023; BALCELLS, JOAN/AEV-0277-2022; Rodrigo, Carlos/F-7602-2017; Anton Pagarolas, Andres/B-3308-2011</t>
  </si>
  <si>
    <t xml:space="preserve">Andres Verges, Cristina/0000-0002-3200-0895; Rodrigo, Carlos/0000-0003-1140-2585; Pinana, Maria/0000-0002-4766-2613; Anton Pagarolas, Andres/0000-0002-1476-0815</t>
  </si>
  <si>
    <t xml:space="preserve">Health Research Fund, the Spanish Ministry of Economy and Competitiveness [FIS PI18/00685, FIS PI14/01838]; Spanish Network for Research in Infectious Diseases [REIPIRD16/0016/0003]; Spanish National R+D+I Plan 2008-2011; Carlos III Health Institute; European Regional Development Fund; Sanofi</t>
  </si>
  <si>
    <t xml:space="preserve">Health Research Fund, the Spanish Ministry of Economy and Competitiveness; Spanish Network for Research in Infectious Diseases; Spanish National R+D+I Plan 2008-2011; Carlos III Health Institute(Instituto de Salud Carlos III); European Regional Development Fund(European Union (EU)); Sanofi</t>
  </si>
  <si>
    <t xml:space="preserve">Health Research Fund, the Spanish Ministry of Economy and Competitiveness, Grant/Award Numbers: FIS PI18/00685, FIS PI14/01838;Spanish Network for Research in Infectious Diseases, Grant/Award Number: REIPIRD16/0016/0003; Spanish National R+D+I Plan 2008-2011; Carlos III Health Institute; European Regional Development Fund; Sanofi</t>
  </si>
  <si>
    <t xml:space="preserve">10.1111/irv.13085</t>
  </si>
  <si>
    <t xml:space="preserve">8K3AM</t>
  </si>
  <si>
    <t xml:space="preserve">WOS:000900712900001</t>
  </si>
  <si>
    <t xml:space="preserve">Talbot, HK; Shepherd, BE; Crowe, JE; Griffin, MR; Edwards, KM; Podsiad, AB; Tollefson, SJ; Wright, PF; Williams, JV</t>
  </si>
  <si>
    <t xml:space="preserve">Talbot, H. Keipp; Shepherd, Bryan E.; Crowe, James E., Jr.; Griffin, Marie R.; Edwards, Kathryn M.; Podsiad, Amy B.; Tollefson, Sharon J.; Wright, Peter F.; Williams, John V.</t>
  </si>
  <si>
    <t xml:space="preserve">The Pediatric Burden of Human Coronaviruses Evaluated for Twenty Years</t>
  </si>
  <si>
    <t xml:space="preserve">coronavirus; viral respiratory infections; bronchiolitis; croup; otitis media</t>
  </si>
  <si>
    <t xml:space="preserve">RESPIRATORY-TRACT DISEASE; POLYMERASE-CHAIN-REACTION; OTHERWISE HEALTHY INFANTS; HUMAN METAPNEUMOVIRUS; YOUNG-CHILDREN; INFECTIONS; VIRUS; IDENTIFICATION; RHINOVIRUS; PNEUMONIA</t>
  </si>
  <si>
    <t xml:space="preserve">Background: The epidemiology of human coronaviruses (HCoVs) has not been established using reverse transcription polymerase chain reaction techniques in a specimen collection that spans decades. Methods: We used real-time RT-PCR for 3 HCoVs, HCoV 229E, OC43, and NL63, to test nasal wash specimens that had been obtained from a cohort of children &lt;5 years of age with upper or lower respiratory infection (URI, LRI) who were comprehensively followed during the period from 1977 to 2001. Prospectively collected clinical data and archival samples were analyzed. Results: HCoV was detected in 92/1854 (5.0%) of available samples with no known viral etiology of which 9% were 229E, 59% OC43, and 33% NL63. This represented 10/119 (8.4%) of LRI samples and 82/1735 (4.7%) of URI samples. HCoV was not detected every year, but occurred episodically. The recently described HCoV-NL63 was detected as early as 1981. HCoV was associated with 11.4 LRI episodes/1000 child-years &lt;5 years of age (all in children &lt;2 years of age) and 67.3 URI episodes/1000 child-years &lt;5 years of age. Conclusions: HCoV-NL63 and OC43 are associated with a significant proportion of LRI in children less than 2 years of age and a substantial number of medically attended URI episodes.</t>
  </si>
  <si>
    <t xml:space="preserve">[Talbot, H. Keipp] Vanderbilt Univ, Sch Med, Dept Med, Div Infect Dis, Nashville, TN 37212 USA; [Shepherd, Bryan E.] Vanderbilt Univ, Sch Med, Dept Biostat, Nashville, TN 37212 USA; [Talbot, H. Keipp; Crowe, James E., Jr.; Edwards, Kathryn M.; Podsiad, Amy B.; Tollefson, Sharon J.; Wright, Peter F.; Williams, John V.] Vanderbilt Univ, Sch Med, Dept Pediat, Div Infect Dis, Nashville, TN 37212 USA; [Griffin, Marie R.; Wright, Peter F.] Vanderbilt Univ, Sch Med, Dept Prevent Med, Nashville, TN 37212 USA; [Crowe, James E., Jr.; Wright, Peter F.; Williams, John V.] Vanderbilt Univ, Sch Med, Dept Microbiol &amp; Immunol, Nashville, TN 37212 USA</t>
  </si>
  <si>
    <t xml:space="preserve">Vanderbilt University; Vanderbilt University; Vanderbilt University; Vanderbilt University; Vanderbilt University</t>
  </si>
  <si>
    <t xml:space="preserve">Talbot, HK (corresponding author), A2200 Med Ctr N,1161 21st Ave S, Nashville, TN USA.</t>
  </si>
  <si>
    <t xml:space="preserve">Talbot, Helen/KLY-2181-2024; Williams, John/ABE-3227-2020; Williams, John/F-6962-2010; Crowe, James/B-5549-2009</t>
  </si>
  <si>
    <t xml:space="preserve">Williams, John/0000-0001-8377-5175; Talbot, H. Keipp/0000-0003-0141-1760; Crowe, James/0000-0002-0049-1079</t>
  </si>
  <si>
    <t xml:space="preserve">NIH [5R03AI068069-02]; NIH/NCRR [5 K12 RR017697-05]; NIAID [1K23AI074863-01]; GCRC center [RR 00095]</t>
  </si>
  <si>
    <t xml:space="preserve">NIH(United States Department of Health &amp; Human ServicesNational Institutes of Health (NIH) - USA); NIH/NCRR(United States Department of Health &amp; Human ServicesNational Institutes of Health (NIH) - USANIH National Center for Research Resources (NCRR)); NIAID(United States Department of Health &amp; Human ServicesNational Institutes of Health (NIH) - USANIH National Institute of Allergy &amp; Infectious Diseases (NIAID)); GCRC center</t>
  </si>
  <si>
    <t xml:space="preserve">Supported by NIH 5R03AI068069-02 (to H.K.T., J.V.W., B.E.S.), by NIH/NCRR (5 K12 RR017697-05) (to H.K.T.), and from the NIAID (1K23AI074863-01). Also, The Vanderbilt Vaccine Clinic was supported by GCRC center (award RR 00095).</t>
  </si>
  <si>
    <t xml:space="preserve">10.1097/INF.0b013e31819d0d27</t>
  </si>
  <si>
    <t xml:space="preserve">477QG</t>
  </si>
  <si>
    <t xml:space="preserve">WOS:000268533000005</t>
  </si>
  <si>
    <t xml:space="preserve">Hakki, M; Rattray, RM; Press, RD</t>
  </si>
  <si>
    <t xml:space="preserve">Hakki, Morgan; Rattray, Rogan M.; Press, Richard D.</t>
  </si>
  <si>
    <t xml:space="preserve">The clinical impact of coronavirus infection in patients with hematologic malignancies and hematopoietic stem cell transplant recipients</t>
  </si>
  <si>
    <t xml:space="preserve">Coronavirus; Respiratory virus; Hematopoietic stem cell transplant; Hematologic malignancy</t>
  </si>
  <si>
    <t xml:space="preserve">HUMAN METAPNEUMOVIRUS INFECTION; RESPIRATORY-TRACT INFECTIONS; RHINOVIRUS INFECTIONS; ADULT RECIPIENTS; VIRAL-INFECTIONS; VIRUS-INFECTIONS; RISK-FACTORS; PNEUMONIA; CHILDREN; DISEASE</t>
  </si>
  <si>
    <t xml:space="preserve">Background: Compared to other respiratory viruses, relatively little is known about the clinical impact of coronavirus (CoV) infection after hematopoietic stem cell transplant (HSCT) or in patients with hematologic malignancies. Objectives: To characterize the role of CoV in respiratory tract infections among HSCT and hematologic malignancy patients. Study design: We conducted a retrospective review of all cases of CoV infection documented by polymerase chain reaction, (PCR)-based testing on nasopharyngeal and bronchoalveolar lavage fluid samples between June 2010 and 2013. Cases of CoV infection occurring in HSCT and hematologic malignancy patients were identified and the clinical characteristics of these cases were compared to other respiratory viruses. Results: CoV was identified in 2.6% (n = 43) of all samples analyzed (n = 1661) and in 6.8% of all samples testing positive for a respiratory virus (n = 631). 33 of 38 (86.8%) of patients in whom CoV was identified were HSCT and hematologic malignancy patients. Among these patients, CoV was detected in 9.7% of unique infection episodes, with only rhinovirus/enterovirus (RhV/EnV) infection being more common. Group I CoV subtypes accounted for 76.3% of cases, and 57% of infections were diagnosed between December and March. CoV infection was associated with upper respiratory tract symptoms in most patients, similar to other respiratory viruses. Possible and proven lower respiratory tract disease was less common compared to other respiratory viruses except RhV/EnV. Conclusions: CoV is frequently detected in HSCT and hematologic malignancy patients in whom suspicion for a respiratory viral infection exists, but is less likely to progress to lower respiratory tract disease than most other respiratory viruses. (C) 2015 Elsevier B.V. All rights reserved.</t>
  </si>
  <si>
    <t xml:space="preserve">[Hakki, Morgan] Oregon Hlth &amp; Sci Univ, Div Infect Dis, Portland, OR 97239 USA; [Rattray, Rogan M.; Press, Richard D.] Oregon Hlth &amp; Sci Univ, Dept Pathol, Portland, OR 97239 USA; [Rattray, Rogan M.; Press, Richard D.] Oregon Hlth &amp; Sci Univ, Knight Canc Inst, Portland, OR 97239 USA</t>
  </si>
  <si>
    <t xml:space="preserve">Oregon Health &amp; Science University; Oregon Health &amp; Science University; Oregon Health &amp; Science University</t>
  </si>
  <si>
    <t xml:space="preserve">Hakki, M (corresponding author), Oregon Hlth &amp; Sci Univ, Div Infect Dis, 3181 SW Sam Jackson Pk Rd,Mail Code L457, Portland, OR 97239 USA.</t>
  </si>
  <si>
    <t xml:space="preserve">hakki@ohsu.edu</t>
  </si>
  <si>
    <t xml:space="preserve">Press, Richard/0000-0002-2103-5144</t>
  </si>
  <si>
    <t xml:space="preserve">10.1016/j.jcv.2015.04.012</t>
  </si>
  <si>
    <t xml:space="preserve">CK3FF</t>
  </si>
  <si>
    <t xml:space="preserve">WOS:000356101300001</t>
  </si>
  <si>
    <t xml:space="preserve">Mohammadi, M; Arabzadeh, SAM; Mollaei, HR; Monavari, SH; Nikpour, N</t>
  </si>
  <si>
    <t xml:space="preserve">Mohammadi, Mahtab; Arabzadeh, Seyed Ali Mohammad; Mollaei, Hamid Reza; Monavari, Seyed Hamidreza; Nikpour, Najmeh</t>
  </si>
  <si>
    <t xml:space="preserve">Frequency of Coronavirus NL63 Infection in Children with Upper Respiratory Infection by Real-Time PCR</t>
  </si>
  <si>
    <t xml:space="preserve">Coronavirus; NL63; Respiratory Infection; Children; Iran</t>
  </si>
  <si>
    <t xml:space="preserve">HUMAN METAPNEUMOVIRUS; TRACT INFECTIONS; EPIDEMIOLOGY; ASSOCIATION; OC43; 229E</t>
  </si>
  <si>
    <t xml:space="preserve">Background: Human coronavirus NL63 (HCoV-NL63) is a new respiratory virus associated with acute respiratory infection in children. Infection with this virus is usually accompanied by upper and lower infections of the respiratory tract in adults. Objectives: In a retrospective study, we investigated the incidence of coronavirus infection in children under the age of five years. Methods: We collected 138 specimens (nasal and throat swabs) from children less than five-years-old with acute respiratory infection from October 2018 to December 2019. Then, HCoV-NL63 was investigated using real-time PCR. Results: Out of 138 samples, 33 (23.9%) were positive for coronavirus NL63, including 21 (63.6%) male samples and 12 (36.4%) female samples. There was no significant correlation between gender and positivity for coronavirus infection (P &gt; 0.05). However, the association of clinical symptoms with the virus was statistically significant (P &lt; 0.05). Conclusions: This study was conducted for the first time in Kerman Province. In this study, the frequency of coronavirus NL63 was evaluated among children with acute respiratory infection with a highly sensitive method, real-time PCR. The prevalence of this virus was 33%, which was more frequent than in similar studies.</t>
  </si>
  <si>
    <t xml:space="preserve">[Mohammadi, Mahtab; Arabzadeh, Seyed Ali Mohammad; Nikpour, Najmeh] Kerman Univ Med Sci, Dept Med Microbiol, Kerman, Iran; [Mollaei, Hamid Reza] Kerman Univ Med Sci, Res Ctr Trop &amp; Infect Dis, 22 Bahman Blvd, Kerman, Iran; [Monavari, Seyed Hamidreza] Iran Univ Med Sci, Dept Med Virol, Tehran, Iran</t>
  </si>
  <si>
    <t xml:space="preserve">Kerman University of Medical Sciences; Kerman University of Medical Sciences; Iran University of Medical Sciences</t>
  </si>
  <si>
    <t xml:space="preserve">Mollaei, HR (corresponding author), Kerman Univ Med Sci, Res Ctr Trop &amp; Infect Dis, 22 Bahman Blvd, Kerman, Iran.</t>
  </si>
  <si>
    <t xml:space="preserve">hamid2008kmu@gmail.com</t>
  </si>
  <si>
    <t xml:space="preserve">SeyedAlinaghi, SeyedAhmad/M-2938-2017; Mollaei, Hamid Reza/AAA-4051-2019</t>
  </si>
  <si>
    <t xml:space="preserve">Mollaei, Hamid Reza/0000-0001-6874-0011</t>
  </si>
  <si>
    <t xml:space="preserve">Kerman University of Medical Sciences, Physiology Research Center [96000908]</t>
  </si>
  <si>
    <t xml:space="preserve">Kerman University of Medical Sciences, Physiology Research Center</t>
  </si>
  <si>
    <t xml:space="preserve">This study was supported by Kerman University of Medical Sciences, Physiology Research Center with reg. no.: 96000908. It was approved by the Ethics Committee of Kerman University of Medical Sciences. The ethical approval code is IR.KMU.REC.1397.134.</t>
  </si>
  <si>
    <t xml:space="preserve">e101905</t>
  </si>
  <si>
    <t xml:space="preserve">10.5812/ijp.101905</t>
  </si>
  <si>
    <t xml:space="preserve">LU7PO</t>
  </si>
  <si>
    <t xml:space="preserve">WOS:000537943000004</t>
  </si>
  <si>
    <t xml:space="preserve">Rotzén-Östlund, M; Eriksson, M; Lindell, AT; Allander, T; Wirgart, BZ; Grillner, L</t>
  </si>
  <si>
    <t xml:space="preserve">Rotzen-Ostlund, Maria; Eriksson, Margareta; Lindell, Annika Tiveljung; Allander, Tobias; Wirgart, Benita Zweygberg; Grillner, Lena</t>
  </si>
  <si>
    <t xml:space="preserve">Children with multiple viral respiratory infections are older than those with single viruses</t>
  </si>
  <si>
    <t xml:space="preserve">Coronavirus; Multiple viral findings; Picornavirus; Respiratory syncytial virus</t>
  </si>
  <si>
    <t xml:space="preserve">POLYMERASE-CHAIN-REACTION; HUMAN CORONAVIRUS NL63; SYNCYTIAL VIRUS; HUMAN METAPNEUMOVIRUS; TRACT INFECTIONS; YOUNG-CHILDREN; SEVERE BRONCHIOLITIS; INFLUENZA-A; INFANTS; COINFECTION</t>
  </si>
  <si>
    <t xml:space="preserve">AimTo study the clinical impact of multiple viral respiratory infections compared to single infections. MethodsDemographic data from 37 multiple infection periods in children &lt;5years of age were compared to data from 193 episodes with single infections. Clinical data derived from patient records of the multiple infection episodes were further compared to data from 93 matched control episodes with single infections. ResultsThe mean age of patients with multiple viral findings was 12.7months, compared to 5.7months for those with single findings (p&lt;0.01). Wheezing was the most common diagnosis in both groups, except among children who were only infected with the coronavirus. No differences were found regarding duration of hospitalisation, oxygen treatment or admittance to the intensive care unit. ConclusionChildren with multiple viral findings in their respiratory secretions were older than those with a single detected virus. Otherwise, no major differences in comorbidity, presentation or clinical outcome were observed between the two groups.</t>
  </si>
  <si>
    <t xml:space="preserve">[Rotzen-Ostlund, Maria; Lindell, Annika Tiveljung; Allander, Tobias; Wirgart, Benita Zweygberg; Grillner, Lena] Karolinska Univ Hosp, Dept Clin Microbiol, SE-17176 Stockholm, Sweden; [Rotzen-Ostlund, Maria; Lindell, Annika Tiveljung; Allander, Tobias; Wirgart, Benita Zweygberg; Grillner, Lena] Karolinska Inst, Dept Microbiol Tumor &amp; Cell Biol, Stockholm, Sweden; [Eriksson, Margareta] Karolinska Univ Hosp, Astrid Lindgren Childrens Hosp, Stockholm, Sweden</t>
  </si>
  <si>
    <t xml:space="preserve">Karolinska Institutet; Karolinska University Hospital; Karolinska Institutet; Karolinska Institutet; Karolinska University Hospital</t>
  </si>
  <si>
    <t xml:space="preserve">Rotzén-Östlund, M (corresponding author), Karolinska Univ Hosp, Dept Clin Microbiol, L2 02, SE-17176 Stockholm, Sweden.</t>
  </si>
  <si>
    <t xml:space="preserve">maria.rotzen-ostlund@karolinska.se</t>
  </si>
  <si>
    <t xml:space="preserve">10.1111/apa.12440</t>
  </si>
  <si>
    <t xml:space="preserve">276GH</t>
  </si>
  <si>
    <t xml:space="preserve">WOS:000328736300025</t>
  </si>
  <si>
    <t xml:space="preserve">da Veiga, ABG; Martins, LG; Riediger, I; Mazetto, A; Debur, MD; Gregianini, TS</t>
  </si>
  <si>
    <t xml:space="preserve">Gorini da Veiga, Ana B.; Martins, Leticia G.; Riediger, Irina; Mazetto, Alix; Debur, Maria do Carmo; Gregianini, Tatiana S.</t>
  </si>
  <si>
    <t xml:space="preserve">More than just a common cold: Endemic coronaviruses OC43, HKU1, NL63, and 229E associated with severe acute respiratory infection and fatality cases among healthy adults</t>
  </si>
  <si>
    <t xml:space="preserve">coronavirus; epidemiology; infection; respiratory tract</t>
  </si>
  <si>
    <t xml:space="preserve">Respiratory viral infection can cause severe disease and hospitalization, especially among children, the elderly, and patients with comorbidities. In Brazil, the official surveillance system of severe acute respiratory infection (SARI) investigates influenza A (IAV) and B (IBV) viruses, respiratory syncytial virus (RSV), adenovirus (HAdV), and parainfluenza viruses (hPIV 1-3). In Rio Grande do Sul (RS), Brazil, many fatalities associated with SARI between 2013 and 2017 occurred among patients without underlying diseases and for whom the causative agent had not been identified using official protocols. This cross-sectional study analyzed the presence of coronaviruses (HCoV), bocavirus (HBoV), metapneumovirus (hMPV), and rhinovirus in patients who died of SARI despite not having comorbidities, and that were negative for IAV, IBV, RSV, HAdV, and hPIV. Nasopharyngeal aspirates/swabs from patients were used for nucleic acid extraction. The presence of HCoVs OC43, HKU1, NL63, and 229E; HBoV; hMPV; and rhinovirus was assessed by quantitative reverse transcription-polymerase chain reaction. Clinical data were also analyzed. Between 2013 and 2017, 16 225 cases of SARI were reported in RS; 9.8% of the patients died; 20% of all fatal cases were patients without comorbidities and for whom no pathogen was detected using standard protocols. Analysis of 271 of these cases identified HCoV in nine cases; HBoV, hMPV, and rhinovirus were detected in 3, 3, and 10 cases, respectively. Of note, patients infected with HCoV were adults. Results reinforce the importance of including coronaviruses in diagnostic panels used by official surveillance systems because besides their pandemic potential, endemic HCoVs are associated to severe disease in healthy adults.</t>
  </si>
  <si>
    <t xml:space="preserve">[Gorini da Veiga, Ana B.] Univ Fed Ciencias Saude Porto Alegre UFCSPA, Dept Basic Hlth Sci, Porto Alegre, RS, Brazil; [Martins, Leticia G.] Ctr Estadual Vigilancia Saude Secretaria Saude Es, Porto Alegre, RS, Brazil; [Riediger, Irina; Mazetto, Alix; Debur, Maria do Carmo] Lab Cent Saude Publ Secretaria Saude Estado Paran, Sao Jose Dos Pinhais, Parana, Brazil; [Gregianini, Tatiana S.] Lab Cent Saude Publ Secretaria Saude Estado Rio G, Porto Alegre, RS, Brazil</t>
  </si>
  <si>
    <t xml:space="preserve">Universidade Federal de Ciencias da Saude de Porto Alegre</t>
  </si>
  <si>
    <t xml:space="preserve">da Veiga, ABG (corresponding author), Univ Fed Ciencias Saude Porto Alegre, Rua Sarmento Leite 245, BR-90050170 Porto Alegre, RS, Brazil.</t>
  </si>
  <si>
    <t xml:space="preserve">anabgv76@gmail.com</t>
  </si>
  <si>
    <t xml:space="preserve">Veiga, Ana Beatriz Gorini/N-8581-2013</t>
  </si>
  <si>
    <t xml:space="preserve">Veiga, Ana Beatriz Gorini/0000-0003-1462-5506; Schaffer Gregianini, Tatiana/0000-0002-9912-9060</t>
  </si>
  <si>
    <t xml:space="preserve">Conselho Nacional de Desenvolvimento Cientifico e Tecnologico [CNPq 06/2019]</t>
  </si>
  <si>
    <t xml:space="preserve">Conselho Nacional de Desenvolvimento Cientifico e Tecnologico(Conselho Nacional de Desenvolvimento Cientifico e Tecnologico (CNPQ))</t>
  </si>
  <si>
    <t xml:space="preserve">Conselho Nacional de Desenvolvimento Cientifico e Tecnologico, Grant/Award Number: CNPq 06/2019 - PQ2 fellowship (ABG Veiga)</t>
  </si>
  <si>
    <t xml:space="preserve">10.1002/jmv.26362</t>
  </si>
  <si>
    <t xml:space="preserve">AUG 2020</t>
  </si>
  <si>
    <t xml:space="preserve">PM0IT</t>
  </si>
  <si>
    <t xml:space="preserve">WOS:000554403300001</t>
  </si>
  <si>
    <t xml:space="preserve">Maruo, Y; Ishikawa, S; Oura, K; Shiraishi, H; Sato, N; Suganuma, T; Mikawa, M; Sato, T</t>
  </si>
  <si>
    <t xml:space="preserve">Maruo, Yuji; Ishikawa, Shinichi; Oura, Kazumi; Shiraishi, Haruki; Sato, Norio; Suganuma, Takashi; Mikawa, Makoto; Sato, Tomonobu</t>
  </si>
  <si>
    <t xml:space="preserve">The impact of the coronavirus disease 2019 pandemic on pediatric hospitalization in Kitami, Japan</t>
  </si>
  <si>
    <t xml:space="preserve">coronavirus; epidemiology; foreign body ingestion; gastrointestinal infection; respiratory infection</t>
  </si>
  <si>
    <t xml:space="preserve">INTERFERENCE</t>
  </si>
  <si>
    <t xml:space="preserve">Background Coronavirus disease 2019 (COVID-19) has drastically changed the recommended activities and environment for patients worldwide. Our aim was to assess the impact of COVID-19 on pediatric hospitalizations in Kitami, Japan. Methods A retrospective, single-center study was conducted on hospitalized patients aged 0-14 years at the Japanese Red Cross Kitami Hospital. We compared the incidence of pediatric patients hospitalized in 2020 with those in 2017-2019. Results The number of pediatric hospitalized patients dropped significantly in 2020 compared to that in 2017-2019 (median 43.0 vs 78.5 per month, P &lt; 0.001). The patients were significantly older in 2020 (4.3 vs 3.4 years, P &lt; 0.001). Hospitalization from respiratory (8.5 vs 30.5, P &lt; 0.001) and gastrointestinal infections (3.0 vs 6.0, P = 0.004) significantly decreased. Admission due to respiratory syncytial virus (0.0 vs 4.0, P &lt; 0.001), human metapneumovirus (0.0 vs 1.0, P = 0.005), influenza (0.0 vs 0.0, P = 0.009), adenovirus (0.0 vs 1.0, P = 0.003), and rotavirus infection (0.0 vs 0.0, P = 0.025) also decreased significantly. The &lt;1-5 age groups significantly decreased (&lt;1 year old, 6.5 vs 12.5, P &lt; 0.001; 1-3 years old, 13.0 vs 29.5, P &lt; 0.001; 4-5 years old, 5.5 vs 11.5, P &lt; 0.001). Hospitalization due to foreign body ingestions increased significantly in 2020 (1.0 vs 0.0, P = 0.010). Conclusions The COVID-19 control measures inadvertently reduced the number of hospitalized pediatric patients, especially younger children with respiratory and gastrointestinal infections.</t>
  </si>
  <si>
    <t xml:space="preserve">[Maruo, Yuji; Ishikawa, Shinichi; Oura, Kazumi; Shiraishi, Haruki; Sato, Norio; Suganuma, Takashi; Mikawa, Makoto; Sato, Tomonobu] Japanese Red Cross Kitami Hosp, Dept Pediat, North 6 East 2, Kitami, Hokkaido 0908666, Japan</t>
  </si>
  <si>
    <t xml:space="preserve">Sato, T (corresponding author), Japanese Red Cross Kitami Hosp, Dept Pediat, North 6 East 2, Kitami, Hokkaido 0908666, Japan.</t>
  </si>
  <si>
    <t xml:space="preserve">tomsato1972@gmail.com</t>
  </si>
  <si>
    <t xml:space="preserve">Maruo, Yuji/0000-0002-5056-6569</t>
  </si>
  <si>
    <t xml:space="preserve">e14937</t>
  </si>
  <si>
    <t xml:space="preserve">10.1111/ped.14937</t>
  </si>
  <si>
    <t xml:space="preserve">0V6WA</t>
  </si>
  <si>
    <t xml:space="preserve">WOS:000788480900001</t>
  </si>
  <si>
    <t xml:space="preserve">Bosis, S; Esposito, S; Niesters, HGM; Tremolati, E; Pas, S; Principi, N; Osterhaus, ADME</t>
  </si>
  <si>
    <t xml:space="preserve">Bosis, Samantha; Esposito, Susanna; Niesters, Hubert G. M.; Tremolati, Elena; Pas, Susan; Principi, Nicola; Osterhaus, Albert D. M. E.</t>
  </si>
  <si>
    <t xml:space="preserve">Coronavirus HKU1 in an Italian pre-term infant with bronchiolitis</t>
  </si>
  <si>
    <t xml:space="preserve">coronavirus; emerging viruses; epidemiology; bronchiolitis; respiratory tract infections; children</t>
  </si>
  <si>
    <t xml:space="preserve">RESPIRATORY-SYNCYTIAL-VIRUS; REAL-TIME PCR; HUMAN METAPNEUMOVIRUS; YOUNG-CHILDREN; RISK-FACTORS; HONG-KONG; INFECTIONS; DISEASE; PNEUMONIA; INFLUENZA</t>
  </si>
  <si>
    <t xml:space="preserve">Univ Milan, Fdn IRCCS Osped Maggiore Policlin Mangiagalli &amp; R, Inst Pediat, I-20122 Milan, Italy; Erasmus MC, Dept Virol, Rotterdam, Netherlands</t>
  </si>
  <si>
    <t xml:space="preserve">University of Milan; IRCCS Ca Granda Ospedale Maggiore Policlinico; Erasmus University Rotterdam; Erasmus MC</t>
  </si>
  <si>
    <t xml:space="preserve">Principi, N (corresponding author), Univ Milan, Fdn IRCCS Osped Maggiore Policlin Mangiagalli &amp; R, Inst Pediat, Via Commenda 9, I-20122 Milan, Italy.</t>
  </si>
  <si>
    <t xml:space="preserve">Pas, Suzan/M-9863-2013; Esposito, Susanna/AAA-8275-2022; Bert, Niesters/AAH-6808-2019; Esposito, Susanna/K-3475-2016; Bosis, Samantha/K-2754-2016</t>
  </si>
  <si>
    <t xml:space="preserve">Osterhaus, Albert/0000-0002-6074-1172; Esposito, Susanna/0000-0003-4103-2837; Bosis, Samantha/0000-0003-2288-2633; Niesters, Hubert/0000-0002-1758-0430</t>
  </si>
  <si>
    <t xml:space="preserve">10.1016/j.jcv.2006.11.014</t>
  </si>
  <si>
    <t xml:space="preserve">WOS:000245160900010</t>
  </si>
  <si>
    <t xml:space="preserve">Nawrocki, J; Olin, K; Holdrege, MC; Hartsell, J; Meyers, L; Cox, C; Powell, M; Cook, CV; Jones, J; Robbins, T; Hemmert, A; Ginocchio, CC</t>
  </si>
  <si>
    <t xml:space="preserve">Nawrocki, Jeff; Olin, Katherine; Holdrege, Martin C.; Hartsell, Joel; Meyers, Lindsay; Cox, Charles; Powell, Michaela; Cook, Camille, V; Jones, Jay; Robbins, Tom; Hemmert, Andrew; Ginocchio, Christine C.</t>
  </si>
  <si>
    <t xml:space="preserve">The Effects of Social Distancing Policies on Non-SARS-CoV-2 Respiratory Pathogens</t>
  </si>
  <si>
    <t xml:space="preserve">coronavirus; COVID-19; intervention; respiratory; social distancing</t>
  </si>
  <si>
    <t xml:space="preserve">COVID-19 CONTROL MEASURES; INFLUENZA-A VIRUS; INTERFERENCE; IMPACT</t>
  </si>
  <si>
    <t xml:space="preserve">Background. The initial focus of the US public health response to coronavirus disease 2019 (COVID-19) was the implementation of numerous social distancing policies. While COVID-19 was the impetus for imposing these policies, it is not the only respiratory disease affected by their implementation. This study aimed to assess the impact of social distancing policies on non-severe acute respiratory syndrome coronavirus 2 (SARS-CoV-2) respiratory pathogens typically circulating across multiple US states. Methods. Linear mixed-effect models were implemented to explore the effects of 5 social distancing policies on non-SARS-CoV-2 respiratory pathogens across 9 states from January 1 through May 1, 2020. The observed 2020 pathogen detection rates were compared week by week with historical rates to determine when the detection rates were different. Results. Model results indicate that several social distancing policies were associated with a reduction in total detection rate, by nearly 15%. Policies were associated with decreases in pathogen circulation of human rhinovirus/enterovirus and human metapneumovirus, as well as influenza A, which typically decrease after winter. Parainfluenza viruses failed to circulate at historical levels during the spring. The total detection rate in April 2020 was 35% less than the historical average. Many of the pathogens driving this difference fell below the historical detection rate ranges within 2 weeks of initial policy implementation. Conclusions. This analysis investigated the effect of multiple social distancing policies implemented to reduce transmission of SARS-CoV-2 on non-SARS-CoV-2 respiratory pathogens. These findings suggest that social distancing policies may be used as an impactful public health tool to reduce communicable respiratory illness.</t>
  </si>
  <si>
    <t xml:space="preserve">[Nawrocki, Jeff; Olin, Katherine; Hartsell, Joel; Meyers, Lindsay; Cox, Charles; Powell, Michaela; Cook, Camille, V; Jones, Jay; Robbins, Tom; Hemmert, Andrew] BioFire Diagnost LLC, 515 Colorow Dr, Salt Lake City, UT 84108 USA; [Holdrege, Martin C.] Utah State Univ, Logan, UT 84322 USA; [Ginocchio, Christine C.] BioMerieux, Salt Lake City, UT USA</t>
  </si>
  <si>
    <t xml:space="preserve">Utah System of Higher Education; Utah State University</t>
  </si>
  <si>
    <t xml:space="preserve">Nawrocki, J (corresponding author), BioFire Diagnost LLC, 515 Colorow Dr, Salt Lake City, UT 84108 USA.</t>
  </si>
  <si>
    <t xml:space="preserve">jeff.nawrocki@biofiredx.com</t>
  </si>
  <si>
    <t xml:space="preserve">ofab133</t>
  </si>
  <si>
    <t xml:space="preserve">10.1093/ofid/ofab133</t>
  </si>
  <si>
    <t xml:space="preserve">UU7MK</t>
  </si>
  <si>
    <t xml:space="preserve">WOS:000698980600006</t>
  </si>
  <si>
    <t xml:space="preserve">Walsh, EE; Shin, JH; Falsey, AR</t>
  </si>
  <si>
    <t xml:space="preserve">Walsh, Edward E.; Shin, Jae Hyun; Falsey, Ann R.</t>
  </si>
  <si>
    <t xml:space="preserve">Clinical Impact of Human Coronaviruses 229E and OC43 Infection in Diverse Adult Populations</t>
  </si>
  <si>
    <t xml:space="preserve">coronavirus; adults; elderly</t>
  </si>
  <si>
    <t xml:space="preserve">RESPIRATORY SYNCYTIAL VIRUS; ELDERLY-PEOPLE; COMMUNITY; RESPONSES; INFLUENZA; ILLNESS; DISEASE; HKU1; NL63</t>
  </si>
  <si>
    <t xml:space="preserve">Background. The incidence and clinical impact of coronavirus (CoV) infection in elderly persons and those with underlying cardiopulmonary disease over a long duration is not well described. We determined the incidence and clinical impact of 229E and OC43 CoV in this population during 4 consecutive winters, and compared illnesses to influenza A, respiratory syncytial virus, and human metapneumovirus. Methods. CoV 229E and OC43 were detected by reverse transcription polymerase chain reaction and serology in 4 adult populations under surveillance for acute respiratory illness during the winters of 1999-2003. Cohorts included healthy young adults, healthy elderly adults, high-risk adults with underlying cardiopulmonary disease, and a hospitalized group. Results. Three hundred ninety-eight CoV infections were identified, with annual infection rates ranging from 2.8% to 26% in prospective cohorts, and prevalence ranging from 3.3% to 11.1% in the hospitalized cohort. The incidence of infections with each strain was similar, although asymptomatic infection and viral coinfection was significantly more common with 229E than OC43 infection. Although the incidence and clinical manifestations were similar for each strain, OC43-infected subjects tended to seek more medical care, as OC43 was twice as common as 229E among the hospitalized cohort. Conclusions. CoV infections in the elderly are frequent, likely causing substantial medical disease burden.</t>
  </si>
  <si>
    <t xml:space="preserve">[Walsh, Edward E.; Shin, Jae Hyun; Falsey, Ann R.] Univ Rochester, Rochester Gen Hosp, Dept Med, Rochester, NY 14621 USA; [Walsh, Edward E.; Falsey, Ann R.] Univ Rochester, Sch Med &amp; Dent, Dept Med, Rochester, NY 14621 USA</t>
  </si>
  <si>
    <t xml:space="preserve">University of Rochester; Rochester General Hospital; University of Rochester</t>
  </si>
  <si>
    <t xml:space="preserve">Walsh, EE (corresponding author), Univ Rochester, Sch Med, 1425 Portland Ave, Rochester, NY 14621 USA.</t>
  </si>
  <si>
    <t xml:space="preserve">edward.walsh@rochestergeneral.org</t>
  </si>
  <si>
    <t xml:space="preserve">Shin, Jae Hyun/0000-0002-9970-9233</t>
  </si>
  <si>
    <t xml:space="preserve">National Institute of Allergy and Infectious Diseases, National Institutes of Health [RO1-AI-45969, RO1-AI-045465]</t>
  </si>
  <si>
    <t xml:space="preserve">This work was supported by the National Institute of Allergy and Infectious Diseases, National Institutes of Health (grant numbers RO1-AI-45969, RO1-AI-045465).</t>
  </si>
  <si>
    <t xml:space="preserve">10.1093/infdis/jit393</t>
  </si>
  <si>
    <t xml:space="preserve">WOS:000326378000014</t>
  </si>
  <si>
    <t xml:space="preserve">Carotti, M; Salaffi, F; Sarzi-Puttini, P; Agostini, A; Borgheresi, A; Minorati, D; Galli, M; Marotto, D; Giovagnoni, A</t>
  </si>
  <si>
    <t xml:space="preserve">Carotti, Marina; Salaffi, Fausto; Sarzi-Puttini, Piercarlo; Agostini, Andrea; Borgheresi, Alessandra; Minorati, Davide; Galli, Massimo; Marotto, Daniela; Giovagnoni, Andrea</t>
  </si>
  <si>
    <t xml:space="preserve">Chest CT features of coronavirus disease 2019 (COVID-19) pneumonia: key points for radiologists</t>
  </si>
  <si>
    <t xml:space="preserve">RADIOLOGIA MEDICA</t>
  </si>
  <si>
    <t xml:space="preserve">Coronavirus pneumonia; Lungs; Chest CT; Ground glass opacities; Consolidation; Reticular pattern; Crazy-paving pattern</t>
  </si>
  <si>
    <t xml:space="preserve">ACUTE RESPIRATORY SYNDROME; HALO SIGN; MANAGEMENT; INFECTIONS; MECHANISMS; DIAGNOSIS</t>
  </si>
  <si>
    <t xml:space="preserve">COVID-19 is an emerging infection caused by a novel coronavirus that is moving so rapidly that on 30 January 2020 the World Health Organization declared the outbreak a Public Health Emergency of International Concern and on 11 March 2020 as a pandemic. An early diagnosis of COVID-19 is crucial for disease treatment and control of the disease spread. Real-time reverse-transcription polymerase chain reaction (RT-PCR) demonstrated a low sensibility; therefore chest computed tomography (CT) plays a pivotal role not only in the early detection and diagnosis, especially for false negative RT-PCR tests, but also in monitoring the clinical course and in evaluating the disease severity. This paper reports the CT findings with some hints on the temporal changes over the course of the disease: the CT hallmarks of COVID-19 are bilateral distribution of ground glass opacities with or without consolidation in the posterior and peripheral lung, but the predominant findings in later phases include consolidations, linear opacities, crazy-paving pattern, reversed halo sign and vascular enlargement. The CT findings of COVID-19 overlap with the CT findings of other diseases, in particular the viral pneumonia including influenza viruses, parainfluenza virus, adenovirus, respiratory syncytial virus, rhinovirus, human metapneumovirus, etc. There are differences as well as similarities in the CT features of COVID-19 compared with those of the severe acute respiratory syndrome. The aim of this article is to review the typical and atypical CT findings in COVID-19 patients in order to help radiologists and clinicians to become more familiar with the disease.</t>
  </si>
  <si>
    <t xml:space="preserve">[Carotti, Marina; Agostini, Andrea; Borgheresi, Alessandra; Giovagnoni, Andrea] Osped Riuniti Umberto I GM Lancisi G Salesi, Azienda Osped Univ, Dipartimento Sci Radiol SOD Radiol Pediat &amp; Speci, Via Conca 71, I-60030 Ancona, AN, Italy; [Carotti, Marina; Agostini, Andrea; Giovagnoni, Andrea] Univ Politecn Marche, Dipartimento Sci Clin Specialist &amp; Odontostomatol, Ancona, AN, Italy; [Salaffi, Fausto] Osped Carlo Urbani, Clin Reumatol, Jesi, AN, Italy; [Salaffi, Fausto] Univ Politecn Marche, Dipartimento Sci Clin &amp; Mol, Ancona, AN, Italy; [Sarzi-Puttini, Piercarlo; Marotto, Daniela] Milan Univ, Sch Med, ASST Fatebenefratelli Sacco, Dipartimento Med Interna,Div Reumatol, Milan, Italy; [Minorati, Davide] Milan Univ, Sch Med, ASST Fatebenefratelli Sacco, Dipartimento Radiol, Milan, Italy; [Galli, Massimo] Milan Univ, Sch Med, ASST Fatebenefratelli Sacco, Dept Sci Clin &amp; Biomol,Div Malattie Infett, Milan, Italy</t>
  </si>
  <si>
    <t xml:space="preserve">Marche Polytechnic University; Marche Polytechnic University; University of Milan; University of Milan; University of Milan</t>
  </si>
  <si>
    <t xml:space="preserve">Carotti, M (corresponding author), Osped Riuniti Umberto I GM Lancisi G Salesi, Azienda Osped Univ, Dipartimento Sci Radiol SOD Radiol Pediat &amp; Speci, Via Conca 71, I-60030 Ancona, AN, Italy.;Carotti, M (corresponding author), Univ Politecn Marche, Dipartimento Sci Clin Specialist &amp; Odontostomatol, Ancona, AN, Italy.</t>
  </si>
  <si>
    <t xml:space="preserve">marina.carotti@gmail.com; fausto.salaffi@gmail.com; piercarlo.sarziputtini@gmail.com; dott.andrea.agostini@gmail.com; alessandra.borgheresi@gmail.com; davide.minorati@hotmail.com; massimo.galli@unimi.it; daniela.marotto@tiscali.it; a.giovagnoni@univpm.it</t>
  </si>
  <si>
    <t xml:space="preserve">Galli, Massimo/L-7282-2017; Borgheresi, Alessandra/GLT-5715-2022; salaffi, fausto/AAB-9669-2019</t>
  </si>
  <si>
    <t xml:space="preserve">SALAFFI, Fausto/0000-0002-3794-6831; CAROTTI, Marina/0000-0001-6562-180X; Borgheresi, Alessandra/0000-0002-5544-9468; MAROTTO, DANIELA/0000-0003-3255-3307</t>
  </si>
  <si>
    <t xml:space="preserve">0033-8362</t>
  </si>
  <si>
    <t xml:space="preserve">1826-6983</t>
  </si>
  <si>
    <t xml:space="preserve">RADIOL MED</t>
  </si>
  <si>
    <t xml:space="preserve">Radiol. Med.</t>
  </si>
  <si>
    <t xml:space="preserve">10.1007/s11547-020-01237-4</t>
  </si>
  <si>
    <t xml:space="preserve">JUN 2020</t>
  </si>
  <si>
    <t xml:space="preserve">MD9NS</t>
  </si>
  <si>
    <t xml:space="preserve">WOS:000538503900002</t>
  </si>
  <si>
    <t xml:space="preserve">Al Sulaiman, K; Aljuhani, O; Badreldin, HA; Korayem, GB; Alenazi, AA; Alharbi, AH; Alghamdi, A; Alhubaishi, A; Altebainawi, AF; Bosaeed, M; Alotaibi, R; Alawad, A; Alnajjar, N; Bin Saleh, K; Sait, WA; Alsohimi, S; Alanizy, MM; Almuqbil, SA; Al Sulaihim, I; Vishwakarma, R; Alalawi, M; Alhassan, F; Alghnam, S</t>
  </si>
  <si>
    <t xml:space="preserve">Al Sulaiman, Khalid; Aljuhani, Ohoud; Badreldin, Hisham A.; Korayem, Ghazwa B.; Alenazi, Abeer A.; Alharbi, Ahlam H.; Alghamdi, Albandari; Alhubaishi, Alaa; Altebainawi, Ali F.; Bosaeed, Mohammad; Alotaibi, Rand; Alawad, Ahad; Alnajjar, Nirvana; Bin Saleh, Khalid; Sait, Walaa A.; Alsohimi, Samiah; Alanizy, Meshari M.; Almuqbil, Sarah A.; Al Sulaihim, Ibrahim; Vishwakarma, Ramesh; Alalawi, Mai; Alhassan, Fatimah; Alghnam, Suliman</t>
  </si>
  <si>
    <t xml:space="preserve">The clinical outcomes of COVID-19 critically ill patients co-infected with other respiratory viruses: a multicenter, cohort study</t>
  </si>
  <si>
    <t xml:space="preserve">Coronavirus disease; COVID19; Critically ill; Coinfection; Outcomes; Mortality; MV duration; Respiratory viruses</t>
  </si>
  <si>
    <t xml:space="preserve">COINFECTIONS</t>
  </si>
  <si>
    <t xml:space="preserve">BackgroundPrevious studies have shown that non-critically ill COVID-19 patients co-infected with other respiratory viruses have poor clinical outcomes. However, limited studies focused on this co-infections in critically ill patients. This study aims to evaluate the clinical outcomes of critically ill patients infected with COVID-19 and co-infected by other respiratory viruses.MethodsA multicenter retrospective cohort study was conducted for all adult patients with COVID-19 who were hospitalized in the ICUs between March, 2020 and July, 2021. Eligible patients were sub-categorized into two groups based on simultaneous co-infection with other respiratory viruses throughout their ICU stay. Influenza A or B, Human Adenovirus (AdV), Human Coronavirus (i.e., 229E, HKU1, NL63, or OC43), Human Metapneumovirus, Human Rhinovirus/Enterovirus, Middle East Respiratory Syndrome Coronavirus (MERS-CoV), Parainfluenza virus, and Respiratory Syncytial Virus (RSV) were among the respiratory viral infections screened. Patients were followed until discharge from the hospital or in-hospital death.ResultsA total of 836 patients were included in the final analysis. Eleven patients (1.3%) were infected concomitantly with other respiratory viruses. Rhinovirus/Enterovirus (38.5%) was the most commonly reported co-infection. No difference was observed between the two groups regarding the 30-day mortality (HR 0.39, 95% CI 0.13, 1.20; p = 0.10). The in-hospital mortality was significantly lower among co-infected patients with other respiratory viruses compared with patients who were infected with COVID-19 alone (HR 0.32 95% CI 0.10, 0.97; p = 0.04). Patients concomitantly infected with other respiratory viruses had longer median mechanical ventilation (MV) duration and hospital length of stay (LOS).ConclusionCritically ill patients with COVID-19 who were concomitantly infected with other respiratory viruses had comparable 30-day mortality to those not concomitantly infected. Further proactive testing and care may be required in the case of co-infection with respiratory viruses and COVID-19. The results of our study need to be confirmed by larger studies.</t>
  </si>
  <si>
    <t xml:space="preserve">[Al Sulaiman, Khalid; Badreldin, Hisham A.; Bin Saleh, Khalid; Alhassan, Fatimah] Minist Natl Guard Hlth Affairs MNGHA, Pharmaceut Care Dept, King Abdulaziz Med City KAMC, Riyadh, Saudi Arabia; [Al Sulaiman, Khalid; Badreldin, Hisham A.; Bin Saleh, Khalid; Alanizy, Meshari M.] King Saud bin Abdulaziz Univ Hlth Sci, Coll Pharm, POB 22490, Riyadh 11426, Saudi Arabia; [Al Sulaiman, Khalid; Badreldin, Hisham A.; Bin Saleh, Khalid; Alhassan, Fatimah] King Abdullah Int Med Res Ctr, Riyadh, Saudi Arabia; [Vishwakarma, Ramesh] Univ East Anglia, Norwich Med Sch, Norwich, England; [Aljuhani, Ohoud] King Abdulaziz Univ, Fac Pharm, Dept Pharm Practice, Jeddah, Saudi Arabia; [Altebainawi, Ali F.] King Khalid Hosp, Pharmaceut Care Serv, Hail Hlth Cluster, Hail, Saudi Arabia; [Korayem, Ghazwa B.; Alghamdi, Albandari; Alhubaishi, Alaa; Alotaibi, Rand; Alawad, Ahad; Alnajjar, Nirvana] Princess Nourah bint Abdulrahman Univ, Coll Pharm, Dept Pharm Practice, POB 84428, Riyadh 11671, Saudi Arabia; [Alenazi, Abeer A.] Prince Sultan Mil Med City, Pharmaceut Care Dept, Riyadh, Saudi Arabia; [Alalawi, Mai] Fakeeh Coll Med Sci, Dept Pharmaceut Sci, Jeddah, Saudi Arabia; [Alghnam, Suliman] King Abdullah Int Med Res Ctr, Populat Hlth Sect, Riyadh, Saudi Arabia; [Bosaeed, Mohammad] King Abdul Aziz Med City, Infect Dis Care Dept, Riyadh, Saudi Arabia; [Bosaeed, Mohammad] King Saud bin Abdulaziz Univ Hlth Sci, Coll Med, Riyadh, Saudi Arabia; [Alharbi, Ahlam H.; Almuqbil, Sarah A.] Qassim Univ, Coll Pharm, Qasim, Saudi Arabia; [Sait, Walaa A.] King Abdul Aziz Med City, Pharmaceut Care Dept, Jeddah, Saudi Arabia; [Alsohimi, Samiah] King Abdulaziz Univ Hosp, Pharmaceut Care Dept, Jeddah, Saudi Arabia; [Al Sulaihim, Ibrahim] Cent Secur Hosp, Riyadh, Saudi Arabia; [Alsohimi, Samiah] King Fahad Armed Forces Hosp, Pharmaceut Care Dept, Jeddah, Saudi Arabia; [Al Sulaiman, Khalid] Saudi Crit Care Pharm Res SCAPE Platform, Riyadh, Saudi Arabia</t>
  </si>
  <si>
    <t xml:space="preserve">King Saud Bin Abdulaziz University for Health Sciences; Ministry of National Guard - Health Affairs; King Saud Bin Abdulaziz University for Health Sciences; King Saud Bin Abdulaziz University for Health Sciences; King Abdullah International Medical Research Center (KAIMRC); University of East Anglia; King Abdulaziz University; King Khalid Hospital; Princess Nourah bint Abdulrahman University; Prince Sultan Military Medical City; Fakeeh College for Medical Sciences; King Saud Bin Abdulaziz University for Health Sciences; King Abdullah International Medical Research Center (KAIMRC); King Saud Bin Abdulaziz University for Health Sciences; King Abdulaziz Medical City - Riyadh; King Saud Bin Abdulaziz University for Health Sciences; Qassim University; King Saud Bin Abdulaziz University for Health Sciences; King Abdulaziz Medical City - Jeddah; King Abdulaziz University; King Abdulaziz University Hospital - Jeddah; King Fahd Armed Forces Hospital</t>
  </si>
  <si>
    <t xml:space="preserve">Al Sulaiman, K (corresponding author), Minist Natl Guard Hlth Affairs MNGHA, Pharmaceut Care Dept, King Abdulaziz Med City KAMC, Riyadh, Saudi Arabia.;Al Sulaiman, K (corresponding author), King Saud bin Abdulaziz Univ Hlth Sci, Coll Pharm, POB 22490, Riyadh 11426, Saudi Arabia.;Al Sulaiman, K (corresponding author), King Abdullah Int Med Res Ctr, Riyadh, Saudi Arabia.;Al Sulaiman, K (corresponding author), Saudi Crit Care Pharm Res SCAPE Platform, Riyadh, Saudi Arabia.</t>
  </si>
  <si>
    <t xml:space="preserve">alsulaimankh@hotmail.com</t>
  </si>
  <si>
    <t xml:space="preserve">Alalawi, Mai/AAA-2890-2021; aljuhani, ohoud/Q-8087-2017; Sulaiman, Khalid/ABB-2113-2020; Altebainawi, Ali/R-3042-2018</t>
  </si>
  <si>
    <t xml:space="preserve">Vishwakarma, Ramesh/0000-0003-2458-2802; , Mai/0000-0002-3491-5685; Altebainawi, Ali/0000-0002-7862-5778; Al Sulaiman, Khalid/0000-0002-5547-2043</t>
  </si>
  <si>
    <t xml:space="preserve">Princess Nourah bint Abdulrahman University, Riyadh, Saudi Arabia [PNURSP2023R78]</t>
  </si>
  <si>
    <t xml:space="preserve">Princess Nourah bint Abdulrahman University, Riyadh, Saudi Arabia(Princess Nourah bint Abdulrahman University)</t>
  </si>
  <si>
    <t xml:space="preserve">This work was supported by Princess Nourah bint Abdulrahman University Researchers Supporting Project number (PNURSP2023R78), Princess Nourah bint Abdulrahman University, Riyadh, Saudi Arabia.</t>
  </si>
  <si>
    <t xml:space="preserve">FEB 6</t>
  </si>
  <si>
    <t xml:space="preserve">10.1186/s12879-023-08010-8</t>
  </si>
  <si>
    <t xml:space="preserve">8P5FR</t>
  </si>
  <si>
    <t xml:space="preserve">WOS:000926549600003</t>
  </si>
  <si>
    <t xml:space="preserve">Rumpold, H</t>
  </si>
  <si>
    <t xml:space="preserve">Rumpold, Holger</t>
  </si>
  <si>
    <t xml:space="preserve">Lethal human metavirus pneumonia in a patient with chronic lymphocytic leukemia</t>
  </si>
  <si>
    <t xml:space="preserve">MEMO-MAGAZINE OF EUROPEAN MEDICAL ONCOLOGY</t>
  </si>
  <si>
    <t xml:space="preserve">Corona virus; Human metapneumovirus; Severe course; Compromised immunsystem; CLL</t>
  </si>
  <si>
    <t xml:space="preserve">HUMAN METAPNEUMOVIRUS INFECTION; RIBAVIRIN; FEATURES; CHILDREN</t>
  </si>
  <si>
    <t xml:space="preserve">Human metapneumovirus (HMPV) causes a flu-like disease in humans. Most infections occur in early childhood, but reinfections during life are common. The clinical course of these infections are usually mild and do not require hospitalization. However, this is not the case for older and/or comorbid patients, especially if lymphoma is a concurrent disease. Here, we report on a case of an 81-year-old man, who suffered from chronic lymphocytic leukemia. During the first coronavirus disease (COVID) wave, he was admitted to the emergency department with respiratory symptoms. Initially, he was suspected as having SARS-CoV-2 infection, but a broad diagnostic approach revealed a HMPV infection. The patient showed remarkable, bilateral pulmonary infiltrates and worsened within a few days. Consequently, he had to be admitted to the intensive care unit, where he was mechanically ventilated. Clinically, the patient worsened further and died on day 5 after admission. Severe HMPV infections are rare. However, patients suffering from hematological diseases are at high risk, which is exemplified in this case report.</t>
  </si>
  <si>
    <t xml:space="preserve">[Rumpold, Holger] Ordensklinikum Linz, Gastrointestinal Canc Ctr, Seilerstatte 4, A-4010 Linz, Austria</t>
  </si>
  <si>
    <t xml:space="preserve">Rumpold, H (corresponding author), Ordensklinikum Linz, Gastrointestinal Canc Ctr, Seilerstatte 4, A-4010 Linz, Austria.</t>
  </si>
  <si>
    <t xml:space="preserve">holger.rumpold@ordensklinikum.at</t>
  </si>
  <si>
    <t xml:space="preserve">Rumpold, Holger/0000-0002-4118-0111</t>
  </si>
  <si>
    <t xml:space="preserve">1865-5041</t>
  </si>
  <si>
    <t xml:space="preserve">1865-5076</t>
  </si>
  <si>
    <t xml:space="preserve">MEMO-MAG EUR MED ONC</t>
  </si>
  <si>
    <t xml:space="preserve">Memo-Mag. Eur. Med. Oncol.</t>
  </si>
  <si>
    <t xml:space="preserve">10.1007/s12254-021-00734-0</t>
  </si>
  <si>
    <t xml:space="preserve">UR1VR</t>
  </si>
  <si>
    <t xml:space="preserve">WOS:000686037200001</t>
  </si>
  <si>
    <t xml:space="preserve">McManus, TE; Marley, AM; Baxter, N; Christie, SN; O'Neill, HJ; Elborn, JS; Coyle, PV; Kidney, JC</t>
  </si>
  <si>
    <t xml:space="preserve">McManus, Terence E.; Marley, Anne-Marie; Baxter, Noreen; Christie, Sharon N.; O'Neill, Hugh J.; Elborn, J. Stuart; Coyle, Peter V.; Kidney, Joseph C.</t>
  </si>
  <si>
    <t xml:space="preserve">Respiratory viral infection in exacerbations of COPD</t>
  </si>
  <si>
    <t xml:space="preserve">COPD; Respiratory virus; Polymerase chain reaction; Metapneumovirus; rhinovirus</t>
  </si>
  <si>
    <t xml:space="preserve">OBSTRUCTIVE PULMONARY-DISEASE; HUMAN METAPNEUMOVIRUS; INFLAMMATORY MARKERS; BACTERIAL-INFECTION; SYNCYTIAL VIRUS; PATHOGENESIS; MORTALITY; INFLUENZA; SYMPTOMS; ADULTS</t>
  </si>
  <si>
    <t xml:space="preserve">Background: Patients with COPD have frequent exacerbations. The role of respiratory viral infection is just emerging. We wished to determine prospectively the incidence of viral infection in exacerbated and stable COPD patients as well as smokers who do not have airways obstruction. Methods: Stable and exacerbated COPD patients were recruited along with a group of patients who had smoked but who did not have any airways obstruction. Spirometry was performed and sputum specimens were tested for a range of 12 different respiratory viruses using PCR. Results: One hundred and thirty-six patients with exacerbations of COPD, 68 stable COPD patients and 16 non-obstructed smokers were recruited. A respiratory virus was detected in 37% of exacerbations, 12% of stable COPD patients and 12% of non-obstructed smokers, p &lt; 0.0005. Rhinovirus was most frequently detected. The symptom of fever was associated with virus detection, p &lt; 0.05. Infection with more than one virus was only found in the exacerbated COPD patients. Conclusion: Respiratory viral infection is associated with exacerbations of COPD. Rhinovirus was the most common infecting agent identified and in two cases human metapneumovirus was also detected. Dual infections were only seen amongst those patients admitted to hospital with acute exacerbations of COPD. Viruses were more commonly detected in those with more severe airways disease. (C) 2008 Elsevier Ltd. All rights reserved.</t>
  </si>
  <si>
    <t xml:space="preserve">[McManus, Terence E.; Marley, Anne-Marie; Baxter, Noreen; Elborn, J. Stuart; Kidney, Joseph C.] Belfast Hlth &amp; Social Care Trust, Dept Resp Med, Belfast BT14 6AB, Antrim, North Ireland; [McManus, Terence E.; Christie, Sharon N.; O'Neill, Hugh J.; Coyle, Peter V.] Belfast Hlth &amp; Social Care Trust, Reg Virus Lab, Belfast BT12 6BA, Antrim, North Ireland; [Christie, Sharon N.] Royal Belfast Hosp Sick Children, Belfast Hlth &amp; Social Care Trust, Belfast BT12 6BA, Antrim, North Ireland</t>
  </si>
  <si>
    <t xml:space="preserve">McManus, TE (corresponding author), Belfast Hlth &amp; Social Care Trust, Dept Resp Med, Belfast BT14 6AB, Antrim, North Ireland.</t>
  </si>
  <si>
    <t xml:space="preserve">terrymcmanus@doctors.org.uk</t>
  </si>
  <si>
    <t xml:space="preserve">Kidney, Joe/HTS-3014-2023</t>
  </si>
  <si>
    <t xml:space="preserve">elborn, joseph/0000-0002-2323-442X</t>
  </si>
  <si>
    <t xml:space="preserve">AstraZeneca, Boehringer Ingelheim and the Mater hospital</t>
  </si>
  <si>
    <t xml:space="preserve">AstraZeneca, Boehringer Ingelheim and the Mater hospital(AstraZeneca)</t>
  </si>
  <si>
    <t xml:space="preserve">Staff and patients of the Mater Hospital Belfast. This study was supported by a unrestricted grants from AstraZeneca, Boehringer Ingelheim and the Mater hospital.</t>
  </si>
  <si>
    <t xml:space="preserve">10.1016/j.rmed.2008.06.006</t>
  </si>
  <si>
    <t xml:space="preserve">381AH</t>
  </si>
  <si>
    <t xml:space="preserve">WOS:000261506700010</t>
  </si>
  <si>
    <t xml:space="preserve">Camargo, CA; Ginde, AA; Clark, S; Cartwright, CP; Falsey, AR; Niewoehner, DE</t>
  </si>
  <si>
    <t xml:space="preserve">Camargo, Carlos A., Jr.; Ginde, Adit A.; Clark, Sunday; Cartwright, Charles P.; Falsey, Ann R.; Niewoehner, Dennis E.</t>
  </si>
  <si>
    <t xml:space="preserve">Viral pathogens in acute exacerbations of chronic obstructive pulmonary disease</t>
  </si>
  <si>
    <t xml:space="preserve">INTERNAL AND EMERGENCY MEDICINE</t>
  </si>
  <si>
    <t xml:space="preserve">COPD; Exacerbation; Virus; Infection; Pulmonary; Emergency department</t>
  </si>
  <si>
    <t xml:space="preserve">RESPIRATORY SYNCYTIAL VIRUS; REVERSE TRANSCRIPTION-PCR; POLYMERASE CHAIN-REACTION; HUMAN METAPNEUMOVIRUS; INFECTIONS; ADULTS; DIAGNOSIS; INFLUENZA; ASSAY</t>
  </si>
  <si>
    <t xml:space="preserve">The objective of this study is to determine the prevalence of respiratory syncytial virus (RSV) and other viral respiratory pathogens in emergency department (ED) patients with acute exacerbations of chronic obstructive pulmonary disease (AECOPD). COPD patients presenting to the ED with &lt; 10 days of AECOPD symptoms were eligible. We used PCR to test nasal swabs for common viral respiratory pathogens. We completed viral studies on 76 patients from two EDs. Patients had a mean age of 72 years, and were 68% male, 99% white, and 29% current smokers. Influenza vaccination was reported by 87%. Viruses were detected in 19 of 76 patients (25%). These included RSV A (2) and B (4); parainfluenza 1 (1), 2 (0), and 3 (2); influenza A (3) and B (0); rhinovirus ( 4); and human metapneumovirus (3). A putative viral etiology was identified in 25% of AECOPD presenting for emergency care, of which approximately one-third were RSV-related.</t>
  </si>
  <si>
    <t xml:space="preserve">[Camargo, Carlos A., Jr.] Harvard Univ, Massachusetts Gen Hosp, Sch Med, Dept Emergency Med,EMNet Coordinating Ctr, Boston, MA 02114 USA; [Ginde, Adit A.] Univ Colorado, Dept Emergency Med, Aurora, CO USA; [Ginde, Adit A.] Beth Israel Deaconess Med Ctr, Dept Emergency Med, Boston, MA 02215 USA; [Clark, Sunday] Univ Pittsburgh, Div Gen Internal Med, Pittsburgh, PA USA; [Cartwright, Charles P.] Hennepin Cty Med Ctr, Dept Lab Med &amp; Pathol, Minneapolis, MN 55415 USA; [Falsey, Ann R.] Univ Rochester, Dept Med, Rochester, NY USA; [Niewoehner, Dennis E.] Vet Affairs Med Ctr, Pulm Sect, Minneapolis, MN USA</t>
  </si>
  <si>
    <t xml:space="preserve">Harvard University; Harvard Medical School; Massachusetts General Hospital; University of Colorado System; University of Colorado Anschutz Medical Campus; Harvard University; Beth Israel Deaconess Medical Center; Pennsylvania Commonwealth System of Higher Education (PCSHE); University of Pittsburgh; Hennepin County Medical Center; University of Rochester; US Department of Veterans Affairs; Veterans Health Administration (VHA); Minneapolis VA Health Care System</t>
  </si>
  <si>
    <t xml:space="preserve">Camargo, CA (corresponding author), Harvard Univ, Massachusetts Gen Hosp, Sch Med, Dept Emergency Med,EMNet Coordinating Ctr, 326 Cambridge St,Suite 410, Boston, MA 02114 USA.</t>
  </si>
  <si>
    <t xml:space="preserve">ccamargo@partners.org</t>
  </si>
  <si>
    <t xml:space="preserve">Clark, Sunday/AAA-5458-2021; Camargo, Carlos/C-2145-2008</t>
  </si>
  <si>
    <t xml:space="preserve">Aventis Pasteur ( Lyon, France)</t>
  </si>
  <si>
    <t xml:space="preserve">This study was supported by an investigator-initiated grant from Aventis Pasteur ( Lyon, France). We thank Sunghye Kim, Heba Wassif, Fernanda Gazoni, and Patricia Foster for their assistance in this study.</t>
  </si>
  <si>
    <t xml:space="preserve">1828-0447</t>
  </si>
  <si>
    <t xml:space="preserve">1970-9366</t>
  </si>
  <si>
    <t xml:space="preserve">INTERN EMERG MED</t>
  </si>
  <si>
    <t xml:space="preserve">Intern. Emerg. Med.</t>
  </si>
  <si>
    <t xml:space="preserve">10.1007/s11739-008-0197-0</t>
  </si>
  <si>
    <t xml:space="preserve">420VZ</t>
  </si>
  <si>
    <t xml:space="preserve">WOS:000264318600010</t>
  </si>
  <si>
    <t xml:space="preserve">He, ZF; Lin, SZ; Pan, CX; Chen, ZM; Cen, LJ; Zhang, XX; Huang, Y; Chen, CL; Zha, SS; Li, HM; Lin, ZH; Shi, MX; Zhong, NS; Guan, WJ</t>
  </si>
  <si>
    <t xml:space="preserve">He, Zhen-feng; Lin, Sheng-zhu; Pan, Cui-xia; Chen, Zhao-ming; Cen, Lai-jian; Zhang, Xiao-xian; Huang, Yan; Chen, Chun-lan; Zha, Shan-shan; Li, Hui-min; Lin, Zhen-hong; Shi, Ming-xin; Zhong, Nan-shan; Guan, Wei-jie</t>
  </si>
  <si>
    <t xml:space="preserve">The roles of bacteria and viruses in COPD-Bronchiectasis association: A prospective cohort study</t>
  </si>
  <si>
    <t xml:space="preserve">COPD-Bronchiectasis association; Virus; Bacteria; Acute exacerbation</t>
  </si>
  <si>
    <t xml:space="preserve">OBSTRUCTIVE PULMONARY-DISEASE; ACUTE EXACERBATIONS; RESPIRATORY VIRUSES; AIRWAY BACTERIAL; INFECTION</t>
  </si>
  <si>
    <t xml:space="preserve">Background: Exacerbations are implicated in bronchiectasis and COPD, which frequently co-exist [COPD-Bronchiectasis association (CBA)]. We aimed to determine the bacterial and viral spectrum at stable-state and exacerbation onset of CBA, and their association with exacerbations and clinical outcomes of CBA as compared with bronchiectasis. Methods: We prospectively collected spontaneous sputum from adults with CBA, bronchiectasis with (BO) and without airflow obstruction (BNO) for bacterial culture and viral detection at stable-state and exacerbations. Results: We enrolled 76 patients with CBA, 58 with BO, and 138 with BNO (711 stable and 207 exacerbation visits). Bacterial detection rate increased from BNO, CBA to BO at steady-state (P = 0.02), but not at AE onset (P = 0.91). No significant differences in viral detection rate were found among BNO, CBA and BO. Compared with steady-state, viral isolations occurred more frequently at exacerbation in BNO (15.8 % vs 32.1 %, P = 0.001) and CBA (19.5 % vs 30.6 %, P = 0.036) only. In CBA, isolation of viruses, human metapneumovirus and bacteria plus viruses was associated with exacerbation. Repeated detection of Pseudomonas aeruginosa (PA) correlated with higher modified Reiff score (P = 0.032) in CBA but not in BO (P = 0.178). Repeated detection of PA yielded a shorter time to the first exacerbation in CBA [median: 4.3 vs 11.1 months, P = 0.006] but not in BO (median: 8.4 vs 7.6 months, P = 0.47). Conclusions: Isolation of any viruses, human metapneumovirus and bacterialplus viruses was associated with CBA exacerbations. Repeated detection of PA confers greater impact of future exacerbations on CBA than on BO.</t>
  </si>
  <si>
    <t xml:space="preserve">[He, Zhen-feng; Lin, Sheng-zhu; Pan, Cui-xia; Chen, Zhao-ming; Cen, Lai-jian; Zhang, Xiao-xian; Zha, Shan-shan; Li, Hui-min; Lin, Zhen-hong; Shi, Ming-xin; Zhong, Nan-shan; Guan, Wei-jie] Guangzhou Med Univ, Guangzhou Inst Resp Hlth,Affiliated Hosp 1, Natl Clin Res Ctr Resp Dis,State Key Lab Resp Dis, Natl Ctr Resp Med,Dept Resp &amp; Crit Care Med, Guangzhou, Guangdong, Peoples R China; [Huang, Yan] South China Univ Technol, Guangzhou Peoples Hosp 1, Dept Geriatr, Natl Key Clin Specialty, Guangzhou, Peoples R China; [Chen, Chun-lan] Guangdong Acad Med Sci, Guangdong Prov Peoples Hosp, Dept Resp &amp; Crit Care Med, Guangzhou, Peoples R China; [Zhong, Nan-shan; Guan, Wei-jie] Guangzhou Natl Lab, Guangzhou, Peoples R China</t>
  </si>
  <si>
    <t xml:space="preserve">State Key Laboratory of Respiratory Disease; Guangzhou Medical University; South China University of Technology; Guangdong Academy of Medical Sciences &amp; Guangdong General Hospital; Southern Medical University - China; Guangzhou Laboratory</t>
  </si>
  <si>
    <t xml:space="preserve">Guan, WJ (corresponding author), Guangzhou Med Univ, Guangzhou Inst Resp Hlth,Affiliated Hosp 1, Natl Clin Res Ctr Resp Dis,State Key Lab Resp Dis, Natl Ctr Resp Med,Dept Resp &amp; Crit Care Med, Guangzhou, Guangdong, Peoples R China.</t>
  </si>
  <si>
    <t xml:space="preserve">battery203@163.com</t>
  </si>
  <si>
    <t xml:space="preserve">he, zhenfeng/AAH-7777-2019</t>
  </si>
  <si>
    <t xml:space="preserve">National Natural Science Foundation - Outstanding Youth Foundation [82222001]; Major Project of Guangzhou National Laboratory [GZNL2024A02003]; Guangdong Natural Science Foundation [2019A1515011634]; Zhong-nanshan Medical Foundation of Guangdong Province [ZNSA-2020013]; Guangzhou Science and Technology Plans [2023B03J0407, 202102010372, 202201020517]; Plan on Enhancing Scientific Research in Guangzhou Medical University</t>
  </si>
  <si>
    <t xml:space="preserve">National Natural Science Foundation - Outstanding Youth Foundation; Major Project of Guangzhou National Laboratory; Guangdong Natural Science Foundation(National Natural Science Foundation of Guangdong Province); Zhong-nanshan Medical Foundation of Guangdong Province; Guangzhou Science and Technology Plans; Plan on Enhancing Scientific Research in Guangzhou Medical University</t>
  </si>
  <si>
    <t xml:space="preserve">This study was funded by the National Natural Science Foundation - Outstanding Youth Foundation [No. 82222001] , Major Project of Guangzhou National Laboratory (No. GZNL2024A02003) , Guangdong Natural Science Foundation [No. 2019A1515011634] , and the Zhong-nanshan Medical Foundation of Guangdong Province [No. ZNSA-2020013] , Guangzhou Science and Technology Plans [No. 2023B03J0407 and 202102010372] , Plan on Enhancing Scientific Research in Guangzhou Medical University (grant number not applicable) (one each to Prof. Guan and Dr. He) , Guangzhou Science and Technology Plans [No. 202201020517] (to Dr. Zhang) .</t>
  </si>
  <si>
    <t xml:space="preserve">10.1016/j.rmed.2024.107692</t>
  </si>
  <si>
    <t xml:space="preserve">JUN 2024</t>
  </si>
  <si>
    <t xml:space="preserve">WP9D0</t>
  </si>
  <si>
    <t xml:space="preserve">WOS:001256185600001</t>
  </si>
  <si>
    <t xml:space="preserve">Hosseini, SS; Jamaati, H; Roodbari, F; Emamzadegan, B</t>
  </si>
  <si>
    <t xml:space="preserve">Hosseini, Seyedeh Somayeh; Jamaati, Hamidreza; Roodbari, Fatemeh; Emamzadegan, Behzad</t>
  </si>
  <si>
    <t xml:space="preserve">Respiratory Viral Infections in Patients With COPD Exacerbation</t>
  </si>
  <si>
    <t xml:space="preserve">HEALTHMED</t>
  </si>
  <si>
    <t xml:space="preserve">COPD exacerbation; Viral infection; COPD</t>
  </si>
  <si>
    <t xml:space="preserve">OBSTRUCTIVE PULMONARY-DISEASE; QUALITY-OF-LIFE; SYMPTOMS; VIRUSES</t>
  </si>
  <si>
    <t xml:space="preserve">Background: There is growing evidence that viral infections play a role as a risk factor for COPD exacerbation. This study aimed at epidemiological evaluation of viral respiratory infections in patients COPD exacerbation. Materials and Methods: In this descriptive cross-sectional study respiratory syncytial viruses (RSV), influenza viruses A, B and C, Parainfluenza viruses 1, 2 and 3, picornaviruses, corona viruses, adenoviruses, HMPV (human metapneumovirus) and human bocavirus (HBOV) were screened using nested PCR from 111 sputum, nasal lavage, and throat wash samples of patients with COPD exacerbation. Results: A total of 43.24% of samples were positive for under study viruses. Influenza viruses, RSV, parainfluenza, picornaviruses, corona viruses, adenoviruses, HMPV and HBOV were detected in 3.6% (2 cases had type A and 2 cases had type C), 2.7% (all had type B), 1.8% (all had type 1), 21.6% (12 had rhinovirus and 12 had enterovirus), 17.12% (8 cases had OC43, 10 cases had 229E, and 1 case had NL63), 5.4%, 0.9% and 0.9% of under study patients, respectively. A total of 13 cases had co-infections. Conclusion: Our study showed that respiratory viral infections were associated with COPD exacerbations. Picornaviruses and corona viruses were detected to be the most common cause of infection.</t>
  </si>
  <si>
    <t xml:space="preserve">[Hosseini, Seyedeh Somayeh] Azad Islamic Univ, Jahrom Unit, Fars, Iran; [Jamaati, Hamidreza] Shahid Beheshti Univ Med Sci, Masih Daneshvari Hosp, NRITLD, Tobacco Prevent &amp; Control Res Ctr, Tehran, Iran; [Roodbari, Fatemeh] Univ Mazandaran, Dept Biol, Fac Basicsci, Babol Sar, Iran; [Emamzadegan, Behzad] Univ Tehran Med Sci, Tehran, Iran</t>
  </si>
  <si>
    <t xml:space="preserve">Islamic Azad University; Shahid Beheshti University Medical Sciences; University of Mazandaran; Tehran University of Medical Sciences</t>
  </si>
  <si>
    <t xml:space="preserve">Hosseini, SS (corresponding author), Azad Islamic Univ, Jahrom Unit, Fars, Iran.</t>
  </si>
  <si>
    <t xml:space="preserve">hoseini_somaye@yahoo.corn</t>
  </si>
  <si>
    <t xml:space="preserve">Roodbari, Fatemeh/AAO-3583-2020; jammati, Hamidreza/G-4098-2017</t>
  </si>
  <si>
    <t xml:space="preserve">jammati, Hamidreza/0000-0002-9372-3253</t>
  </si>
  <si>
    <t xml:space="preserve">DRUNPP-SARAJEVO</t>
  </si>
  <si>
    <t xml:space="preserve">SARAJEVO</t>
  </si>
  <si>
    <t xml:space="preserve">BOLNICKA BB, SARAJEVO, 71000, BOSNIA &amp; HERCEG</t>
  </si>
  <si>
    <t xml:space="preserve">1840-2291</t>
  </si>
  <si>
    <t xml:space="preserve">1986-8103</t>
  </si>
  <si>
    <t xml:space="preserve">HealthMED</t>
  </si>
  <si>
    <t xml:space="preserve">911WP</t>
  </si>
  <si>
    <t xml:space="preserve">WOS:000301754800004</t>
  </si>
  <si>
    <t xml:space="preserve">Céspedes, PF; Gonzalez, PA; Kalergis, AM</t>
  </si>
  <si>
    <t xml:space="preserve">Cespedes, Pablo F.; Gonzalez, Pablo A.; Kalergis, Alexis M.</t>
  </si>
  <si>
    <t xml:space="preserve">Human metapneumovirus keeps dendritic cells from priming antigen-specific naive T cells</t>
  </si>
  <si>
    <t xml:space="preserve">IMMUNOLOGY</t>
  </si>
  <si>
    <t xml:space="preserve">conventional dendritic cells; immunological synapse; naive T cells; respiratory viruses; T-cell priming; type I interferons</t>
  </si>
  <si>
    <t xml:space="preserve">RESPIRATORY SYNCYTIAL VIRUS; INDUCIBLE GENE-I; IMMUNOLOGICAL SYNAPSE; ADAPTIVE IMMUNITY; INFECTION; INTERFERON; MODULATION; POLARIZATION; PNEUMOVIRUS; REINFECTION</t>
  </si>
  <si>
    <t xml:space="preserve">Human metapneumovirus (hMPV) is the second most common cause of acute lower respiratory tract infections in children, causing a significant public health burden worldwide. Given that hMPV can repeatedly infect the host without major antigenic changes, it has been suggested that hMPV may have evolved molecular mechanisms to impair host adaptive immunity and, more specifically, T-cell memory. Recent studies have shown that hMPV can interfere with superantigen-induced T-cell activation by infecting conventional dendritic cells (DCs). Here, we show that hMPV infects mouse DCs in a restricted manner and induces moderate maturation. Nonetheless, hMPV-infected DCs are rendered inefficient at activating naive antigen-specific CD4+ T cells (OT-II), which not only display reduced proliferation, but also show a marked reduction in surface activation markers and interleukin-2 secretion. Decreased T-cell activation was not mediated by interference with DC-T-cell immunological synapse formation as recently described for the human respiratory syncytial virus (hRSV), but rather by soluble factors secreted by hMPV-infected DCs. These data suggest that although hMPV infection is restricted within DCs, it is sufficient to interfere with their capacity to activate naive T cells. Altogether, by interfering with DC function and productive priming of antigen-inexperienced T cells, hMPV could impair the generation of long-term immunity.</t>
  </si>
  <si>
    <t xml:space="preserve">[Cespedes, Pablo F.; Gonzalez, Pablo A.; Kalergis, Alexis M.] Pontificia Univ Catolica Chile, Fac Ciencias Biol, Millennium Inst Immunol &amp; Immunotherapy, Dept Mol Genet &amp; Microbiol, Santiago 8331010, Chile; [Kalergis, Alexis M.] Pontificia Univ Catolica Chile, Fac Med, Dept Reumatol, Santiago 8331010, Chile; [Kalergis, Alexis M.] INSERM, U1064, Nantes, France</t>
  </si>
  <si>
    <t xml:space="preserve">Pontificia Universidad Catolica de Chile; Pontificia Universidad Catolica de Chile; Institut National de la Sante et de la Recherche Medicale (Inserm)</t>
  </si>
  <si>
    <t xml:space="preserve">Kalergis, AM (corresponding author), Pontificia Univ Catolica Chile, Fac Ciencias Biol, Millennium Inst Immunol &amp; Immunotherapy, Alameda 340, Santiago 8331010, Chile.</t>
  </si>
  <si>
    <t xml:space="preserve">Gonzalez, Pablo Alberto/L-1973-2013</t>
  </si>
  <si>
    <t xml:space="preserve">Gonzalez, Pablo Alberto/0000-0001-7709-6870; Cespedes Donoso, Pablo Francisco/0000-0002-1641-4107; Cespedes, Pablo/0000-0002-4112-4531; Kalergis, Alexis/0000-0001-7622-5263</t>
  </si>
  <si>
    <t xml:space="preserve">Fondo Nacional de Desarrollo Cientifico y Tecnologico (FONDECYT) [3100090, 1070352]; FONDEF [D061008]; Biomedical Research Consortium [CTU06]; Millennium Institute on Immunology and Immunotherapy [P07/088-F]; Comision Nacional de Investigacion Cientifica y Tecnologica (CONICYT)</t>
  </si>
  <si>
    <t xml:space="preserve">Fondo Nacional de Desarrollo Cientifico y Tecnologico (FONDECYT)(Comision Nacional de Investigacion Cientifica y Tecnologica (CONICYT)CONICYT FONDECYT); FONDEF; Biomedical Research Consortium; Millennium Institute on Immunology and Immunotherapy; Comision Nacional de Investigacion Cientifica y Tecnologica (CONICYT)(Comision Nacional de Investigacion Cientifica y Tecnologica (CONICYT))</t>
  </si>
  <si>
    <t xml:space="preserve">We would like to thank Dr Ron Fouchier at the Erasmus Medical Centre, Rotterdam, the Netherlands for kindly providing the hMPV NL/1/00 reference strain and its GFP recombinant derivative. We also thank Dr Pierre Pothier at the University of Dijon for kindly providing us with XD10.C7 monoclonal antibody. We are grateful to Dr Susan M. Bueno and Dr Leandro J. Carreno for critically reading the manuscript. This work was supported by Fondo Nacional de Desarrollo Cientifico y Tecnologico Grants (FONDECYT) 3100090, 1070352; FONDEF D061008; Biomedical Research Consortium CTU06 and the Millennium Institute on Immunology and Immunotherapy (P07/088-F). PAG and PFC are supported by the Comision Nacional de Investigacion Cientifica y Tecnologica (CONICYT). AMK is a Chaire De La Region Pays De La Loire, Chercheur Etranger D'excellence, France.</t>
  </si>
  <si>
    <t xml:space="preserve">0019-2805</t>
  </si>
  <si>
    <t xml:space="preserve">1365-2567</t>
  </si>
  <si>
    <t xml:space="preserve">10.1111/imm.12083</t>
  </si>
  <si>
    <t xml:space="preserve">164EU</t>
  </si>
  <si>
    <t xml:space="preserve">WOS:000320392500012</t>
  </si>
  <si>
    <t xml:space="preserve">Gilardi, K; Nziza, J; Ssebide, B; Syaluha, EK; Muvunyi, R; Aruho, R; Shalukoma, C; Seguya, A; Masozera, AB</t>
  </si>
  <si>
    <t xml:space="preserve">Gilardi, Kirsten; Nziza, Julius; Ssebide, Benard; Syaluha, Eddy Kambale; Muvunyi, Richard; Aruho, Robert; Shalukoma, Chantal; Seguya, Andrew; Masozera, Anna Behm</t>
  </si>
  <si>
    <t xml:space="preserve">Endangered mountain gorillas and COVID-19: One health lessons for prevention and preparedness during a global pandemic</t>
  </si>
  <si>
    <t xml:space="preserve">conservation; contingency planning; COVID-19; Gorilla beringei beringei; mountain gorilla; risk management</t>
  </si>
  <si>
    <t xml:space="preserve">RESPIRATORY SYNCYTIAL VIRUS; HUMAN METAPNEUMOVIRUS INFECTION; WILD CHIMPANZEES; STREPTOCOCCUS-PNEUMONIAE; PAN-TROGLODYTES; NATIONAL-PARK; DISEASE; OUTBREAKS; RWANDA</t>
  </si>
  <si>
    <t xml:space="preserve">The world's 1063 mountain gorillas (Gorilla beringei beringei) live in two subpopulations at the borders of the Democratic Republic of Congo, Rwanda, and Uganda. The majority of mountain gorillas are human-habituated to facilitate tourism and research, which brings mountain gorillas into close proximity of people daily. Wild great apes are proven to be susceptible to human pathogens, including viruses that have caused fatal respiratory disease in mountain gorillas (e.g., human metapneumovirus(1)). This is the result of the close genetic relatedness of humans and gorillas as species, and the structural and genetic similarity in molecular receptors that allow viruses to infect cells(2). At the time of writing, there is no evidence that severe acute respiratory syndrome coronavirus 2, the coronavirus that causes coronavirus disease 19 (COVID-19), has infected a mountain gorilla. However, due to the significant potential for human-to-gorilla transmission, mountain gorilla range States took immediate steps to minimize the COVID-19 threat. These actions included a combination of preventive practice around gorillas and other great apes (e.g., mandatory face mask use, increased social minimum distancing from gorillas) as well as human public health measures (e.g., daily health/fever screenings, COVID-19 screening, and quarantines). Minimization of the COVID-19 threat also required socioeconomic decision-making and political will, as all gorilla tourism was suspended by late March 2020 and guidelines developed for tourism reopening. A consortium that collaborates and coordinates on mountain gorilla management and conservation, working within an intergovernmental institutional framework, took a multifaceted One Health approach to address the COVID-19 threat to mountain gorillas by developing a phased contingency plan for prevention and response. The aim of this paper is to describe how range States and partners achieved this collaborative planning effort, with intent that this real-world experience will inform similar actions at other great ape sites.</t>
  </si>
  <si>
    <t xml:space="preserve">[Gilardi, Kirsten; Nziza, Julius; Ssebide, Benard; Syaluha, Eddy Kambale] Univ Calif Davis, Gorilla Doctors MGVP Inc, Karen C Drayer Wildlife Hlth Ctr, 1 Shields Ave, Davis, CA 95616 USA; [Muvunyi, Richard] Rwanda Dev Board, Dept Tourism &amp; Conservat, Kigali, Rwanda; [Aruho, Robert] Uganda Wildlife Author, Monitoring &amp; Res Program, Kampala, Uganda; [Shalukoma, Chantal] Inst Congolais Conservat Nat, Virunga Natl Pk, Rumangabo, Rep Congo; [Seguya, Andrew] Greater Virunga Transboundary Collaborat, Kigali, Rwanda; [Masozera, Anna Behm] Int Gorilla Conservat Programme, Kigali, Rwanda</t>
  </si>
  <si>
    <t xml:space="preserve">University of California System; University of California Davis</t>
  </si>
  <si>
    <t xml:space="preserve">Gilardi, K (corresponding author), Univ Calif Davis, Gorilla Doctors MGVP Inc, Karen C Drayer Wildlife Hlth Ctr, 1 Shields Ave, Davis, CA 95616 USA.</t>
  </si>
  <si>
    <t xml:space="preserve">kvgilardi@ucdavis.edu</t>
  </si>
  <si>
    <t xml:space="preserve">Masozera, Anna/KCZ-2036-2024</t>
  </si>
  <si>
    <t xml:space="preserve">Partners in Conservation/Columbus Zoo and Aquarium; United Nations Educational, Scientific and Cultural Organization</t>
  </si>
  <si>
    <t xml:space="preserve">4-5</t>
  </si>
  <si>
    <t xml:space="preserve">e23291</t>
  </si>
  <si>
    <t xml:space="preserve">10.1002/ajp.23291</t>
  </si>
  <si>
    <t xml:space="preserve">2B3CJ</t>
  </si>
  <si>
    <t xml:space="preserve">WOS:000659514600001</t>
  </si>
  <si>
    <t xml:space="preserve">Sel, K; Aypar, E; Dönmez, YN; Aliyev, E; Aykan, HH; Karagöz, T; Alehan, D</t>
  </si>
  <si>
    <t xml:space="preserve">Sel, Kutay; Aypar, Ebru; Donmez, Yasemin Nuran; Aliyev, Emil; Aykan, Hakan Hayrettin; Karagoz, Tevfik; Alehan, Dursun</t>
  </si>
  <si>
    <t xml:space="preserve">Palivizumab compliance in congenital heart disease patients: factors related to compliance and altered lower respiratory tract infection viruses after palivizumab prophylaxis</t>
  </si>
  <si>
    <t xml:space="preserve">Congenital heart disease; respiratory syncytial virus; palivizumab</t>
  </si>
  <si>
    <t xml:space="preserve">SYNCYTIAL VIRUS; HOSPITALIZATION; PREVENTION; CHILDREN; INFANTS; RISK</t>
  </si>
  <si>
    <t xml:space="preserve">Background: Lower respiratory tract infections caused by respiratory syncytial virus can be severe during infancy, which requires admission to the hospital. These infections may be more severe especially in patients with congenital heart disease. Passive immunisation with palivizumab, a monoclonal antibody, is recommended in high-risk infants. We tried to determine the compliance rates, factors affecting compliance, and also other microorganisms responsible for lower respiratory tract infections after palivizumab prophylaxis in these patients. Methods: We evaluated patients' compliance to prophylaxis with palivizumab in two consecutive respiratory syncytial virus seasons from pharmacy records. We also investigated factors affecting compliance and the frequency of hospitalisations for lower respiratory tract infections. We investigated the causative microorganisms detected in hospitalised patients. Results: In this study, 86.7% of the desired number of injections was achieved in 176 patients in two seasons. Out of these, 117 patients (66.4%) received all the doses they were prescribed. Although not statistically significant, compliance to prophylaxis was higher in male patients, cyanotic patients, those who started under 1 year old, and who lived in the city centre. Human metapneumovirus, parainfluenza type 3, and bocavirus were detected in the hospitalised patients. Conclusion: Patients with congenital heart disease can survive the period of infancy with less problem by making palivizumab prophylaxis more effective, and awareness about non- respiratory syncytial virus factors may be a guide for the development of new treatments.</t>
  </si>
  <si>
    <t xml:space="preserve">[Sel, Kutay; Aypar, Ebru; Donmez, Yasemin Nuran; Aliyev, Emil; Aykan, Hakan Hayrettin; Karagoz, Tevfik; Alehan, Dursun] Hacettepe Univ, Fac Med, Dept Pediat Cardiol, Ihsan Dogramaci Childrens Hosp, TR-06100 Ankara, Turkey</t>
  </si>
  <si>
    <t xml:space="preserve">Hacettepe University</t>
  </si>
  <si>
    <t xml:space="preserve">Sel, K (corresponding author), Hacettepe Univ, Fac Med, Dept Pediat Cardiol, Ihsan Dogramaci Childrens Hosp, TR-06100 Ankara, Turkey.</t>
  </si>
  <si>
    <t xml:space="preserve">kutaysel@yahoo.com</t>
  </si>
  <si>
    <t xml:space="preserve">Donmez, Yasemin/IZQ-5427-2023; AYPAR, EBRU/K-6699-2017; Sel, Kutay/ABV-2160-2022; Alehan, Dursun/AAA-6211-2020; Aliyev, Emil/JVP-0345-2024</t>
  </si>
  <si>
    <t xml:space="preserve">Aykan, Hayrettin Hakan/0000-0001-5136-3977; Aliyev, Emil/0000-0002-3574-2982; Sel, Kutay/0000-0001-5932-7372; AYPAR, EBRU/0000-0003-1371-8399</t>
  </si>
  <si>
    <t xml:space="preserve">PII S1047951120001092</t>
  </si>
  <si>
    <t xml:space="preserve">10.1017/S1047951120001092</t>
  </si>
  <si>
    <t xml:space="preserve">NE2WG</t>
  </si>
  <si>
    <t xml:space="preserve">WOS:000562457600010</t>
  </si>
  <si>
    <t xml:space="preserve">Pinky, L; Dobrovolny, HM</t>
  </si>
  <si>
    <t xml:space="preserve">Pinky, Lubna; Dobrovolny, Hana M.</t>
  </si>
  <si>
    <t xml:space="preserve">SARS-CoV-2 coinfections: Could influenza and the common cold be beneficial?</t>
  </si>
  <si>
    <t xml:space="preserve">computer modeling; human metapneumovirus; human rhinovirus; influenza virus; respiratory syncytial virus; SARS coronavirus</t>
  </si>
  <si>
    <t xml:space="preserve">RESPIRATORY SYNCYTIAL VIRUS; RHINOVIRUS INFECTION; INCUBATION PERIODS; IN-VITRO; COVID-19; PATHOGENS; SEVERITY; CHILDREN</t>
  </si>
  <si>
    <t xml:space="preserve">The novel coronavirus severe acute respiratory syndrome coronavirus 2 (SARS-CoV-2) has rapidly spread around the world, causing serious illness and death and creating a heavy burden on the healthcare systems of many countries. Since the virus first emerged in late November 2019, its spread has coincided with peak circulation of several seasonal respiratory viruses, yet some studies have noted limited coinfections between SARS-CoV-2 and other viruses. We use a mathematical model of viral coinfection to study SARS-CoV-2 coinfections, finding that SARS-CoV-2 replication is easily suppressed by many common respiratory viruses. According to our model, this suppression is because SARS-CoV-2 has a lower growth rate (1.8/d) than the other viruses examined in this study. The suppression of SARS-CoV-2 by other pathogens could have implications for the timing and severity of a second wave.</t>
  </si>
  <si>
    <t xml:space="preserve">[Pinky, Lubna] Univ Tennessee, Ctr Hlth Sci, Dept Pediat, Memphis, TN 38163 USA; [Dobrovolny, Hana M.] Texas Christian Univ, Dept Phys &amp; Astron, 2800 S Univ Dr, Ft Worth, TX 76129 USA</t>
  </si>
  <si>
    <t xml:space="preserve">University of Tennessee System; University of Tennessee Health Science Center; Texas Christian University</t>
  </si>
  <si>
    <t xml:space="preserve">Dobrovolny, HM (corresponding author), Texas Christian Univ, Dept Phys &amp; Astron, 2800 S Univ Dr, Ft Worth, TX 76129 USA.</t>
  </si>
  <si>
    <t xml:space="preserve">h.dobrovolny@tcu.edu</t>
  </si>
  <si>
    <t xml:space="preserve">Dobrovolny, Hana/A-2447-2013; Pinky, Lubna/IAO-2014-2023</t>
  </si>
  <si>
    <t xml:space="preserve">Dobrovolny, Hana/0000-0003-3592-6770; Pinky, Lubna/0000-0001-6826-3753</t>
  </si>
  <si>
    <t xml:space="preserve">10.1002/jmv.26098</t>
  </si>
  <si>
    <t xml:space="preserve">NU0EN</t>
  </si>
  <si>
    <t xml:space="preserve">WOS:000541083100001</t>
  </si>
  <si>
    <t xml:space="preserve">Franquet, T; Rodríguez, S; Martino, R; Salinas, T; Giménez, A; Hidalgo, A</t>
  </si>
  <si>
    <t xml:space="preserve">Human metapneumovirus infection in hematopoietic stem cell transplant recipients -: High-resolution computed tomography findings</t>
  </si>
  <si>
    <t xml:space="preserve">JOURNAL OF COMPUTER ASSISTED TOMOGRAPHY</t>
  </si>
  <si>
    <t xml:space="preserve">computed tomography; lung; infection</t>
  </si>
  <si>
    <t xml:space="preserve">ACUTE LUNG-DISEASE; IMMUNOCOMPROMISED HOST; BONE-MARROW; CT FINDINGS; PNEUMONIA; BLOOD</t>
  </si>
  <si>
    <t xml:space="preserve">Purpose: To review the high-resolution computed tomography (CT) findings in hematopoietic stem cell transplant (HCT) recipients who had proven human metapneumovirus (HMPV) pneumonia. Materials and Methods: The study included 5 HCT recipients who had proven HMPV pneumonia. The patients included 4 men and 1 woman ranging in age from 23 to 58 years (mean age = 42 years). The CT scans were assessed for the presence, appearance, size, and distribution of parenchymal abnormalities. Results: Human metapneumovirus was isolated in all 5 patients in this series. None of these patients had any other infectious organism identified in cultures or bronchoalveolar lavage. The predominant CT findings were bilateral abnormalities in all patients, consisting primarily of a mixture of patterns, including, most commonly, ground-glass attenuation and nodular opacities. Areas of ground-glass opacification had no zonal predominance and were bilateral, asymmetric, and patchily distributed. Multiple nodules were identified in 4 (80%) of 5 patients. Nodules were multiple; less than 5 nodules were identified in 1 case, and 5 to 10 nodules were identified in 3 cases. All nodules in all cases were less than 10 mm in diameter. Areas of air-space consolidation were identified in 2 (40%) patients. All patients were available for follow-up; lesions improved in 4 patients. Conclusion: The thin-section CT manifestations of HMPV pneumonia usually consist of a mixture of patterns, including, most commonly, ground-glass attenuation and nodular opacities.</t>
  </si>
  <si>
    <t xml:space="preserve">Univ Autonoma Barcelona, Hosp Sant Pau, Dept Radiol, Barcelona 08025, Spain; Univ Autonoma Barcelona, Hosp Sant Pau, Dept Hematol, Barcelona 08025, Spain</t>
  </si>
  <si>
    <t xml:space="preserve">Hospital of Santa Creu i Sant Pau; Autonomous University of Barcelona; Autonomous University of Barcelona; Hospital of Santa Creu i Sant Pau</t>
  </si>
  <si>
    <t xml:space="preserve">Univ Autonoma Barcelona, Hosp Sant Pau, Dept Radiol, Avda Sant Antoni M Claret 167, Barcelona 08025, Spain.</t>
  </si>
  <si>
    <t xml:space="preserve">19429tfc@comb.es</t>
  </si>
  <si>
    <t xml:space="preserve">Gimenez, Ana/0000-0002-3898-0652; MARTINO, RODRIGO/0000-0001-5143-4042</t>
  </si>
  <si>
    <t xml:space="preserve">0363-8715</t>
  </si>
  <si>
    <t xml:space="preserve">1532-3145</t>
  </si>
  <si>
    <t xml:space="preserve">J COMPUT ASSIST TOMO</t>
  </si>
  <si>
    <t xml:space="preserve">J. Comput. Assist. Tomogr.</t>
  </si>
  <si>
    <t xml:space="preserve">10.1097/01.rct.0000157087.14838.4c</t>
  </si>
  <si>
    <t xml:space="preserve">911UH</t>
  </si>
  <si>
    <t xml:space="preserve">WOS:000228030400013</t>
  </si>
  <si>
    <t xml:space="preserve">Davis, CR; Stockmann, C; Pavia, AT; Byington, CL; Blaschke, AJ; Hersh, AL; Thorell, EA; Korgenski, K; Daly, J; Ampofo, K</t>
  </si>
  <si>
    <t xml:space="preserve">Davis, Carly R.; Stockmann, Chris; Pavia, Andrew T.; Byington, Carrie L.; Blaschke, Anne J.; Hersh, Adam L.; Thorell, Emily A.; Korgenski, Kent; Daly, Judy; Ampofo, Krow</t>
  </si>
  <si>
    <t xml:space="preserve">Incidence, Morbidity, and Costs of Human Metapneumovirus Infection in Hospitalized Children</t>
  </si>
  <si>
    <t xml:space="preserve">complications; disease severity; HMPV; hospital cost; human metapneumovirus</t>
  </si>
  <si>
    <t xml:space="preserve">RESPIRATORY SYNCYTIAL VIRUS; ADVERSE DRUG EVENTS; YOUNG-CHILDREN; TRACT DISEASE; INFLUENZA-VIRUS; RISK-FACTORS; BURDEN; COMPLICATIONS; EPIDEMIOLOGY; INFANTS</t>
  </si>
  <si>
    <t xml:space="preserve">Background. Human metapneumovirus (HMPV) causes acute respiratory tract infections in infants and children. We sought to measure the clinical and economic burden of HMPV infection in hospitalized children. Methods. We conducted a retrospective cohort study from 2007 to 2013 at Primary Children's Hospital in Salt Lake City, Utah. Children &lt;18 years of age with laboratory-confirmed HMPV infection were included. Demographic, clinical, and financial data were abstracted from the electronic medical record. Results. During the study period, 815 children were hospitalized with laboratory-confirmed HMPV infection: 16% &lt;6 months, 50% 6-23 months, 23% 2-4 years, and 11% 5-17 years of age. A complex chronic condition was identified in 453 (56%) children hospitalized with HMPV infection; this proportion increased with increasing age (P &lt; .001). There was marked variation in annual HMPV hospitalization rates, ranging from 9 of 100 000 person-years in 2012-2013 to 79 of 100 000 in 2009-2010. Hospitalization rates were highest among children &lt;2 years (200 of 100 000 person-years) and lowest among children 5-17 years of age (5 of 100 000). Of hospitalized children, 18% were treated in the intensive care unit and 6% required mechanical ventilation. The median length of stay was 2.8 days (interquartile range [IQR], 1.8-4.6) and did not vary by age. The median total hospital cost per patient was $5513 (IQR, $3850-$9946) with significantly higher costs for patients with chronic medical conditions (P &lt; .001). Conclusions. Human metapneumovirus infection results in a large number of hospitalizations with substantial morbidity, resource utilization, and costs. The development of a safe and effective vaccine could reduce the clinical and economic burden of HMPV.</t>
  </si>
  <si>
    <t xml:space="preserve">[Davis, Carly R.; Stockmann, Chris; Pavia, Andrew T.; Byington, Carrie L.; Blaschke, Anne J.; Hersh, Adam L.; Thorell, Emily A.; Korgenski, Kent; Ampofo, Krow] Univ Utah, Hlth Sci Ctr, Dept Pediat, Salt Lake City, UT USA; [Korgenski, Kent; Daly, Judy] Intermt Healthcare, Salt Lake City, UT USA</t>
  </si>
  <si>
    <t xml:space="preserve">Utah System of Higher Education; University of Utah; Intermountain Healthcare; Intermountain Medical Center</t>
  </si>
  <si>
    <t xml:space="preserve">Ampofo, K (corresponding author), Univ Utah, Hlth Sci Ctr, Dept Pediat, Div Pediat Infect Dis, 295 Chipeta Way, Salt Lake City, UT 84108 USA.</t>
  </si>
  <si>
    <t xml:space="preserve">Stockmann, Chris/P-1996-2014; Kumar, Praveen/KHC-7586-2024; Blaschke, Anne/GOJ-7946-2022</t>
  </si>
  <si>
    <t xml:space="preserve">National Institute of Allergy and Infectious Diseases [U01A1082482, U01 AI074419, U01AI082184, K23-AI079401]; Centers for Disease Control Prevention [U18-IP000303]; University of Utah, Department of Pediatrics through Children's Health Research Center; Pediatric Clinical and Translational Research Scholars Program; Primary Children's Medical Center Foundation; H.A. and Edna Benning Presidential Endowment; American Foundation for Pharmaceutical Education's Clinical Pharmaceutical Sciences Fellowship</t>
  </si>
  <si>
    <t xml:space="preserve">National Institute of Allergy and Infectious Diseases(United States Department of Health &amp; Human ServicesNational Institutes of Health (NIH) - USANIH National Institute of Allergy &amp; Infectious Diseases (NIAID)); Centers for Disease Control Prevention(United States Department of Health &amp; Human ServicesCenters for Disease Control &amp; Prevention - USA); University of Utah, Department of Pediatrics through Children's Health Research Center; Pediatric Clinical and Translational Research Scholars Program; Primary Children's Medical Center Foundation; H.A. and Edna Benning Presidential Endowment; American Foundation for Pharmaceutical Education's Clinical Pharmaceutical Sciences Fellowship</t>
  </si>
  <si>
    <t xml:space="preserve">This work was supported by grants from the National Institute of Allergy and Infectious Diseases (Grant U01A1082482 [to K. A. and C. L. B.], Grant U01 AI074419 [to C. L. B. and A. T. P.], Grant U01AI082184 [to A. J. B. and A. T. P.], Grant K23-AI079401 [to A. J. B.]) and the Centers for Disease Control Prevention (Grant U18-IP000303 [to C. S., K. A., C. L. B., A. J. B., and A. T. P.]). This project was further supported by the University of Utah, Department of Pediatrics, through the Children's Health Research Center and the Pediatric Clinical and Translational Research Scholars Program, and the Primary Children's Medical Center Foundation. C. L. B. is supported by the H.A. and Edna Benning Presidential Endowment and C. S. is supported by the American Foundation for Pharmaceutical Education's Clinical Pharmaceutical Sciences Fellowship.</t>
  </si>
  <si>
    <t xml:space="preserve">10.1093/jpids/piv027</t>
  </si>
  <si>
    <t xml:space="preserve">DZ8RH</t>
  </si>
  <si>
    <t xml:space="preserve">WOS:000386138100012</t>
  </si>
  <si>
    <t xml:space="preserve">Banerjee, D; Hassan, F; Avadhanula, V; Piedra, PA; Boom, J; Sahni, LC; Weinberg, GA; Lindstrom, S; Rha, B; Harrison, CJ; Selvarangan, R</t>
  </si>
  <si>
    <t xml:space="preserve">Banerjee, Dithi; Hassan, Ferdaus; Avadhanula, Vasanthi; Piedra, Pedro A.; Boom, Julie; Sahni, Leila C.; Weinberg, Geoffrey A.; Lindstrom, Stephen; Rha, Brian; Harrison, Christopher J.; Selvarangan, Rangaraj</t>
  </si>
  <si>
    <t xml:space="preserve">Comparative analysis of three multiplex platforms for the detection of respiratory viral pathogens</t>
  </si>
  <si>
    <t xml:space="preserve">Comparative performance; Multiplex assays; Respiratory virus</t>
  </si>
  <si>
    <t xml:space="preserve">VIRUS-ASSOCIATED HOSPITALIZATIONS; TAQMAN ARRAY CARD; CLINICAL-EVALUATION; YOUNG-CHILDREN; UNITED-STATES; PANEL; TIME; ILLNESS; ASSAY; PERFORMANCE</t>
  </si>
  <si>
    <t xml:space="preserve">Background: Acute viral respiratory infections are a major health burden in children worldwide. In recent years, rapid and sensitive multiplex nucleic acid amplification tests (NAATs) have replaced conventional methods for routine virus detection in the clinical laboratory. Objective/Study design: We compared BioFire (R) FilmArray (R) Respiratory Panel (FilmArray V1.7), Luminex NxTag (R) Respiratory Pathogen Panel (NxTag RPP) and Applied Biosystems TaqMan Array Card (TAC) for the detection of eight viruses in pediatric respiratory specimens. Results from the three platforms were analyzed with a single-plex real-time RT-PCR (rRT-PCR) assay for each virus. Results: Of the 170/210 single-plex virus-positive samples, FilmArray detected a virus in 166 (97.6%), TAC in 163 (95.8%) and NxTag RPP in 160 (94.1%) samples. The Positive Percent Agreement (PPA) of FilmArray, NxTag RPP and TAC was highest for influenza B (100%, 100% and 95.2% respectively) and lowest for seasonal coro-naviruses on both FilmArray (90.2%) and NxTag RPP (81.8%), and for parainfluenza viruses 1-4 on TAC (84%). The Negative Percent Agreement (NPA) was lowest for rhinovirus/enterovirus (92.9%, 96.7% and 97.3%) on FilmArray, NxTag RPP and TAC respectively. NPA for all three platforms was highest (100%) for both para-influenza viruses 1-4 and influenza A and B, and 100% for human metapneumovirus with TAC as well. Conclusion: All three multiplex platforms displayed high overall agreement (&gt;90%) and high NPA (&gt;90%), while PPA was pathogen dependent and varied among platforms; high PPA (&gt;90%) was observed for FilmArray for all eight viruses, TAC for six viruses and NxTag RPP for 4 viruses.</t>
  </si>
  <si>
    <t xml:space="preserve">[Banerjee, Dithi; Hassan, Ferdaus; Harrison, Christopher J.; Selvarangan, Rangaraj] Childrens Mercy Hosp, Kansas City, MO 64108 USA; [Avadhanula, Vasanthi; Piedra, Pedro A.] Baylor Coll Med, Dept Mol Virol &amp; Microbiol, Houston, TX USA; [Piedra, Pedro A.; Boom, Julie; Sahni, Leila C.] Baylor Coll Med, Dept Pediat, Houston, TX USA; [Boom, Julie; Sahni, Leila C.] Baylor Coll Med, Texas Childrens Hosp, Immunizat Project, Houston, TX USA; [Weinberg, Geoffrey A.] Univ Rochester, Sch Med &amp; Dent, Rochester, NY USA; [Lindstrom, Stephen; Rha, Brian] Ctr Dis Control &amp; Prevent, Div Viral Dis, Atlanta, GA USA</t>
  </si>
  <si>
    <t xml:space="preserve">Children's Mercy Hospital; Baylor College of Medicine; Baylor College of Medicine; Baylor College of Medicine; Baylor College Medical Hospital; University of Rochester; Centers for Disease Control &amp; Prevention - USA</t>
  </si>
  <si>
    <t xml:space="preserve">Selvarangan, R (corresponding author), Childrens Mercy Hosp, Kansas City, MO 64108 USA.</t>
  </si>
  <si>
    <t xml:space="preserve">Harrison, Christopher/Q-6670-2019; Weinberg, Geoffrey/W-7510-2019; , VA/AAO-6566-2020</t>
  </si>
  <si>
    <t xml:space="preserve">Centers for Disease Control and Prevention [U38 IP001057, RFA- IP16-004]</t>
  </si>
  <si>
    <t xml:space="preserve">Acknowledgements This work was supported by the Centers for Disease Control and Prevention (cooperative agreement U38 IP001057 NOFO Number RFA- IP16-004)</t>
  </si>
  <si>
    <t xml:space="preserve">10.1016/j.jcv.2022.105274</t>
  </si>
  <si>
    <t xml:space="preserve">4T9IX</t>
  </si>
  <si>
    <t xml:space="preserve">WOS:000858422200004</t>
  </si>
  <si>
    <t xml:space="preserve">Rouka, E; Hatzoglou, C; Gourgoulianis, KI; Zarogiannis, SG</t>
  </si>
  <si>
    <t xml:space="preserve">Rouka, Erasmia; Hatzoglou, Chrissi; Gourgoulianis, Konstantinos, I; Zarogiannis, Sotirios G.</t>
  </si>
  <si>
    <t xml:space="preserve">Interactome networks between the human respiratory syncytial virus (HRSV), the human metapneumovirus (HMPV), and their host: In silico investigation and comparative functional enrichment analysis</t>
  </si>
  <si>
    <t xml:space="preserve">MICROBIAL PATHOGENESIS</t>
  </si>
  <si>
    <t xml:space="preserve">Comparative functional analysis; Human metapneumovirus; Interactome; Human respiratory syncytial virus; Viral infection</t>
  </si>
  <si>
    <t xml:space="preserve">PULMONARY IMMUNE-RESPONSES; INDUCIBLE GENE-I; RIG-I; NEGATIVE REGULATION; INFECTION; BURDEN; RECOGNITION; MECHANISMS; AKT; KIT</t>
  </si>
  <si>
    <t xml:space="preserve">Background and objectives: Human respiratory syncytial virus (HRSV) and human metapneumovirus (HMPV) are leading causes of upper and lower respiratory tract infections in non-immunocompetent subjects, yet the mechanisms by which they induce their pathogenicity differ significantly and remain elusive. In this study we aimed at identifying the gene interaction networks between the HRSV, HMPV respiratory pathogens and their host along with the different cell-signaling pathways associated with the above interactomes. Materials and methods: The Viruses STRING database (http://viruses.string-db.org/) was used for the identification of the host-viruses interaction networks. The two lists of the predicted functional partners were entered in the FunRich tool (http;//www.funrich.org) for the construction of the Venn diagram and the comparative Funcional Enrichment Analysis (FEA) with respect to biological pathways. The sets of the common and unique human genes identified in the two networks were also analyzed. The computational predictions regarding the shared human genes in the host-HRSV and the host-HMPV interactomes were further evaluated via the analysis of the GSE111732 dataset. miRNA transcriptomics data were mapped to gene targets using the miRNomics pipeline of the GeneTrail2 database (http;//genetrail2.bioinf.uni-sb.de/). Results: Eleven out of twenty predicted human genes were common in the two interactomes (TLR4, SOCS3, SFXN1, AKT1, SFXN3, LY96, SFXN2, SOCS7, CISH, SOCS6, SOCS1). FEA of these common genes identified the kit receptor and the GH receptor signaling pathways as the most significantly enriched annotations. The remaining nine genes of the host-HRSV and the host-HMPV interaction networks were the IFIH1, DDX58, NCL, IRF3, STAT2, HSPA4, CD209, KLF6, CHKA and the MYD88, SOCS4, SOCS2, SOCS5 AKT2, AKT3, SFXN4, SFXN5 and TLR3 respectively. Distinct cell-signaling pathways were enriched per interactome. The comparative FEA highlighted the association of the host-HRSV functional partners with the negative regulation of RIG-I/MDA5 signaling. The analysis with respect to miRNAs mapping to gene targets of the GSE111732 dataset indicated that nine out of the eleven common host genes are either enriched or depleted in the sample sets (HRSV or HMPV infected) as compared with the reference set (non-infected), although with no significant scores. Conclusions: We have identified both shared and unique host genes as members of the HRSV and HMPV interaction networks. The disparate human genes likely contribute to distinct responses in airway epithelial cells.</t>
  </si>
  <si>
    <t xml:space="preserve">[Rouka, Erasmia] Univ Thessaly, Fac Med, Dept Transfus Med, BIOPOLIS, Larisa 41334, Greece; [Rouka, Erasmia; Hatzoglou, Chrissi; Zarogiannis, Sotirios G.] Univ Thessaly, Fac Med, Dept Physiol, BIOPOLIS, Larisa 41500, Greece; [Hatzoglou, Chrissi; Gourgoulianis, Konstantinos, I; Zarogiannis, Sotirios G.] Univ Thessaly, Fac Med, Dept Resp Med, BIOPOLIS, Larisa 41334, Greece</t>
  </si>
  <si>
    <t xml:space="preserve">University of Thessaly; University of Thessaly; University of Thessaly</t>
  </si>
  <si>
    <t xml:space="preserve">Rouka, E (corresponding author), Univ Thessaly, Fac Med, Dept Transfus Med, BIOPOLIS, Larisa 41334, Greece.</t>
  </si>
  <si>
    <t xml:space="preserve">errouka@med.uth.gr; chatz@med.uth.gr; kgourg@med.uth.gr; szarog@med.uth.gr</t>
  </si>
  <si>
    <t xml:space="preserve">Zarogiannis, Sotirios/E-5149-2010; Rouka, Erasmia/AAK-5084-2020</t>
  </si>
  <si>
    <t xml:space="preserve">Rouka, Erasmia/0000-0003-2885-4510</t>
  </si>
  <si>
    <t xml:space="preserve">0882-4010</t>
  </si>
  <si>
    <t xml:space="preserve">MICROB PATHOGENESIS</t>
  </si>
  <si>
    <t xml:space="preserve">Microb. Pathog.</t>
  </si>
  <si>
    <t xml:space="preserve">10.1016/j.micpath.2020.104000</t>
  </si>
  <si>
    <t xml:space="preserve">LH5SN</t>
  </si>
  <si>
    <t xml:space="preserve">WOS:000528844800026</t>
  </si>
  <si>
    <t xml:space="preserve">Özen, S; Horoz, OO; Öztürk, G; Sökmen, H; Kandemir, T; Yarkin, F</t>
  </si>
  <si>
    <t xml:space="preserve">Ozen, Serap; Horoz, Ozden Ozguer; Ozturk, Gokhan; Sokmen, Huri; Kandemir, Tulay; Yarkin, Fugen</t>
  </si>
  <si>
    <t xml:space="preserve">The investigation of community-acquired and nosocomial respiratory syncytial virus and other viral respiratory tract infections in children</t>
  </si>
  <si>
    <t xml:space="preserve">Community-acquired; nosocomial; respiratory tract infection; respiratory viruses; real-time PCR</t>
  </si>
  <si>
    <t xml:space="preserve">Although respiratory viruses are known as the major causes of community-acquired respiratory tract infections all over the world, they can also cause serious nosocomial respiratory infections and hospital outbreaks. The aim of this study is to investigate the incidence of community-acquired and nosocomial RSV and other viral respiratory tract infections in children hospitalized at the Pediatric Intensive Care Unit of Cukurova University Faculty of Medicine. Nasopharyngeal swab samples were taken from 100 children aged 0-16 years with suspected community-acquired (60) and nosocomial (40) respiratory tract infections from September 2018 to June 2021. The Multiplex real-time PCR test was used for the diagnosis of respiratory viruses. Of children with community-acquired respiratory tract infections, 65% (39/60) were positive for at least one virus and the rate of coinfection in this group was 35.9% (14/39). In children with nosocomial respiratory tract infection, positivity was detected to be 62.5% (25/40) and the coinfection rate was 40% (10/25). The most predominant virus in community-acquired respiratory tract infections was influenza A virus (25%), followed by ADV (18.3%), hBoV (15%), RSV (11.7%), and RhV (10%). In nosocomial viral respiratory tract infections, the most common virus was RSV (20%), followed by influenza A virus (12.5%), RhV (12.5%), ADV (12.5%), hMpV (10%), and hBoV (10%). Early diagnosis of respiratory viral infections with real-time PCR test is important in terms of reducing morbidity and mortality, applying control methods to prevent the spread of nosocomial viruses, shortening the hospitalization period, preventing the use of unnecessary antibiotics, and giving appropriate antiviral treatment.</t>
  </si>
  <si>
    <t xml:space="preserve">[Ozen, Serap; Ozturk, Gokhan; Sokmen, Huri; Kandemir, Tulay; Yarkin, Fugen] Cukurova Univ, Fac Med, Dept Med Microbiol, Adana, Turkiye; [Horoz, Ozden Ozguer] Cukurova Univ, Fac Med, Dept Child Hlth &amp; Dis, Adana, Turkiye</t>
  </si>
  <si>
    <t xml:space="preserve">Cukurova University; Cukurova University</t>
  </si>
  <si>
    <t xml:space="preserve">Özen, S (corresponding author), Cukurova Univ, Fac Med, Dept Med Microbiol, Adana, Turkiye.</t>
  </si>
  <si>
    <t xml:space="preserve">serap201301@gmail.com</t>
  </si>
  <si>
    <t xml:space="preserve">Cukurova University [TDK-2019-11419]</t>
  </si>
  <si>
    <t xml:space="preserve">Cukurova University(Cukurova University)</t>
  </si>
  <si>
    <t xml:space="preserve">This study was supported by Cukurova University Rectorate Research Fund TDK-2019-11419 as a project.</t>
  </si>
  <si>
    <t xml:space="preserve">EI2I2</t>
  </si>
  <si>
    <t xml:space="preserve">WOS:001138224500004</t>
  </si>
  <si>
    <t xml:space="preserve">Lee, KH; Yoo, SG; Cho, Y; Kwon, DE; La, Y; Han, SH; Kim, MS; Choi, JS; Kim, SI; Kim, YS; Min, YH; Cheong, JW; Kim, JS; Song, YG</t>
  </si>
  <si>
    <t xml:space="preserve">Lee, Kyoung Hwa; Yoo, Seul Gi; Cho, Yonggeun; Kwon, Da Eun; La, Yeonju; Han, Sang Hoon; Kim, Myoung Soo; Choi, Jin Sub; Kim, Soon Il; Kim, Yu Seun; Min, Yoo Hong; Cheong, June-Won; Kim, Jin Seok; Song, Yong Goo</t>
  </si>
  <si>
    <t xml:space="preserve">Characteristics of community-acquired respiratory viruses infections except seasonal influenza in transplant recipients and non-transplant critically ill patients</t>
  </si>
  <si>
    <t xml:space="preserve">Community-acquired respiratory viruses; Solid organ transplantation; Hematopoietic stem cell transplantation; Critically ill patients; Mortality</t>
  </si>
  <si>
    <t xml:space="preserve">SOLID-ORGAN TRANSPLANT; STEM-CELL TRANSPLANTATION; VIRAL-INFECTIONS; PEDIATRIC-PATIENTS; RISK-FACTORS; ADENOVIRUS; PNEUMONIA; MULTIPLEX; MORTALITY; OUTCOMES</t>
  </si>
  <si>
    <t xml:space="preserve">Background/Purpose: Transplant recipients are vulnerable to life-threatening community-acquired respiratory viruses (CA-RVs) infection (CA-RVI). Even if non-transplant critically ill patients in intensive care unit (ICU) have serious CA-RVI, comparison between these groups remains unclear. We aimed to evaluate clinical characteristics and mortality of CARVI except seasonal influenza A/B in transplant recipients and non-transplant critically ill patients in ICU. Methods: We collected 37,777 CA-RVs multiplex real-time reverse transcription-polymerase chain reaction test results of individuals aged &gt;18 years from November 2012 to November 2017. The CA-RVs tests included adenovirus, coronavirus 229E/NL63/OC43, human bocavirus, human metapneumovirus, parainfluenza virus 1/2/3, rhinovirus, and respiratory syncytial virus A/B. Results: We found 286 CA-RVI cases, including 85 solid organ transplantation recipients (G1), 61 hematopoietic stem cell transplantation recipients (G2), and 140 non-transplant critically ill patients in ICU (G3), excluding those with repeated isolation within 30 days. Adenovirus positive rate and infection cases were most prominent in G2 (p &lt; 0.001). The median time interval between transplantation and CA-RVI was 30 and 20 months in G1 and G2, respectively. All-cause in hospital mortality was significantly higher in G3 than in G1 or G2 (51.4% vs. 28.2% or 39.3%, p Z 0.002, respectively). The mechanical ventilation (MV) was the independent risk factor associated with all-cause in-hospital mortality in all three groups (hazard ratio, 3.37, 95% confidence interval, 2.04e5.56, p &lt; 0.001). Conclusions: This study highlights the importance of CA-RVs diagnosis in transplant recipients even in long-term posttransplant period, and in non-transplant critically ill patients in ICU with MV. Copyright &amp; ordf; 2019, Taiwan Society of Microbiology. Published by Elsevier Taiwan LLC. This is an open access article under the CC BY-NC-ND license (http://creativecommons.org/licenses/bync-nd/4.0/).</t>
  </si>
  <si>
    <t xml:space="preserve">[Lee, Kyoung Hwa; Yoo, Seul Gi; Kwon, Da Eun; La, Yeonju; Han, Sang Hoon; Song, Yong Goo] Yonsei Univ, Dept Internal Med, Div Infect Dis, Coll Med, Seoul, South Korea; [Cho, Yonggeun] Yonsei Univ, Dept Lab Med, Coll Med, Seoul, South Korea; [Kim, Myoung Soo; Choi, Jin Sub; Kim, Soon Il; Kim, Yu Seun] Yonsei Univ, Dept Transplantat Surg, Coll Med, Seoul, South Korea; [Kim, Myoung Soo; Choi, Jin Sub; Kim, Soon Il; Kim, Yu Seun] Yonsei Univ, Res Inst Transplantat, Coll Med, Seoul, South Korea; [Min, Yoo Hong; Cheong, June-Won; Kim, Jin Seok] Yonsei Univ, Dept Internal Med, Div Hematol, Coll Med, Seoul, South Korea</t>
  </si>
  <si>
    <t xml:space="preserve">Yonsei University; Yonsei University Health System; Yonsei University; Yonsei University Health System; Yonsei University; Yonsei University Health System; Yonsei University; Yonsei University Health System; Yonsei University; Yonsei University Health System</t>
  </si>
  <si>
    <t xml:space="preserve">Han, SH (corresponding author), Yonsei Univ, Dept Internal Med, Coll Med, 211 Eonju Ro, Seoul 06273, South Korea.</t>
  </si>
  <si>
    <t xml:space="preserve">shhan74@yuhs.ac</t>
  </si>
  <si>
    <t xml:space="preserve">Kim, Ji-Soo/D-8744-2012; Kim, Dong Ki/J-5389-2012; Song, Young Goo/AGV-5104-2022; Kim, Young-Sam/AAY-7971-2020; Kim, Yon/J-2743-2012</t>
  </si>
  <si>
    <t xml:space="preserve">min, yoo hong/0000-0001-8542-9583; Kim, Soon/0000-0002-0783-7538; KIM, JIN SEOK/0000-0001-8986-8436; Han, Sang Hoon/0000-0002-4278-5198; CHEONG, JUNE-WON/0000-0002-1744-0921; Cho, Yonggeun/0000-0003-1946-4318; Kim, Myoung Soo/0000-0002-8975-8381; Lee, Kyoung Hwa/0000-0003-0033-1398; Kim, Yu Seun/0000-0002-5105-1567</t>
  </si>
  <si>
    <t xml:space="preserve">10.1016/j.jmii.2019.05.007</t>
  </si>
  <si>
    <t xml:space="preserve">RR3KM</t>
  </si>
  <si>
    <t xml:space="preserve">WOS:000643001600013</t>
  </si>
  <si>
    <t xml:space="preserve">Johnstone, J; Majumdar, SR; Fox, JD; Marrie, TJ</t>
  </si>
  <si>
    <t xml:space="preserve">Johnstone, Jennie; Majumdar, Sumit R.; Fox, Julie D.; Marrie, Thomas J.</t>
  </si>
  <si>
    <t xml:space="preserve">Viral Infection in Adults Hospitalized With Community-Acquired Pneumonia Prevalence, Pathogens, and Presentation</t>
  </si>
  <si>
    <t xml:space="preserve">CHEST</t>
  </si>
  <si>
    <t xml:space="preserve">community-acquired pneumonia; respiratory viruses</t>
  </si>
  <si>
    <t xml:space="preserve">HUMAN METAPNEUMOVIRUS INFECTION; RESPIRATORY-TRACT INFECTION; POLYMERASE-CHAIN-REACTION; ACID AMPLIFICATION TESTS; REAL-TIME PCR; SYNCYTIAL-VIRUS; DIAGNOSIS; ETIOLOGY; IMMUNOFLUORESCENCE; INFLUENZA</t>
  </si>
  <si>
    <t xml:space="preserve">Background: The potential role of respiratory viruses in the natural history of community-acquired pneumonia (CAP) in adults has not been well described since the advent of nucleic amplification tests (NATs). Methods: From 2004 to 2006, adults with CAP who were admitted to five hospitals were prospectively enrolled in the study, and clinical data, cultures, serology, and nasopharyngeal swabs were obtained. NATs from swabs were tested for influenza, human metapneumovirus (hMPV), respiratory syncytial virus (RSV), rhinovirus, parainfluenza virus 1-4, coronaviruses (OC43, 229E, and NL63), and adenovirus. Results: A total of 193 patients were included; the median age was 71 years, 51% of patients were male, and 47% of patients had severe CA-P. Overall, 75 patients (39%) had a pathogen identified. Of these pathogens, 29 were viruses (15%), 38 were bacteria (20%), 8 were mixed (4%), and the rest were unknown. Influenza (n = 7), hMPV (n = 7), and RSV (n = 5) accounted for most viral infections; other infections included rhinovirus (n = 4), parainfluenza (n = 3), coronavirus (n = 4), and adenovirus (n = 2). Streptococcus pneumoniae. ae was the most common bacterial infection (37%). Compared with bacteria] infection, patients,with viral infection were older (76 vs 64 years, respectively; p = 0.01), were more likely to have cardiac disease (66% vs 32%, respectively; p = 0.006), and were more frail (eg, 48% with limited ambulation vs 21% of bacterial infections; p = 0.02). There were few clinically nicaningful differences in presentation and no differences in outcomes according to the presence or absence of viral infection. Conclusions: Viral infections are common in adults with pneumonia. Easily transmissible viruses such as influenza, hMPV, and RSV were the most common, raising concerns about infection control. Routine testing for respiratory viruses may be warranted for adults who have been hospitalized with pneumonia. (CHEST 2008; 134:1141-1148)</t>
  </si>
  <si>
    <t xml:space="preserve">[Johnstone, Jennie; Majumdar, Sumit R.; Marrie, Thomas J.] Univ Alberta, Dept Med, Fac Med &amp; Dent, Edmonton, AB T6G 2R7, Canada; [Fox, Julie D.] Prov Lab Publ Hlth, Dept Microbiol, Calgary, AB, Canada</t>
  </si>
  <si>
    <t xml:space="preserve">Marrie, TJ (corresponding author), Univ Alberta, Dept Med, Fac Med &amp; Dent, 2J200 WC Mackenzie Hlt Sci Ctr,8440 112th St, Edmonton, AB T6G 2R7, Canada.</t>
  </si>
  <si>
    <t xml:space="preserve">tom.marrie@ualberta.ca</t>
  </si>
  <si>
    <t xml:space="preserve">0012-3692</t>
  </si>
  <si>
    <t xml:space="preserve">1931-3543</t>
  </si>
  <si>
    <t xml:space="preserve">Chest</t>
  </si>
  <si>
    <t xml:space="preserve">10.1378/chest.08-0888</t>
  </si>
  <si>
    <t xml:space="preserve">384OW</t>
  </si>
  <si>
    <t xml:space="preserve">WOS:000261755100009</t>
  </si>
  <si>
    <t xml:space="preserve">Qu, JX; Gu, L; Pu, ZH; Yu, XM; Liu, YM; Li, R; Wang, YM; Cao, B; Wang, C</t>
  </si>
  <si>
    <t xml:space="preserve">Qu, Jiu-Xin; Gu, Li; Pu, Zeng-Hui; Yu, Xiao-Min; Liu, Ying-Mei; Li, Ran; Wang, Yi-Min; Cao, Bin; Wang, Chen</t>
  </si>
  <si>
    <t xml:space="preserve">BNACAP</t>
  </si>
  <si>
    <t xml:space="preserve">Viral etiology of community-acquired pneumonia among adolescents and adults with mild or moderate severity and its relation to age and severity</t>
  </si>
  <si>
    <t xml:space="preserve">Community-acquired pneumonia; Respiratory viral infection; Pneumonia severity index; Adolescent; Adult; Influenza virus A; Adenovirus; Human rhinovirus</t>
  </si>
  <si>
    <t xml:space="preserve">RESPIRATORY VIRUSES; INFLUENZA; H1N1; HOSPITALIZATION; GUIDELINES; MANAGEMENT; INFECTION; DIAGNOSIS; BURDEN; PCR</t>
  </si>
  <si>
    <t xml:space="preserve">Background: Better knowledge of distribution of respiratory viruses (RVs) in adolescents and adults with community-acquired pneumonia (CAP) is needed. Methods: To investigate the RVs etiology among adolescents and adults with CAP, according to age and pneumonia severity index (PSI), a multi-center, prospective study was conducted from November 2010 to April 2012. Fifteen RVs were tested by polymerase chain reaction (PCR). Bacteria were detected by urinary antigen, conventional culture and PCR. Results: Mean (SD) age and median (IQR) PSI score of 954 patients enrolled was 45.2 (19.5) years (range 14-94) and 42 (36). RVs were found in 262 patients (27.5%): influenza virus A (IFV A, 9.9%) comprised of pandemic H1N1 (6.7%) and seasonal H3N2 (3.5%), human rhinovirus (4.3%), adenovirus (4.2%), human metapneumovirus (1.8%), parainfluenza virus 1, 3 and 2 (1.7%, 1.5% and 1.2%). Influenza virus B, enterovirus, respiratory syncytial virus, human coronavirus and parainfluenza virus 4 were rarely detected (&lt; 1%). Frequency of IFV A was highest among patients aged between 45-64 years (p &lt; 0.001), while adenovirus among patients aged 14-17 years (p &lt; 0.001), no differences was found in other RVs. The proportion of pandemic H1N1 increased with severity of pneumonia evaluated by PSI (P &lt; 0.05). Conclusions: The proportion of RVs in CAP is higher than previously reported. IFV A pneumonia are usually found in patients older than 45 years, while, adenovirus pneumonia are common in adolescents and young adults. Pandemic H1N1 virus is still recognized by PSI as a high-severity pathogen. The findings contribute baseline data on viral CAP study in China.</t>
  </si>
  <si>
    <t xml:space="preserve">[Qu, Jiu-Xin; Gu, Li; Yu, Xiao-Min; Liu, Ying-Mei; Li, Ran; Wang, Yi-Min; Cao, Bin] Capital Med Univ, Beijing Chao Yang Hosp, Beijing Inst Resp Med, Dept Infect Dis &amp; Clin Microbiol, Beijing 100020, Peoples R China; [Pu, Zeng-Hui] YanTai Yu Huang Ding Hosp, Dept Infect Dis, Yantai, Peoples R China; [Wang, Chen] Capital Med Univ, Dept Resp Med, Beijing, Peoples R China; [Wang, Chen] Beijing Inst Resp Med, Beijing Key Lab Resp &amp; Pulm Circulat Disorders, Beijing, Peoples R China</t>
  </si>
  <si>
    <t xml:space="preserve">Capital Medical University; Capital Medical University</t>
  </si>
  <si>
    <t xml:space="preserve">Cao, B (corresponding author), Capital Med Univ, Beijing Chao Yang Hosp, Beijing Inst Resp Med, Dept Infect Dis &amp; Clin Microbiol, 8 Gongti Nanlu, Beijing 100020, Peoples R China.</t>
  </si>
  <si>
    <t xml:space="preserve">cabin_ben@163.com</t>
  </si>
  <si>
    <t xml:space="preserve">Yu, Xiao-Min/B-3639-2015; Zhu, Li-Ping/AAF-7580-2020; Liu, Zhiying/KYQ-2869-2024; Wang, Yimin/GWV-4208-2022</t>
  </si>
  <si>
    <t xml:space="preserve">China National Funds for Distinguished Young Scientists [H0104/81425001]; Beijing Science and Technology Project [D101100049810002, Z131100002613001]; National Major S&amp;T Research Projects for the Control and Prevention of Major Infectious Diseases in China [2012ZX10004-206]; New Century Excellent Talents in University [NCET-09-0006]; Beijing Municipal Health Bureau grant [2011-1004-02]; National Natural Science Foundation of China [81070005/H0104, 81030032/H19, 81271840]</t>
  </si>
  <si>
    <t xml:space="preserve">China National Funds for Distinguished Young Scientists(National Natural Science Foundation of China (NSFC)); Beijing Science and Technology Project; National Major S&amp;T Research Projects for the Control and Prevention of Major Infectious Diseases in China; New Century Excellent Talents in University(Program for New Century Excellent Talents in University (NCET)); Beijing Municipal Health Bureau grant; National Natural Science Foundation of China(National Natural Science Foundation of China (NSFC))</t>
  </si>
  <si>
    <t xml:space="preserve">This work was supported by China National Funds for Distinguished Young Scientists (H0104/81425001), the Beijing Science and Technology Project [grant numbers D101100049810002, Z131100002613001], the National Major S&amp;T Research Projects for the Control and Prevention of Major Infectious Diseases in China [grant number 2012ZX10004-206], New Century Excellent Talents in University [grant number NCET-09-0006], Beijing Municipal Health Bureau grant [grant number 2011-1004-02], and the National Natural Science Foundation of China [grant numbers 81070005/H0104, 81030032/H19 and 81271840].</t>
  </si>
  <si>
    <t xml:space="preserve">10.1186/s12879-015-0808-0</t>
  </si>
  <si>
    <t xml:space="preserve">CC0AC</t>
  </si>
  <si>
    <t xml:space="preserve">WOS:000349995900001</t>
  </si>
  <si>
    <t xml:space="preserve">Kurai, D; Sasaki, Y; Saraya, T; Ishii, H; Tsukagoshi, H; Kozawa, K; Ryo, A; Ishioka, T; Kuroda, M; Oishi, K; Takizawa, H; Kimura, H</t>
  </si>
  <si>
    <t xml:space="preserve">Kurai, Daisuke; Sasaki, Yoshiko; Saraya, Takeshi; Ishii, Haruyuki; Tsukagoshi, Hiroyuki; Kozawa, Kunihisa; Ryo, Akihide; Ishioka, Taisei; Kuroda, Makoto; Oishi, Kazunori; Takizawa, Hajime; Kimura, Hirokazu</t>
  </si>
  <si>
    <t xml:space="preserve">Pathogen profiles and molecular epidemiology of respiratory viruses in Japanese inpatients with community-acquired pneumonia</t>
  </si>
  <si>
    <t xml:space="preserve">Community-acquired pneumonia; Pathogen profile; Respiratory virus; Metapneumovirus</t>
  </si>
  <si>
    <t xml:space="preserve">SYNCYTIAL VIRUS; REQUIRING HOSPITALIZATION; HUMAN METAPNEUMOVIRUS; RHINOVIRUS INFECTION; BACTERIAL-INFECTION; ETIOLOGY; ADULTS; MANAGEMENT; CYTOMEGALOVIRUS; DIAGNOSIS</t>
  </si>
  <si>
    <t xml:space="preserve">BACKGROUND: The etiological profile of viruses among adult patients with community-acquired pneumonia (CAP) has not been characterized yet. The aim of this study was twofold: first, investigate the pathogen profiles and the molecular epidemiology of respiratory viruses among Japanese CAP patients; and second, explore the clinical significance of viral infections. METHODS: A cross-sectional observational study was conducted at Kyorin University Hospital. To identify respiratory pathogens, hospitalized CAP patients were enrolled, and reverse transcriptase-polymerase chain reaction technology was applied alongside conventional microbiological methods. Phylogenetic and pairwise distance analyses of 10 viruses were performed. CAP patients were divided into four etiological groups (virus alone, bacteria alone, co-detection of virus and bacteria, and not detected) and the clinical findings were compared. RESULTS: Seventy-six patients were enrolled. Bacteria alone were detected in 39.5% (n=30) of CAP patients. Virus alone or co-detection were found in 10.5% (n=8) and 11.8% (n=9) of cases, respectively. Streptococcus pneumoniae and human metapneumovirus were the most frequently detected bacterium and virus, respectively. Phylogenetic analyses of human metapneumovirus, human rhinovirus, and human respiratory syncytial virus showed that different subgroups and genotypes might be associated with CAP. Respiratory failure was more common when a virus was detected (both virus alone and co-detection groups; n=17, 100%, p&lt;0.05) than when a bacteria alone was detected (n=17, 56.7%). CONCLUSION: Prevalence of respiratory virus infection in CAP inpatients was 22.3%. The detected viruses display high genetic divergence and correlate with increased respiratory failure. (C) 2016. Published by Elsevier B.V. All rights reserved.</t>
  </si>
  <si>
    <t xml:space="preserve">[Kurai, Daisuke; Saraya, Takeshi; Ishii, Haruyuki; Takizawa, Hajime] Kyorin Univ, Sch Med, Dept Resp Med, 6-20-2 Shinkawa, Mitaka, Tokyo 1818611, Japan; [Sasaki, Yoshiko; Tsukagoshi, Hiroyuki] Gunma Prefectural Inst Publ Hlth &amp; Environm Sci, 378 Kamioki Machi, Maebashi, Gunma 3710052, Japan; [Kozawa, Kunihisa; Ryo, Akihide; Kimura, Hirokazu] Yokohama City Univ, Grad Sch Med, Dept Microbiol, Kanazawa Ku, 3-9 Fukuura, Yokohama, Kanagawa 2360004, Japan; [Ishioka, Taisei] Takasaki City Hlth Ctr, 5-28 Takamatsu Cho, Takasaki, Gunma 3700829, Japan; [Kuroda, Makoto] Natl Inst Infect Dis, Pathogen Genom Ctr, Shinjuku Ku, 1-23-1 Toyama, Tokyo 1628640, Japan; [Oishi, Kazunori; Kimura, Hirokazu] Natl Inst Infect Dis, Infect Dis Surveillance Ctr, 4-7-1 Gakuen, Musashimurayama, Tokyo 2080011, Japan</t>
  </si>
  <si>
    <t xml:space="preserve">Kyorin University; Yokohama City University; National Institute of Infectious Diseases (NIID); National Institute of Infectious Diseases (NIID)</t>
  </si>
  <si>
    <t xml:space="preserve">Takizawa, H (corresponding author), Kyorin Univ, Sch Med, Dept Resp Med, 6-20-2 Shinkawa, Mitaka, Tokyo 1818611, Japan.;Kimura, H (corresponding author), Natl Inst Infect Dis, Infect Dis Surveillance Ctr, 4-7-1 Gakuen, Musashimurayama, Tokyo 2080011, Japan.</t>
  </si>
  <si>
    <t xml:space="preserve">kuraida@aol.com; sasa-yosi@pref.gunma.lg.jp; sara@yd5.so-net.ne.jp; h141@ks.kyorin-u.ac.jp; tsuka-hiro@pref.gunma.lg.jp; kkozawa-gi@umin.net; aryo@yokohama-cu.ac.jp; ishioka@nih.go.jp; makokuro@niid.go.jp; oishik@nih.go.jp; hajime@ks.kyorin-u.ac.jp; kimhiro@nih.go.jp</t>
  </si>
  <si>
    <t xml:space="preserve">Japan Society for the Promotion of Science and for Research on Emerging; Japanese Ministry of Health, Labour and Welfare [H25-Shinko-Shitei-001]; Grants-in-Aid for Scientific Research [15K09190] Funding Source: KAKEN</t>
  </si>
  <si>
    <t xml:space="preserve">Japan Society for the Promotion of Science and for Research on Emerging(Ministry of Education, Culture, Sports, Science and Technology, Japan (MEXT)Japan Society for the Promotion of Science); Japanese Ministry of Health, Labour and Welfare(Ministry of Health, Labour and Welfare, Japan); Grants-in-Aid for Scientific Research(Ministry of Education, Culture, Sports, Science and Technology, Japan (MEXT)Japan Society for the Promotion of ScienceGrants-in-Aid for Scientific Research (KAKENHI))</t>
  </si>
  <si>
    <t xml:space="preserve">This work was supported by a Grant-in-Aid from the Japan Society for the Promotion of Science and for Research on Emerging and Re-emerging Infectious Diseases (H25-Shinko-Shitei-001) from the Japanese Ministry of Health, Labour and Welfare.</t>
  </si>
  <si>
    <t xml:space="preserve">10.1015/j.resinv.2016.01.001</t>
  </si>
  <si>
    <t xml:space="preserve">FP2WY</t>
  </si>
  <si>
    <t xml:space="preserve">WOS:000417481900008</t>
  </si>
  <si>
    <t xml:space="preserve">Bozio, CH; Flanders, WD; Finelli, L; Bramley, AM; Reed, C; Gandhi, NR; Vidal, JE; Erdman, D; Levine, MZ; Lindstrom, S; Ampofo, K; Arnold, SR; Self, WH; Williams, DJ; Grijalva, CG; Anderson, EJ; McCullers, JA; Edwards, KM; Pavia, AT; Wunderink, RG; Jain, S</t>
  </si>
  <si>
    <t xml:space="preserve">Bozio, Catherine H.; Flanders, W. Dana; Finelli, Lyn; Bramley, Anna M.; Reed, Carrie; Gandhi, Neel R.; Vidal, Jorge E.; Erdman, Dean; Levine, Min Z.; Lindstrom, Stephen; Ampofo, Krow; Arnold, Sandra R.; Self, Wesley H.; Williams, Derek J.; Grijalva, Carlos G.; Anderson, Evan J.; McCullers, Jonathan A.; Edwards, Kathryn M.; Pavia, Andrew T.; Wunderink, Richard G.; Jain, Seema</t>
  </si>
  <si>
    <t xml:space="preserve">Use of Multiple Imputation to Estimate the Proportion of Respiratory Virus Detections Among Patients Hospitalized With Community-Acquired Pneumonia</t>
  </si>
  <si>
    <t xml:space="preserve">community-acquired pneumonia; multiple imputation; respiratory viruses</t>
  </si>
  <si>
    <t xml:space="preserve">POLYMERASE-CHAIN-REACTION; VIRAL CULTURE; INFECTIONS; DIAGNOSIS; INFLUENZA; SEROLOGY; CHILDREN; ADULTS; PCR</t>
  </si>
  <si>
    <t xml:space="preserve">Background. Real-time polymerase chain reaction (PCR) on respiratory specimens and serology on paired blood specimens are used to determine the etiology of respiratory illnesses for research studies. However, convalescent serology is often not collected. We used multiple imputation to assign values for missing serology results to estimate virus-specific prevalence among pediatric and adult community-acquired pneumonia hospitalizations using data from an active population-based surveillance study. Methods. Presence of adenoviruses, human metapneumovirus, influenza viruses, parainfluenza virus types 1-3, and respiratory syncytial virus was defined by positive PCR on nasopharyngeal/oropharyngeal specimens or a 4-fold rise in paired serology. We performed multiple imputation by developing a multivariable regression model for each virus using data from patients with available serology results. We calculated absolute and relative differences in the proportion of each virus detected comparing the imputed to observed (nonimputed) results. Results. Among 2222 children and 2259 adults, 98.8% and 99.5% had nasopharyngeal/oropharyngeal specimens and 43.2% and 37.5% had paired serum specimens, respectively. Imputed results increased viral etiology assignments by an absolute difference of 1.6%-4.4% and 0.8%-2.8% in children and adults, respectively; relative differences were 1.1-3.0 times higher. Conclusions. Multiple imputation can be used when serology results are missing, to refine virus-specific prevalence estimates, and these will likely increase estimates.</t>
  </si>
  <si>
    <t xml:space="preserve">[Bozio, Catherine H.; Flanders, W. Dana; Gandhi, Neel R.] Emory Univ, Dept Epidemiol, Atlanta, GA 30322 USA; [Bozio, Catherine H.] Emory Univ, Grad Program Mol Mankind, Atlanta, GA 30322 USA; [Gandhi, Neel R.; Vidal, Jorge E.] Emory Univ, Global Hlth, Atlanta, GA 30322 USA; [Finelli, Lyn; Bramley, Anna M.; Reed, Carrie; Erdman, Dean; Levine, Min Z.; Lindstrom, Stephen; Jain, Seema] Ctr Dis Control &amp; Prevent, 1600 Clifton Rd Mailstop C-25, Atlanta, GA 30329 USA; [Gandhi, Neel R.; Anderson, Evan J.] Emory Univ, Sch Med, Atlanta, GA USA; [Ampofo, Krow; Pavia, Andrew T.] Univ Utah, Hlth Sci Ctr, Salt Lake City, UT USA; [Arnold, Sandra R.; McCullers, Jonathan A.] Le Bonheur Childrens Hosp, Memphis, TN USA; [Arnold, Sandra R.; McCullers, Jonathan A.] Univ Tennessee, Ctr Hlth Sci, Memphis, TN 38163 USA; [Self, Wesley H.; Williams, Derek J.; Grijalva, Carlos G.; Edwards, Kathryn M.] Vanderbilt Univ, Sch Med, Nashville, TN 37212 USA; [Williams, Derek J.; Edwards, Kathryn M.] Vanderbilt Vaccine Res Program, Nashville, TN USA; [McCullers, Jonathan A.] St Jude Childrens Res Hosp, 332 N Lauderdale St, Memphis, TN 38105 USA; [Wunderink, Richard G.] Northwestern Univ, Feinberg Sch Med, Chicago, IL 60611 USA</t>
  </si>
  <si>
    <t xml:space="preserve">Emory University; Emory University; Emory University; Centers for Disease Control &amp; Prevention - USA; Emory University; Utah System of Higher Education; University of Utah; University of Tennessee System; University of Tennessee Health Science Center; Vanderbilt University; St Jude Children's Research Hospital; Northwestern University; Feinberg School of Medicine</t>
  </si>
  <si>
    <t xml:space="preserve">Bozio, CH (corresponding author), Ctr Dis Control &amp; Prevent, 1600 Clifton Rd Mailstop C-25, Atlanta, GA 30329 USA.</t>
  </si>
  <si>
    <t xml:space="preserve">ise7@cdc.gov</t>
  </si>
  <si>
    <t xml:space="preserve">Williams, Derek/KRP-6083-2024; Finelli, Lyn/AAK-2360-2020; Levine, Min/ABB-4350-2021; Arnold, Sandra/O-4712-2014; Grijalva, Carlos/HRA-9217-2023; Self, Wesley/KTI-1352-2024</t>
  </si>
  <si>
    <t xml:space="preserve">Grijalva, Carlos/0000-0002-2329-7797; Self, Wesley/0000-0002-9300-3045; Gandhi, Neel/0000-0002-1665-299X</t>
  </si>
  <si>
    <t xml:space="preserve">Influenza Division in the National Center for Immunizations and Respiratory Diseases at the Centers for Disease Control and Prevention; National Institutes of Health [K24AI114444, R21AI112768-01A1, K23AI104779, R01AG043471, K23GM110469]; GlaxoSmithKline; NIH; CDC; Pfizer; Merck; MedImmune; Novavax; AbbVie; BioTest AG; Abbott Point of Care; WebMD; Antimicrobial Therapy Inc.; Johnson and Johnson; NIH/BioFire; Venaxis, Inc; Cempra Pharmaceuticals; Ferring Pharmaceuticals; Gilead Pharmaceuticals</t>
  </si>
  <si>
    <t xml:space="preserve">Influenza Division in the National Center for Immunizations and Respiratory Diseases at the Centers for Disease Control and Prevention; National Institutes of Health(United States Department of Health &amp; Human ServicesNational Institutes of Health (NIH) - USA); GlaxoSmithKline(GlaxoSmithKline); NIH(United States Department of Health &amp; Human ServicesNational Institutes of Health (NIH) - USA); CDC(United States Department of Health &amp; Human ServicesCenters for Disease Control &amp; Prevention - USA); Pfizer(Pfizer); Merck(Merck &amp; Company); MedImmune(AstraZenecaMedimmune); Novavax; AbbVie(AbbVie); BioTest AG; Abbott Point of Care; WebMD; Antimicrobial Therapy Inc.; Johnson and Johnson(Johnson &amp; JohnsonJohnson &amp; Johnson USA); NIH/BioFire; Venaxis, Inc; Cempra Pharmaceuticals; Ferring Pharmaceuticals(Ferring Pharmaceuticals); Gilead Pharmaceuticals(Gilead Sciences)</t>
  </si>
  <si>
    <t xml:space="preserve">The Etiology of Pneumonia in the Community study was funded by the Influenza Division in the National Center for Immunizations and Respiratory Diseases at the Centers for Disease Control and Prevention through cooperative agreements with each study site and was based on a competitive research funding opportunity. Additional funding was provided in part by the National Institutes of Health: Grants K24AI114444 (to N. R. G., Principal Investigator [PI]), R21AI112768-01A1 (to J. E. V., PI), K23AI104779 (to D. J. W., PI), R01AG043471 (to C. G. G., PI), K23GM110469 (to, PI), and K23GM110469 (to W. H. S., PI). K. A. reports receiving grants from CDC during the conduct of the study; other support from GlaxoSmithKline, other support from Cubist Pharmaceuticals outside the submitted work; and collaborating with BioFire Diagnostics, Inc. (formerly Idaho Technology, Inc.) on several NIH grants. D. F. reports receiving personal fees from Biogen Idec, outside the submitted work, and owning shares of Johnson and Johnson. C. G. G. reports receiving grants from CDC during the conduct of the study; other support from Pfizer, other support from Merck, grants from NIH, grants from AHRQ outside the submitted work. D. J. W. reports receiving grants from CDC during the conduct of the study. S. R. A. reports receiving grants from CDC during the conduct of the study. J. A. M. reports receiving grants from CDC during the conduct of the study. E. J. A. reports receiving grants and non-financial support from MedImmune, grants from Novavax, personal fees from AbbVie, grants from Novavax outside the submitted work. A. T. P. reports receiving grants from CDC during the conduct of the study; personal fees from WebMD, other support from Antimicrobial Therapy Inc., other support from Johnson and Johnson, grants from NIH/BioFire, outside the submitted work. W. H. S. reports receiving personal fees from Venaxis, Inc, personal fees from Cempra Pharmaceuticals, personal fees from Ferring Pharmaceuticals, personal fees from BioTest AG, personal fees from Abbott Point of Care, from Gilead Pharmaceuticals, outside the submitted work.</t>
  </si>
  <si>
    <t xml:space="preserve">10.1093/ofid/ofy061</t>
  </si>
  <si>
    <t xml:space="preserve">GE3XK</t>
  </si>
  <si>
    <t xml:space="preserve">WOS:000431146000014</t>
  </si>
  <si>
    <t xml:space="preserve">Campelo, FS; Cordeiro, RD; Moura, FEA</t>
  </si>
  <si>
    <t xml:space="preserve">Campelo, Felipe Serra; Cordeiro, Rossana de Aguiar; Araujo Moura, Fernanda Edna</t>
  </si>
  <si>
    <t xml:space="preserve">The role of human bocavirus as an agent of community-acquired pneumonia in children under 5 years of age in Fortaleza, Ceara (Northeast Brazil)</t>
  </si>
  <si>
    <t xml:space="preserve">Community-acquired pneumonia; Human bocavirus; Respiratory viruses; Children; Viral pneumonia; Epidemiology</t>
  </si>
  <si>
    <t xml:space="preserve">ACUTE RESPIRATORY-INFECTION; HOSPITALIZED CHILDREN; HUMAN METAPNEUMOVIRUS; TRACT INFECTION; EPIDEMIOLOGY; DIAGNOSIS; INFANTS; VIRUSES; PAULO; PCR</t>
  </si>
  <si>
    <t xml:space="preserve">The human bocavirus (HBoV) is an agent of upper and lower respiratory infections, affecting mainly children under 5 years of age. Community-acquired pneumonia (CAP) is an important public health problem in developing countries, representing one of the main causes of hospitalizations and deaths in children. The aim of this study was to describe the prevalence of HBoV and the clinical and epidemiological characteristics in children diagnosed with CAP. For this purpose, nasopharyngeal aspirates were collected from 545 children aged 0 to 60 months diagnosed with CAP between January 2013 and December 2014 in a reference pediatric hospital in Fortaleza, Ceara, Brazil. The samples were subjected to PCR for detection of HBoV and parainfluenza 4 (PIV4) and indirect immunofluorescence for detection of respiratory syncytial virus (RSV), adenovirus (AdV), influenza A and B (FLU A and FLU B), and parainfluenza 1, 2, and 3 (PIV1, PIV2, PIV3). Clinically, most CAP were non-complicated (487/545; 89.3%); however, 10.7% (58/545) of children were treated in the ICU/resuscitation sector. Among the total samples analyzed, 359 (65.8%) were positive for at least one virus surveyed and 105 (19.2%) samples had two or more viruses. HBoV was detected in 87 samples (15.9%), being the second most prevalent virus. RSV, AdV, FLU A, FLU B, and PIV 1-3 were detected in 150 (27.5%), 45 (8.2%), 30 (5.5%), 3 (0.5%), and 131 (24%) samples, respectively. The age average was 12.1 months in children infected with HBoV, and the most frequent symptoms were dyspnea and cough. In addition, 90.6% of HboV-positive children received antibiotics as empirical treatment. HBoV did not show any circulation pattern; however, it seemed to be more frequent in the first half of the year, totaling 68.9% of the cases. HBoV is a frequent agent of pneumonia in the child population studied.</t>
  </si>
  <si>
    <t xml:space="preserve">[Campelo, Felipe Serra; Cordeiro, Rossana de Aguiar] Univ Fed Ceara, Postgrad Program Med Sci, Fortaleza, Ceara, Brazil; [Cordeiro, Rossana de Aguiar; Araujo Moura, Fernanda Edna] Univ Fed Ceara, Postgrad Program Med Microbiol, Fortaleza, Ceara, Brazil</t>
  </si>
  <si>
    <t xml:space="preserve">Universidade Federal do Ceara; Universidade Federal do Ceara</t>
  </si>
  <si>
    <t xml:space="preserve">Cordeiro, RD (corresponding author), Univ Fed Ceara, Postgrad Program Med Sci, Fortaleza, Ceara, Brazil.;Cordeiro, RD (corresponding author), Univ Fed Ceara, Postgrad Program Med Microbiol, Fortaleza, Ceara, Brazil.</t>
  </si>
  <si>
    <t xml:space="preserve">rossanacordeiro@ufc.br</t>
  </si>
  <si>
    <t xml:space="preserve">Cordeiro, Rossana/AAD-7595-2020; Moura, Fernanda/I-2739-2013</t>
  </si>
  <si>
    <t xml:space="preserve">10.1007/s42770-022-00806-1</t>
  </si>
  <si>
    <t xml:space="preserve">6I6HB</t>
  </si>
  <si>
    <t xml:space="preserve">WOS:000836760900001</t>
  </si>
  <si>
    <t xml:space="preserve">Mameli, C; Zuccotti, GV</t>
  </si>
  <si>
    <t xml:space="preserve">Mameli, Chiara; Zuccotti, Gian Vincenzo</t>
  </si>
  <si>
    <t xml:space="preserve">The Impact of Viral Infections in Children with Community-Acquired Pneumonia</t>
  </si>
  <si>
    <t xml:space="preserve">Community-acquired pneumonia; Children; Virus; Viral pneumonia</t>
  </si>
  <si>
    <t xml:space="preserve">RESPIRATORY-TRACT INFECTIONS; HOSPITALIZED CHILDREN; HUMAN METAPNEUMOVIRUS; HUMAN BOCAVIRUS; ETIOLOGY; VIRUSES; DIAGNOSIS; AGE; INFANTS</t>
  </si>
  <si>
    <t xml:space="preserve">For many years viral causes of community-acquired pneumonia were often been given limited attention. The number of published studies on influenza alone increased fivefold from 2001 to 2010. Specifically several studies have underlined that the involvement of viruses in community-acquired pneumonia has been underestimated, and this underestimation has been attributed to a lack of appropriate diagnostic methods. Now, with the advent of modern molecular assays, it is well recognized that viruses account for the largest proportion of community-acquired pneumonia in preschool children in both developed and developing countries. Respiratory syncytial virus, influenza virus, adenovirus, and parainfluenza virus are the major pathogens involved, but the relative importance of additional viruses (rhinoviruses, bocavirus, human metapneumovirus) is increasing and will be better defined by future research.</t>
  </si>
  <si>
    <t xml:space="preserve">[Mameli, Chiara; Zuccotti, Gian Vincenzo] Univ Milan, L Sacco Hosp Vialba, Dept Pediat, I-20157 Milan, Italy</t>
  </si>
  <si>
    <t xml:space="preserve">University of Milan; Luigi Sacco Hospital</t>
  </si>
  <si>
    <t xml:space="preserve">Zuccotti, GV (corresponding author), Univ Milan, L Sacco Hosp Vialba, Dept Pediat, Via GB Grassi 74, I-20157 Milan, Italy.</t>
  </si>
  <si>
    <t xml:space="preserve">gianvincenzo.zuccotti@unimi.it</t>
  </si>
  <si>
    <t xml:space="preserve">Zuccotti, Gianvincenzo/H-8572-2017</t>
  </si>
  <si>
    <t xml:space="preserve">Zuccotti, Gianvincenzo/0000-0002-2795-9874</t>
  </si>
  <si>
    <t xml:space="preserve">10.1007/s11908-013-0339-z</t>
  </si>
  <si>
    <t xml:space="preserve">AK2YQ</t>
  </si>
  <si>
    <t xml:space="preserve">WOS:000338286900001</t>
  </si>
  <si>
    <t xml:space="preserve">Woods, CR; Bryant, KA</t>
  </si>
  <si>
    <t xml:space="preserve">Woods, Charles R.; Bryant, Kristina A.</t>
  </si>
  <si>
    <t xml:space="preserve">Viral Infections in Children with Community-Acquired Pneumonia</t>
  </si>
  <si>
    <t xml:space="preserve">Community-acquired pneumonia; Bacterial pneumonia; Infant; Child; Adolescent; Viral infection; Viral respiratory tract infection; Streptococcus pneumoniae; Staphylococcus aureus; Rhinovirus; Influenza; Metapneumovirus; Adenovirus; Bocavirus; Parainfluenza virus; Respiratory syncytial virus; Enterovirus</t>
  </si>
  <si>
    <t xml:space="preserve">RESPIRATORY SYNCYTIAL VIRUS; INVASIVE PNEUMOCOCCAL DISEASE; 2009 INFLUENZA-A; EMERGENCY-DEPARTMENT; STAPHYLOCOCCUS-AUREUS; HOSPITALIZED CHILDREN; CLINICAL-FEATURES; RAPID DIAGNOSIS; INFANTS; IMPACT</t>
  </si>
  <si>
    <t xml:space="preserve">Viral pathogens are commonly isolated from children with community-acquired pneumonia (CAP). Viruses like respiratory syncytial virus, human rhinovirus, human metapneumovirus, parainfluenza viruses, and influenza may act as sole pathogens or may predispose to bacterial pneumonia by a variety of mechanisms. New, emerging, or reemerging viral pathogens occasionally cause outbreaks of severe respiratory tract infection in children. The 2009-2010 H1N1 influenza virus pandemic resulted in increased rates of influenza-related hospitalizations and deaths in children. Rapid viral diagnostic tests based on antigen detection or nucleic acid amplification are increasingly available for clinical use and confirm the importance of viral infection in children hospitalized with CAP. Recently published guidelines for the management of CAP in children note that positive viral test results can modify clinical decision making in children with suspected pneumonia by allowing antibacterial therapy to be withheld in the absence of clinical, laboratory, or radiographic findings that suggest bacterial coinfection.</t>
  </si>
  <si>
    <t xml:space="preserve">[Woods, Charles R.; Bryant, Kristina A.] Univ Louisville, Sch Med, Louisville, KY 40202 USA</t>
  </si>
  <si>
    <t xml:space="preserve">University of Louisville</t>
  </si>
  <si>
    <t xml:space="preserve">Woods, CR (corresponding author), Univ Louisville, Sch Med, 571 South Floyd St,Suite 321, Louisville, KY 40202 USA.</t>
  </si>
  <si>
    <t xml:space="preserve">Charles.woods@louisville.edu; Kristina.bryant@louisville.edu</t>
  </si>
  <si>
    <t xml:space="preserve">Dr. C. Woods serves as Chair of Data Safety Monitoring Board for pediatric studies of new antibiotic ceftaroline for Cerexa and has received research grant funding from Pfizer.</t>
  </si>
  <si>
    <t xml:space="preserve">10.1007/s11908-013-0324-6</t>
  </si>
  <si>
    <t xml:space="preserve">AK2YP</t>
  </si>
  <si>
    <t xml:space="preserve">WOS:000338286800012</t>
  </si>
  <si>
    <t xml:space="preserve">Li, Y; Zhai, YY; Lin, YE; Lu, CY; He, ZT; Wu, SZ; Yang, C; Zhou, R; Liu, WK; Chen, DH</t>
  </si>
  <si>
    <t xml:space="preserve">Li, Yuan; Zhai, Yingying; Lin, Yuneng; Lu, Chengyu; He, Zhentao; Wu, Shangzhi; Yang, Cui; Zhou, Rong; Liu, Wenkuan; Chen, Dehui</t>
  </si>
  <si>
    <t xml:space="preserve">Epidemiology of respiratory syncytial virus in hospitalized children with community-acquired pneumonia in Guangzhou: a 10-year study</t>
  </si>
  <si>
    <t xml:space="preserve">Community acquired pneumonia; respiratory syncytial virus (RSV); children; epidemiology</t>
  </si>
  <si>
    <t xml:space="preserve">INFECTION; BURDEN; CHINA; AGE</t>
  </si>
  <si>
    <t xml:space="preserve">Background: Respiratory syncytial virus (RSV) is one of the most common virus causing community acquired pneumonia (CAP) in children. To guide the prevention, diagnosis and treatment of RSV, we aimed to analyze the epidemiology of RSV in hospitalized children with CAP.Methods: A total of 9,837 hospitalized children (&lt;= 14 years old) with CAP from January 2010 to December 2019 were reviewed. Using the real-time polymerase chain reaction (RT-PCR), the oropharyngeal swab specimens were collected and tested for RSV, influenza virus A (INFA), influenza virus B (INFB), parainfluenza virus (PIV), enterovirus (EV), coronavirus (CoV), human metapneumovirus (HMPV), human bocavirus (HBoV), human rhinovirus (HRV), and adenovirus (ADV) for each patient.Results: The detection rate of RSV was 15.3% (1,507/9,837). From 2010 to 2019, the RSV detection rate showed a wavy change (chi 2=166.982, P&lt;0.001), with the highest detection rate in 2011 (158/636, 24.8%). RSV can be detected throughout the year, with the highest detection rate in February (123/482, 25.5%). Children younger than 0.5 years old had the highest detection rate (410/1,671,24.5%). The detection rate of RSV in male children (1,024/6,226, 16.4%) was higher than that in female children (483/3,611, 13.4%) (P&lt;0.001). A proportion of 17.7% (266/1,507) of RSV positive cases were also co-infected with other viruses, and INFA (41/266, 15.4%) was the most common coinfection virus. After adjusting for potential confounders, the RSV-positive children were associated with increased risk of severe pneumonia [odds ratio (OR) 1.26, 95% confidence interval (CI): 1.04 to 1.53, P=0.019]. Moreover, children with severe pneumonia had significantly lower cycle threshold (CT) values of RSV than those without severe pneumonia (28.88 +/- 3.89 vs. 30.42 +/- 3.33, P&lt;0.01). Patients with coinfection (38/266, 14.3%) had a higher risk of severe pneumonia than those without coinfection (142/1,241, 11.4%), but the difference was not statistically significant (OR 1.39, 95% CI: 0.94 to 2.05, P=0.101). Conclusions: The detection rate of RSV in CAP hospitalized children changed by years, months, ages, and sexes. CAP hospitalized children with RSV are more likely to develop severe pneumonia than those without RSV. Policy makers and doctors should make timely adjustments to prevention measures, medical resources and treatment options based on these epidemiological characteristics.</t>
  </si>
  <si>
    <t xml:space="preserve">[Li, Yuan; Zhai, Yingying; Lin, Yuneng; Lu, Chengyu; He, Zhentao; Wu, Shangzhi; Yang, Cui; Chen, Dehui] Guangzhou Med Univ, Dept Pediat, Affiliated Hosp 1, Guangzhou, Peoples R China; [Zhou, Rong; Liu, Wenkuan] Guangzhou Med Univ, Affiliated Hosp 1, Guangzhou Inst Resp Hlth, Natl Clin Res Ctr Resp Dis,State Key Lab Resp Dis,, Guangzhou, Peoples R China; [Chen, Dehui] Guangzhou Med Univ, Dept Pediat, Affiliated Hosp 1, Guangzhou, Peoples R China; [Liu, Wenkuan] Guangzhou Med Univ, State Key Lab Resp Dis, Guangzhou, Peoples R China</t>
  </si>
  <si>
    <t xml:space="preserve">Guangzhou Medical University; Guangzhou Medical University; State Key Laboratory of Respiratory Disease; Guangzhou Medical University; Guangzhou Medical University; State Key Laboratory of Respiratory Disease</t>
  </si>
  <si>
    <t xml:space="preserve">Chen, DH (corresponding author), Guangzhou Med Univ, Dept Pediat, Affiliated Hosp 1, Guangzhou, Peoples R China.;Liu, WK (corresponding author), Guangzhou Med Univ, State Key Lab Resp Dis, Guangzhou, Peoples R China.</t>
  </si>
  <si>
    <t xml:space="preserve">ahlwk2000-2004@163.com; cdh84@126.com</t>
  </si>
  <si>
    <t xml:space="preserve">Lu, Chengyu/HJI-2130-2023; he, zhentao/AAH-7448-2021</t>
  </si>
  <si>
    <t xml:space="preserve">Liu, Wen-Kuan/0000-0003-3020-9158</t>
  </si>
  <si>
    <t xml:space="preserve">National Natural Science Foundation of China [81970003]; Guangzhou Science and Technology Program-Zhongnanshan Medical Foundation of Guangdong Province [202102010359-ZNSA-2020003]; Guangdong-Hong Kong-Macao Joint Laboratory of Respiratory Infectious Diseases Subject [GHMJLRID-Z-202109]; Special Project for COVID-19 Prevention and Control of Zhongnanshan Medical Foundation of Guangdong Province [ZNSA2020012]</t>
  </si>
  <si>
    <t xml:space="preserve">National Natural Science Foundation of China(National Natural Science Foundation of China (NSFC)); Guangzhou Science and Technology Program-Zhongnanshan Medical Foundation of Guangdong Province; Guangdong-Hong Kong-Macao Joint Laboratory of Respiratory Infectious Diseases Subject; Special Project for COVID-19 Prevention and Control of Zhongnanshan Medical Foundation of Guangdong Province</t>
  </si>
  <si>
    <t xml:space="preserve">This project was funded by the National Natural Science Foundation of China (No. 81970003) ; Guangzhou Science and Technology Program-Zhongnanshan Medical Foundation of Guangdong Province (No. 202102010359-ZNSA-2020003) ; Guangdong-Hong Kong-Macao Joint Laboratory of Respiratory Infectious Diseases Subject (No. GHMJLRID-Z-202109) and Special Project for COVID-19 Prevention and Control of Zhongnanshan Medical Foundation of Guangdong Province (No. ZNSA2020012) .</t>
  </si>
  <si>
    <t xml:space="preserve">10.21037/jtd-22-331</t>
  </si>
  <si>
    <t xml:space="preserve">G4CM5</t>
  </si>
  <si>
    <t xml:space="preserve">WOS:000937430800001</t>
  </si>
  <si>
    <t xml:space="preserve">Tao, RJ; Luo, XL; Xu, W; Mao, B; Dai, RX; Li, CW; Yu, L; Gu, F; Liang, S; Lu, HW; Chen, KB; Bai, JW; Ji, XB; Gu, SY; Dai, FH; Jiang, P; Cao, WJ; Xu, JF</t>
  </si>
  <si>
    <t xml:space="preserve">Tao, Ru-Jia; Luo, Xiao-Li; Xu, Wen; Mao, Bei; Dai, Ruo-Xuan; Li, Cheng-Wei; Yu, Li; Gu, Fen; Liang, Shuo; Lu, Hai-Wen; Chen, Ke-Bin; Bai, Jiu-Wu; Ji, Xiao-Bin; Gu, Shu-Yi; Dai, Fa-Hui; Jiang, Ping; Cao, Wei-Jun; Xu, Jin-Fu</t>
  </si>
  <si>
    <t xml:space="preserve">Viral infection in community acquired pneumonia patients with fever: a prospective observational study</t>
  </si>
  <si>
    <t xml:space="preserve">Community acquired pneumonia (CAP); fever; multiplex polymerase chain reaction (mPCR); viruses</t>
  </si>
  <si>
    <t xml:space="preserve">INFLUENZA A(H1N1) INFECTION; VIRUS-INFECTION; ADULTS; PATHOGENS; EPIDEMIOLOGY; ETIOLOGY; OUTCOMES; NETWORK; PCR</t>
  </si>
  <si>
    <t xml:space="preserve">Background: Patients with community acquired pneumonia (CAP) caused by viruses can develop severe complications, which result in hospitalization and death. The purpose of this study was to analyse the aetiology, incidence, clinical characteristics, and outcomes of CAP patients with fever during non-pandemics, and then to provide theoretical basis for accurate diagnosis and treatment in CAP patients. Methods: An enrolment system was established for monitoring the CAP patients with fever. Multiplex polymerase chain reaction (mPCR) kits were used to detect 10 viruses [influenza A and B, adenovirus (ADA), respiratory syncytial virus (RSV) A and B, picornavirus, parainfluenza virus (PIV), coronavirus, human metapneumovirus (HMPV), and bocavirus]. Data on age, gender, underlying diseases, complications, laboratory indexes, and outcomes were collected by physicians. Results: This prospective study included 320 patients with fever. Among them, 23.4% were viral-positive by mPCR, with influenza virus most prominent followed by picornavirus. Strong variation in seasonal distribution was shown in viral infections, with peak months from December to February. Patients with influenza infection were likely to be taken to emergency rooms and have respiratory failure with higher creatinine kinase levels and lower white blood cell counts. Streptococcus pneumoniae followed by haemophilus influenzae were the most common bacteria in viral co-infections, which accounted for one third of virus-positive patients. Viral CAP and mixed CAP were not independent factors for death. In addition, lactate dehydrogenase (LDH) &gt;246 IU/L [odds ratio (OR) =7.06, 95% confidence interval (CI): 2.15-23.2, P=0.001], and serum calcium &lt;2.18 mmol/L (OR =6.67, 95% CI: 1.42-31.3, P=0.016) were associated with death. Conclusions: Viruses play an important role in CAP patients with fever, a systematic clinical, radiological and biological analysis of these patients can contribute to effective therapy that may prevent the development of CAP and improve the outcomes. The present work showed an elaborate analysis evidence of viral infection among fever CAP inpatients.</t>
  </si>
  <si>
    <t xml:space="preserve">[Tao, Ru-Jia; Luo, Xiao-Li; Xu, Wen; Mao, Bei; Dai, Ruo-Xuan; Li, Cheng-Wei; Yu, Li; Gu, Fen; Liang, Shuo; Lu, Hai-Wen; Chen, Ke-Bin; Bai, Jiu-Wu; Ji, Xiao-Bin; Gu, Shu-Yi; Jiang, Ping; Cao, Wei-Jun; Xu, Jin-Fu] Tongji Univ, Shanghai Pulm Hosp, Dept Resp &amp; Crit Care Med, Sch Med, Shanghai 200433, Peoples R China; [Dai, Fa-Hui] Fudan Univ, Shanghai Publ Hlth Clin Ctr, Shanghai 201058, Peoples R China</t>
  </si>
  <si>
    <t xml:space="preserve">Tongji University; Fudan University</t>
  </si>
  <si>
    <t xml:space="preserve">Xu, JF (corresponding author), Tongji Univ, Shanghai Pulm Hosp, Dept Resp &amp; Crit Care Med, Sch Med, Shanghai 200433, Peoples R China.</t>
  </si>
  <si>
    <t xml:space="preserve">jfxucn@gmail.com</t>
  </si>
  <si>
    <t xml:space="preserve">Xu, Jin-fu/AAC-6980-2020; Hu, Cheng-Yang/AAN-7959-2021; YU, Li/GLN-5399-2022; Dai, Ruoxuan/IQS-5375-2023</t>
  </si>
  <si>
    <t xml:space="preserve">Xu, Jin-fu/0000-0002-8039-8973</t>
  </si>
  <si>
    <t xml:space="preserve">National Natural Science Foundation of China [NSFC 81670006]; National key research and development program [2016YFC0903801]; Key Program of the Shanghai Hospital Development Center [SHDC12014104, 16CR3036A]; Shanghai Leading Talent Program [2016036]</t>
  </si>
  <si>
    <t xml:space="preserve">National Natural Science Foundation of China(National Natural Science Foundation of China (NSFC)); National key research and development program(National Key Research &amp; Development Program of China); Key Program of the Shanghai Hospital Development Center; Shanghai Leading Talent Program</t>
  </si>
  <si>
    <t xml:space="preserve">This work was supported by the program from National Natural Science Foundation of China (NSFC 81670006), National key research and development program (2016YFC0903801), the Key Program of the Shanghai Hospital Development Center (SHDC12014104, 16CR3036A) and Shanghai Leading Talent Program (2016036).</t>
  </si>
  <si>
    <t xml:space="preserve">10.21037/jtd.2018.06.33</t>
  </si>
  <si>
    <t xml:space="preserve">GO8WI</t>
  </si>
  <si>
    <t xml:space="preserve">WOS:000440380200079</t>
  </si>
  <si>
    <t xml:space="preserve">Mai, WH; Ren, Y; Tian, XY; Al-Mahdi, AY; Peng, RY; An, J; Lin, QY; Hu, XY; Wang, GY; Sun, CJ; Lu, Z; Du, J; Xiao, MF; Yin, FF</t>
  </si>
  <si>
    <t xml:space="preserve">Mai, Wenhui; Ren, Yi; Tian, Xiuying; Al-Mahdi, Abdullah Y.; Peng, Ruoyan; An, Jing; Lin, Qiuyu; Hu, Xiaoyuan; Wang, Gaoyu; Sun, Changjia; Lu, Zhe; Du, Jiang; Xiao, Meifang; Yin, Feifei</t>
  </si>
  <si>
    <t xml:space="preserve">Comparison of common human respiratory pathogens among hospitalized children aged ≤ 6 years in Hainan Island, China, during spring and early summer in 2019-2021</t>
  </si>
  <si>
    <t xml:space="preserve">common respiratory pathogens; Hainan Island; hospitalized children; SARS-CoV-2</t>
  </si>
  <si>
    <t xml:space="preserve">EPIDEMIOLOGY; INFLUENZA</t>
  </si>
  <si>
    <t xml:space="preserve">The coronavirus disease 2019 (COVID-19) pandemic and related public health intervention measures have been reported to have resulted in the reduction of infections caused by influenza viruses and other common respiratory viruses. However, the influence may be varied in areas that have different ecological, economic, and social conditions. This study investigated the changing epidemiology of 8 common respiratory pathogens, including Influenza A (IFVA), Influenza B (IFVB), Respiratory syncytial virus (HRSV), rhinovirus (RV), Human metapneumovirus Adenovirus, Human bocavirus, and Mycoplasma pneumoniae, among hospitalized children during spring and early summer in 2019-2021 in two hospitals in Hainan Island, China, in the COVID-19 pandemic era. The results revealed a significant reduction in the prevalence of IFVA and IFVB in 2020 and 2021 than in 2019, whereas the prevalence of HRSV increased, and it became the dominant viral pathogen in 2021. RV was one of the leading pathogens in the 3 year period, where no significant difference was observed. Phylogenetic analysis revealed close relationships among the circulating respiratory viruses. Large scale studies are needed to study the changing epidemiology of seasonal respiratory viruses to inform responses to future respiratory virus pandemics.</t>
  </si>
  <si>
    <t xml:space="preserve">[Mai, Wenhui; Ren, Yi] Haikou Maternal &amp; Child Hlth Hosp, Haikou, Hainan, Peoples R China; [Tian, Xiuying; Peng, Ruoyan; Hu, Xiaoyuan; Wang, Gaoyu; Du, Jiang; Yin, Feifei] Hainan Med Univ, Univ Hong Kong, Joint Lab Trop Infect Dis, Key Lab Trop Translat Med,Minist Educ, Haikou, Peoples R China; [Tian, Xiuying; Peng, Ruoyan; Hu, Xiaoyuan; Wang, Gaoyu; Du, Jiang; Yin, Feifei] Hainan Med Univ, Academician Workstat Hainan Prov, Haikou, Hainan, Peoples R China; [Al-Mahdi, Abdullah Y.; Xiao, Meifang] Lincoln Univ Coll, Fac Med, Petaling Jaya, Malaysia; [An, Jing; Lin, Qiuyu; Sun, Changjia; Lu, Zhe; Xiao, Meifang; Yin, Feifei] Hainan Med Univ, Ctr Lab Med, Hainan Women &amp; Childrens Med Ctr, Dept Clin Lab, Haikou, Hainan, Peoples R China; [Du, Jiang] Chinese Acad Med Sci &amp; Peking Union Med Coll, Inst Pathogen Biol, NHC Key Lab Syst Biol Pathogens, Beijing, Peoples R China; [Yin, Feifei] Hainan Med Univ, Dept Pathogen Biol, Haikou, Peoples R China; [Xiao, Meifang; Yin, Feifei] Hainan Med Univ, Ctr Lab Med, Hainan Women &amp; Childrens Med Ctr, Dept Clin Lab, Haikou 570206, Hainan, Peoples R China; [Du, Jiang] Hainan Med Univ, Univ Hong Kong, Joint Lab Trop Infect Dis, Key Lab Trop Translat Med,Minist Educ, Haikou 571199, Peoples R China</t>
  </si>
  <si>
    <t xml:space="preserve">University of Hong Kong; Hainan Medical University; Hainan Medical University; Lincoln University College; Hainan Medical University; Chinese Academy of Medical Sciences - Peking Union Medical College; Peking Union Medical College; Institute of Pathogen Biology - CAMS; Hainan Medical University; Hainan Medical University; University of Hong Kong; Hainan Medical University</t>
  </si>
  <si>
    <t xml:space="preserve">Xiao, MF; Yin, FF (corresponding author), Hainan Med Univ, Ctr Lab Med, Hainan Women &amp; Childrens Med Ctr, Dept Clin Lab, Haikou 570206, Hainan, Peoples R China.;Du, J (corresponding author), Hainan Med Univ, Univ Hong Kong, Joint Lab Trop Infect Dis, Key Lab Trop Translat Med,Minist Educ, Haikou 571199, Peoples R China.</t>
  </si>
  <si>
    <t xml:space="preserve">dujiang@ipbcams.ac.cn; xiaomeifang2006@hotmail.com; hy0211056@hainmc.edu.cn</t>
  </si>
  <si>
    <t xml:space="preserve">Xiao, Mei/KFQ-6798-2024; Almahdi, Abdullah/AAH-2386-2021</t>
  </si>
  <si>
    <t xml:space="preserve">Al-Mahdi, Abdullah Yahya/0000-0001-7479-0381</t>
  </si>
  <si>
    <t xml:space="preserve">Hainan Tropical Infectious Diseases Biobank; CAMS Innovation Fund for Medical Science; Emerging Tropical Infectious Diseases Science Innovation Group of Hainan Medical University; Major Science and Technology Program of Hainan Province; Hainan Province Clinical Medical Center; Key Research and Development Plan of Hainan Province; Open Foundation of Key Laboratory of Tropical Translational Medicine of Ministry of Education, Hainan Medical University; National Natural Science Foundation of China; Hainan Provincial Natural Science Foundation of China</t>
  </si>
  <si>
    <t xml:space="preserve">Hainan Tropical Infectious Diseases Biobank; CAMS Innovation Fund for Medical Science; Emerging Tropical Infectious Diseases Science Innovation Group of Hainan Medical University; Major Science and Technology Program of Hainan Province; Hainan Province Clinical Medical Center; Key Research and Development Plan of Hainan Province; Open Foundation of Key Laboratory of Tropical Translational Medicine of Ministry of Education, Hainan Medical University; National Natural Science Foundation of China(National Natural Science Foundation of China (NSFC)); Hainan Provincial Natural Science Foundation of China</t>
  </si>
  <si>
    <t xml:space="preserve">10.1002/jmv.28692</t>
  </si>
  <si>
    <t xml:space="preserve">G5ML1</t>
  </si>
  <si>
    <t xml:space="preserve">WOS:000989594000035</t>
  </si>
  <si>
    <t xml:space="preserve">Trifonova, I; Christova, I; Madzharova, I; Angelova, S; Voleva, S; Yordanova, R; Tcherveniakova, T; Krumova, S; Korsun, N</t>
  </si>
  <si>
    <t xml:space="preserve">Trifonova, Ivelina; Christova, Iva; Madzharova, Iveta; Angelova, Svetla; Voleva, Silvya; Yordanova, Ralitsa; Tcherveniakova, Tatiana; Krumova, Stefka; Korsun, Neli</t>
  </si>
  <si>
    <t xml:space="preserve">Clinical significance and role of coinfections with respiratory pathogens among individuals with confirmed severe acute respiratory syndrome coronavirus-2 infection</t>
  </si>
  <si>
    <t xml:space="preserve">coinfection; SARS-CoV-2; respiratory virus; viral load; clinical significance; COVID-19</t>
  </si>
  <si>
    <t xml:space="preserve">PERFORMANCE; SARS-COV-2; COVID-19</t>
  </si>
  <si>
    <t xml:space="preserve">IntroductionThis study aimed to determine the prevalence, viral profile, and clinical features of coinfections with severe acute respiratory syndrome coronavirus-2 (SARS-CoV-2) and other respiratory viruses. MethodsNasopharyngeal samples and clinical data of 221 hospitalized patients and 21 outpatients were collected and analyzed. Real-time reverse transcription-polymerase chain reaction was used to detect SARS-CoV-2, influenza virus, respiratory syncytial virus (RSV), human metapneumovirus (HMPV), parainfluenza virus (PIV) 1,2,3, rhinovirus (RV), adenovirus (AdV), bocaviruses (BoV), and seasonal coronaviruses (OC43, 229E, NL63, and HKU1). Viral load was determined by capillary electrophoresis. ResultsFrom November 2020 to mid-March 2022, 242 SARS-CoV-2 positive patients were tested for seasonal respiratory viruses, and 24 (9.9%) cases of coinfections were detected. The distribution of viruses involved in cases of coinfections were as follows: HMPV (n = 6; 25%), RSV (n = 4;16.7%), AdV (n = 4; 16.7%), BoV (n = 4; 16.7%), PIV3 (n = 2; 8.3%), influenza A (H3N2; n = 2; 8.3%), RV (n = 1; 4.62%), and RV+BoV (n = 1; 4.62%). The proportion of detected coinfections with SARS-CoV-2 was highest in children aged 0-5 years (59%), followed by those &gt;65 years (33%). In specimens with detected coinfection, the viral load of influenza was higher than that of SARS-CoV-2, and the mean viral load of SARS-CoV-2 was higher than that of the other respiratory viruses. C-reactive protein (CRP) and lymphocytes count in co-infected patients &gt;65 years of age were on average higher than in children &lt;16 years of age (mean CRP of 161.8 +/- 133.1 mg/L; 19.7 +/- 3.09% vs. mean 6.9 +/- 8.9 mg/L, 0.9 +/- 3.1%; p &lt; 0.01). Patients &gt;65 years of age co-infected with SARS-CoV-2 and other respiratory viruses had longer hospital stays than those &lt;16 years of age (mean 9 +/- 3.96 days vs. 5.44 +/- 1.89 days; p = 0.025). The combination of AdV and SARS-CoV-2 is fatal for patients aged &gt;65 years. ConclusionIn patients aged &gt;65 years, coinfection with SARS CoV-2 and other respiratory viruses, together with concomitant diseases, causes worsening of the clinical picture and complications, and can be fatal. Screening of patients with SARS CoV-2 for other respiratory viruses is needed to select appropriate treatments and prevent a fatal outcome of the disease.</t>
  </si>
  <si>
    <t xml:space="preserve">[Trifonova, Ivelina; Christova, Iva; Madzharova, Iveta; Krumova, Stefka; Korsun, Neli] Natl Ctr Infect &amp; Parasit Dis, Dept Virol, Natl Lab Influenza &amp; ARD, Sofia, Bulgaria; [Angelova, Svetla] Univ Hosp Prof Dr Stoyan Kirkovich, Clin Virol Lab, Stara Zagora, Bulgaria; [Voleva, Silvya; Yordanova, Ralitsa; Tcherveniakova, Tatiana] Med Univ Sofia, Infect Hosp Prof Ivan Kirov, Clin Neuro Infect Airborne Roof &amp; Transmissible In, Dept Infect Dis Parasitol &amp; Trop Med, Sofia, Bulgaria</t>
  </si>
  <si>
    <t xml:space="preserve">Trifonova, I (corresponding author), Natl Ctr Infect &amp; Parasit Dis, Dept Virol, Natl Lab Influenza &amp; ARD, Sofia, Bulgaria.</t>
  </si>
  <si>
    <t xml:space="preserve">trifonova.ivelina@abv.bg</t>
  </si>
  <si>
    <t xml:space="preserve">Tifonova, Ivelina/JTV-1761-2023</t>
  </si>
  <si>
    <t xml:space="preserve">Yordanova, Ralitsa/0009-0009-8456-8851; Tifonova, Ivelina/0000-0002-4543-6831; Krumova, Stefka/0000-0001-6941-0989</t>
  </si>
  <si>
    <t xml:space="preserve">10.3389/fpubh.2022.959319</t>
  </si>
  <si>
    <t xml:space="preserve">4O9EV</t>
  </si>
  <si>
    <t xml:space="preserve">WOS:000854996700001</t>
  </si>
  <si>
    <t xml:space="preserve">Morales-Jadán, D; Muslin, C; Viteri-Dávila, C; Coronel, B; Castro-Rodríguez, B; Vallejo-Janeta, AP; Henríquez-Trujillo, AR; Garcia-Bereguiain, MA; Rivera-Olivero, IA</t>
  </si>
  <si>
    <t xml:space="preserve">Morales-Jadan, Diana; Muslin, Claire; Viteri-Davila, Carolina; Coronel, Barbara; Castro-Rodriguez, Bernardo; Vallejo-Janeta, Alexander Paolo; Henriquez-Trujillo, Aquiles Rodrigo; Garcia-Bereguiain, Miguel Angel; Rivera-Olivero, Ismar A.</t>
  </si>
  <si>
    <t xml:space="preserve">Coinfection of SARS-CoV-2 with other respiratory pathogens in outpatients from Ecuador</t>
  </si>
  <si>
    <t xml:space="preserve">coinfection; SARS-CoV-2; outpatients; Latin America; influenza A; Ecuador; S. pneumoniae</t>
  </si>
  <si>
    <t xml:space="preserve">PCR ASSAYS; SYNCYTIAL VIRUS; COVID-19; INFLUENZA</t>
  </si>
  <si>
    <t xml:space="preserve">Worldwide, the COVID-19 pandemic caused by SARS-CoV-2 has enormously impacted healthcare systems, especially in low and middle-income countries. Coinfections with respiratory pathogens in COVID-19 patients may contribute to worse outcomes. This study identified the presence of 12 viral coinfections and pneumococcal carriers among individuals with SARS-CoV-2 infection in outpatient and community settings in Ecuador. From January 2020 to November 2021, 215 nasopharyngeal and nasal swabs were taken from individuals who reported symptoms of COVID-19 or had known exposure to someone with confirmed or suspected COVID-19. One hundred fifty-eight tested positive for SARS-CoV-2 by RT-qPCR and coinfections were detected in 12% (19/158) of SARS-CoV-2-positive patients; the most frequent coinfection was with influenza A virus at 4.4% (7/158; 95% CI: 1.2-7.6), followed by respiratory syncytial virus with 3.1% (5/158; 95% CI: 0.4-5.8), and finally rhinovirus and human coronavirus NL63 with 1.2% (2/158). Pneumococcal carriage was detected in 3.7% (6/158; 95% CI: 0.76-6.64) of SARS-CoV-2 cases. Influenza B, adenovirus, human metapneumovirus (HMPV), parainfluenza virus types 1, 2, and 3, and human coronavirus HKU1 were undetected. To our knowledge, this is the first study of coinfection of SARS-CoV-2 and respiratory pathogens performed on outpatients in Latin America. The high proportion of outpatients with viral coinfections reported in our cohort allows us to suggest that testing for SARS-CoV-2 and other common respiratory pathogens should be carried out to ensure accurate diagnoses, prompt patient treatment, and appropriate isolation.</t>
  </si>
  <si>
    <t xml:space="preserve">[Morales-Jadan, Diana; Muslin, Claire; Viteri-Davila, Carolina; Coronel, Barbara; Castro-Rodriguez, Bernardo; Vallejo-Janeta, Alexander Paolo; Henriquez-Trujillo, Aquiles Rodrigo; Garcia-Bereguiain, Miguel Angel] Univ Amer, One Hlth Res Grp, Quito, Ecuador; [Rivera-Olivero, Ismar A.] Univ Amer, Fac Med, One Hlth Res Grp, Quito, Ecuador</t>
  </si>
  <si>
    <t xml:space="preserve">Universidad de Las Americas - Ecuador; Universidad de Las Americas - Ecuador</t>
  </si>
  <si>
    <t xml:space="preserve">Rivera-Olivero, IA (corresponding author), Univ Amer, Fac Med, One Hlth Res Grp, Quito, Ecuador.</t>
  </si>
  <si>
    <t xml:space="preserve">iarivera.olivero@gmail.com</t>
  </si>
  <si>
    <t xml:space="preserve">Rivera-Olivero, Ismar/ABG-3420-2020; Henriquez-Trujillo, Aquiles/G-3645-2011</t>
  </si>
  <si>
    <t xml:space="preserve">Rivera-Olivero, Ismar A/0000-0001-8345-8217</t>
  </si>
  <si>
    <t xml:space="preserve">The author(s) declare financial support was received for the research, authorship, and/or publication of this article. This research was funded by Universidad de las Americas, research grant MED.IRO.20.08 led by IR-O. [MED.IRO.20.08]; Universidad de las Americas</t>
  </si>
  <si>
    <t xml:space="preserve">The author(s) declare financial support was received for the research, authorship, and/or publication of this article. This research was funded by Universidad de las Americas, research grant MED.IRO.20.08 led by IR-O.; Universidad de las Americas</t>
  </si>
  <si>
    <t xml:space="preserve">Thanks to Helen Pugh for proofreading the manuscript.r The author(s) declare financial support was received for the research, authorship, and/or publication of this article. This research was funded by Universidad de las Americas, research grant MED.IRO.20.08 led by IR-O.</t>
  </si>
  <si>
    <t xml:space="preserve">10.3389/fpubh.2023.1264632</t>
  </si>
  <si>
    <t xml:space="preserve">Y2JY0</t>
  </si>
  <si>
    <t xml:space="preserve">WOS:001103592700001</t>
  </si>
  <si>
    <t xml:space="preserve">Soudani, N; Caniza, MA; Assaf-Casals, A; Shaker, R; Lteif, M; Su, Y; Tang, L; Akel, I; Muwakkit, S; Chmaisse, A; Homsi, M; Dbaibo, G; Zaraket, H</t>
  </si>
  <si>
    <t xml:space="preserve">Soudani, Nadia; Caniza, Miguela A.; Assaf-Casals, Aia; Shaker, Rouba; Lteif, Mireille; Su, Yin; Tang, Li; Akel, Imad; Muwakkit, Samar; Chmaisse, Ahmad; Homsi, Maysam; Dbaibo, Ghassan; Zaraket, Hassan</t>
  </si>
  <si>
    <t xml:space="preserve">Prevalence and characteristics of acute respiratory virus infections in pediatric cancer patients</t>
  </si>
  <si>
    <t xml:space="preserve">coinfection; patients with pediatric cancer; prevalence; real-time PCR; respiratory tract infections; virus infections</t>
  </si>
  <si>
    <t xml:space="preserve">ACUTE LYMPHOBLASTIC-LEUKEMIA; SYNCYTIAL VIRUS; VIRAL-INFECTIONS; PULMONARY INFECTIONS; TRACT INFECTIONS; CLINICAL-COURSE; CHILDREN; IMPACT; COMPLICATIONS; EPIDEMIOLOGY</t>
  </si>
  <si>
    <t xml:space="preserve">Background: Patients with pediatric cancer have a higher risk of morbidity and mortality because of respiratory viral infections than other patient populations. Objectives: To investigate the causative viruses of respiratory infections and their burden among patients with pediatric cancer in Lebanon. Study design: Nasopharyngeal swabs along with clinical and demographic data were collected from patients with pediatric cancer presenting febrile episodes with upper respiratory tract symptoms. Total nucleic acid was extracted from specimens followed by the real-time PCR analysis targeting 14 respiratory viruses to estimate the frequency of infections. Results: We obtained 89 nasopharyngeal swabs from patients with pediatric cancer (mean age, 5.8 +/- 4.2 years). Real-time PCR confirmed viral infection in 77 swabs (86.5%). Among these, 151 respiratory viruses were detected. Several viruses cocirculated within the same period; respiratory syncytial virus (RSV) being the most common (45.45%), followed by parainfluenza virus (PIV; 26%), influenza type B (26%), human metapneumovirus (24.6%), and human coronavirus (HCoV; 24.6%). Coinfections were detected in 55% of the subjects, and most of them involved RSV with one or more other viruses. A strong correlation was found between PIV, Flu (influenza of any type), RSV, and HCoV with the incidence of coinfections. RSV was associated with lower respiratory tract infections, nasal congestion, bronchitis, and bacteremia. HCoV was associated with bronchiolitis; rhinovirus was associated with hospital admission. Conclusion: Patients with pediatric cancer have a high burden of respiratory viral infections and a high incidence of coinfections. Molecular diagnostics can improve management of febrile episodes and reduce antibiotic use.</t>
  </si>
  <si>
    <t xml:space="preserve">[Soudani, Nadia; Chmaisse, Ahmad; Zaraket, Hassan] Amer Univ Beirut, Fac Med, Dept Expt Pathol Immunol &amp; Microbiol, Beirut, Lebanon; [Soudani, Nadia; Assaf-Casals, Aia; Shaker, Rouba; Lteif, Mireille; Akel, Imad; Chmaisse, Ahmad; Dbaibo, Ghassan; Zaraket, Hassan] Amer Univ Beirut, Fac Med, Ctr Infect Dis Res, Beirut, Lebanon; [Soudani, Nadia] Lebanese Univ, Fac Sci, EDST, Dept Biol, Beirut, Lebanon; [Caniza, Miguela A.] St Jude Childrens Res Hosp, Dept Infect Dis, 332 N Lauderdale St, Memphis, TN 38105 USA; [Caniza, Miguela A.] St Jude Childrens Res Hosp, Dept Global Pediat Med, 332 N Lauderdale St, Memphis, TN 38105 USA; [Caniza, Miguela A.] St Jude Childrens Res Hosp, Dept Global Pediat Med, 332 N Lauderdale St, Memphis, TN 38105 USA; [Assaf-Casals, Aia; Shaker, Rouba; Lteif, Mireille; Akel, Imad; Muwakkit, Samar; Dbaibo, Ghassan] Amer Univ Beirut, Fac Med, Dept Pediat &amp; Adolescent Med, Beirut, Lebanon; [Su, Yin; Tang, Li] St Jude Childrens Res Hosp, Dept Biostat, 332 N Lauderdale St, Memphis, TN 38105 USA; [Muwakkit, Samar] Amer Univ Beirut, Childrens Canc Ctr Lebanon, Beirut, Lebanon</t>
  </si>
  <si>
    <t xml:space="preserve">American University of Beirut; American University of Beirut; Lebanese University; St Jude Children's Research Hospital; St Jude Children's Research Hospital; St Jude Children's Research Hospital; American University of Beirut; St Jude Children's Research Hospital; American University of Beirut</t>
  </si>
  <si>
    <t xml:space="preserve">Dbaibo, G; Zaraket, H (corresponding author), Amer Univ Beirut, POB 11-0236, Beirut, Lebanon.</t>
  </si>
  <si>
    <t xml:space="preserve">gdbaibo@aub.edu.lb; hz34@aub.edu.lb</t>
  </si>
  <si>
    <t xml:space="preserve">Dbaibo, Ghassan/X-2978-2019; Tang, Li/N-8123-2018; su, yin/KMA-1276-2024</t>
  </si>
  <si>
    <t xml:space="preserve">Soudani, Nadia/0000-0002-0191-7860</t>
  </si>
  <si>
    <t xml:space="preserve">American University of Beirut Faculty of Medicine; Children's Infection Defense Center (CIDC) fund, St. Jude Children's Research Hospital</t>
  </si>
  <si>
    <t xml:space="preserve">American University of Beirut Faculty of Medicine; Children's Infection Defense Center (CIDC) fund, St. Jude Children's Research Hospital, Grant/Award Number: N/A</t>
  </si>
  <si>
    <t xml:space="preserve">10.1002/jmv.25432</t>
  </si>
  <si>
    <t xml:space="preserve">WOS:000471755300003</t>
  </si>
  <si>
    <t xml:space="preserve">Liu, W; Zhang, H; Zhao, TS; Cai, XM; Yang, LG; Gao, GX; Che, XY; Zhu, ZH; Zeng, TX; Cui, FQ</t>
  </si>
  <si>
    <t xml:space="preserve">Liu, Wu; Zhang, Hui; Zhao, Tianshuo; Cai, Xianming; Yang, Liguo; Gao, Genxia; Che, Xiaoyan; Zhu, Zhenhong; Zeng, Tongxia; Cui, Fuqiang</t>
  </si>
  <si>
    <t xml:space="preserve">Molecular Epidemiology and Clinical Characteristics of an Outbreak on Respiratory Virus Coinfection in Gansu, China</t>
  </si>
  <si>
    <t xml:space="preserve">coinfection; human metapneumovirus; human rhinovirus; outbreak; respiratory syncytial virus</t>
  </si>
  <si>
    <t xml:space="preserve">HUMAN METAPNEUMOVIRUS; TRACT INFECTIONS; SYNCYTIAL VIRUS; GUANGZHOU</t>
  </si>
  <si>
    <t xml:space="preserve">This study aims to analyze the epidemiological and pathogenic characteristics of an outbreak primarily caused by respiratory syncytial virus (RSV), human rhinovirus (HRV), and human metapneumovirus (HMPV) in a kindergarten and primary school. The outbreak was investigated by field epidemiological investigation, and the common respiratory pathogens were screened by RT-PCR detection technology. The attack rate of this outbreak was 63.95% (110/172). Main symptoms included cough (85.45%), sore throat (60.91%), and sneezing (60.00%). Multifactorial logistic regression analysis revealed that continuous handwashing and mouth and nose covering when sneezing were protective factors. All 15 collected throat swab specimens tested positive for viruses, with HMPV as the predominant pathogen (80.00%), followed by HRV (53.33%), and two cases of positive respiratory syncytial virus (13.33%). Among them, six samples showed coinfections of HMPV and HRV, and one had coinfections of HMPV and RSV, resulting in a coinfection rate of 46.67%. Genetic sequencing indicated that the HMPV genotype in this outbreak was A2c, and the HRV genotype was type A, resulting in a coinfection outbreak of HMPV, HRV, and RSV in schools and kindergartens, suggesting that multi-pathogen surveillance of respiratory tract infections should be strengthened.</t>
  </si>
  <si>
    <t xml:space="preserve">[Liu, Wu; Yang, Liguo; Gao, Genxia; Che, Xiaoyan; Zhu, Zhenhong] Jingyuan Cty Ctr Dis Control &amp; Prevent, Jingyuan 730699, Peoples R China; [Zhang, Hui] Gansu Prov Ctr Dis Control &amp; Prevent, Key Lab Pathogen Microbiol &amp; Immunol Gansu Prov, Lanzhou 730050, Peoples R China; [Zhao, Tianshuo; Cai, Xianming; Cui, Fuqiang] Peking Univ, Vaccine Res &amp; Evaluat Ctr, Sch Publ Hlth, Dept Hlth Inspect, Beijing 101100, Peoples R China; [Zeng, Tongxia] Baiyin City Ctr Dis Control &amp; Prevent, Sci Res Training Dept, Baiyin, Peoples R China</t>
  </si>
  <si>
    <t xml:space="preserve">Peking University</t>
  </si>
  <si>
    <t xml:space="preserve">Cui, FQ (corresponding author), Peking Univ, Vaccine Res &amp; Evaluat Ctr, Sch Publ Hlth, Dept Hlth Inspect, Beijing 101100, Peoples R China.;Zeng, TX (corresponding author), Baiyin City Ctr Dis Control &amp; Prevent, Sci Res Training Dept, Baiyin, Peoples R China.</t>
  </si>
  <si>
    <t xml:space="preserve">13893030697@163.com; xxwandzh@163.com; zts2018@pku.edu.cn; 1710306124@pku.edu.cn; 15109432095@163.com; 13884267412@163.com; 18394130803@163.com; 19809431872@163.com; 13830017608@163.com; cuifuq@bjmu.edu.cn</t>
  </si>
  <si>
    <t xml:space="preserve">Health Commission of China</t>
  </si>
  <si>
    <t xml:space="preserve">10.3390/v16040540</t>
  </si>
  <si>
    <t xml:space="preserve">OW4D8</t>
  </si>
  <si>
    <t xml:space="preserve">WOS:001210293000001</t>
  </si>
  <si>
    <t xml:space="preserve">Talah, S; Carbonneau, J; Hamelin, ME; Gilca, R; Boivin, G</t>
  </si>
  <si>
    <t xml:space="preserve">Talah, Sarah; Carbonneau, Julie; Hamelin, Marie-Eve; Gilca, Rodica; Boivin, Guy</t>
  </si>
  <si>
    <t xml:space="preserve">Viral Loads of Pneumoviruses: Correlation With Coinfection Rates and Disease Severity</t>
  </si>
  <si>
    <t xml:space="preserve">coinfection; HMPV; interference; RSV; severity; viral load</t>
  </si>
  <si>
    <t xml:space="preserve">HUMAN METAPNEUMOVIRUS; INFECTIONS; INFLUENZA; VIRUS</t>
  </si>
  <si>
    <t xml:space="preserve">We looked at the interactions between viral loads, coinfection rates and disease severity for children infected with two pneumoviruses: human metapneumovirus (HMPV) and respiratory syncytial virus (RSV). The HMPV RNA load in nasopharyngeal swabs of hospitalized children was significantly higher in mono-infections compared to coinfections but this was not the case for RSV, which could be explained by different innate immune responses. Also, the viral load of neither of the two viruses was associated with disease severity although RSV-infected children had higher severity scores than HMPV-infected children.</t>
  </si>
  <si>
    <t xml:space="preserve">[Talah, Sarah; Carbonneau, Julie; Hamelin, Marie-Eve; Gilca, Rodica; Boivin, Guy] CHU Quebec, Res Ctr Infect Dis, Quebec City, PQ, Canada; [Talah, Sarah; Carbonneau, Julie; Hamelin, Marie-Eve; Gilca, Rodica; Boivin, Guy] Laval Univ, Quebec City, PQ, Canada; [Carbonneau, Julie; Hamelin, Marie-Eve; Boivin, Guy] Int Lab Resp Viruses RespiVir Canada France, Quebec City, PQ, Canada; [Gilca, Rodica] Quebec Publ Hlth Inst, Quebec City, PQ, Canada</t>
  </si>
  <si>
    <t xml:space="preserve">Laval University; Laval University; Institut national de sante publique du Quebec (INSPQ)</t>
  </si>
  <si>
    <t xml:space="preserve">Boivin, G (corresponding author), CHU Quebec, Res Ctr Infect Dis, Quebec City, PQ, Canada.;Boivin, G (corresponding author), Laval Univ, Quebec City, PQ, Canada.</t>
  </si>
  <si>
    <t xml:space="preserve">Ministere de la sante du Quebec; Canadian Institutes of Health Research [148361]</t>
  </si>
  <si>
    <t xml:space="preserve">Ministere de la sante du Quebec; Canadian Institutes of Health Research(Canadian Institutes of Health Research (CIHR))</t>
  </si>
  <si>
    <t xml:space="preserve">This work was supported by the Ministere de la sante du Quebec and by the Canadian Institutes of Health Research award # 148361.</t>
  </si>
  <si>
    <t xml:space="preserve">e70054</t>
  </si>
  <si>
    <t xml:space="preserve">10.1002/jmv.70054</t>
  </si>
  <si>
    <t xml:space="preserve">O1E4P</t>
  </si>
  <si>
    <t xml:space="preserve">WOS:001368641600001</t>
  </si>
  <si>
    <t xml:space="preserve">Emanuels, A; Hawes, SE; Newman, KL; Martin, ET; Englund, JA; Tielsch, JM; Kuypers, J; Khatry, SK; LeClerq, SC; Katz, J; Chu, HY</t>
  </si>
  <si>
    <t xml:space="preserve">Emanuels, Anne; Hawes, Stephen E.; Newman, Kira L.; Martin, Emily T.; Englund, Janet A.; Tielsch, James M.; Kuypers, Jane; Khatry, Subarna K.; LeClerq, Steven C.; Katz, Joanne; Chu, Helen Y.</t>
  </si>
  <si>
    <t xml:space="preserve">Respiratory viral coinfection in a birth cohort of infants in rural Nepal</t>
  </si>
  <si>
    <t xml:space="preserve">coinfection; epidemiology; global health; human influenza; human respiratory syncytial virus; respiratory infections</t>
  </si>
  <si>
    <t xml:space="preserve">SYNCYTIAL VIRUS; HUMAN METAPNEUMOVIRUS; DISEASE SEVERITY; YOUNG-CHILDREN; INFECTION; INFLUENZA; MULTIPLE; BURDEN; SINGLE; IMPACT</t>
  </si>
  <si>
    <t xml:space="preserve">Background Acute respiratory illnesses are a leading cause of global morbidity and mortality in children. Coinfection with multiple respiratory viruses is common. Although the effects of each virus have been studied individually, the impacts of coinfection on disease severity are less understood. Methods A secondary analysis was performed of a maternal influenza vaccine trial conducted between 2011 and 2014 in Nepal. Prospective weekly household-based active surveillance of infants was conducted from birth to 180 days of age. Mid-nasal swabs were collected and tested for respiratory syncytial virus (RSV), rhinovirus, influenza, human metapneumovirus (HMPV), coronavirus, parainfluenza (HPIV), and bocavirus by RT-PCR. Coinfection was defined as the presence of two or more respiratory viruses detected as part of the same illness episode. Results Of 1730 infants with a respiratory illness, 327 (19%) had at least two respiratory viruses detected in their primary illness episode. Of 113 infants with influenza, 23 (20%) had coinfection. Of 214 infants with RSV, 87 (41%) had coinfection. The cohort of infants with coinfection had increased occurrence of fever lasting &gt;= 4 days (OR 1.4, 95% CI: 1.1, 2.0), and so did the subset of coinfected infants with influenza (OR 5.8, 95% CI: 1.8, 18.7). Coinfection was not associated with seeking further care (OR 1.1, 95% CI: 0.8, 1.5) or pneumonia (OR 1.2, 95% CI: 0.96, 1.6). Conclusion A high proportion of infants had multiple viruses detected. Coinfection was associated with greater odds of fever lasting for four or more days, but not with increased illness severity by other measures.</t>
  </si>
  <si>
    <t xml:space="preserve">[Emanuels, Anne; Hawes, Stephen E.; Chu, Helen Y.] Univ Washington, Dept Epidemiol, Seattle, WA 98195 USA; [Newman, Kira L.; Englund, Janet A.; Kuypers, Jane; Chu, Helen Y.] Univ Washington, Dept Lab Med, Seattle, WA 98195 USA; [Martin, Emily T.] Univ Michigan, Ann Arbor, MI 48109 USA; [Englund, Janet A.] Seattle Childrens Hosp, Seattle, WA USA; [Tielsch, James M.] George Washington Univ, Milken Inst, Dept Global Hlth, Washington, DC USA; [Khatry, Subarna K.; LeClerq, Steven C.; Katz, Joanne] Johns Hopkins Bloomberg Sch Publ Hlth, Dept Int Hlth, Baltimore, MD USA; [Khatry, Subarna K.; LeClerq, Steven C.] Nepal Nutr Intervent Project Sarlahi NNIPS, Kathmandu, Nepal</t>
  </si>
  <si>
    <t xml:space="preserve">University of Washington; University of Washington Seattle; University of Washington; University of Washington Seattle; University of Michigan System; University of Michigan; Seattle Children's Hospital; George Washington University; Johns Hopkins University; Johns Hopkins Bloomberg School of Public Health</t>
  </si>
  <si>
    <t xml:space="preserve">Emanuels, A (corresponding author), Chu Lab, UW Med Box 358050,Brotman Bldg,Room 254, Seattle, WA 98109 USA.</t>
  </si>
  <si>
    <t xml:space="preserve">aemanuel@uw.edu</t>
  </si>
  <si>
    <t xml:space="preserve">Katz, Joanne/0000-0002-5997-7823; Newman, Kira/0000-0002-8279-1111; Chu, Helen/0000-0001-8502-9600</t>
  </si>
  <si>
    <t xml:space="preserve">Bill and Melinda Gates Foundation [50274]; National Institutes of Health [K23-AI103105]</t>
  </si>
  <si>
    <t xml:space="preserve">Bill and Melinda Gates Foundation(Bill &amp; Melinda Gates Foundation); National Institutes of Health(United States Department of Health &amp; Human ServicesNational Institutes of Health (NIH) - USA)</t>
  </si>
  <si>
    <t xml:space="preserve">Bill and Melinda Gates Foundation, Grant/Award Number: 50274; National Institutes of Health, Grant/Award Number: K23-AI103105</t>
  </si>
  <si>
    <t xml:space="preserve">10.1111/irv.12775</t>
  </si>
  <si>
    <t xml:space="preserve">OE3GX</t>
  </si>
  <si>
    <t xml:space="preserve">WOS:000548030200001</t>
  </si>
  <si>
    <t xml:space="preserve">Martin, ET; Kuypers, J; Wald, A; Englund, JA</t>
  </si>
  <si>
    <t xml:space="preserve">Martin, Emily T.; Kuypers, Jane; Wald, Anna; Englund, Janet A.</t>
  </si>
  <si>
    <t xml:space="preserve">Multiple versus single virus respiratory infections: viral load and clinical disease severity in hospitalized children</t>
  </si>
  <si>
    <t xml:space="preserve">Coinfection; disease severity; PCR; pediatric; respiratory virus; viral load</t>
  </si>
  <si>
    <t xml:space="preserve">HUMAN METAPNEUMOVIRUS INFECTIONS; ATTENDING DAY-CARE; TIME RT-PCR; SYNCYTIAL VIRUS; YOUNG-CHILDREN; TRACT INFECTIONS; SEVERE BRONCHIOLITIS; INFANTS; SPECIMENS; ASSAYS</t>
  </si>
  <si>
    <t xml:space="preserve">Background Molecular testing for viral pathogens has resulted in increasing detection of multiple viruses in respiratory secretions of ill children. The clinical impact of multiple virus infections on clinical presentation and outcome is unclear. Objectives To compare clinical characteristics and viral load between children with multiple virus versus single virus illnesses. Patients/methods Eight hundred and ninety-three residual nasal wash samples from children treated for respiratory illness at Children's Hospital, Seattle, from September 2003 to September 2004 were evaluated by quantitative PCR for respiratory syncytial virus (RSV), human metapneumovirus (hMPV), influenza (Flu), parainfluenza, adenoviruses, and coronaviruses (CoV). Illness severity and patient characteristics were abstracted from medical charts. Results Coinfections were identified in 103 (18%) of 566 virus-positive samples. Adenovirus was most commonly detected in coinfections (52%), followed by CoV (50%). Illnesses with a single virus had increased risk of oxygen requirement (P = 0.02), extended hospital stays (P = 0.002), and admissions to the inpatient (P = 0.02) or intensive care units (P = 0.04). For Adv and PIV-1, multiple virus illnesses had a significantly lower viral load (log(10) copies/ml) than single virus illnesses (4.2 versus 5.6, P = 0.007 and 4.2 versus 6.9, P &lt; 0.001, respectively). RSV, Flu-A, PIV-3, and hMPV viral loads were consistently high whether or not another virus was detected. Conclusions Illnesses with multiple virus detections were correlated with less severe disease. The relationship between viral load and multiple virus infections was virus specific, and this may serve as a way to differentiate viruses in multiple virus infections.</t>
  </si>
  <si>
    <t xml:space="preserve">[Martin, Emily T.] Wayne State Univ, Dept Pharm Practice, Eugene Applebaum Coll Pharm &amp; Hlth Sci, Detroit, MI 48201 USA; [Kuypers, Jane; Wald, Anna; Englund, Janet A.] Fred Hutchinson Canc Res Ctr, Vaccine &amp; Infect Dis Div, Seattle, WA 98104 USA; [Kuypers, Jane; Wald, Anna] Univ Washington, Dept Lab Med, Seattle, WA 98195 USA; [Wald, Anna] Univ Washington, Dept Epidemiol, Seattle, WA 98195 USA; [Wald, Anna] Univ Washington, Dept Med, Seattle, WA USA; [Englund, Janet A.] Univ Washington, Dept Pediat, Seattle, WA 98195 USA; [Englund, Janet A.] Seattle Childrens Res Inst, Seattle, WA USA</t>
  </si>
  <si>
    <t xml:space="preserve">Wayne State University; Fred Hutchinson Cancer Center; University of Washington; University of Washington Seattle; University of Washington; University of Washington Seattle; University of Washington; University of Washington Seattle; University of Washington; University of Washington Seattle; Seattle Children's Hospital</t>
  </si>
  <si>
    <t xml:space="preserve">Martin, ET (corresponding author), Wayne State Univ, Dept Pharm Practice, Eugene Applebaum Coll Pharm &amp; Hlth Sci, 259 Mack Ave, Detroit, MI 48201 USA.</t>
  </si>
  <si>
    <t xml:space="preserve">Wald, Anna/0000-0003-3486-6438</t>
  </si>
  <si>
    <t xml:space="preserve">National Institutes of Health [K24 AI 071113]; Vioguard; MedImmune; Novartis; ADMA; Adamas</t>
  </si>
  <si>
    <t xml:space="preserve">National Institutes of Health(United States Department of Health &amp; Human ServicesNational Institutes of Health (NIH) - USA); Vioguard; MedImmune(AstraZenecaMedimmune); Novartis(Novartis); ADMA; Adamas</t>
  </si>
  <si>
    <t xml:space="preserve">This study was supported by a research grant for the National Institutes of Health (K24 AI 071113 to A.W.)E.T.M. has received research support from Vioguard. J.A.E. has received research support from MedImmune, Novartis, ADMA, and Adamas.</t>
  </si>
  <si>
    <t xml:space="preserve">10.1111/j.1750-2659.2011.00265.x</t>
  </si>
  <si>
    <t xml:space="preserve">861JK</t>
  </si>
  <si>
    <t xml:space="preserve">WOS:000298015000010</t>
  </si>
  <si>
    <t xml:space="preserve">Regamey, N; Kaiser, L; Roiha, HL; Deffernez, C; Kuehni, CE; Latzin, P; Aebi, C; Frey, U</t>
  </si>
  <si>
    <t xml:space="preserve">Regamey, Nicolas; Kaiser, Laurent; Roiha, Hanna L.; Deffernez, Christelle; Kuehni, Claudia E.; Latzin, Philipp; Aebi, Christoph; Frey, Urs</t>
  </si>
  <si>
    <t xml:space="preserve">Swiss Paediat Resp Res Grp</t>
  </si>
  <si>
    <t xml:space="preserve">Viral etiology of acute respiratory infections with cough in infancy - A community-based birth cohort study</t>
  </si>
  <si>
    <t xml:space="preserve">cohort studies; respiratory tract infections; viruses; infant</t>
  </si>
  <si>
    <t xml:space="preserve">HUMAN CORONAVIRUS; SYNCYTIAL VIRUS; CLINICAL IMPACT; HUMAN BOCAVIRUS; YOUNG-CHILDREN; RHINOVIRUS; DIAGNOSIS; DISEASE; ILLNESS; LIFE</t>
  </si>
  <si>
    <t xml:space="preserve">Background: Acute respiratory infections (ART) are a major cause of morbidity in infancy worldwide, with cough and wheeze being alarming symptoms to parents. We aimed to analyze in detail the viral aetiology of ART with such symptoms in otherwise healthy infants, including rhinoviruses and recently discovered viruses such as human metapneurnovirus (HMPV), coronavirus NL63 and HKU1, and human bocavirus (HBoV). Methods: We prospectively followed 197 unselected infants during their first year of life and assessed clinical symptoms by weekly standardized interviews. At the first ART with cough or wheeze, we analyzed nasal swabs by sensitive individual real time polymerase chain reaction assays targeting 16 different respiratory viruses. Results: All 112 infants who had an ART had cough, and 39 (35%) had wheeze. One or more respiratory viruses were found in 88 of 112 (79%) cases. Fifteen (17%) dual and 3 (3%) triple infections were recorded. Rhino- (23% of all viruses) and coronaviruses (18%) were most common, followed by parainfluenza viruses (17%), respiratory syncytial virus (RSV) (16%), HMPV (13%), and HBoV (5%). Together rhinoviruses, coronaviruses, HMPV, and HBoV accounted for 60% (65 of 109) of viruses. Although symptom scores and need for general practitioner (GP) consultations were highest in infants infected with RSV, they were similar in infants infected with other viruses. Viral shedding at 3 weeks occurred in 20% of cases. Conclusions: Rhinoviruses, coronaviruses, HMPV, and HBoV are common pathogens associated with respiratory symptoms in otherwise healthy infants. They should be considered in the differential diagnosis of the aetiology of ART in this age group.</t>
  </si>
  <si>
    <t xml:space="preserve">[Regamey, Nicolas; Roiha, Hanna L.; Latzin, Philipp; Aebi, Christoph; Frey, Urs] Univ Childerns Hosp Berne, Pediat Res Med, Bern, Switzerland; [Kaiser, Laurent; Deffernez, Christelle] Univ Hosp Geneva, Div Infect Dis, Cent Lab Virol, Geneva, NY USA; [Kuehni, Claudia E.; Latzin, Philipp] Univ Bern, Dept Social &amp; Prevent Med, Bern, Switzerland</t>
  </si>
  <si>
    <t xml:space="preserve">Regamey, N (corresponding author), Royal Brompton Hosp, Univ London Imperial Coll Sci Technol &amp; Med, Paediat Resp Med, Emmanuel Kaye Bldg,1B Manresa Rd, London SW3 6LR, England.</t>
  </si>
  <si>
    <t xml:space="preserve">n.regamey@imperial.ac.uk</t>
  </si>
  <si>
    <t xml:space="preserve">Anagnostopoulou, Pinelopi/I-4713-2019; Latzin, Philipp/F-2206-2017</t>
  </si>
  <si>
    <t xml:space="preserve">Kuehni, Claudia E./0000-0001-8957-2002; Regamey, Nicolas/0000-0001-6849-6469; Frey, Urs/0000-0003-3773-2822; Latzin, Philipp/0000-0002-5239-1571</t>
  </si>
  <si>
    <t xml:space="preserve">10.1097/INF.0b013e31815922c8</t>
  </si>
  <si>
    <t xml:space="preserve">257JI</t>
  </si>
  <si>
    <t xml:space="preserve">WOS:000252794700002</t>
  </si>
  <si>
    <t xml:space="preserve">Boschiero, MN; Duarte, A; Palamim, CVC; Alvarez, AE; Mauch, RM; Marson, FAL</t>
  </si>
  <si>
    <t xml:space="preserve">Boschiero, Matheus Negri; Duarte, Aires; Capasso Palamim, Camila Vantini; Alvarez, Alfonso Eduardo; Mauch, Renan Marrichi; Lima Marson, Fernando Augusto</t>
  </si>
  <si>
    <t xml:space="preserve">Frequency of respiratory pathogens other than SARS-CoV-2 detected COVID-19</t>
  </si>
  <si>
    <t xml:space="preserve">Codetection; COVID-19; Pandemic; SARS-CoV-2</t>
  </si>
  <si>
    <t xml:space="preserve">INFLUENZA-VIRUS; COINFECTION</t>
  </si>
  <si>
    <t xml:space="preserve">The frequencies of 19 respiratory pathogens other than SARS-CoV-2 were assessed in 6,235 Brazilian individ-uals tested for COVID-19. Overall, only 83 individuals who tested positive for SARS-CoV-2 had codetection of other pathogens. Individuals infected with Rhinovirus/Enterovirus, Human Coronavirus (HCoV)-HKU1, HCoV-NL63, HPIV-4, Influenza A (-H1N1 and other subtypes), Influenza B, Human Respiratory Syncytial Virus and Human Metapneumovirus were less likely to test positive for SARS-CoV-2. Infection with Streptococcys pyogenes, Chlamydophila pneumoniae, Mycoplasma pneumoniae, and Bordetella pertussis were more frequent in individuals who tested negative for SARS-CoV-2, but without significancy. We found 150 individuals infected with &gt;= 2 pathogens other than SARS-CoV-2, only 3 out of whom tested positive for COVID-19. The codetection frequency was low in individuals diagnosed with COVID-19. Other viral infections may provide a cross-reactive, protective immune response against SARS-CoV-2. Screening for bacterial respiratory infec-tions upon COVID-19 testing is important to drive suitable therapeutic approaches and avoid unnecessary antibiotic prescription. (c) 2021 Elsevier Inc. All rights reserved.</t>
  </si>
  <si>
    <t xml:space="preserve">[Boschiero, Matheus Negri; Capasso Palamim, Camila Vantini; Lima Marson, Fernando Augusto] Univ Sao Francisco, Lab Cell &amp; Mol Tumor Biol &amp; Bioact Cpds, Braganca Paulista, SP, Brazil; [Boschiero, Matheus Negri; Capasso Palamim, Camila Vantini; Lima Marson, Fernando Augusto] Univ Sao Francisco, Lab Human &amp; Med Genet, Braganca Paulista, SP, Brazil; [Duarte, Aires] Univ Lisbon, Fac Sci, BioISI Biosyst &amp; Integrat Sci Inst, Lisbon, Portugal; [Alvarez, Alfonso Eduardo] Pulmonol &amp; Allergy Pediat Ctr, Campinas, SP, Brazil; [Mauch, Renan Marrichi] Univ Estadual Campinas, Sch Med Sci, Ctr Invest Pediat, Campinas, SP, Brazil</t>
  </si>
  <si>
    <t xml:space="preserve">Universidade Sao Francisco; Universidade Sao Francisco; BIOISI; Universidade de Lisboa; Universidade Estadual de Campinas</t>
  </si>
  <si>
    <t xml:space="preserve">Marson, FAL (corresponding author), Univ Sao Francisco, Lab Cell &amp; Mol Tumor Biol &amp; Bioact Cpds, Braganca Paulista, SP, Brazil.;Marson, FAL (corresponding author), Univ Sao Francisco, Lab Human &amp; Med Genet, Braganca Paulista, SP, Brazil.</t>
  </si>
  <si>
    <t xml:space="preserve">fernando.marson@usf.edu.br</t>
  </si>
  <si>
    <t xml:space="preserve">Palamim, Camila/AAY-2615-2020; Marson, Fernando Augusto Lima/H-1641-2012; Marrichi Mauch, Renan/M-1169-2013</t>
  </si>
  <si>
    <t xml:space="preserve">Marson, Fernando Augusto Lima/0000-0003-4955-4234; Marrichi Mauch, Renan/0000-0002-9457-0156; Duarte, Aires/0000-0001-9354-6595; Negri Boschiero, Matheus/0000-0002-2866-391X</t>
  </si>
  <si>
    <t xml:space="preserve">S~ao Paulo Research Foundation (FAPESP) [2021/05810-7]</t>
  </si>
  <si>
    <t xml:space="preserve">S~ao Paulo Research Foundation (FAPESP)(Fundacao de Amparo a Pesquisa do Estado de Sao Paulo (FAPESP))</t>
  </si>
  <si>
    <t xml:space="preserve">MNB was granted a fellowship by the S~ao Paulo Research Foundation (FAPESP, grant no. 2021/05810-7).</t>
  </si>
  <si>
    <t xml:space="preserve">10.1016/j.diagmicrobio.2021.115576</t>
  </si>
  <si>
    <t xml:space="preserve">XO0KP</t>
  </si>
  <si>
    <t xml:space="preserve">WOS:000729884600002</t>
  </si>
  <si>
    <t xml:space="preserve">Hermanns-Clausen, M; Weinmann, W; Auwärter, V; Ferreirós, N; Trittler, R; Müller, C; Pahl, A; Superti-Furga, A; Hentschel, R</t>
  </si>
  <si>
    <t xml:space="preserve">Hermanns-Clausen, Maren; Weinmann, Wolfgang; Auwaerter, Volker; Ferreiros, Nerea; Trittler, Rainer; Mueller, Christoph; Pahl, Andreas; Superti-Furga, Andrea; Hentschel, Roland</t>
  </si>
  <si>
    <t xml:space="preserve">Drug dosing error with drops-severe clinical course of codeine intoxication in twins</t>
  </si>
  <si>
    <t xml:space="preserve">Codeine; Extensive metaboliser; Dosing error; Intoxication</t>
  </si>
  <si>
    <t xml:space="preserve">GLUCURONOSYLTRANSFERASE 2B7; HUMAN METAPNEUMOVIRUS; MORPHINE; CHILDREN; COUGH; PHARMACOKINETICS; INFECTION</t>
  </si>
  <si>
    <t xml:space="preserve">In spite of the lack of evidence for its efficacy, and of sporadic reports of severe adverse events, codeine is still widely used as an antitussive agent in children. A 3-year-old boy (twin 1) was found lying in vomit and apnoeic at night; he was resuscitated and immediately transferred to our paediatric intensive care unit (PICU). Two and a half hours later, his twin brother (twin 2) was found dead in his bed at home. Twin 1 required mechanical ventilation for 3 days, but he eventually made a full recovery; autopsy in twin 2 showed massive aspiration of gastric content. History revealed that the monozygotic twins had an upper respiratory tract infection for several days and had both been given codeine at a dose of 10 drops per day by their mother. The blood of both twins was found to contain high levels of codeine and its metabolites. The weight of 10 drops was determined experimentally and was found to range from 494 to 940 mg. Thus, the highest possible dose given by mother was 23.5 mg of codeine instead of the recommended 10 mg. The twins had identical CYP2D6 gene polymorphisms corresponding to the extensive metaboliser type. Conclusions: Because of the variability of drop size drug dosage, dosage by drops is unprecise and may result in accidental overdose. The combination of repeated overdosing and extensive metabolism to morphine is likely to have caused apnoea in these twins. These cases illustrate the danger of codeine as an antitussive in young children.</t>
  </si>
  <si>
    <t xml:space="preserve">[Hermanns-Clausen, Maren] Ctr Paediat &amp; Adolescent Med, Poison Informat Ctr VIZ Freiburg, D-79106 Freiburg, Germany; [Weinmann, Wolfgang; Auwaerter, Volker; Ferreiros, Nerea] Freiburg Univ Hosp, Inst Forens Med, Freiburg, Germany; [Trittler, Rainer] Univ Hosp Pharm, Freiburg, Germany; [Mueller, Christoph; Superti-Furga, Andrea; Hentschel, Roland] Freiburg Univ Hosp, Ctr Paediat &amp; Adolescent Med, Freiburg, Germany; [Pahl, Andreas] Inst Expt &amp; Clin Pharmacol, Erlangen, Germany</t>
  </si>
  <si>
    <t xml:space="preserve">University of Freiburg; University of Freiburg; University of Freiburg</t>
  </si>
  <si>
    <t xml:space="preserve">Hermanns-Clausen, M (corresponding author), Ctr Paediat &amp; Adolescent Med, Poison Informat Ctr VIZ Freiburg, D-79106 Freiburg, Germany.</t>
  </si>
  <si>
    <t xml:space="preserve">maren.hermanns-clausen@uniklinik-freiburg.de</t>
  </si>
  <si>
    <t xml:space="preserve">superti-furga, andrea/E-9162-2015; Auwarter, Volker/D-1075-2012</t>
  </si>
  <si>
    <t xml:space="preserve">Auwarter, Volker/0000-0002-1883-2804; Weinmann, Wolfgang/0000-0001-8659-1304</t>
  </si>
  <si>
    <t xml:space="preserve">10.1007/s00431-008-0842-7</t>
  </si>
  <si>
    <t xml:space="preserve">445XS</t>
  </si>
  <si>
    <t xml:space="preserve">WOS:000266085400009</t>
  </si>
  <si>
    <t xml:space="preserve">Goka, E; Vallely, P; Mutton, K; Klapper, P</t>
  </si>
  <si>
    <t xml:space="preserve">Goka, Edward; Vallely, Pamela; Mutton, Kenneth; Klapper, Paul</t>
  </si>
  <si>
    <t xml:space="preserve">Influenza A viruses dual and multiple infections with other respiratory viruses and risk of hospitalisation and mortality</t>
  </si>
  <si>
    <t xml:space="preserve">Co-infection; dual or multiple infections; influenza A viruses; Influenza B virus; respiratory virus infections</t>
  </si>
  <si>
    <t xml:space="preserve">HUMAN-METAPNEUMOVIRUS; VIRAL-INFECTIONS; TRACT INFECTIONS; SYNCYTIAL VIRUS; CHILDREN; INFANTS; DISEASE; SINGLE; IMPACT; PCR</t>
  </si>
  <si>
    <t xml:space="preserve">Introduction Recent literature suggests that dual or multiple virus infections may affect disease severity. However, few studies have investigated the effect of co-infection with influenza A viruses. Objectives To identify the association between influenza A and respiratory viruses co-infections with disease outcome. Methodology Data for samples from North West England tested between January 2007 and June 2011 was analysed for patterns of co-infection between influenza A viruses and eight respiratory viruses. Risk of hospitalisation to ICU or general ward in single versus co-infections was assessed using logistic regression. Results Of the 25 596 samples analysed for respiratory viruses 40.7% (10 501) were positive for any virus. Co-infections were detected in 4.7% (137/2879) of all patients with influenza A(H1N1) pdm09, and 7.3% (57/779) of those with other influenza A virus infections. Co-infection between seasonal influenza A viruses and influenza B virus was associated with a significant increase in the risk of admission to ICU/death (OR: 22.0, 95% CI: 2.21-219.8, P = 0.008). Respiratory syncytial virus/influenza A (RSV/Flu A) co-infection also increased this risk but was not statistically significant. For influenza A(H1N1) pdm09, RSV and AdV co-infection increased risk of hospitalisation to general ward whereas Flu B increased risk of admission to ICU, but none of these were statistically significant. Conclusion Co-infection is a significant predictor of disease outcome; combined treatment, introduction of an integrated vaccine for all respiratory viruses and development of multi-target rapid diagnostic tests is recommended. Integration of respiratory viruses' co-infections into public health reports could also contribute to the accumulation of evidence.</t>
  </si>
  <si>
    <t xml:space="preserve">[Goka, Edward; Mutton, Kenneth; Klapper, Paul] Univ Manchester, Inst Inflammat &amp; Repair, Fac Med &amp; Human Sci, Manchester M13 9PL, Lancs, England; [Vallely, Pamela; Mutton, Kenneth; Klapper, Paul] Cent Manchester Univ Hosp NHS Fdn Trust, Dept Clin Virol, Manchester, Lancs, England</t>
  </si>
  <si>
    <t xml:space="preserve">University of Manchester; University of Manchester</t>
  </si>
  <si>
    <t xml:space="preserve">Goka, E (corresponding author), Univ Manchester, Inst Inflammat &amp; Repair, Fac Med &amp; Human Sci, 1st Floor Stopford Bldg,Oxford Rd, Manchester M13 9PL, Lancs, England.</t>
  </si>
  <si>
    <t xml:space="preserve">edward.goka@postgrad.manchester.ac.uk</t>
  </si>
  <si>
    <t xml:space="preserve">Goka, Edward/AAA-3865-2022; Vallely, Pamela/B-3401-2012</t>
  </si>
  <si>
    <t xml:space="preserve">Goka, Edward/0000-0002-6754-3312; Vallely, Pamela/0000-0002-7712-9131; Klapper, Paul/0000-0002-9554-4857</t>
  </si>
  <si>
    <t xml:space="preserve">10.1111/irv.12020</t>
  </si>
  <si>
    <t xml:space="preserve">AA3OG</t>
  </si>
  <si>
    <t xml:space="preserve">WOS:000331001400030</t>
  </si>
  <si>
    <t xml:space="preserve">Paalanne, N; Honkila, M; Mattila, S; Pokka, T; Renko, M; Tapiainen, T</t>
  </si>
  <si>
    <t xml:space="preserve">Paalanne, Niko; Honkila, Minna; Mattila, Suvi; Pokka, Tytti; Renko, Marjo; Tapiainen, Terhi</t>
  </si>
  <si>
    <t xml:space="preserve">Duration of clinical symptoms in children with acute respiratory infection</t>
  </si>
  <si>
    <t xml:space="preserve">co-detection; pneumococcus; respiratory pathogen</t>
  </si>
  <si>
    <t xml:space="preserve">SYNCYTIAL VIRUS-INFECTION; TRACT INFECTIONS; INFLUENZA</t>
  </si>
  <si>
    <t xml:space="preserve">Aim: To investigate duration of clinical symptoms associated with various respiratory viruses and with the co-detection of respiratory viral and bacterial pathogens.Methods: This prospective cohort study included 737 acutely ill children treated in a paediatric emergency department prior to the COVID-19 pandemic. Nasal swab samples were analysed with multiplex PCR panels for 16 viral and 7 bacterial respiratory pathogens. Parents filled in a questionnaire about the symptoms at the time of the visit and 14 days afterwards.Results: Persistent symptoms 2 weeks after the onset of acute illness were common: 32% of the patients with a coronavirus 229 E, NL63 or OC43 finding, 31% of those with human metapneumovirus and 25% of those with rhinovirus reported ongoing symptoms. At least one symptom lasting more than 4 weeks was observed in 3-4% of the children. Children with viral and bacterial co-detection had a longer duration of fever than those with only viral detection (3.3 days [SD 2.8] vs. 1.6 days [SD 2.4], p &lt; 0.001).Conclusion: Symptoms lasting for more than 2 to 4 weeks appear to be relatively frequent in all respiratory viral infections in children. Viral and bacterial co-detection may increase the duration of illness.</t>
  </si>
  <si>
    <t xml:space="preserve">[Paalanne, Niko; Honkila, Minna; Mattila, Suvi; Pokka, Tytti; Tapiainen, Terhi] Oulu Univ Hosp, Dept Pediat &amp; Adolescent Med, Oulu, Finland; [Paalanne, Niko; Honkila, Minna; Mattila, Suvi; Pokka, Tytti; Tapiainen, Terhi] Univ Oulu, Res Unit Clin Med, Oulu, Finland; [Paalanne, Niko; Honkila, Minna; Mattila, Suvi; Pokka, Tytti; Tapiainen, Terhi] Univ Oulu, Med Res Ctr, Oulu, Finland; [Renko, Marjo] Univ Eastern Finland, Dept Pediat, Kuopio, Finland; [Renko, Marjo] Kuopio Univ Hosp, Kuopio, Finland; [Tapiainen, Terhi] Univ Oulu, Bioctr Oulu, Oulu, Finland; [Paalanne, Niko; Tapiainen, Terhi] Oulu Univ Hosp, Dept Paediat &amp; Adolescent Med, POB 23, FIN-90029 Oulu, Finland</t>
  </si>
  <si>
    <t xml:space="preserve">University of Oulu; University of Oulu; University of Oulu; University of Eastern Finland; University of Eastern Finland; Kuopio University Hospital; University of Oulu; University of Oulu</t>
  </si>
  <si>
    <t xml:space="preserve">Paalanne, N; Tapiainen, T (corresponding author), Oulu Univ Hosp, Dept Paediat &amp; Adolescent Med, POB 23, FIN-90029 Oulu, Finland.</t>
  </si>
  <si>
    <t xml:space="preserve">niko.paalanne@oulu.fi; terhi.tapiainen@oulu.fi</t>
  </si>
  <si>
    <t xml:space="preserve">; Renko, Marjo/F-7811-2014</t>
  </si>
  <si>
    <t xml:space="preserve">Paalanne, Niko/0000-0001-7563-6466; Renko, Marjo/0000-0003-0507-4773; Mattila, Suvi/0000-0003-1162-1059; Ruuska, Terhi Susanna/0000-0001-5433-4207</t>
  </si>
  <si>
    <t xml:space="preserve">Stiftelsen Alma och K. A. Snellman Saatioe; Suomen Akatemia; Suomen Laeaeketieteen Saeaetioe</t>
  </si>
  <si>
    <t xml:space="preserve">Stiftelsen Alma och K. A. Snellman Saatioe; Suomen Akatemia(Research Council of Finland); Suomen Laeaeketieteen Saeaetioe</t>
  </si>
  <si>
    <t xml:space="preserve">10.1111/apa.16607</t>
  </si>
  <si>
    <t xml:space="preserve">9U7SD</t>
  </si>
  <si>
    <t xml:space="preserve">WOS:000919480800001</t>
  </si>
  <si>
    <t xml:space="preserve">Zimmerman, RK; Rinaldo, CR; Nowalk, MP; Gk, B; Thompson, MG; Moehling, KK; Bullotta, A; Wisniewski, S</t>
  </si>
  <si>
    <t xml:space="preserve">Zimmerman, Richard K.; Rinaldo, Charles R.; Nowalk, Mary Patricia; Gk, Balasubramani; Thompson, Mark G.; Moehling, Krissy K.; Bullotta, Arlene; Wisniewski, Stephen</t>
  </si>
  <si>
    <t xml:space="preserve">Influenza and other respiratory virus infections in outpatients with medically attended acute respiratory infection during the 2011-12 influenza season</t>
  </si>
  <si>
    <t xml:space="preserve">Co-detection; influenza; RT-PCR; viral infections</t>
  </si>
  <si>
    <t xml:space="preserve">REAL-TIME PCR; VIRAL-INFECTIONS; VACCINE EFFECTIVENESS; RAPID DETECTION; UNITED-STATES; COINFECTIONS; CHILDREN; OBESITY; SYSTEM</t>
  </si>
  <si>
    <t xml:space="preserve">Background Respiratory tract infections are a major cause of outpatient visits, yet only a portion is tested to determine the etiologic organism. Multiplex reverse transcriptase polymerase chain reaction (MRT-PCR) assays for detection of multiple viruses are being used increasingly in clinical settings. Methods During January-April 2012, outpatients with acute respiratory illness (7days) were tested for influenza using singleplex RT-PCR (SRT-PCR). A subset was assayed for 18 viruses using MRT-PCR to compare detection of influenza and examine the distribution of viruses and characteristics of patients using multinomial logistic regression. Results Among 662 participants (6months-82years), detection of influenza was similar between the MRT-PCR and SRT-PCR (=0 center dot 83). No virus was identified in 267 (40.3%) samples. Commonly detected viruses were human rhinovirus (HRV, 15 center dot 4%), coronavirus (CoV, 10 center dot 4%), respiratory syncytial virus (RSV, 8 center dot 4%), human metapneumovirus (hMPV, 8 center dot 3%), and influenza (6%). Co-detections were infrequent (6 center dot 9%) and most commonly occurred among those &lt;18years old. In regression analyses, compared with non-viral illnesses, RSV and hMPV were significantly more frequent in children and less frequent in 18- to 49-year-olds than in those 50years (P=0 center dot 01), fever was more common in hMPV and influenza infections (P=0 center dot 008), nasal congestion was more frequent in CoV, HRV, hMPV, influenza and RSV infections (P=0 center dot 001), and body mass index was higher among those with influenza (P=0 center dot 036). Conclusions Using MRT-PCR, a viral etiology was found in three-fifths of patients with medically attended outpatient visits for acute respiratory illness during the influenza season; co-detected viruses were infrequent. Symptoms varied by viral etiology.</t>
  </si>
  <si>
    <t xml:space="preserve">[Zimmerman, Richard K.; Nowalk, Mary Patricia; Moehling, Krissy K.] Univ Pittsburgh, Sch Med, Dept Family Med, Pittsburgh, PA USA; [Rinaldo, Charles R.; Bullotta, Arlene] Univ Pittsburgh, Sch Med, Dept Pathol, Pittsburgh, PA USA; [Rinaldo, Charles R.] Univ Pittsburgh, Grad Sch Publ Hlth, Dept Infect Dis &amp; Microbiol, Pittsburgh, PA 15261 USA; [Gk, Balasubramani; Wisniewski, Stephen] Univ Pittsburgh, Grad Sch Publ Hlth, Dept Epidemiol, Pittsburgh, PA USA; [Thompson, Mark G.] Ctr Dis Control &amp; Prevent, Influenza Div, Atlanta, GA USA</t>
  </si>
  <si>
    <t xml:space="preserve">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 Centers for Disease Control &amp; Prevention - USA</t>
  </si>
  <si>
    <t xml:space="preserve">Zimmerman, RK (corresponding author), 3518 5th Ave, Pittsburgh, PA 15213 USA.</t>
  </si>
  <si>
    <t xml:space="preserve">zimmrk@upmc.edu</t>
  </si>
  <si>
    <t xml:space="preserve">Zimmerman, Richard/KOC-2300-2024; Nowalk, Mary/ACU-4712-2022</t>
  </si>
  <si>
    <t xml:space="preserve">Wisniewski, Stephen/0000-0002-3877-9860; Zimmerman, Richard/0000-0001-5941-6092</t>
  </si>
  <si>
    <t xml:space="preserve">Centers for Disease Control and Prevention [U01 IP000467]</t>
  </si>
  <si>
    <t xml:space="preserve">This investigation was supported by the grant U01 IP000467 from the Centers for Disease Control and Prevention. The views expressed herein are those of the authors and not those of the funding agency.</t>
  </si>
  <si>
    <t xml:space="preserve">10.1111/irv.12247</t>
  </si>
  <si>
    <t xml:space="preserve">AJ3ZS</t>
  </si>
  <si>
    <t xml:space="preserve">gold, Green Accepted, Green Published</t>
  </si>
  <si>
    <t xml:space="preserve">WOS:000337608700002</t>
  </si>
  <si>
    <t xml:space="preserve">Shirreff, G; Chaves, SS; Coudeville, L; Mengual-Chuliá, B; Mira-Iglesias, A; Puig-Barberà, J; Orrico-Sanchez, A; Díez-Domingo, J; Opatowski, L; Lopez-Labrador, FX</t>
  </si>
  <si>
    <t xml:space="preserve">Shirreff, George; Chaves, Sandra S.; Coudeville, Laurent; Mengual-Chulia, Beatriz; Mira-Iglesias, Ainara; Puig-Barbera, Joan; Orrico-Sanchez, Alejandro; Diez-Domingo, Javier; Opatowski, Lulla; Lopez-Labrador, F. Xavier</t>
  </si>
  <si>
    <t xml:space="preserve">Seasonality and Co-Detection of Respiratory Viral Infections Among Hospitalised Patients Admitted With Acute Respiratory Illness-Valencia Region, Spain, 2010-2021</t>
  </si>
  <si>
    <t xml:space="preserve">co-detection; co-infection; influenza; respiratory virus; rhinovirus; RSV respiratory syncytial virus; seasonality; severe acute respiratory syndrome coronavirus 2</t>
  </si>
  <si>
    <t xml:space="preserve">REAL-TIME PCR; INFLUENZA-A VIRUSES; SYNCYTIAL VIRUS; HUMAN METAPNEUMOVIRUS; CHILDREN; PATHOGENS; DIAGNOSIS; DISEASE; RISK</t>
  </si>
  <si>
    <t xml:space="preserve">Background: Respiratory viruses are known to represent a high burden in winter, yet the seasonality of many viruses remains poorly understood. Better knowledge of co-circulation and interaction between viruses is critical to prevention and management. We use &gt; 10-year active surveillance in the Valencia Region to assess seasonality and co-circulation. Methods: Over 2010-2021, samples from patients hospitalised for acute respiratory illness were analysed using multiplex real-time PCR to test for 9 viruses: influenza, respiratory syncytial virus (RSV), parainfluenza virus (PIV), rhino/enteroviruses (HRV/ENV), metapneumovirus (MPV), bocavirus, adenovirus, SARS-CoV-2 and non-SARS coronaviruses (HCoV). Winter seasonal patterns of incidence were examined. Instances of co-detection of multiple viruses in a sample were analysed and compared with expected values under a crude model of independent circulation. Results: Most viruses exhibited consistent patterns between years. Specifically, RSV and influenza seasons were clearly defined, peaking in December-February, as did HCoV and SARS-CoV-2. MPV, PIV and HRV/ENV showed less clear seasonality, with circulation outside the observed period. All viruses circulated in January, suggesting any pair had opportunity for co-infection. Multiple viruses were found in 4% of patients, with more common co-detection in children under 5 (9%) than older ages. Influenza co-detection was generally observed infrequently relative to expectation, while RSV co-detections were more common, particularly among young children. Conclusions: We identify characteristic patterns of viruses associated with acute respiratory hospitalisation during winter. Simultaneous circulation permits extensive co-detection of viruses, particularly in young children. However, virus combinations appear to differ in their rates of co-detection, meriting further study.</t>
  </si>
  <si>
    <t xml:space="preserve">[Shirreff, George; Opatowski, Lulla] Univ Paris Cite, Inst Pasteur, Epidemiol &amp; Modelling Antibiot Evas EMAE, Paris, France; [Shirreff, George; Opatowski, Lulla] Univ Paris Saclay UVSQ, Antiinfect Evas &amp; Pharmacoepidemiol Team, Inserm, CESP, Montigny Le Bretonneux, France; [Chaves, Sandra S.; Coudeville, Laurent] Sanofi Vaccines, New Prod &amp; Innovat, Lyon, France; [Mengual-Chulia, Beatriz; Lopez-Labrador, F. Xavier] Fdn Fomento Invest Sanitaria &amp; Biomed Comunitat Va, Virol Lab Genom &amp; Hlth Area, Valencia, Spain; [Mengual-Chulia, Beatriz; Mira-Iglesias, Ainara; Orrico-Sanchez, Alejandro; Diez-Domingo, Javier; Lopez-Labrador, F. Xavier] Inst Salud Carlos III, CIBER ESP, Madrid, Spain; [Mira-Iglesias, Ainara; Puig-Barbera, Joan; Orrico-Sanchez, Alejandro; Diez-Domingo, Javier] Fdn Fomento Invest Sanitaria &amp; Biomed Comunitat Va, Vaccine Res Area, Valencia, Spain; [Lopez-Labrador, F. Xavier] Univ Valencia, Med Sch, Dept Microbiol &amp; Ecol, Valencia, Spain</t>
  </si>
  <si>
    <t xml:space="preserve">Pasteur Network; Universite Paris Cite; Institut Pasteur Paris; Institut National de la Sante et de la Recherche Medicale (Inserm); Instituto de Salud Carlos III; CIBER - Centro de Investigacion Biomedica en Red; CIBERESP; University of Valencia</t>
  </si>
  <si>
    <t xml:space="preserve">Shirreff, G (corresponding author), Univ Paris Cite, Inst Pasteur, Epidemiol &amp; Modelling Antibiot Evas EMAE, Paris, France.;Shirreff, G (corresponding author), Univ Paris Saclay UVSQ, Antiinfect Evas &amp; Pharmacoepidemiol Team, Inserm, CESP, Montigny Le Bretonneux, France.</t>
  </si>
  <si>
    <t xml:space="preserve">george.shirreff@pasteur.fr</t>
  </si>
  <si>
    <t xml:space="preserve">Opatowski, Lulla/I-3143-2015; Shirreff, George/GWR-4778-2022; Mengual-Chuliá, Beatriz/HOF-8965-2023; Lopez, Xavier/JQI-6517-2023; Puig-Barbera, Joan/F-1563-2015; Mira Iglesias, Ainara/A-5453-2018</t>
  </si>
  <si>
    <t xml:space="preserve">Shirreff, George/0000-0002-4654-1254; Puig-Barbera, Joan/0000-0001-5783-0409; Mira Iglesias, Ainara/0000-0001-6371-8229; Mengual-Chulia, Beatriz/0000-0002-7605-8175; Lopez-Labrador, F. Xavier/0000-0002-9403-8258</t>
  </si>
  <si>
    <t xml:space="preserve">CIBEResp Network of Excellence, Instituto de Salud Carlos III, Spain</t>
  </si>
  <si>
    <t xml:space="preserve">CIBEResp Network of Excellence, Instituto de Salud Carlos III, Spain(Instituto de Salud Carlos III)</t>
  </si>
  <si>
    <t xml:space="preserve">G.S. is funded by a Sanofi research grant through Institut Pasteur. The study was also supported directly by internal resources from the French National Institute for Health and Medical Research (Inserm), the Institut Pasteur and the University of Versailles-Saint-Quentin-en-Yvelines/University of Paris-Saclay. This study received funding from the French Government's 'Investissement d'Avenir' program, Laboratoire d'Excellence 'Integrative Biology of Emerging Infectious Diseases' (Grant ANR-10-LABX-62-IBEID). A.M.I., A.O.S., J.D.D., F.X.L.L. and B.M.C. are supported by the CIBEResp Network of Excellence, Instituto de Salud Carlos III, Spain.</t>
  </si>
  <si>
    <t xml:space="preserve">e70017</t>
  </si>
  <si>
    <t xml:space="preserve">10.1111/irv.70017</t>
  </si>
  <si>
    <t xml:space="preserve">J9D8Y</t>
  </si>
  <si>
    <t xml:space="preserve">WOS:001340006100001</t>
  </si>
  <si>
    <t xml:space="preserve">Hatem, A; Mohamed, S; Abu Elhassan, UE; Ismael, EAM; Rizk, MS; El-kholy, A; El-Harras, M</t>
  </si>
  <si>
    <t xml:space="preserve">Hatem, Ashraf; Mohamed, Sherif; Abu Elhassan, Usama E.; Ismael, Eman A. M.; Rizk, Magda S.; El-kholy, Amany; El-Harras, Mohamed</t>
  </si>
  <si>
    <t xml:space="preserve">Clinical characteristics and outcomes of patients with severe acute respiratory infections (SARI): results from the Egyptian surveillance study 2010-2014</t>
  </si>
  <si>
    <t xml:space="preserve">MULTIDISCIPLINARY RESPIRATORY MEDICINE</t>
  </si>
  <si>
    <t xml:space="preserve">Clinical; Outcomes; Viral; SARI; Egypt; Surveillance</t>
  </si>
  <si>
    <t xml:space="preserve">HUMAN-METAPNEUMOVIRUS; SYNCYTIAL VIRUS; CHILDREN; SYMPTOMS; INFANTS; DISEASE; ADULTS</t>
  </si>
  <si>
    <t xml:space="preserve">BackgroundRespiratory viral and atypical bacterial infections data in Egyptian patients are sparse. This study describes the clinical features and outcomes of patients with severe acute respiratory infections (SARI) in hospitalized patients in Egypt.MethodsSARI surveillance was implemented at Cairo University Hospital (CUH) during the period 2010-2014. All hospitalized patients meeting the WHO case definition for SARI were enrolled. Nasopharyngeal/oropharyngeal (NP/OP) swabs were collected and samples were tested using RT-PCR for influenza A, B, respiratory syncytial virus (RSV), human metapneumovirus (hMPV), parainfluenza virus (PIV 1,2,3,4), adenovirus, bocavirus, coronavirus, enterovirus, rhinovirus, and atypical bacteria. Data were analyzed to calculate positivity rates for viral pathogens and determine which pathogens related to severe outcomes or resulted in death.ResultsOverall, 1,075/3,207 (33.5%) cases had a viral etiology, with a mean age of 5.74 (13.87) years. The highest rates were reported for RSV (485 cases, 45.2%), PIV (125, 11.6%), and adenovirus (105, 9.8%). Children had a higher viral rate (981, 91.2%) compared to 94 (8.8%) cases in adults. Patients with identified viruses had significantly lower rates for ICU admission, hospital stay, mechanical ventilation, and overall mortality than those without identified viruses. No infections were independently associated with severe outcomes.Conclusions Viral pathogens were encountered in one-third of hospitalized adult and pediatric Egyptian patients with SARI, while atypical bacteria had a minor role. Highest rates of viral infections were reported for RSV, PIV, and adenovirus. Viral infections had neither negative impacts on clinical features nor outcomes of patients with SARI in our locality.</t>
  </si>
  <si>
    <t xml:space="preserve">[Hatem, Ashraf; Abu Elhassan, Usama E.; Ismael, Eman A. M.] Cairo Univ, Dept Chest Dis, Fac Med, Cairo, Egypt; [Mohamed, Sherif] Assiut Univ, Dept Chest Dis &amp; TB, Fac Med, Assiut 71516, Egypt; [Rizk, Magda S.] Cairo Univ, Dept Anesthesia &amp; Intens Care, Fac Med, Cairo, Egypt; [El-kholy, Amany] Cairo Univ, Dept Clin Pathol, Fac Med, Cairo, Egypt; [El-Harras, Mohamed] Mansura Univ, Dept Clin Pathol, Fac Med, Mansoura, Egypt</t>
  </si>
  <si>
    <t xml:space="preserve">Egyptian Knowledge Bank (EKB); Cairo University; Egyptian Knowledge Bank (EKB); Assiut University; Egyptian Knowledge Bank (EKB); Cairo University; Egyptian Knowledge Bank (EKB); Cairo University; Egyptian Knowledge Bank (EKB); Mansoura University</t>
  </si>
  <si>
    <t xml:space="preserve">Mohamed, S (corresponding author), Assiut Univ, Dept Chest Dis &amp; TB, Fac Med, Assiut 71516, Egypt.</t>
  </si>
  <si>
    <t xml:space="preserve">saawm220@gmail.com</t>
  </si>
  <si>
    <t xml:space="preserve">Mohamed, Sherif/S-4733-2018</t>
  </si>
  <si>
    <t xml:space="preserve">Mohamed, Sherif/0000-0001-9437-4799</t>
  </si>
  <si>
    <t xml:space="preserve">1828-695X</t>
  </si>
  <si>
    <t xml:space="preserve">2049-6958</t>
  </si>
  <si>
    <t xml:space="preserve">MULTIDISCIP RESP MED</t>
  </si>
  <si>
    <t xml:space="preserve">Multidscip. Respir. Med.</t>
  </si>
  <si>
    <t xml:space="preserve">10.1186/s40248-019-0174-7</t>
  </si>
  <si>
    <t xml:space="preserve">HR2QY</t>
  </si>
  <si>
    <t xml:space="preserve">WOS:000462983100001</t>
  </si>
  <si>
    <t xml:space="preserve">Abu Elhassan, UE; Mohamed, SAA; Rizk, MS; Sherif, M; El-Harras, M</t>
  </si>
  <si>
    <t xml:space="preserve">Abu Elhassan, Usama E.; Mohamed, Sherif A. A.; Rizk, Magda S.; Sherif, Mai; El-Harras, Mohamed</t>
  </si>
  <si>
    <t xml:space="preserve">Outcomes of patients with Severe Acute Respiratory Infections (SARI) admitted to the intensive care unit: results from the Egyptian Surveillance Study 2010-2014</t>
  </si>
  <si>
    <t xml:space="preserve">Clinical outcomes; viral infections; SARI; ICU; Egypt; surveillance</t>
  </si>
  <si>
    <t xml:space="preserve">SYNCYTIAL VIRUS; HUMAN METAPNEUMOVIRUS; CHILDREN; MULTICENTER</t>
  </si>
  <si>
    <t xml:space="preserve">Background: Few data exist about respiratory viral infections in Egyptian patients. Hereby we describe the outcomes of hospitalized Egyptian patients with severe acute respiratory infections (SARI) admitted to the ICU. Methods: A prospective study in which all hospitalized patients meeting the WHO case definition for SARI and admitted to the ICU, during the period 2010-2014, were enrolled. Samples were tested using RT-PCR for influenza A, B, respiratory syncytial virus (RSV), human metapneumovirus (hMPV), parainfluenza virus, adenovirus, bocavirus, enterovirus, and rhinovirus. Data were analyzed to study the clinical features of SARI-ICU patients and which pathogens are related to severe outcomes. Associated comorbidities were evaluated using Charlson Age-Comorbidity Index (CACI). Results: Out of 1,075 patients with SARI, 219 (20.3%) were admitted to the ICU. The highest rates were reported for RSV (37%). SARI-ICU patients had higher rates of hospital stay, pneumonia, respiratory failure, ARDS, and mortality. Multivariate logistic regression analysis identified associated respiratory disorders (p=0.001), radiological abnormalities (p=0.023), and longer hospital stay (p=0.005) as risk factors for severe outcomes. Conclusions: This surveillance study showed that 20% of hospitalized Egyptian patients with viral SARI needed ICU admission. SARI-ICU patients had higher rates of hospital stay, pneumonia, respiratory failure, ARDS, and mortality. Higher comorbidity index scores, radiological abnormalities, and longer hospital stay are risk factors for severe outcomes in SARI-ICU patients in our locality.</t>
  </si>
  <si>
    <t xml:space="preserve">[Abu Elhassan, Usama E.] Cairo Univ, Fac Med, Dept Chest Dis, Cairo, Egypt; [Mohamed, Sherif A. A.] Assiut Univ, Fac Med, Dept Chest Dis &amp; TB, Assiut, Egypt; [Rizk, Magda S.] Cairo Univ, Fac Med, Dept Anesthesia &amp; Intens Care, Cairo, Egypt; [Sherif, Mai] Cairo Univ, Fac Med, Dept Clin Pathol, Cairo, Egypt; [El-Harras, Mohamed] Mansura Univ, Fac Med, Dept Clin Pathol, Mansoura, Egypt</t>
  </si>
  <si>
    <t xml:space="preserve">Mohamed, SAA (corresponding author), Assiut Univ, Fac Med, Dept Chest Dis &amp; TB, Pulm Med, Assiut 71516, Egypt.</t>
  </si>
  <si>
    <t xml:space="preserve">10.4081/mrm.2020.465</t>
  </si>
  <si>
    <t xml:space="preserve">QA0AQ</t>
  </si>
  <si>
    <t xml:space="preserve">WOS:000613110400004</t>
  </si>
  <si>
    <t xml:space="preserve">Castro, SM; Chakraborty, K; Guerrero-Plata, A</t>
  </si>
  <si>
    <t xml:space="preserve">Castro, Shawn M.; Chakraborty, Krishnendu; Guerrero-Plata, Antonieta</t>
  </si>
  <si>
    <t xml:space="preserve">Cigarette smoke suppresses TLR-7 stimulation in response to virus infection in plasmacytoid dendritic cells</t>
  </si>
  <si>
    <t xml:space="preserve">TOXICOLOGY IN VITRO</t>
  </si>
  <si>
    <t xml:space="preserve">Cigarette smoke; Plasmacytoid dendritic cells; Respiratory syncytial virus; Toll-like receptors</t>
  </si>
  <si>
    <t xml:space="preserve">RESPIRATORY SYNCYTIAL VIRUS; ENVIRONMENTAL TOBACCO-SMOKE; SINGLE-STRANDED RNA; HUMAN METAPNEUMOVIRUS; ALVEOLAR MACROPHAGES; INTERFERON; RELEASE; IFN; RECOGNITION; EXPRESSION</t>
  </si>
  <si>
    <t xml:space="preserve">Exposure to environmental tobacco smoke (ETS) is associated with an increase in the frequency and severity of respiratory infections, including bronchiolitis, a clinical syndrome of infancy caused by viruses such as respiratory syncytial virus (RSV). The mechanisms by which ETS increases the risk of viral respiratory infections are largely unknown. A major effector integrating early antiviral and immunostimulatory activities is interferon-alpha (IFN-alpha), which is highly produced by plasmacytoid dendritic cells (pDC). In this work, we determined the effect of cigarette smoke extract (CSE) on human pDC immunity in response to a respiratory viral infection. We found that CSE inhibited RSV-induced IFN-alpha in pDC as well as the release of IL-1 beta, IL-10 and CXCL10. However, the production of additional cytokines and chemokines such as IL-6, TNF-alpha, CCL2, CCL3, CCL5 and CXCL8 was not altered. Quantitative RT-PCR analysis indicated that CSE decreased the expression of toll-like receptor (TLR)-7 and interferon regulatory factor (IRF)-7 in RSV-infected pDC. Furthermore, determination of IRF-7 phosphorylation by flow cytometry showed that CSE prevented IRF-7 activation. These data provide evidence that cigarette smoke suppresses key pDC functions upon viral infection by a mechanism that involves downregulation of TLR7 expression and decreased activation of IRF-7. (C) 2011 Elsevier Ltd. All rights reserved.</t>
  </si>
  <si>
    <t xml:space="preserve">[Castro, Shawn M.; Chakraborty, Krishnendu; Guerrero-Plata, Antonieta] Louisiana State Univ, Dept Pathobiol Sci, Baton Rouge, LA 70803 USA</t>
  </si>
  <si>
    <t xml:space="preserve">Guerrero-Plata, A (corresponding author), Louisiana State Univ, Dept Pathobiol Sci, Skip Bertman Dr, Baton Rouge, LA 70803 USA.</t>
  </si>
  <si>
    <t xml:space="preserve">Guerrero-Plata, Antonieta/0000-0002-0424-2563</t>
  </si>
  <si>
    <t xml:space="preserve">Flight Attendant Medical Research Institute (FAMRI)</t>
  </si>
  <si>
    <t xml:space="preserve">This work was supported by the Flight Attendant Medical Research Institute (FAMRI) Young Clinical Scientist Award to A.G-P.</t>
  </si>
  <si>
    <t xml:space="preserve">0887-2333</t>
  </si>
  <si>
    <t xml:space="preserve">TOXICOL IN VITRO</t>
  </si>
  <si>
    <t xml:space="preserve">Toxicol. Vitro</t>
  </si>
  <si>
    <t xml:space="preserve">10.1016/j.tiv.2011.03.011</t>
  </si>
  <si>
    <t xml:space="preserve">Toxicology</t>
  </si>
  <si>
    <t xml:space="preserve">787HH</t>
  </si>
  <si>
    <t xml:space="preserve">WOS:000292366700015</t>
  </si>
  <si>
    <t xml:space="preserve">Mohan, A; Chandra, S; Agarwal, D; Guleria, R; Broor, S; Gaur, B; Pandey, RM</t>
  </si>
  <si>
    <t xml:space="preserve">Mohan, Anant; Chandra, Subhash; Agarwal, Dipti; Guleria, Randeep; Broor, Shobha; Gaur, Bharti; Pandey, Ravindra Mohan</t>
  </si>
  <si>
    <t xml:space="preserve">Prevalence of viral infection detected by PCR and RT-PCR in patients with acute exacerbation of COPD: A systematic review</t>
  </si>
  <si>
    <t xml:space="preserve">chronic obstructive pulmonary disease; polymerase chain reaction; respiratory virus</t>
  </si>
  <si>
    <t xml:space="preserve">OBSTRUCTIVE PULMONARY-DISEASE; RESPIRATORY VIRUSES; INFLUENZA VACCINATION; HOSPITALIZATION; ETIOLOGY</t>
  </si>
  <si>
    <t xml:space="preserve">Background and objective: Viruses are important aetiological agents of acute exacerbation of COPD (AECOPD). Their reported prevalence varies from region to region. This systematic review calculated the prevalence of respiratory viral infections in AECOPD. Methods: A systematic search was performed using Medline, and references of relevant articles and conference proceedings were hand searched. Articles for review were selected based on the following criteria: (i) prospective or cross-sectional study, (ii) original research, (iii) viral detection used the highly sensitive techniques of PCR and/or Reverse Transcriptase PCR (RT-PCR), (iv) viral prevalence in AECOPD defined, and (v) full paper available in English. We assessed the study quality and extracted data independently and in duplicate using a pre-defined data extraction form. Weighted mean prevalence (WMP) was calculated and a forest plot was constructed to show the dispersion. Results: Eight studies met the inclusion criteria. The WMP of respiratory viral infection in AECOPD was 34.1% (95% CI: 23.9-44.4). picornavirus was the most commonly detected virus with WMP 17.3% (95% CI: 7.2-27.3), followed by influenza; 7.4% (95% CI: 2.9-12.0), respiratory syncytial virus; 5.3% (95% CI: 1.6-9.0), corona viruses; 3.1% (95% CI: 0.4-5.8), parainfluenza; 2.6% (95% CI: 0.4-4.8), adenovirus; 1.1% (95% CI: -1.1 to 3.3), and human metapneumovirus; 0.7% (95% CI: -0.3 to 1.8). Maximum WMP was observed in studies from Europe followed by the USA, Australia and Asia. Picorna was the most common virus detected in Western countries whereas influenza was most common in Asia. Conclusions: This systematic review demonstrated that viruses are strongly associated with AECOPD, with the highest detection rates of viruses being in Europe. The geographical epidemiology of viruses may have important therapeutic implications for management of AECOPD.</t>
  </si>
  <si>
    <t xml:space="preserve">[Mohan, Anant] All India Inst Med Sci, Dept Med, New Delhi 110029, India; [Chandra, Subhash; Agarwal, Dipti] Mayo Clin, Dept Med, Rochester, NY USA</t>
  </si>
  <si>
    <t xml:space="preserve">All India Institute of Medical Sciences (AIIMS) New Delhi; Mayo Clinic</t>
  </si>
  <si>
    <t xml:space="preserve">Mohan, A (corresponding author), All India Inst Med Sci, Dept Med, New Delhi 110029, India.</t>
  </si>
  <si>
    <t xml:space="preserve">anantmohan@yahoo.com</t>
  </si>
  <si>
    <t xml:space="preserve">GUPTA, PREM PARKASH/JTJ-0838-2023; chandra, Subhash/AAM-4013-2020; Broor, Shobha/AAX-4163-2021</t>
  </si>
  <si>
    <t xml:space="preserve">Chandra, Subhash/0000-0002-4278-5622</t>
  </si>
  <si>
    <t xml:space="preserve">10.1111/j.1440-1843.2010.01722.x</t>
  </si>
  <si>
    <t xml:space="preserve">575AW</t>
  </si>
  <si>
    <t xml:space="preserve">WOS:000276036400020</t>
  </si>
  <si>
    <t xml:space="preserve">Collinson, N; Snape, N; Beagley, K; Fantino, E; Spann, K</t>
  </si>
  <si>
    <t xml:space="preserve">Collinson, Natasha; Snape, Natale; Beagley, Kenneth; Fantino, Emmanuelle; Spann, Kirsten</t>
  </si>
  <si>
    <t xml:space="preserve">COPD Is Associated with Elevated IFN-β Production by Bronchial Epithelial Cells Infected with RSV or hMPV</t>
  </si>
  <si>
    <t xml:space="preserve">chronic obstructive pulmonary disease; interferon; epithelial cells; metapneumovirus; respiratory syncytial virus</t>
  </si>
  <si>
    <t xml:space="preserve">RESPIRATORY SYNCYTIAL VIRUS; I INTERFERONS; EXACERBATIONS; DISEASE; RHINOVIRUS; ASTHMA; RESPONSES; RECEPTOR; LUNG</t>
  </si>
  <si>
    <t xml:space="preserve">IFN treatment may be a viable option for treating COPD exacerbations based on evidence of IFN deficiency in COPD. However, in vitro studies have used primarily influenza and rhinoviruses to investigate IFN responses. This study aims to investigate the susceptibility to infection and IFN response of primary bronchial epithelial cells (BECs) from COPD donors to infection with RSV and hMPV. BECs from five COPD and five healthy donors were used to establish both submerged monolayer and well-differentiated (WD) cultures. Two isolates of both RSV and hMPV were used to infect cells. COPD was not associated with elevated susceptibility to infection and there was no evidence of an intrinsic defect in IFN production in either cell model to either virus. Conversely, COPD was associated with significantly elevated IFN-beta production in response to both viruses in both cell models. Only in WD-BECs infected with RSV was elevated IFN-beta associated with reduced viral shedding. The role of elevated epithelial cell IFN-beta production in the pathogenesis of COPD is not clear and warrants further investigation. Viruses vary in the responses that they induce in BECs, and so conclusions regarding antiviral responses associated with disease cannot be made based on single viral infections.</t>
  </si>
  <si>
    <t xml:space="preserve">[Collinson, Natasha; Beagley, Kenneth; Spann, Kirsten] Queensland Univ Technol, Fac Hlth, Sch Biomed Sci, Ctr Immunol &amp; Infect Control, Brisbane, Qld 4000, Australia; [Collinson, Natasha] QIMR Berghofer Med Res Inst, Herston, Qld 4006, Australia; [Snape, Natale] Univ Queensland, Diamantina Inst, Translat Res Inst, Fac Med, Woolloongabba, Qld 4102, Australia; [Fantino, Emmanuelle] Univ Queensland, Childrens Hlth &amp; Environm Program, Childrens Hlth Res Ctr, Brisbane, Qld 4101, Australia</t>
  </si>
  <si>
    <t xml:space="preserve">Queensland University of Technology (QUT); QIMR Berghofer Medical Research Institute; University of Queensland; University of Queensland</t>
  </si>
  <si>
    <t xml:space="preserve">Spann, K (corresponding author), Queensland Univ Technol, Fac Hlth, Sch Biomed Sci, Ctr Immunol &amp; Infect Control, Brisbane, Qld 4000, Australia.</t>
  </si>
  <si>
    <t xml:space="preserve">natasha.collinson@qimrberghofer.edu.au; n.snape@uq.edu.au; beagley@qut.edu.au; e.fantino@uq.edu.au; Kirsten.Spann@qut.edu.au</t>
  </si>
  <si>
    <t xml:space="preserve">Spann, Kirsten/B-4524-2013; Beagley, Ken/J-1129-2012; Fantino, Emmanuelle/F-1654-2010</t>
  </si>
  <si>
    <t xml:space="preserve">Spann, Kirsten/0000-0003-0567-8382; Beagley, Ken/0000-0003-3112-6557; Fantino, Emmanuelle/0000-0001-9046-3655</t>
  </si>
  <si>
    <t xml:space="preserve">10.3390/v13050911</t>
  </si>
  <si>
    <t xml:space="preserve">SI1WT</t>
  </si>
  <si>
    <t xml:space="preserve">Green Accepted, gold, Green Published</t>
  </si>
  <si>
    <t xml:space="preserve">WOS:000654617000001</t>
  </si>
  <si>
    <t xml:space="preserve">Djamin, RS; Uzun, S; Snelders, E; Kluytmans, JJW; Hoogsteden, HC; Aerts, JGJV; Van der Eerden, MM</t>
  </si>
  <si>
    <t xml:space="preserve">Djamin, Remco S.; Uzun, Sevim; Snelders, Eveline; Kluytmans, Jan J. W.; Hoogsteden, Henk C.; Aerts, Joachim G. J. V.; Van der Eerden, Menno M.</t>
  </si>
  <si>
    <t xml:space="preserve">Occurrence of virus-induced COPD exacerbations during four seasons</t>
  </si>
  <si>
    <t xml:space="preserve">Chronic obstructive pulmonary disease; exacerbations; virus; seasonal patterns</t>
  </si>
  <si>
    <t xml:space="preserve">OBSTRUCTIVE PULMONARY-DISEASE; RESPIRATORY VIRAL-INFECTION; CONTROLLED-TRIAL; SYNCYTIAL VIRUS; ILLNESS; PREVALENCE; PREVENTION; MORTALITY; INFLUENZA; FREQUENCY</t>
  </si>
  <si>
    <t xml:space="preserve">In this study, we investigated the occurrence of viral infections in acute exacerbations of chronic obstructive pulmonary disease (COPD) during four seasons. Viral infections were detected by the use of real-time reverse transcriptase polymerase chain reaction on pharyngeal swabs. During a 12-month period pharyngeal swabs were obtained in 136 exacerbations of 63 patients. In 35 exacerbations (25.7%) a viral infection was detected. Most viral infections occurred in the winter (n = 14, 40.0%), followed by summer (n = 9, 25.7%), autumn (n = 6, 17.1%), and spring (n = 6, 17.1%). Rhinovirus was the most frequently isolated virus (n = 19, 51.4%), followed by respiratory syncytial virus (n = 6, 16.2%), human metapneumovirus (n = 5, 13.5%), influenza A (n = 4, 10.8%), parainfluenza 4 (n = 2, 5.4%), and parainfluenza 3 (n = 1, 2.7%). This study showed that virus-induced COPD exacerbations occur in all four seasons with a peak in the winter months. However, the distribution of rhinovirus infections showed a different pattern, with most infections occurring in July.</t>
  </si>
  <si>
    <t xml:space="preserve">[Djamin, Remco S.; Uzun, Sevim; Aerts, Joachim G. J. V.] Amphia Hosp, Dept Resp Med, NL-4818 CK Breda, Netherlands; [Snelders, Eveline; Kluytmans, Jan J. W.] Amphia Hosp, Dept Microbiol, NL-4818 CK Breda, Netherlands; [Hoogsteden, Henk C.; Aerts, Joachim G. J. V.; Van der Eerden, Menno M.] Erasmus MC, Dept Resp Med, Rotterdam, Netherlands</t>
  </si>
  <si>
    <t xml:space="preserve">Amphia Hospital; Amphia Hospital; Erasmus University Rotterdam; Erasmus MC</t>
  </si>
  <si>
    <t xml:space="preserve">Djamin, RS (corresponding author), Amphia Hosp, Dept Resp Med, Molengracht 21, NL-4818 CK Breda, Netherlands.</t>
  </si>
  <si>
    <t xml:space="preserve">rdjamin@amphia.nl</t>
  </si>
  <si>
    <t xml:space="preserve">van der Eerden, Menno/P-8383-2018; Aerts, Joachim/I-7885-2018; Snelders, Eveline/HHS-5284-2022</t>
  </si>
  <si>
    <t xml:space="preserve">Snelders, Eveline/0000-0002-7868-7928</t>
  </si>
  <si>
    <t xml:space="preserve">SoLong trust</t>
  </si>
  <si>
    <t xml:space="preserve">The authors report no conflicts of interest. Funding was received from the SoLong trust. The sponsor of the study had no role in study design, data collection, data analysis, data interpretation, or writing of the report.</t>
  </si>
  <si>
    <t xml:space="preserve">10.3109/00365548.2014.968866</t>
  </si>
  <si>
    <t xml:space="preserve">CC0UL</t>
  </si>
  <si>
    <t xml:space="preserve">WOS:000350052600006</t>
  </si>
  <si>
    <t xml:space="preserve">Perotin, JM; Dury, S; Renois, F; Deslee, G; Wolak, A; Duval, V; De Champs, C; Lebargy, F; Andreoletti, L</t>
  </si>
  <si>
    <t xml:space="preserve">Perotin, Jeanne-Marie; Dury, Sandra; Renois, Fanny; Deslee, Gaetan; Wolak, Aurore; Duval, Veronique; De Champs, Christophe; Lebargy, Francois; Andreoletti, Laurent</t>
  </si>
  <si>
    <t xml:space="preserve">Detection of multiple viral and bacterial infections in acute exacerbation of chronic obstructive pulmonary disease: A pilot prospective study</t>
  </si>
  <si>
    <t xml:space="preserve">chronic obstructive pulmonary disease; exacerbation; respiratory virus; polymerase chain reaction (PCR); human rhinovirus (HRV); human metapneumovirus (hMPV)</t>
  </si>
  <si>
    <t xml:space="preserve">RESPIRATORY SYNCYTIAL VIRUS; HUMAN METAPNEUMOVIRUS; AIRWAY INFLAMMATION; ACUTE BRONCHIOLITIS; COPD; PCR; DIAGNOSIS; POLYMORPHISM; SPECIMENS; CHILDREN</t>
  </si>
  <si>
    <t xml:space="preserve">Few studies have evaluated the contribution of multiple virus and bacterial infections in acute exacerbation of chronic obstructive pulmonary disease. This study estimated the burden of multiple viral and bacterial respiratory infections in moderate to very severe chronic obstructive pulmonary disease patients that were prospectively followed-up during a 12-month pilot study. Clinical data were collected monthly and sputum was collected at the time of each acute exacerbation event. Classical culture techniques for bacteria and multiplex polymerase chain reaction (PCR) and microarray detection assays were performed to identify viral and atypical bacterial pathogens in the sputum. Overall, 51 patients were included and 45 acute exacerbation events were investigated clinically and microbiologically. Among the 45 acute exacerbation events, 44% had evidence of viral infection involving human rhinovirus (HRV) and metapneumovirus (hMPV) in 20% and 18%, respectively. Intracellular bacteria were not found in sputum by PCR. Common bacterial pathogens were identified in 42% of acute exacerbation patients, most frequently Branhamella catarrhalis, Streptococcus pneumoniae and Haemophilus influenzae. Viral or virus and bacteria co-infections were detected in 27% of acute exacerbation events (n=12) with HRV and hMPV involved in 92% of cases. Patients with co-infections did not present greater clinical severity scores at exacerbation and more recurrence of acute exacerbation events at 3 and 6 months than those with single infections (0.4). These results suggest that HRV and hMPV may be contributors or cofactors of AECOPD. These findings indicate that viral or virus and bacterial co-infections do not impact significantly on the clinical severity of acute exacerbation of chronic obstructive pulmonary disease and recurrence at 3 and 6 months. J. Med. Virol. 85:866873, 2013. (c) 2013 Wiley Periodicals, Inc.</t>
  </si>
  <si>
    <t xml:space="preserve">[Perotin, Jeanne-Marie; Dury, Sandra; Deslee, Gaetan; Lebargy, Francois] Univ Hosp Reims, INSERM, Dept Resp Med, UMRS 903, F-51100 Reims, France; [Renois, Fanny; Andreoletti, Laurent] Univ Hosp Reims, Clin &amp; Mol Virol Unit, EA 4684, F-51100 Reims, France; [Wolak, Aurore] Univ Hosp Reims, Methodol Unit, F-51100 Reims, France; [Duval, Veronique; De Champs, Christophe] Univ Hosp Reims, Med Bacteriol Unit, F-51100 Reims, France</t>
  </si>
  <si>
    <t xml:space="preserve">CHU de Reims; Institut National de la Sante et de la Recherche Medicale (Inserm); Universite de Reims Champagne-Ardenne; CHU de Reims; Universite de Reims Champagne-Ardenne; CHU de Reims; Universite de Reims Champagne-Ardenne; Universite de Reims Champagne-Ardenne; CHU de Reims</t>
  </si>
  <si>
    <t xml:space="preserve">Perotin, JM (corresponding author), Univ Hosp Reims, INSERM, Dept Resp Med, UMRS 903, 45 Rue Cognacq Jay, F-51100 Reims, France.</t>
  </si>
  <si>
    <t xml:space="preserve">jmperotin-collard@chu-reims.fr</t>
  </si>
  <si>
    <t xml:space="preserve">RENOIS, FANNY/B-7992-2015; DE CHAMPS, Christophe/P-5647-2016; Andreoletti, Laurent/AAQ-2756-2020; DESLEE, Gaetan/G-2625-2013</t>
  </si>
  <si>
    <t xml:space="preserve">Perotin, Jeanne-Marie/0000-0001-7184-3767; ANDREOLETTI, LAURENT/0000-0002-7440-8880; DESLEE, Gaetan/0000-0002-4919-5916; RENOIS, FANNY/0000-0003-3441-7608</t>
  </si>
  <si>
    <t xml:space="preserve">PHRC [2005/R11-01]; Medical University and School of Medicine of Reims, France (Clinical and Virological Research) [EA-4684]; Ministere de la Sante et des Solidarites, France (Projet Hospitalier de Recherche Clinique) [2005/R11-01]; French Army department (Bourse DGA: Delegation Generale de l'Armement, Ministere de la Defense, Topic: Microbiology, infectious diseases)</t>
  </si>
  <si>
    <t xml:space="preserve">PHRC; Medical University and School of Medicine of Reims, France (Clinical and Virological Research); Ministere de la Sante et des Solidarites, France (Projet Hospitalier de Recherche Clinique); French Army department (Bourse DGA: Delegation Generale de l'Armement, Ministere de la Defense, Topic: Microbiology, infectious diseases)</t>
  </si>
  <si>
    <t xml:space="preserve">Grant sponsor: PHRC; Grant number: no2005/R11-01; Grant sponsor: Medical University and School of Medicine of Reims, France (Clinical and Virological Research); Grant number: EA-4684; Grant sponsor: Ministere de la Sante et des Solidarites, France (Projet Hospitalier de Recherche Clinique); Grant number: 2005/R11-01; Grant sponsor: French Army department (Bourse DGA: Delegation Generale de l'Armement, Ministere de la Defense, Topic: Microbiology, infectious diseases) (to F.R.).</t>
  </si>
  <si>
    <t xml:space="preserve">10.1002/jmv.23495</t>
  </si>
  <si>
    <t xml:space="preserve">WOS:000316971500017</t>
  </si>
  <si>
    <t xml:space="preserve">Koul, PA; Mir, H; Akram, S; Potdar, V; Chadha, MS</t>
  </si>
  <si>
    <t xml:space="preserve">Koul, Parvaiz A.; Mir, Hyder; Akram, Shabir; Potdar, Varsha; Chadha, Mandeep S.</t>
  </si>
  <si>
    <t xml:space="preserve">Respiratory viruses in acute exacerbations of chronic obstructive pulmonary disease</t>
  </si>
  <si>
    <t xml:space="preserve">LUNG INDIA</t>
  </si>
  <si>
    <t xml:space="preserve">Chronic obstructive pulmonary disease; exacerbation; influenza; viruses</t>
  </si>
  <si>
    <t xml:space="preserve">REAL-TIME PCR; VIRAL-INFECTIONS; REVERSE-TRANSCRIPTASE; INFLUENZA; EPIDEMIOLOGY; COPD</t>
  </si>
  <si>
    <t xml:space="preserve">Objective: Acute exacerbations of chronic obstructive pulmonary disease (AECOPD) cause significant morbidity, mortality, and an inexorable decline of lung function. Data from developed countries have shown viruses to be important causes of AECOPD, but data from developing countries like India are scant. We set out to determine the contribution of viruses in the causation of hospitalized patients with AECOPD. Methods: Twin nasopharyngeal/oropharyngeal swabs collected from 233 patients admitted with an acute AECOPD and tested for respiratory viruses including respiratory syncytial virus A and B, parainfluenza were (PIV) 1, 2, 3, and 4, human metapneumovirus (hMPV) A and B, influenza A and B, enterovirus, corona NL65, OC43, and 229E viruses, adenovirus 2 and 4, rhinovirus, and bocavirus, by duplex real time reverse-transcription polymerase chain reaction (qRT-PCR) using CDC approved primers and probes. Samples positive for influenza A were subtyped for A/H1N1pdm09 and A/H3N2 whereas influenza B samples were subtyped into B/Yamagata and B/Victoria subtypes, using primers and probes recommended by CDC, USA. Results: Respiratory viruses were detected in 46 (19.7%) cases, influenza A/H3N2 and rhinoviruses being the most common viruses detected. More than one virus was isolated in four cases consisting of hMPV-B + adeno-2 + Inf-B; rhino + H3N2, PIV-1 + rhino; and PIV-1 + hMPV-B in one case each. Ancillary supportive therapeutic measures included bronchodilators, antibiotics, steroids, and ventilation (noninvasive in 42 and invasive in 4). Antiviral therapy was instituted in influenza-positive patients. Three patients with A/H3N2 infection died during hospitalization. Conclusions: We conclude that respiratory viruses are important contributors to AECOPD in India. Our data calls for prompt investigation during an exacerbation for viruses to obviate inappropriate antibiotic use and institute antiviral therapy in viral disease amenable to antiviral therapy. Appropriate preventive strategies like influenza vaccination also need to be employed routinely.</t>
  </si>
  <si>
    <t xml:space="preserve">[Koul, Parvaiz A.; Mir, Hyder; Akram, Shabir] Sherikashmir Inst Med Sci, Dept Internal &amp; Pulm Med, Srinagar 190011, Jammu &amp; Kashmir, India; [Potdar, Varsha; Chadha, Mandeep S.] Natl Inst Virol, Pune, Maharashtra, India</t>
  </si>
  <si>
    <t xml:space="preserve">Sher-i-Kashmir Institute of Medical Sciences; Indian Council of Medical Research (ICMR); ICMR - National Institute of Virology (NIV)</t>
  </si>
  <si>
    <t xml:space="preserve">Koul, PA (corresponding author), Sherikashmir Inst Med Sci, Dept Internal &amp; Pulm Med, Srinagar 190011, Jammu &amp; Kashmir, India.</t>
  </si>
  <si>
    <t xml:space="preserve">parvaizk@gmail.com</t>
  </si>
  <si>
    <t xml:space="preserve">Potdar, Varsha/ABA-3799-2021; Mir, Hyder/AAP-8777-2020; Koul, Parvaiz/B-1666-2017</t>
  </si>
  <si>
    <t xml:space="preserve">MIR, HYDER/0000-0001-9402-8255; Koul, Parvaiz/0000-0002-1700-9285</t>
  </si>
  <si>
    <t xml:space="preserve">Sher-i-Kashmir Institute of Medical Sciences, Srinagar, Jammu and Kashmir, India</t>
  </si>
  <si>
    <t xml:space="preserve">The study was funded by the Sher-i-Kashmir Institute of Medical Sciences, Srinagar, Jammu and Kashmir, India.</t>
  </si>
  <si>
    <t xml:space="preserve">0970-2113</t>
  </si>
  <si>
    <t xml:space="preserve">0974-598X</t>
  </si>
  <si>
    <t xml:space="preserve">Lung India</t>
  </si>
  <si>
    <t xml:space="preserve">10.4103/0970-2113.197099</t>
  </si>
  <si>
    <t xml:space="preserve">EI0WQ</t>
  </si>
  <si>
    <t xml:space="preserve">WOS:000392196500007</t>
  </si>
  <si>
    <t xml:space="preserve">Varkey, JB; Varkey, B</t>
  </si>
  <si>
    <t xml:space="preserve">Varkey, Jay B.; Varkey, Basil</t>
  </si>
  <si>
    <t xml:space="preserve">Viral infections in patients with chronic obstructive pulmonary disease</t>
  </si>
  <si>
    <t xml:space="preserve">CURRENT OPINION IN PULMONARY MEDICINE</t>
  </si>
  <si>
    <t xml:space="preserve">chronic obstructive pulmonary disease exacerbations; PCR technology; respiratory viral infections</t>
  </si>
  <si>
    <t xml:space="preserve">RESPIRATORY SYNCYTIAL VIRUS; ACUTE EXACERBATIONS; INFLAMMATORY MARKERS; AIRWAY INFLAMMATION; DOUBLE-BLIND; BRONCHIAL INFLAMMATION; INFLUENZA VACCINATION; HUMAN METAPNEUMOVIRUS; GENE-EXPRESSION; LUNG-FUNCTION</t>
  </si>
  <si>
    <t xml:space="preserve">Purpose of review Chronic obstructive pulmonary disease is a major cause of morbidity and mortality worldwide. There is increasing evidence that implicates viral infections as a major risk factor for exacerbations of chronic obstructive pulmonary disease. Recent studies have attempted to better characterize the epidemiology of viral infections in chronic obstructive pulmonary disease, identify unique clinical manifestations of virus-associated exacerbations, and develop new diagnostic tools and treatments. Recent findings Rhinovirus, the organism most often responsible for causing the common cold, is also the most common infectious cause of chronic obstructive pulmonary disease exacerbations. Coronavirus, influenza, respiratory syncytial virus, parainfluenza, adenovinus, and metapneumovirus are other important viral causes of chronic obstructive pulmonary disease exacerbations. These exacerbations can be severe with prolonged recovery times. Although PCR technology has dramatically increased the detection rate of viruses in patients with chronic obstructive pulmonary disease, it does not differentiate infection from colonization. The use of biomarkers represents an exciting new potential diagnostic tool that may lend new insights into the pathogenesis of viral infections in patients with chronic obstructive pulmonary disease. Summary Despite strong epidemiologic evidence linking respiratory virus infection to exacerbations of chronic obstructive pulmonary disease, many of the cellular and molecular mechanisms by which viruses cause exacerbations remain undetermined. Future research efforts to understand these mechanisms would aid the development of novel therapeutics to reduce the morbidity and mortality of this disease.</t>
  </si>
  <si>
    <t xml:space="preserve">[Varkey, Jay B.] Duke Univ, Med Ctr, Dept Med, Div Infect Dis, Durham, NC 27710 USA; [Varkey, Basil] Med Coll Wisconsin, Dept Med, Div Pulm Crit Care &amp; Sleep Med, Milwaukee, WI 53226 USA</t>
  </si>
  <si>
    <t xml:space="preserve">Duke University; Medical College of Wisconsin</t>
  </si>
  <si>
    <t xml:space="preserve">Varkey, JB (corresponding author), Duke Univ, Med Ctr, Dept Med, Div Infect Dis, DUMC Box 3824, Durham, NC 27710 USA.</t>
  </si>
  <si>
    <t xml:space="preserve">jay.varkey@duke.edu</t>
  </si>
  <si>
    <t xml:space="preserve">1070-5287</t>
  </si>
  <si>
    <t xml:space="preserve">1531-6971</t>
  </si>
  <si>
    <t xml:space="preserve">CURR OPIN PULM MED</t>
  </si>
  <si>
    <t xml:space="preserve">Curr. Opin. Pulm. Med.</t>
  </si>
  <si>
    <t xml:space="preserve">10.1097/MCP.0b013e3282f4a99f</t>
  </si>
  <si>
    <t xml:space="preserve">266XG</t>
  </si>
  <si>
    <t xml:space="preserve">WOS:000253470400001</t>
  </si>
  <si>
    <t xml:space="preserve">Britto, CJ; Brady, V; Lee, S; Dela Cruz, CS</t>
  </si>
  <si>
    <t xml:space="preserve">Britto, Clemente J.; Brady, Virginia; Lee, Seiwon; Dela Cruz, Charles S.</t>
  </si>
  <si>
    <t xml:space="preserve">Respiratory Viral Infections in Chronic Lung Diseases</t>
  </si>
  <si>
    <t xml:space="preserve">Chronic lung diseases; Respiratory viral infections; Chronic obstructive pulmonary disease; Cystic fibrosis; Interstitial lung diseases; Asthma</t>
  </si>
  <si>
    <t xml:space="preserve">OBSTRUCTIVE PULMONARY-DISEASE; LATENT ADENOVIRAL INFECTION; CYSTIC-FIBROSIS; ACUTE EXACERBATIONS; AIRWAY INFLAMMATION; TRACT INFECTIONS; PSEUDOMONAS-AERUGINOSA; SYNCYTIAL VIRUS; HUMAN METAPNEUMOVIRUS; COPD EXACERBATIONS</t>
  </si>
  <si>
    <t xml:space="preserve">Chronic lung diseases, such as chronic obstructive pulmonary disease (COPD), asthma, cystic fibrosis (CF) and interstitial lung diseases (ILD), affect many individuals worldwide. Patients with these chronic lung diseases are susceptible to respiratory lung infections and some of these viral infections can contribute to disease pathogenesis. This review highlights the associations of lung infections and the respective chronic lung diseases and how infection in the different lung diseases affects disease exacerbation and progression.</t>
  </si>
  <si>
    <t xml:space="preserve">[Britto, Clemente J.] Yale Univ, Dept Internal Med, Sect Pulm Crit Care &amp; Sleep Med, Adult Cyst Fibrosis Program, 300 Cedar St,TAC 5419, New Haven, CT 06513 USA; [Britto, Clemente J.; Brady, Virginia; Lee, Seiwon; Dela Cruz, Charles S.] Yale Univ, Sect Pulm Crit Care &amp; Sleep Med, Dept Internal Med, 300 Cedar St,TACS441D, New Haven, CT 06513 USA; [Dela Cruz, Charles S.] Yale Univ, Dept Microbial Pathogenesis, 300 Cedar St,TAC S441D, New Haven, CT 06510 USA</t>
  </si>
  <si>
    <t xml:space="preserve">Dela Cruz, CS (corresponding author), Yale Univ, Sect Pulm Crit Care &amp; Sleep Med, Dept Internal Med, 300 Cedar St,TACS441D, New Haven, CT 06513 USA.;Dela Cruz, CS (corresponding author), Yale Univ, Dept Microbial Pathogenesis, 300 Cedar St,TAC S441D, New Haven, CT 06510 USA.</t>
  </si>
  <si>
    <t xml:space="preserve">charles.delacruz@yale.edu</t>
  </si>
  <si>
    <t xml:space="preserve">Dela Cruz, Charles/KUD-0483-2024</t>
  </si>
  <si>
    <t xml:space="preserve">Dela Cruz, Charles/0000-0002-5258-1797</t>
  </si>
  <si>
    <t xml:space="preserve">NHLBI NIH HHS [R01 HL126094] Funding Source: Medline</t>
  </si>
  <si>
    <t xml:space="preserve">10.1016/j.ccm.2016.11.014</t>
  </si>
  <si>
    <t xml:space="preserve">WOS:000396387100010</t>
  </si>
  <si>
    <t xml:space="preserve">Fisher, CE; Preiksaitis, CM; Lease, ED; Edelman, J; Kirby, KA; Leisenring, WM; Raghu, G; Boeckh, M; Limaye, AP</t>
  </si>
  <si>
    <t xml:space="preserve">Fisher, Cynthia E.; Preiksaitis, Carl M.; Lease, Erika D.; Edelman, Jeffrey; Kirby, Katharine A.; Leisenring, Wendy M.; Raghu, Ganesh; Boeckh, Michael; Limaye, Ajit P.</t>
  </si>
  <si>
    <t xml:space="preserve">Symptomatic Respiratory Virus Infection and Chronic Lung Allograft Dysfunction</t>
  </si>
  <si>
    <t xml:space="preserve">chronic lung allograft dysfunction; respiratory virus infection; lung transplantation; bronchiolitis obliterans; restrictive allograft dysfunction</t>
  </si>
  <si>
    <t xml:space="preserve">BRONCHIOLITIS-OBLITERANS-SYNDROME; TRANSPLANT RECIPIENTS; VIRAL-INFECTIONS; HUMAN METAPNEUMOVIRUS; PCR ASSAYS; ADULT LUNG; RISK; COLONIZATION; PSEUDOMONAS; SPECIMENS</t>
  </si>
  <si>
    <t xml:space="preserve">Background. Chronic lung allograft dysfunction (CLAD) is a major cause of allograft loss post-lung transplantation. Prior studies have examined the association between respiratory virus infection (RVI) and CLAD were limited by older diagnostic techniques, study design, and case numbers. We examined the association between symptomatic RVI and CLAD using modern diagnostic techniques in a large contemporary cohort of lung transplant recipients (LTRs). Methods. We retrospectively assessed clinical variables including acute rejection, cytomegalovirus pneumonia, upper and lower RVI, and the primary endpoint of CLAD (determined by 2 independent reviewers) in 250 LTRs in a single university transplantation program. Univariate and multivariate Cox models were used to analyze the relationship between RVI and CLAD in a time-dependent manner, incorporating different periods of risk following RVI diagnosis. Results. Fifty patients (20%) were diagnosed with CLAD at a median of 95 weeks post-transplantation, and 79 (32%) had 114 episodes of RVI. In multivariate analysis, rejection and RVI were independently associated with CLAD (adjusted hazard ratio [95% confidence interval]) 2.2 (1.2-3.9), P = .01 and 1.9 (1.1-3.5), P = .03, respectively. The association of RVI with CLAD was stronger the more proximate the RVI episode: 4.8 (1.9-11.6), P &lt; .01; 3.4 (1.5-7.5), P &lt; .01; and 2.4 (1.2-5.0), P = .02 in multivariate analysis for 3, 6, and 12 months following RVI, respectively. Conclusions. Symptomatic RVI is independently associated with development of CLAD, with increased risk at shorter time periods following RVI. Prospective studies to characterize the virologic determinants of CLAD and define the underlying mechanisms are warranted.</t>
  </si>
  <si>
    <t xml:space="preserve">[Fisher, Cynthia E.; Preiksaitis, Carl M.; Lease, Erika D.; Edelman, Jeffrey; Kirby, Katharine A.; Raghu, Ganesh; Boeckh, Michael; Limaye, Ajit P.] Univ Washington, Dept Med, Seattle, WA 98195 USA; [Fisher, Cynthia E.; Boeckh, Michael] Fred Hutchinson Canc Res Ctr, Vaccine &amp; Infect Dis Div, 1124 Columbia St, Seattle, WA 98104 USA; [Leisenring, Wendy M.; Boeckh, Michael] Fred Hutchinson Canc Res Ctr, Div Clin Res, 1124 Columbia St, Seattle, WA 98104 USA</t>
  </si>
  <si>
    <t xml:space="preserve">University of Washington; University of Washington Seattle; Fred Hutchinson Cancer Center; Fred Hutchinson Cancer Center</t>
  </si>
  <si>
    <t xml:space="preserve">Limaye, AP (corresponding author), Univ Washington, Box 356174,1959 NE Pacific St, Seattle, WA 98195 USA.</t>
  </si>
  <si>
    <t xml:space="preserve">limaye@u.washington.edu</t>
  </si>
  <si>
    <t xml:space="preserve">Boeckh, Michael/AAA-1607-2022; Preiksaitis, Carl/GRY-6854-2022</t>
  </si>
  <si>
    <t xml:space="preserve">Leisenring, Wendy/0000-0001-7405-0906; Preiksaitis, Carl/0000-0002-3856-0068; Kirby, Katharine/0000-0003-0876-8113</t>
  </si>
  <si>
    <t xml:space="preserve">National Institutes of Health [K24 HL093294]</t>
  </si>
  <si>
    <t xml:space="preserve">M. B. was supported by National Institutes of Health K24 HL093294.</t>
  </si>
  <si>
    <t xml:space="preserve">10.1093/cid/civ871</t>
  </si>
  <si>
    <t xml:space="preserve">DD8VS</t>
  </si>
  <si>
    <t xml:space="preserve">WOS:000370205600010</t>
  </si>
  <si>
    <t xml:space="preserve">Wang, TL; Zheng, GM; Jiang, ZY; Tang, LF; Tang, HF; Chen, ZM</t>
  </si>
  <si>
    <t xml:space="preserve">Wang, T. L.; Zheng, G. M.; Jiang, Z. Y.; Tang, L. F.; Tang, H. F.; Chen, Z. M.</t>
  </si>
  <si>
    <t xml:space="preserve">Human Metapneumovirus Infection in Hospitalised Children with Acute Lower Respiratory Tract Infection in Hangzhou, China</t>
  </si>
  <si>
    <t xml:space="preserve">HONG KONG JOURNAL OF PAEDIATRICS</t>
  </si>
  <si>
    <t xml:space="preserve">Chinese; Children; Direct immunofluorescence assay; Human metapneumovirus; Lower respiratory tract infection</t>
  </si>
  <si>
    <t xml:space="preserve">COMMUNITY-ACQUIRED PNEUMONIA; CLINICAL CHARACTERISTICS; GENETIC DIVERSITY; YOUNG-CHILDREN; FEATURES; EPIDEMIOLOGY; VARIABILITY; GENOTYPE; INFANTS</t>
  </si>
  <si>
    <t xml:space="preserve">Objectives: To investigate human metapneumovirus (hMPV) pathogens in children with acute lower respiratory tract infection (ALRIs) in Hangzhou, China. Methods: A total of 2911 paediatric patients with ALRIs hospitalised in our unit from January 2011 to December 2011 were enrolled. Their clinical characteristics were recorded and hMPV was detected by direct immunofluorescence. Results: hMPV was found in 70 (2.40%) samples. The positive rate was highest in children aged &gt;1 to 3 years (3.32%), and lowest in children over 3 years (0.63%) with a significant difference among 3 different age groups (chi(2)=11.795, P=0.003). The positive rate were higher in bronchiolitis and asthma with infection, and lower in pneumonia and bronchitis with a significant difference among 4 different groups (chi(2)=9.270, P=0.026). The positive rates of hMPV in children with bronchiolitis and asthma with infection were 2.706 (95%CI: 1.057-6.924) and 2.806 (95%CI: 1.095-7.187) folds of that in children with pneumonia. Moreover, the positive rate was highest in spring with a rate of 5.87%, followed by winter (3.30%), autumn (0.44%) and summer (0.36%). It dramatically increased in spring, and peaked on March with a rate of 7.47% while no hMPV positive sample was found from July to September. Conclusions: hMPV is an important cause of ALRIs. hMPV infection commonly occurs in young children, and spring is the peak infection season in Hangzhou, China</t>
  </si>
  <si>
    <t xml:space="preserve">[Wang, T. L.; Zheng, G. M.; Jiang, Z. Y.; Tang, L. F.; Tang, H. F.; Chen, Z. M.] Zhejiang Univ, Sch Med, Childrens Hosp, Hangzhou 310003, Zhejiang, Peoples R China</t>
  </si>
  <si>
    <t xml:space="preserve">Zhejiang University</t>
  </si>
  <si>
    <t xml:space="preserve">Tang, LF (corresponding author), Zhejiang Univ, Minist Educ, Key Lab Reprod Genet, Hangzhou 310003, Zhejiang, Peoples R China.</t>
  </si>
  <si>
    <t xml:space="preserve">National Natural Science Foundation of China [81170016, 81070008]; Zhejiang Provincial Natural Science Foundation of China [Y2100337]; Zhejiang Health Department [2009B098]</t>
  </si>
  <si>
    <t xml:space="preserve">National Natural Science Foundation of China(National Natural Science Foundation of China (NSFC)); Zhejiang Provincial Natural Science Foundation of China(Natural Science Foundation of Zhejiang Province); Zhejiang Health Department</t>
  </si>
  <si>
    <t xml:space="preserve">We thank all the patients and their parents for participating in this research project. This work is supported, in part, by grants from the National Natural Science Foundation of China (81170016 and 81070008), Zhejiang Provincial Natural Science Foundation of China (Y2100337), and Zhejiang Health Department (2009B098).</t>
  </si>
  <si>
    <t xml:space="preserve">MEDCOM LTD</t>
  </si>
  <si>
    <t xml:space="preserve">CHAI WAN</t>
  </si>
  <si>
    <t xml:space="preserve">ROOM 504-5, CHEUNG TAT CENTRE, 18 CHEUNG LEE ST, CHAI WAN, HONG KONG 00000, PEOPLES R CHINA</t>
  </si>
  <si>
    <t xml:space="preserve">1013-9923</t>
  </si>
  <si>
    <t xml:space="preserve">HONG KONG J PAEDIATR</t>
  </si>
  <si>
    <t xml:space="preserve">Hong Kong J. Paediatr.</t>
  </si>
  <si>
    <t xml:space="preserve">079VX</t>
  </si>
  <si>
    <t xml:space="preserve">WOS:000314201400004</t>
  </si>
  <si>
    <t xml:space="preserve">Ren, GL; Wang, XF; Xu, J; Li, J; Meng, Q; Xie, GQ; Huang, B; Zhu, WC; Lin, J; Tang, CH; Ye, S; Li, Z; Zhu, J; Tang, Z; Ma, MX; Xie, C; Wu, YW; Liu, CX; Yang, F; Zhou, YZ; Zheng, Y; Lan, SL; Chen, JF; Ye, F; He, Y; Wu, BQ; Chen, L; Fu, SM; Zheng, CZ; Shi, Y</t>
  </si>
  <si>
    <t xml:space="preserve">Ren, Guang-Li; Wang, Xian-Feng; Xu, Jun; Li, Jun; Meng, Qiong; Xie, Guo-Qiang; Huang, Bo; Zhu, Wei-Chun; Lin, Jing; Tang, Cheng-He; Ye, Sheng; Li, Zhuo; Zhu, Jie; Tang, Zhen; Ma, Ming-Xin; Xie, Cong; Wu, Ying-Wen; Liu, Chen-Xi; Yang, Fang; Zhou, Yu-Zong; Zheng, Ying; Lan, Shu-Ling; Chen, Jian-Feng; Ye, Feng; He, Yu; Wu, Ben-Qing; Chen, Long; Fu, Si-Mao; Zheng, Cheng-Zhong; Shi, Yuan</t>
  </si>
  <si>
    <t xml:space="preserve">Comparison of acute pneumonia caused by SARS-COV-2 and other respiratory viruses in children: a retrospective multi-center cohort study during COVID-19 outbreak</t>
  </si>
  <si>
    <t xml:space="preserve">Children; Severe acute respiratory syndrome; COVID-19; Viral pneumonia</t>
  </si>
  <si>
    <t xml:space="preserve">FEATURES</t>
  </si>
  <si>
    <t xml:space="preserve">Background Until January 18, 2021, coronavirus disease-2019 (COVID-19) has infected more than 93 million individuals and has caused a certain degree of panic. Viral pneumonia caused by common viruses such as respiratory syncytial virus, rhinovirus, human metapneumovirus, human bocavirus, and parainfluenza viruses have been more common in children. However, the incidence of COVID-19 in children was significantly lower than that in adults. The purpose of this study was to describe the clinical manifestations, treatment and outcomes of COVID-19 in children compared with those of other sources of viral pneumonia diagnosed during the COVID-19 outbreak. Methods Children with COVID-19 and viral pneumonia admitted to 20 hospitals were enrolled in this retrospective multi-center cohort study. A total of 64 children with COVID-19 were defined as the COVID-19 cohort, of which 40 children who developed pneumonia were defined as the COVID-19 pneumonia cohort. Another 284 children with pneumonia caused by other viruses were defined as the viral pneumonia cohort. The epidemiologic, clinical, and laboratory findings were compared by Kolmogorov-Smirnov test, t-test, Mann-Whitney U test and Contingency table method. Drug usage, immunotherapy, blood transfusion, and need for oxygen support were collected as the treatment indexes. Mortality, intensive care needs and symptomatic duration were collected as the outcome indicators. Results Compared with the viral pneumonia cohort, children in the COVID-19 cohort were mostly exposed to family members confirmed to have COVID-19 (53/64 vs. 23/284), were of older median age (6.3 vs. 3.2 years), and had a higher proportion of ground-glass opacity (GGO) on computed tomography (18/40 vs. 0/38, P &lt; 0.001). Children in the COVID-19 pneumonia cohort had a lower proportion of severe cases (1/40 vs. 38/284, P = 0.048), and lower cases with high fever (3/40 vs. 167/284, P &lt; 0.001), requiring intensive care (1/40 vs. 32/284, P &lt; 0.047) and with shorter symptomatic duration (median 5 vs. 8 d, P &lt; 0.001). The proportion of cases with evaluated inflammatory indicators, biochemical indicators related to organ or tissue damage, D-dimer and secondary bacterial infection were lower in the COVID-19 pneumonia cohort than those in the viral pneumonia cohort (P &lt; 0.05). No statistical differences were found in the duration of positive PCR results from pharyngeal swabs in 25 children with COVID-19 who received antiviral drugs (lopinavir-ritonavir, ribavirin, and arbidol) as compared with duration in 39 children without antiviral therapy [median 10 vs. 9 d, P = 0.885]. Conclusion The symptoms and severity of COVID-19 pneumonia in children were no more severe than those in children with other viral pneumonia. Lopinavir-ritonavir, ribavirin and arbidol do not shorten the duration of positive PCR results from pharyngeal swabs in children with COVID-19. During the COVID-19 outbreak, attention also must be given to children with infection by other pathogens infection.</t>
  </si>
  <si>
    <t xml:space="preserve">[Ren, Guang-Li; Xie, Guo-Qiang; Zhu, Jie; Tang, Zhen; Ma, Ming-Xin] Gen Hosp Southern Theater Command PLA, Dept Pediat, 111 Liuhua Rd, Guangzhou 510010, Guangdong, Peoples R China; [Wang, Xian-Feng] Third Peoples Hosp Shenzhen, Dept Pediat, Shenzhen 518100, Guangdong, Peoples R China; [Xu, Jun] Huazhong Univ Sci &amp; Technol, Tongji Med Coll, Wuhan Childrens Hosp, Pediat Intens Care Unit, Wuhan 430010, Peoples R China; [Li, Jun] Maternal &amp; Child Hlth Hosp Huangshi, Pediat Intens Care Unit, Huangshi 435000, Hubei, Peoples R China; [Meng, Qiong] Second Peoples Hosp Guangdong Prov, Dept Pediat, Guangzhou 510317, Peoples R China; [Huang, Bo] Zunyi Med Univ, Peoples Hosp Zunyi 1, Affiliated Hosp 3, Dept Pediat, Zunyi 563000, Guizhou, Peoples R China; [Zhu, Wei-Chun; Lin, Jing] Eighth Peoples Hosp Guangzhou, Dept Pediat, Guangzhou 510440, Peoples R China; [Tang, Cheng-He] Xinxiang Med Univ, Affiliated Hosp 1, Dept Pediat, Xinxiang 453100, Henan, Peoples R China; [Ye, Sheng] Zhejiang Univ, Pediat Intens Care Unit, Childrens Hosp, Sch Med, Hangzhou 310000, Peoples R China; [Li, Zhuo] Nanjing Med Univ, Childrens Hosp, Dept Emergency Crit Med, Nanjing 210008, Peoples R China; [Xie, Cong] Guangzhou Med Univ, Affiliated Hosp 2, Dept Pediat, Guangzhou 510260, Peoples R China; [Wu, Ying-Wen; Liu, Chen-Xi] Gen Hosp Southern Theater Command PLA, Dept Med Informat Date Room, Guangzhou 510010, Peoples R China; [Yang, Fang] Jinan Univ, Affiliated Hosp 1, Dept Pediat, Guangzhou 510632, Peoples R China; [Zhou, Yu-Zong] Maternal &amp; Child Hlth Hosp Yangjiang, Dept Pediat, Yangjiang 529500, Guangdong, Peoples R China; [Zheng, Ying; Wu, Ben-Qing] Univ Chinese Acad Sci, Shenzhen Hosp, Dept Pediat, Shenzhen 518107, Guangdong, Peoples R China; [Lan, Shu-Ling] Southern Med Univ, Dept Pediat, Nanfang Hosp, Guangzhou 510515, Peoples R China; [Chen, Jian-Feng] Southern Med Univ, Dept Pediat, Zhujiang Hosp, Guangzhou 510280, Peoples R China; [Ye, Feng] Mil Hosp 74 Grp PLA, Dept Pediat, Guangzhou 510318, Peoples R China; [He, Yu; Chen, Long; Shi, Yuan] Chongqing Med Univ, Natl Clin Res Ctr Child Hlth &amp; Disorders, Key Lab Child Dev &amp; Disorders, Dept Neonatol,Childrens Hosp,Minist Educ,Chongqin, Chongqing 400014, Peoples R China; [Fu, Si-Mao] Zhongshan Boai Hosp, Dept Pediat, Zhongshan 528403, Guangdong, Peoples R China; [Zheng, Cheng-Zhong] Strateg Support Force Med Ctr PLA, Dept Pediat, Beijing 100101, Peoples R China</t>
  </si>
  <si>
    <t xml:space="preserve">Southern Theater Command General Hospital; The Third People's Hospital of Shenzhen; Huazhong University of Science &amp; Technology; Zunyi Medical University; Xinxiang Medical University; Zhejiang University; Nanjing Medical University; Guangzhou Medical University; Southern Theater Command General Hospital; Jinan University; Chinese Academy of Sciences; University of Chinese Academy of Sciences, CAS; Southern Medical University - China; Southern Medical University - China; Chongqing Medical University</t>
  </si>
  <si>
    <t xml:space="preserve">Ren, GL (corresponding author), Gen Hosp Southern Theater Command PLA, Dept Pediat, 111 Liuhua Rd, Guangzhou 510010, Guangdong, Peoples R China.;Shi, Y (corresponding author), Chongqing Med Univ, Natl Clin Res Ctr Child Hlth &amp; Disorders, Key Lab Child Dev &amp; Disorders, Dept Neonatol,Childrens Hosp,Minist Educ,Chongqin, Chongqing 400014, Peoples R China.;Fu, SM (corresponding author), Zhongshan Boai Hosp, Dept Pediat, Zhongshan 528403, Guangdong, Peoples R China.;Zheng, CZ (corresponding author), Strateg Support Force Med Ctr PLA, Dept Pediat, Beijing 100101, Peoples R China.</t>
  </si>
  <si>
    <t xml:space="preserve">guangliren@hotmail.com; zs5319753@163.com; zcz3066@126.com; petshi530@vip.163.com</t>
  </si>
  <si>
    <t xml:space="preserve">Chen, Jianfeng/GLR-5748-2022; Liu, Zhipeng/IUM-2978-2023; Ye, SF/G-3482-2010; Shi, Yuan/P-4032-2019; Shi, Yuan/H-9025-2018</t>
  </si>
  <si>
    <t xml:space="preserve">Shi, Yuan/0000-0002-4571-4424</t>
  </si>
  <si>
    <t xml:space="preserve">Scientific Research Project of Military Logistics Department [CLB20J032]</t>
  </si>
  <si>
    <t xml:space="preserve">Scientific Research Project of Military Logistics Department</t>
  </si>
  <si>
    <t xml:space="preserve">This work was supported by Scientific Research Project of Military Logistics Department, Grant Award Number: CLB20J032. The funders of this research had no role in study design, data collection and analysis, decision to publish, or preparation of the manuscript.</t>
  </si>
  <si>
    <t xml:space="preserve">FEB 16</t>
  </si>
  <si>
    <t xml:space="preserve">10.1186/s40779-021-00306-7</t>
  </si>
  <si>
    <t xml:space="preserve">QL2RB</t>
  </si>
  <si>
    <t xml:space="preserve">WOS:000620927600002</t>
  </si>
  <si>
    <t xml:space="preserve">Srinivasan, A; Wang, WC; Gaur, A; Smith, T; Gu, ZM; Kang, GL; Leung, W; Hayden, RT</t>
  </si>
  <si>
    <t xml:space="preserve">Srinivasan, Ashok; Wang, Winfred C.; Gaur, Aditya; Smith, Teresa; Gu, Zhengming; Kang, Guolian; Leung, Wing; Hayden, Randall T.</t>
  </si>
  <si>
    <t xml:space="preserve">Prospective Evaluation for Respiratory Pathogens in Children With Sickle Cell Disease and Acute Respiratory Illness</t>
  </si>
  <si>
    <t xml:space="preserve">PEDIATRIC BLOOD &amp; CANCER</t>
  </si>
  <si>
    <t xml:space="preserve">children; respiratory virus; sickle cell disease</t>
  </si>
  <si>
    <t xml:space="preserve">ACUTE CHEST SYNDROME; HUMAN METAPNEUMOVIRUS; YOUNG-CHILDREN; CHLAMYDIA-PNEUMONIAE; SYNCYTIAL VIRUS; CORONAVIRUS; INFECTION; INFANTS; INFLUENZA; ADULTS</t>
  </si>
  <si>
    <t xml:space="preserve">BackgroundHuman rhinovirus (HRV), human coronavirus (hCoV), human bocavirus (hBoV), and human metapneumovirus (hMPV) infections in children with sickle cell disease have not been well studied. ProcedureNasopharyngeal wash specimens were prospectively collected from 60 children with sickle cell disease and acute respiratory illness, over a 1-year period. Samples were tested with multiplexed-PCR, using an automated system for nine respiratory viruses, Chlamydophila pneumoniae, Mycoplasma pneumoniae, and Bordetella pertussis. Clinical characteristics and distribution of respiratory viruses in patients with and without acute chest syndrome (ACS) were evaluated. ResultsA respiratory virus was detected in 47 (78%) patients. Nine (15%) patients had ACS; a respiratory virus was detected in all of them. The demographic characteristics of patients with and without ACS were similar. HRV was the most common virus, detected in 29 of 47 (62%) patients. Logistic regression showed no association between ACS and detection of HRV, hCoV, hBoV, hMPV, and other respiratory pathogens. Co-infection with at least one additional respiratory virus was seen in 14 (30%) infected patients, and was not significantly higher in patients with ACS (P=0.10). Co-infections with more than two respiratory viruses were seen in seven patients, all in patients without ACS. Bacterial pathogens were not detected. ConclusionHRV was the most common virus detected in children with sickle cell disease and acute respiratory illness, and was not associated with increased morbidity. Larger prospective studies with asymptomatic controls are needed to study the association of these emerging respiratory viruses with ACS in children with sickle cell disease. Pediatr Blood Cancer 2014;61:507-511. (c) 2013 Wiley Periodicals, Inc.</t>
  </si>
  <si>
    <t xml:space="preserve">[Srinivasan, Ashok; Leung, Wing] St Jude Childrens Res Hosp, Dept Bone Marrow Transplantat &amp; Cellular Therapy, Memphis, TN 38105 USA; [Srinivasan, Ashok; Wang, Winfred C.; Gaur, Aditya; Leung, Wing] Univ Tennessee, Ctr Hlth Sci, Dept Pediat, Memphis, TN 38163 USA; [Wang, Winfred C.] St Jude Childrens Res Hosp, Dept Hematol, Memphis, TN 38105 USA; [Gaur, Aditya] St Jude Childrens Res Hosp, Dept Infect Dis, Memphis, TN 38105 USA; [Smith, Teresa] St Jude Childrens Res Hosp, BMTCT Clin Res Off, Memphis, TN 38105 USA; [Gu, Zhengming; Hayden, Randall T.] St Jude Childrens Res Hosp, Dept Pathol, Memphis, TN 38105 USA; [Kang, Guolian] St Jude Childrens Res Hosp, Dept Biostat, Memphis, TN 38105 USA</t>
  </si>
  <si>
    <t xml:space="preserve">St Jude Children's Research Hospital; University of Tennessee System; University of Tennessee Health Science Center; St Jude Children's Research Hospital; St Jude Children's Research Hospital; St Jude Children's Research Hospital; St Jude Children's Research Hospital; St Jude Children's Research Hospital</t>
  </si>
  <si>
    <t xml:space="preserve">Leung, Wing/HHD-3302-2022; Hayden, Randall/N-2534-2018; Gaur, Aditya/N-8057-2018; Srinivasan, Ashok/N-8064-2018</t>
  </si>
  <si>
    <t xml:space="preserve">Leung, Wing Hang/0000-0002-2996-7229; Gaur, Aditya/0000-0002-6639-5231; Srinivasan, Ashok/0000-0001-9058-537X</t>
  </si>
  <si>
    <t xml:space="preserve">National Cancer Institute Cancer Center CORE Support Grant [P30 CA 21765]; American Lebanese Syrian Associated Charities; Anderson Charitable Foundation</t>
  </si>
  <si>
    <t xml:space="preserve">National Cancer Institute Cancer Center CORE Support Grant; American Lebanese Syrian Associated Charities(American Lebanese Syrian Associated Charities (ALSAC)); Anderson Charitable Foundation</t>
  </si>
  <si>
    <t xml:space="preserve">Grant sponsor: National Cancer Institute Cancer Center CORE Support Grant; Grant number: P30 CA 21765; Grant sponsor: American Lebanese Syrian Associated Charities; Grant sponsor: Anderson Charitable Foundation</t>
  </si>
  <si>
    <t xml:space="preserve">1545-5009</t>
  </si>
  <si>
    <t xml:space="preserve">1545-5017</t>
  </si>
  <si>
    <t xml:space="preserve">PEDIATR BLOOD CANCER</t>
  </si>
  <si>
    <t xml:space="preserve">Pediatr. Blood Cancer</t>
  </si>
  <si>
    <t xml:space="preserve">10.1002/pbc.24798</t>
  </si>
  <si>
    <t xml:space="preserve">288AZ</t>
  </si>
  <si>
    <t xml:space="preserve">WOS:000329585300020</t>
  </si>
  <si>
    <t xml:space="preserve">Aygün, D; Erbek, F; Kuskucu, M; Sener, D; Kösker, M; Varol, F; Midilli, K; Çokugras, H; Camcioglu, Y</t>
  </si>
  <si>
    <t xml:space="preserve">Aygun, Deniz; Erbek, Firuze; Kuskucu, Mert; Sener, Dicle; Kosker, Muhammet; Varol, Fatih; Midilli, Kenan; Cokugras, Haluk; Camcioglu, Yildiz</t>
  </si>
  <si>
    <t xml:space="preserve">The epidemiologic and clinical features of viral agents among hospitalized children with lower respiratory tract infections</t>
  </si>
  <si>
    <t xml:space="preserve">TURK PEDIATRI ARSIVI-TURKISH ARCHIVES OF PEDIATRICS</t>
  </si>
  <si>
    <t xml:space="preserve">Children; respiratory tract infections; respiratory viruses</t>
  </si>
  <si>
    <t xml:space="preserve">REAL-TIME PCR; SYNCYTIAL VIRUS; DISEASE SEVERITY; BRONCHIOLITIS; ASSOCIATION; MULTIPLE; ETIOLOGY; BURDEN; SINGLE; ASSAY</t>
  </si>
  <si>
    <t xml:space="preserve">Aim: Acute respiratory tract infections are among the most common infectious diseases worldwide. Respiratory viruses are the leading cause of respiratory infections in children. Herein, we aimed to determine the epidemiologic and clinical feautures of viral agents among hospitalized children with lower respiratory tract infections. Material and Methods: Nasopharyngeal swab specimens were obtained from the 422 patients hospitalized with a diagnosis of lower respiratory tract infections between December 2012 and December 2016. Multiplex reverse-transcription polymerase chain reaction was performed for the detection of viruses. Results: Viral respiratory pathogens were detected in 311 patients (73.7%). In regard to respiratory virus subtypes, 103 patients (33.1%) had respiratory syncytial virus, 102 (32.7%) had human rhinovirus, 49 (15.7%) had multiple viruses, 15 (4.8%) had parainfluenzavirus, 13 (4.1%) had adenovirus, nine (2.8%) had human metapneumovirus, eight (2.5%) had human coronaviruses, six (1.9%) had bocavirus, five (1.6%) had influenza virus, and one patient (0.3%) had enterovirus. The median age was lower in patients with multiple viruses (p&lt;0.001). The respiratory syncytial virus was more commonly detected in patients with a history of prematurity (p&lt;0.001). Stridor was more common in other viruses including parainfluenza viruses (p&lt;0.001). Conclusion: Respiratory viruses are the main causative agents of respiratory tract infections in children. Timely and accurate detection of viruses is necessary in terms of public health. The detection of respiratory viruses also contributes to epidemiologic results and vaccine studies.</t>
  </si>
  <si>
    <t xml:space="preserve">[Aygun, Deniz; Sener, Dicle; Kosker, Muhammet; Cokugras, Haluk; Camcioglu, Yildiz] Istanbul Univ Cerrahpasa, Cerrahpasa Fac Med, Dept Pediat Infect Dis, Istanbul, Turkey; [Erbek, Firuze] Istanbul Univ Cerrahpasa, Cerrahpasa Fac Med, Dept Pediat, Istanbul, Turkey; [Kuskucu, Mert; Midilli, Kenan] Istanbul Univ Cerrahpasa, Cerrahpasa Fac Med, Dept Microbiol, Istanbul, Turkey; [Varol, Fatih] Istanbul Univ Cerrahpasa, Cerrahpasa Fac Med, Dept Pediat Emergency, Istanbul, Turkey</t>
  </si>
  <si>
    <t xml:space="preserve">Istanbul University - Cerrahpasa; Istanbul University - Cerrahpasa; Istanbul University - Cerrahpasa; Istanbul University - Cerrahpasa</t>
  </si>
  <si>
    <t xml:space="preserve">Aygün, D (corresponding author), Istanbul Univ Cerrahpasa, Cerrahpasa Fac Med, Dept Pediat Infect Dis, Istanbul, Turkey.</t>
  </si>
  <si>
    <t xml:space="preserve">fdenizaygun@gmail.com</t>
  </si>
  <si>
    <t xml:space="preserve">Kosker, Muhammet/GPX-3327-2022; Aygun, Deniz/AAC-9239-2021; Sener, Dicle/P-1941-2018; Midilli, Kenan/D-6679-2019; Varol, Fatih/GQA-3050-2022; Kuskucu, Mert/B-6373-2009</t>
  </si>
  <si>
    <t xml:space="preserve">Varol, Fatih/0000-0002-2424-6887</t>
  </si>
  <si>
    <t xml:space="preserve">TURKISH PEDIATRICS ASSOC</t>
  </si>
  <si>
    <t xml:space="preserve">İSTANBUL UNIV CERRAHPASA TIP FAK, OCUK SAGLIGI VE HASTALIKLARI ANABILIM DALI, ISTANBUL, 00000, TURKEY</t>
  </si>
  <si>
    <t xml:space="preserve">1306-0015</t>
  </si>
  <si>
    <t xml:space="preserve">1308-6278</t>
  </si>
  <si>
    <t xml:space="preserve">TURK PEDIATR ARSIVI</t>
  </si>
  <si>
    <t xml:space="preserve">Turk Pediatr. Ars.</t>
  </si>
  <si>
    <t xml:space="preserve">10.14744/TurkPediatriArs.2020.39114</t>
  </si>
  <si>
    <t xml:space="preserve">MI4KQ</t>
  </si>
  <si>
    <t xml:space="preserve">WOS:000547379400011</t>
  </si>
  <si>
    <t xml:space="preserve">Chan, PC; Wang, CY; Wu, PS; Chang, PY; Yang, TT; Chiang, YP; Kao, CL; Chang, LY; Lu, CY; Lee, PI; Chen, JM; Shao, PL; Huang, FY; Lee, CY; Huang, LM</t>
  </si>
  <si>
    <t xml:space="preserve">Chan, Pei-Chun; Wang, Chung-Yi; Wu, Ping-Sheng; Chang, Po-Young; Yang, Tsao-Ton; Chiang, Yu-Ping; Kao, Chuan-Liang; Chang, Luan-Yin; Lu, Chun-Yi; Lee, Ping-Ing; Chen, Jung-Min; Shao, Pei-Lan; Huang, Fu-Yuan; Lee, Chin-Yun; Huang, Li-Min</t>
  </si>
  <si>
    <t xml:space="preserve">Detection of human metapneumovirus in hospitalized children with acute respiratory tract infection using real-time RT-PCR in a hospital in northern Taiwan</t>
  </si>
  <si>
    <t xml:space="preserve">JOURNAL OF THE FORMOSAN MEDICAL ASSOCIATION</t>
  </si>
  <si>
    <t xml:space="preserve">children; metapneumovirus; prospective study; real-time RT-PCR; respiratory tract infection</t>
  </si>
  <si>
    <t xml:space="preserve">SYNCYTIAL VIRUS; BRONCHIOLITIS; ILLNESS; DISEASE; ASSAYS</t>
  </si>
  <si>
    <t xml:space="preserve">Background/Purpose: Human metapneumovirus (hMPV) is a newly discovered respiratory pathogen. This prospective hospital-based study investigated the clinical role and features of hMPV in Taiwan. Methods: Respiratory specimens collected from hospitalized children with acute respiratory tract infection between September 1, 2003 and April 10, 2005 were screened for metapneumovirus using real-time reverse transcription-polymerase chain reaction (RT-PCR). Results: During the study period, 930 specimens were obtained from 926 hospitalized children. After exclusion of 200 cases due to lack of clinical evidence of airway infection or diseases with known etiology, 726 were included in the analysis. Among these, 33 children had a positive result for hMPV infection. The majority of these patients were admitted during spring and early summer. Twenty-one (63.6%) were younger than 2 years of age. hMPV accounted for 13.3% of respiratory infections occurring between the ages of 18 and 24 months and was as common a respiratory pathogen as respiratory syncytial virus (RSV) in that age group. The 11 patients (33.3%) with underlying diseases had a similar disease course to those without underlying diseases. A co-pathogen was found in 11 patients (33.3%). Infected children between 2 and 5 years of age had significantly higher titers of hMPV in their respiratory specimens (10(3.88) copies/mu L) than children younger than 2 years (10(2.26) copies/mu L) (p = 0.013) and children older than 5 years (10(2.25) copies/mu L) (p=0.005). hMPV positive cases were significantly older than those with RSV infection (p = 0.002) and had a shorter duration of hospitalization (p = 0.001), fewer days of oxygen use (p = 0.001) and higher levels of C-reactive protein (p = 0.004). Conclusion: Metapneurnovirus circulates in children in northern Taiwan during spring and early summer. hMPV was the most common respiratory pathogen in children aged between 18 and 24 months hospitalized with acute respiratory tract infection. Real-time RT-PCR is a sensitive method for investigating the epidemiology and diseases associated with hMPV.</t>
  </si>
  <si>
    <t xml:space="preserve">Natl Taiwan Univ Hosp, Dept Pediat, Taipei 100, Taiwan; Natl Taiwan Univ Hosp, Dept Lab Med, Taipei 100, Taiwan; Natl Taiwan Univ, Coll Med, Taipei, Taiwan; Hsin Chu hosp, Dept Pediat, Taipei, Taiwan; Taipei Mackay Mem Hosp, Dept Pediat, Taipei, Taiwan</t>
  </si>
  <si>
    <t xml:space="preserve">National Taiwan University; National Taiwan University Hospital; National Taiwan University; National Taiwan University Hospital; National Taiwan University; Mackay Memorial Hospital</t>
  </si>
  <si>
    <t xml:space="preserve">Huang, LM (corresponding author), Natl Taiwan Univ Hosp, Dept Pediat, 7 Chung Shan S Rd, Taipei 100, Taiwan.</t>
  </si>
  <si>
    <t xml:space="preserve">Imhuang@ha.med.ntu.edu.tw</t>
  </si>
  <si>
    <t xml:space="preserve">Lu, Chun-yi/JXN-8290-2024; Huang, Yong-Chang/JVN-0911-2024; huang, lei/GQP-8739-2022; Huang, Yuchen/HOH-2286-2023</t>
  </si>
  <si>
    <t xml:space="preserve">LU, CHUN-YI/0000-0002-5240-2808; LEE, PING-ING/0000-0002-7299-2825; KAO, CHUAN-LIANG/0000-0002-1020-2605; HUANG, LI-MIN/0000-0002-9291-260X; CHANG, LUAN-YIN/0000-0003-2632-1956; LEE, CHIN-YUN/0000-0002-3938-377X</t>
  </si>
  <si>
    <t xml:space="preserve">ELSEVIER SINGAPORE PTE LTD</t>
  </si>
  <si>
    <t xml:space="preserve">SINGAPORE</t>
  </si>
  <si>
    <t xml:space="preserve">3 KILLINEY ROAD 08-01, WINSLAND HOUSE 1, SINGAPORE, 239519, SINGAPORE</t>
  </si>
  <si>
    <t xml:space="preserve">0929-6646</t>
  </si>
  <si>
    <t xml:space="preserve">J FORMOS MED ASSOC</t>
  </si>
  <si>
    <t xml:space="preserve">J. Formos. Med. Assoc.</t>
  </si>
  <si>
    <t xml:space="preserve">10.1016/S0929-6646(09)60211-4</t>
  </si>
  <si>
    <t xml:space="preserve">137QC</t>
  </si>
  <si>
    <t xml:space="preserve">WOS:000244306100003</t>
  </si>
  <si>
    <t xml:space="preserve">Akkoc, G; Dogan, C; Bayraktar, S; Sahin, K; Elevli, M</t>
  </si>
  <si>
    <t xml:space="preserve">Akkoc, Gulsen; Dogan, Ceren; Bayraktar, Suleyman; Sahin, Kamil; Elevli, Murat</t>
  </si>
  <si>
    <t xml:space="preserve">Evaluation of viral respiratory pathogens in children aged under five hospitalized with lower respiratory tract infections</t>
  </si>
  <si>
    <t xml:space="preserve">NORTHERN CLINICS OF ISTANBUL</t>
  </si>
  <si>
    <t xml:space="preserve">Children; lower respiratory tract infections; pneumonia; real-time multiplex polymerase chain reaction; respiratory viruses</t>
  </si>
  <si>
    <t xml:space="preserve">COMMUNITY-ACQUIRED PNEUMONIA; REVERSE TRANSCRIPTION-PCR; MULTIPLEX PCR; PEDIATRIC-PATIENTS; SYNCYTIAL VIRUS; DIAGNOSIS; IDENTIFICATION</t>
  </si>
  <si>
    <t xml:space="preserve">OBJECTIVE: Lower respiratory tract infections (LRTIs) are responsible for significant morbidity and mortality in children. Viral pathogens are responsible for 50-70% of LRTIs. The real-time multiplex polymerase chain reaction (RT-MPCR) tests allow the simultaneous detection of several different viruses along with some bacterial pathogens and give faster and more reliable results than viral culture. We aimed to describe the disease etiology and the clinical, laboratory, and radiological characteristics of children aged under 5 years who were hospitalized in a tertiary care medical center with LRTIs assayed using an RT-MPCR respiratory pathogen panel, and evaluate the effects of the detection of etiology on treatment and outcome. METHODS: This retrospective study was conducted in the tertiary medical health center. The study group comprised all pediatric cases aged under five who were hospitalized due to LRTIs in the pediatric wards and pediatric intensive care unit (ICU) and undergone RT-MPCR analyses between January 2019 and February 2020. RT-MPCR analyses of samples from nasopharyngeal swabs were consecutively evaluated. RESULTS: A total of 65 samples were collected from aged under 5 years who were hospitalized with LRTIs and screened for respiratory viruses. Specimens were collected from pediatric ICU (18.5%) and pediatric wards (81.5%). The overall positive rate was 89.2% (58/65). Forty of the patients (61.5%) were positive for a single pathogen, 15 (23.6%) for two, and three (4.6%) for three pathogens. The most common virus was respiratory syncytial virus (RSV) (32.3%), followed by human rhinovirus (HRV) (30.8%). In HRV-positive patients, eosinophil count was higher than that in Influenza A/B- and Human metapneumovirus-positive patients (respectively p=0.014, 0.005). In RSV-positive patients, hospitalization duration and neutrophil, lymphocyte, C-reactive protein level had moderate correlation (respectively; r=0.587; p=0.005, r=-0.436; p=0.038, r=0.498; p=0.022). CONCLUSION: Despite the limited number of participants from a single center, a wide range of causative pathogens were detected in our study. In addition, we found that viral pathogens are common etiologies of LRTIs. To describe the disease etiology in LRTIs, assays using an RT-MPCR respiratory pathogen panel, would be beneficial to the detection of etiology and treatment.</t>
  </si>
  <si>
    <t xml:space="preserve">[Akkoc, Gulsen] Haseki Training &amp; Res Hosp, Dept Pediat, Div Pediat Infect Dis, Istanbul, Turkey; [Dogan, Ceren; Bayraktar, Suleyman; Sahin, Kamil; Elevli, Murat] Haseki Training &amp; Res Hosp, Dept Pediat, Istanbul, Turkey</t>
  </si>
  <si>
    <t xml:space="preserve">Istanbul Haseki Training &amp; Research Hospital; Istanbul Haseki Training &amp; Research Hospital</t>
  </si>
  <si>
    <t xml:space="preserve">Akkoc, G (corresponding author), Haseki Egitim &amp; Arastirma Hastanesi, Cocuk Sagligi &amp; Hastaliklari Anabilim Dali, Cocuk Enfeksiyon Hastaliklari Bilim Dali, Istanbul, Turkey.</t>
  </si>
  <si>
    <t xml:space="preserve">agulsenakkoc@gmail.com</t>
  </si>
  <si>
    <t xml:space="preserve">Sahin, Kamil/ACX-7050-2022; Bayraktar, Suleyman/AAS-3020-2020; Akkoc, Gulsen/AAA-4200-2021</t>
  </si>
  <si>
    <t xml:space="preserve">KARE PUBL</t>
  </si>
  <si>
    <t xml:space="preserve">Goztepe Mah. Fahrettin Kerim Gokay Caddesi. No: 200/A D:2, Cemenzar - Kadkoy, ISTANBUL, TURKEY</t>
  </si>
  <si>
    <t xml:space="preserve">2148-4902</t>
  </si>
  <si>
    <t xml:space="preserve">NORTH CLIN ISTANB</t>
  </si>
  <si>
    <t xml:space="preserve">North. Clin. Istanb.</t>
  </si>
  <si>
    <t xml:space="preserve">10.14744/nci.2021.69923</t>
  </si>
  <si>
    <t xml:space="preserve">0Z6WI</t>
  </si>
  <si>
    <t xml:space="preserve">WOS:000791215800010</t>
  </si>
  <si>
    <t xml:space="preserve">Chou, CA; Lin, TI; Chen, YS; Liu, PY; Huang, YF; Chen, YY; Hsieh, KS; Chen, YS; Ger, LP</t>
  </si>
  <si>
    <t xml:space="preserve">Chou, Chih-An; Lin, Ting-I; Chen, Yu-Shen; Liu, Po-Yen; Huang, Yung-Feng; Chen, Ying-Yao; Hsieh, Kai-Sheng; Chen, Yao-Shen; Ger, Luo-Ping</t>
  </si>
  <si>
    <t xml:space="preserve">Comparisons of etiology and diagnostic tools of lower respiratory tract infections in hospitalized young children in Southern Taiwan in two seasons</t>
  </si>
  <si>
    <t xml:space="preserve">children; lower respiratory tract infection; multiplex polymerase chain reaction; seasonality; Southern Taiwan</t>
  </si>
  <si>
    <t xml:space="preserve">COMMUNITY-ACQUIRED PNEUMONIA; SYNCYTIAL VIRUS-INFECTION; POLYMERASE-CHAIN-REACTION; CLINICAL CHARACTERISTICS; MYCOPLASMA-PNEUMONIAE; HUMAN METAPNEUMOVIRUS; PEDIATRIC INPATIENTS; VIRAL-INFECTIONS; EPIDEMIOLOGY; PCR</t>
  </si>
  <si>
    <t xml:space="preserve">Background: Lower respiratory tract infections (LRTIs) play an important role in pediatric diseases; however, there are limited data about LRTIs in Southern Taiwan. This study aimed to investigate the clinical and epidemiological data of LRTIs in this area. Methods: Children aged under 5 years who were hospitalized at a medical center in Southern Taiwan with acute LRTIs from July 2010 to October 2010 (summer) and from March 2011 to May 2011 (spring) were prospectively enrolled. Nasopharyngeal aspirates were obtained and sent for viral cultures, multiplex polymerase chain reaction (PCR), and traditional quick tests. The clinical features, laboratory data, and imaging findings were recorded and analyzed. Results: A total of 90 children were enrolled, 70 of whom had detectable pathogens. The positive rate of conventional viral and bacterial cultures was 25.6%, which increased to 77.77% after combining with the two multiplex PCR methods. Adenovirus and enterovirus were the most common viral etiologies identified (26.5% of cases) and Streptococcus pneumoniae was the leading bacterial etiology (46.4%). The seasonal trend of viral infections in Southern Taiwan was different from Northern Taiwan. There were no differences in demographic data, severity of disease, or hospital stay between single and mixed infections. A similar result was found between nonpneumococcal and pneumococcal infections. Conclusion: Viral infections were the main etiologies of LRTIs in young children. Multiplex PCR methods are rapid assays that can increase the diagnostic yield rate. Mixed infections do not seem to affect the severity of disease. Early detection may aid clinicians in appropriate decision-making and treatment. Copyright (C) 2014, Taiwan Society of Microbiology. Published by Elsevier Taiwan LLC. This is an open access article under the CC BY-NC-ND license (http://creativecommons.org/licenses/by-nc-nd/4.0/).</t>
  </si>
  <si>
    <t xml:space="preserve">[Chou, Chih-An; Lin, Ting-I; Liu, Po-Yen; Huang, Yung-Feng; Chen, Ying-Yao; Hsieh, Kai-Sheng] Kaohsiung Vet Gen Hosp, Dept Pediat, 386,Dazhong 1st Rd, Kaohsiung 813, Taiwan; [Chen, Yu-Shen] Kaohsiung Vet Gen Hosp, Pingtung Branch, Dept Internal Med, Infect Dis Sect, Pingtung, Taiwan; [Huang, Yung-Feng] Natl Def Med Ctr, Dept Pediat, Triserv Gen Hosp, Taipei, Taiwan; [Chen, Yao-Shen] Kaohsiung Vet Gen Hosp, Infect Dis Sect, Dept Internal Med, Kaohsiung, Taiwan; [Ger, Luo-Ping] Kaohsiung Vet Gen Hosp, Dept Educ &amp; Res, Kaohsiung, Taiwan</t>
  </si>
  <si>
    <t xml:space="preserve">Kaohsiung Veterans General Hospital; Kaohsiung Veterans General Hospital; National Defense Medical Center; Tri-Service General Hospital; Kaohsiung Veterans General Hospital; Kaohsiung Veterans General Hospital</t>
  </si>
  <si>
    <t xml:space="preserve">Kaohsiung Veterans General Hospital [VGHKS 99-CT-7-13]</t>
  </si>
  <si>
    <t xml:space="preserve">This study was funded by Kaohsiung Veterans General Hospital (VGHKS 99-CT-7-13).</t>
  </si>
  <si>
    <t xml:space="preserve">10.1016/j.jmii.2014.08.029</t>
  </si>
  <si>
    <t xml:space="preserve">DT6IV</t>
  </si>
  <si>
    <t xml:space="preserve">WOS:000381588800010</t>
  </si>
  <si>
    <t xml:space="preserve">Santos, RP; Chao, J; Nepo, AG; Butt, S; Stellrecht, KA; Pearce, JM; Lepow, ML</t>
  </si>
  <si>
    <t xml:space="preserve">Santos, Roberto P.; Chao, Jeffery; Nepo, Anne G.; Butt, Shafiq; Stellrecht, Kathleen A.; Pearce, Jennifer M.; Lepow, Martha L.</t>
  </si>
  <si>
    <t xml:space="preserve">The Use of Intravenous Palivizumab for Treatment of Persistent RSV Infection in Children With Leukemia</t>
  </si>
  <si>
    <t xml:space="preserve">children; intravenous palivizumab; leukemia; RSV</t>
  </si>
  <si>
    <t xml:space="preserve">RESPIRATORY SYNCYTIAL VIRUS; HUMAN METAPNEUMOVIRUS; DOWN-SYNDROME; RISK; BRONCHIOLITIS; DISEASES; INFANTS</t>
  </si>
  <si>
    <t xml:space="preserve">Palivizumab is a humanized monoclonal antibody used to decrease the threat of respiratory syncytial virus (RSV) infection among children at high risk. There are no standard guidelines due to conflicting data on palivizumab's use in the treatment of RSV lower respiratory tract infections. Intravenous (IV) palivizumab was shown to be well tolerated and associated with decreased mortality in high-risk children who have RSV disease. However, it did not prevent lower respiratory tract infections and did not affect the survival rate of allogeneic stem cell transplant recipients who had RSV infection. We present 2 children with acute lymphocytic leukemia (ALL) and persistent RSV infection while receiving chemotherapy. Patient A is a 4-year-old male with Down syndrome, ALL, and persistent RSV infection for at least 3 months. Patient B is a 3-year-old female with pre-B cell ALL whose chemotherapy intensification phase was delayed due to a month-long RSV infection. RSV infections were determined by using real-time polymerase chain reaction assays from nasopharyngeal swabs before IV palivizumab therapy; patient A was positive for RSV at 36 cycles and patient B was positive for RSV at 29 cycles. RSV infection was cleared in both patients within 72 hours after receiving IV palivizumab (patient A: 16 mg/kg; patient B: 15 mg/kg). IV palivizumab may be a treatment option for persistent RSV infection among immunocompromised patients. Pediatrics 2012;130:e1695-e1699</t>
  </si>
  <si>
    <t xml:space="preserve">[Santos, Roberto P.; Chao, Jeffery; Nepo, Anne G.; Butt, Shafiq; Stellrecht, Kathleen A.; Pearce, Jennifer M.; Lepow, Martha L.] Albany Med Ctr, Albany, NY 12208 USA</t>
  </si>
  <si>
    <t xml:space="preserve">Albany Medical College</t>
  </si>
  <si>
    <t xml:space="preserve">Santos, RP (corresponding author), Albany Med Ctr, Div Infect Dis, Dept Pediat, 47 New Scotland Ave,MC 88, Albany, NY 12208 USA.</t>
  </si>
  <si>
    <t xml:space="preserve">santosr@mail.amc.edu</t>
  </si>
  <si>
    <t xml:space="preserve">E1695</t>
  </si>
  <si>
    <t xml:space="preserve">E1699</t>
  </si>
  <si>
    <t xml:space="preserve">10.1542/peds.2011-1768</t>
  </si>
  <si>
    <t xml:space="preserve">087YZ</t>
  </si>
  <si>
    <t xml:space="preserve">WOS:000314802000035</t>
  </si>
  <si>
    <t xml:space="preserve">Morrow, BM; Hatherill, M; Smuts, HEM; Yeats, J; Pitcher, R; Argent, AC</t>
  </si>
  <si>
    <t xml:space="preserve">Clinical course of hospitalised children infected with human metapneumovirus and respiratory syncytial virus</t>
  </si>
  <si>
    <t xml:space="preserve">children; human metapneumovirus; respiratory syncytial virus</t>
  </si>
  <si>
    <t xml:space="preserve">TRACT INFECTIONS; YOUNG-CHILDREN; DISEASE; INFANTS; PREVALENCE; ILLNESS; TYPE-1</t>
  </si>
  <si>
    <t xml:space="preserve">To describe the clinical presentation and outcomes of hospitalised patients infected with human metapneumovirus (hMPV) and human respiratory syncytial virus (hRSV) in a tertiary hospital in Cape Town, South Africa. hMPV was identified in 17 respiratory specimens submitted for viral studies during the period 2001-2003. These patients' medical folders were retrospectively reviewed for clinical, radiological and laboratory data, together with a convenience sample of 20 hRSV-infected patients. hMPV-infected patients were older than those infected with hRSV (P = 0.04) and required a longer hospital stay (P = 0.02). Presenting clinical signs and symptoms were similar between groups. Fourteen (87.5%) hMPV- and 16 (80%) hRSV-infected patients presented with co-morbid and/or immunosuppressive conditions (P &gt;= 0.5). The most common abnormalities on chest radiographs in both groups were bronchial wall thickening, focal consolidation and atelectasis. Six (37.5%) hMPV- and 11 (55%) hRSV-infected patients required admission to the paediatric intensive care unit (P &gt; 0.1) with five (31.3%) hMPV- and eight (40%) hRSV-infected patients requiring intubation and ventilation (P &gt; 0.5). Three (18.7%) hMPV-patients and three (15%) hRSV-infected patients died during this admission (P &gt; 0.5). All hMPV-infected patients who died had significant co-morbid conditions. These data confirm that hMPV is a significant respiratory pathogen in this setting, with similar presentation and outcome to hRSV infection. This is the largest report of hMPV infection causing significant morbidity, prolonged hospital stay and death, associated with underlying risk factors.</t>
  </si>
  <si>
    <t xml:space="preserve">Red Cross War Mem Childrens Hosp, Physiotherapy Dept, ZA-7700 Rondebosch, Cape Town, South Africa; Univ Cape Town, Sch Child Hlth &amp; Adolescent Hlth, Div Associates Paediat Disciplines, Cape Town, South Africa; Univ Cape Town, Sch Child &amp; Adolescent Hlth, RCWMCH, ZA-7925 Cape Town, South Africa; Univ Cape Town, Sch Child &amp; Adolescent Hlth, Div Crit Care &amp; Childrens Heart Dis, ZA-7925 Cape Town, South Africa; Univ Cape Town, Natl Hlth Lab Serv, ZA-7925 Cape Town, South Africa; Univ Cape Town, Div Med Virol, ZA-7925 Cape Town, South Africa; Univ Cape Town, Sch Child &amp; Adolescent Hlth, Div Paediat Radiol, ZA-7925 Cape Town, South Africa; Univ Cape Town, Sch Child &amp; Adolescent Hlth, RCWMCH Radiol Dept, ZA-7925 Cape Town, South Africa</t>
  </si>
  <si>
    <t xml:space="preserve">University of Cape Town; University of Cape Town; University of Cape Town; University of Cape Town; University of Cape Town; University of Cape Town; University of Cape Town</t>
  </si>
  <si>
    <t xml:space="preserve">Red Cross War Mem Childrens Hosp, Physiotherapy Dept, Klipfontein Rd, ZA-7700 Rondebosch, Cape Town, South Africa.</t>
  </si>
  <si>
    <t xml:space="preserve">bmorrow@ich.uct.ac.za</t>
  </si>
  <si>
    <t xml:space="preserve">Pitcher, Richard/0000-0003-3910-0749; Morrow, Brenda/0000-0001-5193-918X</t>
  </si>
  <si>
    <t xml:space="preserve">10.1111/j.1440-1754.2006.00825.x</t>
  </si>
  <si>
    <t xml:space="preserve">024UW</t>
  </si>
  <si>
    <t xml:space="preserve">WOS:000236222700006</t>
  </si>
  <si>
    <t xml:space="preserve">Wei, HY; Tsao, KC; Huang, CG; Huang, YC; Lin, TY</t>
  </si>
  <si>
    <t xml:space="preserve">Wei, Hsin-Yi; Tsao, Kuo-Chien; Huang, Chung-Guei; Huang, Yhu-Chering; Lin, Tzou-Yien</t>
  </si>
  <si>
    <t xml:space="preserve">Clinical features of different genotypes/genogroups of human metapneumovirus in hospitalized children</t>
  </si>
  <si>
    <t xml:space="preserve">Children; Genogroups; Genotype; Human metapneumovirus</t>
  </si>
  <si>
    <t xml:space="preserve">RESPIRATORY-TRACT DISEASE; YOUNG-CHILDREN; GENETIC-VARIABILITY; INFECTION; SEVERITY; GENOTYPE; ILLNESS</t>
  </si>
  <si>
    <t xml:space="preserve">Background/Purpose(s): To explore the clinical features of different human metapneumovirus (hMPV) genotypes/genogroups in hospitalized children. Methods: From January 2005 to April 2010, 3313 children's respiratory specimens sent for the detection of respiratory syncytial virus antigen were also tested for hMPV by real time-polymerase chain reaction. Demographics, clinical presentations, and laboratory findings of patients infected with different genotypes/genogroups of hMPV were compared. Results: A total of 725 samples were positive for hMPV (positive rate, 23%). The F gene was sequenced for 279 isolates; of these, genotype A was identified in 51% (A1, 6.1%; A2, 45%) and genotype B in 49% (B1, 19%; B2, 30%). Medical records of 152 hospitalized children were reviewed. Co-infection with other pathogens was 25.7% (39/152). Excluding co-pathogens other than respiratory syncytial virus, a total of 124 children were analyzed. The most common symptoms included cough, fever, rhinorrhea, wheezing and respiratory distress with accessory muscle usage. The main diagnosis was bronchiolitis. The most common chest radiographic findings were increased perihilar infiltrates. No significant difference was found in terms of demographics, clinical manifestations, and laboratoryfindings among the children infected with different serogroups of hMPV. Conclusion: hMPV accounted for a substantial proportion of hospitalized children with lower respiratory tract infection with a high co-infection rate. The A2 subgroup was the most frequently observed, followed by B2. No significant difference was found among patients infected with different genotypes/genogroups of hMPV in terms of clinical manifestations. Copyright (C) 2012, Taiwan Society of Microbiology. Published by Elsevier Taiwan LLC. All rights reserved.</t>
  </si>
  <si>
    <t xml:space="preserve">[Wei, Hsin-Yi; Huang, Yhu-Chering; Lin, Tzou-Yien] Chang Gung Mem Hosp, Dept Pediat, Div Infect Dis, Kaohsiung, Taiwan; [Wei, Hsin-Yi; Tsao, Kuo-Chien; Huang, Chung-Guei; Huang, Yhu-Chering] Chang Gung Univ, Coll Med, Tao Yuan, Taiwan; [Tsao, Kuo-Chien; Huang, Chung-Guei] Chang Gung Mem Hosp, Dept Lab Med, Tao Yuan, Taiwan</t>
  </si>
  <si>
    <t xml:space="preserve">Chang Gung Memorial Hospital; Chang Gung University; Chang Gung Memorial Hospital</t>
  </si>
  <si>
    <t xml:space="preserve">Huang, YC (corresponding author), Chang Gung Childrens Hosp, Dept Pediat, Div Pediat Infect Dis, 5 Fu Shin St, Tao Yuan 333, Taiwan.</t>
  </si>
  <si>
    <t xml:space="preserve">ychuang@adm.cgmh.org.tw</t>
  </si>
  <si>
    <t xml:space="preserve">liu, yuchen/GYQ-6286-2022</t>
  </si>
  <si>
    <t xml:space="preserve">10.1016/j.jmii.2012.07.007</t>
  </si>
  <si>
    <t xml:space="preserve">242BX</t>
  </si>
  <si>
    <t xml:space="preserve">WOS:000326213500006</t>
  </si>
  <si>
    <t xml:space="preserve">Aldemir-Kocabas, B; Karbuz, A; Pekpak, E; Karahan, ZC; Dolapçi, I; Ince, E; Uysal, Z; Yavuz, G; Çiftçi, E; Ince, E</t>
  </si>
  <si>
    <t xml:space="preserve">Aldemir-Kocabas, Bilge; Karbuz, Adem; Pekpak, Esra; Karahan, Zeynep Ceren; Dolapci, Istar; Ince, Elif; Uysal, Zumrut; Yavuz, Gulsan; Ciftci, Ergin; Ince, Erdal</t>
  </si>
  <si>
    <t xml:space="preserve">Effects of respiratory viruses on febrile neutropenia attacks in children</t>
  </si>
  <si>
    <t xml:space="preserve">children; fever; neutropenia; respiratory virus</t>
  </si>
  <si>
    <t xml:space="preserve">CELL TRANSPLANT RECIPIENTS; VIRAL-INFECTIONS; LEUKEMIA; CANCER</t>
  </si>
  <si>
    <t xml:space="preserve">Respiratory tract viruses have an important effect on morbidity and mortality in patients with febrile neutropenia (FN). The aim of this study was to determine frequency and clinical influence of viral respiratory viruses as potential etiologic agents in episodes of FN in children. A total of 100 children (62 boys, 38 girls) with 166 FN episodes were included in this prospective study. Nasopharyngeal aspirate samples were analyzed for respiratory viral agents using multiplex real-time polymerase chain reaction. The origin of the fever could be defined in 111 (67%) of the episodes. We detected viral agents in 86 (51.8%), bacterial agents in 19 (11.4%), and fungal agents in 5 (3%) of the episodes. The most common detected viruses were rhinovirus (n = 27), respiratory syncytial virus (n=17), and coronavirus (n=16). Parainfluenza virus, influenza A and B, adenovirus, human metapneumovirus, enterovirus, bocavirus and parechovirus were the remaining detected agents. More than one virus positivity occurred in 13 FN episodes. Forty-three patients had multiple FN episodes. Only four patients had the same viral agent in consecutive attacks. Respiratory symptoms (cough, nasal discharge and congestion, sneezing, wheezing), physical examination signs (rates and rhonchi) and radiological findings were significantly more common in viral agent positive patients (p &lt; 0.05). This study showed that respiratory viruses make a substantial contribution on the etiology of FN episodes in children. Identifying viral agents may help to constitute individualized infection-management algorithms in these patients.</t>
  </si>
  <si>
    <t xml:space="preserve">[Aldemir-Kocabas, Bilge; Karbuz, Adem; Ciftci, Ergin; Ince, Erdal] Ankara Univ, Fac Med, Dept Pediat Infect Dis, Ankara, Turkey; [Pekpak, Esra; Ince, Elif; Uysal, Zumrut] Ankara Univ, Fac Med, Dept Pediat Hematol, Ankara, Turkey; [Karahan, Zeynep Ceren; Dolapci, Istar] Ankara Univ, Fac Med, Dept Med Microbiol, Ankara, Turkey; [Yavuz, Gulsan] Ankara Univ, Fac Med, Dept Pediat Oncol, Ankara, Turkey</t>
  </si>
  <si>
    <t xml:space="preserve">Ankara University; Ankara University; Ankara University; Ankara University</t>
  </si>
  <si>
    <t xml:space="preserve">Aldemir-Kocabas, B (corresponding author), Ankara Univ, Fac Med, Dept Pediat Infect Dis, Ankara, Turkey.</t>
  </si>
  <si>
    <t xml:space="preserve">drbaldemir@gmail.com</t>
  </si>
  <si>
    <t xml:space="preserve">Pekpak Şahinoğlu, Esra/B-1004-2017; Karahan, Zeynep/C-2519-2015; Dolapci, Istar/A-4761-2018; unal ince, elif/KMA-2790-2024; karbuz, adem/AAP-8731-2021; Ciftci, Ergin/W-2756-2017</t>
  </si>
  <si>
    <t xml:space="preserve">Ciftci, Ergin/0000-0002-4955-160X; ince, elif/0000-0002-6846-6048; Karahan, Zeynep Ceren/0000-0001-7727-3363</t>
  </si>
  <si>
    <t xml:space="preserve">10.24953/turkjped.2017.05.002</t>
  </si>
  <si>
    <t xml:space="preserve">GM7OY</t>
  </si>
  <si>
    <t xml:space="preserve">WOS:000438380400002</t>
  </si>
  <si>
    <t xml:space="preserve">Park, JY; Yun, KW; Lim, JW; Lee, MK; Lim, IS; Choi, ES</t>
  </si>
  <si>
    <t xml:space="preserve">Park, Ji Young; Yun, Ki Wook; Lim, Jae Woo; Lee, Mi Kyung; Lim, In Seok; Choi, Eung Sang</t>
  </si>
  <si>
    <t xml:space="preserve">Clinical and genetic features of human metapneumovirus infection in children</t>
  </si>
  <si>
    <t xml:space="preserve">children; fever; genotype; human metapneumovirus; Korea</t>
  </si>
  <si>
    <t xml:space="preserve">RESPIRATORY SYNCYTIAL VIRUS; TRACT INFECTIONS; EPIDEMIOLOGY; ASSAY</t>
  </si>
  <si>
    <t xml:space="preserve">BackgroundHuman metapneumovirus (hMPV) is one of the main pathogens responsible for respiratory tract infection in children. MethodsFrom 2011 to 2013, nasopharyngeal aspirates were obtained from Korean children and tested for hMPV on reverse transcription-polymerase chain reaction (RT-PCR). The genotype of hMPV in each sample was identified on PCR-restriction length polymorphism analysis of the fusion gene. We divided patients into three groups according to degree of fever. Patients with fever peaking at &gt;39.5 degrees C or lasting &gt;7days were classified as the high fever (HF) group; those with fevers peaking at &lt;38.5 degrees C and lasting &lt;72h were classified as the low fever (LF) group; and the other subjects were classified as the moderate fever group. ResultsAmong 457 samples positive for hMPV, hMPV genotype was able to be identified in 399 (87.3%); of these, A2a was found in 97 (24.3%), B1 in 186 (46.6%), and B2 in 116 (29.1%). Clinical features of hMPV infection were compared between the HF and LF groups. We classified 80 subjects into the HF group and 84 subjects into the LF group. Mean absolute neutrophil count (5625 4418 vs 4072 +/- 3076/L, P = 0.010) and C-reactive protein (2.39 +/- 3.39 vs 0.96 +/- 1.77mg/dL, P = 0.001) were higher in the HF group. Wheezing (5.0% vs 32.1%, P &lt; 0.001) and dyspnea (2.5% vs 15.5%, P = 0.010) were more frequently seen in the LF group. Genotype distribution was similar in the two groups. ConclusionTwo distinct clinical presentations of hMPV infection were identified in this study.</t>
  </si>
  <si>
    <t xml:space="preserve">[Park, Ji Young; Yun, Ki Wook; Lim, In Seok; Choi, Eung Sang] Chung Ang Univ, Coll Med, Dept Pediat, Seoul 156756, South Korea; [Lee, Mi Kyung] Chung Ang Univ, Coll Med, Dept Lab Med, Seoul 156756, South Korea; [Lim, Jae Woo] Emory Univ, Emory Coll Arts &amp; Sci, Neurosci &amp; Behav Biol, Atlanta, GA 30322 USA</t>
  </si>
  <si>
    <t xml:space="preserve">Chung Ang University; Chung Ang University Hospital; Chung Ang University; Chung Ang University Hospital; Emory University</t>
  </si>
  <si>
    <t xml:space="preserve">Yun, KW (corresponding author), Chung Ang Univ, Coll Med, Dept Pediat, Seoul 156756, South Korea.</t>
  </si>
  <si>
    <t xml:space="preserve">pedwilly@gmail.com</t>
  </si>
  <si>
    <t xml:space="preserve">Yun, Ki Wook/0000-0002-0798-6779</t>
  </si>
  <si>
    <t xml:space="preserve">10.1111/ped.12782</t>
  </si>
  <si>
    <t xml:space="preserve">DC6BS</t>
  </si>
  <si>
    <t xml:space="preserve">WOS:000369305300005</t>
  </si>
  <si>
    <t xml:space="preserve">Carman, KB; Calik, M; Karal, Y; Isikay, S; Kocak, O; Ozcelik, A; Yazar, AS; Nuhoglu, C; Sag, C; Kilic, O; Dinleyici, M; Gurlevik, SL; Yimenicioglu, S; Ekici, A; Perk, P; Tosun, A; Isik, I; Yarar, C; Arslantas, D; Dinleyici, EC</t>
  </si>
  <si>
    <t xml:space="preserve">Carman, Kursat Bora; Calik, Mustafa; Karal, Yasemin; Isikay, Sedat; Kocak, Ozan; Ozcelik, Aysima; Yazar, Ahmet Sami; Nuhoglu, Cagatay; Sag, Cigdem; Kilic, Omer; Dinleyici, Meltem; Gurlevik, Sibel Lacinel; Yimenicioglu, Sevgi; Ekici, Arzu; Perk, Peren; Tosun, Ayse; Isik, Ilhan; Yarar, Coskun; Arslantas, Didem; Dinleyici, Ener Cagri</t>
  </si>
  <si>
    <t xml:space="preserve">EFES Study Grp</t>
  </si>
  <si>
    <t xml:space="preserve">Viral etiological causes of febrile seizures for respiratory pathogens (EFES Study)</t>
  </si>
  <si>
    <t xml:space="preserve">children; febrile seizure; infection; respiratory virus; influenza; RSV</t>
  </si>
  <si>
    <t xml:space="preserve">CHILDREN; PREVENTION; INFECTION; INFLUENZA; VIRUSES</t>
  </si>
  <si>
    <t xml:space="preserve">Background: Febrile seizure is the most common childhood neurological disorder, is an important health problem with potential short- and long-term complications, also leading to economic burden and increased parental anxiety about fevers and seizures occurring in their children. There are no routine recommendation to detect etiological causes of FS for neurological perspective, further knowledge about the etiological causes of FS in children will support preventive measures and follow-up strategies. The aim of this study is to evaluate the percentage of respiratory viruses in children with FS. Methods: This prospective multicenter study, entitled Viral etiological causes of febrile seizures for respiratory pathogens (EFES Study) examined representative populations in eight different cities in Turkey between March 1, 2016 and April 1, 2017. Nasopharyngeal swabs were taken from all children at presentation. A respiratory multiplex array was performed to detect for influenza A and B; respiratory syncytial virus A and B; human parainfluenza virus 1-2-3 and 4; human coronavirus 229E and OC43; human rhinovirus; human enterovirus; human adenovirus; human bocavirus; human metapneumovirus. Results: During the study period, at least one virus was detected in 82.7% (144/174) of children with FS. The most frequently detected virus was adenovirus, followed by influenza A and influenza B. Detection of more than one virus was present in 58.3% of the children with FS, and the most common co-existence was the presence of adenovirus and influenza B. In children younger than 12 months, Coronavirus OC43 was the most common, while influenza A was most frequently observed in children older than 48 months (p ). Human bocavirus was common in children who experienced complex FS, while respiratory syncytial virus (RSV) A was more common in children who experienced simple FS. Influenza B virus was the most common virus identified in children who were experiencing their first incidence of FS (p ). Conclusions: This study indicates that respiratory viruses are important in the etiology of FS in children. The results show that antibiotics must be prescribed carefully in children with FS since the majority of cases are related to viral causes. Widespread use of the existing quadrivalent influenza vaccine might be useful for the prevention of FS related to the flu. Further vaccine candidates for potential respiratory pathogens, including RSV, might be helpful for the prevention of FS.</t>
  </si>
  <si>
    <t xml:space="preserve">[Carman, Kursat Bora; Gurlevik, Sibel Lacinel; Yarar, Coskun] Eskisehir Osmangazi Univ, Fac Med, Dept Pediat Neurol, Eskisehir, Turkey; [Calik, Mustafa] Harran Univ, Fac Med, Dept Pediat Neurol, Sanliurfa, Turkey; [Karal, Yasemin] Trakya Univ, Fac Med, Dept Pediat Neurol, Edirne, Turkey; [Isikay, Sedat] Hasan Kalyoncu Univ, Fac Med, Dept Pediat Neurol, Gaziantep, Turkey; [Kocak, Ozan] Samsun Educ &amp; Res Hosp, Dept Pediat Neurol, Samsun, Turkey; [Ozcelik, Aysima; Perk, Peren] Gaziantep Univ, Fac Med, Dept Pediat Neurol, Gaziantep, Turkey; [Yazar, Ahmet Sami] Umraniye Educ &amp; Res Hosp, Dept Pediat, Istanbul, Turkey; [Nuhoglu, Cagatay; Sag, Cigdem] Haydarapasa Numune Educ &amp; Res Hosp, Dept Pediat, Istanbul, Turkey; [Kilic, Omer] Eskisehir Osmangazi Univ, Fac Med, Pediat Infect Dis Unit, Eskisehir, Turkey; [Dinleyici, Meltem] Eskisehir Osmangazi Univ, Fac Med, Dept Social Pediat, Eskisehir, Turkey; [Yimenicioglu, Sevgi] Eskisehir Matern &amp; Children Hosp, Dept Pediat Neurol, Eskisehir, Turkey; [Ekici, Arzu] Bursa Yuksek Ihtisas Training &amp; Res Hosp, Dept Pediat Neurol, Bursa, Turkey; [Tosun, Ayse] Adnan Menderes Univ, Fac Med, Dept Pediat Neurol, Aydin, Turkey; [Isik, Ilhan] Sanliurfa Childrens Hosp, Dept Pediat Neurol, Sanliurfa, Turkey; [Arslantas, Didem] Eskisehir Osmangazi Univ, Fac Med, Dept Publ Hlth, Eskisehir, Turkey; [Dinleyici, Ener Cagri] Eskisehir Osmangazi Univ, Fac Med, Dept Pediat, Eskisehir, Turkey</t>
  </si>
  <si>
    <t xml:space="preserve">Eskisehir Osmangazi University; Harran University; Trakya University; Hasan Kalyoncu University; Samsun Training &amp; Research Hospital; Gaziantep University; Istanbul Umraniye Training &amp; Research Hospital; Eskisehir Osmangazi University; Eskisehir Osmangazi University; Yuksek Ihtisas Training &amp; Research Hospital; Adnan Menderes University; Sanliurfa Child Diseases Hospital; Eskisehir Osmangazi University; Eskisehir Osmangazi University</t>
  </si>
  <si>
    <t xml:space="preserve">Dinleyici, EC (corresponding author), Eskisehir Osmangazi Univ, Fac Med, Dept Pediat, Eskisehir, Turkey.</t>
  </si>
  <si>
    <t xml:space="preserve">timboothtr@yahoo.com</t>
  </si>
  <si>
    <t xml:space="preserve">yarar, coskun/AAV-4339-2020; Cirak, Sebahattin/AAZ-6829-2020; Dinleyici, Meltem/AAW-5349-2020; Yimenicioğlu, Sevgi/AAY-9572-2020; CALIK, Mustafa/Q-8105-2019; özçelik, ayşe/AAG-9578-2020; Dinleyici, Ener/AAF-8688-2019; Yazar, Ahmet/S-2151-2018; Karal, Yasemin/A-6622-2018; laçinel gürlevik, sibel/AGY-8094-2022; Carman, Kursat Bora/V-6663-2017; Nuhoglu, Cagatay/A-3223-2019; Kocak, Ozan/P-7729-2015</t>
  </si>
  <si>
    <t xml:space="preserve">Yarar, Coskun/0000-0001-7462-4578; Dinleyici, Ener Cagri/0000-0002-0339-0134; Carman, Kursat Bora/0000-0002-4629-1873; calik, mustafa/0000-0002-6383-3355; Nuhoglu, Cagatay/0000-0003-2187-4121; Yimenicioglu, Sevgi/0000-0002-1598-4423; Kocak, Ozan/0000-0002-2285-7983</t>
  </si>
  <si>
    <t xml:space="preserve">Eskisehir Osmangazi University</t>
  </si>
  <si>
    <t xml:space="preserve">Eskisehir Osmangazi University(Eskisehir Osmangazi University)</t>
  </si>
  <si>
    <t xml:space="preserve">This study has been supported by a research grant from Eskisehir Osmangazi University.</t>
  </si>
  <si>
    <t xml:space="preserve">10.1080/21645515.2018.1526588</t>
  </si>
  <si>
    <t xml:space="preserve">HO8TK</t>
  </si>
  <si>
    <t xml:space="preserve">WOS:000461231000031</t>
  </si>
  <si>
    <t xml:space="preserve">Shi, T; Huang, LL</t>
  </si>
  <si>
    <t xml:space="preserve">Shi, Ting; Huang, Linlin</t>
  </si>
  <si>
    <t xml:space="preserve">Prevalence of respiratory pathogens and risk of developing pneumonia under non-pharmaceutical interventions in Suzhou, China</t>
  </si>
  <si>
    <t xml:space="preserve">Children; epidemiology; NPIs; pathogens; pneumonia</t>
  </si>
  <si>
    <t xml:space="preserve">CORONAVIRUS DISEASE 2019; SYNCYTIAL VIRUS; MYCOPLASMA-PNEUMONIAE; INFLUENZA; INFECTIONS; CHILDREN; ETIOLOGY; IMPACT</t>
  </si>
  <si>
    <t xml:space="preserve">This study aims to evaluate the impact of non-pharmaceutical interventions (NPIs) on the prevalence of respiratory pathogens among hospitalised children with acute respiratory infections (ARIs) in Suzhou. Children with ARIs admitted to the Children's Hospital of Soochow University between 1 September 2021 and 31 December 2022 and subjected to 13 respiratory pathogen multiplex PCR assays were included in the study. We retrospectively collected demographic details, results of respiratory pathogen panel tests, and discharge diagnostic information of the participants, and described the age and seasonal distribution of respiratory pathogens and risk factors for developing pneumonia. A total of 10,396 children &lt;16 years of age, including 5,905 males and 4,491 females, were part of the study. The positive rates of the 11 respiratory pathogen assays were 23.3% (human rhinovirus (HRV)), 15.9% (human respiratory syncytial virus (HRSV)), 10.5% (human metapneumovirus (HMPV)), 10.3% (human parainfluenza virus (HPIV)), 8.6% (mycoplasma pneumoniae (MP)), 5.8% (Boca), 3.5% (influenza A (InfA)), 2.9% (influenza B (InfB)), 2.7% (human coronavirus (HCOV)), 2.0% (adenovirus (ADV)), and 0.5% (Ch), respectively. Bocavirus and HPIV detection peaked during the period from September to November (autumn), and MP and HMPV peaked in the months of November and December. The peak of InfA detection was found to be in summer (July and August), whereas the InfB peak was observed to be in winter (December, January, and February). HRSV and HRV predominated in the &lt;3 years age group. HRV and HMPV were common in the 3-6 years group, whereas MP was predominant in the &gt;= 6 years group. MP (odds ratio (OR): 70.068, 95%CI: 32.665-150.298, P &lt; 0.01), HMPV (OR: 6.493, 95%CI: 4.802-8.780, P &lt; 0.01), Boca (OR: 3.300, 95%CI: 2.186-4.980, P &lt; 0.01), and HRSV (OR: 2.649, 95%CI: 2.089-3.358, P &lt; 0.01) infections were more likely to develop into pneumonia than the other pathogens. With the use of NPIs, HRV was the most common pathogen in children with ARIs, and MP was more likely to progress to pneumonia than other pathogens.</t>
  </si>
  <si>
    <t xml:space="preserve">[Shi, Ting; Huang, Linlin] Soochow Univ, Childrens Hosp, Dept Infect Dis, Pediat Intens Care Unit, Suzhou, Peoples R China</t>
  </si>
  <si>
    <t xml:space="preserve">Huang, LL (corresponding author), Soochow Univ, Childrens Hosp, Dept Infect Dis, Pediat Intens Care Unit, Suzhou, Peoples R China.</t>
  </si>
  <si>
    <t xml:space="preserve">2231365607@qq.com</t>
  </si>
  <si>
    <t xml:space="preserve">Science and Technology Project of Suzhou, China [SKJY2021106, SKY2022180]</t>
  </si>
  <si>
    <t xml:space="preserve">Science and Technology Project of Suzhou, China</t>
  </si>
  <si>
    <t xml:space="preserve">This study was supported by the Science and Technology Project of Suzhou, China (SKJY2021106 and SKY2022180)</t>
  </si>
  <si>
    <t xml:space="preserve">MAY 2</t>
  </si>
  <si>
    <t xml:space="preserve">e82</t>
  </si>
  <si>
    <t xml:space="preserve">10.1017/S0950268823000626</t>
  </si>
  <si>
    <t xml:space="preserve">H2MQ5</t>
  </si>
  <si>
    <t xml:space="preserve">WOS:000994362200001</t>
  </si>
  <si>
    <t xml:space="preserve">Montero, JI; Berger, A; Levy, J; Busson, L; Hainaut, M; Goetghebuer, T</t>
  </si>
  <si>
    <t xml:space="preserve">Montero, Jonathan Illan; Berger, Alice; Levy, Jack; Busson, Laurent; Hainaut, Marc; Goetghebuer, Tessa</t>
  </si>
  <si>
    <t xml:space="preserve">Retrospective comparison of respiratory syncytial virus and metapneumovirus clinical presentation in hospitalized children</t>
  </si>
  <si>
    <t xml:space="preserve">children; epidemiology; human metapneumovirus; infections; pneumonia; respiratory syncytial virus; TB; viral</t>
  </si>
  <si>
    <t xml:space="preserve">INFECTIONS; RSV; INFLUENZA; FEATURES; DISEASE; IMPACT; SEVERITY; INFANTS; BURDEN; RISK</t>
  </si>
  <si>
    <t xml:space="preserve">Respiratory syncytial virus (RSV) and Human metapneumovirus (hMPV), members of Pneumoviridae family are common causes of acute respiratory tract infections (ARTI) among children. Study material includes routine nasopharyngeal samples obtained during 8-year period for hMPV and one single season for RSV in children hospitalized for ARTI between 0 and 15 years at the Center Hospitalier Universitaire (CHU) Saint Pierre in Brussels. Positive samples for RSV or hMPV identified by viral culture, lateral flow chromatography test for RSV or direct fluorescent assay for hMPV were selected retrospectively. Characteristics of children hospitalized for RSV or hMPV infections were compared. Children hospitalized for RSV infection were significantly younger and requiring more respiratory support, longer hospital stay and transfers in Pediatric intensive Care Units than those hospitalized for hMPV infection. Pneumonia diagnostic and antibiotics therapies were more significantly associated with hMPV infections. In conclusion, despite their genetic similarities, RSV, and hMPV present epidemiological and clinical differences in pediatric infections. Our results should be confirmed prospectively.</t>
  </si>
  <si>
    <t xml:space="preserve">[Montero, Jonathan Illan; Levy, Jack; Hainaut, Marc; Goetghebuer, Tessa] Univ Libre Bruxelles, Dept Pediat, Ctr Hosp Univ St Pierre, Brussels, Belgium; [Berger, Alice] Geneva Univ Hosp, Div Internal Med, Geneva, Switzerland; [Busson, Laurent] Lab Hop Univ Bruxellois, Dept Microbiol, Brussels, Belgium</t>
  </si>
  <si>
    <t xml:space="preserve">Universite Libre de Bruxelles; University of Geneva</t>
  </si>
  <si>
    <t xml:space="preserve">Montero, JI (corresponding author), Ctr Hosp Univ Vaudois CHUV, Dept Pediat, Rue Bugnon 46, CH-1011 Lausanne, Switzerland.</t>
  </si>
  <si>
    <t xml:space="preserve">jonathan.illan@chuv.ch</t>
  </si>
  <si>
    <t xml:space="preserve">ILLAN MONTERO, Jonathan/0000-0001-5123-8973; Berger, Alice Salome Jasmin/0009-0004-1556-7170</t>
  </si>
  <si>
    <t xml:space="preserve">10.1002/ppul.26188</t>
  </si>
  <si>
    <t xml:space="preserve">8G9OH</t>
  </si>
  <si>
    <t xml:space="preserve">WOS:000870288600001</t>
  </si>
  <si>
    <t xml:space="preserve">Kume, Y; Hashimoto, K; Chishiki, M; Norito, S; Suwa, R; Ono, T; Mochizuki, I; Mashiyama, F; Ishibashi, N; Suzuki, S; Sakuma, H; Takahashi, H; Takeda, M; Shirato, K; Hosoya, M</t>
  </si>
  <si>
    <t xml:space="preserve">Kume, Yohei; Hashimoto, Koichi; Chishiki, Mina; Norito, Sakurako; Suwa, Reiko; Ono, Takashi; Mochizuki, Izumi; Mashiyama, Fumi; Ishibashi, Naohisa; Suzuki, Shigeo; Sakuma, Hiroko; Takahashi, Hitoshi; Takeda, Makoto; Shirato, Kazuya; Hosoya, Mitsuaki</t>
  </si>
  <si>
    <t xml:space="preserve">Changes in virus detection in hospitalized children before and after the severe acute respiratory syndrome coronavirus 2 pandemic</t>
  </si>
  <si>
    <t xml:space="preserve">children; epidemiology; hospitalization; human metapneumovirus; influenza virus; SARS-CoV-2</t>
  </si>
  <si>
    <t xml:space="preserve">REAL-TIME PCR; ADENOVIRUSES; SAMPLES</t>
  </si>
  <si>
    <t xml:space="preserve">The impact of strengthening preventive measures against severe acute respiratory syndrome coronavirus 2 (SARS-CoV-2) infection on the prevalence of respiratory viruses in children was examined. After the SARS-CoV-2 pandemic, the rate of multiple virus detection among hospitalized children decreased. Immediately after the SARS-CoV-2 pandemic, respiratory syncytial and parainfluenza viruses were rarely detected and subsequently reemerged. Human metapneumovirus and influenza virus were not consistently detected. Non-enveloped viruses (bocavirus, rhinovirus, and adenovirus) were detected to some extent even after the pandemic. Epidemic-suppressed infectious diseases may reemerge as susceptibility accumulates in the population and should continue to be monitored.</t>
  </si>
  <si>
    <t xml:space="preserve">[Kume, Yohei; Hashimoto, Koichi; Chishiki, Mina; Norito, Sakurako; Ono, Takashi; Hosoya, Mitsuaki] Fukushima Med Univ, Dept Pediat, Fukushima, Japan; [Suwa, Reiko; Takeda, Makoto; Shirato, Kazuya] Natl Inst Infect Dis, Dept Virol 3, Musashimurayama, Japan; [Mochizuki, Izumi; Ishibashi, Naohisa; Suzuki, Shigeo] Ohara Gen Hosp, Dept Pediat, Fukushima, Japan; [Mashiyama, Fumi; Sakuma, Hiroko] Hoshi Gen Hosp, Dept Pediat, Koriyama, Fukushima, Japan; [Takahashi, Hitoshi] Natl Inst Infect Dis, Influenza &amp; Resp Virus Res Ctr, Musashimurayama, Japan</t>
  </si>
  <si>
    <t xml:space="preserve">Fukushima Medical University; National Institute of Infectious Diseases (NIID); National Institute of Infectious Diseases (NIID)</t>
  </si>
  <si>
    <t xml:space="preserve">Hashimoto, K (corresponding author), Fukushima Med Univ, 1 Hikarigaoka, Fukushima 9601295, Japan.</t>
  </si>
  <si>
    <t xml:space="preserve">don@fmu.ac.jp</t>
  </si>
  <si>
    <t xml:space="preserve">Shirato, Kazuya/0000-0002-3375-9799</t>
  </si>
  <si>
    <t xml:space="preserve">Japan Agency for Medical Research and Development [fk0108119h0001]</t>
  </si>
  <si>
    <t xml:space="preserve">Japan Agency for Medical Research and Development, Grant/Award Number: fk0108119h0001</t>
  </si>
  <si>
    <t xml:space="preserve">10.1111/irv.12995</t>
  </si>
  <si>
    <t xml:space="preserve">3L2NJ</t>
  </si>
  <si>
    <t xml:space="preserve">WOS:000788802800001</t>
  </si>
  <si>
    <t xml:space="preserve">Costa, LF; da Silveira, HL; Queiroz, DAO; Mantese, OC; Yokosawa, J</t>
  </si>
  <si>
    <t xml:space="preserve">Costa, Lourenco Faria; da Silveira, Helio Lopes; Oliveira Queiroz, Divina Aparecida; Mantese, Orlando Cesar; Yokosawa, Jonny</t>
  </si>
  <si>
    <t xml:space="preserve">Respiratory virus infections in hospitalized and non-hospitalized children: determinants of severe course of the disease</t>
  </si>
  <si>
    <t xml:space="preserve">Children; comorbidities; hospitalization; non-hospitalization; respiratory viral disease severity</t>
  </si>
  <si>
    <t xml:space="preserve">HUMAN RHINOVIRUS; BRONCHIOLITIS; COINFECTION; CARE</t>
  </si>
  <si>
    <t xml:space="preserve">Introduction: Viral respiratory disease constitutes a great burden worldwide mainly among children. Objective: One pursued to compare disease characteristics of children who required hospitalization from those who did not require hospitalization due to a viral respiratory disease. Methodology: Medical and demographic data were collected through questionnaires and nasopharyngeal aspirates were tested for detection of respiratory disease viruses of in and outpatients up to five years old, presenting acute respiratory infection. Results: Respiratory syncytial virus predominated among hospitalized children while other viruses (Human rhinovirus, Influenza virus, Parainfluenza virus, Adenovirus, and Human metapneumovirus) together predominated among non-hospitalized patients. Although children with underlying risk condition required longer hospitalization, previously healthy children presented severe disease and required hospitalization as well. Also, clinical characteristics were not found that may distinguish RSV infected children who had comorbidities from those previously healthy. Conclusions: Children who were hospitalized due to respiratory distress had well defined characteristics: early age, respiratory syncytial virus infection, bronchiolitis and presence of comorbidity. Nevertheless, rapid respiratory syncytial virus identification among early age children may be of great value in order to avoid medical misconduct, such as unnecessary antibiotic prescription and preventive health care before an eventual clinical worsening encompassing previous health status.</t>
  </si>
  <si>
    <t xml:space="preserve">[Costa, Lourenco Faria] Goias State Univ, Inst Hlth &amp; Biol Sci, Lab Ecol Hlth &amp; Educ, South West Campus,Av 435, BR-75860000 Quirinopolis, Go, Brazil; [Costa, Lourenco Faria; Oliveira Queiroz, Divina Aparecida; Yokosawa, Jonny] Univ Fed Uberlandia, Inst Biomed Sci, Virol Lab, Uberlandia, MG, Brazil; [da Silveira, Helio Lopes; Mantese, Orlando Cesar] Univ Fed Uberlandia, Clin Hosp, Uberlandia, MG, Brazil</t>
  </si>
  <si>
    <t xml:space="preserve">Costa, LF (corresponding author), Goias State Univ, Inst Hlth &amp; Biol Sci, Lab Ecol Hlth &amp; Educ, South West Campus,Av 435, BR-75860000 Quirinopolis, Go, Brazil.</t>
  </si>
  <si>
    <t xml:space="preserve">lourenco.costa@ueg.br</t>
  </si>
  <si>
    <t xml:space="preserve">10.3855/jidc.15117</t>
  </si>
  <si>
    <t xml:space="preserve">ZG9FP</t>
  </si>
  <si>
    <t xml:space="preserve">WOS:000760556800025</t>
  </si>
  <si>
    <t xml:space="preserve">Cantais, A; Mory, O; Pillet, S; Verhoeven, PO; Bonneau, J; Patural, H; Pozzetto, B</t>
  </si>
  <si>
    <t xml:space="preserve">Cantais, Aymeric; Mory, Olivier; Pillet, Sylvie; Verhoeven, Paul O.; Bonneau, Julie; Patural, Hugues; Pozzetto, Bruno</t>
  </si>
  <si>
    <t xml:space="preserve">Epidemiology and microbiological investigations of community-acquired pneumonia in children admitted at the emergency department of a university hospital</t>
  </si>
  <si>
    <t xml:space="preserve">Children; Community-acquired-pneumonia; PCR; Viral pneumonia; Epidemiology</t>
  </si>
  <si>
    <t xml:space="preserve">REAL-TIME PCR; CHILDHOOD PNEUMONIA; IDENTIFICATION; PREVALENCE; PATHOGENS; ETIOLOGY; VIRUSES</t>
  </si>
  <si>
    <t xml:space="preserve">Background: The management of children with community-acquired pneumonia (CAP) is largely influenced by the development of new molecular diagnostic tests that allow the simultaneous detection of a wide range of pathogens. Objectives: Evaluation of a diagnostic approach including multiplex PCR assays for revisiting the epidemiology and etiology of CAP in children at hospital. Study design: Children of all ages consulting at the Emergency Department of the University hospital of Saint-Etienne, France, during the 2012-2013 winter period were included. In addition to bacterial cultures, the following pathogens were detected using biplex commercially-available rt-PCR tests: adenovirus, respiratory syncytial virus, human metapneumovirus, bocavirus, rhinovirus/enterovirus, coronavirus, influenza viruses A and B, parainfluenza viruses, Mycoplasmapneumoniae and Chlamydophila pneumonia. Results: From 85 patients with CAP, at least one pathogen was identified in 81 cases (95.3%), including 4 bacterial exclusive infections (4.7%), 53 viral exclusive infections (62.4%) and 24 mixed infections (28.2%). Coinfection by at least two viruses was observed in 37 cases (43.5%). Mean age was higher in the case of documented bacterial infection (P&lt;0.05). In the subgroup of viral exclusive infection, the mean age of severe cases was 2.0 years vs 3.8 years in mild and moderate cases (P&lt;0.05). Conclusions: These findings highlight the huge proportion of CAP of viral origin, the high number of co-infection by multiple viruses and the low number of bacterial CAP, notably in children under 5 years, and address the need to re-evaluate the indications of empiric antimicrobial treatment in this age group. (C) 2014 Elsevier B.V. All rights reserved.</t>
  </si>
  <si>
    <t xml:space="preserve">[Cantais, Aymeric; Mory, Olivier] Univ Hosp St Etienne, CHU St Etienne, Dept Pediat Emergency, F-42055 St Etienne 02, France; [Pillet, Sylvie; Verhoeven, Paul O.; Bonneau, Julie; Pozzetto, Bruno] Univ Lyon, Fac Med St Etienne, EA3064, Grp Immunite Muqueuses &amp; Agents Pathogenes, F-42023 St Etienne 02, France; [Patural, Hugues] Univ Hosp St Etienne, CHU St Etienne, Pediat Intens Care Unit, F-42055 St Etienne 02, France</t>
  </si>
  <si>
    <t xml:space="preserve">CHU de St Etienne; CHU de St Etienne</t>
  </si>
  <si>
    <t xml:space="preserve">Pozzetto, B (corresponding author), Univ Lyon, Fac Med St Etienne, EA3064, Grp Immunite Muqueuses &amp; Agents Pathogenes, 15 Rue Ambroise Pare, F-42023 St Etienne 02, France.</t>
  </si>
  <si>
    <t xml:space="preserve">bruno.pozzetto@univ-st-etienne.fr</t>
  </si>
  <si>
    <t xml:space="preserve">HUGUES, PATURAL/ABD-4569-2020; Pillet, Sylvie/LFS-1874-2024; Cantais, Aymeric/JVZ-0508-2024; Verhoeven, Paul/ABQ-7251-2022; POZZETTO, Bruno/B-2266-2008</t>
  </si>
  <si>
    <t xml:space="preserve">Pillet, Sylvie/0000-0002-0882-3162; Cantais, Aymeric/0000-0002-8650-2129; Verhoeven, Paul/0000-0003-4352-1263; PATURAL, Hugues/0000-0002-5359-6544; POZZETTO, Bruno/0000-0002-2603-8467</t>
  </si>
  <si>
    <t xml:space="preserve">Medical Association of Pediatricians of the University Hospital of Saint-Etienne for research and studies (ADERPS), France</t>
  </si>
  <si>
    <t xml:space="preserve">The reagents used for the retrospective analysis were funded by a grant from the Medical Association of Pediatricians of the University Hospital of Saint-Etienne for research and studies (ADERPS), France.</t>
  </si>
  <si>
    <t xml:space="preserve">10.1016/j.jcv.2014.05.006</t>
  </si>
  <si>
    <t xml:space="preserve">AO5AS</t>
  </si>
  <si>
    <t xml:space="preserve">WOS:000341353200014</t>
  </si>
  <si>
    <t xml:space="preserve">Esposito, S; Daleno, C; Prunotto, G; Scala, A; Tagliabue, C; Borzani, I; Fossali, E; Pelucchi, C; Principi, N</t>
  </si>
  <si>
    <t xml:space="preserve">Esposito, Susanna; Daleno, Cristina; Prunotto, Giulia; Scala, Alessia; Tagliabue, Claudia; Borzani, Irene; Fossali, Emilio; Pelucchi, Claudio; Principi, Nicola</t>
  </si>
  <si>
    <t xml:space="preserve">Impact of viral infections in children with community-acquired pneumonia: results of a study of 17 respiratory viruses</t>
  </si>
  <si>
    <t xml:space="preserve">Children; community-acquired pneumonia; pediatrics; respiratory infections; respiratory viruses; viral infections</t>
  </si>
  <si>
    <t xml:space="preserve">REAL-TIME PCR; HUMAN BOCAVIRUS; COMPREHENSIVE DETECTION; HEALTHY-CHILDREN; INFLUENZA-VIRUS; FLOCKED SWABS; PANEL FAST; DIAGNOSIS; IDENTIFICATION; ETIOLOGY</t>
  </si>
  <si>
    <t xml:space="preserve">Please cite this paper as: Esposito et al. (2012) Impact of viral infections in children with community-acquired pneumonia: results of a study of 17 respiratory viruses. Influenza and Other Respiratory Viruses DOI: 10.1111/j.1750-2659.2012.00340.x. Background Little is known about the prevalence of viral infections in children with community-acquired pneumonia (CAP). Objectives To describe the clinical and virological data collected from children with radiographically confirmed CAP in whom 17 respiratory viruses were sought in respiratory secretion samples during the acute phase of the disease. Patients and methods The study involved 592 children with radiographically confirmed CAP whose respiratory secretion samples were tested using the Luminex xTAG Respiratory Virus Panel Fast assay, which simultaneously detects influenza A virus, influenza B virus, respiratory syncytial virus (RSV)-A and -B, parainfluenzavirus-1, -2, -3, and -4, adenovirus, human metapneumovirus, coronaviruses 229E, NL63, OC43, and HKU1, enterovirus/rhinovirus, and bocavirus. A real-time PCR assay was used to identify the rhinovirus in the enterovirus/rhinovirus-positive samples. Results A total of 435 children (73.5%) were positive for at least one virus: the most frequently detected was RSV, which was found in 188 (31.7%), followed by rhinovirus (n = 144, 24.3%), bocavirus (n = 60, 10.1%), influenza viruses (n = 57, 9.6), and hMPV (n = 49, 8.2%). Viral co-infections were found in 117 children (19.7% of the enrolled children; 26.9% of those with viral infections). Marginal differences were found between the infections owing to a single virus. Co-infections showed radiographic evidence of alveolar pneumonia significantly more frequently than single infections (OR 1.72, 95% CI 1.052.81). Conclusions The findings of this study highlight the importance of respiratory viruses (mainly RSV and rhinovirus) in children with CAP and show the characteristics of both the single infections and co-infections associated with the disease.</t>
  </si>
  <si>
    <t xml:space="preserve">[Esposito, Susanna; Daleno, Cristina; Prunotto, Giulia; Scala, Alessia; Tagliabue, Claudia; Fossali, Emilio; Principi, Nicola] Univ Milan, Dept Maternal &amp; Pediat Sci, Fdn IRCCS Ca Granda Osped Maggiore Policlin, I-20122 Milan, Italy; [Borzani, Irene] Fdn IRCCS Ca Granda Osped Maggiore Policlin, Pediat Radiol Unit, Milan, Italy; [Pelucchi, Claudio] Ist Ric Farmacol Mario Negri, Dept Epidemiol, Milan, Italy</t>
  </si>
  <si>
    <t xml:space="preserve">University of Milan; IRCCS Ca Granda Ospedale Maggiore Policlinico; IRCCS Ca Granda Ospedale Maggiore Policlinico; Istituto di Ricerche Farmacologiche Mario Negri IRCCS</t>
  </si>
  <si>
    <t xml:space="preserve">Principi, N (corresponding author), Univ Milan, Dept Maternal &amp; Pediat Sci, Fdn IRCCS Ca Granda Osped Maggiore Policlin, Via Commenda 9, I-20122 Milan, Italy.</t>
  </si>
  <si>
    <t xml:space="preserve">nicola.principi@unimi.it</t>
  </si>
  <si>
    <t xml:space="preserve">Borzani, Irene/AAS-3725-2021; Pelucchi, Claudio/AGD-5279-2022; Esposito, Susanna/AAA-8275-2022; Esposito, Susanna/K-3475-2016; Borzani, Irene/K-6368-2016; Fossali, Emilio/K-2200-2015; Tagliabue, Claudia/K-2706-2016</t>
  </si>
  <si>
    <t xml:space="preserve">Pelucchi, Claudio/0000-0003-1425-8945; Esposito, Susanna/0000-0003-4103-2837; Borzani, Irene/0000-0003-0386-4712; Fossali, Emilio/0000-0002-3197-062X; Tagliabue, Claudia/0000-0003-0293-933X</t>
  </si>
  <si>
    <t xml:space="preserve">Italian Ministry of Health (Bando Giovani Ricercatori); Amici del Bambino Malato (ABM) Onlus</t>
  </si>
  <si>
    <t xml:space="preserve">Italian Ministry of Health (Bando Giovani Ricercatori)(Ministry of Health, Italy); Amici del Bambino Malato (ABM) Onlus</t>
  </si>
  <si>
    <t xml:space="preserve">This study was supported by grants from the Italian Ministry of Health (Bando Giovani Ricercatori 2007) and Amici del Bambino Malato (ABM) Onlus.</t>
  </si>
  <si>
    <t xml:space="preserve">10.1111/j.1750-2659.2012.00340.x</t>
  </si>
  <si>
    <t xml:space="preserve">058QZ</t>
  </si>
  <si>
    <t xml:space="preserve">WOS:000312650000006</t>
  </si>
  <si>
    <t xml:space="preserve">Zhu, Y; Xu, BP; Li, CC; Chen, ZM; Cao, L; Fu, Z; Shang, YX; Chen, AH; Deng, L; Bao, YX; Sun, Y; Ning, LM; Yu, SL; Gu, F; Liu, CY; Yin, J; Shen, A; Xie, ZD; Shen, KL</t>
  </si>
  <si>
    <t xml:space="preserve">Zhu, Yun; Xu, Baoping; Li, Changchong; Chen, Zhimin; Cao, Ling; Fu, Zhou; Shang, Yunxiao; Chen, Aihuan; Deng, Li; Bao, Yixiao; Sun, Yun; Ning, Limin; Yu, Shuilian; Gu, Fang; Liu, Chunyan; Yin, Ju; Shen, Adong; Xie, Zhengde; Shen, Kunling</t>
  </si>
  <si>
    <t xml:space="preserve">A Multicenter Study of Viral Aetiology of Community-Acquired Pneumonia in Hospitalized Children in Chinese Mainland</t>
  </si>
  <si>
    <t xml:space="preserve">Children; Community-acquired pneumonia; Multicenter study; Viral aetiology; Multiplex PCR assay</t>
  </si>
  <si>
    <t xml:space="preserve">HUMAN METAPNEUMOVIRUS INFECTION; ACUTE RESPIRATORY-INFECTION; HUMAN BOCAVIRUS; EPIDEMIOLOGY; VIRUSES; PICORNAVIRUSES; ASSOCIATION; FEATURES; INFANTS; ASSAY</t>
  </si>
  <si>
    <t xml:space="preserve">Community-acquired pneumonia (CAP) is one of the leading causes of morbidity and mortality in children worldwide. In this study, we aimed to describe the aetiology of viral infection of pediatric CAP in Chinese mainland. During November 2014 to June 2016, the prospective study was conducted in 13 hospitals. The hospitalized children under 18 years old who met the criteria for CAP were enrolled. The throat swabs or nasopharyngeal aspirates (NPAs) were collected which were then screened 18 respiratory viruses using multiplex PCR assay. Viral pathogens were present in 56.6% (1539/2721) of the enrolled cases, with the detection rate of single virus in 39.8% of the cases and multiple viruses in 16.8% of the cases. The most frequently detected virus was respiratory syncytial virus (RSV) (15.2%, 414/2721). The highest detection rate of virus was in &lt; 6-month-age group (70.7%, 292/413). RSV, human metapneumovirus (HMPV), human parainfluenza viruses (HPIVs) and influenza B virus (Flu B) showed the similar prevalence patterns both in north and south China, but HPIVs, Flu A, human bocavirus (HBoV), human adenovirus (HAdV) and human coronaviruses (HCoVs) showed the distinct circulating patterns in north and south China. Human enterovirus/human rhinovirus (HEV/HRV) (27.6%, 27/98), HBoV (18.4%, 18/98), RSV (16.3%, 16/98) and HMPV (14.3%, 14/98) were the most commonly detected viruses in severe pneumonia cases with single virus infection. In conclusion, viral pathogens are frequently detected in pediatric CAP cases and may therefore play a vital role in the aetiology of CAP. RSV was the most important virus in hospitalized children with CAP in Chinese mainland.</t>
  </si>
  <si>
    <t xml:space="preserve">[Zhu, Yun; Liu, Chunyan; Xie, Zhengde] Capital Med Univ, Beijing Childrens Hosp,Key Lab Major Dis Children, Chinese Acad Med Sci,Beijing Key Lab Pediat Resp, Lab Infect &amp; Virol,Beijing Pediat Res Inst,Res Un, Beijing 100045, Peoples R China; [Xu, Baoping; Yin, Ju] Capital Med Univ, Beijing Childrens Hosp, Dept Resp Dis 1, Natl Clin Res Ctr Resp Dis,Natl Ctr Childrens Hlt, Beijing 100045, Peoples R China; [Li, Changchong] Wenzhou Med Univ, Affiliated Hosp &amp; Yuying Childrens Hosp 2, Wenzhou 325027, Peoples R China; [Chen, Zhimin] Childrens Hosp Zhejiang Univ Sch Med, Hangzhou 310005, Zhejiang, Peoples R China; [Cao, Ling] Childrens Hosp Capital Inst Pediat, Beijing 100020, Peoples R China; [Fu, Zhou] Childrens Hosp Chongqing Med Univ, Chongqing 400015, Peoples R China; [Shang, Yunxiao] Shengjing Hosp China Med Univ, Shenyang 110004, Liaoning, Peoples R China; [Chen, Aihuan] First Affiliated Hosp Guangzhou Med Univ, Guangzhou 510120, Guangdong, Peoples R China; [Deng, Li] Guangzhou Women &amp; Childrens Med Ctr, Guangzhou 510623, Guangdong, Peoples R China; [Bao, Yixiao] Xinhua Hosp Affiliated Shanghai Jiao Tong Univ Sc, Shanghai 200092, Peoples R China; [Sun, Yun] Yinchuan Women &amp; Children Healthcare Hosp, Yinchuan 750000, Ningxia, Peoples R China; [Ning, Limin] Childrens Hosp Changchun, Changchun 130000, Jilin, Peoples R China; [Yu, Shuilian] 2nd Affiliated Hosp Harbin Med Univ, Harbin 150086, Heilongjiang, Peoples R China; [Gu, Fang] Baoding Childrens Hosp, Baoding 071051, Peoples R China; [Shen, Adong] Capital Med Univ, Beijing Childrens Hosp,Natl Clinical Res Ctr Resp, Beijing Key Lab Pediat Resp Infect Dis,Minist Edu, Lab Resp Dis,Beijing Pediat Res Inst,Key Lab Majo, Beijing 100045, Peoples R China; [Shen, Kunling] Capital Med Univ, Beijing Childrens Hosp, Natl Clin Res Ctr Resp Dis, Natl Ctr Childrens Hlth, Beijing 100045, Peoples R China</t>
  </si>
  <si>
    <t xml:space="preserve">Chinese Academy of Medical Sciences - Peking Union Medical College; Capital Medical University; Capital Medical University; Wenzhou Medical University; Capital Institute of Pediatrics (CIP); Capital Medical University; Capital Medical University</t>
  </si>
  <si>
    <t xml:space="preserve">Xie, ZD (corresponding author), Capital Med Univ, Beijing Childrens Hosp,Key Lab Major Dis Children, Chinese Acad Med Sci,Beijing Key Lab Pediat Resp, Lab Infect &amp; Virol,Beijing Pediat Res Inst,Res Un, Beijing 100045, Peoples R China.;Shen, KL (corresponding author), Capital Med Univ, Beijing Childrens Hosp, Natl Clin Res Ctr Resp Dis, Natl Ctr Childrens Hlth, Beijing 100045, Peoples R China.</t>
  </si>
  <si>
    <t xml:space="preserve">xiezhengde@bch.com.cn; kunlingshen1717@163.com</t>
  </si>
  <si>
    <t xml:space="preserve">Wang, Yibin/KEZ-9645-2024; li, yukun/AIB-3253-2022</t>
  </si>
  <si>
    <t xml:space="preserve">National Science and Technology Supported Projects [2013BAI09B11]; National Major Science &amp; Technology Project for Control and Prevention of Major Infectious Diseases in China [2018ZX10201002-008-008, 2017ZX10103004-004]</t>
  </si>
  <si>
    <t xml:space="preserve">National Science and Technology Supported Projects; National Major Science &amp; Technology Project for Control and Prevention of Major Infectious Diseases in China</t>
  </si>
  <si>
    <t xml:space="preserve">This study was supported by National Science and Technology Supported Projects (grant number: 2013BAI09B11), the National Major Science &amp; Technology Project for Control and Prevention of Major Infectious Diseases in China (grant number: 2018ZX10201002-008-008, 2017ZX10103004-004). We would like to thank all participating members of 13 hospitals for their assistance and collaboration in the samples and clinical data collection.</t>
  </si>
  <si>
    <t xml:space="preserve">16 DONGHUANGCHENGGEN NORTH ST, Building 5, Room 411, BEIJING, DONGCHENG DISTRICT 100009, PEOPLES R CHINA</t>
  </si>
  <si>
    <t xml:space="preserve">10.1007/s12250-021-00437-0</t>
  </si>
  <si>
    <t xml:space="preserve">XS1SZ</t>
  </si>
  <si>
    <t xml:space="preserve">WOS:000695758100001</t>
  </si>
  <si>
    <t xml:space="preserve">Hao, OM; Wang, XF; Liu, JP; Shen, KL; Ma, R; Cui, ZZ; Deng, L; Yan, HM; Wang, LN; Liu, ZL; Li, XM; Xu, H; Jiang, ZY; Li, YN; Huang, Y; Zhang, BQ; Feng, XC; He, CH; Jiang, YH; Zhao, X; Wei, W; Wang, Z</t>
  </si>
  <si>
    <t xml:space="preserve">Hao Oumei; Wang Xuefeng; Liu Jianping; Shen Kunling; Ma Rong; Cui Zhenze; Deng Li; Yan Huimin; Wang Lining; Liu Zhaolan; Li Xinmin; Xu Hua; Jiang Zhiyan; Li Yanning; Huang Yan; Zhang Baoqing; Feng Xiaochun; He Chunhui; Jiang Yonghong; Zhao Xue; Wei Wei; Wang Zi</t>
  </si>
  <si>
    <t xml:space="preserve">Etiology of community-acquired pneumonia in 1500 hospitalized children</t>
  </si>
  <si>
    <t xml:space="preserve">children; community-acquired pneumonia; multicenter research; Mycoplasma pneumoniae; respiratory viruses</t>
  </si>
  <si>
    <t xml:space="preserve">PNEUMOCOCCAL CONJUGATE VACCINE; INFLUENZA-LIKE ILLNESSES; CLINICAL CHARACTERISTICS; DIAGNOSIS; IMPACT</t>
  </si>
  <si>
    <t xml:space="preserve">Childhood community-acquired pneumonia (CAP) is a common illness; however, comprehensive studies of hospitalizations for CAP among children in China based on prospective and multicenter data collection are limited. The aim of this investigation was to determine the respiratory pathogens responsible for CAP in hospitalized children. From January to December 2015, oropharyngeal swabs and blood serum were collected from hospitalized children with CAP symptoms ranging in age from 6 months to 14 years at 10 hospitals across China. We used immunofluorescence to detect antibodies for eight respiratory viruses and passive agglutination to detect specific IgM against Mycoplasma pneumoniae (M. pneumoniae). Of 1500 children presenting with CAP, 691 (46.1%) tested positive for at least one pathogen (virus or M. pneumoniae). M. pneumoniae (32.4%) was detected most frequently, followed by respiratory syncytial virus (11.5%), adenovirus (5.0%), influenza A virus (4.1 %), influenza B virus (3.4%), parainfluenza virus types 2 and 3 type (3.1 %), parainfluenza virus type 1 (2.9%), and human metapneumovirus (0.3%). Co-infections were identified in 128 (18.5%) of the 691 cases. These data provide a better understanding of viral etiology and M. pneumoniae in CAP in children between 6 months and 14 years in China. More study of the etiologic investigations that would further aid the management of pneumonia is required. With effective immunization for RSV, ADV, and M. pneumoniae infections, more than one-half of the pneumonia cases in this study could have been prevented.</t>
  </si>
  <si>
    <t xml:space="preserve">[Hao Oumei; Wang Xuefeng; Zhao Xue; Wei Wei; Wang Zi] Liaoning Univ Tradit Chinese Med, Affiliated Hosp, Shenyang, Liaoning, Peoples R China; [Liu Jianping; Liu Zhaolan] Beijing Univ Chinese Med, Evidence Based Med Ctr, Beijing, Peoples R China; [Shen Kunling; Yan Huimin] Capital Med Univ, Beijing Childrens Hosp, Beijing, Peoples R China; [Ma Rong; Li Xinmin] Tianjin Univ Tradit Chinese Med, Affiliated Hosp, Tianjin, Peoples R China; [Cui Zhenze; Huang Yan] Dalian Childrens Hosp, Dalian, Peoples R China; [Deng Li; He Chunhui] Guangzhou Women &amp; Childrens Med Ctr, Guangzhou, Guangdong, Peoples R China; [Wang Lining] Guangxi Univ Tradit Chinese Med, Affiliated Hosp, Nanning, Guangxi, Peoples R China; [Xu Hua] Guangzhou Univ Tradit Chinese Med, Affiliated Hosp, Guangzhou, Guangdong, Peoples R China; [Jiang Zhiyan; Jiang Yonghong] Shanghai Univ Tradit Chinese, Long Hua Hosp, Shanghai, Peoples R China; [Li Yanning; Zhang Baoqing] Shandong Univ Tradit Chinese, Affiliated Hosp, Jinan, Shandong, Peoples R China; [Feng Xiaochun] Changchun Univ Tradit Chinese Med, Affiliated Hosp, Changchun, Jilin, Peoples R China</t>
  </si>
  <si>
    <t xml:space="preserve">Liaoning University of Traditional Chinese Medicine; Beijing University of Chinese Medicine; Capital Medical University; Tianjin University of Traditional Chinese Medicine; Guangxi University of Chinese Medicine; Guangzhou University of Chinese Medicine; Shanghai University of Traditional Chinese Medicine; Shandong University of Traditional Chinese Medicine; Changchun University of Chinese Medicine</t>
  </si>
  <si>
    <t xml:space="preserve">Wang, XF (corresponding author), Liaoning Univ Tradit Chinese Med, Affiliated Hosp, Shenyang, Liaoning, Peoples R China.</t>
  </si>
  <si>
    <t xml:space="preserve">carolyn8483@sina.com</t>
  </si>
  <si>
    <t xml:space="preserve">li, yanqi/HZM-5831-2023; wang, xuefeng/JRW-3520-2023; he, chunhui/KXR-8968-2024; Jiang, Yonghong/GLU-6922-2022; li, yukun/AIB-3253-2022</t>
  </si>
  <si>
    <t xml:space="preserve">12th 5-year Research of National Traditional Chinese Medicine Special Project [201307007]; National Natural Science Foundation of China [81273800]; National Clinical Research Base on Pediatrics in Traditional Chinese Medicine</t>
  </si>
  <si>
    <t xml:space="preserve">12th 5-year Research of National Traditional Chinese Medicine Special Project; National Natural Science Foundation of China(National Natural Science Foundation of China (NSFC)); National Clinical Research Base on Pediatrics in Traditional Chinese Medicine</t>
  </si>
  <si>
    <t xml:space="preserve">The 12th 5-year Research of National Traditional Chinese Medicine Special Project, Grant number: NO. 201307007; National Natural Science Foundation of China, Grant number: NO. 81273800; National Clinical Research Base on Pediatrics in Traditional Chinese Medicine</t>
  </si>
  <si>
    <t xml:space="preserve">10.1002/jmv.24963</t>
  </si>
  <si>
    <t xml:space="preserve">WOS:000419510600005</t>
  </si>
  <si>
    <t xml:space="preserve">Tabatabai, J; Ihling, CM; Manuel, B; Rehbein, RM; Schnee, S; Hoos, J; Pfeil, J; Grulich-Henn, J; Schnitzler, P</t>
  </si>
  <si>
    <t xml:space="preserve">Tabatabai, Julia; Ihling, Clara M.; Manuel, Britta; Rehbein, Rebecca M.; Schnee, Sarah, V; Hoos, Johannes; Pfeil, Johannes; Grulich-Henn, Juergen; Schnitzler, Paul</t>
  </si>
  <si>
    <t xml:space="preserve">Viral Etiology and Clinical Characteristics of Acute Respiratory Tract Infections in Hospitalized Children in Southern Germany (2014-2018)</t>
  </si>
  <si>
    <t xml:space="preserve">children; coinfection; multiplex PCR; respiratory tract infections; viral pathogens</t>
  </si>
  <si>
    <t xml:space="preserve">SYNCYTIAL VIRUS; HUMAN METAPNEUMOVIRUS; DISEASE SEVERITY; EPIDEMIOLOGY; SEASONALITY; INFANTS; IMPACT; PCR; PREVALENCE; INFLUENZA</t>
  </si>
  <si>
    <t xml:space="preserve">Background Viral acute respiratory tract infections (ARTIs) are a leading cause of hospitalization in infants and young children. Methods During the winter seasons of 2014-2018, hospitalized children (&lt;18 years) with symptoms of ARTI were prospectively included at the University Hospital Heidelberg, Germany. Nasopharyngeal swabs were obtained for multiplex molecular analysis of 10 groups of respiratory viruses, and clinical data were obtained using a standardized questionnaire. Results Of 1353 children included in this study, 1142 (84.4%) were positive for &amp; GE;1 viral pathogen. Virus monoinfection was detected in 797 (69.8%) children, whereas 345 (30.2%) children had coinfections with 2-4 viral pathogens. Respiratory syncytial virus (RSV), rhinovirus, and influenza virus were the main pathogens detected. RSV-positive children had significantly more often lower ARTIs, including symptoms of severe cough, wheezing, chest indrawing, tachypnea, and pulmonary rales. Hospitalized children aged &lt;6 months represented the largest age group with detection of &amp; GE;1 viral pathogen (455/528 [86.2%] children). Coinfection was more frequent in younger children and, particularly for RSV with rhinovirus, significantly associated with more severe respiratory symptoms (P = .01). Conclusions A better understanding of the etiology of viral ARTIs among hospitalized children plays a key role for future strategies in prevention, control, and treatment of respiratory viral infections.</t>
  </si>
  <si>
    <t xml:space="preserve">[Tabatabai, Julia; Manuel, Britta; Rehbein, Rebecca M.; Schnee, Sarah, V; Hoos, Johannes; Schnitzler, Paul] Heidelberg Univ, Ctr Infect Dis, Virol, Heidelberg, Germany; [Tabatabai, Julia; Ihling, Clara M.; Manuel, Britta; Rehbein, Rebecca M.; Schnee, Sarah, V; Hoos, Johannes] German Ctr Infect Dis, Heidelberg, Germany; [Tabatabai, Julia; Hoos, Johannes; Grulich-Henn, Juergen] Univ Hosp Heidelberg, Ctr Child &amp; Adolescent Med, Heidelberg, Germany; [Ihling, Clara M.] Ludwig Maximilians Univ Munchen, Dr von Haunersches Kinderspital Univ Hosp, Munich, Germany; [Pfeil, Johannes] Kinder &amp; Hausarztpraxis, Schwaigern, Germany; [Tabatabai, Julia; Schnitzler, Paul] Univ Hosp Heidelberg, Ctr Infect Dis, Virol, Neuenheimer Feld 324, D-69120 Heidelberg, Germany</t>
  </si>
  <si>
    <t xml:space="preserve">Ruprecht Karls University Heidelberg; German Center for Infection Research; Ruprecht Karls University Heidelberg; University of Munich; Ruprecht Karls University Heidelberg</t>
  </si>
  <si>
    <t xml:space="preserve">Tabatabai, J; Schnitzler, P (corresponding author), Univ Hosp Heidelberg, Ctr Infect Dis, Virol, Neuenheimer Feld 324, D-69120 Heidelberg, Germany.</t>
  </si>
  <si>
    <t xml:space="preserve">julia.tabatabai@med.uni-heidelberg.de; paul.schnitzler@med.uni-heidelberg.de</t>
  </si>
  <si>
    <t xml:space="preserve">Tabatabai, Julia/AFQ-1931-2022</t>
  </si>
  <si>
    <t xml:space="preserve">Tabatabai, Julia/0000-0003-3205-9464</t>
  </si>
  <si>
    <t xml:space="preserve">10.1093/ofid/ofad110</t>
  </si>
  <si>
    <t xml:space="preserve">J8NZ5</t>
  </si>
  <si>
    <t xml:space="preserve">WOS:001012150100037</t>
  </si>
  <si>
    <t xml:space="preserve">Kouni, S; Karakitsos, P; Chranioti, A; Theodoridou, M; Chrousos, G; Michos, A</t>
  </si>
  <si>
    <t xml:space="preserve">Kouni, S.; Karakitsos, P.; Chranioti, A.; Theodoridou, M.; Chrousos, G.; Michos, A.</t>
  </si>
  <si>
    <t xml:space="preserve">Evaluation of viral co-infections in hospitalized and non-hospitalized children with respiratory infections using microarrays</t>
  </si>
  <si>
    <t xml:space="preserve">Children; co-infection; epidemiology; infection; microarrays; respiratory; viral</t>
  </si>
  <si>
    <t xml:space="preserve">HUMAN METAPNEUMOVIRUS INFECTIONS; INFLUENZA-LIKE ILLNESSES; SYNCYTIAL VIRUS; DISEASE SEVERITY; TRACT INFECTIONS; YOUNG-CHILDREN; UNITED-STATES; INFANTS; MULTIPLE; SINGLE</t>
  </si>
  <si>
    <t xml:space="preserve">The impact of viral co-infections and recently discovered viruses on the epidemiology of respiratory infections in children is still unclear. To simultaneously detect viruses that are involved in the aetiology of respiratory infections, we used a DNA/RNA microarray assay that identifies 17 different viruses or viral subtypes. Rhinopharyngeal washes were taken from 611 children (aged 1month to 14years) who presented in the emergency department with respiratory infections from June 2010 to June 2011 and were treated as outpatients (299, 48.9%) or hospitalized (312, 51.1%). Lower respiratory tract infection was diagnosed more often in hospitalized children (68% versus 36%, p0.001). Of 397 children in which microarrays detected viral infection (70.1%), a single virus was found in 228 (57.4%) and two or more viruses in 169 (42.5%). The most prevalent viruses among children with positive samples were respiratory syncytial virus (RSV) in 225 (56.6%), parainfluenza virus (PIV) in 118 (29.7%), rhinovirus (RV) in 73 (18.4%), followed by influenza in 56 (14.1%), adenoviruses in 31 (7.8%), bocavirus in 25 (6.3%), human metapneumovirus in 15 (3.7%) and enteroviruses in 12 (3%). Most common viral co-infections were RSVA-RSVB in 46 children (27.2%), RSV-Influenza in 20 (11.8%), RSV-RV in 18 (10.6%) and PIV-RV in 13 (7.7%). Multiple logistic regression analysis revealed that viral co-infections were associated with increased probability for hospitalization (OR 1.52, 95% CI 1.01-2.29, p0.04), and previous pneumococcal vaccination was associated with decreased probability for hospitalization (OR 0.52, 95% CI 0.33-0.81, p0.004). We conclude that viral co-infections are involved in a significant proportion of children with an acute respiratory infection and may increase the severity of clinical presentation and the risk for hospitalization.</t>
  </si>
  <si>
    <t xml:space="preserve">[Kouni, S.; Theodoridou, M.; Chrousos, G.; Michos, A.] Univ Athens, Aghia Sophia Childrens Hosp, Dept Paediat 1, Athens 11526, Greece; [Karakitsos, P.; Chranioti, A.] Univ Hosp Attikon, Dept Cytopathol, Athens, Greece</t>
  </si>
  <si>
    <t xml:space="preserve">The Aghia Sophia Children's Hospital; National &amp; Kapodistrian University of Athens; University Hospital Attikon</t>
  </si>
  <si>
    <t xml:space="preserve">Michos, A (corresponding author), Univ Athens, Aghia Sophia Childrens Hosp, Dept Paediat 1, Athens 11526, Greece.</t>
  </si>
  <si>
    <t xml:space="preserve">amichos@med.uoa.gr</t>
  </si>
  <si>
    <t xml:space="preserve">Michos, Athanasios/H-2389-2012</t>
  </si>
  <si>
    <t xml:space="preserve">Michos, Athanasios/0000-0003-1745-1118</t>
  </si>
  <si>
    <t xml:space="preserve">10.1111/1469-0691.12015</t>
  </si>
  <si>
    <t xml:space="preserve">182RP</t>
  </si>
  <si>
    <t xml:space="preserve">WOS:000321761900026</t>
  </si>
  <si>
    <t xml:space="preserve">Zhong, PP; Zhang, HL; Chen, XF; Lv, FF</t>
  </si>
  <si>
    <t xml:space="preserve">Zhong, Peipei; Zhang, Hailin; Chen, Xiaofang; Lv, Fangfang</t>
  </si>
  <si>
    <t xml:space="preserve">Clinical characteristics of the lower respiratory tract infection caused by a single infection or coinfection of the human parainfluenza virus in children</t>
  </si>
  <si>
    <t xml:space="preserve">children; clinical characteristics; coinfection; human parainfluenza virus; lower respiratory tract infection</t>
  </si>
  <si>
    <t xml:space="preserve">COMMUNITY-ACQUIRED PNEUMONIA; VIRAL COINFECTION; DISEASE SEVERITY; EPIDEMIOLOGY; INFLUENZA; INFANTS; MULTIPLE; BURDEN</t>
  </si>
  <si>
    <t xml:space="preserve">Background Human parainfluenza virus (HPIV), usually combined with other pathogens, causes lower respiratory tract infection (LRTI) in children. However, clinical characteristics of HPIV coinfection with other pathogens were unclear. This study aimed to investigate the viral and atypical bacterial etiology of LRTI in children and compare the clinical characteristics of HPIV single infection with those of coinfection. Methods This study included 1335 patients, aged between 1 to 71 months, diagnosed with LRTI in Yuying Children's Hospital, Zhejiang, China, from December 2013 to June 2015. Nasopharyngeal secretions were collected, and respiratory pathogens were detected using Multiplex polymerase chain reaction. The clinical data of patients were collected and analyzed. Results At least 1 pathogen was detected in 1181/1335 (88.5%) patients. The pathogens identified most frequently were respiratory syncytial virus, human rhinovirus, HPIV, adenovirus, and human metapneumovirus. The coinfection rate was 24.8%. HPIV coinfection with other viruses was more associated with running nose, shortness of breath, and oxygen support compared with HPIV single infection. Moreover, HPIV coinfection with atypical bacteria was more related to running nose, moist rales, and longer hospital duration compared with HPIV single infection, and also to longer hospital duration compared with coinfection with other viruses. Conclusions This study demonstrated that viral infections were highly associated with LRTI and the rate of coinfection was high. HPIV single infection was milder than coinfection with other viruses. Moreover, HPIV coinfection with atypical bacteria was more serious than HPIV single infection and coinfection with other viruses.</t>
  </si>
  <si>
    <t xml:space="preserve">Wenzhou Med Univ, Affiliated Hosp 2, Dept Childrens Respirat Dis, Wenzhou, Zhejiang, Peoples R China; Wenzhou Med Univ, Yuying Childrens Hosp, Wenzhou, Zhejiang, Peoples R China</t>
  </si>
  <si>
    <t xml:space="preserve">Wenzhou Medical University; Wenzhou Medical University</t>
  </si>
  <si>
    <t xml:space="preserve">Zhang, HL (corresponding author), 109 Westrd, Wenzhou 325027, Zhejiang, Peoples R China.</t>
  </si>
  <si>
    <t xml:space="preserve">194048@wzhealth.com</t>
  </si>
  <si>
    <t xml:space="preserve">Science and Technology projects in Zhejiang Province [2015C37026]</t>
  </si>
  <si>
    <t xml:space="preserve">Science and Technology projects in Zhejiang Province</t>
  </si>
  <si>
    <t xml:space="preserve">Science and Technology projects in Zhejiang Province, Grant/Award Number: 2015C37026</t>
  </si>
  <si>
    <t xml:space="preserve">10.1002/jmv.25499</t>
  </si>
  <si>
    <t xml:space="preserve">WOS:000481450500007</t>
  </si>
  <si>
    <t xml:space="preserve">Beka, H; Kilic, A; Unuvar, E; Onel, M; Oguz, F; Sidal, M; Aslan, S; Bozkaya, E; Badur, S; Agacfidan, A</t>
  </si>
  <si>
    <t xml:space="preserve">Beka, Hayati; Kilic, Ayse; Unuvar, Emin; Onel, Mustafa; Oguz, Fatma; Sidal, Mujgan; Aslan, Seyhan; Bozkaya, Emel; Badur, Selim; Agacfidan, Ali</t>
  </si>
  <si>
    <t xml:space="preserve">Frequency of Common Viruses in Etiology of Acute Respiratory Tract Infections</t>
  </si>
  <si>
    <t xml:space="preserve">Children; Chlamydophila pneumoniae; Viral agents; Respiratory tract infections</t>
  </si>
  <si>
    <t xml:space="preserve">SYNCYTIAL VIRUS; HOSPITALIZED CHILDREN; HUMAN METAPNEUMOVIRUS; HUMAN CORONAVIRUS; INFLUENZA-VIRUS; YOUNG-CHILDREN; EPIDEMIOLOGY; SURVEILLANCE; RSV</t>
  </si>
  <si>
    <t xml:space="preserve">Objective To determine the frequency rate of C. pneumoniae, rhinovirus, respiratory syncytial virus (RSV), influenza virus, metapneumovirus, adenovirus', parainfluenza virus and coronavirus in acute respiratory tract infections in children. Methods One hundred nine pediatric patients having respiratory tract infections were included in this study. Real time PCR, DFA and cell culture method were used for detection of C. pneumoniae, RSV antigen and influenza virus respectively. Multiplex PCR was used for detection of other viruses. Results No C. pneumoniae DNA was detected in the samples. Virus was detected in 43 cases from larynx swabs (43/109, 39.4 %). The frequency order of the viral agents detected were as follows; rhinoviruses 14.7 %, RSV B 7.3 %, influenza A 6.4 %, metapneumovirus 3.6 %, adenovirus 3.6 %, coronavirus 0.9 %, parainfluenzavirus type 3, 0.9 %, parainfluenzavirus type 4, 0.9 % and RSV A 0.9 %. Sensitivity of the PCR and DFA methods for the diagnosis of RSV infections were detected as 100 % and 100 %, respectively. Specificity of the PCR and DFA methods for RSV infections were detected as 97 % and 100 % respectively. Sensitivity of the PCR and cell culture methods for influenzavirus infections were detected as 100 % and 100 %, respectively. Specificity of the PCR and DFA methods for RSV infections were detected as 96 % and 100 % respectively. Conclusions Prevalence of viral agents was detected as 39.4 %. Influenza viruses and RSV were common. Metapneumovirus was also frequent (3.6 %). C. pneumoniae was not found to be a common agent for acute respiratory disease in children.</t>
  </si>
  <si>
    <t xml:space="preserve">[Beka, Hayati; Onel, Mustafa; Aslan, Seyhan; Bozkaya, Emel; Badur, Selim; Agacfidan, Ali] Istanbul Univ, Istanbul Fac Med, Dept Microbiol &amp; Clin Microbiol, Istanbul, Turkey; [Kilic, Ayse; Unuvar, Emin; Oguz, Fatma; Sidal, Mujgan] Istanbul Univ, Istanbul Fac Med, Dept Pediat, Istanbul, Turkey; [Unuvar, Emin] Istanbul Tip Fak, Cocuk Sagligi &amp; Hastaliklari Anabilim Dali, TR-34390 Istanbul, Turkey</t>
  </si>
  <si>
    <t xml:space="preserve">Istanbul University; Istanbul University; Istanbul University</t>
  </si>
  <si>
    <t xml:space="preserve">Unuvar, E (corresponding author), Istanbul Tip Fak, Cocuk Sagligi &amp; Hastaliklari Anabilim Dali, TR-34390 Istanbul, Turkey.</t>
  </si>
  <si>
    <t xml:space="preserve">eminu@istanbul.edu.tr</t>
  </si>
  <si>
    <t xml:space="preserve">Ağaçfidan, Ali/AAE-1445-2020; Önel, Mustafa/AAE-1472-2020; beka, hayati/AFJ-8163-2022; Kılıç, Ayşe/AAD-3500-2020</t>
  </si>
  <si>
    <t xml:space="preserve">Istanbul University [477/27122005]</t>
  </si>
  <si>
    <t xml:space="preserve">Istanbul University(Istanbul University)</t>
  </si>
  <si>
    <t xml:space="preserve">This work was supported by a Research Fund of Istanbul University, project number: 477/27122005</t>
  </si>
  <si>
    <t xml:space="preserve">10.1007/s12098-012-0880-z</t>
  </si>
  <si>
    <t xml:space="preserve">109AF</t>
  </si>
  <si>
    <t xml:space="preserve">WOS:000316336800001</t>
  </si>
  <si>
    <t xml:space="preserve">Vliora, C; Papadakis, V; Doganis, D; Tourkantoni, N; Paisiou, A; Kottaridi, C; Kourlamba, G; Zaoutis, T; Kosmidis, H; Kattamis, A; Polychronopoulou, S; Goussetis, E; Giannouli, G; Syridou, G; Priftis, K; Papaevangelou, V</t>
  </si>
  <si>
    <t xml:space="preserve">Vliora, Christianna; Papadakis, Vassilios; Doganis, Dimitrios; Tourkantoni, Natalia; Paisiou, Anna; Kottaridi, Christine; Kourlamba, Georgia; Zaoutis, Theoklis; Kosmidis, Helen; Kattamis, Antonis; Polychronopoulou, Sophia; Goussetis, Evgenios; Giannouli, Georgia; Syridou, Garyfallia; Priftis, Kostas; Papaevangelou, Vassiliki</t>
  </si>
  <si>
    <t xml:space="preserve">A prospective study on the epidemiology and clinical significance of viral respiratory infections among pediatric oncology patients</t>
  </si>
  <si>
    <t xml:space="preserve">PEDIATRIC HEMATOLOGY AND ONCOLOGY</t>
  </si>
  <si>
    <t xml:space="preserve">Children; chemotherapy; oncology; respiratory; virus</t>
  </si>
  <si>
    <t xml:space="preserve">STEM-CELL TRANSPLANT; ACUTE LYMPHOBLASTIC-LEUKEMIA; SOLID-ORGAN TRANSPLANT; HUMAN BOCAVIRUS; HUMAN METAPNEUMOVIRUS; TRACT INFECTIONS; VIRUS-INFECTIONS; CANCER-PATIENTS; RISK-FACTORS; CHILDREN</t>
  </si>
  <si>
    <t xml:space="preserve">Respiratory infections in oncology are both common and potentially severe. However, there is still a gap in the literature, regarding the epidemiology of viral respiratory infections in children with cancer. We prospectively enrolled 224 patients, from September 2012 to August 2015. The cohort included children with hematologic or solid malignancies receiving chemotherapy, or undergoing hemopoietic stem cell transplantation, outpatients/inpatients exhibiting signs/symptoms of febrile/afebrile upper/lower respiratory infection. Viral infection was diagnosed by detection of &gt;= 1 viruses from a sample at time of enrollment, using the CLART (R) PneumoVir kit (GENOMICA, Spain). Alpha detailed questionnaire including demographics and medical history was also completed. Samples were processed in batches, results were communicated as soon as they became available. Children recruited in whom no virus was detected composed the no virus detected group. Viral prevalence was 38.4% in children presenting with respiratory illness. A single virus was found in 30.4%, with RSV being the most frequent. Viral coinfections were detected in 8%. Children with viral infection were more likely to be febrile upon enrollment and to present with lower respiratory signs/symptoms. They had longer duration of illness and they were more likely to receive antibiotics/antifungals. Only 22% of children with influenza received oseltamivir. Mortality was low (2.7%), however, pediatric intensive care unit (PICU) admission and death were correlated with virus detection. In our study mortality was low and PICU admission was related to virus identification. Further research is needed to clarify whether antibiotics in virus-proven infection are of value and underline the importance of oseltamivir's timely administration in influenza.</t>
  </si>
  <si>
    <t xml:space="preserve">[Vliora, Christianna; Giannouli, Georgia; Syridou, Garyfallia; Priftis, Kostas; Papaevangelou, Vassiliki] Natl &amp; Kapodistrian Univ Athens, ATTIKON Univ Hosp, Dept Pediat 3, Rimini 1 Chaidari, Athens 12462, Greece; [Papadakis, Vassilios; Polychronopoulou, Sophia] Aghia Sofia Childrens Hosp, Dept Pediat Hematol Oncol, Athens, Greece; [Doganis, Dimitrios; Kosmidis, Helen] PA Kyriakou Childrens Hosp, Oncol Dept, Athens, Greece; [Tourkantoni, Natalia; Kattamis, Antonis] Natl &amp; Kapodistrian Univ Athens, Aghia Sofia Childrens Hosp, Dept Pediat 1, Hematol Oncol Unit, Athens, Greece; [Paisiou, Anna; Goussetis, Evgenios] Aghia Sofia Childrens Hosp, Stem Cell Transplant Unit, Athens, Greece; [Kottaridi, Christine] Attikon Univ Hosp, Cytol Lab, Athens, Greece; [Kourlamba, Georgia; Zaoutis, Theoklis] Natl &amp; Kapodistrian Univ Athens, Stavros Niarchos Fdn, Collaborat Ctr Clin Epidemiol &amp; Outcomes Res CLEO, Athens, Greece; [Kourlamba, Georgia; Zaoutis, Theoklis] Natl &amp; Kapodistrian Univ Athens, Dept Pediat 1, Athens, Greece; [Kourlamba, Georgia; Zaoutis, Theoklis] Natl &amp; Kapodistrian Univ Athens, Dept Pediat 2, Athens, Greece</t>
  </si>
  <si>
    <t xml:space="preserve">University Hospital Attikon; National &amp; Kapodistrian University of Athens; The Aghia Sophia Children's Hospital; The Aghia Sophia Children's Hospital; National &amp; Kapodistrian University of Athens; The Aghia Sophia Children's Hospital; University Hospital Attikon; National &amp; Kapodistrian University of Athens; National &amp; Kapodistrian University of Athens; National &amp; Kapodistrian University of Athens</t>
  </si>
  <si>
    <t xml:space="preserve">Vliora, C (corresponding author), Natl &amp; Kapodistrian Univ Athens, ATTIKON Univ Hosp, Dept Pediat 3, Rimini 1 Chaidari, Athens 12462, Greece.</t>
  </si>
  <si>
    <t xml:space="preserve">xristiannavliora@gmail.com</t>
  </si>
  <si>
    <t xml:space="preserve">Syridou, Garyfallia/ACH-4822-2022</t>
  </si>
  <si>
    <t xml:space="preserve">Kottaridi, Christine/0000-0003-0979-3871; Syridou, Garyfallia/0000-0002-1412-9441</t>
  </si>
  <si>
    <t xml:space="preserve">ESPID Small grant for 2 consecutive years</t>
  </si>
  <si>
    <t xml:space="preserve">This prospective study received the ESPID Small grant for 2 consecutive years 2012 and 2013.</t>
  </si>
  <si>
    <t xml:space="preserve">0888-0018</t>
  </si>
  <si>
    <t xml:space="preserve">1521-0669</t>
  </si>
  <si>
    <t xml:space="preserve">PEDIATR HEMAT ONCOL</t>
  </si>
  <si>
    <t xml:space="preserve">Pediatr. Hematol. Oncol.</t>
  </si>
  <si>
    <t xml:space="preserve">10.1080/08880018.2019.1613462</t>
  </si>
  <si>
    <t xml:space="preserve">JUN 2019</t>
  </si>
  <si>
    <t xml:space="preserve">II9ID</t>
  </si>
  <si>
    <t xml:space="preserve">WOS:000475234600001</t>
  </si>
  <si>
    <t xml:space="preserve">Rhedin, S; Lindstrand, A; Rotzén-Östlund, M; Tolfvenstam, T; Öhrmalm, L; Rinder, MR; Zweygberg-Wirgart, B; Ortqvist, A; Henriques-Normark, B; Broliden, K; Naucler, P</t>
  </si>
  <si>
    <t xml:space="preserve">Rhedin, Samuel; Lindstrand, Ann; Rotzen-Ostlund, Maria; Tolfvenstam, Thomas; Ohrmalm, Lars; Rinder, Malin Ryd; Zweygberg-Wirgart, Benita; Ortqvist, Ake; Henriques-Normark, Birgitta; Broliden, Kristina; Naucler, Pontus</t>
  </si>
  <si>
    <t xml:space="preserve">Clinical Utility of PCR for Common Viruses in Acute Respiratory Illness</t>
  </si>
  <si>
    <t xml:space="preserve">children; case-control study; etiology; respiratory illness; viral infections</t>
  </si>
  <si>
    <t xml:space="preserve">HUMAN METAPNEUMOVIRUS INFECTION; HUMAN BOCAVIRUS; FREQUENT DETECTION; TRACT INFECTION; CHILDREN; PNEUMONIA; BURDEN; CORONAVIRUS; BACTERIA; ETIOLOGY</t>
  </si>
  <si>
    <t xml:space="preserve">BACKGROUND:Acute respiratory illness (ARI) accounts for a large proportion of all visits to pediatric health facilities. Quantitative real-time polymerase chain reaction (qPCR) analyses allow sensitive detection of viral nucleic acids, but it is not clear to what extent specific viruses contribute to disease because many viruses have been detected in asymptomatic children. Better understanding of how to interpret viral findings is important to reduce unnecessary use of antibiotics.OBJECTIVE:To compare viral qPCR findings from children with ARI versus asymptomatic control subjects.METHODS:Nasopharyngeal aspirates were collected from children aged 5 years with ARI and from individually matched, asymptomatic, population-based control subjects during a noninfluenza season. Samples were analyzed by using qPCR for 16 viruses.RESULTS:Respiratory viruses were detected in 72.3% of the case patients (n = 151) and 35.4% of the control subjects (n = 74) (P = .001). Rhinovirus was the most common finding in both case patients and control subjects (47.9% and 21.5%, respectively), with a population-attributable proportion of 0.39 (95% confidence interval: 0.01 to 0.62). Metapneumovirus, parainfluenza viruses, and respiratory syncytial virus were highly overrepresented in case patients. Bocavirus was associated with ARI even after adjustment for coinfections with other viruses and was associated with severe disease. Enterovirus and coronavirus were equally common in case patients and control subjects.CONCLUSIONS:qPCR detection of respiratory syncytial virus, metapneumovirus, or parainfluenza viruses in children with ARI is likely to be causative of disease; detection of several other respiratory viruses must be interpreted with caution due to high detection rates in asymptomatic children.</t>
  </si>
  <si>
    <t xml:space="preserve">[Rhedin, Samuel; Tolfvenstam, Thomas; Ohrmalm, Lars; Broliden, Kristina; Naucler, Pontus] Karolinska Univ Hosp, Dept Med Solna, Infect Dis Unit, Ctr Mol Med,Karolinska Inst, Stockholm, Sweden; [Lindstrand, Ann; Henriques-Normark, Birgitta] Swedish Inst Communicable Dis Control, Stockholm, Sweden; [Rotzen-Ostlund, Maria; Zweygberg-Wirgart, Benita; Henriques-Normark, Birgitta] Stockholm Karolinska Univ Hosp, Dept Clin Microbiol, Stockholm, Sweden; [Tolfvenstam, Thomas; Naucler, Pontus] Stockholm Karolinska Univ Hosp, Dept Infect Dis, Stockholm, Sweden; [Ortqvist, Ake] Stockholm Karolinska Univ Hosp, Dept Med Solna, Infect Dis Unit, Stockholm, Sweden; [Rinder, Malin Ryd; Ortqvist, Ake] Stockholm Karolinska Univ Hosp, Dept Communicable Dis Control &amp; Prevent, Stockholm, Sweden; [Zweygberg-Wirgart, Benita] Sachs Children &amp; Youth Hosp, Karolinska Inst, South Gen Hosp, Dept Clin Sci &amp; Educ, Stockholm, Sweden; [Rotzen-Ostlund, Maria; Henriques-Normark, Birgitta] Karolinska Inst, Dept Microbiol Tumor &amp; Cell Biol, S-17176 Stockholm, Sweden</t>
  </si>
  <si>
    <t xml:space="preserve">Karolinska Institutet; Karolinska University Hospital; Swedish Institute for Infectious Disease Control; Karolinska Institutet; Karolinska University Hospital; Karolinska Institutet; Karolinska University Hospital; Karolinska Institutet; Karolinska University Hospital; Karolinska Institutet; Karolinska University Hospital; Karolinska Institutet; Karolinska Institutet</t>
  </si>
  <si>
    <t xml:space="preserve">Rhedin, S (corresponding author), Karolinska Inst, Ctr Mol Med, Infect Dis Unit, L8 01, S-17176 Stockholm, Sweden.</t>
  </si>
  <si>
    <t xml:space="preserve">samuel.rhedin@ki.se</t>
  </si>
  <si>
    <t xml:space="preserve">Arthur Rhedin, Samuel/H-4653-2019</t>
  </si>
  <si>
    <t xml:space="preserve">Rhedin, Samuel Arthur/0000-0001-5798-2875; Tolfvenstam, Thomas/0000-0003-3549-8083; Ryd Rinder, Malin/0000-0002-2947-4117</t>
  </si>
  <si>
    <t xml:space="preserve">Karolinska Institutet</t>
  </si>
  <si>
    <t xml:space="preserve">Karolinska Institutet(Karolinska Institutet)</t>
  </si>
  <si>
    <t xml:space="preserve">This work was supported by grants from the Karolinska Institutet.</t>
  </si>
  <si>
    <t xml:space="preserve">E538</t>
  </si>
  <si>
    <t xml:space="preserve">E545</t>
  </si>
  <si>
    <t xml:space="preserve">10.1542/peds.2013-3042</t>
  </si>
  <si>
    <t xml:space="preserve">WOS:000335330700031</t>
  </si>
  <si>
    <t xml:space="preserve">Masoud, K; Hanna-Wakim, R; Zaraket, H; Kharroubi, S; Araj, GF; Matar, GM; Dbaibo, G</t>
  </si>
  <si>
    <t xml:space="preserve">Masoud, Khaldoun; Hanna-Wakim, Rima; Zaraket, Hassan; Kharroubi, Samer; Araj, George F.; Matar, Ghassan M.; Dbaibo, Ghassan</t>
  </si>
  <si>
    <t xml:space="preserve">Viral Etiology of Acute Respiratory Infections in Pediatric Patients in Lebanon</t>
  </si>
  <si>
    <t xml:space="preserve">MEDITERRANEAN JOURNAL OF HEMATOLOGY AND INFECTIOUS DISEASES</t>
  </si>
  <si>
    <t xml:space="preserve">Children Viral infections; Respiratory; Luminex; Molecular diagnosis</t>
  </si>
  <si>
    <t xml:space="preserve">HUMAN-METAPNEUMOVIRUS; SYNCYTIAL VIRUS; TRACT INFECTION; INFLUENZA; INFANTS; IDENTIFICATION; SYMPTOMS; CHILDREN; BURDEN; IMPACT</t>
  </si>
  <si>
    <t xml:space="preserve">Background: Acute respiratory infections (ARI) are the leading cause of death worldwide, especially among children. The majority of these infections in children are of viral etiology. In this study, we evaluated the incidence of viral ARI among children in Lebanon. Patients and Methods: Children presenting with symptoms of ARI were prospectively recruited between September 2009 to February 2012. Nasopharyngeal aspirates were obtained from patients and screened for 11 respiratory viruses using a multiplex Luminex-based PCR assay. Results: Two hundred twenty-one patients were recruited with a median age of 1 year (IQR: 0 - 5). Out of 221 patients, 116 (52.5%) were positive for at least one virus, the majority (103/116; 88.8%) of which were in children under 6-year of age. Overall, 188 viruses were detected. Rhinovirus (RhV) was the most common virus detected in 81 (69.8%) patients followed by coxsackie virus and echovirus (CVEV) which were detected as one target in the panel in 45 (38.8%), and parainfluenza viruses (PIV types: 1, 2, 3, 4) in 24 (20.7%) patients. Coinfection with more than one virus was detected in 49 (42.9%) patients. RhV and CVEV were the most common viruses associated with co-infections and higher risk of rhinorrhea. Conclusions: Viral pathogens account for at least half of the ARIs in Lebanon, with a high frequency of co-infections being detected.</t>
  </si>
  <si>
    <t xml:space="preserve">[Masoud, Khaldoun; Hanna-Wakim, Rima; Zaraket, Hassan; Araj, George F.; Matar, Ghassan M.; Dbaibo, Ghassan] Amer Univ Beirut, Ctr Infect Dis Res, Beirut, Lebanon; [Hanna-Wakim, Rima; Dbaibo, Ghassan] Amer Univ Beirut, Dept Pediat &amp; Adolescent Med, Beirut, Lebanon; [Zaraket, Hassan; Matar, Ghassan M.] Amer Univ Beirut, Dept Expt Pathol Immunol &amp; Microbiol, Beirut, Lebanon; [Kharroubi, Samer; Araj, George F.] Amer Univ Beirut, Fac Agr &amp; Food Sci, Dept Nutr &amp; Food Sci, Beirut, Lebanon; Amer Univ Beirut, Dept Pathol &amp; Lab Med, Beirut, Lebanon</t>
  </si>
  <si>
    <t xml:space="preserve">American University of Beirut; American University of Beirut; American University of Beirut; American University of Beirut; American University of Beirut</t>
  </si>
  <si>
    <t xml:space="preserve">Dbaibo, G (corresponding author), Amer Univ Beirut, Ctr Infect Dis Res, Beirut, Lebanon.</t>
  </si>
  <si>
    <t xml:space="preserve">gdbaibo@aub.edu.lb</t>
  </si>
  <si>
    <t xml:space="preserve">Kharroubi, Samer/AAQ-4583-2020; Dbaibo, Ghassan/X-2978-2019</t>
  </si>
  <si>
    <t xml:space="preserve">MATTIOLI 1885</t>
  </si>
  <si>
    <t xml:space="preserve">FIDENZA</t>
  </si>
  <si>
    <t xml:space="preserve">VIA DELLA LODESANA 649-SX, FIDENZA, 43046 PR, ITALY</t>
  </si>
  <si>
    <t xml:space="preserve">2035-3006</t>
  </si>
  <si>
    <t xml:space="preserve">MEDITERR J HEMATOL I</t>
  </si>
  <si>
    <t xml:space="preserve">Med. J. Hematol. Infect. Dis.</t>
  </si>
  <si>
    <t xml:space="preserve">NOV 1</t>
  </si>
  <si>
    <t xml:space="preserve">e2019059</t>
  </si>
  <si>
    <t xml:space="preserve">10.4084/MJHID.2019.059</t>
  </si>
  <si>
    <t xml:space="preserve">Hematology; Infectious Diseases</t>
  </si>
  <si>
    <t xml:space="preserve">JS3ZO</t>
  </si>
  <si>
    <t xml:space="preserve">WOS:000500247200002</t>
  </si>
  <si>
    <t xml:space="preserve">Lv, GJ; Shi, LM; Liu, Y; Sun, XC; Mu, K</t>
  </si>
  <si>
    <t xml:space="preserve">Lv, Guojian; Shi, Limei; Liu, Yi; Sun, Xuecheng; Mu, Kai</t>
  </si>
  <si>
    <t xml:space="preserve">Epidemiological characteristics of common respiratory pathogens in children</t>
  </si>
  <si>
    <t xml:space="preserve">Children respiratory tract infection; Multiple PCR detection of respiratory tract; Pathogens; Positive detection rates</t>
  </si>
  <si>
    <t xml:space="preserve">Children's respiratory tract infection is a common disease affecting children's health, our purpose is to describe the epidemiological characteristics of common pathogens of children's respiratory tract infection in central Shandong, China, and compare them with those in other parts of world, so as to summarize the rules of children's respiratory tract infection in central Shandong, and provide scientific basis for health departments to prevent and treat local children's respiratory tract infection. Sputum, tracheal aspirate, alveolar lavage fluid and other samples of 4804 children admitted to wards of Zibo Maternal and Child Health Hospital for treatment of respiratory tract infection from June 2019 to December 2022 were collected, and 12 common respiratory tract pathogens were detected by PCR capillary electrophoresis fragment analysis, two bacteria (Streptococcus pneumoniae, Haemophilus influenzae), two atypical pathogens (Mycoplasma Pneumoniae, Chlamydia Pneumoniae) and eight viruses (Human rhinovirus, Respiratory Syncytial Virus, Influenza A Virus, Parainfluenza Virus, Human metapneumovirus, Human boca virus, Human coronavirus, Influenza B virus) were included, the positive detection rate of single pathogen, the proportion of each type of respiratory tract mixed infection and the positive detection rate of single pathogen in different ages and seasons were analyzed statistically. (1)Among 4804 children with respiratory tract infection, the total positive rate was 77.87% (3741/4804), the positive rate of single pathogen was 43.40% (1656/4804), Streptococcus pneumoniae, Rhinovirus and Respiratory syncytial virus were the highest, there were 2085 cases of mixed infection with two or more pathogens, the positive rate was 43.40%. (2) The positive rates of infection in infant group (0-1 years old), infant group (1-3 years old), preschool group and school age group (3 years old-) were roughly the same, the infection rates of Streptococcus pneumoniae, Respiratory syncytial virus and Parainfluenza virus in infant group, Rhinovirus in infant group, Influenza A virus, Chlamydia pneumoniae, Mycoplasma pneumoniae and Haemophilus influenzae in school age group were higher than those in other groups, the difference was statistically significant (P &lt; 0.05). (3) The positive detection rates of spring, summer, autumn and winter groups were 43.58%, 38.64%, 33.73% and 29.27%, respectively, the positive rates of Streptococcus pneumoniae and Haemophilus influenzae in spring group, Mycoplasma pneumoniae in summer group, Rhinovirus, Respiratory syncytial virus and Influenza A virus in autumn group, Chlamydia pneumoniae, Boca virus and Influenza B virus in winter group were higher than those in other seasons, and the differences were statistically significant (P &lt; 0.05). The pathogen detection rate of children varies with age and season, and the prevention and treatment of a certain respiratory pathogen infection must be combined with its raging season and age rule.</t>
  </si>
  <si>
    <t xml:space="preserve">[Lv, Guojian; Liu, Yi; Sun, Xuecheng; Mu, Kai] Zibo Maternal &amp; Child Hlth Hosp, Med Genet, Zibo 255000, Peoples R China; [Shi, Limei] Zibo Hosp Tradit Chinese Med, Clin Lab, Zibo 255000, Peoples R China</t>
  </si>
  <si>
    <t xml:space="preserve">Mu, K (corresponding author), Zibo Maternal &amp; Child Hlth Hosp, Med Genet, Zibo 255000, Peoples R China.</t>
  </si>
  <si>
    <t xml:space="preserve">mk214@163.com</t>
  </si>
  <si>
    <t xml:space="preserve">The National Key Research and Development Program of China</t>
  </si>
  <si>
    <t xml:space="preserve">The National Key Research and Development Program of China(National Key Research &amp; Development Program of China)</t>
  </si>
  <si>
    <t xml:space="preserve">10.1038/s41598-024-65006-3</t>
  </si>
  <si>
    <t xml:space="preserve">ZA4Q5</t>
  </si>
  <si>
    <t xml:space="preserve">WOS:001272561200012</t>
  </si>
  <si>
    <t xml:space="preserve">Tural, DA; Yalcin, E; Emiralioglu, N; Ozsezen, B; Alp, A; Sunman, B; Gozmen, O; Dogru, D; Ozcelik, U; Kiper, N</t>
  </si>
  <si>
    <t xml:space="preserve">Tural, Dilber Ademhan; Yalcin, Ebru; Emiralioglu, Nagehan; Ozsezen, Beste; Alp, Alpaslan; Sunman, Birce; Gozmen, Onur; Dogru, Deniz; Ozcelik, Ugur; Kiper, Nural</t>
  </si>
  <si>
    <t xml:space="preserve">Human bocavirus and human metapneumovirus in children with lower respiratory tract infections: Effects on clinical, microbiological features and disease severity</t>
  </si>
  <si>
    <t xml:space="preserve">childhood; human bocavirus; human metapneumovirus; lower respiratory infection; pneumonia</t>
  </si>
  <si>
    <t xml:space="preserve">HOSPITALIZED CHILDREN; YOUNG-CHILDREN; MORBIDITY; VIRUSES</t>
  </si>
  <si>
    <t xml:space="preserve">Background We aimed to compare the clinical findings of human bocavirus (HBoV) and human metapneumovirus (HMPV) infections, and to analyze the effects of coinfections on clinical features and disease severity in children with HBoV and HMPV infections. Methods Data were collected from 125 children with lower respiratory tract infections due to HBoV or HMPV, detected from nasal swap by real-time polymerase chain reaction (PCR) during the period from January, 2013 to December, 2017. In total, there were 101 HBoV (group 1) and 23 HMPV (group 2) infections in our data. The patients were further divided into four subgroups according to the coinfection status: HoBV only (subgroup 1, n = 41), HMPV only (subgroup 2, n = 19), HBoV and coinfection with other respiratory viruses (subgroup 3, n = 60), and HMPV and coinfection with other respiratory viruses (subgroup 4, n = 4). Results The majority (88.8%) of the patients were aged 5 years or younger. Coinfections with other respiratory viruses were significantly more common in group 1 (P = 0.001). Among patients who had nosocomial pneumonia, patients with HBoV infections had significantly longer mean length of hospital stay (LOS) than those with HMPV infections (P = 0.032). The hospitalization and antibiotic requirements were significantly higher in subgroup 1 than subgroup 3 (P = 0.005, 0.039, resp.) According to the logistic regression analyses, the LOS increased by 21.7 times with HBoV infections (P = 0.006). Conclusions Human bocavirus and HMPV infections are serious pathogens mostly seen in children and usually requiring hospitalization regardless of co-infection status. The HBoV infections caused longer LOS than the HMPV infections in patients with nosocomial infections.</t>
  </si>
  <si>
    <t xml:space="preserve">[Tural, Dilber Ademhan; Yalcin, Ebru; Emiralioglu, Nagehan; Ozsezen, Beste; Sunman, Birce; Dogru, Deniz; Ozcelik, Ugur; Kiper, Nural] Hacettepe Univ, Ihsan Dogramaci Childrens Hosp, Sch Med, Dept Pediat Pulmonol, Ankara, Turkey; [Alp, Alpaslan] Hacettepe Univ, Sch Med, Dept Med Microbiol, Ankara, Turkey; [Gozmen, Onur] Hacettepe Univ, Ihsan Dogramaci Childrens Hosp, Sch Med, Dept Pediat, Ankara, Turkey</t>
  </si>
  <si>
    <t xml:space="preserve">Tural, DA (corresponding author), Hacettepe Univ, Ihsan Dogramaci Childrens Hosp, Sch Med, Dept Pediat Pulmonol, Ankara, Turkey.</t>
  </si>
  <si>
    <t xml:space="preserve">dilberademhan@gmail.com</t>
  </si>
  <si>
    <t xml:space="preserve">Ademhan Tural, Dilber/AAD-9054-2022; Kiper, N/I-9089-2013; Emiralioglu, Nagehan/S-7221-2016; Dogru, Deniz/AAG-8365-2019; Ozsezen, Beste/HNB-4721-2023; ALP, ALPASLAN/I-8366-2013</t>
  </si>
  <si>
    <t xml:space="preserve">Ademhan Tural, Dilber/0000-0002-0334-6336; ALP, ALPASLAN/0000-0001-7856-7590; Ozcelik, Ugur/0000-0003-1587-5216; Dogru, Deniz/0000-0001-9931-9473; Kiper, Nural/0000-0003-1261-7393; Ozsezen, Beste/0000-0002-0052-8361</t>
  </si>
  <si>
    <t xml:space="preserve">e15102</t>
  </si>
  <si>
    <t xml:space="preserve">10.1111/ped.15102</t>
  </si>
  <si>
    <t xml:space="preserve">1M8FM</t>
  </si>
  <si>
    <t xml:space="preserve">WOS:000800201400001</t>
  </si>
  <si>
    <t xml:space="preserve">Fielding, BC</t>
  </si>
  <si>
    <t xml:space="preserve">Fielding, Burtram C.</t>
  </si>
  <si>
    <t xml:space="preserve">Human coronavirus NL63: a clinically important virus?</t>
  </si>
  <si>
    <t xml:space="preserve">childhood viral infections; clinical features; HCoV-NL63; human coronavirus; lower respiratory tract infection; respiratory viruses; upper respiratory tract infection</t>
  </si>
  <si>
    <t xml:space="preserve">RESPIRATORY-TRACT INFECTIONS; REAL-TIME PCR; HUMAN METAPNEUMOVIRUS; HOSPITALIZED CHILDREN; KAWASAKI-DISEASE; SYNCYTIAL VIRUS; HUMAN BOCAVIRUS; YOUNG-CHILDREN; FREQUENT DETECTION; KOREAN CHILDREN</t>
  </si>
  <si>
    <t xml:space="preserve">Respiratory tract infection is a leading cause of morbidity and mortality worldwide, especially among young children. Human coronaviruses (HCoVs) have only recently been shown to cause both lower and upper respiratory tract infections. To date, five coronaviruses (HCoV-229E, HCoV-OC43, SAPS-CoV, HCoV-NL63 and HCoV HKU-1) that infect humans have been identified, four of which (HCoV-229E, HCoV-OC43, HCoV-NL63 and HCoV-HKU-1) circulate continuously in the human population. Human coronavirus NL63 (HCoV-NL63) was first isolated from the aspirate from a 7-month-old baby in early 2004. Infection with HCoV-NL63 has since been shown to be a common worldwide occurrence and has been associated with many clinical symptoms and diagnoses, including severe lower respiratory tract infection, croup and bronchiolitis. HCoV-NL63 causes disease in children, the elderly and the immunocompromised, and has been detected in 1.0-9.3% of respiratory tract infections in children. In this article, the current knowledge of human coronavirus HCoV-NL63, with special reference to the clinical features, prevalence and seasonal incidence, and coinfection with other respiratory viruses, will be discussed.</t>
  </si>
  <si>
    <t xml:space="preserve">Univ Western Cape, Mol Virol Res Lab, Dept Med Biosci, Fac Nat Sci, ZA-7535 Bellville, Western Cape, South Africa</t>
  </si>
  <si>
    <t xml:space="preserve">University of the Western Cape</t>
  </si>
  <si>
    <t xml:space="preserve">Fielding, BC (corresponding author), Univ Western Cape, Mol Virol Res Lab, Dept Med Biosci, Fac Nat Sci, Private Bag X17,Modderdam Rd, ZA-7535 Bellville, Western Cape, South Africa.</t>
  </si>
  <si>
    <t xml:space="preserve">bfielding@uwc.ac.za</t>
  </si>
  <si>
    <t xml:space="preserve">Fielding, Burtram/S-3240-2019</t>
  </si>
  <si>
    <t xml:space="preserve">Fielding, Burtram/0000-0002-1873-3363</t>
  </si>
  <si>
    <t xml:space="preserve">National Research Foundation (South Africa); University of the Western Cape</t>
  </si>
  <si>
    <t xml:space="preserve">National Research Foundation (South Africa)(National Research Foundation - South Africa); University of the Western Cape</t>
  </si>
  <si>
    <t xml:space="preserve">The author receives funding from the National Research Foundation (South Africa) and the University of the Western Cape Senate Research Fund. The author has no other relevant affiliations or financial involvement with any organization or entity with a financial interest in or financial conflict with the subject matter or materials discussed in the manuscript apart from those disclosed.</t>
  </si>
  <si>
    <t xml:space="preserve">10.2217/FMB.10.166</t>
  </si>
  <si>
    <t xml:space="preserve">737SP</t>
  </si>
  <si>
    <t xml:space="preserve">WOS:000288588800010</t>
  </si>
  <si>
    <t xml:space="preserve">Zar, HJ</t>
  </si>
  <si>
    <t xml:space="preserve">Pneumonia in HIV-infected and HIV-uninfected children in developing countries: epidemiology, clinical features, and management</t>
  </si>
  <si>
    <t xml:space="preserve">childhood pneumonia; developing countries; HIV</t>
  </si>
  <si>
    <t xml:space="preserve">RESPIRATORY-TRACT INFECTIONS; PNEUMOCYSTIS-CARINII-PNEUMONIA; GAMBIAN CHILDREN; AFRICAN CHILDREN; INTEGRATED MANAGEMENT; HUMAN METAPNEUMOVIRUS; CHILDHOOD ILLNESS; CONJUGATE VACCINE; ETIOLOGY; DISEASE</t>
  </si>
  <si>
    <t xml:space="preserve">Purpose of review Pneumonia is a leading cause of illness and death in children younger than 5 years in developing countries, accounting for approximately 20% of childhood deaths. The HIV epidemic has sharply increased the incidence, severity, and mortality of childhood pneumonia in the developing world, particularly in sub-Saharan Africa. This article reviews recent findings on the epidemiology, clinical features, and management of HIV-infected and -uninfected children with pneumonia in developing countries. Recent findings Bacterial infection remains a major cause of pneumonia mortality; in HIV-infected children, a broader spectrum of pathogens including gram-negative infections and Pneumocystis jiroveci occurs. Mycobacterium tuberculosis is an important cause of acute pneumonia among children from high tuberculosis prevalence areas. Use of case management guidelines substantially reduces neonatal, infant, and under-5 mortality and pneumonia-specific mortality in developing countries. New advances in therapy include the use of short-course antibiotics and high-dose amoxicillin twice daily for ambulatory treatment of HIV-negative children with pneumonia. New preventive interventions include the development of conjugate vaccines against Streptococcus pneumoniae and Haemophilus influenzae, but these are not widely affordable nor available in developing countries. Despite a lower efficacy in HIV-infected children, these vaccines still protect against disease in a significant proportion of children. Available preventive interventions including micronutrient supplementation with zinc and vitamin A, and immunization as contained in the WHO Expanded Program of Immunization can substantially reduce the burden of childhood pneumonia. Summary Urgent measures to implement existing available, effective interventions for prevention and treatment of childhood pneumonia and achieve high coverage rates in developing countries are needed.</t>
  </si>
  <si>
    <t xml:space="preserve">Univ Cape Town, Red Cross War Mem Childrens Hosp, Sch Child &amp; Adolescent Hlth, Dept Pediat Pulmonol, ZA-7700 Rondebosch, South Africa</t>
  </si>
  <si>
    <t xml:space="preserve">Univ Cape Town, Red Cross War Mem Childrens Hosp, Sch Child &amp; Adolescent Hlth, Dept Pediat Pulmonol, 5th Floor,ICH Bldg, ZA-7700 Rondebosch, South Africa.</t>
  </si>
  <si>
    <t xml:space="preserve">hzars@ich.uct.ac.za</t>
  </si>
  <si>
    <t xml:space="preserve">10.1097/00063198-200405000-00006</t>
  </si>
  <si>
    <t xml:space="preserve">814KA</t>
  </si>
  <si>
    <t xml:space="preserve">WOS:000220972400005</t>
  </si>
  <si>
    <t xml:space="preserve">Dong, ZH; Myklebust, Å; Johnsen, IB; Jartti, T; Dollner, H; Risnes, K; DeWan, AT</t>
  </si>
  <si>
    <t xml:space="preserve">Dong, Zihan; Myklebust, Asne; Johnsen, Ingvild Bjellmo; Jartti, Tuomas; Dollner, Henrik; Risnes, Kari; DeWan, Andrew T.</t>
  </si>
  <si>
    <t xml:space="preserve">Type 2 cytokine genes as allergic asthma risk factors after viral bronchiolitis in early childhood</t>
  </si>
  <si>
    <t xml:space="preserve">childhood asthma; viral respiratory infection; bronchiolitis; type 2 cytokines; genetic risk factors; gene-environment interaction (G x E)</t>
  </si>
  <si>
    <t xml:space="preserve">THYMIC STROMAL LYMPHOPOIETIN; HUMAN METAPNEUMOVIRUS; AIRWAY INFLAMMATION; EPITHELIAL-CELLS; ASSOCIATION; TSLP; TEZEPELUMAB; EXPRESSION; INFECTION; PROMOTES</t>
  </si>
  <si>
    <t xml:space="preserve">BackgroundGenome-wide association studies of asthma have identified associations with variants in type-2 related genes. Also, specific interactions between genetic variants and viral bronchiolitis in the development of asthma has been suggested. ObjectiveTo conduct a gene-based analysis of genetic variants in type 2 cytokine related genes as risk factors for allergic asthma at school age, and further, to study their interaction with specific viral infections in early childhood. MethodsA prospectively investigated cohort of children with previous bronchiolitis and controls came for follow-up at school age. The research visit, blinded to viral exposure, included detailed lung function tests, laboratory investigation, and questionnaires. Allergic asthma was defined as typical symptoms plus objective variable airway obstruction, in addition to laboratory verified atopy (elevated eosinophil count or sensitization to an allergen). Targeted and complete sequencing was performed for nine type 2 cytokine candidate genes: IL4, 5, 13, 25, 33 and 37, IL17RB, CRLF2 and TSLP. ResultsAt follow-up, there were 109 children with genetic data, 91 with a history of bronchiolitis (46% respiratory syncytial virus, 24% human rhinovirus, 15% human metapneumovirus and 14% mixed viral etiology) and 18 without. The median age was 9.4 years (range 6-13) and 41 (38%) had laboratory verified atopy. Twenty-one children (19%) met the definition of allergic asthma. After adjusting for age, sex and five viral categories, IL33 achieved nominal significance (p = 0.017) for a positive association with allergic asthma development. In the gene-virus interaction analysis, the variant set in IL17RB demonstrated a nominally significant positive interaction with human metapneumovirus infection (p=0.05). ConclusionThe results highlight the multifactorial nature of allergic asthma risk, with both viral infection and inherited genetic variants contributing to increasing risk. Results for IL33 and IL17RB were nominally significant and are potential candidate targets for designing therapeutics and early screening, but these results must be replicated in an independent study.</t>
  </si>
  <si>
    <t xml:space="preserve">[Dong, Zihan] Yale Sch Publ Hlth, Dept Biostat, New Haven, CT USA; [Dong, Zihan; DeWan, Andrew T.] Yale Sch Publ Hlth, Ctr Perinatal, Pediat &amp; Environm Epidemiol, New Haven, CT 06510 USA; [Myklebust, Asne; Dollner, Henrik; Risnes, Kari] St Olav Hosp, Childrens Clin, Univ Hosp, Trondheim, Norway; [Myklebust, Asne; Johnsen, Ingvild Bjellmo; Dollner, Henrik; Risnes, Kari] Norwegian Univ Sci &amp; Technol, Dept Clin &amp; Mol Med, Trondheim, Norway; [Jartti, Tuomas] Univ Oulu, PEDEGO Res Unit, Oulu, Finland; [Jartti, Tuomas] Oulu Univ Hosp, Dept Pediat &amp; Adolescent Med, Oulu, Finland; [Jartti, Tuomas] Turku Univ Hosp, Dept Pediat &amp; Adolescent Med, Turku, Finland; [Jartti, Tuomas] Univ Turku, Turku, Finland; [DeWan, Andrew T.] Yale Sch Publ Hlth, Dept Chron Dis Epidemiol, New Haven, CT 06510 USA</t>
  </si>
  <si>
    <t xml:space="preserve">Yale University; Yale University; Norwegian University of Science &amp; Technology (NTNU); Norwegian University of Science &amp; Technology (NTNU); University of Oulu; University of Oulu; University of Turku; University of Turku; Yale University</t>
  </si>
  <si>
    <t xml:space="preserve">DeWan, AT (corresponding author), Yale Sch Publ Hlth, Ctr Perinatal, Pediat &amp; Environm Epidemiol, New Haven, CT 06510 USA.;Risnes, K (corresponding author), St Olav Hosp, Childrens Clin, Univ Hosp, Trondheim, Norway.;Risnes, K (corresponding author), Norwegian Univ Sci &amp; Technol, Dept Clin &amp; Mol Med, Trondheim, Norway.;DeWan, AT (corresponding author), Yale Sch Publ Hlth, Dept Chron Dis Epidemiol, New Haven, CT 06510 USA.</t>
  </si>
  <si>
    <t xml:space="preserve">kari.risnes@ntnu.no; andrew.dewan@.yale.edu</t>
  </si>
  <si>
    <t xml:space="preserve">Liaison Committee for Education, Research, and Innovationin Central Norway (Samarbeidsorganet); Faculty of Medicine and Health Sciences; NTNU; Children's Clinic,St Olav University Hospital</t>
  </si>
  <si>
    <t xml:space="preserve">Liaison Committee for Education, Research, and Innovationin Central Norway (Samarbeidsorganet); The Faculty of Medicine and Health Sciences, NTNU and Children's Clinic,St Olav University Hospital</t>
  </si>
  <si>
    <t xml:space="preserve">JAN 6</t>
  </si>
  <si>
    <t xml:space="preserve">10.3389/fimmu.2022.1054119</t>
  </si>
  <si>
    <t xml:space="preserve">8A8AR</t>
  </si>
  <si>
    <t xml:space="preserve">WOS:000916456700001</t>
  </si>
  <si>
    <t xml:space="preserve">Xepapadaki, P; Papadopoulos, NG</t>
  </si>
  <si>
    <t xml:space="preserve">Xepapadaki, P.; Papadopoulos, N. G.</t>
  </si>
  <si>
    <t xml:space="preserve">Childhood asthma and infection: virus-induced exacerbations as determinants and modifiers</t>
  </si>
  <si>
    <t xml:space="preserve">Childhood asthma; exacerbation; infections; virus</t>
  </si>
  <si>
    <t xml:space="preserve">BRONCHIAL EPITHELIAL-CELLS; RESPIRATORY-TRACT INFECTIONS; RHINOVIRUS INFECTION; MYCOPLASMA-PNEUMONIAE; VIRAL-INFECTIONS; CHLAMYDOPHILA-PNEUMONIAE; HUMAN METAPNEUMOVIRUS; HOSPITALIZED INFANTS; PRESCHOOL-CHILDREN; SEPTEMBER EPIDEMIC</t>
  </si>
  <si>
    <t xml:space="preserve">Respiratory infections have been implicated in the origin and exacerbation of asthma in a variety of ways; however, systemisation of this knowledge in a way helpful for disease management remains suboptimal. Several conceptual issues need to be taken into account: the fact that the effects of an infection may vary according to genetic background, the current immune status of the host, and parallel environmental stimuli, in addition to the particular infectious agent itself. Moreover, childhood is a very special period because of the continuous processes taking place, such as neural, immune and respiratory maturation. Epidemiological studies have convincingly demonstrated that the majority of asthma exacerbations, in both adults and children, follow viral upper respiratory tract infections. Asthma exacerbations are still often unresponsive to current asthma treatment, and new therapeutic approaches are required. This review presents current knowledge on the associations between infection and exacerbation of established asthma with respect to definitions, epidemiology, mechanisms and treatment.</t>
  </si>
  <si>
    <t xml:space="preserve">[Papadopoulos, N. G.] Univ Athens, Dept Allergy, Res Labs, Paediat Clin 2, Athens 11527, Greece</t>
  </si>
  <si>
    <t xml:space="preserve">Papadopoulos, NG (corresponding author), Univ Athens, Dept Allergy, Res Labs, Paediat Clin 2, 41 Fidippidou, Athens 11527, Greece.</t>
  </si>
  <si>
    <t xml:space="preserve">Papadopoulos, Nikolaos/L-8670-2013</t>
  </si>
  <si>
    <t xml:space="preserve">Papadopoulos, Nikolaos/0000-0002-4448-3468</t>
  </si>
  <si>
    <t xml:space="preserve">442 GLOSSOP RD, SHEFFIELD S10 2PX, ENGLAND</t>
  </si>
  <si>
    <t xml:space="preserve">1399-3003</t>
  </si>
  <si>
    <t xml:space="preserve">10.1183/09031936.00149009</t>
  </si>
  <si>
    <t xml:space="preserve">647EY</t>
  </si>
  <si>
    <t xml:space="preserve">WOS:000281601800030</t>
  </si>
  <si>
    <t xml:space="preserve">DeJonge, PM; Monto, AS; Malosh, RE; Petrie, JG; Callear, A; Segaloff, HE; Truscon, R; Johnson, E; Cheng, BN; Cranis, M; Tiseo, K; Foote, S; Musci, A; Martin, ET</t>
  </si>
  <si>
    <t xml:space="preserve">DeJonge, Peter M.; Monto, Arnold S.; Malosh, Ryan E.; Petrie, Joshua G.; Callear, Amy; Segaloff, Hannah E.; Truscon, Rachel; Johnson, Emileigh; Cheng, Bonnie; Cranis, Mara; Tiseo, Katie; Foote, Sydney; Musci, Adrienne; Martin, Emily T.</t>
  </si>
  <si>
    <t xml:space="preserve">Comparing the Etiology of Viral Acute Respiratory Illnesses Between Children Who Do and Do Not Attend Childcare</t>
  </si>
  <si>
    <t xml:space="preserve">childcare; ARI; respiratory viruses; adenovirus; human metapneumovirus; rhinovirus</t>
  </si>
  <si>
    <t xml:space="preserve">INFLUENZA VACCINE EFFECTIVENESS; HUMAN METAPNEUMOVIRUS; TRACT INFECTIONS; ADENOVIRUS INFECTIONS; DISEASE SEVERITY; EPIDEMIOLOGY; VIRUSES; COMMUNITY; MULTIPLE; INFANTS</t>
  </si>
  <si>
    <t xml:space="preserve">Background and Objective:Childcare attendance is a common risk factor for acute respiratory illness (ARI) in young children. Our goal was to better understand the specific respiratory viruses that predominate in childcare, which may support the development of tailored illness prevention and intervention strategies in childcare settings. Methods:Using data from a prospective household cohort of ARI surveillance, we assessed specimen from 1418 ARIs reported by 359 childcare-aged children over 6 study seasons (2012/2013 through 2017/2018). Respiratory swabs were tested by polymerase chain reaction for 9 respiratory viruses. A mixed-effect logistic regression model was used to compare odds of various viral detection outcomes. The Shannon's Diversity index was used to compare the richness (ie, number of species) and diversity (ie, relative species abundance) associated with respiratory viruses detected in both groups. Results:At least 1 virus was detected in 75.5% of childcare-associated ARIs and in 80.1% of homecare ARIs. Compared with illnesses among homecare children, childcare illnesses were associated with significantly higher odds of detected adenovirus (odds ratio = 1.86, 95% confidence interval = 1.05-3.28) and human metapneumovirus (odds ratio = 1.76, 95% confidence interval = 1.03-3.0). The pool of viruses associated with childcare ARI was found to be significantly richer and more diverse than that of viruses associated with homecare ARI (P &lt; 0.0001). Conclusions:Children attending childcare experience a higher risk of adenovirus and human metapneumovirus infection and are regularly exposed to a rich and diverse pool of respiratory viruses in childcare environments. Our results underscore the necessity of thorough and multifaceted viral prevention strategies in childcare settings.</t>
  </si>
  <si>
    <t xml:space="preserve">[DeJonge, Peter M.; Monto, Arnold S.; Malosh, Ryan E.; Callear, Amy; Truscon, Rachel; Johnson, Emileigh; Cheng, Bonnie; Cranis, Mara; Tiseo, Katie; Foote, Sydney; Martin, Emily T.] Univ Michigan, Sch Publ Hlth, Dept Epidemiol, Ann Arbor, MI USA; [Petrie, Joshua G.] Marshfield Clin Res Inst, Ctr Clin Epidemiol &amp; Populat Hlth, Marshfield, WI USA; [Segaloff, Hannah E.] Wisconsin Dept Hlth Serv, Bur Communicable Dis, Madison, WI USA; [Musci, Adrienne] Michigan Med, Dept Pediat, Ann Arbor, MI USA; [Martin, Emily T.] Univ Michigan, Sch Publ Hlth, Dept Epidemiol, M5132 SPH II,1415 Washington Hts, Ann Arbor, MI 48109 USA</t>
  </si>
  <si>
    <t xml:space="preserve">University of Michigan System; University of Michigan; University of Michigan System; University of Michigan</t>
  </si>
  <si>
    <t xml:space="preserve">Martin, ET (corresponding author), Univ Michigan, Sch Publ Hlth, Dept Epidemiol, M5132 SPH II,1415 Washington Hts, Ann Arbor, MI 48109 USA.</t>
  </si>
  <si>
    <t xml:space="preserve">peterdej@umich.edu; asmonto@umich.edu; MaloshR@michigan.gov; petrie.joshua@marshfieldresearch.org; acallear@umich.edu; hannah.segaloff@dhs.wisconsin.gov; rtruscon@umich.edu; emileigh@umich.edu; boncheng@umich.edu; mcranis@umich.edu; tkatie@umich.edu; slfoote@umich.edu; amusci@med.umich.edu; etmartin@umich.edu</t>
  </si>
  <si>
    <t xml:space="preserve">de Jonge, peter/L-6395-2013</t>
  </si>
  <si>
    <t xml:space="preserve">Segaloff, Hannah/0000-0003-4716-7468</t>
  </si>
  <si>
    <t xml:space="preserve">Centers for Disease Control and Prevention [U01 IP000170, U01 IP000474]; National Institute of Allergy and Infectious Diseases [R01 AI097150, R56 AI097150]</t>
  </si>
  <si>
    <t xml:space="preserve">Centers for Disease Control and Prevention(United States Department of Health &amp; Human ServicesCenters for Disease Control &amp; Prevention - USA); National Institute of Allergy and Infectious Diseases(United States Department of Health &amp; Human ServicesNational Institutes of Health (NIH) - USANIH National Institute of Allergy &amp; Infectious Diseases (NIAID))</t>
  </si>
  <si>
    <t xml:space="preserve">The HIVE Study was supported by the Centers for Disease Control and Prevention (U01 IP000170, U01 IP000474) and the National Institute of Allergy and Infectious Diseases (R01 AI097150, R56 AI097150).</t>
  </si>
  <si>
    <t xml:space="preserve">10.1097/INF.0000000000003884</t>
  </si>
  <si>
    <t xml:space="preserve">WOS:000991916200011</t>
  </si>
  <si>
    <t xml:space="preserve">Nikfar, R; Shamsizadeh, A; Makvandi, M; Khoshghalb, A</t>
  </si>
  <si>
    <t xml:space="preserve">Nikfar, Roya; Shamsizadeh, Ahmad; Makvandi, Manoochehr; Khoshghalb, Arash</t>
  </si>
  <si>
    <t xml:space="preserve">Detection of Respirator Syncytial Virus in Hospitalized Children With Acute Lower Respiratory Tract Infections, Using RT PCR in Ahvaz, Iran</t>
  </si>
  <si>
    <t xml:space="preserve">Child; Respiratory Tract Infection; Respiratory Syncytial Viruses; Reverse Transcription Polymerase Chain Reaction</t>
  </si>
  <si>
    <t xml:space="preserve">HUMAN METAPNEUMOVIRUS; CLINICAL CHARACTERISTICS; DISEASE; EPIDEMIOLOGY; DIAGNOSIS; YOUNGER</t>
  </si>
  <si>
    <t xml:space="preserve">Background: Acute respiratory tract infections (ARTIs) playa major role in hospitalizations of children, and Respiratory syucyrial virus (RSV) is well recognized as the most important pathogen causing ARTI. Objectives: This study aimed to evaluate the epidemiological and clinical patterns of RSV infection in children hospitalized for lower ARTI in Ahvaz, Iran. Patient and Methods: Respiratory specimens collected from 100 children with lower ARTI from October 2008 until the end of April 2009, were screened for RSV using reverse transcription-polymerase chain reaction (RT-PCR). Results: During the study period, 9 children had a positive result for RSV infection. The median age of these patients was 10 months. Bronchiolitis was the clinical diagnosis of patients with RSV infections.All of these patients were less than 24 months. Cough (77.7%) and chest wall retraction (Ion) were the leading symptoms and signs respectively. Conclusions: This study indicates that RSV is a substantial cause of respiratory tract infection in infants less than 2 years old. RT-PCR offers a rapid method for detection of RSV in hospitalized children with LRTI.</t>
  </si>
  <si>
    <t xml:space="preserve">[Nikfar, Roya; Khoshghalb, Arash] Alivaz Jundishapur Univ Med Sci, Aboozar Childrens Hosp, Dept Pediat Infect Dis, Ahvaz, Iran; [Shamsizadeh, Ahmad] Alivaz Jundishapur Univ Med Sci, Infect &amp; Trop Dis Res Ctr, Ahvaz, Iran; [Makvandi, Manoochehr] Alivaz Jundishapur Univ Med Sci, Sch Med, Dept Virol, Ahvaz, Iran</t>
  </si>
  <si>
    <t xml:space="preserve">Shamsizadeh, A (corresponding author), Alivaz Jundishapur Univ Med Sci, Infect &amp; Trop Dis Res Ctr, Ahvaz, Iran.</t>
  </si>
  <si>
    <t xml:space="preserve">Shamsizadeh@ajums.ac.ir</t>
  </si>
  <si>
    <t xml:space="preserve">Nikfar, Roya/AAE-2759-2019; shamsizadeh, ahmad/O-3729-2017; makvandi, manoochehr/V-3740-2017</t>
  </si>
  <si>
    <t xml:space="preserve">shamsizadeh, ahmad/0000-0003-3068-9913; makvandi, manoochehr/0000-0001-5602-6961; Nikfar, Roya/0000-0001-9143-8574</t>
  </si>
  <si>
    <t xml:space="preserve">Infectious and Tropical Diseases Research Center of Ahvaz Jundishapur University of Medical Sciences</t>
  </si>
  <si>
    <t xml:space="preserve">Infectious and Tropical Diseases Research Center of Ahvaz Jundishapur University of Medical Sciences(Ahvaz Jundishapur University of Medical Sciences (AJUMS))</t>
  </si>
  <si>
    <t xml:space="preserve">This study was supported by Infectious and Tropical Diseases Research Center of Ahvaz Jundishapur University of Medical Sciences.</t>
  </si>
  <si>
    <t xml:space="preserve">10.5812/pedinfect.9987</t>
  </si>
  <si>
    <t xml:space="preserve">V23UK</t>
  </si>
  <si>
    <t xml:space="preserve">WOS:000215114100004</t>
  </si>
  <si>
    <t xml:space="preserve">Zhang, L; Wang, YP; Xu, HM; Hao, LP; Zhao, B; Ye, CC; Zhu, WP</t>
  </si>
  <si>
    <t xml:space="preserve">Zhang, Li; Wang, Yuanping; Xu, Hongmei; Hao, Lipeng; Zhao, Bing; Ye, Chuchu; Zhu, Weiping</t>
  </si>
  <si>
    <t xml:space="preserve">Prevalence of Respiratory Viruses in Children With Acute Respiratory Infections in Shanghai, China, From 2013 to 2022</t>
  </si>
  <si>
    <t xml:space="preserve">child; prevalence; respiratory tract infections; respiratory viruses</t>
  </si>
  <si>
    <t xml:space="preserve">SURVEILLANCE; EPIDEMIOLOGY; PATHOGENS</t>
  </si>
  <si>
    <t xml:space="preserve">Background: A variety of viruses can cause acute respiratory infections (ARIs), resulting in a high disease burden worldwide. To explore the dominant viruses and their prevalence characteristics in children with ARIs, comprehensive surveillance was carried out in the Pudong New Area of Shanghai. Methods: Between January 2013 and December 2022, the basic and clinical information, and respiratory tract specimens of 0-14 years old children with ARIs were collected in five sentinel hospitals in Shanghai Pudong. Each specimen was tested for eight respiratory viruses, and the positive rates of different age groups, case types (inpatient or outpatient) were analyzed. Results: In our study, 30.67% (1294/4219) children with ARIs were positive for at least one virus. Influenza virus (IFV) was the most commonly detected respiratory virus (349/4219, 8.27%), followed by respiratory syncytial virus (RSV) (217/4219, 5.14%), para-influenza virus (PIV) (215/4219, 5.10%), and human coronavirus (HCoV, including 229E, OC43, NL63, and HKU1) (184/4219, 4.36%). IFV was the leading respiratory virus in outpatients aged 5-14 years (201/1673, 12.01%); RSV was the most prevalent respiratory virus in both inpatients (61/238, 25.63%) and outpatients (4/50, 8.00%) for ARI patients aged &lt;6 months old. For PIV, HMPV, HCoV, and HRV, the risk of infection usually was higher among young children. Co-infection with more than two viruses was seen in 3.25% (137/4219). Conclusions: IFV and RSV played important roles in ARIs among children, but the risk populations were different. There are needs for targeted diagnosis and treatment and necessary immunization and non-pharmaceutical interventions.</t>
  </si>
  <si>
    <t xml:space="preserve">[Zhang, Li; Wang, Yuanping; Xu, Hongmei; Hao, Lipeng; Zhao, Bing; Ye, Chuchu; Zhu, Weiping] Shanghai Pudong New Area Ctr Dis Control &amp; Prevent, Shanghai, Peoples R China</t>
  </si>
  <si>
    <t xml:space="preserve">Ye, CC; Zhu, WP (corresponding author), Shanghai Pudong New Area Ctr Dis Control &amp; Prevent, Shanghai, Peoples R China.</t>
  </si>
  <si>
    <t xml:space="preserve">cynthia-cloth@163.com; junnybaby@126.com</t>
  </si>
  <si>
    <t xml:space="preserve">Ye, Chuchu/Y-6147-2019</t>
  </si>
  <si>
    <t xml:space="preserve">Shanghai Pudong New Area Health System Young Medical Talents Training Program; Pudong New Area Center for Disease Control and Prevention</t>
  </si>
  <si>
    <t xml:space="preserve">We appreciate the support of all the sentinel hospitals and colleagues who have been involved in the surveillance over the years in Pudong New Area Center for Disease Control and Prevention. We thank Chuchu Ye and Weiping Zhu for guidance of this article.</t>
  </si>
  <si>
    <t xml:space="preserve">e13310</t>
  </si>
  <si>
    <t xml:space="preserve">10.1111/irv.13310</t>
  </si>
  <si>
    <t xml:space="preserve">PV6D2</t>
  </si>
  <si>
    <t xml:space="preserve">WOS:001216888000001</t>
  </si>
  <si>
    <t xml:space="preserve">Sen Zeynep, S; Vezir, E; Ertürk, P</t>
  </si>
  <si>
    <t xml:space="preserve">Sen Zeynep, Savas; Vezir, Emine; Erturk, Pelin</t>
  </si>
  <si>
    <t xml:space="preserve">The Relationship Between Viruses and Clinical Findings in Hospitalized Children Diagnosed with Acute Lower Respiratory Tract Infection</t>
  </si>
  <si>
    <t xml:space="preserve">Child; polymerase chain reaction; respiratory tract infections; virus</t>
  </si>
  <si>
    <t xml:space="preserve">Objective: In this retrospective study, we aimed to identify viral agents in children hospitalized with ALRTI and to show the relationship be-tween viral agents and clinical characteristics. Material and Methods:Two hundred and fifty five children (55.7% male) who were diagnosed with ALRTI and hospitalized between March 2016 and February 2017 were included in the study. Clinical characteristics of the patients who were examined to detect respiratory tract viruses with PCR analysis in nasopharyngeal swab samples were evaluated by using medical records. The patients were divided into three groups according to their age: under two years old, between 2-6 years old, and between 6-18 years old. Newborns were not included in the study. Results: Two hundred and three patients (79.6%) were under two years old. Thirty eight patients (14.9%) were aged 2-6 years, and 14 patients (5.5%) were aged 6-18 years. Among the age groups, male gender was significantly higher in the patients who were under two years old (p= 0.018). There was no significant difference hospitalization between the age groups and the genders in the clinic of pediatrics and the intensive care unit (p= 0.34). A single virus was detected in 158 patients (62%), and more than one viral agent was detected in 35 patients (13.7%). The most frequent virus was RSV (31.8%). However, RSV was not detected in any patient between the ages of 6-18. Respiratory syncytial virus was followed by iRV (11.8%), iMPV (5.1%) and iCoV (3.9%), respectively. No significant difference was found between the clinical findings of the vi-ruses. Twenty four point two percent of the patients had no virus that was detected with PCR test. Hospitalization duration was longer in vi-rus-negative patients compared to patients who had at least one virus in their nasopharyngeal swab samples. Conclusion: Most respiratory viruses may be detected with PCR analysis in nasopharyngeal swab samples. However, detecting to all respiratory viruses may not always be possible. In the present study hospitalization duration in virus-negative patients was longer than patients with at least one viral agent suggests that more comprehensive studies are needed.</t>
  </si>
  <si>
    <t xml:space="preserve">[Sen Zeynep, Savas] Ankara Dr Sami Ulus Gynecol &amp; Pediat Training &amp; R, Clin Pediat Infect Dis, Ankara, Turkey; [Vezir, Emine] Ankara Numune Training &amp; Res Hosp, Clin Pediat Allergy Immunol, Ankara, Turkey; [Erturk, Pelin] Ankara Numune Training &amp; Res Hosp, Pediat Clin, Ankara, Turkey</t>
  </si>
  <si>
    <t xml:space="preserve">Ankara Numune Training &amp; Research Hospital; Ankara Numune Training &amp; Research Hospital</t>
  </si>
  <si>
    <t xml:space="preserve">Sen Zeynep, S (corresponding author), Ankara Dr Sami Ulus Kadin Dogum Cocuk Sagligi Has, Cocuk Enfeksiyon Hastaliklari Klin, Ankara, Turkey.</t>
  </si>
  <si>
    <t xml:space="preserve">zeysa81@gmail.com</t>
  </si>
  <si>
    <t xml:space="preserve">VEZIR, EMINE/IQV-0166-2023; SAVAŞ ŞEN, ZEYNEP/AFC-5176-2022</t>
  </si>
  <si>
    <t xml:space="preserve">Savas Sen, Zeynep/0000-0003-4671-6082; Erturk, Pelin/0000-0002-9960-7560; Vezir, Emine/0000-0002-0639-7358</t>
  </si>
  <si>
    <t xml:space="preserve">E19</t>
  </si>
  <si>
    <t xml:space="preserve">10.5578/ced.20229902</t>
  </si>
  <si>
    <t xml:space="preserve">2D4BF</t>
  </si>
  <si>
    <t xml:space="preserve">WOS:000811493900007</t>
  </si>
  <si>
    <t xml:space="preserve">Wang, YQ; Ji, W; Chen, ZR; Yan, YD; Shao, XJ; Xu, J</t>
  </si>
  <si>
    <t xml:space="preserve">Wang, Yuqing; Ji, Wei; Chen, Zhengrong; Yan, Yong Dong; Shao, Xuejun; Xu, Jun</t>
  </si>
  <si>
    <t xml:space="preserve">Comparison of severe pneumonia caused by Human metapneumovirus and respiratory syncytial virus in hospitalized children</t>
  </si>
  <si>
    <t xml:space="preserve">INDIAN JOURNAL OF PATHOLOGY AND MICROBIOLOGY</t>
  </si>
  <si>
    <t xml:space="preserve">Child; Human metapneumovirus; respiratory syncytial virus; severe pneumonia</t>
  </si>
  <si>
    <t xml:space="preserve">TRACT INFECTIONS; INFANTS; YOUNG; PREVALENCE; ETIOLOGY; OUTBREAK; FEATURES</t>
  </si>
  <si>
    <t xml:space="preserve">Objectives: The objective of this study is to compare the incidence and clinical characteristics of severe pneumonia caused by Human metapneumovirus (hMPV) to respiratory syncytial virus (RSV) infection in children. Patients and Methods: A total of 151 children hospitalized with severe pneumonia, were tested for hMPV using reverse-transcription polymerase chain reaction. At the same time, samples were tested for RSV and other common respiratory viruses. Medical records, including clinical, laboratory data, and chest radiography findings, were reviewed for all children. Results: Of the 151 samples, 88 (58.3%) were positive for respiratory viruses. Of the 88 positive, there were 6 (4.0%) with hMPV, 66 (43.7%) with RSV, 13 (8.6%) with influenza A, 2 (1.3%) with parainfluenza virus III, 1 (0.7%) with parainfluenza virus I, 1 (0.7%) with adenovirus and 1 (0.7%) with influenza B. hMPV-infected patients were significantly older than RSV-infected patients (P &lt; 0.001). Children with hMPV pneumonia had fever more frequently (P = 0.03). Two hMPV-positive patients (33.3%) required admission to an intensive care unit, and two patients (33.3%) required mechanical ventilation. The duration of illness was 18.33 +/- 7.09 days. These characteristics of hMPV infections were similar to patients with RSV infections. Conclusion: Human metapneumovirus is an infrequent viral pathogen causing severe pneumonia in children. Children with hMPV were older than those with RSV. The disease caused by hMPV was similar in presentation and severity to RSV, with a minority of children requiring additional respiratory support.</t>
  </si>
  <si>
    <t xml:space="preserve">[Wang, Yuqing; Ji, Wei; Chen, Zhengrong; Yan, Yong Dong] Soochow Univ, Childrens Hosp, Dept Resp Med, Suzhou 215003, Peoples R China; [Shao, Xuejun; Xu, Jun] Soochow Univ, Childrens Hosp, Dept Clin Lab, Suzhou 215003, Peoples R China</t>
  </si>
  <si>
    <t xml:space="preserve">Ji, W (corresponding author), Soochow Univ, Childrens Hosp, Dept Resp Med, 303 Jing De Rd, Suzhou 215003, Peoples R China.</t>
  </si>
  <si>
    <t xml:space="preserve">wrxwrb@126.com</t>
  </si>
  <si>
    <t xml:space="preserve">Chen, Zhengrong/LSL-5975-2024; Wang, yuqing/HIR-1604-2022</t>
  </si>
  <si>
    <t xml:space="preserve">Youth Fund, Science and Technology and Education Projects of Suzhou [SWKQ1021]</t>
  </si>
  <si>
    <t xml:space="preserve">Youth Fund, Science and Technology and Education Projects of Suzhou</t>
  </si>
  <si>
    <t xml:space="preserve">This work was supported by Youth Fund, Science and Technology and Education Projects of Suzhou (Grant No. SWKQ1021).</t>
  </si>
  <si>
    <t xml:space="preserve">0377-4929</t>
  </si>
  <si>
    <t xml:space="preserve">0974-5130</t>
  </si>
  <si>
    <t xml:space="preserve">INDIAN J PATHOL MICR</t>
  </si>
  <si>
    <t xml:space="preserve">Indian J. Pathol. Microbiol.</t>
  </si>
  <si>
    <t xml:space="preserve">JUL-SEP</t>
  </si>
  <si>
    <t xml:space="preserve">10.4103/0377-4929.138735</t>
  </si>
  <si>
    <t xml:space="preserve">CA8ZN</t>
  </si>
  <si>
    <t xml:space="preserve">WOS:000349209900011</t>
  </si>
  <si>
    <t xml:space="preserve">Altuntas, M; Durmus, SY; Teke, TA; Kaman, A; Öz, FN; Tanir, G</t>
  </si>
  <si>
    <t xml:space="preserve">Altuntas, Mehtap; Durmus, Sevgi Yasar; Teke, Turkan Aydin; Kaman, Ayse; Oz, Fatma Nur; Tanir, Gonul</t>
  </si>
  <si>
    <t xml:space="preserve">A Human Metapneumovirus Case Who Presented with Pertussis Like Illness</t>
  </si>
  <si>
    <t xml:space="preserve">Child; human metapneumovirus; pertussis like illness</t>
  </si>
  <si>
    <t xml:space="preserve">Human metapneumo virus is one of the most common viruses which cause lower respiratory tract infection in children, throughout the world. It was first isolated from children who had acute respiratory illness in 2001. It usually infects children younger than five years old. Clinical features are mostly cough, rinitis, high fever and wheezing. Herein we report a fifty-days-old infant who presented with a clinical picture similar to whooping cough and whose respiratory polymerase chain reaction test resulted as Human metapneumovirus and culture for pertussis resulted as negative. In this case, we want to emphasize that, Human metapneumovirus can cause pertussis-like illness in children.</t>
  </si>
  <si>
    <t xml:space="preserve">[Altuntas, Mehtap] Hlth Sci Univ, Dr Sami Ulus Obstet, Childrens Hlth &amp; Dis Training &amp; Res Hosp, Clin Pediat, Ankara, Turkey; [Durmus, Sevgi Yasar; Teke, Turkan Aydin; Kaman, Ayse; Oz, Fatma Nur; Tanir, Gonul] Hlth Sci Univ, Dr Sami Ulus Obstet, Childrens Hlth &amp; Dis Training &amp; Res Hosp, Clin Pediat Infect Dis, Ankara, Turkey</t>
  </si>
  <si>
    <t xml:space="preserve">Dr. Sami Ulus Education &amp; Research Hospital; University of Health Sciences Turkey; Dr. Sami Ulus Education &amp; Research Hospital; University of Health Sciences Turkey</t>
  </si>
  <si>
    <t xml:space="preserve">Durmus, SY (corresponding author), Saglik Bilimleri Univ, Dr Sami Ulus Kadin Dogum, Cocuk Sagligi &amp; Hastaliklari Egitim &amp; Aratirma Ha, Cocuk Enfeksiyon Hastaliklari Klin, Ankara, Turkey.</t>
  </si>
  <si>
    <t xml:space="preserve">drsvgysr@gmail.com</t>
  </si>
  <si>
    <t xml:space="preserve">KAMAN, AYŞE/HIK-1355-2022; Aydın-Teke, Turkan/ADL-1507-2022; Yasar Durmus, Sevgi/ABZ-0757-2022</t>
  </si>
  <si>
    <t xml:space="preserve">yasar durmus, sevgi/0000-0003-4226-7312</t>
  </si>
  <si>
    <t xml:space="preserve">E126</t>
  </si>
  <si>
    <t xml:space="preserve">E128</t>
  </si>
  <si>
    <t xml:space="preserve">10.5578/ced.201939</t>
  </si>
  <si>
    <t xml:space="preserve">KH4SG</t>
  </si>
  <si>
    <t xml:space="preserve">WOS:000510638700006</t>
  </si>
  <si>
    <t xml:space="preserve">Paget, SP; Andresen, DN; Kesson, AM; Egan, JR</t>
  </si>
  <si>
    <t xml:space="preserve">Paget, Simon P.; Andresen, David N.; Kesson, Alison M.; Egan, Jonathan R.</t>
  </si>
  <si>
    <t xml:space="preserve">Comparison of human metapneumovirus and respiratory syncytial virus in children admitted to a paediatric intensive care unit</t>
  </si>
  <si>
    <t xml:space="preserve">child; human metapneumovirus; intensive care; respiratory syncytial virus</t>
  </si>
  <si>
    <t xml:space="preserve">TRACT INFECTIONS; YOUNG-CHILDREN; HOSPITALIZED CHILDREN; BRONCHIOLITIS; INFANTS; DISEASE; PREVALENCE; SEVERITY; SYMPTOMS</t>
  </si>
  <si>
    <t xml:space="preserve">Aim: To describe the clinical presentation and course of children admitted to the paediatric intensive care unit (PICU) with human metapneumovirus (hMPV) infection, and compare them with children admitted to the PICU with respiratory syncytial virus (RSV) infection. Methods: hMPV was identified by immunofluorescence in 22 children admitted to the PICU over a 16-month period. The medical records of these children were reviewed retrospectively, and their clinical and laboratory data were compared with 66 children admitted to the PICU with positive tests for RSV over the same period. Results: Children admitted to the PICU with hMPV were significantly older than children with RSV (P = 0.003). Children with hMPV presented more commonly with pneumonia or pneumonitis (29% vs. 16%), and less commonly with bronchiolitis (43% vs. 68%) than RSV (P = 0.13). Invasive ventilation was required in 10 patients (48%) with hMPV, and non-invasive ventilation was required in a further 5 (28%), similar to patients with RSV. Children with hMPV were more likely to have an underlying co-morbidity (P = 0.11). Conclusions: Children admitted to the PICU with hMPV have a similar disease presentation and severity as children admitted with RSV, including some with extremely severe disease who require additional ventilatory or cardiovascular support. Children with hMPV are likely to be older than those with RSV, and more likely to present with pneumonia and less likely to present with bronchiolitis.</t>
  </si>
  <si>
    <t xml:space="preserve">[Paget, Simon P.] Childrens Hosp, Paediat Intens Care Unit, Westmead, NSW 2145, Australia; [Paget, Simon P.; Kesson, Alison M.; Egan, Jonathan R.] Univ Sydney, Sydney Med Sch, Sydney, NSW 2006, Australia</t>
  </si>
  <si>
    <t xml:space="preserve">University of Sydney; NSW Health; Sydney Childrens Hospitals Network; University of Sydney</t>
  </si>
  <si>
    <t xml:space="preserve">Paget, SP (corresponding author), Childrens Hosp, Paediat Intens Care Unit, Locked Bag 4001, Westmead, NSW 2145, Australia.</t>
  </si>
  <si>
    <t xml:space="preserve">simonp2@chw.edu.au</t>
  </si>
  <si>
    <t xml:space="preserve">Egan, Jonathan/B-5234-2011; Paget, Simon/AFO-3982-2022</t>
  </si>
  <si>
    <t xml:space="preserve">Paget, Simon/0000-0001-6605-3330; Egan, Jonathan/0009-0006-7599-5059</t>
  </si>
  <si>
    <t xml:space="preserve">10.1111/j.1440-1754.2011.02043.x</t>
  </si>
  <si>
    <t xml:space="preserve">848CX</t>
  </si>
  <si>
    <t xml:space="preserve">WOS:000297027600013</t>
  </si>
  <si>
    <t xml:space="preserve">Spaeder, MC; Custer, JW; Bembea, MM; Aganga, DO; Song, XY; Scafidi, S</t>
  </si>
  <si>
    <t xml:space="preserve">Spaeder, Michael C.; Custer, Jason W.; Bembea, Melania M.; Aganga, Devon O.; Song, Xiaoyan; Scafidi, Susanna</t>
  </si>
  <si>
    <t xml:space="preserve">A Multicenter Outcomes Analysis of Children With Severe Viral Respiratory Infection Due to Human Metapneumovirus</t>
  </si>
  <si>
    <t xml:space="preserve">child; human metapneumovirus; intensive care; outcomes research; pediatrics; respiratory tract infections</t>
  </si>
  <si>
    <t xml:space="preserve">SYNCYTIAL VIRUS-INFECTION; YOUNG-CHILDREN; RISK-FACTORS; INFLUENZA; DISEASE; HOSPITALIZATIONS; EPIDEMIOLOGY; SURVEILLANCE; MORTALITY; GENOTYPES</t>
  </si>
  <si>
    <t xml:space="preserve">Objective: To investigate the impact of human metapneumovirus on morbidity and mortality outcomes in children with severe viral respiratory infection. Design: Retrospective cohort study. Setting: ICU, either PICU or cardiac ICU, at three urban academic tertiary care children's hospitals. Patients: All patients admitted to an ICU with laboratory-confirmed human metapneumovirus infection between January 2010 and June 2011. Interventions: We captured demographic and clinical data and analyzed associated morbidity and mortality outcomes. Measurements and Main Results: There were 111 patients with laboratory-confirmed human metapneumovirus admitted to an ICU at one of the three participating institutions during the period of study. The median hospital length of stay was 7 days (interquartile range 4-18 days) and median ICU length of stay was 4 days (interquartile range 1-10 days). Ten patients (9%) did not survive to discharge. Predisposing factors associated with increased mortality included female gender (p = 0.002), presence of a chronic medical condition (p = 0.04), and hospital acquisition of human metapneumovirus infection (p = 0.006). Adjusting for female gender, chronic medical conditions, hospital acquisition of infection and severity of illness score, logistic regression analysis demonstrated that female gender, hospital acquisition of infection, and chronic medical conditions each independently increased the odds of mortality (odds ratios 14.8, 10.7, and 12.7, respectively). Conclusions: Analysis of our results suggests that there is substantial morbidity and mortality associated with severe viral respiratory infection due to human metapneumovirus in children. Female gender, hospital acquisition of human metapneumovirus infection, and presence of chronic medical conditions each independently increases mortality. The burden of illness from human metapneumovirus on the ICU in terms of resource utilization may be considerable. (Pediatr Crit Care Med 2013; 14:268-272)</t>
  </si>
  <si>
    <t xml:space="preserve">[Spaeder, Michael C.] Childrens Natl Med Ctr, Div Crit Care Med, Washington, DC 20010 USA; [Custer, Jason W.; Scafidi, Susanna] Univ Maryland, Med Ctr, Div Pediat Crit Care Med, Baltimore, MD 21201 USA; [Bembea, Melania M.; Aganga, Devon O.] Johns Hopkins Univ Hosp, Div Pediat Anesthesiol &amp; Crit Care Med, Baltimore, MD 21287 USA; [Song, Xiaoyan] Childrens Natl Med Ctr, Div Pediat Infect Dis, Washington, DC 20010 USA</t>
  </si>
  <si>
    <t xml:space="preserve">Children's National Health System; University System of Maryland; University of Maryland Baltimore; Johns Hopkins University; Johns Hopkins Medicine; Children's National Health System</t>
  </si>
  <si>
    <t xml:space="preserve">Spaeder, MC (corresponding author), Childrens Natl Med Ctr, Div Crit Care Med, Washington, DC 20010 USA.</t>
  </si>
  <si>
    <t xml:space="preserve">mspaeder@childrensnational.org</t>
  </si>
  <si>
    <t xml:space="preserve">Spaeder, Michael/I-7764-2019</t>
  </si>
  <si>
    <t xml:space="preserve">Spaeder, Michael/0000-0002-6175-8435; Bembea, Melania/0000-0003-4984-520X; Scafidi, Susanna/0000-0002-1229-8778; Song, Xiaoyan/0000-0002-4907-0566</t>
  </si>
  <si>
    <t xml:space="preserve">NINDS NIH HHS [K08 NS069815] Funding Source: Medline</t>
  </si>
  <si>
    <t xml:space="preserve">NINDS NIH HHS(United States Department of Health &amp; Human ServicesNational Institutes of Health (NIH) - USANIH National Institute of Neurological Disorders &amp; Stroke (NINDS))</t>
  </si>
  <si>
    <t xml:space="preserve">1947-3893</t>
  </si>
  <si>
    <t xml:space="preserve">10.1097/PCC.0b013e3182720fc7</t>
  </si>
  <si>
    <t xml:space="preserve">103WG</t>
  </si>
  <si>
    <t xml:space="preserve">WOS:000315949600011</t>
  </si>
  <si>
    <t xml:space="preserve">Bicer, S; Giray, T; Çöl, D; Erdag, GÇ; Vitrinel, A; Gürol, Y; Çelik, G; Kaspar, C; Küçük, Ö</t>
  </si>
  <si>
    <t xml:space="preserve">Bicer, Suat; Giray, Tuba; Col, Defne; Erdag, Gulay Ciler; Vitrinel, Ayca; Gurol, Yesim; Celik, Gulden; Kaspar, Cigdem; Kucuk, Oznur</t>
  </si>
  <si>
    <t xml:space="preserve">Virological and clinical characterizations of respiratory infections in hospitalized children</t>
  </si>
  <si>
    <t xml:space="preserve">Child; Hospitalization; PCR; Respiratory infections; Viral respiratory pathogens; Respiratory viruses</t>
  </si>
  <si>
    <t xml:space="preserve">COMMUNITY-ACQUIRED PNEUMONIA; MULTIPLEX PCR ASSAYS; HUMAN METAPNEUMOVIRUS; VIRAL-INFECTIONS; TRACT INFECTIONS; SYNCYTIAL VIRUS; ADENOVIRUS INFECTIONS; BRONCHIOLITIS; EPIDEMIOLOGY; INFANTS</t>
  </si>
  <si>
    <t xml:space="preserve">Background: The purpose of this study was to determine the incidence and seasonal distribution of viral etiological agents and to compare their clinical manifestations and disease severity, including single and co infections. Methods: Multiplex reverse-transcription PCR was performed for the detection of viruses in nasopharyngeal aspirat. Disease severity was grouped using a categorization index as very mild/mild, and moderate/severe. Clinical and laboratory characteristics of hospitalized children with viral respiratory tract infection were analyzed. Results: Viral pathogens were detected in 103/155 (66.5%) of patients. In order of frequency, identified pathogens were respiratory syncytial virus (32.0%), adenovirus (26.2%), parainfluenza viruses type 1-4 (19.4%), rhinovirus (18.4%), influenza A and B (12.6%), human metapneumovirus (12.6%), coronavirus (2.9%), and bocavirus (0.9%). Coinfections were present in 21 samples. Most of the children had very mild (38.8%) and mild disease (37.9%). Severity of illness was not worse with coinfections. The most common discharge diagnoses were URTI with or without LRTI/asthma (n=58). Most viruses exhibited strong seasonal patterns. Leukocytosis (22.2%) and neutrophilia (36.6%) were most commonly detected in patients with adenovirus and rhinovirus (p&lt;0.05). Monocytosis was the most remarkable finding in the patients (n=48, 53.3%), especially in patients with adenovirus (p&lt;0.05). Conclusions: RSV and RhV were associated with higher severity of illness in hospitalized children. RSV found to account for half of LRTI hospitalizations. In AdV and FluA and B infections, fever lasted longer than in other viruses. Coinfections were detected in 21 of the patients. The presence of coinfections was not associated with increased disease severity.</t>
  </si>
  <si>
    <t xml:space="preserve">[Bicer, Suat; Giray, Tuba; Col, Defne; Erdag, Gulay Ciler; Vitrinel, Ayca; Kucuk, Oznur] Yeditepe Univ, Dept Child Hlth &amp; Dis, Fac Med, Yeditepe Univ Hosp, TR-34752 Istanbul, Turkey; [Gurol, Yesim; Celik, Gulden] Yeditepe Univ, Dept Med Microbiol, Fac Med, Yeditepe Univ Hosp, TR-34752 Istanbul, Turkey; [Kaspar, Cigdem] Yeditepe Univ, Dept Med Stat, Fac Med, Yeditepe Univ Hosp, TR-34752 Istanbul, Turkey</t>
  </si>
  <si>
    <t xml:space="preserve">Yeditepe University; Yeditepe University; Yeditepe University</t>
  </si>
  <si>
    <t xml:space="preserve">Bicer, S (corresponding author), Yeditepe Univ, Dept Child Hlth &amp; Dis, Fac Med, Yeditepe Univ Hosp, Devlet Yolu Ankara Cad 102-104, TR-34752 Istanbul, Turkey.</t>
  </si>
  <si>
    <t xml:space="preserve">suat.bicer@yeditepe.edu.tr</t>
  </si>
  <si>
    <t xml:space="preserve">Çelik, Gülden/G-9919-2019; Biçer, Suat/A-9583-2017; Keles, Elif/ABI-3897-2020; Gurol, Yesim/J-6986-2016</t>
  </si>
  <si>
    <t xml:space="preserve">Gurol, Yesim/0000-0003-4195-8357; Giray, Tuba/0000-0002-2060-5723</t>
  </si>
  <si>
    <t xml:space="preserve">10.1186/1824-7288-39-22</t>
  </si>
  <si>
    <t xml:space="preserve">126TS</t>
  </si>
  <si>
    <t xml:space="preserve">WOS:000317644700001</t>
  </si>
  <si>
    <t xml:space="preserve">Gu, YE; Park, JY; Lee, MK; Lim, IS</t>
  </si>
  <si>
    <t xml:space="preserve">Gu, Young E.; Park, Ji Y.; Lee, Mi K.; Lim, In S.</t>
  </si>
  <si>
    <t xml:space="preserve">Characteristics of human parainfluenza virus type 4 infection in hospitalized children in Korea</t>
  </si>
  <si>
    <t xml:space="preserve">child; epidemiology; Korea; Paramyxoviridae infections; respiratory system</t>
  </si>
  <si>
    <t xml:space="preserve">RESPIRATORY-TRACT INFECTIONS; INFLUENZA-A VIRUS; HUMAN METAPNEUMOVIRUS; PANEL</t>
  </si>
  <si>
    <t xml:space="preserve">Background The characteristics of human parainfluenza virus type 4 (hPIV4) infection are not thoroughly understood. We therefore clarified the characteristics of hPIV4 in Korea. Method From January 2013 to December 2017, children admitted with respiratory tract infection at the Department of Pediatrics in Chung-Ang University Hospital were enrolled in the study. Nasopharyngeal aspirate specimens were obtained from patients and tested for hPIV types by multiplex reverse transcription polymerase chain reaction. We retrospectively reviewed subject medical records, focusing on epidemiological and clinical characteristics. Results Of the 12 423 NPA specimens, 8,406 were positive by multiplex reverse transcription polymerase chain reaction for nine respiratory viruses, and 1,018 were positive for one of the four types of hPIV: 1,018 specimens led to the detection of 1,029 hPIVs; 3ss (31.3%) were positive for hPIV1, 120 (11.7%) were positive for hPIV2, 356 (34.6%) were positive for hPIV3, and 231 (22.4%) were positive for hPIV4. Of the hPIV-positive patients, the mean age was 2.3 years (range, 0.1-12.7 years), 225 (97.4%) had no underlying disease, and 178 (77.1%) had a fever with a duration of 4.1 +/- 2.3 days and a peak temperature of 39.0 +/- 0.7 celcius. The most common diagnosis in hPIV4 infection was pneumonia (44.2%), followed by bronchiolitis (26.0%) and upper respiratory tract infection (24.3%). Only 2.2% of patients were diagnosed with croup. Although the most prevalent overall type of hPIV was hPIV3, hPIV4 generally caused acute respiratory tract infection in summer and early fall in an irregular annual pattern. Conclusions Human parainfluenza virus type 4 is an important common pathogen of respiratory tract infections in pediatric patients in Korea.</t>
  </si>
  <si>
    <t xml:space="preserve">[Gu, Young E.; Park, Ji Y.; Lim, In S.] Seoul Natl Univ, Dept Pediat, Bundang Hosp, 82 Gumiro 173 Beon Gil, Seongnam 13620, Gyeonggi Do, South Korea; [Lee, Mi K.] Chung Ang Univ, Dept Lab Med, Coll Med, Seoul, South Korea</t>
  </si>
  <si>
    <t xml:space="preserve">Seoul National University (SNU); Chung Ang University; Chung Ang University Hospital</t>
  </si>
  <si>
    <t xml:space="preserve">Park, JY (corresponding author), Seoul Natl Univ, Dept Pediat, Bundang Hosp, 82 Gumiro 173 Beon Gil, Seongnam 13620, Gyeonggi Do, South Korea.</t>
  </si>
  <si>
    <t xml:space="preserve">ji8303@snubh.org</t>
  </si>
  <si>
    <t xml:space="preserve">10.1111/ped.14049</t>
  </si>
  <si>
    <t xml:space="preserve">JAN 2020</t>
  </si>
  <si>
    <t xml:space="preserve">KG4UU</t>
  </si>
  <si>
    <t xml:space="preserve">WOS:000507906300001</t>
  </si>
  <si>
    <t xml:space="preserve">Shen, CF; Huang, SC; Wang, SM; Wang, JR; Liu, CC</t>
  </si>
  <si>
    <t xml:space="preserve">Shen, Ching-Fen; Huang, Shu-Ching; Wang, Shih-Min; Wang, Jen-Ren; Liu, Ching-Chuan</t>
  </si>
  <si>
    <t xml:space="preserve">Decreased leukocytes and other characteristics of laboratory findings of influenza virus infections in children</t>
  </si>
  <si>
    <t xml:space="preserve">Child; Differential diagnosis; Influenza A virus; Influenza B virus; Leukopenia</t>
  </si>
  <si>
    <t xml:space="preserve">RESPIRATORY-TRACT INFECTIONS; YOUNG-CHILDREN; HUMAN METAPNEUMOVIRUS; A VIRUS; TAIWAN; MONONUCLEOSIS; EPIDEMIOLOGY; APOPTOSIS; MYOSITIS; BURDEN</t>
  </si>
  <si>
    <t xml:space="preserve">Background and Purpose: An outbreak of influenza A and influenza B appeared at the beginning and end of 2006 in southern Taiwan. We conducted this study to test whether laboratory findings could differentiate influenza A from influenza B infection. Methods: All children aged 16 years or less, who had nasal and/or throat swabs sent from inpatient or outpatient settings at National Cheng Kung University Hospital for the diagnosis of influenza infection from January 2005 to February 2007, were considered eligible subjects. Retrospective chart review of clinical and laboratory data was performed. Results: 274 patients were enrolled, 151 with influenza A and 123 with influenza B, of whom 127 (46.4%) received laboratory examinations. The peak month of influenza A and influenza B infections was January 2006 and January 2007, respectively. Children with influenza B infections were older than those with influenza A infections (p&lt;0.001). Influenza B-infected patients were more likely to have myalgia (p=0.004) than those with influenza A infections. Furthermore, children with influenza B infections tended to have lower leukocyte counts (6383 +/- 3970/mm(3) vs 7639 +/- 3476/mm(3), p=0.004), and higher serum creatine kinase level (p=0.002) than those with influenza A infections. The clinical outcomes were usually favorable. Conclusions: The clinical features of influenza B and influenza A infections are similar. However, decreased leukocytes and increased serum creatine kinase can be used as adjunctive criteria for diagnosis of influenza B infection before viral culture results are available.</t>
  </si>
  <si>
    <t xml:space="preserve">[Liu, Ching-Chuan] Natl Cheng Kung Univ, Coll Med, Dept Pediat, Med Coll &amp; Hosp, Tainan 70428, Taiwan; [Wang, Jen-Ren] Natl Cheng Kung Univ, Dept Med Lab Sci &amp; Biotechnol, Tainan 70428, Taiwan; [Wang, Shih-Min] Natl Cheng Kung Univ, Med Coll &amp; Hosp, Dept Emergency Med, Tainan 70428, Taiwan</t>
  </si>
  <si>
    <t xml:space="preserve">National Cheng Kung University; National Cheng Kung University; National Cheng Kung University</t>
  </si>
  <si>
    <t xml:space="preserve">Liu, CC (corresponding author), Natl Cheng Kung Univ, Coll Med, Dept Pediat, Med Coll &amp; Hosp, 138 Sheng Li Rd, Tainan 70428, Taiwan.</t>
  </si>
  <si>
    <t xml:space="preserve">liucc@mail.ncku.edu.tw</t>
  </si>
  <si>
    <t xml:space="preserve">Lin, Hongtao/JXN-3069-2024; chen, hongyu/HHS-4314-2022; Wang, Jen-Ren/F-5254-2011</t>
  </si>
  <si>
    <t xml:space="preserve">Wang, Jen-Ren/0000-0002-4127-4046</t>
  </si>
  <si>
    <t xml:space="preserve">386SO</t>
  </si>
  <si>
    <t xml:space="preserve">WOS:000261903100002</t>
  </si>
  <si>
    <t xml:space="preserve">Thornton, HV; Blair, PS; Lovering, AM; Muir, P; Hay, AD</t>
  </si>
  <si>
    <t xml:space="preserve">Thornton, Hannah V.; Blair, Peter S.; Lovering, Andrew M.; Muir, Peter; Hay, Alastair D.</t>
  </si>
  <si>
    <t xml:space="preserve">Clinical presentation and microbiological diagnosis in paediatric respiratory tract infection: a systematic review</t>
  </si>
  <si>
    <t xml:space="preserve">BRITISH JOURNAL OF GENERAL PRACTICE</t>
  </si>
  <si>
    <t xml:space="preserve">child; diagnosis; microbiology; point-of-care systems; primary health care; respiratory tract infections</t>
  </si>
  <si>
    <t xml:space="preserve">ANTIMICROBIAL CONSUMPTION ESAC; OUTPATIENT ANTIBIOTIC USE; SYNCYTIAL-VIRUS; HUMAN-METAPNEUMOVIRUS; EUROPEAN SURVEILLANCE; YOUNG-CHILDREN; VIRAL ETIOLOGY; BRONCHIOLITIS; EPIDEMIOLOGY; PERTUSSIS</t>
  </si>
  <si>
    <t xml:space="preserve">Background Antibiotic prescribing decisions for respiratory tract infection (RTI) in primary care could be improved if clinicians could target bacterial infections. However, there are currently no evidence-based diagnostic rules to identify microbial aetiology in children presenting with acute RTIs. Aim To analyse evidence of associations between clinical symptoms or signs and detection of microbes from the upper respiratory tract (URT) of children with acute cough. Design and setting Systematic review and meta-analysis. Method A literature search identified articles reporting relationships between individual symptoms and/or signs, and microbes detected from URT samples. Associations between pathogens and symptoms or signs were summarised, and meta-analysis conducted where possible. Results There were 9984 articles identified, of which 28 met inclusion criteria. Studies identified 30 symptoms and 41 signs for 23 microbes, yielding 1704 potential associations, of which only 226 (13%) have presently been investigated. Of these, relevant statistical analyses were presented for 175 associations, of which 25% were significant. Meta-analysis demonstrated significant relationships between respiratory syncytial virus (RSV) detection and chest retractions (pooled odds ratio [OR] 1.9, 95% confidence interval [CI] = 1.6 to 2.3), wheeze (pooled OR 1.7, 95% CI = 1.5 to 2.0), and crepitations/crackles (pooled OR 1.7, 95% CI = 1.3 to 2.2). Conclusions There was an absence of evidence for URT pathogens other than RSV. The meta-analysis identified clinical signs associated with RSV detection, suggesting clinical presentation may offer some, albeit poor, diagnostic value. Further research is urgently needed to establish the value of symptoms and signs in determining microbiological aetiology and improve targeting of antibiotics in primary care.</t>
  </si>
  <si>
    <t xml:space="preserve">[Thornton, Hannah V.; Blair, Peter S.; Hay, Alastair D.] Univ Bristol, Sch Social &amp; Community Med, NIHR Sch Primary Care Res, Ctr Acad Primary Care, Bristol BS8 2PS, Avon, England; [Lovering, Andrew M.] Southmead Hosp, Bristol Ctr Antimicrobial Res &amp; Evaluat, North Bristol NHS Trust, Bristol, Avon, England; [Muir, Peter] Specialist Virol Ctr, Publ Hlth Lab Bristol, Publ Hlth England, Bristol, Avon, England</t>
  </si>
  <si>
    <t xml:space="preserve">University of Bristol; Southmead Hospital; North Bristol NHS Trust; Public Health England</t>
  </si>
  <si>
    <t xml:space="preserve">Thornton, HV (corresponding author), Univ Bristol, Sch Social &amp; Community Med, NIHR Sch Primary Care Res, Ctr Acad Primary Care, Canynge Hall,39 Whatley Rd, Bristol BS8 2PS, Avon, England.</t>
  </si>
  <si>
    <t xml:space="preserve">hannah.thornton@bristol.ac.uk</t>
  </si>
  <si>
    <t xml:space="preserve">Blair, Peter/C-1213-2009; Hay, Alastair/L-1818-2019</t>
  </si>
  <si>
    <t xml:space="preserve">Blair, Peter/0000-0002-7832-8087; Hay, Alastair D/0000-0003-3012-375X; Muir, Peter/0000-0003-2697-0892; Thornton, Hannah/0000-0003-0899-4102</t>
  </si>
  <si>
    <t xml:space="preserve">National Institute for Health Research (NIHR) from a Career Development Fellowship; NIHR Research Professorship</t>
  </si>
  <si>
    <t xml:space="preserve">This article presents independent research funded by the National Institute for Health Research (NIHR) from a Career Development Fellowship and NIHR Research Professorship (for Alastair Hay). The views expressed in this publication are those of the authors and not necessarily those of the NHS, the NIHR, or the Department of Health. The funding agency had no involvement in the study design, data collection, analysis, writing of the manuscript, or decision to submit it for publication.</t>
  </si>
  <si>
    <t xml:space="preserve">ROYAL COLL GENERAL PRACTITIONERS</t>
  </si>
  <si>
    <t xml:space="preserve">14 PRINCES GATE, HYDE PARK, LONDON SW7 1PU, ENGLAND</t>
  </si>
  <si>
    <t xml:space="preserve">0960-1643</t>
  </si>
  <si>
    <t xml:space="preserve">1478-5242</t>
  </si>
  <si>
    <t xml:space="preserve">BRIT J GEN PRACT</t>
  </si>
  <si>
    <t xml:space="preserve">Br. J. Gen. Pract.</t>
  </si>
  <si>
    <t xml:space="preserve">E69</t>
  </si>
  <si>
    <t xml:space="preserve">E81</t>
  </si>
  <si>
    <t xml:space="preserve">10.3399/bjgp15X683497</t>
  </si>
  <si>
    <t xml:space="preserve">Primary Health Care; Medicine, General &amp; Internal</t>
  </si>
  <si>
    <t xml:space="preserve">AZ9GN</t>
  </si>
  <si>
    <t xml:space="preserve">WOS:000348521900002</t>
  </si>
  <si>
    <t xml:space="preserve">Park, JS; Kim, YH; Kwon, E; Callaway, Z; Fujisawa, T; Kim, CK</t>
  </si>
  <si>
    <t xml:space="preserve">Park, Jin-Sung; Kim, Young-Ho; Kwon, Eunmi; Callaway, Zak; Fujisawa, Takao; Kim, Chang-Keun</t>
  </si>
  <si>
    <t xml:space="preserve">Comparison of nasal cytokine profiles of human metapneumovirus and respiratory syncytial virus</t>
  </si>
  <si>
    <t xml:space="preserve">ASIA PACIFIC ALLERGY</t>
  </si>
  <si>
    <t xml:space="preserve">Child; Cytokines; Metapneumovirus; Respiratory syncytial virus; Wheezing</t>
  </si>
  <si>
    <t xml:space="preserve">AIRWAY HYPERRESPONSIVENESS; ACUTE BRONCHIOLITIS; ACUTE ASTHMA; CHILDREN; CELLS; INFECTION; RELEASE; DISEASE; IL-17A; IDENTIFICATION</t>
  </si>
  <si>
    <t xml:space="preserve">Background: Human metapneumovirus (hMPV) and respiratory syncytial virus (RSV) share some epidemiological and clinical characteristics; however, few studies have examined the mechanisms by which these viruses induce airway inflammation. Objective: This study was undertaken to compare cytokine profiles in hMPV and RSV patients to investigate possible differences in inflammatory pathways. Methods: Nasopharyngeal aspirate specimens were collected from 1,008 pediatric patients hospitalized for acute lower respiratory tract infection with wheezing and 20 normal healthy controls. Patients were tested for 7 common respiratory viruses then divided into hMPV (n = 35) and RSV groups (n = 67). T helper (Th) 1 (interferon [IFN]-gamma), Th2 (interleukin [IL]-4, eotaxin) and Th17 (IL-1 beta, IL-6) cytokine profiles were analyzed in the 3 groups. Results: IFN-gamma and IL-2 levels were significantly increased in the hMPV and RSV groups compared to the control group (p &lt; 0.0001 and p &lt; 0.0001, respectively). IL-4 levels were significantly higher in the RSV group compared to the hMPV and control groups (p = 0.0003 and p &lt; 0.0001, respectively). Eotaxin levels showed a tendency to be higher in the RSV group compared to the hMPV group (p = 0.0580), and significantly higher compared to the control group (p &lt; 0.0001). IL-1 beta levels were significantly higher in the hMPV compared to the RSV group (p &lt; 0.0001), and IL-6 levels were significantly higher in the hMPV group compared to the control group (p &lt; 0.0001). Conclusion: Our results suggest that hMPV and RSV have different inflammatory mechanisms. hMPV induces airway inflammation by the Th17 pathway through release of IL-1 beta and IL-6, whereas RSV acts through the Th2 pathway.</t>
  </si>
  <si>
    <t xml:space="preserve">[Park, Jin-Sung; Kim, Young-Ho; Kwon, Eunmi; Kim, Chang-Keun] Inje Univ, Sanggye Paik Hosp, Dept Pediat, Asthma &amp; Allergy Ctr, 1342 Dongil Ro, Seoul 01757, South Korea; [Callaway, Zak] Univ Ulsan, Sch Biol Sci, Ulsan 44610, South Korea; [Fujisawa, Takao] Mie Natl Hosp, Inst Clin Res, Tsu, Mie 5140125, Japan</t>
  </si>
  <si>
    <t xml:space="preserve">Inje University; University of Ulsan</t>
  </si>
  <si>
    <t xml:space="preserve">Kim, CK (corresponding author), Inje Univ, Sanggye Paik Hosp, Dept Pediat, Asthma &amp; Allergy Ctr, 1342 Dongil Ro, Seoul 01757, South Korea.</t>
  </si>
  <si>
    <t xml:space="preserve">Callaway, Zak/KFS-9162-2024; Fujisawa, Takao/ABB-2359-2021</t>
  </si>
  <si>
    <t xml:space="preserve">ASIA PACIFIC ASSOC ALLERGY, ASTHMA &amp; CLINICAL IMMUNOLOGY</t>
  </si>
  <si>
    <t xml:space="preserve">DEPT PEDIATRICS, SAMSUNG MEDICAL CENTER, SUNGKYUNKWAN UNIV SCH MEDICINE, SEOUL, 135-710, SOUTH KOREA</t>
  </si>
  <si>
    <t xml:space="preserve">2233-8276</t>
  </si>
  <si>
    <t xml:space="preserve">2233-8268</t>
  </si>
  <si>
    <t xml:space="preserve">ASIA PAC ALLERGY</t>
  </si>
  <si>
    <t xml:space="preserve">Asia Pac. Allergy</t>
  </si>
  <si>
    <t xml:space="preserve">10.5415/apallergy.2017.7.4.206</t>
  </si>
  <si>
    <t xml:space="preserve">FP9VM</t>
  </si>
  <si>
    <t xml:space="preserve">WOS:000417997000005</t>
  </si>
  <si>
    <t xml:space="preserve">Moynihan, KM; McGarvey, T; Barlow, A; Heney, C; Gibbons, K; Clark, JE; Schlebusch, S; Schlapbach, LJ</t>
  </si>
  <si>
    <t xml:space="preserve">Moynihan, Katie M.; McGarvey, Tambra; Barlow, Andrew; Heney, Claire; Gibbons, Kristen; Clark, Julia E.; Schlebusch, Sanmarie; Schlapbach, Luregn J.</t>
  </si>
  <si>
    <t xml:space="preserve">Testing for Common Respiratory Viruses in Children Admitted to Pediatric Intensive Care: Epidemiology and Outcomes</t>
  </si>
  <si>
    <t xml:space="preserve">child; critical illness; infection; intensive care units; pediatric; outcome assessment (healthcare); sepsis; viruses</t>
  </si>
  <si>
    <t xml:space="preserve">SYNCYTIAL VIRUS; VIRAL-INFECTION; HUMAN METAPNEUMOVIRUS; BRONCHIOLITIS; MORTALITY; ILLNESS; DISEASE; RISK; RHINOVIRUS; INFLUENZA</t>
  </si>
  <si>
    <t xml:space="preserve">Objectives: Viral infections are common in children, but there is a lack of data on severe viral infections in critically ill children. We investigated testing for viral infections in children requiring PICU admission and describe the epidemiology and outcomes. Design: Multicenter retrospective study. Results of viral testing for nine respiratory viruses using polymerase chain reaction were collected. Participants: Children less than 16 years old nonelectively admitted to PICU over a 6-year period. Setting: Two tertiary PICUs in Queensland, Australia. Interventions: None. Main Outcome Measures: Primary outcome was PICU length of stay. Secondary outcomes included need for and duration of intubation and mortality in PICU. Univariate and multivariate regression analyses were performed, adjusting for age, indigenous status, comorbidities, and severity of illness. Results: Of 6,426 nonelective admissions, 2,956 (46%) were polymerase chain reaction tested for a virus of which 1,353 (46%) were virus positive. Respiratory syncytial virus was the most common pathogen identified (n = 518, 33%), followed by rhinovirus/enterovirus and adenovirus. Across all patients who underwent polymerase chain reaction testing, identification of a respiratory virus was not significantly associated with longer overall length of stay (multivariate odds ratio, 1.08; 95% CI, 0.99-1.17; p = 0.068) or longer intubation (p = 0.181), whereas the adjusted odds for intubation and mortality were significantly lower (p &lt; 0.01). Subgroup analyses restricted to patients with acute respiratory infections (n = 1,241), bronchiolitis (n = 761), pneumonia (n = 311), confirmed bacterial infection (n = 345), and malignancy (n = 95) showed that patients positive for a virus on testing had significantly longer PICU length of stay (multivariate p &lt; 0.05). In children with pneumonia, identification of a respiratory virus was associated with significantly increased duration of ventilation (p = 0.003). No association between positive test results for multiple viruses and outcomes was observed. Conclusion: Viral infections are common in critically ill children. Viral infections were associated with lower intubation and mortality rates compared with all children testing negative for viral infections. In several subgroups studied, identification of viral pathogens was associated with longer PICU length of stay while mortality was comparable. Prospective studies are required to determine the benefit of routine testing for respiratory viruses at the time of PICU admission.</t>
  </si>
  <si>
    <t xml:space="preserve">[Moynihan, Katie M.] Boston Childrens Hosp, Dept Cardiol, Boston, MA USA; [Moynihan, Katie M.] Harvard Med Sch, Dept Pediat, Boston, MA 02115 USA; [Moynihan, Katie M.; McGarvey, Tambra; Gibbons, Kristen; Schlapbach, Luregn J.] Univ Queensland, Child Hlth Res Ctr, Pediat Crit Care Res Grp, Brisbane, Qld, Australia; [Moynihan, Katie M.; Clark, Julia E.; Schlebusch, Sanmarie] Univ Queensland, Fac Med, Brisbane, Qld, Australia; [McGarvey, Tambra; Barlow, Andrew; Schlapbach, Luregn J.] Queensland Childrens Hosp, Pediat Intens Care Unit, Brisbane, Qld, Australia; [Heney, Claire] Pathol Queensland, Microbiol Dept, Herston, Qld, Australia; [Clark, Julia E.] Queensland Childrens Hosp, Infect Management &amp; Prevent Serv, Brisbane, Qld, Australia; [Schlebusch, Sanmarie] Mater Misericordiae Ltd, Mater Pathol, Brisbane, Qld, Australia; [Schlapbach, Luregn J.] Univ Childrens Hosp Zurich, Childrens Res Ctr, Pediat &amp; Neonatal Intens Care Unit, Zurich, Switzerland; [Moynihan, Katie M.; McGarvey, Tambra; Barlow, Andrew; Heney, Claire; Gibbons, Kristen; Clark, Julia E.; Schlebusch, Sanmarie; Schlapbach, Luregn J.] Queensland Childrens Hosp, Brisbane, Qld, Australia</t>
  </si>
  <si>
    <t xml:space="preserve">Harvard University; Boston Children's Hospital; Harvard University; Harvard Medical School; University of Queensland; University of Queensland; Childrens Health Queensland Hospital &amp; Health Service; Queensland Childrens Hospital; Childrens Health Queensland Hospital &amp; Health Service; Queensland Childrens Hospital; University Children's Hospital Zurich; Childrens Health Queensland Hospital &amp; Health Service; Queensland Childrens Hospital</t>
  </si>
  <si>
    <t xml:space="preserve">Schlapbach, LJ (corresponding author), Univ Queensland, Pediat Crit Care Res Grp, Child Hlth Res Ctr, Pediat Intens Care Unit,Queensland Childrens Hosp, South Brisbane, Qld 4101, Australia.</t>
  </si>
  <si>
    <t xml:space="preserve">l.schlapbach@uq.edu.au</t>
  </si>
  <si>
    <t xml:space="preserve">Gibbons, Kristen/AAW-6321-2020; Schlapbach, Luregn/IYS-3058-2023; Heney, Claire/G-4198-2013; Gibbons, Kristen/J-3429-2014; Clark, Julia/A-8214-2012; Schlapbach, Luregn/F-7465-2017</t>
  </si>
  <si>
    <t xml:space="preserve">Gibbons, Kristen/0000-0002-5679-0932; Clark, Julia/0000-0001-7746-0599; Moynihan, Katie/0000-0003-2515-2951; Schlapbach, Luregn/0000-0003-2281-2598</t>
  </si>
  <si>
    <t xml:space="preserve">Norva Dhalia Grant (College of Intensive Care Medicine); College of Intensive Care Medicine Norva Dhalia grant; Practitioner Fellowship of the National Health and Medical Research Council of Australia and New Zealand; Children's Hospital Foundation, Brisbane, QLD, Australia</t>
  </si>
  <si>
    <t xml:space="preserve">Supported, in part, by the Norva Dhalia Grant (College of Intensive Care Medicine; to Ms. Moynihan).Ms. Moynihan received funding from College of Intensive Care Medicine Norva Dhalia grant for a statistics package to complete the analysis. Dr. Schlapbach is supported by a Practitioner Fellowship of the National Health and Medical Research Council of Australia and New Zealand and by the Children's Hospital Foundation, Brisbane, QLD, Australia. The remaining authors have disclosed that they do not have any potential conflicts of interest.</t>
  </si>
  <si>
    <t xml:space="preserve">E333</t>
  </si>
  <si>
    <t xml:space="preserve">E341</t>
  </si>
  <si>
    <t xml:space="preserve">10.1097/PCC.0000000000002302</t>
  </si>
  <si>
    <t xml:space="preserve">LV0WC</t>
  </si>
  <si>
    <t xml:space="preserve">WOS:000538163400003</t>
  </si>
  <si>
    <t xml:space="preserve">Fukuda, Y; Togashi, A; Hirakawa, S; Yamamoto, M; Fukumura, S; Nawa, T; Honjo, S; Kunizaki, J; Nishino, K; Tanaka, T; Kizawa, T; Yamamoto, D; Takeuchi, R; Sasaoka, Y; Kikuchi, M; Ito, T; Nagai, K; Asakura, H; Kudou, K; Yoshida, M; Nishida, T; Tsugawa, T</t>
  </si>
  <si>
    <t xml:space="preserve">Fukuda, Yuya; Togashi, Atsuo; Hirakawa, Satoshi; Yamamoto, Masaki; Fukumura, Shinobu; Nawa, Tomohiro; Honjo, Saho; Kunizaki, Jun; Nishino, Kouhei; Tanaka, Toju; Kizawa, Toshitaka; Yamamoto, Dai; Takeuchi, Ryoh; Sasaoka, Yuta; Kikuchi, Masayoshi; Ito, Takuro; Nagai, Kazushige; Asakura, Hirofumi; Kudou, Katsumasa; Yoshida, Masaki; Nishida, Takeshi; Tsugawa, Takeshi</t>
  </si>
  <si>
    <t xml:space="preserve">Changing Patterns of Infectious Diseases Among Hospitalized Children in Hokkaido, Japan, in the Post-COVID-19 Era, July 2019 to June 2022</t>
  </si>
  <si>
    <t xml:space="preserve">child; COVID-19; influenza; norovirus gastroenteritis; respiratory syncytial virus</t>
  </si>
  <si>
    <t xml:space="preserve">SURVEILLANCE; TRANSMISSION; VACCINE; VIRUS; RISK</t>
  </si>
  <si>
    <t xml:space="preserve">Background:Many reports have reported a reduction in respiratory infectious diseases and infectious gastroenteritis immediately after the coronavirus disease 2019 (COVID-19) pandemic, but data continuing into 2022 are very limited. We sought to understand the current situation of various infectious diseases among children in Japan as of July 2022 to improve public health in the post-COVID-19 era. Methods:We collected data on children hospitalized with infectious diseases in 18 hospitals in Japan from July 2019 to June 2022. Results:In total, 3417 patients were hospitalized during the study period. Respiratory syncytial virus decreased drastically after COVID-19 spread in early 2020, and few patients were hospitalized for it from April 2020 to March 2021. However, an unexpected out-of-season re-emergence of respiratory syncytial virus was observed in August 2021 (50 patients per week), particularly prominent among older children 3-6 years old. A large epidemic of delayed norovirus gastroenteritis was observed in April 2021, suggesting that the nonpharmaceutical interventions for COVID-19 are less effective against norovirus. However, influenza, human metapneumovirus, Mycoplasma pneumoniae, and rotavirus gastroenteritis were rarely seen for more than 2 years. Conclusions:The incidence patterns of various infectious diseases in Japan have changed markedly since the beginning of the COVID-19 pandemic to the present. The epidemic pattern in the post-COVID-19 era is unpredictable and will require continued careful surveillance.</t>
  </si>
  <si>
    <t xml:space="preserve">[Fukuda, Yuya] Japan Red Cross Urakawa Hosp, Dept Pediat, Urakawa, Hokkaido, Japan; [Fukuda, Yuya; Togashi, Atsuo; Hirakawa, Satoshi; Yamamoto, Masaki; Fukumura, Shinobu; Tsugawa, Takeshi] Sapporo Med Univ, Sch Med, Dept Pediat, Sapporo, Japan; [Nawa, Tomohiro] Hokkaido Med Ctr Child Hlth &amp; Rehabil, Dept Pediat Cardiol &amp; Pediat Intens Care, Sapporo, Japan; [Honjo, Saho] Iwamizawa Municipal Gen Hosp, Dept Pediat, Iwamizawa, Hokkaido, Japan; [Kunizaki, Jun] NTT EC Sapporo Med Ctr, Dept Pediat, Sapporo, Japan; [Nishino, Kouhei] Otaru Kyokai Hosp, Dept Pediat, Otaru, Hokkaido, Japan; [Tanaka, Toju] Hokkaido Med Ctr, Dept Pediat, Sapporo, Japan; [Kizawa, Toshitaka] Japan Community Hlth Care Org Sapporo Hokushin Ho, Dept Pediat, Sapporo, Japan; [Yamamoto, Dai] Kushiro City Gen Hosp, Dept Pediat, Kushiro, Hokkaido, Japan; [Takeuchi, Ryoh] Nemuro City Hosp, Dept Pediat, Nemuro, Hokkaido, Japan; [Sasaoka, Yuta] Hakodate Municipal Hosp, Dept Pediat, Hakodate, Hokkaido, Japan; [Kikuchi, Masayoshi] Sunagawa City Med Ctr, Dept Pediat, Sunagawa, Hokkaido, Japan; [Ito, Takuro] Steel Mem Muroran Hosp, Dept Pediat, Muroran, Hokkaido, Japan; [Nagai, Kazushige] Takikawa Municipal Hosp, Dept Pediat, Takikawa, Hokkaido, Japan; [Asakura, Hirofumi] Hokkaido Esashi Hosp, Dept Pediat, Esashi, Hokkaido, Japan; [Kudou, Katsumasa] Tomakomai City Hosp, Dept Pediat, Tomakomai, Hokkaido, Japan; [Yoshida, Masaki] Yakumo Gen Hosp, Dept Pediat, Yakumo, Hokkaido, Japan; [Nishida, Takeshi] Rumoi City Hosp, Dept Pediat, Rumoi, Hokkaido, Japan</t>
  </si>
  <si>
    <t xml:space="preserve">Sapporo Medical University</t>
  </si>
  <si>
    <t xml:space="preserve">Fukuda, Y (corresponding author), Japan Red Cross Urakawa Hosp, Dept Pediat, 1-2-1 Chinomi,Higashimachi, Urakawacho, Hokkaido 0570007, Japan.</t>
  </si>
  <si>
    <t xml:space="preserve">fuku.da1f9@gmail.com; togashi.atsuo@gmail.com; mypd224224@hotmail.co.jp; tsugawat@sapmed.ac.jp</t>
  </si>
  <si>
    <t xml:space="preserve">Yoshida, Masaki/B-4920-2013; Fukuda, Yuya/JTS-8978-2023</t>
  </si>
  <si>
    <t xml:space="preserve">Fukuda, Yuya/0000-0001-9413-7224</t>
  </si>
  <si>
    <t xml:space="preserve">10.1097/INF.0000000000003982</t>
  </si>
  <si>
    <t xml:space="preserve">P2WS9</t>
  </si>
  <si>
    <t xml:space="preserve">WOS:001049300000028</t>
  </si>
  <si>
    <t xml:space="preserve">Resurgence of human metapneumovirus infection and influenza after three seasons of inactivity in the post-COVID-19 era in Hokkaido, Japan, 2022-2023</t>
  </si>
  <si>
    <t xml:space="preserve">child; COVID-19; human metapneumovirus; influenza; respiratory syncytial virus</t>
  </si>
  <si>
    <t xml:space="preserve">RESPIRATORY SYNCYTIAL VIRUS; HOSPITALIZED CHILDREN; UNITED-STATES; EPIDEMIOLOGY; PATTERNS; DISEASES</t>
  </si>
  <si>
    <t xml:space="preserve">Following the coronavirus disease 2019 (COVID-19) outbreak in February 2020, incidences of various infectious diseases decreased notably in Hokkaido Prefecture, Japan. However, Japan began gradually easing COVID-19 infection control measures in 2022. Here, we conducted a survey of children hospitalized with human metapneumovirus (hMPV), influenza A and B, and respiratory syncytial virus infections in 18 hospitals across Hokkaido Prefecture, Japan, spanning from July 2019 to June 2023. From March 2020 to June 2022 (28 months), only 13 patients were hospitalized with hMPV, and two patients had influenza A. However, in October to November 2022, there was a re-emergence of hMPV infections, with a maximum of 27 hospitalizations per week. From July 2022 to June 2023 (12 months), the number of hMPV-related hospitalizations dramatically increased to 317 patients, with the majority aged 3-6 years (38.2%, [121/317]). Influenza A also showed an increase from December 2022, with a peak of 13 hospitalizations per week in March 2023, considerably fewer than the pre-COVID-19 outbreak in December 2019, when rates reached 45 hospitalizations per week. These findings suggest the possibility of observing more resurgences in infectious diseases in Japan after 2023 if infection control measures continue to be relaxed. Caution is needed in managing potential outbreaks.</t>
  </si>
  <si>
    <t xml:space="preserve">[Fukuda, Yuya; Togashi, Atsuo; Hirakawa, Satoshi; Yamamoto, Masaki; Fukumura, Shinobu; Tsugawa, Takeshi] Sapporo Med Univ, Sch Med, Dept Pediat, South 1,West 16,Chuo Ku, Sapporo, Hokkaido 0608543, Japan; [Fukuda, Yuya] Japan Red Cross Urakawa Hosp, Dept Pediat, Urakawa, Hokkaido, Japan; [Nawa, Tomohiro] Hokkaido Med Ctr Child Hlth &amp; Rehabil, Dept Pediat Cardiol &amp; Pediat Intens Care, Sapporo, Hokkaido, Japan; [Honjo, Saho] Iwamizawa Municipal Gen Hosp, Dept Pediat, Iwamizawa, Hokkaido, Japan; [Kunizaki, Jun] NTT EC Sapporo Med Ctr, Dept Pediat, Sapporo, Hokkaido, Japan; [Nishino, Kouhei] Otaru Kyokai Hosp, Dept Pediat, Otaru, Hokkaido, Japan; [Tanaka, Toju] Natl Hosp Org Hokkaido Med Ctr, Dept Pediat, Sapporo, Hokkaido, Japan; [Kizawa, Toshitaka] Japan Community Hlth Care Org Sapporo Hokushin Ho, Dept Pediat, Sapporo, Hokkaido, Japan; [Yamamoto, Dai] Kushiro City Gen Hosp, Dept Pediat, Kushiro, Hokkaido, Japan; [Takeuchi, Ryoh] Nemuro City Hosp, Dept Pediat, Nemuro, Hokkaido, Japan; [Sasaoka, Yuta] Hakodate Municipal Hosp, Dept Pediat, Hakodate, Hokkaido, Japan; [Kikuchi, Masayoshi] Sunagawa City Med Ctr, Dept Pediat, Sunagawa, Hokkaido, Japan; [Ito, Takuro] Steel Mem Muroran Hosp, Dept Pediat, Muroran, Hokkaido, Japan; [Nagai, Kazushige] Takikawa Municipal Hosp, Dept Pediat, Takikawa, Hokkaido, Japan; [Asakura, Hirofumi] Hokkaido Esashi Hosp, Dept Pediat, Esashi, Hokkaido, Japan; [Kudou, Katsumasa] Tomakomai City Hosp, Dept Pediat, Tomakomai, Hokkaido, Japan; [Yoshida, Masaki] Yakumo Gen Hosp, Dept Pediat, Yakumo, Hokkaido, Japan; [Nishida, Takeshi] Rumoi City Hosp, Dept Pediat, Rumoi, Hokkaido, Japan</t>
  </si>
  <si>
    <t xml:space="preserve">Fukuda, Y (corresponding author), Sapporo Med Univ, Sch Med, Dept Pediat, South 1,West 16,Chuo Ku, Sapporo, Hokkaido 0608543, Japan.</t>
  </si>
  <si>
    <t xml:space="preserve">fuku.da1f9@gmail.com</t>
  </si>
  <si>
    <t xml:space="preserve">Fukuda, Yuya/JTS-8978-2023</t>
  </si>
  <si>
    <t xml:space="preserve">e29299</t>
  </si>
  <si>
    <t xml:space="preserve">10.1002/jmv.29299</t>
  </si>
  <si>
    <t xml:space="preserve">EJ8N9</t>
  </si>
  <si>
    <t xml:space="preserve">WOS:001138650800065</t>
  </si>
  <si>
    <t xml:space="preserve">Lim, FJ; Wake, ZV; Levy, A; Tempone, S; Moore, HC; Richmond, PC; de Klerk, N; Conway, NT; Keil, AD; Effler, PV; Smith, DW; Blyth, CC</t>
  </si>
  <si>
    <t xml:space="preserve">Lim, Faye J.; Wake, Zoe V.; Levy, Avram; Tempone, Simone; Moore, Hannah C.; Richmond, Peter C.; de Klerk, Nicholas; Conway, Nicholas T.; Keil, Anthony D.; Effler, Paul V.; Smith, David W.; Blyth, Christopher C.</t>
  </si>
  <si>
    <t xml:space="preserve">WAIVE Grp</t>
  </si>
  <si>
    <t xml:space="preserve">Viral Etiology and the Impact of Codetection in Young Children Presenting With Influenza-Like Illness</t>
  </si>
  <si>
    <t xml:space="preserve">child; codetection; respiratory infection; viral infection</t>
  </si>
  <si>
    <t xml:space="preserve">RESPIRATORY VIRUS-INFECTIONS; HOSPITALIZED CHILDREN; HUMAN-METAPNEUMOVIRUS; RHINOVIRUS; DISEASE; SINGLE; PCR; EPIDEMIOLOGY; COINFECTIONS; SEVERITY</t>
  </si>
  <si>
    <t xml:space="preserve">Background. Children with acute respiratory tract infection (ARTI) frequently exhibit virus-virus codetection, yet the clinical significance of ARTI remains contentious. Using data from a prospective cohort of children with influenza-like illness, we examined the virology of ARTI and determined the clinical impact of virus-virus codetection. Methods. Children aged 6 to 59 months who presented to a tertiary pediatric hospital between influenza seasons 2008 and 2012 with fever and acute respiratory symptoms were enrolled, and nasal samples were collected. Respiratory viruses were identified by culture and polymerase chain reaction. We compared demographics, presenting symptoms, and clinical outcomes of children with a single-virus infection and those in whom 2 or more viruses were detected (virus-virus codetection). We used logistic regression models and estimated marginal means to calculate the adjusted odds ratios and probabilities of symptom presentation, prescription of antibiotics, and hospitalization. Results. Of 2356 children, a virus was detected in 1630 (69.2%) of them; rhinovirus (40.8%), influenza (29.5%), and respiratory syncytial virus (26.4%) were detected most commonly. Two or more viruses were detected in 25% of these children. After we adjusted for demographic factors, children with virus-virus codetection had greater odds of presenting with cough (adjusted odds ratio [aOR], 1.9; 95% confidence interval [CI], 1.2-3.1) and rhinorrhea (aOR, 1.8; 95% CI, 1.1-2.9) than those with a single-virus infection, although both symptoms were common. Children with influenza and respiratory syncytial virus combined had the highest probability of hospitalization (55%; 95% CI, 35%-73%), which was significantly greater than for those with influenza infection alone (22%; 95% CI, 16%-29%). Conclusions. Overall, virus-virus codetection has limited impact on clinical severity among children with influenza-like illness. However, infection with specific pathogen pairs might be associated with more severe outcomes. Routine diagnostics to identify specific viruses should be restricted to common pathogens.</t>
  </si>
  <si>
    <t xml:space="preserve">[Lim, Faye J.; Moore, Hannah C.; Richmond, Peter C.; de Klerk, Nicholas; Conway, Nicholas T.; Blyth, Christopher C.] Univ Western Australia, Telethon Kids Inst, Wesfarmers Ctr Vaccines &amp; Infect Dis, Perth, Australia; [Wake, Zoe V.; Richmond, Peter C.] QEII Med Ctr, Dept Gen Paediat, Nedlands, WA, Australia; [Wake, Zoe V.; Blyth, Christopher C.] QEII Med Ctr, Dept Infect Dis, Nedlands, WA, Australia; [Levy, Avram; Tempone, Simone; Smith, David W.] QEII Med Ctr, PathWest Lab Med WA, Nedlands, WA, Australia; [Levy, Avram; Smith, David W.] Sch Pathol &amp; Lab Med, Crawley, Australia; [Richmond, Peter C.; Blyth, Christopher C.] Univ Western Australia, Sch Paediat &amp; Child Hlth, Perth, WA, Australia; [Keil, Anthony D.; Blyth, Christopher C.] Princess Margaret Hosp Children, PathWest Lab Med WA, Dept Microbiol, Perth, WA, Australia; [Effler, Paul V.] Dept Hlth, Communicable Dis Control Directorate, Grace Vaughan House, Shenton Pk, Australia</t>
  </si>
  <si>
    <t xml:space="preserve">The Kids Research Institute Australia; University of Western Australia; Queen Elizabeth II Medical Centre; University of Western Australia; University of Western Australia; Queen Elizabeth II Medical Centre; University of Western Australia; Queen Elizabeth II Medical Centre; University of Western Australia; Princess Margaret Hospital for Children</t>
  </si>
  <si>
    <t xml:space="preserve">Lim, FJ (corresponding author), Telethon Kids Inst, Ctr Vaccines &amp; Infect Dis, POB 855, Perth, WA 6872, Australia.</t>
  </si>
  <si>
    <t xml:space="preserve">janice.lim@telethonkids.org.au</t>
  </si>
  <si>
    <t xml:space="preserve">Moore, Hannah/G-3690-2011; Blyth, Christopher/ABG-8231-2020; Richmond, Peter/G-3379-2012; Lim, Faye/K-4559-2013; Moore, Hannah/W-4727-2018; de Klerk, Nicholas/D-8388-2016</t>
  </si>
  <si>
    <t xml:space="preserve">conway, nicholas/0000-0003-2784-4775; Richmond, Peter/0000-0001-7562-7228; Smith, David/0000-0002-3107-5182; Lim, Faye/0000-0002-6037-2741; Blyth, Christopher Charles/0000-0003-2017-0683; Moore, Hannah/0000-0001-6434-8290; Levy, Avram/0000-0002-0934-2387; de Klerk, Nicholas/0000-0001-9223-0767</t>
  </si>
  <si>
    <t xml:space="preserve">Western Australia Department of Health; University of Western Australia; National Health and Medical Research Council [APP1045668, APP1034254, APP1111596]; Western Australian Department of Health/Raine Medical Research Foundation</t>
  </si>
  <si>
    <t xml:space="preserve">Western Australia Department of Health; University of Western Australia; National Health and Medical Research Council(National Health &amp; Medical Research Council (NHMRC) of Australia); Western Australian Department of Health/Raine Medical Research Foundation</t>
  </si>
  <si>
    <t xml:space="preserve">This work was supported by the Western Australia Department of Health, the University of Western Australia (University Postgraduate Award to F. J. L.), the National Health and Medical Research Council (grants APP1045668 [to H. C. M. and F. J. L.], APP1034254 [to H. C. M.], and APP1111596 [to C. C. B.]), and the Western Australian Department of Health/Raine Medical Research Foundation (clinician research fellowship to C. C. B.). No external funding was provided for other authors.</t>
  </si>
  <si>
    <t xml:space="preserve">10.1093/jpids/piw042</t>
  </si>
  <si>
    <t xml:space="preserve">FO2PR</t>
  </si>
  <si>
    <t xml:space="preserve">Green Published, Green Submitted, Bronze</t>
  </si>
  <si>
    <t xml:space="preserve">WOS:000416622700035</t>
  </si>
  <si>
    <t xml:space="preserve">de Leon, CD; Amantea, SL; Pilger, DA; Cantarelli, V</t>
  </si>
  <si>
    <t xml:space="preserve">de Leon, Cristiano do Amaral; Amantea, Sergio Luis; Pilger, Diogo Andre; Cantarelli, Vlademir</t>
  </si>
  <si>
    <t xml:space="preserve">Clinical and Epidemiologic Profile of Lower Respiratory Tract Infections Associated With Human Bocavirus</t>
  </si>
  <si>
    <t xml:space="preserve">child; bronchiolitis; wheezing; polymerase chain reaction</t>
  </si>
  <si>
    <t xml:space="preserve">SYNCYTIAL VIRUS; HOSPITALIZED CHILDREN; HUMAN METAPNEUMOVIRUS; FREQUENT DETECTION; INFANTS; BRONCHIOLITIS; PARVOVIRUS; SYMPTOMS; SAMPLES; ASTHMA</t>
  </si>
  <si>
    <t xml:space="preserve">BackgroundAcute viral bronchiolitis (AVB) remains the leading cause of lower respiratory tract infection (LRTI) in infants under 2 years of age. Advances in molecular methods for virus detection have led to the identification of new infectious agents implicated in the development of AVB, such as human bocavirus (HBoV). ObjectivesTo ascertain the frequency, seasonality, and clinical behavior of HBoV detection in a series of episodes of LRTI. Study DesignThe frequency of HBoV was assessed in children with LRTI episodes, aged 1-24 months, seen at the emergency department of Hospital da Crianca Santo Antonio, Porto Alegre, Brazil, between May 2007 and July 2008. Virus-specific polymerase chain reaction was used for detection. ResultsA total of 455 nasal secretion samples were collected from 433 patients over a 14-month period. Of these, 60 were positive for HBoV (13.2%). Mean age was 7.9 months and 55% of patients were male. Just over half of patients were under 6 months of age (53.3%). Wheezing was the presenting respiratory complaint in 51.7%. Of the 60 patients, 80% were admitted to a pediatric ward. Diarrhea was present in nine patients (18%). Co-detection was a frequent finding in our sample, occurring in 95% of cases. In our series, the distribution of HBoV was clearly seasonal and was influenced by temperature, relative humidity, and precipitation. ConclusionsWe conclude that HBoV detection in infants with AVB and recurrent wheezing of viral etiology in Brazil is similar to that reported in other countries. The clinical course of HBoV detection is no different from that of other respiratory viruses commonly found in this age range. Pediatr Pulmonol. 2013; 48:1112-1118. (c) 2013 Wiley Periodicals, Inc.</t>
  </si>
  <si>
    <t xml:space="preserve">[de Leon, Cristiano do Amaral] UFCSPA, Grad Program Med Sci, Porto Alegre, RS, Brazil; [Amantea, Sergio Luis] UFCSPA, Dept Pediat, Porto Alegre, RS, Brazil; [Pilger, Diogo Andre] Univ Fed Rio Grande do Sul, Sch Pharm, Porto Alegre, RS, Brazil; [Cantarelli, Vlademir] Univ Feevale, ICS, Novo Hamburgo, RS, Brazil</t>
  </si>
  <si>
    <t xml:space="preserve">Universidade Federal de Ciencias da Saude de Porto Alegre; Universidade Federal de Ciencias da Saude de Porto Alegre; Universidade Federal do Rio Grande do Sul; Universidade Feevale</t>
  </si>
  <si>
    <t xml:space="preserve">Amantea, SL (corresponding author), UFCSPA, Dept Pediat, Rua Sarmento Leite 245, Porto Alegre, RS, Brazil.</t>
  </si>
  <si>
    <t xml:space="preserve">samantea@terra.com.br</t>
  </si>
  <si>
    <t xml:space="preserve">Cantarelli, Vlademir/E-1970-2016; Amantea, Sergio/JVO-2620-2024; Pilger, Diogo Andre/S-5299-2019</t>
  </si>
  <si>
    <t xml:space="preserve">Pilger, Diogo Andre/0000-0002-6773-6480</t>
  </si>
  <si>
    <t xml:space="preserve">10.1002/ppul.22732</t>
  </si>
  <si>
    <t xml:space="preserve">242WS</t>
  </si>
  <si>
    <t xml:space="preserve">WOS:000326276500007</t>
  </si>
  <si>
    <t xml:space="preserve">Bonnelykke, K; Vissing, NH; Sevelsted, A; Johnston, SL; Bisgaard, H</t>
  </si>
  <si>
    <t xml:space="preserve">Bonnelykke, Klaus; Vissing, Nadja Hawwa; Sevelsted, Astrid; Johnston, Sebastian L.; Bisgaard, Hans</t>
  </si>
  <si>
    <t xml:space="preserve">Association between respiratory infections in early life and later asthma is independent of virus type</t>
  </si>
  <si>
    <t xml:space="preserve">Child; asthma; virus; bacteria; respiratory tract infection</t>
  </si>
  <si>
    <t xml:space="preserve">SYNCYTIAL-VIRUS; CHILDHOOD ASTHMA; VIRAL-INFECTIONS; RISK; WHEEZE; ALLERGY; INFANCY; SENSITIZATION; BRONCHIOLITIS; VARIANTS</t>
  </si>
  <si>
    <t xml:space="preserve">Background: Lower respiratory tract infections in the first years of life are associated with later asthma, and this observation has led to a focus on the potential causal role of specific respiratory viruses, such as rhinoviruses and respiratory syncytial virus, in asthma development. However, many respiratory viruses and bacteria trigger similar respiratory symptoms and it is possible that the important risk factors for asthma are the underlying susceptibility to infection and the exaggerated reaction to such triggers rather than the particular triggering agent. Objective: We sought to study the association between specific infections in early life and development of asthma later in childhood. Methods: Three hundred thirteen children were followed prospectively in the Copenhagen Prospective Studies of Asthma in Childhood2000 high-risk birth cohort. Nine respiratory virus types (respiratory syncytial virus, rhinoviruses, other picornaviruses, coronaviruses 229E and OC43, parainfluenza viruses 1-3, influenza viruses AH1, AH3, and B, human metapneumovirus, adenoviruses, and bocavirus) and 3 pathogenic airway bacteria (Streptococcus pneumoniae, Haemophilus influenzae, and Moraxella catarrhalis) were identified in airway secretions sampled during episodes of troublesome lung symptoms in the first 3 years of life. Asthma was determined by age 7 years. Results: In unadjusted analyses, all viruses and pathogenic bacteria identified during episodes of troublesome lung symptoms were associated with increased risk of asthma by age 7 years with similar odds ratios for all viruses and pathogenic bacteria. After adjustment for the frequency of respiratory episodes, the particular triggers were no longer associated with asthma. Conclusion: The number of respiratory episodes in the first years of life, but not the particular viral trigger, was associated with later asthma development. This suggests that future research should focus on the susceptibility and exaggerated response to lower respiratory tract infections in general rather than on the specific triggering agent.</t>
  </si>
  <si>
    <t xml:space="preserve">[Bonnelykke, Klaus; Vissing, Nadja Hawwa; Sevelsted, Astrid; Bisgaard, Hans] Univ Copenhagen, Fac Hlth &amp; Med Sci, Copenhagen Prospect Studies Asthma Childhood, DK-2820 Gentofte, Denmark; [Bonnelykke, Klaus; Vissing, Nadja Hawwa; Sevelsted, Astrid; Bisgaard, Hans] Univ Copenhagen, Gentofte Hosp, Danish Pediat Asthma Ctr, DK-2820 Gentofte, Denmark; [Johnston, Sebastian L.] Univ London Imperial Coll Sci Technol &amp; Med, Natl Heart &amp; Lung Inst, MRC, Airway Dis Infect Sect, London SW7 2AZ, England; [Johnston, Sebastian L.] Univ London Imperial Coll Sci Technol &amp; Med, Natl Heart &amp; Lung Inst, Asthma UK Ctr Allerg Mech Asthma, London SW7 2AZ, England; [Johnston, Sebastian L.] Univ London Imperial Coll Sci Technol &amp; Med, Natl Heart &amp; Lung Inst, Ctr Resp Infect, London SW7 2AZ, England</t>
  </si>
  <si>
    <t xml:space="preserve">University of Copenhagen; University of Copenhagen; Herlev &amp; Gentofte Hospital; Imperial College London; Imperial College London; University of London; King's College London; Imperial College London</t>
  </si>
  <si>
    <t xml:space="preserve">Bisgaard, H (corresponding author), Univ Copenhagen, Fac Hlth &amp; Med Sci, Copenhagen Prospect Studies Asthma Childhood, Denmark Ledreborg Alle 34, DK-2820 Gentofte, Denmark.</t>
  </si>
  <si>
    <t xml:space="preserve">bisgaard@copsac.com</t>
  </si>
  <si>
    <t xml:space="preserve">Team, Dream/KMA-7859-2024; Vissing, Nadja/KHD-9588-2024; Johnston, Sebastian/I-2423-2012; Bisgaard, Hans/N-4761-2016</t>
  </si>
  <si>
    <t xml:space="preserve">Bisgaard, Hans/0000-0003-4131-7592; sevelsted, astrid/0000-0001-7117-2334; Johnston, Sebastian/0000-0003-3009-9200; Bonnelykke, Klaus/0000-0003-2003-1018</t>
  </si>
  <si>
    <t xml:space="preserve">Lundbeck Foundation [R16-A1694]; Ministry of Health [903516]; Danish Council for Strategic Research [0603-00280B]; Danish Council for Independent Research; Capital Region Research Foundation; Thermo Fischer Scientific Inc; ERC [233015]; Chair from Asthma UK [CH11SJ]; MRC Centre Grant [G1000758]; Predicta FP7 Collaborative Project grant [260895]; National Institutes of Health; European Research Council; Novo Nordisk</t>
  </si>
  <si>
    <t xml:space="preserve">Lundbeck Foundation(Lundbeckfonden); Ministry of Health; Danish Council for Strategic Research(Danske Strategiske Forskningsrad (DSF)); Danish Council for Independent Research(Det Frie Forskningsrad (DFF)); Capital Region Research Foundation; Thermo Fischer Scientific Inc; ERC(European Research Council (ERC)); Chair from Asthma UK; MRC Centre Grant(UK Research &amp; Innovation (UKRI)Medical Research Council UK (MRC)); Predicta FP7 Collaborative Project grant; National Institutes of Health(United States Department of Health &amp; Human ServicesNational Institutes of Health (NIH) - USA); European Research Council(European Research Council (ERC)); Novo Nordisk(Novo NordiskNovo Nordisk Foundation)</t>
  </si>
  <si>
    <t xml:space="preserve">Copenhagen Prospective Studies on Asthma in Childhood (COPSAC) is funded by private and public research funds all listed on www.copsac.com. The Lundbeck Foundation (grant no. R16-A1694); the Ministry of Health (grant no. 903516); the Danish Council for Strategic Research (grant no. 0603-00280B); the Danish Council for Independent Research and the Capital Region Research Foundation have provided core support for COPSAC. Thermo Fischer Scientific Inc sponsored the IgE analyses. No pharmaceutical company was involved in the study. The funding agencies did not have any role in design and conduct of the study; collection, management, and interpretation of the data; or preparation, review, or approval of the manuscript. S. L. Johnston is supported by ERC FP7 Advanced grant 233015, a Chair from Asthma UK (CH11SJ), MRC Centre Grant G1000758, and Predicta FP7 Collaborative Project grant 260895. H. Bisgaard is employed by the Capital Region of Denmark, which has received funding from the Lundbeck Foundation and has received or has grants pending from the European Research Council, National Institutes of Health, and Novo Nordisk and has received compensation for providing expert testimony from the European Medicines Agency. The rest of the authors declare that they have no relevant conflicts of interest.</t>
  </si>
  <si>
    <t xml:space="preserve">U164</t>
  </si>
  <si>
    <t xml:space="preserve">10.1016/j.jaci.2015.02.024</t>
  </si>
  <si>
    <t xml:space="preserve">CM2WE</t>
  </si>
  <si>
    <t xml:space="preserve">WOS:000357542200009</t>
  </si>
  <si>
    <t xml:space="preserve">Syha, R; Beck, R; Hetzel, J; Ketelsen, D; Grosse, U; Springer, F; Horger, M</t>
  </si>
  <si>
    <t xml:space="preserve">Syha, R.; Beck, R.; Hetzel, J.; Ketelsen, D.; Grosse, U.; Springer, F.; Horger, M.</t>
  </si>
  <si>
    <t xml:space="preserve">Humane metapneumovirus (HMPV) associated pulmonary infections in immunocompromised adults-Initial CT findings, disease course and comparison to respiratory-syncytial-virus (RSV) induced pulmonary infections</t>
  </si>
  <si>
    <t xml:space="preserve">EUROPEAN JOURNAL OF RADIOLOGY</t>
  </si>
  <si>
    <t xml:space="preserve">Chest computed tomography (CT); Humane metapneumovirus (HMPV); Respiratory-syncytial-virus (RSV); Pneumonia</t>
  </si>
  <si>
    <t xml:space="preserve">LUNG-TRANSPLANT RECIPIENTS; TRACT INFECTIONS; CHILDREN; YOUNG</t>
  </si>
  <si>
    <t xml:space="preserve">Aim: To describe computed tomography (CT)-imaging findings in human metapneumovirus (HMPV)-related pulmonary infection as well as their temporal course and to analyze resemblances/differences to pulmonary infection induced by the closely related respiratory-syncytial-virus (RSV) in immunocompromised patients. Materials and methods: Chest-CT-scans of 10 HMPV PCR-positive patients experiencing pulmonary symptoms were evaluated retrospectively with respect to imaging findings and their distribution and results were then compared with data acquired in 13 patients with RSV pulmonary infection. Subsequently, we analyzed the course of chest-findings in HMPV patients. Results: In HMPV, 8/10 patients showed asymmetric pulmonary findings, whereas 13/13 patients with RSV-pneumonia presented more symmetrical bilateral pulmonary infiltrates. Image analysis yielded in HMPV patients following results: ground-glass-opacity (GGO) (n = 6), parenchymal airspace consolidations (n = 5), ill-defined nodular-like centrilobular opacities (n = 9), bronchial wall thickening (n = 8). In comparison, results in RSV patients were: GGO (n = 10), parenchymal airspace consolidations (n = 9), ill-defined nodular-like centrilobular opacities (n = 10), bronchial wall thickening (n = 4). In the course of the disease, signs of acute HMPV interstitial pneumonia regressed transforming temporarily in part into findings compatible with bronchitis/bronchiolitis. Conclusions: Early chest-CT findings in patients with HMPV-related pulmonary symptoms are compatible with asymmetric acute interstitial pneumonia accompanied by signs of bronchitis; the former transforming with time into bronchitis and bronchiolitis before they resolve. On the contrary, RSV-induced pulmonary infection exhibits mainly symmetric acute interstitial pneumonia. (C) 2012 Elsevier Ireland Ltd. All rights reserved.</t>
  </si>
  <si>
    <t xml:space="preserve">[Syha, R.; Ketelsen, D.; Grosse, U.; Springer, F.; Horger, M.] Univ Tubingen, Dept Diagnost Radiol, D-72076 Tubingen, Germany; [Beck, R.] Univ Tubingen, Inst Med Virol, D-72076 Tubingen, Germany; [Hetzel, J.] Univ Tubingen, Dept Med Oncol &amp; Hematol, D-72070 Tubingen, Germany</t>
  </si>
  <si>
    <t xml:space="preserve">Eberhard Karls University of Tubingen; Eberhard Karls University Hospital; Eberhard Karls University of Tubingen; Eberhard Karls University Hospital; Eberhard Karls University of Tubingen</t>
  </si>
  <si>
    <t xml:space="preserve">Syha, R (corresponding author), Univ Tubingen, Dept Diagnost Radiol, Hoppe Seyler Str 3, D-72076 Tubingen, Germany.</t>
  </si>
  <si>
    <t xml:space="preserve">roland.syha@med.uni-tuebingen.de</t>
  </si>
  <si>
    <t xml:space="preserve">Syha, Roland/A-9675-2016; Ketelsen, Dominik/A-1143-2012</t>
  </si>
  <si>
    <t xml:space="preserve">Ketelsen, Dominik/0000-0002-7333-8024</t>
  </si>
  <si>
    <t xml:space="preserve">0720-048X</t>
  </si>
  <si>
    <t xml:space="preserve">EUR J RADIOL</t>
  </si>
  <si>
    <t xml:space="preserve">Eur. J. Radiol.</t>
  </si>
  <si>
    <t xml:space="preserve">10.1016/j.ejrad.2012.06.024</t>
  </si>
  <si>
    <t xml:space="preserve">040RO</t>
  </si>
  <si>
    <t xml:space="preserve">WOS:000311340800078</t>
  </si>
  <si>
    <t xml:space="preserve">Zhang, GQ; Wang, KM; Ba, LM; Dong, SM; Gao, JM</t>
  </si>
  <si>
    <t xml:space="preserve">Zhang, Guiqian; Wang, Kaimei; Ba, Limei; Dong, Shumei; Gao, Jianmei</t>
  </si>
  <si>
    <t xml:space="preserve">Dynamic changes in the circulation of respiratory pathogens in children during and after the containment of the 2019 coronavirus disease pandemic in Kunming, China</t>
  </si>
  <si>
    <t xml:space="preserve">Change; Respiratory pathogen; Children; 2019 coronavirus disease; Pandemic; Kunming</t>
  </si>
  <si>
    <t xml:space="preserve">Purpose We aimed to determine the changes in the frequency of respiratory pathogens and severe acute respiratory syndrome coronavirus 2 (SARS-CoV-2) during containment of the 2019 coronavirus disease pandemic and elucidate the epidemiological interference that may have occurred after lifting pandemic measures. Methods A total of 4,770 Nasopharyngeal swab samples were collected from children with ARTIs from the First People's Hospital of Yunnan Province between January 2022 and December 2023 and subjected to nucleic acid testing for 13 types of respiratory pathogens and severe acute respiratory syndrome coronavirus 2 (SARS-CoV-2). Results The frequency of pathogens among children from 2020 to 2022 was in the following order: HRV &gt; Mp &gt; HADV &gt; H3N2 &gt; HMPV and HRV &gt; HRSV &gt; HPIV &gt; H1N1 &gt; H3N2. In weeks 1 to 3 of 2023, the frequency of pathogens significantly declined, and then H1N1 rebounded significantly in 2023. HRV, HRSV, and H3N2 showed a shift in the season of high frequency. Patterns of multi-pathogen infections were more complex in 2023 than in 2022, with HRV having a higher frequency and co-infection rate than other pathogens. These changes may have been associated with interference caused by the resurgence of SARS-CoV-2 prevalence, in addition to being influenced by changes in pandemic containment and lifting measures. Conclusions The frequency rate of common respiratory pathogens among children was not significantly different and remained high. The study findings help elucidate the aforementioned unique historical period and effectively control respiratory tract infections to reduce the harm to pediatric health caused by respiratory pathogens.</t>
  </si>
  <si>
    <t xml:space="preserve">[Zhang, Guiqian; Ba, Limei] Kunming Univ Sci &amp; Technol, Peoples Hosp Yunnan Prov 1, Dept Clin Lab, Affiliated Hosp, Kunming, Yunnan, Peoples R China; [Zhang, Guiqian; Gao, Jianmei] Kunming Univ Sci &amp; Technol, Peoples Hosp Yunnan Prov 1, Inst Basic &amp; Clin Med, Yunnan Prov Key Lab Clin Virol,Affiliated Hosp, 157 Jinbi Rd, Kunming 650100, Peoples R China; [Wang, Kaimei; Dong, Shumei] Yunnan Univ Business Management, Dept Med Technol, Kunming, Yunnan, Peoples R China</t>
  </si>
  <si>
    <t xml:space="preserve">Kunming University of Science &amp; Technology; Kunming University of Science &amp; Technology</t>
  </si>
  <si>
    <t xml:space="preserve">Gao, JM (corresponding author), Kunming Univ Sci &amp; Technol, Peoples Hosp Yunnan Prov 1, Inst Basic &amp; Clin Med, Yunnan Prov Key Lab Clin Virol,Affiliated Hosp, 157 Jinbi Rd, Kunming 650100, Peoples R China.</t>
  </si>
  <si>
    <t xml:space="preserve">gaojm7609@163.com</t>
  </si>
  <si>
    <t xml:space="preserve">gao, jianmei/JJE-0801-2023</t>
  </si>
  <si>
    <t xml:space="preserve">National Natural Science Foundation of China</t>
  </si>
  <si>
    <t xml:space="preserve">The authors thank all the staff of the First People's Hospital of Yunnan Province who participated in the sample collection and all the participants for their contribution to the study.</t>
  </si>
  <si>
    <t xml:space="preserve">10.1007/s10096-024-04945-1</t>
  </si>
  <si>
    <t xml:space="preserve">SEP 2024</t>
  </si>
  <si>
    <t xml:space="preserve">N8W6X</t>
  </si>
  <si>
    <t xml:space="preserve">WOS:001315593500001</t>
  </si>
  <si>
    <t xml:space="preserve">Wang, JZ; Yuan, D; Yang, XH; Sun, CH; Hou, LL; Zhang, Y; Xie, HX; Gao, YX</t>
  </si>
  <si>
    <t xml:space="preserve">Wang, Jin-Zhu; Yuan, Ding; Yang, Xiang-Hong; Sun, Chang-Hua; Hou, Lin-lin; Zhang, Yan; Xie, Hong-Xiang; Gao, Yan-Xia</t>
  </si>
  <si>
    <t xml:space="preserve">Epidemiological and etiological characteristics of 1266 patients with severe acute respiratory infection in central China, 2018-2020: a retrospective survey</t>
  </si>
  <si>
    <t xml:space="preserve">Central China; Hospitalised patients; Severe acute respiratory infection; Respiratory pathogen; Epidemiologic characteristics</t>
  </si>
  <si>
    <t xml:space="preserve">HOSPITALIZED CHILDREN</t>
  </si>
  <si>
    <t xml:space="preserve">Background Severe acute respiratory infection (SARI), a significant global health concern, imposes a substantial disease burden. In China, there is inadequate data concerning the monitoring of respiratory pathogens, particularly bacteria, among patients with SARI. Therefore, this study aims to delineate the demographic, epidemiological, and aetiological characteristics of hospitalised SARI patients in Central China between 2018 and 2020.Methods Eligible patients with SARI admitted to the First Affiliated Hospital of Zhengzhou University between 1 January 2018 and 31 December 2020 were included in this retrospective study. Within the first 24 h of admission, respiratory (including sputum, nasal/throat swabs, bronchoalveolar lavage fluid, thoracocentesis fluid, etc.), urine, and peripheral blood specimens were collected for viral and bacterial testing. A multiplex real-time polymerase chain reaction (PCR) diagnostic approach was used to identify human influenza virus, respiratory syncytial virus, parainfluenza virus, adenovirus, human bocavirus, human coronavirus, human metapneumovirus, and rhinovirus. Bacterial cultures of respiratory specimens were performed with a particular focus on pathogenic microorganisms, including S. pneumoniae, S. aureus, K. pneumoniae, P. aeruginosa, Strep A, H. influenzae, A. baumannii, and E. coli. In cases where bacterial culture results were negative, nucleic acid extraction was performed for PCR to assay for the above-mentioned eight bacteria, as well as L. pneumophila and M. pneumoniae. Additionally, urine specimens were exclusively used to detect Legionella antigens. Furthermore, epidemiological, demographic, and clinical data were obtained from electronic medical records.Results The study encompassed 1266 patients, with a mean age of 54 years, among whom 61.6% (780/1266) were males, 61.4% (778/1266) were farmers, and 88.8% (1124/1266) sought medical treatment in 2020. Moreover, 80.3% (1017/1266) were housed in general wards. The most common respiratory symptoms included fever (86.8%, 1122/1266) and cough (77.8%, 986/1266). Chest imaging anomalies were detected in 62.6% (792/1266) of cases, and 58.1% (736/1266) exhibited at least one respiratory pathogen, with 28.5% (361/1266) having multiple infections. Additionally, 95.7% (1212/1266) of the patients were from Henan Province, with the highest proportion (38.3%, 486/1266) falling in the 61-80 years age bracket, predominantly (79.8%, 1010/1266) seeking medical aid in summer and autumn. Bacterial detection rate (39.0%, 495/1266) was higher than viral detection rate (36.9%, 468/1266), with the primary pathogens being influenza virus (13.8%, 175/1266), K. pneumoniae (10.0%, 127/1266), S. pneumoniae (10.0%, 127/1266), adenovirus (8.2%, 105/1266), P. aeruginosa (8.2%, 105/1266), M. pneumoniae (7.8%, 100/1266), and respiratory syncytial virus (7.7%, 98/1266). During spring and winter, there was a significant prevalence of influenza virus and human coronavirus, contrasting with the dominance of parainfluenza viruses in summer and autumn. Respiratory syncytial virus and rhinovirus exhibited higher prevalence across spring, summer, and winter. P. aeruginosa, K. pneumoniae, and M. pneumoniae were identified at similar rates throughout all seasons without distinct spikes in prevalence. However, S. pneumoniae showed a distinctive pattern with a prevalence that doubled during summer and winter. Moreover, the positive detection rates of various other viruses and bacteria were lower, displaying a comparatively erratic prevalence trend. Among patients admitted to the intensive care unit, the predominant nosocomial bacteria were K. pneumoniae (17.2%, 43/249), A. baumannii (13.6%, 34/249), and P. aeruginosa (12.4%, 31/249). Conversely, in patients from general wards, predominant pathogens included influenza virus (14.8%, 151/1017), S. pneumoniae (10.4%, 106/1017), and adenovirus (9.3%, 95/1017). Additionally, paediatric patients exhibited significantly higher positive detection rates for influenza virus (23.9%, 11/46) and M. pneumoniae (32.6%, 15/46) compared to adults and the elderly. Furthermore, adenovirus (10.0%, 67/669) and rhinovirus (6.4%, 43/669) were the primary pathogens in adults, while K. pneumoniae (11.8%, 65/551) and A. baumannii (7.1%, 39/551) prevailed among the elderly, indicating significant differences among the three age groups.Discussion In Central China, among patients with SARI, the prevailing viruses included influenza virus, adenovirus, and respiratory syncytial virus. Among bacteria, K. pneumoniae, S. pneumoniae, P. aeruginosa, and M. pneumoniae were frequently identified, with multiple infections being very common. Additionally, there were substantial variations in the pathogen spectrum compositions concerning wards and age groups among patients. Consequently, this study holds promise in offering insights to the government for developing strategies aimed at preventing and managing respiratory infectious diseases effectively.</t>
  </si>
  <si>
    <t xml:space="preserve">[Wang, Jin-Zhu; Yang, Xiang-Hong] Zhejiang Prov Peoples Hosp, Affiliated Peoples Hosp, Hangzhou Med Coll, Emergency &amp; Crit Care Ctr,Intens Care Unit, Hangzhou 310014, Zhejiang, Peoples R China; [Wang, Jin-Zhu; Yuan, Ding; Sun, Chang-Hua; Hou, Lin-lin; Zhang, Yan; Gao, Yan-Xia] Zhengzhou Univ, Affiliated Hosp 1, Emergency Dept, Zhengzhou 450001, Henan, Peoples R China; [Xie, Hong-Xiang] Shandong First Med Univ &amp; Shandong Prov Qianfoshan, Affiliated Hosp 1, Dept Clin Lab Med, Jinan 250014, Shandong, Peoples R China; [Xie, Hong-Xiang] Zhejiang Prov Peoples Hosp, Affiliated Peoples Hosp, Hangzhou Med Coll, Lab Med Ctr,Dept Clin Lab, Hangzhou 310014, Zhejiang, Peoples R China</t>
  </si>
  <si>
    <t xml:space="preserve">Hangzhou Medical College; Zhejiang Provincial People's Hospital; Zhengzhou University; Hangzhou Medical College; Zhejiang Provincial People's Hospital</t>
  </si>
  <si>
    <t xml:space="preserve">Gao, YX (corresponding author), Zhengzhou Univ, Affiliated Hosp 1, Emergency Dept, Zhengzhou 450001, Henan, Peoples R China.;Xie, HX (corresponding author), Shandong First Med Univ &amp; Shandong Prov Qianfoshan, Affiliated Hosp 1, Dept Clin Lab Med, Jinan 250014, Shandong, Peoples R China.;Xie, HX (corresponding author), Zhejiang Prov Peoples Hosp, Affiliated Peoples Hosp, Hangzhou Med Coll, Lab Med Ctr,Dept Clin Lab, Hangzhou 310014, Zhejiang, Peoples R China.</t>
  </si>
  <si>
    <t xml:space="preserve">xiehongxiang007@163.com; gaoyanxiazzu@163.com</t>
  </si>
  <si>
    <t xml:space="preserve">yanxia, gao/AFZ-6358-2022; Hou, Lin/N-5246-2018; Wang, Jinzhu/IUP-8156-2023</t>
  </si>
  <si>
    <t xml:space="preserve">National Natural Science Foundation of China [82172180]; Medical Science and Technology Joint Project of Henan Province [LHGJ20220333]; Key Scientific Research Projects of Institutions of Higher Learning in Henan Province [23A320009]; Project of Primary Health Care Foundation of China [YLGX-JZ-2020001]; Soft Science Project of Henan Medical Science and Technology Project [RKX202202007]; Natural Science Foundation of Shandong Province [ZR2020MH116]; Basic Scientific Research Funds of Department of Education of Zhejiang Province [KYYB202216]</t>
  </si>
  <si>
    <t xml:space="preserve">National Natural Science Foundation of China(National Natural Science Foundation of China (NSFC)); Medical Science and Technology Joint Project of Henan Province; Key Scientific Research Projects of Institutions of Higher Learning in Henan Province; Project of Primary Health Care Foundation of China; Soft Science Project of Henan Medical Science and Technology Project; Natural Science Foundation of Shandong Province(Natural Science Foundation of Shandong Province); Basic Scientific Research Funds of Department of Education of Zhejiang Province</t>
  </si>
  <si>
    <t xml:space="preserve">This work was supported by the National Natural Science Foundation of China [Grant No. 82172180], the Medical Science and Technology Joint Project of Henan Province [Grant No. LHGJ20220333], the Key Scientific Research Projects of Institutions of Higher Learning in Henan Province [Grant No. 23A320009], the Project of Primary Health Care Foundation of China [Grant No. YLGX-JZ-2020001], the Soft Science Project of Henan Medical Science and Technology Project [Grant No.RKX202202007], the Natural Science Foundation of Shandong Province [Grant No.ZR2020MH116] and Basic Scientific Research Funds of Department of Education of Zhejiang Province [Grant No.KYYB202216].</t>
  </si>
  <si>
    <t xml:space="preserve">APR 22</t>
  </si>
  <si>
    <t xml:space="preserve">10.1186/s12879-024-09297-x</t>
  </si>
  <si>
    <t xml:space="preserve">OH3S0</t>
  </si>
  <si>
    <t xml:space="preserve">WOS:001206346900006</t>
  </si>
  <si>
    <t xml:space="preserve">Simon, AY; Sasaki, N; Ichii, O; Kajino, K; Kon, Y; Agui, T</t>
  </si>
  <si>
    <t xml:space="preserve">Simon, Ayo Yila; Sasaki, Nobuya; Ichii, Osamu; Kajino, Kiichi; Kon, Yasuhiro; Agui, Takashi</t>
  </si>
  <si>
    <t xml:space="preserve">Distinctive and critical roles for cellular immunity and immune-inflammatory response in the immunopathology of Sendai virus infection in mice</t>
  </si>
  <si>
    <t xml:space="preserve">Cellular immunity; Immune-inflammatory response; Gene expression analysis; Immunopathology; Sendai virus (HVJ); Inbred mouse</t>
  </si>
  <si>
    <t xml:space="preserve">RESPIRATORY SYNCYTIAL VIRUS; CHEMOKINE GENE-EXPRESSION; INFLUENZA-A; T-CELLS; HUMAN PARAINFLUENZA; HUMAN METAPNEUMOVIRUS; TYPE-1; INTERFERON; INDUCTION; CYTOKINES</t>
  </si>
  <si>
    <t xml:space="preserve">Respiratory viral infections result in severe pulmonary injury, to which host immune response may be a significant contributor. At present, it is not entirely clear the extent to which lung injury is a necessary consequence of host defense. In this report, we use functional genomics approach to characterize the key roles of cellular immunity and immune-inflammatory response in the immunopathology of Sendai virus infection in resistant C57BL/6J and susceptible DBA/2J mice. Infected mice manifested an immune-inflammatory response characterized by the pulmonary influx of neutrophils and mononuclear cells. DBA/2J mice mounted a vigorous immune response, with significant up-regulation of cytokine/chemokine genes in two successive waves through the course of infection. Whereas, C57BL/6J mice displayed an efficient immune response with less severe pathology and clusters of immune-inflammatory responsive genes were exclusively up-regulated on day 4 in this strain. Overall, DBA/2J mice exhibited a dysregulated hyper-inflammatory cytokine/chemokine cascades that does not limit viral spread resulting in a predisposition to severe lung pathology. This response is similar to severe human respiratory paramyxovirus infections, which will serve as a model for the elucidation of hyper-immune inflammatory response that result to severe immunopathology in respiratory viral infections. (C) 2011 Institut Pasteur. Published by Elsevier Masson SAS. All rights reserved.</t>
  </si>
  <si>
    <t xml:space="preserve">[Simon, Ayo Yila; Sasaki, Nobuya; Agui, Takashi] Hokkaido Univ, Lab Lab Anim Sci &amp; Med, Dept Dis Control, Grad Sch Vet Med,Kita Ku, Sapporo, Hokkaido 0600818, Japan; [Ichii, Osamu; Kon, Yasuhiro] Hokkaido Univ, Anat Lab, Dept Biomed Sci, Grad Sch Vet Med,Kita Ku, Sapporo, Hokkaido 0600818, Japan; [Kajino, Kiichi] Hokkaido Univ, Dept Collaborat &amp; Educ, Res Ctr Zoonosis Control, Kita Ku, Sapporo, Hokkaido 0010020, Japan</t>
  </si>
  <si>
    <t xml:space="preserve">Hokkaido University; Hokkaido University; Hokkaido University</t>
  </si>
  <si>
    <t xml:space="preserve">Simon, AY (corresponding author), Hokkaido Univ, Lab Lab Anim Sci &amp; Med, Dept Dis Control, Grad Sch Vet Med,Kita Ku, Kita 18,Nishi 9, Sapporo, Hokkaido 0600818, Japan.</t>
  </si>
  <si>
    <t xml:space="preserve">syila523@hotmail.com</t>
  </si>
  <si>
    <t xml:space="preserve">Kon, Yasuhiro/F-8525-2012; Sasaki, Nobuya/F-6579-2012; Kajino, Kiichi/F-6873-2012; Ichii, Osamu/JFB-2112-2023</t>
  </si>
  <si>
    <t xml:space="preserve">Ichii, Osamu/0000-0002-6643-1554</t>
  </si>
  <si>
    <t xml:space="preserve">Ministry of Education, Culture, Sports, Science and Technology, Japan; Global COE Program; Japanese Society for the Promotion of Science; Grants-in-Aid for Scientific Research [22500381] Funding Source: KAKEN</t>
  </si>
  <si>
    <t xml:space="preserve">Ministry of Education, Culture, Sports, Science and Technology, Japan(Ministry of Education, Culture, Sports, Science and Technology, Japan (MEXT)); Global COE Program(Ministry of Education, Culture, Sports, Science and Technology, Japan (MEXT)); Japanese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</si>
  <si>
    <t xml:space="preserve">We thank Prof. H. Iwai, Rakuno Gakuen University, for providing the stock of SeV, MN strain. SAY was supported by a study fellowship awarded by the Ministry of Education, Culture, Sports, Science and Technology, Japan. This work was supported in part by the Global COE Program (gsl), 'Establishment of International Collaboration Centers for Zoonosis Control' from the Japanese Society for the Promotion of Science and Ministry of Education, Culture, Sports, Science and Technology, Japan.</t>
  </si>
  <si>
    <t xml:space="preserve">8-9</t>
  </si>
  <si>
    <t xml:space="preserve">10.1016/j.micinf.2011.04.003</t>
  </si>
  <si>
    <t xml:space="preserve">797IS</t>
  </si>
  <si>
    <t xml:space="preserve">WOS:000293118300010</t>
  </si>
  <si>
    <t xml:space="preserve">Viana, RMM; Souza, JP; Jorge, DMM; Martins, RB; Castro, IA; Cardoso, RS; Volpini, LPB; Luna, LDK; Spano, LC; Bellei, NCJ; Chahud, F; Arruda, E; Hyppolito, MA</t>
  </si>
  <si>
    <t xml:space="preserve">Viana, Rosa M. M.; Souza, Juliano P.; Jorge, Daniel M. M.; Martins, Ronaldo B.; Castro, Italo A.; Cardoso, Ricardo S.; Volpini, Lays P. B.; de Souza Luna, Luciano K.; Spano, Liliana C.; Bellei, Nancy C. J.; Chahud, Fernando; Arruda, Eurico; A. Hyppolito, Miguel</t>
  </si>
  <si>
    <t xml:space="preserve">Detection of respiratory viruses in primary cholesteatoma tissues</t>
  </si>
  <si>
    <t xml:space="preserve">cell susceptibility; oncogenes; reservoir</t>
  </si>
  <si>
    <t xml:space="preserve">OTITIS-MEDIA; ADENOIDECTOMY; TUBE</t>
  </si>
  <si>
    <t xml:space="preserve">Cholesteatomas are frequent middle ear benign tumors of unknown etiology. Infectious agents have been considered as possible contributing factors in the pathogenesis of cholesteatomas. Aiming to investigate the presence of respiratory viruses in primary cholesteatoma tissues, 26 formalin-fixed paraffin-embedded primary cholesteatoma tissues obtained from patients seen at the of the Clinical Hospital of the University of Sao Paulo School of Medicine, in Ribeirao Preto, Brazil were tested by real-time polymerase chain reaction (PCR). Considering the PCR results, 35% of the tissues were positive for human rhinovirus (HRV), 15.3% for human enterovirus (EV), 3.8% for human metapneumovirus (HMPV), and 3.8% for human bocavirus (HBoV). Serial immunohistochemistry for virus antigens and cell surface markers evidenced that the viruses were associated with fibroblasts, dendritic cells, macrophages, B lymphocytes, CD4(+), and CD8(+) T lymphocytes. These findings indicate for the first time the presence of active respiratory virus infection in primary cholesteatoma tissues, suggesting that persisting virus infection in the middle could play a role in the pathogenesis and evolution of cholesteatomas.</t>
  </si>
  <si>
    <t xml:space="preserve">[Viana, Rosa M. M.; A. Hyppolito, Miguel] Univ Sao Paulo, Ribeirao Preto Sch Med, Dept Ophthalmol Otorhinolaryngol &amp; Head &amp; Surg, BR-14049900 Ribeirao Preto, SP, Brazil; [Viana, Rosa M. M.; Souza, Juliano P.; Jorge, Daniel M. M.; Martins, Ronaldo B.; Castro, Italo A.; Cardoso, Ricardo S.; Arruda, Eurico] Univ Sao Paulo, Ribeirao Preto Sch Med, Dept Mol &amp; Cell Biol, Ribeirao Preto, SP, Brazil; [Volpini, Lays P. B.; Spano, Liliana C.] Univ Fed Espirito Santo, Postgrad Program Infect Dis, Vitoria, ES, Brazil; [de Souza Luna, Luciano K.; Bellei, Nancy C. J.] Sao Paulo Fed Univ, Infect Dis Unit, Clin Virol Lab, Med Dept, Sao Paulo, Brazil; [Spano, Liliana C.] Univ Fed Espirito Santo, Ctr Hlth Sci, Dept Pathol, Vitoria, ES, Brazil; [Chahud, Fernando] Univ Sao Paulo, Ribeirao Preto Sch Med, Dept Pathol &amp; Forens Med, Sao Paulo, Brazil</t>
  </si>
  <si>
    <t xml:space="preserve">Universidade de Sao Paulo; Universidade de Sao Paulo; Universidade Federal do Espirito Santo; Universidade Federal de Sao Paulo (UNIFESP); Universidade Federal do Espirito Santo; Universidade de Sao Paulo</t>
  </si>
  <si>
    <t xml:space="preserve">Viana, RMM (corresponding author), Univ Sao Paulo, Ribeirao Preto Sch Med, Dept Ophthalmol Otorhinolaryngol &amp; Head &amp; Surg, BR-14049900 Ribeirao Preto, SP, Brazil.</t>
  </si>
  <si>
    <t xml:space="preserve">rosamendes1993@gmail.com</t>
  </si>
  <si>
    <t xml:space="preserve">Martins, Ronaldo/U-1118-2017; de Souza Luna, Luciano Kleber/L-1213-2013; Castro, Italo/AAR-3847-2020; Cardoso, Ricardo/ABB-2122-2020; Jorge, Daniel/B-4533-2010; Bellei, Nancy/D-8641-2016; Hyppolito, Miguel/H-5299-2012</t>
  </si>
  <si>
    <t xml:space="preserve">Bellei, Nancy/0000-0001-6080-5693; de Souza Cardoso, Ricardo/0000-0003-2858-2076; Hyppolito, Miguel/0000-0001-9688-782X; de Souza Luna, Luciano Kleber/0000-0002-3552-5507; Arruda, Eurico/0000-0002-0978-410X</t>
  </si>
  <si>
    <t xml:space="preserve">Sao Paulo State Research Foundation (FAPESP); Brazilian National Research Council (CNPq); Coordination for the Improvement of Higher Education Personnel (CAPES)</t>
  </si>
  <si>
    <t xml:space="preserve">Sao Paulo State Research Foundation (FAPESP)(Fundacao de Amparo a Pesquisa do Estado de Sao Paulo (FAPESP)); Brazilian National Research Council (CNPq)(Conselho Nacional de Desenvolvimento Cientifico e Tecnologico (CNPQ)); Coordination for the Improvement of Higher Education Personnel (CAPES)(Coordenacao de Aperfeicoamento de Pessoal de Nivel Superior (CAPES))</t>
  </si>
  <si>
    <t xml:space="preserve">10.1002/jmv.27107</t>
  </si>
  <si>
    <t xml:space="preserve">UQ4CA</t>
  </si>
  <si>
    <t xml:space="preserve">WOS:000659467600001</t>
  </si>
  <si>
    <t xml:space="preserve">Tingaud, V; Bordes, C; Al Mouazen, E; Cogné, C; Bolzinger, MA; Lawton, P</t>
  </si>
  <si>
    <t xml:space="preserve">Tingaud, Valentine; Bordes, Claire; Al Mouazen, Eyad; Cogne, Claudia; Bolzinger, Marie-Alexandrine; Lawton, Philippe</t>
  </si>
  <si>
    <t xml:space="preserve">Experimental studies from shake flasks to 3 L stirred tank bioreactor of nutrients and oxygen supply conditions to improve the growth of the avian cell line DuckCelt®-T17</t>
  </si>
  <si>
    <t xml:space="preserve">JOURNAL OF BIOLOGICAL ENGINEERING</t>
  </si>
  <si>
    <t xml:space="preserve">Cell growth; DuckCelt (R)-T17 avian cell line; Fed-batch culture; Glutamax; Nutrient supplementation</t>
  </si>
  <si>
    <t xml:space="preserve">CULTURE; PLATFORM; LACTATE; METABOLISM; SUBSTRATE; VACCINES; VIRUSES; SYSTEM; MVA</t>
  </si>
  <si>
    <t xml:space="preserve">Background To produce viral vaccines, avian cell lines are interesting alternatives to replace the egg-derived processes for viruses that do not grow well on mammalian cells. The avian suspension cell line DuckCelt (R)-T17 was previously studied and investigated to produce a live attenuated metapneumovirus (hMPV)/respiratory syncytial virus (RSV) and influenza virus vaccines. However, a better understanding of its culture process is necessary for an efficient production of viral particles in bioreactors. Results The growth and metabolic requirements of the avian cell line DuckCelt (R)-T17 were investigated to improve its cultivation parameters. Several nutrient supplementation strategies were studied in shake flasks highlighting the interest of (i) replacing L-glutamine by glutamax as main nutrient or (ii) adding these two nutrients in the serum-free growth medium in a fed-batch strategy. The scale-up in a 3 L bioreactor was successful for these types of strategies confirming their efficiencies in improving the cells' growth and viability. Moreover, a perfusion feasibility test allowed to achieve up to similar to 3 times the maximum number of viable cells obtained with the batch or fed-batch strategies. Finally, a strong oxygen supply - 50% dO(2) - had a deleterious effect on DuckCelt (R)-T17 viability, certainly because of the greater hydrodynamic stress imposed. Conclusions The culture process using glutamax supplementation with a batch or a fed-batch strategy was successfully scaled-up to 3 L bioreactor. In addition, perfusion appeared as a very promising culture process for subsequent continuous virus harvesting.</t>
  </si>
  <si>
    <t xml:space="preserve">[Tingaud, Valentine; Bordes, Claire; Al Mouazen, Eyad; Cogne, Claudia; Bolzinger, Marie-Alexandrine; Lawton, Philippe] Univ Claude Bernard Lyon 1, GePharm Team, Lab Automat Genie Proc &amp; Genie Pharmaceut, LAGEPP,CNRS,UMR5007, 43 Blvd 11 Novembre 1918, F-69622 Villeurbanne, France; [Lawton, Philippe] Univ Claude Bernard Lyon 1, Lab Automat Genie Proc &amp; Genie Pharmaceut, ISPB, 8 Ave Rockefeller, F-69373 Lyon 08, France</t>
  </si>
  <si>
    <t xml:space="preserve">Universite Claude Bernard Lyon 1; Centre National de la Recherche Scientifique (CNRS); CNRS - Institute for Engineering &amp; Systems Sciences (INSIS); Universite Claude Bernard Lyon 1</t>
  </si>
  <si>
    <t xml:space="preserve">Lawton, P (corresponding author), Univ Claude Bernard Lyon 1, GePharm Team, Lab Automat Genie Proc &amp; Genie Pharmaceut, LAGEPP,CNRS,UMR5007, 43 Blvd 11 Novembre 1918, F-69622 Villeurbanne, France.;Lawton, P (corresponding author), Univ Claude Bernard Lyon 1, Lab Automat Genie Proc &amp; Genie Pharmaceut, ISPB, 8 Ave Rockefeller, F-69373 Lyon 08, France.</t>
  </si>
  <si>
    <t xml:space="preserve">philippe.lawton@univ-lyon1.fr</t>
  </si>
  <si>
    <t xml:space="preserve">Lawton, Philippe/A-6656-2009; ALMOUAZEN, Eyad/O-7131-2019; Cogné, Claudia/KIA-2106-2024; Claire, Bordes/JAC-8323-2023</t>
  </si>
  <si>
    <t xml:space="preserve">Cogne, Claudia/0000-0002-5545-884X</t>
  </si>
  <si>
    <t xml:space="preserve">Agence Nationale de la Recherche [ANR AAP19 METAVAC-T17]</t>
  </si>
  <si>
    <t xml:space="preserve">Agence Nationale de la Recherche(Agence Nationale de la Recherche (ANR))</t>
  </si>
  <si>
    <t xml:space="preserve">This study was supported by a grant from Agence Nationale de la Recherche (ANR AAP19 METAVAC-T17). In this context, the DuckCelt (R) -T17 cells have been kindly provided by Vaxxel SAS (43 Boulevard du 11 Novembre 1918, 69100 Villeurbanne, France) via the Virpath team of the Centre International de Recherche en Infectiologie (7 rue Guillaume Paradin, 69008 Lyon, France).</t>
  </si>
  <si>
    <t xml:space="preserve">1754-1611</t>
  </si>
  <si>
    <t xml:space="preserve">J BIOL ENG</t>
  </si>
  <si>
    <t xml:space="preserve">J. Biol. Eng.</t>
  </si>
  <si>
    <t xml:space="preserve">APR 24</t>
  </si>
  <si>
    <t xml:space="preserve">10.1186/s13036-023-00349-5</t>
  </si>
  <si>
    <t xml:space="preserve">Biochemical Research Methods; Biotechnology &amp; Applied Microbiology</t>
  </si>
  <si>
    <t xml:space="preserve">Biochemistry &amp; Molecular Biology; Biotechnology &amp; Applied Microbiology</t>
  </si>
  <si>
    <t xml:space="preserve">E9RU8</t>
  </si>
  <si>
    <t xml:space="preserve">WOS:000978835900002</t>
  </si>
  <si>
    <t xml:space="preserve">Chen, SH; He, H; Yang, H; Tan, B; Liu, EM; Zhao, XD; Zhao, Y</t>
  </si>
  <si>
    <t xml:space="preserve">Chen, Suhua; He, Hao; Yang, Hui; Tan, Bin; Liu, Enmei; Zhao, Xiaodong; Zhao, Yao</t>
  </si>
  <si>
    <t xml:space="preserve">The role of lipid rafts in cell entry of human metapneumovirus</t>
  </si>
  <si>
    <t xml:space="preserve">cell entry; human metapneumovirus; lipid raft</t>
  </si>
  <si>
    <t xml:space="preserve">RESPIRATORY SYNCYTIAL VIRUS; FUSION PROTEIN; INFECTIONS; MEMBRANE; BURDEN; CHOLESTEROL; CIRCULATION; CHILDREN</t>
  </si>
  <si>
    <t xml:space="preserve">Human metapneumovirus (hMPV) is a crucial pathogen in children. A cell entry is the first step for infection. Our previous study indicated that there was an endocytosis pathway for hMPV cell entry. Lipid raft is a specific structure at the cell surface and it has been demonstrated to play an important role in endocytosis process of many viruses. In this study, we investigated whether and how lipid raft can take part in the hMPV entry. The confocal microscope was used to detect colocalization of hMPV and lipid raft marker. We demonstrated that colocalizations were increased along with the viral infection and hMPV particles transferred to the perinuclear region with lipid raft. When specific lipid raft inhibitors: methyl-beta cyclodextrin and nystatin were used, hMPV cell entry was inhibited and viral titer decreased dramatically. With the replenishment of exogenous cholesterol, hMPV recovered quickly. These data suggest that lipid raft plays an important role in hMPV endocytosis and maybe one of the pathways for hMPV cell entry.</t>
  </si>
  <si>
    <t xml:space="preserve">[Chen, Suhua; He, Hao; Yang, Hui; Tan, Bin; Liu, Enmei; Zhao, Xiaodong; Zhao, Yao] Chongqing Med Univ, Chongqing Key Lab Child Infect &amp; Immun, Minist Educ,Pediat Res Inst,Childrens Hosp, Key Lab Child Dev &amp; Disorders Int Sci &amp; Technol C, 136 Zhongshan 2nd Rd, Chongqing 400014, Peoples R China</t>
  </si>
  <si>
    <t xml:space="preserve">Zhao, Y (corresponding author), Chongqing Med Univ, Chongqing Key Lab Child Infect &amp; Immun, Minist Educ,Pediat Res Inst,Childrens Hosp, Key Lab Child Dev &amp; Disorders Int Sci &amp; Technol C, 136 Zhongshan 2nd Rd, Chongqing 400014, Peoples R China.</t>
  </si>
  <si>
    <t xml:space="preserve">National Natural Science Foundation of China [30800972, 81371876, 81701997]; Chongqing Science and Technology Bureau [cstc2017jcyjAX0043]; Chongqing Municipal Education Commission [2014-47-1-11]; Children's Hospital of Chongqing Medical University [2014-B-03]</t>
  </si>
  <si>
    <t xml:space="preserve">National Natural Science Foundation of China(National Natural Science Foundation of China (NSFC)); Chongqing Science and Technology Bureau; Chongqing Municipal Education Commission; Children's Hospital of Chongqing Medical University</t>
  </si>
  <si>
    <t xml:space="preserve">National Natural Science Foundation of China, Grant/Award Numbers: 30800972, 81371876, 81701997; Chongqing Science and Technology Bureau, Grant/Award Number: 20170403; Chongqing Science and Technology Bureau, Grant/Award Number: cstc2017jcyjAX0043; Chongqing Municipal Education Commission, Grant/Award Number: 2014-47-1-11; Children's Hospital of Chongqing Medical University, Grant/Award Number: 2014-B-03</t>
  </si>
  <si>
    <t xml:space="preserve">10.1002/jmv.25414</t>
  </si>
  <si>
    <t xml:space="preserve">WOS:000465087100007</t>
  </si>
  <si>
    <t xml:space="preserve">Puig-Barberà, J; Díez-Domingo, J; Arnedo-Pena, A; Ruiz-García, M; Pérez-Vilar, S; Micó-Esparza, JL; Belenguer-Varea, A; Carratalá-Munuera, C; Gil-Guillén, V; Schwarz-Chavarri, H</t>
  </si>
  <si>
    <t xml:space="preserve">Puig-Barbera, J.; Diez-Domingo, J.; Arnedo-Pena, A.; Ruiz-Garcia, M.; Perez-Vilar, S.; Mico-Esparza, J. L.; Belenguer-Varea, A.; Carratala-Munuera, C.; Gil-Guillen, V.; Schwarz-Chavarri, H.</t>
  </si>
  <si>
    <t xml:space="preserve">Effectiveness of the 2010-2011 seasonal influenza vaccine in preventing confirmed influenza hospitalizations in adults: A case-case comparison, case-control study</t>
  </si>
  <si>
    <t xml:space="preserve">Case-control studies; Hospitalizations; Humans; Influenza vaccines; Risk factors; Vaccines, Inactivated; Reverse transcriptase polymerase chain reaction; Influenza, Human/epidemiology; Respiratory syncytial virus infections/epidemiology</t>
  </si>
  <si>
    <t xml:space="preserve">REAL-TIME PCR; RESPIRATORY SYNCYTIAL VIRUS; HUMAN METAPNEUMOVIRUS; INFECTIONS; EFFICACY; DISEASE; SAMPLES</t>
  </si>
  <si>
    <t xml:space="preserve">Introduction: We estimated influenza vaccine effectiveness (IVE) to prevent laboratory-confirmed influenza-related hospitalizations in patients 18 years old or older during the 2010-2011 influenza season. Methods: We conducted a prospective case-control study in five hospitals, in Valencia, Spain. Study subjects were consecutive emergency hospitalizations for predefined conditions associated with an influenza-like illness episode &lt;8 days before admission. Patients were considered immunized if vaccinated &gt;= 14 days before influenza-like illness onset. Cases were those with a real time reverse transcriptase polymerase chain reaction (RT-PCR) positive for influenza and controls were RT-PCR positive for other respiratory viruses. Adjusted WE was estimated as 100 x (1 - adjusted odds ratio). To account for indication bias we computed adjusted IVE for respiratory syncytial virus related hospitalizations. Results: Of 826 eligible hospitalized patients, 102 (12%) were influenza positive and considered cases, and 116(14%) were positive for other respiratory viruses and considered controls. Adjusted IVE was 54% (95% confidence interval, 11-76%). By subgroup, adjusted WE was 53% (4-77%) for those with high-risk conditions, 59% (16-79%) for those &gt;= 60 years of age, and, 54% (4-79%) for those &gt;= 60 years of age with high-risk conditions. No influenza vaccine effect was observed against respiratory syncytial virus related hospitalization. Conclusion: Influenza vaccination was associated with a significant reduction on the risk of confirmed influenza hospitalization, irrespective of age and high-risk conditions. (C) 2012 Elsevier Ltd. All rights</t>
  </si>
  <si>
    <t xml:space="preserve">[Puig-Barbera, J.] Ctr Super Invest Salud Publ, Vaccines Res Unit, Valencia, Spain; [Puig-Barbera, J.; Arnedo-Pena, A.; Ruiz-Garcia, M.] Ctr Salud Publ Castellon, Castellon de La Plana, Spain; [Mico-Esparza, J. L.] Hosp Arnau Vilanova, Valencia, Spain; [Belenguer-Varea, A.] Hosp Ribera, Alzira, Spain; [Carratala-Munuera, C.; Gil-Guillen, V.] Univ Miguel Hernandez, Dept Clin Med, Catedra Med Familia, Alicante, Spain; [Schwarz-Chavarri, H.] Ctr Salud San Bias, Alicante, Spain</t>
  </si>
  <si>
    <t xml:space="preserve">Universidad Miguel Hernandez de Elche</t>
  </si>
  <si>
    <t xml:space="preserve">Puig-Barberà, J (corresponding author), Ctr Super Invest Salud Publ, Vaccines Res Unit, Valencia, Spain.</t>
  </si>
  <si>
    <t xml:space="preserve">puig_joa@gva.es</t>
  </si>
  <si>
    <t xml:space="preserve">Guillén, Vicente/AAE-8201-2019; Carratala-Munuera, Concepcion/ABH-1205-2020; DIEZ DOMINGO, JAVIER/IRZ-7330-2023; Puig-Barbera, Joan/F-1563-2015; Perez-Vilar, Silvia/H-4372-2016</t>
  </si>
  <si>
    <t xml:space="preserve">Puig-Barbera, Joan/0000-0001-5783-0409; Belenguer-Varea, Angel/0000-0002-0518-6612; Gil-Guillen, Vicente F/0000-0003-3793-9786; Diez-Domingo, Javier/0000-0003-1008-3922; Carratala-Munuera, Concepcion/0000-0002-1303-6294; Cano Armenteros, Montserrat/0000-0002-8356-2679; Perez-Vilar, Silvia/0000-0003-1272-1502</t>
  </si>
  <si>
    <t xml:space="preserve">Sanofi-Pasteur [GRT109]; Centro Superior de Investigacion en Salud Publica (CSISP) [GRT109]</t>
  </si>
  <si>
    <t xml:space="preserve">Sanofi-Pasteur; Centro Superior de Investigacion en Salud Publica (CSISP)</t>
  </si>
  <si>
    <t xml:space="preserve">The study was funded in part by contract code GRT109 between Sanofi-Pasteur and Centro Superior de Investigacion en Salud Publica (CSISP). Sanofi-Pasteur did not participate in the design or conduct of the study, collection, management, analysis, or interpretation of the data, writing the report, and the decision to submit the report for publication.</t>
  </si>
  <si>
    <t xml:space="preserve">10.1016/j.vaccine.2012.07.006</t>
  </si>
  <si>
    <t xml:space="preserve">000JG</t>
  </si>
  <si>
    <t xml:space="preserve">WOS:000308382000004</t>
  </si>
  <si>
    <t xml:space="preserve">Adedokun, KA; Olarinmoye, AO; Mustapha, JO; Kamorudeen, RT</t>
  </si>
  <si>
    <t xml:space="preserve">Adedokun, Kamoru A.; Olarinmoye, Ayodeji O.; Mustapha, Jelili O.; Kamorudeen, Ramat T.</t>
  </si>
  <si>
    <t xml:space="preserve">A close look at the biology of SARS-CoV-2, and the potential influence of weather conditions and seasons on COVID-19 case spread</t>
  </si>
  <si>
    <t xml:space="preserve">INFECTIOUS DISEASES OF POVERTY</t>
  </si>
  <si>
    <t xml:space="preserve">Case spread; COVID-19; Season; Emergency preparedness; Human immunity; Infection control; SARS-CoV-2</t>
  </si>
  <si>
    <t xml:space="preserve">Background There is sufficient epidemiological and biological evidence of increased human susceptibility to viral pathogens such as Middle East respiratory syndrome coronavirus, respiratory syncytial virus, human metapneumovirus and influenza virus, in cold weather. The pattern of outbreak of the coronavirus disease 2019 (COVID-19) in China during the flu season is further proof that meteorological conditions may potentially influence the susceptibility of human populations to coronaviruses, a situation that may become increasingly evident as the current global pandemic of COVID-19 unfolds. Main body A very rapid spread and high mortality rates have characterized the COVID-19 pandemic in countries north of the equator where air temperatures have been seasonally low. It is unclear if the currently high rates of COVID-19 infections in countries of the northern hemisphere will wane during the summer months, or if fewer people overall will become infected with COVID-19 in countries south of the equator where warmer weather conditions prevail through most of the year. However, apart from the influence of seasons, evidence based on the structural biology and biochemical properties of many enveloped viruses similar to the novel severe acute respiratory syndrome coronavirus 2 or SARS-CoV-2 (aetiology of COVID-19), support the higher likelihood of the latter of the two outcomes. Other factors that may potentially impact the rate of virus spread include the effectiveness of infection control practices, individual and herd immunity, and emergency preparedness levels of countries. Conclusion This report highlights the potential influence of weather conditions, seasons and non-climatological factors on the geographical spread of cases of COVID-19 across the globe.</t>
  </si>
  <si>
    <t xml:space="preserve">[Adedokun, Kamoru A.] King Saud Univ Med City, Dept Oral Pathol, Riyadh, Saudi Arabia; [Olarinmoye, Ayodeji O.] Univ Ibadan, Ctr Control &amp; Prevent Zoonoses, Ibadan, Nigeria; [Olarinmoye, Ayodeji O.] King Saud Univ, Engineer Abdullah Bugshan Res Chair Dent &amp; Oral R, Riyadh, Saudi Arabia; [Mustapha, Jelili O.] Univ Alberta, Biol Sci Dept, Edmonton, AB T6G 2E9, Canada; [Kamorudeen, Ramat T.] Univ South Wales, Publ Hlth Dept, Pontypridd, M Glam, Wales</t>
  </si>
  <si>
    <t xml:space="preserve">King Saud University; University of Ibadan; King Saud University; University of Alberta; University of South Wales</t>
  </si>
  <si>
    <t xml:space="preserve">Adedokun, KA (corresponding author), King Saud Univ Med City, Dept Oral Pathol, Riyadh, Saudi Arabia.</t>
  </si>
  <si>
    <t xml:space="preserve">adeolokun@yahoo.com</t>
  </si>
  <si>
    <t xml:space="preserve">Ayodeji, Olarinmoye/GRS-3824-2022; ADEDOKUN, Kamoru/U-6659-2019; Olarinmoye, Ayodeji/A-6160-2016</t>
  </si>
  <si>
    <t xml:space="preserve">Mustapha, Jelili/0000-0003-4230-3088; ADEDOKUN, Kamoru/0000-0001-9833-3011; Olarinmoye, Ayodeji/0000-0001-8285-0858; Kamorudeen, Ramat/0000-0003-2434-349X</t>
  </si>
  <si>
    <t xml:space="preserve">2095-5162</t>
  </si>
  <si>
    <t xml:space="preserve">2049-9957</t>
  </si>
  <si>
    <t xml:space="preserve">INFECT DIS POVERTY</t>
  </si>
  <si>
    <t xml:space="preserve">Infect. Dis. Poverty</t>
  </si>
  <si>
    <t xml:space="preserve">10.1186/s40249-020-00688-1</t>
  </si>
  <si>
    <t xml:space="preserve">MF8IZ</t>
  </si>
  <si>
    <t xml:space="preserve">WOS:000545583700001</t>
  </si>
  <si>
    <t xml:space="preserve">Alchikh, M; Conrad, T; Hoppe, C; Ma, X; Broberg, E; Penttinen, P; Reiche, J; Biere, B; Schweiger, B; Rath, B</t>
  </si>
  <si>
    <t xml:space="preserve">Alchikh, M.; Conrad, T.; Hoppe, C.; Ma, X.; Broberg, E.; Penttinen, P.; Reiche, J.; Biere, B.; Schweiger, B.; Rath, B.</t>
  </si>
  <si>
    <t xml:space="preserve">Are we missing respiratory viral infections in infants and children? Comparison of a hospital-based quality management system with standard of care</t>
  </si>
  <si>
    <t xml:space="preserve">Case definitions; Children; Diagnostics; Influenza; Influenza-like illness; International classification of disease coding; Quality management; Respiratory viruses</t>
  </si>
  <si>
    <t xml:space="preserve">CLINICAL-PRACTICE; CASE DEFINITIONS; SYNCYTIAL VIRUS; DIAGNOSIS CODES; UNITED-STATES; INFLUENZA; ACCURACY</t>
  </si>
  <si>
    <t xml:space="preserve">Objectives: Hospital-based surveillance of influenza and acute respiratory infections relies on International Classification of Diseases (ICD) codes and hospital laboratory reports (Standard-of-Care). It is unclear how many cases are missed with either method, i.e. remain undiagnosed/coded as influenza and other respiratory virus infections. Various influenza-like illness (ILI) definitions co-exist with little guidance on how to use them. We compared the diagnostic accuracy of standard surveillance methods with a prospective quality management (QM) programme at a Berlin children's hospital with the Robert Koch Institute. Methods: Independent from routine care, all patients fulfilling pre-defined ILI-criteria (QM-ILI) participated in the QM programme. A separate QM team conducted standardized clinical assessments and collected nasopharyngeal specimens for blinded real-time quantitative PCR for influenza A/B viruses, respiratory syncytial virus, adenovirus, rhinovirus and human metapneumovirus. Results: Among 6073 individuals with ILI qualifying for the QM programme, only 8.7% (528/6073) would have undergone virus diagnostics during Standard-of-Care. Surveillance based on ICD codes would have missed 61% (359/587) of influenza diagnoses. Of baseline ICD codes, 53.2% (2811/5282) were nonspecific, most commonly J06 ('acute upper respiratory infection'). Comparison of stakeholder case definitions revealed that QM-ILI and the WHO ILI case definition showed the highest overall sensitivities (84%-97% and 45%-68%, respectively) and the CDC ILI definition had the highest sensitivity for influenza infections (36%, 95% CI 31.4-40.8 for influenza A and 48%, 95% CI 40.5-54.7 for influenza B). Conclusions: Disease-burden estimates and surveillance should account for the underreporting of cases in routine care. Future studies should explore the effect of ILI screening and surveillance in various age groups and settings. Diagnostic algorithms should be based on the WHO ILI case definition combined with targeted testing. (c) 2018 European Society of Clinical Microbiology and Infectious Diseases. Published by Elsevier Ltd. All rights reserved.</t>
  </si>
  <si>
    <t xml:space="preserve">[Alchikh, M.; Ma, X.; Rath, B.] Charite, Dept Paediat, Berlin, Germany; [Alchikh, M.; Hoppe, C.; Ma, X.; Rath, B.] Vienna Vaccine Safety Initiat, Eberswalder Str 34, D-10437 Berlin, Germany; [Conrad, T.] Free Univ Berlin, Dept Math &amp; Comp Sci, Berlin, Germany; [Ma, X.; Reiche, J.; Biere, B.; Schweiger, B.] Robert Koch Inst, Natl Reference Ctr Influenza, Berlin, Germany; [Broberg, E.; Penttinen, P.] European Ctr Dis Prevent &amp; Control, Stockholm, Sweden; [Rath, B.] Univ Nottingham, Sch Med, Nottingham, England</t>
  </si>
  <si>
    <t xml:space="preserve">Berlin Institute of Health; Free University of Berlin; Humboldt University of Berlin; Charite Universitatsmedizin Berlin; Free University of Berlin; Robert Koch Institute; European Centre for Disease Prevention &amp; Control; University of Nottingham</t>
  </si>
  <si>
    <t xml:space="preserve">Rath, B (corresponding author), Vienna Vaccine Safety Initiat, Eberswalder Str 34, D-10437 Berlin, Germany.</t>
  </si>
  <si>
    <t xml:space="preserve">Barbara.Rath@nottingham.ac.uk</t>
  </si>
  <si>
    <t xml:space="preserve">Broberg, Eeva/AAC-6367-2019</t>
  </si>
  <si>
    <t xml:space="preserve">Ma, Xiaolin/0000-0002-5348-3435</t>
  </si>
  <si>
    <t xml:space="preserve">380.e9</t>
  </si>
  <si>
    <t xml:space="preserve">10.1016/j.cmi.2018.05.023</t>
  </si>
  <si>
    <t xml:space="preserve">HN1ND</t>
  </si>
  <si>
    <t xml:space="preserve">WOS:000459953000020</t>
  </si>
  <si>
    <t xml:space="preserve">Millership, S; Cummins, A</t>
  </si>
  <si>
    <t xml:space="preserve">Millership, S.; Cummins, A.</t>
  </si>
  <si>
    <t xml:space="preserve">Oseltamivir in influenza outbreaks in care homes: challenges and benefits of use in the real world</t>
  </si>
  <si>
    <t xml:space="preserve">Care home; Influenza outbreak; Oseltamivir</t>
  </si>
  <si>
    <t xml:space="preserve">Background: Respiratory virus infections, including influenza, are an important cause of potentially avoidable hospital admissions in the elderly. Although recent reviews have questioned the efficacy of oseltamivir in the prevention of transmission, it has been a central part of the authors' strategy to manage outbreaks in residential homes. Aim: To evaluate the management of respiratory virus infection outbreaks in residential homes, with particular emphasis on the logistics and effectiveness of antiviral prophylaxis with oseltamivir. Methods: A descriptive analysis was undertaken from a retrospective survey of records held on a local database for three northern hemisphere influenza seasons from 2010 to 2013. Results: In total, 75 respiratory outbreaks were reported from 590 care homes during the study period; of these, the aetiological agent was confirmed as influenza in 35 outbreaks. Overall attack, hospital admission and death rates for influenza were 29.7%, 5.3% and 3.3%, respectively. A further 10 outbreaks were caused by parainfluenza, human metapneumovirus or respiratory syncytial virus in combination with each other or rhinovirus, and six outbreaks were caused by rhinovirus alone. No agent was identified for the remaining 24 outbreaks. Conclusions: Early public health involvement can lead to rapid termination of outbreaks of respiratory virus infections in residential homes. Although the use of oseltamivir is expensive, the data suggest that it does have some benefits as prophylaxis in this setting. Trials are needed to determine the most clinically and cost-effective interventions to control outbreaks in residential homes and avoid hospital admissions. (C) 2015 The Healthcare Infection Society. Published by Elsevier Ltd. All rights reserved.</t>
  </si>
  <si>
    <t xml:space="preserve">[Millership, S.; Cummins, A.] Anglia &amp; Essex Publ Hlth England Ctr, Essex Hlth Protect Team, Witham CM8 2TT, Essex, England</t>
  </si>
  <si>
    <t xml:space="preserve">Millership, S (corresponding author), Anglia &amp; Essex Publ Hlth England Ctr, Essex Hlth Protect Team, 8 Collingwood Rd, Witham CM8 2TT, Essex, England.</t>
  </si>
  <si>
    <t xml:space="preserve">sally.millership@nhs.net</t>
  </si>
  <si>
    <t xml:space="preserve">10.1016/j.jhin.2015.04.019</t>
  </si>
  <si>
    <t xml:space="preserve">CL3WF</t>
  </si>
  <si>
    <t xml:space="preserve">WOS:000356881600004</t>
  </si>
  <si>
    <t xml:space="preserve">Chan, CYY; Low, JGH; Wyone, W; Oon, LLE; Tan, BH</t>
  </si>
  <si>
    <t xml:space="preserve">Chan, Candice Y. Y.; Low, Jenny G. H.; Wyone, Wyiki; Oon, Lynette L. E.; Tan, Ban Hock</t>
  </si>
  <si>
    <t xml:space="preserve">Survey of Respiratory Virus in Patients Hospitalised for Acute Exacerbations of Heart Failure - A Prospective Observational Study</t>
  </si>
  <si>
    <t xml:space="preserve">ANNALS ACADEMY OF MEDICINE SINGAPORE</t>
  </si>
  <si>
    <t xml:space="preserve">Cardiac failure; Heart disease; Influenza; Respiratory tract infections; Respiratory virus infections</t>
  </si>
  <si>
    <t xml:space="preserve">ACUTE CORONARY SYNDROMES; INFLUENZA VACCINATION; REDUCED RISK; MYOCARDIAL-INFARCTION; FLU VACCINATION; OLDER-ADULTS; DISEASE; ASSOCIATION; INFECTIONS; PREVALENCE</t>
  </si>
  <si>
    <t xml:space="preserve">Introduction: Respiratory virus (RV) infections have been implicated in acute exacerbation of cardiopulmonary conditions. This study aimed to determine the prevalence of RV infections in patients admitted to the cardiology unit with acute decompensated heart failure (ADHF) in a tertiary hospital in Singapore. Materials and Methods: This was a single-centre, prospective observational study. A total of 194 adults (aged &gt;21) admitted to the Singapore General Hospital with ADHF were recruited. A nasopharyngeal swab was taken for multiplex polymerase chain reaction (PCR) detection of influenza virus, rhinovirus, parainfluenza virus (HPIV), human coronavirus (HcoV), adenovirus, human bocavirus (HboV), human metapneumovirus (hMPV), and respiratory syncytial virus (RSV). Results: Twenty-five (13%) had RVs detected by RV multiplex PCR. These comprised 9 rhinoviruses (36%), 4 influenza A viruses (16%), 3 HPIV (12%), 3 HCoV (12%), 2 adenoviruses (8%), 1 human HBoV (4%), 1 hMPV (4%), and 1 RSV (4%). Symptoms-wise, cough was significantly more common in the PCR-positive group (48% vs 24%, P = 0.02). There were no statistically significant differences in laboratory investigations (haemoglobin, leukocytes, platelets, creatine kinase, creatine kinase-muscle/brain, troponin T), and radiology findings between RV PCR-positive and-negative groups. The PCR-positive group did not have increased mortality or length of hospital stay. Conclusion: This study identified a considerable burden of RVs in our ADHF cohort, and highlights the need for prevention of RVs in this group of patients. We also recognised the difficulty with clinical diagnosis of RVs in ADHF patients.</t>
  </si>
  <si>
    <t xml:space="preserve">[Chan, Candice Y. Y.; Low, Jenny G. H.; Wyone, Wyiki; Tan, Ban Hock] Singapore Gen Hosp, Dept Infect Dis, Singapore, Singapore; [Oon, Lynette L. E.] Singapore Gen Hosp, Dept Mol Pathol, Singapore, Singapore</t>
  </si>
  <si>
    <t xml:space="preserve">Singapore General Hospital; Singapore General Hospital</t>
  </si>
  <si>
    <t xml:space="preserve">Chan, CYY; Tan, BH (corresponding author), Dept Infect Dis, 20 Coll Rd,Acad Level 3, Singapore 169856, Singapore.</t>
  </si>
  <si>
    <t xml:space="preserve">dr.candice.chan@gmail.com; tan.ban.hock@singhealth.com.su</t>
  </si>
  <si>
    <t xml:space="preserve">Low, Jenny/JOZ-1479-2023</t>
  </si>
  <si>
    <t xml:space="preserve">National Heart Centre, Singapore; SingHealth Research Foundation [SHF/FG5472/2011]</t>
  </si>
  <si>
    <t xml:space="preserve">National Heart Centre, Singapore; SingHealth Research Foundation</t>
  </si>
  <si>
    <t xml:space="preserve">The authors are grateful to the following for assisting in acquiring data for the study: Drs Louis Teo, Lim Soo Teik and David Sim from National Heart Centre, Singapore. The study was supported by SingHealth Research Foundation (grant number SHF/FG5472/2011).</t>
  </si>
  <si>
    <t xml:space="preserve">ACAD MEDICINE SINGAPORE</t>
  </si>
  <si>
    <t xml:space="preserve">REPUBLIC SINGAPORE</t>
  </si>
  <si>
    <t xml:space="preserve">142 NEIL RD, REPUBLIC SINGAPORE 088871, SINGAPORE</t>
  </si>
  <si>
    <t xml:space="preserve">0304-4602</t>
  </si>
  <si>
    <t xml:space="preserve">ANN ACAD MED SINGAP</t>
  </si>
  <si>
    <t xml:space="preserve">Ann. Acad. Med. Singap.</t>
  </si>
  <si>
    <t xml:space="preserve">HN9AA</t>
  </si>
  <si>
    <t xml:space="preserve">WOS:000460488800003</t>
  </si>
  <si>
    <t xml:space="preserve">Kakiuchi, T; Nosho, T; Oka, M; Tashiro, K</t>
  </si>
  <si>
    <t xml:space="preserve">Kakiuchi, Toshihiko; Nosho, Tetsuya; Oka, Masafumi; Tashiro, Katsuya</t>
  </si>
  <si>
    <t xml:space="preserve">Hyperammonemia in a carbamoyl-phosphate synthetase 1 deficiency recipient after living-donor liver transplantation from a carrier donor: a case report</t>
  </si>
  <si>
    <t xml:space="preserve">carbamoyl-phosphate synthetase 1 deficiency disease; hyperammonemia; liver transplantation; ornithine transcarbamylase deficiency disease; heterozygous</t>
  </si>
  <si>
    <t xml:space="preserve">Carbamoyl-phosphate synthetase 1 (CPS1) deficiency is an autosomal recessive congenital urea cycle disorder (UCD) characterized by hyperammonemia. The recipients of liver transplantation (LT) for UCD are often children, and the potential donors are often the parents. Hereditary congenital diseases involving UCD entail the possibility of both parents being genetically heterozygous. Herein, we describe the case of a 12-year-old girl with CPS1 deficiency receiving a liver transplant (soon after birth) from her father, who had a heterozygous CPS1 mutation. She was referred to our hospital with respiratory distress after contracting two infections (respiratory syncytial virus and human metapneumovirus) within a short period, both of which presented with hyperammonemia. Medication for hyperammonemia quickly lowered the ammonia levels. The hyperammonemia was thought to be caused by the heterozygous mutation in the donor liver; moreover, it is likely that the low enzyme activity in the patient's liver was increased due to the infections. This is the first study to report hyperammonemia in a CPS1 deficiency patient due to an infection after LT. Thus, patients with CPS1 deficiency should be aware of the development of hyperammonemia after LT.</t>
  </si>
  <si>
    <t xml:space="preserve">[Kakiuchi, Toshihiko; Nosho, Tetsuya; Oka, Masafumi] Saga Univ, Fac Med, Dept Pediat, Saga, Japan; [Tashiro, Katsuya] Karatsu Red Cross Hosp, Dept Pediat, Karatsu, Japan</t>
  </si>
  <si>
    <t xml:space="preserve">Saga University</t>
  </si>
  <si>
    <t xml:space="preserve">Kakiuchi, T (corresponding author), Saga Univ, Fac Med, Dept Pediat, Saga, Japan.</t>
  </si>
  <si>
    <t xml:space="preserve">kakiucht@cc.saga-u.ac.jp</t>
  </si>
  <si>
    <t xml:space="preserve">10.3389/fmed.2023.1327854</t>
  </si>
  <si>
    <t xml:space="preserve">EZ4D2</t>
  </si>
  <si>
    <t xml:space="preserve">WOS:001142737000001</t>
  </si>
  <si>
    <t xml:space="preserve">Howa, AC; Zhu, YW; Wyatt, D; Markus, T; Chappell, JD; Halasa, N; Trabue, CH; Schaffner, W; Grijalva, CG; Talbot, HK</t>
  </si>
  <si>
    <t xml:space="preserve">Howa, Amanda C.; Zhu, Yuwei; Wyatt, Dayna; Markus, Tiffanie; Chappell, James D.; Halasa, Natasha; Trabue, Christopher H.; Schaffner, William; Grijalva, Carlos G.; Talbot, H. Keipp</t>
  </si>
  <si>
    <t xml:space="preserve">Estimating the Undetected Burden of Respiratory Syncytial Virus Hospitalizations in Adults Through Capture-Recapture Methods</t>
  </si>
  <si>
    <t xml:space="preserve">capture-recapture; hospitalizations; respiratory syncytial virus; RSV</t>
  </si>
  <si>
    <t xml:space="preserve">IntroductionTraditional surveillance systems may underestimate the burden caused by respiratory syncytial virus (RSV). Capture-recapture methods provide alternatives for estimating the number of RSV-related hospitalizations in a population.MethodsCapture-recapture methods were used to estimate the number of RSV-related hospitalizations in adults in Middle Tennessee from two independent hospitalization surveillance systems during consecutive respiratory seasons from 2016-2017 to 2019-2020. Data from the Hospitalized Adult Influenza Vaccine Effectiveness Network (HAIVEN) and the Emerging Infections Program (EIP) were used. Annual RSV hospitalization rates were calculated using the capture-recapture estimates weighted by hospitals' market share divided by the corresponding census population.ResultsUsing capture-recapture methods, the estimated overall adult hospitalization rates varied from 8.3 (95% CI: 5.9-15.4) RSV-related hospitalizations per 10,000 persons during the 2016-2017 season to 28.4 (95% CI: 18.2-59.0) hospitalizations per 10,000 persons in the 2019-2020 season. The proportion of hospitalizations that HAIVEN determined ranged from 8.7% to 36.7% of the total capture-recapture estimated hospitalization, whereas EIP detected 23.5% to 52.7% of the total capture-recapture estimated hospitalizations.ConclusionCapture-recapture estimates showed that individual traditional surveillance systems underestimated the hospitalization burden in adults. Using capture-recapture allows for a more comprehensive estimate of RSV hospitalizations.</t>
  </si>
  <si>
    <t xml:space="preserve">[Howa, Amanda C.; Wyatt, Dayna; Markus, Tiffanie; Schaffner, William; Grijalva, Carlos G.; Talbot, H. Keipp] Vanderbilt Univ, Med Ctr, Dept Hlth Policy, Nashville, TN 37235 USA; [Zhu, Yuwei] Vanderbilt Univ, Med Ctr, Dept Biostat, Nashville, TN USA; [Chappell, James D.; Halasa, Natasha] Vanderbilt Univ, Med Ctr, Dept Pediat, Nashville, TN USA; [Trabue, Christopher H.] Univ Tennessee, Dept Med, Coll Med, Nashville, TN USA; [Schaffner, William; Talbot, H. Keipp] Vanderbilt Univ, Med Ctr, Dept Med, Nashville, TN USA; [Grijalva, Carlos G.] Vanderbilt Univ, Med Ctr, Dept Biomed Informat, Nashville, TN USA</t>
  </si>
  <si>
    <t xml:space="preserve">Vanderbilt University; Vanderbilt University; Vanderbilt University; University of Tennessee System; University of Tennessee Health Science Center; Vanderbilt University; Vanderbilt University</t>
  </si>
  <si>
    <t xml:space="preserve">Howa, AC (corresponding author), Vanderbilt Univ, Med Ctr, Dept Hlth Policy, Nashville, TN 37235 USA.</t>
  </si>
  <si>
    <t xml:space="preserve">amanda.c.howa.1@vumc.org</t>
  </si>
  <si>
    <t xml:space="preserve">Grijalva, Carlos/HRA-9217-2023</t>
  </si>
  <si>
    <t xml:space="preserve">No Statement Availabler No Statement Availabler No Statement Available</t>
  </si>
  <si>
    <t xml:space="preserve">e13299</t>
  </si>
  <si>
    <t xml:space="preserve">10.1111/irv.13299</t>
  </si>
  <si>
    <t xml:space="preserve">WY5W3</t>
  </si>
  <si>
    <t xml:space="preserve">WOS:001258457000001</t>
  </si>
  <si>
    <t xml:space="preserve">Chiappini, E; Venturini, E; Galli, L; Novelli, V; de Martino, M</t>
  </si>
  <si>
    <t xml:space="preserve">Chiappini, Elena; Venturini, Elisabetta; Galli, Luisa; Novelli, Vas; de Martino, Maurizio</t>
  </si>
  <si>
    <t xml:space="preserve">Diagnostic features of community-acquired pneumonia in children: what's new?</t>
  </si>
  <si>
    <t xml:space="preserve">CAP; Children; Community-acquired pneumonia; Diagnosis</t>
  </si>
  <si>
    <t xml:space="preserve">REAL-TIME PCR; POLYMERASE-CHAIN-REACTION; BACTEREMIC PNEUMOCOCCAL PNEUMONIA; CLINICAL-PREDICTION RULE; MYCOPLASMA-PNEUMONIAE; HUMAN METAPNEUMOVIRUS; STREPTOCOCCUS-PNEUMONIAE; BACTERIAL PNEUMONIA; RESPIRATORY VIRUSES; SEROLOGICAL TESTS</t>
  </si>
  <si>
    <t xml:space="preserve">AimTo critically summarise the available data on diagnosis of CAP in children, focusing on the newest findings and on the need for new studies. MethodsEighty studies on the diagnosis of paediatric community-acquired pneumonia were scrutinised. ResultsWe found no significant associations between the signs or symptoms and aetiology of pneumonia and concluded that chest radiographs remain controversial and real-time polymerase chain reaction appears more sensitive than blood cultures. ConclusionAntibiotic overuse could make it difficult to differentiate viral and bacterial causes. Molecular methods provide promising tools for diagnosing infection by atypical bacteria, but are expensive and should be used selectively.</t>
  </si>
  <si>
    <t xml:space="preserve">[Chiappini, Elena; Venturini, Elisabetta; Galli, Luisa; de Martino, Maurizio] Univ Florence, Anna Meyer Childrens Univ Hosp, Dept Hlth Sci, I-50139 Florence, Italy; [Novelli, Vas] Great Ormond St Hosp Sick Children, Dept Infect Dis, London WC1N 3JH, England</t>
  </si>
  <si>
    <t xml:space="preserve">University of Florence; Azienda Ospedaliera Universitaria (AOU) MEYER; University of London; University College London; Great Ormond Street Hospital for Children NHS Foundation Trust</t>
  </si>
  <si>
    <t xml:space="preserve">Chiappini, E (corresponding author), Univ Florence, Anna Meyer Childrens Univ Hosp, Dept Hlth Sci, Viale Pieraccini 24, I-50139 Florence, Italy.</t>
  </si>
  <si>
    <t xml:space="preserve">elena.chiappini@unifi.it</t>
  </si>
  <si>
    <t xml:space="preserve">chiappini, elena/JBJ-5930-2023; Venturini, Elisabetta/AAB-9027-2019; Chiappini, Elena/D-1118-2012</t>
  </si>
  <si>
    <t xml:space="preserve">Chiappini, Elena/0000-0002-1476-4752; Venturini, Elisabetta/0000-0002-0048-3933</t>
  </si>
  <si>
    <t xml:space="preserve">10.1111/apa.12502</t>
  </si>
  <si>
    <t xml:space="preserve">273OC</t>
  </si>
  <si>
    <t xml:space="preserve">WOS:000328543700003</t>
  </si>
  <si>
    <t xml:space="preserve">Loria, C; Domm, JA; Halasa, NB; Heitman, E; Miller, EK; Xu, M; Saville, BR; Frangoul, H; Williams, JV</t>
  </si>
  <si>
    <t xml:space="preserve">Loria, Carolina; Domm, Jennifer A.; Halasa, Natasha B.; Heitman, Elizabeth; Miller, E. Kathryn; Xu, Meng; Saville, Benjamin R.; Frangoul, Haydar; Williams, John V.</t>
  </si>
  <si>
    <t xml:space="preserve">Human rhinovirus C infections in pediatric hematology and oncology patients</t>
  </si>
  <si>
    <t xml:space="preserve">cancer; pediatric; respiratory viruses; real-time reverse transcription polymerase chain reaction; human rhinovirus</t>
  </si>
  <si>
    <t xml:space="preserve">RESPIRATORY SYNCYTIAL VIRUS; HUMAN METAPNEUMOVIRUS INFECTION; INFLUENZA-LIKE ILLNESS; CELL TRANSPLANT; VIRAL-INFECTIONS; CHILDREN; CANCER; VACCINATION; BURDEN; IMPACT</t>
  </si>
  <si>
    <t xml:space="preserve">Children with cancer and HSCT recipients are at high risk for common viral infections. We sought to define the viral etiology of ARI and identify risk factors. Nasal wash samples were collected from pediatric hematology-oncology patients and HSCT recipients with ARI during the 2003-2005 winter seasons. Real-time RT-PCR was performed to detect Flu A, influenza B, RSV, PIV 1-3, human MPV, and HRV. HRV specimens were sequenced and genotyped. Seventy-eight samples from 62 children were included. Viruses were detected in 31 of 78 samples (40%). HRV were detected most frequently, in 16 (52%) including five HRVC; followed by seven (22%) RSV, five (16%) Flu A, four (13%) MPV, and two (6%) PIV2. There was a trend toward higher risk of viral infection for children in day care. Only 8% of the study children had received influenza vaccine. HRV, including the recently discovered HRVC, are an important cause of infection in pediatric oncology and HSCT patients. Molecular testing is superior to conventional methods and should be standard of care, as HRV are not detected by conventional methods.</t>
  </si>
  <si>
    <t xml:space="preserve">[Loria, Carolina; Heitman, Elizabeth] Vanderbilt Univ, Sch Med, Ctr Biomed Eth &amp; Soc, Nashville, TN 37232 USA; [Domm, Jennifer A.; Halasa, Natasha B.; Miller, E. Kathryn; Frangoul, Haydar; Williams, John V.] Vanderbilt Univ, Sch Med, Dept Pediat, Nashville, TN 37232 USA; [Xu, Meng; Saville, Benjamin R.] Vanderbilt Univ, Sch Med, Dept Biostat, Nashville, TN 37232 USA; [Williams, John V.] Vanderbilt Univ, Sch Med, Dept Pathol Microbiol &amp; Immunol, Nashville, TN 37232 USA</t>
  </si>
  <si>
    <t xml:space="preserve">Williams, JV (corresponding author), Vanderbilt Univ, Sch Med, Dept Pediat, Div Infect Dis, D-7232 MCN,1161 21st Ave South, Nashville, TN 37232 USA.</t>
  </si>
  <si>
    <t xml:space="preserve">Frangoul, Haydar/JLN-0085-2023; Heitman, Elizabeth/GYU-4520-2022; Domm, Jennifer/HJI-3405-2023; Xu, Meng/HJY-7139-2023; Williams, John/ABE-3227-2020; Williams, John/F-6962-2010</t>
  </si>
  <si>
    <t xml:space="preserve">10.1111/petr.12383</t>
  </si>
  <si>
    <t xml:space="preserve">AX4PY</t>
  </si>
  <si>
    <t xml:space="preserve">WOS:000346915200024</t>
  </si>
  <si>
    <t xml:space="preserve">Christensen, MS; Nielsen, LP; Hasle, H</t>
  </si>
  <si>
    <t xml:space="preserve">Few but severe viral infections in children with cancer: A prospective RT-PCR and PCR-based 12-month study</t>
  </si>
  <si>
    <t xml:space="preserve">cancer; febrile neutropenia; PCR; pediatric; immunocompromised hosts; infections; virus</t>
  </si>
  <si>
    <t xml:space="preserve">RESPIRATORY-TRACT INFECTIONS; HERPES-SIMPLEX-VIRUS; PNEUMOCYSTIS-CARINII-PNEUMONIA; REVERSE TRANSCRIPTION-PCR; POLYMERASE-CHAIN-REACTION; C-REACTIVE PROTEIN; HUMAN METAPNEUMOVIRUS; ENTEROVIRUS INFECTIONS; LYMPHOBLASTIC-LEUKEMIA; FEBRILE NEUTROPENIA</t>
  </si>
  <si>
    <t xml:space="preserve">Background. Treatment of low-risk febrile episodes with oral administered antibiotics at home is a new approach in pediatric oncology and protective isolation is loosened in more centers. The impact of viral respiratory infections in febrile diseases in this population is still unclear in terms of occurrence and morbidity. Procedure. A prospective follow-up study of all febrile episodes during 12 months in a pediatric oncology department with a high level of protective isolation was set-up with expanded molecular viral examinations. Reverse transcriptase polymerase chain reaction (RT-PCR) and PCR diagnostics of ten viruses, two atypical bacteria, and one fungus were performed and clinical information on all infections was registered. Results. A total of 250 febrile episodes in 66 patients were registered. In all, 198 respiratory secretions, predominantly oral washes, and 165 anal swabs were analyzed. Twenty-two infections were diagnosed: 7 rhinovirus infections, 4 respiratory syncytial virus (RSV) infections, 2 herpes simplex virus (HSV) infections, 2 varicella-zoster-virus (VZV) infections, 1 influenza B virus infection, 1 parainfluenza virus type 3 infection (PIV3), 1 human metapneumovirus (HMPV) infection, 1 enterovirus infection, 0 adenovirus infections, 0 influenza A virus infections, and 3 non-viral pneumonias: 1 M. Pneumonia, 1 C. Pneumonia, and 1 P. Carinii. The detected pathogens correlated well to the clinical disease. Patients with viral infections were as affected as patients with bacteria in the blood. One of 19 viral infections was lethal, a RSV pneumonia. C-reactive protein concentrations were not able to distinguish viral infections from bacteremias. Conclusions. The applied sampling method was acceptable and molecular diagnosis of viruses, atypical bacteria and P. Carinii increased the microbiological verification of infections by 35%. Viral infections were few in our protected population but caused severe infectious cornplications in these patients.</t>
  </si>
  <si>
    <t xml:space="preserve">Aarhus Univ Hosp, Skejby Hosp, Dept Pediat Oncol, DK-8000 Aarhus, Denmark; Odense Univ Hosp, Dept Clin Microbiol, DK-5000 Odense, Denmark</t>
  </si>
  <si>
    <t xml:space="preserve">Aarhus University; University of Southern Denmark; Odense University Hospital</t>
  </si>
  <si>
    <t xml:space="preserve">Skejby Hosp, DK-8200 Aarhus, Denmark.</t>
  </si>
  <si>
    <t xml:space="preserve">stubkjaer@ki.au.dk</t>
  </si>
  <si>
    <t xml:space="preserve">Hasle, Henrik/0000-0003-3976-9231</t>
  </si>
  <si>
    <t xml:space="preserve">10.1002/pbc.20469</t>
  </si>
  <si>
    <t xml:space="preserve">977YU</t>
  </si>
  <si>
    <t xml:space="preserve">WOS:000232840200015</t>
  </si>
  <si>
    <t xml:space="preserve">El Chaer, F; Shah, DP; Kmeid, J; Ariza-Heredia, EJ; Hosing, CM; Mulanovich, VE; Chemaly, RF</t>
  </si>
  <si>
    <t xml:space="preserve">El Chaer, Firas; Shah, Dimpy P.; Kmeid, Joumana; Ariza-Heredia, Ella J.; Hosing, Chitra M.; Mulanovich, Victor E.; Chemaly, Roy F.</t>
  </si>
  <si>
    <t xml:space="preserve">Burden of Human Metapneumovirus Infections in Patients With Cancer: Risk Factors and Outcomes</t>
  </si>
  <si>
    <t xml:space="preserve">cancer; death; human metapneumovirus (hMPV); leukemia; pneumonia; respiratory virus; stem cell transplantation</t>
  </si>
  <si>
    <t xml:space="preserve">CELL TRANSPLANT RECIPIENTS; RESPIRATORY SYNCYTIAL VIRUS; PNEUMONIA REQUIRING HOSPITALIZATION; VIRAL-INFECTIONS; PARAINFLUENZA VIRUS; DISEASE SEVERITY; ORAL RIBAVIRIN; CHILDREN; LEUKEMIA; MANAGEMENT</t>
  </si>
  <si>
    <t xml:space="preserve">BACKGROUND: Human metapneumovirus (hMPV) causes upper and lower respiratory tract infections (URIs and LRIs, respectively) in healthy and immunocompromised patients; however, its clinical burden in patients with cancer remains unknown. METHODS: In a retrospective study of all laboratory-confirmed hMPV infections treated at the authors' institution between April 2012 and May 2015, clinical characteristics, risk factors for progression to an LRI, treatment, and outcomes in patients with cancer were determined. RESULTS: In total, 181 hMPV infections were identified in 90 patients (50%) with hematologic malignancies (HMs), in 57 (31%) hematopoietic cell transplantation (HCT) recipients, and in 34 patients (19%) with solid tumors. Most patients (92%) had a community-acquired infection and presented with URIs (67%), and 43% developed LRIs (59 presented with LRIs and 19 progressed from a URI to an LRI). On multivariable analysis, an underlying HM (adjusted odds ratio [aOR], 3.11; 95% confidence interval [CI], 1.12-8.64; P=.029), nosocomial infection (aOR, 26.9; 95% CI, 2.79-259.75; P=.004), and hypoxia (oxygen saturation [SpO(2)], &lt;= 92%) at presentation (aOR, 9.61; 95% CI, 1.98-46.57; P=.005) were identified as independent factors associated with LRI. All-cause mortality at 30 days from hMPV diagnosis was low (4%), and patients with LRIs had a 10% mortality rate at day 30 from diagnosis; whereas patients with URIs had a 0% mortality rate. CONCLUSIONS: hMPV infections in patients with cancer may cause significant morbidity, especially for those with underlying HM who may develop an LRI. Despite high morbidity and the lack of directed antiviral therapy for hMPV infections, mortality at day 30 from this infection remained low in this studied population. (C) 2017 American Cancer Society.</t>
  </si>
  <si>
    <t xml:space="preserve">[El Chaer, Firas; Shah, Dimpy P.; Kmeid, Joumana; Ariza-Heredia, Ella J.; Mulanovich, Victor E.; Chemaly, Roy F.] Univ Texas MD Anderson Canc Ctr, Dept Infect Dis Infect Control &amp; Employee Hlth, Houston, TX 77030 USA; [El Chaer, Firas] Baylor Coll Med, Dept Med, Houston, TX 77030 USA; [Hosing, Chitra M.] Univ Texas MD Anderson Canc Ctr, Dept Stem Cell Transplantat &amp; Cellular Therapy, Houston, TX 77030 USA</t>
  </si>
  <si>
    <t xml:space="preserve">University of Texas System; UTMD Anderson Cancer Center; Baylor College of Medicine; University of Texas System; UTMD Anderson Cancer Center</t>
  </si>
  <si>
    <t xml:space="preserve">Chemaly, RF (corresponding author), Univ Texas MD Anderson Canc Ctr, Dept Infect Dis Infect Control &amp; Employee Hlth, Unit 402, 1515 Holcombe Blvd, Houston, TX 77030 USA.</t>
  </si>
  <si>
    <t xml:space="preserve">rfchemaly@mdanderson.org</t>
  </si>
  <si>
    <t xml:space="preserve">kmeid, joumana/0000-0001-5679-6130; Shah, Dimpy/0000-0001-9019-8310; El Chaer, Firas/0000-0001-9596-0714</t>
  </si>
  <si>
    <t xml:space="preserve">National Institutes of Health/National Cancer Institute [P30CA016672]</t>
  </si>
  <si>
    <t xml:space="preserve">National Institutes of Health/National Cancer Institute(United States Department of Health &amp; Human ServicesNational Institutes of Health (NIH) - USANIH National Cancer Institute (NCI))</t>
  </si>
  <si>
    <t xml:space="preserve">This study was supported in part by the National Institutes of Health/National Cancer Institute under award P30CA016672 and used the Cancer Center Support Grant resources.</t>
  </si>
  <si>
    <t xml:space="preserve">10.1002/cncr.30599</t>
  </si>
  <si>
    <t xml:space="preserve">EW9NK</t>
  </si>
  <si>
    <t xml:space="preserve">WOS:000402846300021</t>
  </si>
  <si>
    <t xml:space="preserve">Higdon, MM; Le, T; O'Brien, KL; Murdoch, DR; Prosperi, C; Baggett, HC; Brooks, WA; Feikin, DR; Hammitt, LL; Howie, SRC; Kotloff, KL; Levine, OS; Scott, JAG; Thea, DM; Awori, JO; Baillie, VL; Cascio, S; Chuananon, S; DeLuca, AN; Driscoll, AJ; Ebruke, BE; Endtz, HP; Kaewpan, A; Kahn, G; Karani, A; Karron, RA; Moore, DP; Park, DE; Rahman, MZ; Salaudeen, R; Seidenberg, P; Somwe, SW; Sylla, M; Tapia, MD; Zeger, SL; Knoll, MD; Madhi, SA</t>
  </si>
  <si>
    <t xml:space="preserve">Higdon, Melissa M.; Tham Le; O'Brien, Katherine L.; Murdoch, David R.; Prosperi, Christine; Baggett, Henry C.; Brooks, W. Abdullah; Feikin, Daniel R.; Hammitt, Laura L.; Howie, Stephen R. C.; Kotloff, Karen L.; Levine, Orin S.; Scott, J. Anthony G.; Thea, Donald M.; Awori, Juliet O.; Baillie, Vicky L.; Cascio, Stephanie; Chuananon, Somchai; DeLuca, Andrea N.; Driscoll, Amanda J.; Ebruke, Bernard E.; Endtz, Hubert P.; Kaewpan, Anek; Kahn, Geoff; Karani, Angela; Karron, Ruth A.; Moore, David P.; Park, Daniel E.; Rahman, Mohammed Ziaur; Salaudeen, Rasheed; Seidenberg, Phil; Somwe, Wa Somwe; Sylla, Mamadou; Tapia, Milagritos D.; Zeger, Scott L.; Knoll, Maria Deloria; Madhi, Shabir A.</t>
  </si>
  <si>
    <t xml:space="preserve">PERCH Study Grp</t>
  </si>
  <si>
    <t xml:space="preserve">Association of C-Reactive Protein With Bacterial and Respiratory Syncytial Virus-Associated Pneumonia Among Children Aged &lt;5 Years in the PERCH Study</t>
  </si>
  <si>
    <t xml:space="preserve">C-reactive protein; bacteria; RSV; biomarker; pneumonia</t>
  </si>
  <si>
    <t xml:space="preserve">COMMUNITY-ACQUIRED PNEUMONIA; ERYTHROCYTE SEDIMENTATION-RATE; PNEUMOCOCCAL PNEUMONIA; SERUM PROCALCITONIN; STANDARDIZED INTERPRETATION; HOSPITALIZED CHILDREN; HUMAN METAPNEUMOVIRUS; CHEST RADIOGRAPHS; ETIOLOGY RESEARCH; VIRAL PNEUMONIA</t>
  </si>
  <si>
    <t xml:space="preserve">Background. Lack of a gold standard for identifying bacterial and viral etiologies of pneumonia has limited evaluation of C-reactive protein (CRP) for identifying bacterial pneumonia. We evaluated the sensitivity and specificity of CRP for identifying bacterial vs respiratory syncytial virus (RSV) pneumonia in the Pneumonia Etiology Research for Child Health (PERCH) multicenter case-control study. Methods. We measured serum CRP levels in cases with World Health Organization-defined severe or very severe pneumonia and a subset of community controls. We evaluated the sensitivity and specificity of elevated CRP for confirmed bacterial pneumonia (positive blood culture or positive lung aspirate or pleural fluid culture or polymerase chain reaction [PCR]) compared to RSV pneumonia (nasopharyngeal/oropharyngeal or induced sputum PCR-positive without confirmed/suspected bacterial pneumonia). Receiver operating characteristic (ROC) curves were constructed to assess the performance of elevated CRP in distinguishing these cases. Results. Among 601 human immunodeficiency virus (HIV)-negative tested controls, 3% had CRP &gt;= 40 mg/L. Among 119 HIV-negative cases with confirmed bacterial pneumonia, 77% had CRP &gt;= 40 mg/L compared with 17% of 556 RSV pneumonia cases. The ROC analysis produced an area under the curve of 0.87, indicating very good discrimination; a cut-point of 37.1 mg/L best discriminated confirmed bacterial pneumonia (sensitivity 77%) from RSV pneumonia (specificity 82%). CRP &gt;= 100 mg/L substantially improved specificity over CRP &gt;= 40 mg/L, though at a loss to sensitivity. Conclusions. Elevated CRP was positively associated with confirmed bacterial pneumonia and negatively associated with RSV pneumonia in PERCH. CRP may be useful for distinguishing bacterial from RSV-associated pneumonia, although its role in discriminating against other respiratory viral-associated pneumonia needs further study.</t>
  </si>
  <si>
    <t xml:space="preserve">[Higdon, Melissa M.; Tham Le; O'Brien, Katherine L.; Prosperi, Christine; Feikin, Daniel R.; Hammitt, Laura L.; Levine, Orin S.; Cascio, Stephanie; DeLuca, Andrea N.; Driscoll, Amanda J.; Ebruke, Bernard E.; Kahn, Geoff; Park, Daniel E.; Knoll, Maria Deloria] Johns Hopkins Bloomberg Sch Publ Hlth, Int Vaccine Access Ctr, Dept Int Hlth, 415 N Washington St,Rm 561, Baltimore, MD 21231 USA; [Tham Le] Univ Maryland, Dept Pharmaceut Hlth Serv Res, Baltimore, MD 21201 USA; [Murdoch, David R.] Univ Otago, Dept Pathol, Christchurch, New Zealand; [Murdoch, David R.] Canterbury Hlth Labs, Microbiol Unit, Christchurch, New Zealand; [Baggett, Henry C.; Kaewpan, Anek] Thailand Minist Publ Health US Ctr Dis Control &amp;, Global Dis Detect Ctr, Nonthaburi, Thailand; [Baggett, Henry C.] Ctr Dis Control &amp; Prevent, Div Global Hlth Protect, Ctr Global Hlth, Atlanta, GA USA; [Brooks, W. Abdullah; Endtz, Hubert P.; Rahman, Mohammed Ziaur] Icddr B, Dhaka, Bangladesh; [Brooks, W. Abdullah; Driscoll, Amanda J.; Endtz, Hubert P.] Icddr B, Matlab, Bangladesh; [Brooks, W. Abdullah] Johns Hopkins Bloomberg Sch Publ Hlth, Dept Int Hlth, Baltimore, MD USA; [Feikin, Daniel R.] Ctr Dis Control &amp; Prevent, Natl Ctr Immunizat &amp; Resp Dis, Div Viral Dis, Atlanta, GA USA; [Hammitt, Laura L.; Scott, J. Anthony G.; Awori, Juliet O.; Karani, Angela] Kenya Med Res Inst Wellcome Trust Res Programme, Kilifi, Kenya; [Howie, Stephen R. C.; Ebruke, Bernard E.; Salaudeen, Rasheed] MRC Unit, Basse, Gambia; [Howie, Stephen R. C.; Ebruke, Bernard E.; Salaudeen, Rasheed] Univ Auckland, Dept Paediat, Dunedin, New Zealand; [Howie, Stephen R. C.] Univ Otago, Ctr Int Hlth, Dunedin, New Zealand; [Kotloff, Karen L.; Tapia, Milagritos D.] Univ Maryland, Sch Med, Div Infect Dis &amp; Trop Pediat, Dept Pediat,Ctr Vaccine Dev,Inst Global Hlth, Baltimore, MD 21201 USA; [Levine, Orin S.] Bill &amp; Melinda Gates Fdn, Seattle, WA USA; [Scott, J. Anthony G.] London Sch Hyg &amp; Trop Med, Dept Infect Dis Epidemiol, London, England; [Thea, Donald M.; Seidenberg, Phil] Boston Univ, Sch Publ Hlth, Ctr Global Hlth &amp; Dev, Boston, MA 02215 USA; [Baillie, Vicky L.; Moore, David P.; Madhi, Shabir A.] Univ Witwatersrand, Med Res Council, Resp &amp; Meningeal Pathogens Res Unit, Johannesburg, South Africa; [Baillie, Vicky L.; Moore, David P.; Madhi, Shabir A.] Univ Witwatersrand, Dept Sci &amp; Technol, Natl Res Fdn, Vaccine Preventable Dis Unit, Johannesburg, South Africa; [Chuananon, Somchai] Nakhon Phanom Prov Hosp, Nai Mueang, Thailand; [DeLuca, Andrea N.] Johns Hopkins Bloomberg Sch Publ Hlth, Dept Epidemiol, Baltimore, MD USA; [Endtz, Hubert P.] Erasmus MC, Dept Clin Microbiol &amp; Infect Dis, Rotterdam, Netherlands; [Endtz, Hubert P.] Fdn Merieux, Lyon, France; [Kahn, Geoff] Johns Hopkins Bloomberg Sch Publ Hlth, Ctr Immunizat Res, Mental Hlth, Baltimore, MD USA; [Kahn, Geoff; Karron, Ruth A.] Johns Hopkins Bloomberg Sch Publ Hlth, Ctr Immunizat Res, Int Hlth, Baltimore, MD USA; [Moore, David P.] Chris Hani Baragwanath Acad Hosp, Dept Paediat &amp; Child Hlth, Johannesburg, South Africa; [Moore, David P.] Univ Witwatersrand, Johannesburg, South Africa; [Park, Daniel E.] George Washington Univ, Dept Epidemiol &amp; Biostat, Milken Inst Sch Publ Hlth, Washington, DC 20052 USA; [Salaudeen, Rasheed] Lagos Univ, Med Microbiol Dept, Teaching Hosp, Lagos, Nigeria; [Seidenberg, Phil] Univ New Mexico, Dept Emergency Med, Albuquerque, NM 87131 USA; [Somwe, Wa Somwe] Univ Zambia Lusaka, Sch Med, Dept Paediat &amp; Child Hlth, Lusaka, Zambia; [Sylla, Mamadou] Ctr Dev Vaccins CVD Mali Bamako, Bamako, Mali; [Zeger, Scott L.] Johns Hopkins Bloomberg Sch Publ Hlth, Dept Biostat, Baltimore, MD USA</t>
  </si>
  <si>
    <t xml:space="preserve">Johns Hopkins University; Johns Hopkins Bloomberg School of Public Health; University System of Maryland; University of Maryland Baltimore; University of Otago; Canterbury Health Laboratories; Centers for Disease Control &amp; Prevention - USA; International Centre for Diarrhoeal Disease Research (ICDDR); International Centre for Diarrhoeal Disease Research (ICDDR); Johns Hopkins University; Johns Hopkins Bloomberg School of Public Health; Centers for Disease Control &amp; Prevention - USA; Kenya Medical Research Institute; University of London; London School of Hygiene &amp; Tropical Medicine; University of Auckland; University of Otago; University System of Maryland; University of Maryland Baltimore; Bill &amp; Melinda Gates Foundation; University of London; London School of Hygiene &amp; Tropical Medicine; Boston University; University of Witwatersrand; South African Medical Research Council; University of Witwatersrand; National Research Foundation - South Africa; Johns Hopkins University; Johns Hopkins Bloomberg School of Public Health; Erasmus University Rotterdam; Erasmus MC; Johns Hopkins University; Johns Hopkins Bloomberg School of Public Health; Johns Hopkins University; Johns Hopkins Bloomberg School of Public Health; University of Witwatersrand; George Washington University; University of New Mexico; Johns Hopkins University; Johns Hopkins Bloomberg School of Public Health</t>
  </si>
  <si>
    <t xml:space="preserve">Higdon, MM (corresponding author), Johns Hopkins Bloomberg Sch Publ Hlth, Int Vaccine Access Ctr, Dept Int Hlth, 415 N Washington St,Rm 561, Baltimore, MD 21231 USA.</t>
  </si>
  <si>
    <t xml:space="preserve">mhigdon@jhu.edu</t>
  </si>
  <si>
    <t xml:space="preserve">Moore, David/AAU-7186-2020; Ebruke, Bernard/AAX-7133-2020; kotloff, karen/E-7768-2012; Brooks, W./AAD-3876-2021; Murdoch, David/A-2012-2009; Baillie, Vicky/LJL-0428-2024; Park, Daniel/R-5604-2016</t>
  </si>
  <si>
    <t xml:space="preserve">Zeger, Scott/0000-0001-8907-1603; Ebruke, Bernard/0000-0002-3474-1347; Machuka, Eunice/0000-0002-1142-3442; Park, Daniel/0000-0001-5139-5397; Moore, David/0000-0001-6091-1605; Fancourt, Nicholas/0000-0002-1772-9960; Madhi, Shabir/0000-0002-7629-0636; Baillie, Vicky Lynne/0000-0003-1327-9090; Higdon, Melissa/0000-0002-1932-9442; Mackenzie, Grant/0000-0002-4994-2627; DeLuca, Andrea/0000-0003-4532-5311; Deloria Knoll, Maria/0000-0001-9041-2671; Groome, Michelle/0000-0001-5893-3725; Thea, Donald/0000-0002-6933-1030; Kagucia, Eunice Wangeci/0000-0002-4481-8889</t>
  </si>
  <si>
    <t xml:space="preserve">Bill &amp; Melinda Gates Foundation [48968]; Wellcome Trust of Great Britain [098532]; Wellcome Trust [098532/B/12/Z] Funding Source: Wellcome Trust; MRC [MC_U190088478] Funding Source: UKRI</t>
  </si>
  <si>
    <t xml:space="preserve">Bill &amp; Melinda Gates Foundation(Bill &amp; Melinda Gates FoundationBill &amp; Melinda Gates Foundation Grand Challenges Explorations InitiativeCGIAR); Wellcome Trust of Great Britain(Wellcome Trust); Wellcome Trust(Wellcome Trust); MRC(UK Research &amp; Innovation (UKRI)Medical Research Council UK (MRC))</t>
  </si>
  <si>
    <t xml:space="preserve">PERCH was supported by the Bill &amp; Melinda Gates Foundation (grant number 48968 to the International Vaccine Access Center, Department of International Health, Johns Hopkins Bloomberg School of Public Health). J. A. G. S. was supported by a clinical fellowship from the Wellcome Trust of Great Britain (award number 098532).</t>
  </si>
  <si>
    <t xml:space="preserve">S378</t>
  </si>
  <si>
    <t xml:space="preserve">S386</t>
  </si>
  <si>
    <t xml:space="preserve">10.1093/cid/cix150</t>
  </si>
  <si>
    <t xml:space="preserve">EW2AK</t>
  </si>
  <si>
    <t xml:space="preserve">WOS:000402298300023</t>
  </si>
  <si>
    <t xml:space="preserve">Eschbaumer, M; Law, S; Solis, C; Chernick, A; van der Meer, F; Czub, M</t>
  </si>
  <si>
    <t xml:space="preserve">Eschbaumer, Michael; Law, Sampson; Solis, Cristina; Chernick, Adam; van der Meer, Frank; Czub, Markus</t>
  </si>
  <si>
    <t xml:space="preserve">Rapid detection of neutralizing antibodies against bovine viral diarrhoea virus using quantitative high-content screening</t>
  </si>
  <si>
    <t xml:space="preserve">BVDV; Neutralization assay; IN Cell Analyzer; High-throughput; Dose-response curves; Nonlinear regression</t>
  </si>
  <si>
    <t xml:space="preserve">GREEN FLUORESCENT PROTEIN; MICRONEUTRALIZATION ASSAY; HUMAN METAPNEUMOVIRUS; ENCEPHALITIS-VIRUS; EXPRESSING VIRUS; IMMUNE-RESPONSE; VACCINIA VIRUS; SERUM; INFECTIONS; PROTECTION</t>
  </si>
  <si>
    <t xml:space="preserve">Bovine viral diarrhoea virus (BVDV) is an important cause of morbidity, mortality and economic losses in cattle worldwide. Humoral immunity to BVDV plays a major role in the protection against infection and disease. In vitro serum neutralization tests can quantify humoral responses, but standard protocols are time-consuming and labour-intensive. The objective of this study was to develop a highly sensitive assay based on high-content cell-by-cell screening that is faster and less subjective than the conventional protocols. It can detect a neutralizing antibody response within the first week after infection of an animal, takes less than 24 h to complete and excludes operator bias by automated data acquisition and analysis. (C) 2014 Elsevier B.V. All rights reserved.</t>
  </si>
  <si>
    <t xml:space="preserve">[Eschbaumer, Michael; Law, Sampson; Solis, Cristina; Chernick, Adam; van der Meer, Frank; Czub, Markus] Univ Calgary, Fac Vet Med, Calgary, AB T2N 4N1, Canada</t>
  </si>
  <si>
    <t xml:space="preserve">University of Calgary</t>
  </si>
  <si>
    <t xml:space="preserve">Eschbaumer, M (corresponding author), USDA ARS Plum Isl Anim Dis Ctr, Foreign Anim Dis Res Unit, POB 848, Greenport, NY 11944 USA.</t>
  </si>
  <si>
    <t xml:space="preserve">meschbau@ucalgary.ca</t>
  </si>
  <si>
    <t xml:space="preserve">van der Meer, Frank/T-3497-2019; Chernick, Adam/B-4346-2015</t>
  </si>
  <si>
    <t xml:space="preserve">Chernick, Adam/0000-0002-4874-7133; van der Meer, Frank/0000-0003-3785-9639</t>
  </si>
  <si>
    <t xml:space="preserve">Dr. Sylvia van Drunen Littel-van den Hurk (VIDO-InterVac, Saskatoon, SK, Canada)</t>
  </si>
  <si>
    <t xml:space="preserve">The 1373 isolate has been provided by Dr. Sylvia van Drunen Littel-van den Hurk (VIDO-InterVac, Saskatoon, SK, Canada). We thank the Alberta Prion Research Institute for granting access to their equipment. Regula Waeckerlin, Constance Finney and James Wasmuth are acknowledged for their helpful comments on the manuscript.</t>
  </si>
  <si>
    <t xml:space="preserve">10.1016/j.jviromet.2013.12.017</t>
  </si>
  <si>
    <t xml:space="preserve">AB8RB</t>
  </si>
  <si>
    <t xml:space="preserve">WOS:000332056600008</t>
  </si>
  <si>
    <t xml:space="preserve">Lingani, M; Cissé, A; Ilboudo, AK; Yaméogo, I; Tarnagada, Z</t>
  </si>
  <si>
    <t xml:space="preserve">Lingani, Moussa; Cisse, Assana; Ilboudo, Abdoul Kader; Yameogo, Issaka; Tarnagada, Zekiba</t>
  </si>
  <si>
    <t xml:space="preserve">Patterns of Non-influenza Respiratory Viruses Among Severe Acute Respiratory Infection Cases in Burkina Faso: A Surveillance Study</t>
  </si>
  <si>
    <t xml:space="preserve">Burkina Faso; etiologies; non-influenza virus; respiratory tract infections</t>
  </si>
  <si>
    <t xml:space="preserve">HOSPITALIZED CHILDREN; SYNCYTIAL VIRUS; EPIDEMIOLOGY; ETIOLOGY; AFRICA</t>
  </si>
  <si>
    <t xml:space="preserve">BackgroundAlthough influenza viruses cause only one-fifth of severe acute respiratory infections (SARI) in Burkina Faso, the other viral causes of SARI remain poorly investigated to inform clinical and preventive decision making. MethodsBetween 2016 and 2019, we prospectively enrolled inpatients meeting the World Health Organization (WHO) case definition of SARI in Burkina Faso. Results of viral etiologies among inpatients tested negative for influenza using the Fast Track Diagnostics Respiratory Kits (FTD-33) were reported. ResultsOf 1541 specimens tested, at least one respiratory virus was detected in 76.1% of the 1231 specimens negative for influenza virus. Human rhinoviruses (hRVs) were the most detected pathogens (476; 38.7%), followed by human adenoviruses (hAdV) (17.1%, 210/1231), human respiratory syncytial virus (hRSV) (15.4%, 189/1231), enterovirus (EnV) (11.2%, 138/1231), human bocavirus (hBoV) (7.9%, 97/1231), parainfluenza 3 (hPIV3) (6.1%, 75/1231), human metapneumovirus (hMPV) (6.0%,74/1321), parainfluenza 4 (hPIV4) (4.1%, 51/1231), human coronavirus OC43 (hCoV-OC43) (3.4%, 42/1231), human coronavirus HKU1(hCoV-HKU1) (2.7%, 33/1231), human coronavirus NL63 (hCoV-NL63) (2.5%, 31/1231), parainfluenza 1 (hPIV1) (2.0%, 25/1231), parainfluenza 2 (hPIV2) (1.8%, 22/1231), human parechovirus (PeV) (1.1%, 14/1231), and human coronavirus 229E (hCoV-229E) (0.9%, 11/1231). Among SARI cases, infants aged 1-4 years were mostly affected (50.7%; 622/1231), followed by those &lt;1 year of age (35.7%; 438/1231). Most detected pathogens had year-long circulation patterns, with seasonal peaks mainly observed during the cold and dry seasons. ConclusionSeveral non-influenza viruses are cause of SARI in Burkina Faso. The integration of the most common pathogens into the routine influenza surveillance system might be beneficial.</t>
  </si>
  <si>
    <t xml:space="preserve">[Lingani, Moussa; Cisse, Assana; Ilboudo, Abdoul Kader; Tarnagada, Zekiba] Inst Rech Sci St LNRG IRSS, Lab Natl Reference Grippes, Ouagadougou, Burkina Faso; [Lingani, Moussa] Inst Rech Sci St IRSS URCN, Unite Rech Clin Nanoro, Nanoro, Burkina Faso; [Cisse, Assana; Ilboudo, Abdoul Kader; Yameogo, Issaka; Tarnagada, Zekiba] One Hlth Assoc Burkina Faso, Ouagadougou, Burkina Faso; [Yameogo, Issaka] Minist St &amp; Hyg Publ, Serv Surveillance Epidemiol, Ouagadougou, Burkina Faso</t>
  </si>
  <si>
    <t xml:space="preserve">Lingani, M (corresponding author), Inst Rech Sci St LNRG IRSS, Lab Natl Reference Grippes, Ouagadougou, Burkina Faso.;Lingani, M (corresponding author), Inst Rech Sci St IRSS URCN, Unite Rech Clin Nanoro, Nanoro, Burkina Faso.</t>
  </si>
  <si>
    <t xml:space="preserve">lingani10@yahoo.fr</t>
  </si>
  <si>
    <t xml:space="preserve">Ilboudo, Abdoul Kader/0000-0001-7241-5182</t>
  </si>
  <si>
    <t xml:space="preserve">Burkina Faso National Influenza Reference Laboratory; Center for Disease Control and Prevention, National Center for Immunization and Respiratory Diseases, Atlanta, GA, USA</t>
  </si>
  <si>
    <t xml:space="preserve">We acknowledge the support of the Burkina Faso National Influenza Reference Laboratory (NIRL) and the Center for Disease Control and Prevention, National Center for Immunization and Respiratory Diseases, Atlanta, GA, USA, for the laboratory work. We are grateful to the contribution of the staff of the sentinel sites during the data collection.</t>
  </si>
  <si>
    <t xml:space="preserve">e13271</t>
  </si>
  <si>
    <t xml:space="preserve">10.1111/irv.13271</t>
  </si>
  <si>
    <t xml:space="preserve">LM2E9</t>
  </si>
  <si>
    <t xml:space="preserve">WOS:001187144800001</t>
  </si>
  <si>
    <t xml:space="preserve">Tempia, S; Moyes, J; Cohen, AL; Walaza, S; McMorrow, ML; Treurnicht, FK; Hellferscee, O; Wolter, N; von Gottberg, A; Dawood, H; Variava, E; Cohen, C</t>
  </si>
  <si>
    <t xml:space="preserve">Tempia, Stefano; Moyes, Jocelyn; Cohen, Adam L.; Walaza, Sibongile; McMorrow, Meredith L.; Treurnicht, Florette K.; Hellferscee, Orienka; Wolter, Nicole; von Gottberg, Anne; Dawood, Halima; Variava, Ebrahim; Cohen, Cheryl</t>
  </si>
  <si>
    <t xml:space="preserve">The national burden of influenza-like illness and severe respiratory illness overall and associated with nine respiratory viruses in South Africa, 2013-2015</t>
  </si>
  <si>
    <t xml:space="preserve">burden; respiratory viruses; South Africa</t>
  </si>
  <si>
    <t xml:space="preserve">ATTRIBUTABLE FRACTION; TRACT INFECTION; VIRAL ETIOLOGY; HIV; PREVALENCE; CHILDREN; HOSPITALIZATION; EPIDEMIOLOGY; POPULATION; CAMEROON</t>
  </si>
  <si>
    <t xml:space="preserve">Background Estimates of the disease burden associated with different respiratory viruses are severely limited in low- and middle-income countries, especially in Africa. Methods We estimated age-specific numbers and rates of medically and non-medically attended influenza-like illness (ILI) and severe respiratory illness (SRI) that were associated with influenza, respiratory syncytial virus (RSV), rhinovirus, human metapneumovirus, adenovirus, enterovirus and parainfluenza virus types 1-3 after adjusting for the attributable fraction (AF) of virus detection to illness in South Africa during 2013-2015. The base rates were estimated from five surveillance sites and extrapolated nationally. Results The mean annual rates per 100,000 population were 51,383 and 4196 for ILI and SRI, respectively. Of these, 26% (for ILI) and 46% (for SRI) were medically attended. Among outpatients with ILI, rhinovirus had the highest AF-adjusted rate (7221), followed by influenza (6443) and adenovirus (1364); whereas, among inpatients with SRI, rhinovirus had the highest AF-adjusted rate (400), followed by RSV (247) and influenza (130). Rhinovirus (9424) and RSV (2026) had the highest AF-adjusted rates among children aged &lt;5 years with ILI or SRI, respectively, whereas rhinovirus (757) and influenza (306) had the highest AF-adjusted rates among individuals aged &gt;= 65 years with ILI or SRI, respectively. Conclusions There was a substantial burden of ILI and SRI in South Africa during 2013-2015. Rhinovirus and influenza had a prominent disease burden among patients with ILI. RSV and influenza were the most prominent causes of SRI in children and the elderly, respectively.</t>
  </si>
  <si>
    <t xml:space="preserve">[Tempia, Stefano; Cohen, Adam L.; McMorrow, Meredith L.] Ctr Dis Control &amp; Prevent, Influenza Div, Atlanta, GA USA; [Tempia, Stefano; McMorrow, Meredith L.] Ctr Dis Control &amp; Prevent, Influenza Program, Pretoria, South Africa; [Tempia, Stefano; Moyes, Jocelyn; Walaza, Sibongile; Treurnicht, Florette K.; Hellferscee, Orienka; Wolter, Nicole; von Gottberg, Anne; Cohen, Cheryl] Natl Inst Communicable Dis, Ctr Resp Dis &amp; Meningitis, Natl Hlth Lab Serv, Johannesburg, South Africa; [Tempia, Stefano] MassGenics, Duluth, GA USA; [Tempia, Stefano; Moyes, Jocelyn; Walaza, Sibongile; Cohen, Cheryl] Univ Witwatersrand, Fac Hlth Sci, Sch Publ Hlth, Johannesburg, South Africa; [Cohen, Adam L.] WHO, Dept Immunizat Vaccines &amp; Biol, Expanded Programme Immunizat, Global Immunizat Monitoring &amp; Surveillance Team, Geneva, Switzerland; [Treurnicht, Florette K.] Charlotte Maxeke Johannesburg Acad Hosp, Natl Hlth Lab Serv, Div Virol, Johannesburg, South Africa; [Hellferscee, Orienka; Wolter, Nicole; von Gottberg, Anne] Univ Witwatersrand, Fac Hlth Sci, Sch Pathol, Johannesburg, South Africa; [Dawood, Halima] Pietermaritzburg Metropolitan Hosp, Dept Med, Pietermaritzburg, South Africa; [Dawood, Halima] Univ KwaZulu Natal, Dept Med, Pietermaritzburg, South Africa; [Variava, Ebrahim] Klerksdorp Tshepong Hosp Complex, Dept Med, Klerksdorp, South Africa; [Variava, Ebrahim] Univ Witwatersrand, Fac Hlth Sci, Dept Med, Johannesburg, South Africa; [Variava, Ebrahim] Univ Witwatersrand, Perinatal HIV Res Unit, Johannesburg, South Africa</t>
  </si>
  <si>
    <t xml:space="preserve">Centers for Disease Control &amp; Prevention - USA; National Health Laboratory Service; National Institute for Communicable Diseases (NICD); University of Witwatersrand; World Health Organization; National Health Laboratory Service; University of Witwatersrand; University of Witwatersrand; University of Kwazulu Natal; University of Witwatersrand; University of Witwatersrand</t>
  </si>
  <si>
    <t xml:space="preserve">Tempia, S (corresponding author), Ctr Resp Dis &amp; Meningitis, Natl Inst Communicable Dis, Private Bag X4, ZA-2131 Johannesburg, Gauteng, South Africa.;Cohen, C (corresponding author), Natl Inst Communicable Dis, Ctr Resp Dis &amp; Meningitis, Private Bag X4, ZA-2131 Johannesburg, South Africa.</t>
  </si>
  <si>
    <t xml:space="preserve">stefanot@nicd.ac.za; cherylc@nicd.ac.za</t>
  </si>
  <si>
    <t xml:space="preserve">Moyes, Jocelyn/AAF-7882-2019; Variava, Ebrahim/AAO-5717-2020; McMorrow, Meredith/M-1274-2019; Hellferscee, Orienka/AAN-6202-2020; Walaza, Sibongile/HKP-0810-2023; Dawood, Halima/AAF-6045-2020; Cohen, Cheryl/HKV-1000-2023</t>
  </si>
  <si>
    <t xml:space="preserve">McMorrow, Meredith/0000-0001-6363-4033; Variava, Ebrahim/0000-0003-2888-789X; TREURNICHT, FLORETTE KATHLEEN/0000-0002-0853-8011; Wolter, Nicole/0000-0002-9526-0133; Walaza, Sibongile/0000-0001-7588-2480; Tempia, Stefano/0000-0003-4395-347X; von Gottberg, Anne/0000-0002-0243-7455; Cohen, Cheryl/0000-0003-0376-2302</t>
  </si>
  <si>
    <t xml:space="preserve">National Center for Immunization and Respiratory Diseases [5U51IP000155]</t>
  </si>
  <si>
    <t xml:space="preserve">National Center for Immunization and Respiratory Diseases(United States Department of Health &amp; Human ServicesCenters for Disease Control &amp; Prevention - USA)</t>
  </si>
  <si>
    <t xml:space="preserve">National Center for Immunization and Respiratory Diseases, Grant/Award Number: 5U51IP000155</t>
  </si>
  <si>
    <t xml:space="preserve">10.1111/irv.12949</t>
  </si>
  <si>
    <t xml:space="preserve">0H0LS</t>
  </si>
  <si>
    <t xml:space="preserve">WOS:000754159600001</t>
  </si>
  <si>
    <t xml:space="preserve">Zimmerman, RK; Balasubramani, GK; D'Agostino, HEA; Clarke, L; Yassin, M; Middleton, DB; Silveira, FP; Wheeler, ND; Landis, J; Peterson, A; Suyama, J; Weissman, A; Nowalk, MP</t>
  </si>
  <si>
    <t xml:space="preserve">Zimmerman, Richard K.; Balasubramani, G. K.; D'Agostino, Helen E. A.; Clarke, Lloyd; Yassin, Mohamed; Middleton, Donald B.; Silveira, Fernanda P.; Wheeler, Nicole D.; Landis, Jonathan; Peterson, Alanna; Suyama, Joe; Weissman, Alexandra; Nowalk, Mary Patricia</t>
  </si>
  <si>
    <t xml:space="preserve">Population-based hospitalization burden estimates for respiratory viruses, 2015-2019</t>
  </si>
  <si>
    <t xml:space="preserve">burden; cost; hospitalizations; respiratory viral infections</t>
  </si>
  <si>
    <t xml:space="preserve">VIRAL-INFECTIONS; INFLUENZA; ADULTS</t>
  </si>
  <si>
    <t xml:space="preserve">Background Acute respiratory infections (ARIs) result in millions of illnesses and hundreds of thousands of hospitalizations annually in the United States. The responsible viruses include influenza, parainfluenza, human metapneumovirus, coronaviruses, respiratory syncytial virus (RSV), and human rhinoviruses. This study estimated the population-based hospitalization burden of those respiratory viruses (RVs) over 4 years, from July 1, 2015 to June 30, 2019, among adults &gt;= 18 years of age for Allegheny County (Pittsburgh), Pennsylvania. Methods We used population-based statewide hospital discharge data, health system electronic medical record (EMR) data for RV tests, census data, and a published method to calculate burden. Results Among 26,211 eligible RV tests, 67.6% were negative for any virus. The viruses detected were rhinovirus/enterovirus (2552; 30.1%), influenza A (2,299; 27.1%), RSV (1082; 12.7%), human metapneumovirus (832; 9.8%), parainfluenza (601; 7.1%), influenza B (565; 6.7%), non-SARS-CoV-2 coronavirus (420; 4.9% 1.5 years of data available), and adenovirus (136; 1.6%). Most tests were among female (58%) and White (71%) patients with 60% of patients &gt;= 65 years, 24% 50-64 years, and 16% 18-49 years. The annual burden ranged from 137-174/100,000 population for rhinovirus/enterovirus; 99-182/100,000 for influenza A; and 56-81/100,000 for RSV. Among adults &lt;65 years, rhinovirus/enterovirus hospitalization burden was higher than influenza A; whereas the reverse was true for adults &gt;= 65 years. RV hospitalization burden increased with increasing age. Conclusions These virus-specific ARI population-based hospital burden estimates showed significant non-influenza burden. These estimates can serve as the basis for several areas of research that are essential for setting funding priorities and guiding public health policy.</t>
  </si>
  <si>
    <t xml:space="preserve">[Zimmerman, Richard K.; Nowalk, Mary Patricia] Univ Pittsburgh, Sch Med, Dept Family Med, Pittsburgh, PA 15260 USA; [Balasubramani, G. K.; D'Agostino, Helen E. A.] Univ Pittsburgh, Sch Publ Hlth, Dept Epidemiol, Pittsburgh, PA 15260 USA; [Clarke, Lloyd] UPMC Hlth Syst, Pharm Dept, Div Infect Dis, Pittsburgh, PA USA; [Yassin, Mohamed] UPMC Mercy Hosp, Infect Control Dept, Pittsburgh, PA USA; [Middleton, Donald B.] UPMC St Margaret Hosp, Dept Med Educ, Pittsburgh, PA USA; [Silveira, Fernanda P.] Univ Pittsburgh, Sch Med, Dept Med, Div Infect Dis, Pittsburgh, PA 15260 USA; [Wheeler, Nicole D.; Landis, Jonathan] UPMC Passavant Hosp, Dept Emergency Med, Pittsburgh, PA USA; [Peterson, Alanna] UPMC Shadyside Hosp, Dept Emergency Med, Pittsburgh, PA USA; [Suyama, Joe; Weissman, Alexandra] UPMC Magee Womens Hosp, Dept Emergency Med, Pittsburgh, PA USA</t>
  </si>
  <si>
    <t xml:space="preserve">Nowalk, MP (corresponding author), Univ Pittsburgh, Dept Family Med, 4420 Bayard St,Suite 520, Pittsburgh, PA 15260 USA.</t>
  </si>
  <si>
    <t xml:space="preserve">Goundappa, Balasubramani/HPD-3391-2023; Nowalk, Mary/ACU-4712-2022; Zimmerman, Richard/KOC-2300-2024</t>
  </si>
  <si>
    <t xml:space="preserve">Centers for Disease Control and Prevention (CDC) [5U01IP001035-02]; National Institutes of Health (NIH) [UL1TR001857]</t>
  </si>
  <si>
    <t xml:space="preserve">Centers for Disease Control and Prevention (CDC)(United States Department of Health &amp; Human ServicesCenters for Disease Control &amp; Prevention - USA); National Institutes of Health (NIH)(United States Department of Health &amp; Human ServicesNational Institutes of Health (NIH) - USA)</t>
  </si>
  <si>
    <t xml:space="preserve">This work was supported in part by the Centers for Disease Control and Prevention (CDC) (5U01IP001035-02) and by National Institutes of Health (NIH) (UL1TR001857). This work represents the views of the authors and not the CDC or NIH. It is subject to CDC's public access policy.</t>
  </si>
  <si>
    <t xml:space="preserve">10.1111/irv.13040</t>
  </si>
  <si>
    <t xml:space="preserve">5D8WP</t>
  </si>
  <si>
    <t xml:space="preserve">WOS:000842817900001</t>
  </si>
  <si>
    <t xml:space="preserve">Moe, N; Stenseng, IH; Krokstad, S; Christensen, A; Skanke, LH; Risnes, KR; Nordbo, SA; Dollner, H</t>
  </si>
  <si>
    <t xml:space="preserve">Moe, Nina; Stenseng, Inger Heimdal; Krokstad, Sidsel; Christensen, Andreas; Skanke, Lars Hosoien; Risnes, Kari Ravndal; Nordbo, Svein Arne; Dollner, Henrik</t>
  </si>
  <si>
    <t xml:space="preserve">The Burden of Human Metapneumovirus and Respiratory Syncytial Virus Infections in Hospitalized Norwegian Children</t>
  </si>
  <si>
    <t xml:space="preserve">burden of respiratory tract infections; hospitalization rate; human metapneumovirus; respiratory syncytial virus; virus shedding time</t>
  </si>
  <si>
    <t xml:space="preserve">YOUNG-CHILDREN; TRACT INFECTIONS; GENETIC DIVERSITY; EPIDEMIOLOGY; PERSISTENCE; COMMUNITY; PATTERNS; INFANTS; DISEASE; ILLNESS</t>
  </si>
  <si>
    <t xml:space="preserve">The burden of severe human metapneumovirus (HMPV) respiratory tract infections (RTIs) in European children has not been clarified. We assessed HMPV in Norwegian children and compared hospitalization rates for HMPV and respiratory syncytial virus (RSV). We prospectively enrolled children (&lt; 16 years old) hospitalized with RTI and asymptomatic controls (2006-2015). Nasopharyngeal aspirate samples were analyzed with polymerase chain reaction (PCR) tests for HMPV, RSV, and 17 other pathogens. We genotyped HMPV-positive samples and assessed shedding time in 32 HMPV-infected children. In children with RTI, HMPV was detected in 7.3% (267 of 3650) and RSV in 28.7% (1048 of 3650). Among controls, 2.1% (7 of 339) had low HMPV levels detected by PCR, but all were culture negative. HMPV primarily occurred from January to April and in regular epidemics. At least 2 HMPV subtypes occurred each season. The average annual hospitalization rates in children &lt; 5 years old with lower RTI were 1.9/1000 (HMPV) and 10.4/1000 (RSV). Among children with RTI, the median HMPV shedding time by PCR was 13 days (range, 6-28 days), but all were culture negative (noninfectious) after 13 days. HMPV appears in epidemics in Norwegian children, with a hospitalization rate 5 times lower than RSV. Low levels of HMPV are rarely detected in healthy children.</t>
  </si>
  <si>
    <t xml:space="preserve">[Moe, Nina; Stenseng, Inger Heimdal; Christensen, Andreas; Skanke, Lars Hosoien; Risnes, Kari Ravndal; Nordbo, Svein Arne; Dollner, Henrik] Norwegian Univ Sci &amp; Technol, Dept Lab Med Childrens &amp; Womens Hlth, Trondheim, Norway; [Moe, Nina; Skanke, Lars Hosoien; Risnes, Kari Ravndal; Dollner, Henrik] Trondheim Reg &amp; Univ Hosp, St Olavs Hosp, Dept Pediat, Trondheim, Norway; [Krokstad, Sidsel; Christensen, Andreas; Nordbo, Svein Arne] Trondheim Reg &amp; Univ Hosp, St Olavs Hosp, Dept Med Microbiol, Trondheim, Norway</t>
  </si>
  <si>
    <t xml:space="preserve">Dollner, H (corresponding author), Norwegian Univ Sci &amp; Hlth, Dept Lab Med Childrens &amp; Womens Hlth, N-7006 Trondheim, Norway.</t>
  </si>
  <si>
    <t xml:space="preserve">henrik.dollner@ntnu.no</t>
  </si>
  <si>
    <t xml:space="preserve">Risnes, Kari/0000-0001-6599-0146; Krokstad, Steinar/0000-0002-2932-6675</t>
  </si>
  <si>
    <t xml:space="preserve">Central Norway Regional Health Authority [96987/2008]; St Olavs University Hospital, Trondheim University Hospital [13/8985-119]</t>
  </si>
  <si>
    <t xml:space="preserve">Central Norway Regional Health Authority; St Olavs University Hospital, Trondheim University Hospital</t>
  </si>
  <si>
    <t xml:space="preserve">This work was supported by the Central Norway Regional Health Authority (grant 96987/2008) and St Olavs University Hospital, Trondheim University Hospital (grant 13/8985-119).</t>
  </si>
  <si>
    <t xml:space="preserve">10.1093/infdis/jix262</t>
  </si>
  <si>
    <t xml:space="preserve">FB2CU</t>
  </si>
  <si>
    <t xml:space="preserve">WOS:000405951900016</t>
  </si>
  <si>
    <t xml:space="preserve">Bourgeois, FT; Valim, C; McAdam, AJ; Mandl, KD</t>
  </si>
  <si>
    <t xml:space="preserve">Bourgeois, Florence T.; Valim, Clarissa; McAdam, Alexander J.; Mandl, Kenneth D.</t>
  </si>
  <si>
    <t xml:space="preserve">Relative Impact of Influenza and Respiratory Syncytial Virus in Young Children</t>
  </si>
  <si>
    <t xml:space="preserve">burden of illness; influenza; respiratory syncytial virus; emergency health services</t>
  </si>
  <si>
    <t xml:space="preserve">POLYMERASE-CHAIN-REACTION; TRACT INFECTIONS; HUMAN METAPNEUMOVIRUS; OUTPATIENT VISITS; UNITED-STATES; HOSPITALIZATIONS; ILLNESS; SURVEILLANCE; BURDEN; VACCINATION</t>
  </si>
  <si>
    <t xml:space="preserve">OBJECTIVE: We measured the relative impact of influenza and respiratory syncytial virus (RSV) infections in young children in terms of emergency department (ED) visits, clinical care requirements, and overall resource use. METHODS: Patients who were aged &lt;= 7 years and treated in the ED of a tertiary care pediatric hospital for an acute respiratory infection were enrolled during 2 winter seasons between 2003 and 2005. We quantified health care resource use for children with influenza or RSV infections, and extrapolated results to estimate the national resource use associated with influenza and RSV infections. RESULTS: Nationally, an estimated 10.2 ED visits per 1000 children were attributable to influenza and 21.5 visits per 1000 to RSV. Children who were aged 0 to 23 months and infected with RSV had the highest rate of ED visits with 64.4 visits per 1000 children. Significantly more children required hospitalization as a result of an RSV infection compared with influenza,with national hospitalization rates of 8.5 and 1.4 per 1000 children, respectively. The total number of workdays missed yearly by caregivers of children who required ED care was 246 965 days for influenza infections and 716 404 days for RSV infections. CONCLUSION: For young children, RSV is associated with higher rates of ED visits, hospitalization, and caregiver resource use than is influenza. Our results provide data on the large number of children who receive outpatient care for influenza and RSV illnesses and serve to inform analyses of prevention programs and treatments for both influenza and RSV disease. Pediatrics 2009; 124: e1072-e1080</t>
  </si>
  <si>
    <t xml:space="preserve">[Bourgeois, Florence T.; Mandl, Kenneth D.] Childrens Hosp, Div Emergency Med, Boston, MA 02115 USA; [Valim, Clarissa] Childrens Hosp, Clin Res Program, Boston, MA 02115 USA; [McAdam, Alexander J.] Childrens Hosp, Dept Lab Med, Boston, MA 02115 USA; [Mandl, Kenneth D.] Childrens Hosp, Childrens Hosp Informat Program, Boston, MA 02115 USA; [Bourgeois, Florence T.; Mandl, Kenneth D.] Harvard Univ, Sch Med, Dept Pediat, Boston, MA 02115 USA; [Valim, Clarissa] Harvard Univ, Sch Publ Hlth, Dept Biostat, Boston, MA 02115 USA</t>
  </si>
  <si>
    <t xml:space="preserve">Harvard University; Boston Children's Hospital; Harvard University; Boston Children's Hospital; Harvard University; Boston Children's Hospital; Harvard University; Boston Children's Hospital; Harvard University; Harvard Medical School; Harvard University; Harvard T.H. Chan School of Public Health</t>
  </si>
  <si>
    <t xml:space="preserve">Bourgeois, FT (corresponding author), Childrens Hosp, Div Emergency Med, 300 Longwood Ave, Boston, MA 02115 USA.</t>
  </si>
  <si>
    <t xml:space="preserve">florence.bourgeois@childrens.harvard.edu</t>
  </si>
  <si>
    <t xml:space="preserve">Bourgeois, Florence/H-6710-2016</t>
  </si>
  <si>
    <t xml:space="preserve">National Library of Medicine [R01LM007970]; Eunice Kennedy Shriver National Institute of Child Health and Human Development [5 T32 HD40128]; Massachusetts Department of Public Health [5225 3 338CHI]; General Clinical Research Center at Children's Hospital Boston [MO1 RR-02172]; Agency for Healthcare Research and Quality [290-00-0020]</t>
  </si>
  <si>
    <t xml:space="preserve">National Library of Medicine(United States Department of Health &amp; Human ServicesNational Institutes of Health (NIH) - USANIH National Library of Medicine (NLM)); Eunice Kennedy Shriver National Institute of Child Health and Human Development(United States Department of Health &amp; Human ServicesNational Institutes of Health (NIH) - USANIH Eunice Kennedy Shriver National Institute of Child Health &amp; Human Development (NICHD)); Massachusetts Department of Public Health; General Clinical Research Center at Children's Hospital Boston(United States Department of Health &amp; Human ServicesNational Institutes of Health (NIH) - USANIH National Center for Research Resources (NCRR)); Agency for Healthcare Research and Quality(United States Department of Health &amp; Human ServicesAgency for Healthcare Research &amp; Quality)</t>
  </si>
  <si>
    <t xml:space="preserve">This work was supported by R01LM007970 from the National Library of Medicine, 5 T32 HD40128 from the Eunice Kennedy Shriver National Institute of Child Health and Human Development, 5225 3 338CHI from the Massachusetts Department of Public Health, MO1 RR-02172 from the General Clinical Research Center at Children's Hospital Boston, and 290-00-0020 from the Agency for Healthcare Research and Quality.</t>
  </si>
  <si>
    <t xml:space="preserve">E1072</t>
  </si>
  <si>
    <t xml:space="preserve">E1080</t>
  </si>
  <si>
    <t xml:space="preserve">10.1542/peds.2008-3074</t>
  </si>
  <si>
    <t xml:space="preserve">524SE</t>
  </si>
  <si>
    <t xml:space="preserve">WOS:000272162400032</t>
  </si>
  <si>
    <t xml:space="preserve">Widmer, K; Griffin, MR; Zhu, YW; Williams, JV; Talbot, HK</t>
  </si>
  <si>
    <t xml:space="preserve">Widmer, Kyle; Griffin, Marie R.; Zhu, Yuwei; Williams, John V.; Talbot, H. Keipp</t>
  </si>
  <si>
    <t xml:space="preserve">Respiratory syncytial virus- and human metapneumovirus-associated emergency department and hospital burden in adults</t>
  </si>
  <si>
    <t xml:space="preserve">Burden of illness; hospitalizations; human metapneumovirus; older adults; respiratory syncytial virus</t>
  </si>
  <si>
    <t xml:space="preserve">TRANSCRIPTASE PCR ASSAY; OLDER-ADULTS; INFLUENZA; INFECTION; IMPACT; VACCINATION; CHILDREN; RATES</t>
  </si>
  <si>
    <t xml:space="preserve">Objective Determine the burden of illness associated with respiratory syncytial virus (RSV) and human metapneumovirus (HMPV) in adults, especially young adults. Design Prospective surveillance study using RT-PCR for the diagnosis of RSV and HMPV. Setting One academic Emergency Department (ED), one academic hospital and three middle Tennessee community hospitals. Sample We prospectively enrolled Middle Tennessee residents &gt;= 18 years old evaluated in the emergency department (ED) or hospitalized for respiratory symptoms May 2009 through April 2010. We collected nose/throat specimens for RSV and HMPV reverse-transcriptase polymerase chain reaction (RT-PCR) testing and obtained demographic and clinical data. Main outcome Measures Rates of ED visits and hospitalizations were calculated using the proportion of enrolled patients positive for each virus multiplied by the number of Middle Tennessee residents evaluated in EDs and/or hospitalized in Tennessee for acute respiratory illness during the study period. Results Three thousand two hundred and fifty six patients were eligible; 1477 (45.4%) were enrolled; 1248 (84.5%) of these consented to additional testing and had adequate samples. RT-PCR identified 32 (2.6%) patients with RSV and 33 (2.6%) with HMPV. The median duration of symptoms before ED presentation was 3.3 days with RSV and 2.8 days with HMPV, and before hospital admission was 4.5 days with RSV and 3.5 days with HMPV. The annual hospitalization and ED visit rates were similar for RSV and HMPV. The hospitalization rate associated with each virus was about 10 per 10 000 persons aged &gt;= 50 years; ED rates were approximately 2 times higher. Hospitalization rates were about 2 per 10 000 persons aged 18-49years, with ED rates 5-6 times higher. Conclusion RSV and MPV are associated with substantial disease in adults, with hospitalization and ED visits rates increasing with age.</t>
  </si>
  <si>
    <t xml:space="preserve">[Widmer, Kyle] Tulane Univ, Sch Med, Dept Internal Med, New Orleans, LA 70112 USA; [Widmer, Kyle] Southeast Louisiana Vet Hlth Care Syst, New Orleans, LA USA; [Griffin, Marie R.; Talbot, H. Keipp] Vanderbilt Univ, Med Ctr, Dept Med, Nashville, TN USA; [Griffin, Marie R.] Vanderbilt Univ, Med Ctr, Dept Prevent Med, Nashville, TN USA; [Griffin, Marie R.] VA TN Valley Hlth Care Syst, Midsouth Geriatr Res Educ &amp; Clin Ctr, Nashville, TN USA; [Griffin, Marie R.] VA TN Valley Hlth Care Syst, Clin Res Ctr Excellence, Nashville, TN USA; [Zhu, Yuwei] Vanderbilt Univ, Med Ctr, Dept Biostat, Nashville, TN USA; [Williams, John V.; Talbot, H. Keipp] Vanderbilt Univ, Med Ctr, Dept Pediat, Nashville, TN 37232 USA; [Williams, John V.] Vanderbilt Univ, Med Ctr, Dept Pathol Microbiol &amp; Immunol, Nashville, TN USA</t>
  </si>
  <si>
    <t xml:space="preserve">Tulane University; Vanderbilt University; Vanderbilt University; US Department of Veterans Affairs; Veterans Health Administration (VHA); VA Tennessee Valley Healthcare System; Geriatric Research Education &amp; Clinical Center; US Department of Veterans Affairs; Veterans Health Administration (VHA); VA Tennessee Valley Healthcare System; Vanderbilt University; Vanderbilt University; Vanderbilt University</t>
  </si>
  <si>
    <t xml:space="preserve">Talbot, HK (corresponding author), A2200 MCN,1161 21st Ave S, Nashville, TN 37232 USA.</t>
  </si>
  <si>
    <t xml:space="preserve">Keipp.talbot@vanderbilt.edu</t>
  </si>
  <si>
    <t xml:space="preserve">Talbot, Helen/KLY-2181-2024; Williams, John/ABE-3227-2020; Williams, John/F-6962-2010</t>
  </si>
  <si>
    <t xml:space="preserve">Williams, John/0000-0001-8377-5175; Talbot, H. Keipp/0000-0003-0141-1760</t>
  </si>
  <si>
    <t xml:space="preserve">Centers for Disease Control and Prevention through Vanderbilt University [U01 IP000184]; NIAID [1K23AI074863-01]; AHRQ [T32 HS013833]</t>
  </si>
  <si>
    <t xml:space="preserve">Centers for Disease Control and Prevention through Vanderbilt University; NIAID(United States Department of Health &amp; Human ServicesNational Institutes of Health (NIH) - USANIH National Institute of Allergy &amp; Infectious Diseases (NIAID)); AHRQ(United States Department of Health &amp; Human ServicesAgency for Healthcare Research &amp; Quality)</t>
  </si>
  <si>
    <t xml:space="preserve">Sample collection for this study was funded by the Centers for Disease Control and Prevention through a cooperative agreement with Vanderbilt University (U01 IP000184). Dr. Talbot received salary support from the NIAID (1K23AI074863-01). Dr. Widmer was funded by AHRQ T32 HS013833.</t>
  </si>
  <si>
    <t xml:space="preserve">10.1111/irv.12234</t>
  </si>
  <si>
    <t xml:space="preserve">WOS:000334116600010</t>
  </si>
  <si>
    <t xml:space="preserve">Shinkai, M; Ota, S; Ishikawa, N; Tanimoto, T; Suzuki, H; Abe, S; Vandendijck, Y; Nakayama, Y; Murata, Y</t>
  </si>
  <si>
    <t xml:space="preserve">Shinkai, Masaharu; Ota, Shinichiro; Ishikawa, Nobuhisa; Tanimoto, Takuya; Suzuki, Hiroki; Abe, Shuichi; Vandendijck, Yannick; Nakayama, Yoshikazu; Murata, Yoko</t>
  </si>
  <si>
    <t xml:space="preserve">Burden of respiratory syncytial virus, human metapneumovirus and influenza virus infections in Japanese adults in the Hospitalized Acute Respiratory Tract Infection study</t>
  </si>
  <si>
    <t xml:space="preserve">Burden of disease; Human metapneumovirus; Influenza; Medical resource utilization; Respiratory syncytial virus</t>
  </si>
  <si>
    <t xml:space="preserve">Background: Respiratory syncytial virus (RSV), human metapneumovirus (hMPV), and influenza virus are responsible for acute respiratory tract infections (ARTIs) in adults. We assessed the clinical burden of RSV, hMPV and influenza virus infection among Japanese adults hospitalized with ARTIs. Methods: The Hospitalized Acute Respiratory Tract Infection (HARTI) study was a multinational, prospective cohort study in adults with ARTIs across the 2017-2019 epidemic seasons. Enrolment in Japan began in Sept 2018 and ran until Oct 2019. The clinical diagnosis of ARTI and the decision to hospitalize the patient were made according to local standard of care practices. Viral testing was performed by reverse transcription polymerase chain reaction. Results: Of the 173 adults hospitalized with ARTI during this period at the Japan sites, 7 (4.0%), 9 (5.2%), and 11 (6.4%) were positive for influenza virus, RSV, and hMPV, respectively. RSV season was observed from Oct 2018 to Jan 2019, followed by influenza from Dec 2018 to Apr 2019. hMPV was detected across both the RSV and influenza seasons. Two patients with RSV and 1 patient with hMPV required ICU admission whereas none with influenza. Use of antibiotics, bronchodilators and inhaled corticosteroids was high amongst patients with RSV and hMPV at 1, 2, and 3 months' post-discharge compared with patients with influenza, with few exceptions. Conclusion: These findings highlight the need for a high degree of clinical suspicion for RSV and hMPV infection in adults hospitalized with ARTIs.</t>
  </si>
  <si>
    <t xml:space="preserve">[Shinkai, Masaharu; Ota, Shinichiro] Tokyo Shinagawa Hosp, Dept Resp Med, 6-3-22 Higashioi,Shinagawa Ku, Tokyo 1408522, Japan; [Ishikawa, Nobuhisa; Tanimoto, Takuya] Hiroshima Prefectural Hosp, Dept Resp Med, 1-5-54 Ujina Kanda,Minami Ku, Hiroshima 7348530, Japan; [Suzuki, Hiroki] Yamagata Prefectural Cent Hosp, Dept Resp Med, 1800 Aoyagi, Yamagata, Yamagata 9902292, Japan; [Abe, Shuichi] Yamagata Prefectural Cent Hosp, Dept Infect Dis &amp; Infect Control, 1800 Aoyagi, Yamagata, Yamagata 9902292, Japan; [Vandendijck, Yannick] Janssen Res &amp; Dev LLC, Turnhoutseweg 30, B-2340 Beerse, Belgium; [Nakayama, Yoshikazu; Murata, Yoko] Janssen Pharmaceut KK, 3-5-2 Nishi Kanda,Chiyoda Ku, Tokyo 1010065, Japan</t>
  </si>
  <si>
    <t xml:space="preserve">Yamagata Prefectural Central Hospital; Yamagata Prefectural Central Hospital; Johnson &amp; Johnson; Janssen Pharmaceuticals</t>
  </si>
  <si>
    <t xml:space="preserve">Shinkai, M (corresponding author), Tokyo Shinagawa Hosp, Dept Resp Med, 6-3-22 Higashioi,Shinagawa Ku, Tokyo 1408522, Japan.</t>
  </si>
  <si>
    <t xml:space="preserve">shinkai050169@gmail.com</t>
  </si>
  <si>
    <t xml:space="preserve">Ishikawa, Nobuhisa/0000-0002-0208-2180</t>
  </si>
  <si>
    <t xml:space="preserve">Janssen Research Development; Janssen Pharmaceutical K.K</t>
  </si>
  <si>
    <t xml:space="preserve">This study was funded by Janssen Research &amp; Development. The authors thank all clinicians for their involvement and contribution to the study. Medical writing assistance was provided by Jordana Campbell, BSc, CMPP of inScience Communications, Springer Healthcare. Medical writing assistance was funded by Janssen Pharmaceutical K.K.</t>
  </si>
  <si>
    <t xml:space="preserve">10.1016/j.resinv.2024.05.015</t>
  </si>
  <si>
    <t xml:space="preserve">UO7G6</t>
  </si>
  <si>
    <t xml:space="preserve">WOS:001249059000001</t>
  </si>
  <si>
    <t xml:space="preserve">Lee, BE; Robinson, JL; Khurana, V; Pang, XLL; Preiksaitis, JK; Fox, JD</t>
  </si>
  <si>
    <t xml:space="preserve">Enhanced identification of viral and atypical bacterial pathogens in lower respiratory tract samples with nucleic acid amplification tests</t>
  </si>
  <si>
    <t xml:space="preserve">bronchoscopy; pneumonia; polymerase chain reaction; respiratory tract infection; viral pneumonia</t>
  </si>
  <si>
    <t xml:space="preserve">POLYMERASE-CHAIN-REACTION; COMMUNITY-ACQUIRED PNEUMONIA; HUMAN METAPNEUMOVIRUS INFECTION; OBSTRUCTIVE PULMONARY-DISEASE; MYCOPLASMA-PNEUMONIAE; LEGIONELLA-PNEUMOPHILA; CHLAMYDIA-PNEUMONIAE; CHILDHOOD PNEUMONIA; SYNCYTIAL VIRUS; INFLUENZA-VIRUS</t>
  </si>
  <si>
    <t xml:space="preserve">The advantages of nucleic acid amplification tests (NAT) over conventional methods for the detection of pathogens in lower respiratory tract samples have not been established. NAT for respiratory pathogens were performed on 439 endotracheal tube (ETT) and bronchoalveolar lavage (BAL) samples. A potential pathogen was detected in 87 samples. Of 22 samples that tested positive by conventional methods, 15 tested positive for the same pathogen by NAT, 1 tested positive for a different pathogen, 2 had co-infections identified only by NAT, and 4 tested negative by NAT. An additional 73 pathogens were detected by NAT in 65 samples including 30 pathogens that were missed by conventional methods (19 adenovirus, 6 respiratory syncytial virus, 3 parainfluenza virus 1-4, 2 influenza A), 41 pathogens not routinely identified by conventional methods in most laboratories (23 rhinovirus, 8 human coronavirus OC43, 5 human metapneumovirus (hMPV), 2 human coronavirus 229E, 2 human coronavirus NL63, 1 Chlamydophila pneumoniae) and 2 pathogens from samples where no respiratory virus testing was requested (1 influenza A, 1 parainfluenza virus). Four of 52 patients who had multiple BAL samples submitted on the same day had negative and positive results by NAT on different samples. NAT improves detection of potential pathogens from ETT and BAL samples. (c) 2006 Wiley-Liss, Inc.</t>
  </si>
  <si>
    <t xml:space="preserve">2nd Floor,Aberhart Ctr 1,11402 Univ Ave NW, Edmonton, AB T6G 2J3, Canada.</t>
  </si>
  <si>
    <t xml:space="preserve">10.1002/jmv.20595</t>
  </si>
  <si>
    <t xml:space="preserve">WOS:000236657000024</t>
  </si>
  <si>
    <t xml:space="preserve">Wang, SM; Liu, CC; Wang, HC; Su, IJ; Wang, JR</t>
  </si>
  <si>
    <t xml:space="preserve">Wang, S. -M.; Liu, C. -C.; Wang, H. -C.; Su, I. J.; Wang, J. -R.</t>
  </si>
  <si>
    <t xml:space="preserve">Human metapneumovirus infection among children in Taiwan: a comparison of clinical manifestations with other virus-associated respiratory tract infections</t>
  </si>
  <si>
    <t xml:space="preserve">bronchopneumonia; children; human metapneumovirus; respiratory tract infection; Taiwan</t>
  </si>
  <si>
    <t xml:space="preserve">This study compared the clinical, laboratory and radiological features of infections caused by human metapneumovirus (hMPV) with other respiratory viruses. Nasopharyngeal aspirates and throat swabs were obtained from children during a 9-week period. hMPV was the virus isolated most frequently, followed by adenovirus, influenza virus A, respiratory syncytial virus and influenza virus B. hMPV-infected children were younger, and were more likely to be female, to present with feeding difficulties, a rash, tachycardia and a longer duration of fever, and to cough less frequently. Increasing interstitial infiltrates and hyperinflation were the most common radiological findings. None of the children required mechanical ventilation.</t>
  </si>
  <si>
    <t xml:space="preserve">Natl Cheng Kung Univ, Coll Med, Dept Med Lab Sci &amp; Biotechnol, Tainan 70101, Taiwan; Natl Cheng Kung Univ &amp; Hosp, Dept Emergency Med, Tainan, Taiwan; Natl Cheng Kung Univ &amp; Hosp, Inst Clin Med, Tainan, Taiwan; Natl Cheng Kung Univ &amp; Hosp, Dept Pediat, Tainan, Taiwan; Natl Cheng Kung Univ, Natl Hlth Res Inst, Div Clin Res, Tainan 70101, Taiwan</t>
  </si>
  <si>
    <t xml:space="preserve">National Cheng Kung University; National Cheng Kung University; National Cheng Kung University Hospital; National Cheng Kung University; National Cheng Kung University Hospital; National Cheng Kung University; National Cheng Kung University Hospital; National Health Research Institutes - Taiwan; National Cheng Kung University</t>
  </si>
  <si>
    <t xml:space="preserve">Wang, JR (corresponding author), Natl Cheng Kung Univ, Coll Med, Dept Med Lab Sci &amp; Biotechnol, 1 Univ Rd, Tainan 70101, Taiwan.</t>
  </si>
  <si>
    <t xml:space="preserve">jrwang@mail.ncku.edu.tw</t>
  </si>
  <si>
    <t xml:space="preserve">Wang, Jen-Ren/F-5254-2011; Su, Ih-Jen/B-2655-2010</t>
  </si>
  <si>
    <t xml:space="preserve">BLACKWELL PUBLISHING</t>
  </si>
  <si>
    <t xml:space="preserve">9600 GARSINGTON RD, OXFORD OX4 2DQ, OXON, ENGLAND</t>
  </si>
  <si>
    <t xml:space="preserve">10.1111/j.1469-0691.2006.01540.x</t>
  </si>
  <si>
    <t xml:space="preserve">116GL</t>
  </si>
  <si>
    <t xml:space="preserve">WOS:000242790400011</t>
  </si>
  <si>
    <t xml:space="preserve">Garbino, J; Gerbase, MW; Wunderli, W; Deffernez, C; Thomas, Y; Rochat, T; Ninet, B; Schrenzel, J; Yerly, S; Perrin, L; Soccal, PM; Nicod, L; Kaiser, L</t>
  </si>
  <si>
    <t xml:space="preserve">Lower respiratory viral illnesses - Improved diagnosis by molecular methods and clinical impact</t>
  </si>
  <si>
    <t xml:space="preserve">bronchoalveolar lavage; lung transplantation; respiratory syncytial virus; respiratory viruses; rhinovirus</t>
  </si>
  <si>
    <t xml:space="preserve">HUMAN METAPNEUMOVIRUS INFECTIONS; POLYMERASE-CHAIN-REACTION; SYNCYTIAL VIRUS; RHINOVIRUS INFECTIONS; TRANSPLANT RECIPIENTS; COMMUNITY; CORONAVIRUS; INFLUENZA; TRACT; CARE</t>
  </si>
  <si>
    <t xml:space="preserve">We assessed the frequency and the potential role of respiratory viruses on disease outcomes in hospitalized patients and lung transplant recipients who underwent a bronchoalveolar lavage (BAL) for an acute respiratory infection. BAL specimens (148) were analyzed by reverse transcription-polymerase chain reaction for the presence of 11 different viruses, as well as Mycoplasma pneumoniae, Chlamydophila pneumoniae, and Legionella pneumophila. Respiratory viruses were identified in 34 of 117 BAL specimens (29%) obtained in patients with a suspected respiratory infection and in only 2 of 31 control subjects (7%) (p &lt; 0.01). M. pneumoniae was identified in five additional cases. Only 30% of cases that were virus positive by molecular methods were also positive by cell culture analysis. Rhinovirus was the most frequently identified virus (56% of cases) followed by respiratory syncytial virus (27%). In lung transplant recipients, the rate of viral infections was 55% in cases with respiratory symptoms compared with only 4% in control subjects (p &lt; 0.001). In these cases, respiratory viral infections were associated with significant lung function abnormalities. By using reverse transcription-polymerase chain reaction assays, we frequently identified respiratory viruses in BAL specimens of patients hospitalized with lower respiratory tract infections. These viruses were associated with high morbidity, particularly in lung transplant recipients.</t>
  </si>
  <si>
    <t xml:space="preserve">Univ Hosp Geneva, Ctr Lab Virol, Dept Med, Div Infect Dis, CH-1211 Geneva, Switzerland; Univ Hosp Geneva, Div Pulm Med, CH-1211 Geneva, Switzerland; Univ Hosp Geneva, Cent Lab Bacteriol, Div Infect Dis, CH-1211 Geneva, Switzerland; Univ Hosp Geneva, Clin Thorac Surg, CH-1211 Geneva, Switzerland</t>
  </si>
  <si>
    <t xml:space="preserve">University of Geneva; University of Geneva; University of Geneva; University of Geneva</t>
  </si>
  <si>
    <t xml:space="preserve">Univ Hosp Geneva, Ctr Lab Virol, Dept Med, Div Infect Dis, 24,Rue Micheli du Crest, CH-1211 Geneva, Switzerland.</t>
  </si>
  <si>
    <t xml:space="preserve">Schrenzel, Jacques/AAC-5685-2021; Yerly, Sabine/HHZ-9002-2022; Nicod, Laurent/ABD-3360-2020; Schrenzel, Jacques/P-8525-2017</t>
  </si>
  <si>
    <t xml:space="preserve">Kaiser, Laurent/0000-0002-0857-2252; Nicod, Laurent P/0000-0002-0905-916X; Schrenzel, Jacques/0000-0001-5464-7764; yerly, sabine/0000-0003-1668-696X; Ninet, Beatrice/0000-0003-3575-2483</t>
  </si>
  <si>
    <t xml:space="preserve">10.1164/rccm.200406-781OC</t>
  </si>
  <si>
    <t xml:space="preserve">875TO</t>
  </si>
  <si>
    <t xml:space="preserve">WOS:000225444900012</t>
  </si>
  <si>
    <t xml:space="preserve">Kadmon, G; Levy, I; Mandelboim, M; Nahum, E; Stein, J; Dovrat, S; Schonfeld, T</t>
  </si>
  <si>
    <t xml:space="preserve">Kadmon, Gili; Levy, Itzhak; Mandelboim, Michal; Nahum, Elhanan; Stein, Jerry; Dovrat, Sara; Schonfeld, Tommy</t>
  </si>
  <si>
    <t xml:space="preserve">Polymerase-chain-reaction-based diagnosis of viral pulmonary infections in immunocompromised children</t>
  </si>
  <si>
    <t xml:space="preserve">Bronchoalveolar lavage; Immunodeficiency; Pneumonia; Polymerase chain reaction; Viral infection</t>
  </si>
  <si>
    <t xml:space="preserve">RESPIRATORY-TRACT INFECTIONS; QUANTITATIVE DETECTION; REACTION ASSAY; VIRUS-B; PCR; CYTOMEGALOVIRUS; DNA</t>
  </si>
  <si>
    <t xml:space="preserve">Aim Viral pneumonia is a serious complication in immunocompromised children. Its aetiology is difficult to identify owing to the limitations of conventional microbiological tests. The aim of this study was to determine whether polymerase chain reaction (PCR) assays for respiratory viruses increase the diagnostic yield of bronchoalveolar lavage (BAL) in immunocompromised children. Methods BAL samples obtained from immunocompromised children hospitalized with pneumonia were processed for respiratory viruses by viral culture, rapid antigen test and PCR (for CMV, adenovirus, influenza, parainfluenza, herpesvirus, RSV and hMPV). Results The study group included 42 patients (mean age 7.2 +/- 5.1years) with 50 episodes of clinical pneumonia (50 BAL samples). Forty viral pathogens were identified in 30 episodes (60%). PCR increased the diagnostic rate by fourfold (75% identified by PCR alone, p&lt;0.0001). When viral culture and rapid antigen test were used as the gold standard, PCR was found to have high sensitivity (86100% when assessed) and specificity (8096%). The PCR results prompted the initiation of specific antiviral therapy and the avoidance of unnecessary antibiotic treatment in 17 (34%) episodes. Conclusion PCR-based diagnosis from BAL may increase the rate of pathogen detection in immunocompromised children, decrease the time to diagnosis and spare patients unnecessary antimicrobial treatment.</t>
  </si>
  <si>
    <t xml:space="preserve">[Kadmon, Gili; Nahum, Elhanan; Schonfeld, Tommy] Schneider Childrens Med Ctr Israel, Pediat Intens Care Unit, Petah Tiqwa, Israel; [Levy, Itzhak] Schneider Childrens Med Ctr Israel, Infect Dis Unit, Petah Tiqwa, Israel; [Mandelboim, Michal; Dovrat, Sara] Tel Aviv Univ, Sackler Fac Med, Cent Virol Lab, Minist Hlth,Chaim Sheba Med Ctr, IL-69978 Tel Aviv, Israel; [Stein, Jerry] Schneider Childrens Med Ctr Israel, Dept Hematol Oncol, Petah Tiqwa, Israel</t>
  </si>
  <si>
    <t xml:space="preserve">Kadmon, G (corresponding author), Schneider Childrens Med Ctr Israel, Pediat Intens Care Unit, Petah Tiqwa, Israel.</t>
  </si>
  <si>
    <t xml:space="preserve">gilikd@gmail.com</t>
  </si>
  <si>
    <t xml:space="preserve">e263</t>
  </si>
  <si>
    <t xml:space="preserve">e268</t>
  </si>
  <si>
    <t xml:space="preserve">10.1111/apa.12207</t>
  </si>
  <si>
    <t xml:space="preserve">139DT</t>
  </si>
  <si>
    <t xml:space="preserve">WOS:000318562500006</t>
  </si>
  <si>
    <t xml:space="preserve">Richards, A; Chuen, JNK; Taylor, C; Jackson, R; Toms, G; Kavanagh, D</t>
  </si>
  <si>
    <t xml:space="preserve">Acute respiratory infection in a renal transplant recipient</t>
  </si>
  <si>
    <t xml:space="preserve">NEPHROLOGY DIALYSIS TRANSPLANTATION</t>
  </si>
  <si>
    <t xml:space="preserve">bronchoalveolar lavage; human metapneumovirus; immunocompromised; opportunistic infection; renal transplant; respiratory tract infection</t>
  </si>
  <si>
    <t xml:space="preserve">HUMAN METAPNEUMOVIRUS INFECTION; TRACT DISEASE; YOUNG</t>
  </si>
  <si>
    <t xml:space="preserve">Freeman Rd Hosp, Newcastle Upon Tyne NE7 7DN, Tyne &amp; Wear, England; Hlth Protect Agcy, N E Lab, Newcastle Upon Tyne NE4 6BE, Tyne &amp; Wear, England; Univ Newcastle, Sch Clin Med Sci, Newcastle Upon Tyne NE2 4HH, Tyne &amp; Wear, England</t>
  </si>
  <si>
    <t xml:space="preserve">Newcastle Freeman Hospital; Newcastle University - UK; Health Protection Agency; Newcastle University - UK</t>
  </si>
  <si>
    <t xml:space="preserve">Richards, A (corresponding author), Washington Univ, Sch Med, 660 S Euclid Ave, St Louis, MO 63110 USA.</t>
  </si>
  <si>
    <t xml:space="preserve">anna.richards@ncl.ac.uk</t>
  </si>
  <si>
    <t xml:space="preserve">Richards, Anna/E-8337-2013; Kavanagh, David/E-8498-2011</t>
  </si>
  <si>
    <t xml:space="preserve">Kavanagh, David/0000-0003-4718-0072</t>
  </si>
  <si>
    <t xml:space="preserve">0931-0509</t>
  </si>
  <si>
    <t xml:space="preserve">NEPHROL DIAL TRANSPL</t>
  </si>
  <si>
    <t xml:space="preserve">Nephrol. Dial. Transplant.</t>
  </si>
  <si>
    <t xml:space="preserve">10.1093/ndt/gfi167</t>
  </si>
  <si>
    <t xml:space="preserve">Transplantation; Urology &amp; Nephrology</t>
  </si>
  <si>
    <t xml:space="preserve">985FH</t>
  </si>
  <si>
    <t xml:space="preserve">WOS:000233361800044</t>
  </si>
  <si>
    <t xml:space="preserve">Konner, K</t>
  </si>
  <si>
    <t xml:space="preserve">History of vascular access for haemodialysis</t>
  </si>
  <si>
    <t xml:space="preserve">ARTERIOVENOUS-FISTULA; MAINTENANCE HEMODIALYSIS; CLINICAL EXPERIENCE; VEIN GRAFT; SHUNT; CATHETERIZATION; HAEMODIALYSIS; VENIPUNCTURE; PROSTHESIS</t>
  </si>
  <si>
    <t xml:space="preserve">The history of vascular access is a history of vascular surgery as well as a history of dialysis therapy. This survey is a personal view on the history of vascular access without the ambition to cover every detail, but with an effort to mention the major steps in a fascinating panorama.</t>
  </si>
  <si>
    <t xml:space="preserve">Krankenhaus Cologne Merheim, Med Klin 1, Cologne, Germany</t>
  </si>
  <si>
    <t xml:space="preserve">Krankenhaus Cologne Merheim, Med Klin 1, Cologne, Germany.</t>
  </si>
  <si>
    <t xml:space="preserve">klaus.konner@uni.koeln.de</t>
  </si>
  <si>
    <t xml:space="preserve">1460-2385</t>
  </si>
  <si>
    <t xml:space="preserve">10.1093/ndt/gfi168</t>
  </si>
  <si>
    <t xml:space="preserve">WOS:000233361800011</t>
  </si>
  <si>
    <t xml:space="preserve">Recio, R; Lalueza, A; Moral, N; Pascual, C; Muñoz, M; Camacho, J; Caso, JM; Folgueira, L</t>
  </si>
  <si>
    <t xml:space="preserve">Recio, Raul; Lalueza, Antonio; Moral, Noelia; Pascual, Consuelo; Munoz, Marina; Camacho, Javier; Caso, Jose Maria; Folgueira, Lola</t>
  </si>
  <si>
    <t xml:space="preserve">Lack of clinical significance for molecular detection of respiratory viruses in bronchoalveolar lavage samples</t>
  </si>
  <si>
    <t xml:space="preserve">bronchoalveolar lavage; epidemiology; molecular diagnosis; respiratory viruses</t>
  </si>
  <si>
    <t xml:space="preserve">The clinical significance of molecular detection of respiratory viruses in bronchoalveolar lavage (BAL) samples is poorly defined. We performed an observational retrospective study including all patients who underwent a BAL procedure in our institution, regardless of the reason for bronchoscopy, from January 2015 to December 2018. Respiratory viruses were detected by real-time polymerase chain reaction with a commercial multiplex panel, and a cell culture was performed to detect cytomegalovirus and herpes simplex virus. Positive results were correlated with clinical symptoms and patients' characteristics. Of 540 BAL samples analyzed, 113 (20.9%) were positive for any respiratory virus. Viral detection was significantly associated with respiratory symptoms (83.2% vs. 68.9%, p = .004) and radiological infiltrates (67.3% vs. 52.2%, p = .006). The most frequent viruses detected were rhinovirus (42/113, 37.2%), influenza virus (20/113, 17.7%), and parainfluenza virus (PIV) (16/113, 14.2%). Respiratory pathogens codetections were found in 51/113 (45.1%) BAL samples, including more than one virus (16/51, 31.4%), fungi (8/51, 15.7%), and bacteria (9/51, 17.6%). Viral detection was significantly higher in immunocompromised patients (26.5% vs. 16.9%; p = .022). PIV and human metapneumovirus were mostly observed in lung (50.0%, 8/16) and hemopoietic transplant recipients (25%, 2/8), respectively, with clinical repercussions. Our data underline that molecular diagnosis allows identification of viral agents as the etiology of respiratory infections; however, the high frequency of codetections hinders identification of the agent responsible for the current respiratory symptomatology. Immunocompromised patients are the target population in whom to investigate the presence of respiratory viruses in their BAL samples.</t>
  </si>
  <si>
    <t xml:space="preserve">[Recio, Raul; Moral, Noelia; Pascual, Consuelo; Folgueira, Lola] Univ Hosp 12 Octubre, Dept Microbiol, Ave Cordoba S-N, Madrid 28041, Spain; [Recio, Raul; Lalueza, Antonio; Folgueira, Lola] Univ Hosp 12 Octubre, Biomed Res Inst Imas12, Madrid, Spain; [Lalueza, Antonio; Munoz, Marina; Camacho, Javier; Caso, Jose Maria] Univ Hosp 12 Octubre, Dept Internal Med, Madrid, Spain; [Lalueza, Antonio; Folgueira, Lola] Univ Complutense Madrid, Sch Med, Dept Med, Madrid, Spain</t>
  </si>
  <si>
    <t xml:space="preserve">Hospital Universitario 12 de Octubre; Hospital Universitario 12 de Octubre; Hospital Universitario 12 de Octubre; Complutense University of Madrid</t>
  </si>
  <si>
    <t xml:space="preserve">Recio, R (corresponding author), Univ Hosp 12 Octubre, Dept Microbiol, Ave Cordoba S-N, Madrid 28041, Spain.</t>
  </si>
  <si>
    <t xml:space="preserve">raul.recio@salud.madrid.org</t>
  </si>
  <si>
    <t xml:space="preserve">Caso, Jose/LHA-7334-2024; Folgueira, Lola/C-7958-2016</t>
  </si>
  <si>
    <t xml:space="preserve">Lalueza, Antonio/0000-0003-2711-3817; Folgueira, Lola/0000-0002-3730-015X; Recio, Raul/0000-0003-0654-1679; Caso, Jose Maria/0000-0001-5087-0299</t>
  </si>
  <si>
    <t xml:space="preserve">Subprograma Rio Hortega, Instituto de Salud Carlos III, Subdireccion General de Redes y Centros de Investigacion Cooperativa, Ministerio de Ciencia, Innovacion y Universidades, Spain [CM19/00229]</t>
  </si>
  <si>
    <t xml:space="preserve">Subprograma Rio Hortega, Instituto de Salud Carlos III, Subdireccion General de Redes y Centros de Investigacion Cooperativa, Ministerio de Ciencia, Innovacion y Universidades, Spain</t>
  </si>
  <si>
    <t xml:space="preserve">The authors thank Juliette Siegfried and her team at for the English language editing of the document. They also are indebted to Werfen for kindly providing the materials for this study (kits and instruments). Raul Recio is supported by the Subprograma Rio Hortega, Instituto de Salud Carlos III, Subdireccion General de Redes y Centros de Investigacion Cooperativa, Ministerio de Ciencia, Innovacion y Universidades, Spain (CM19/00229). The preliminary results of this study were reported in part at the XXII Congress of the Spanish Society of Infectious Diseases and Clinical Microbiology (Bilbao, Spain, 2018).</t>
  </si>
  <si>
    <t xml:space="preserve">10.1002/jmv.26843</t>
  </si>
  <si>
    <t xml:space="preserve">SZ5VO</t>
  </si>
  <si>
    <t xml:space="preserve">WOS:000616087900001</t>
  </si>
  <si>
    <t xml:space="preserve">El Basha, NR; Marzouk, H; Sherif, MM; El Kholy, AA</t>
  </si>
  <si>
    <t xml:space="preserve">El Basha, Noussa R.; Marzouk, Huda; Sherif, May M.; El Kholy, Amani A.</t>
  </si>
  <si>
    <t xml:space="preserve">Prematurity, a significant predictor for worse outcome in viral bronchiolitis: a comparative study in infancy</t>
  </si>
  <si>
    <t xml:space="preserve">JOURNAL OF THE EGYPTIAN PUBLIC HEALTH ASSOCIATION</t>
  </si>
  <si>
    <t xml:space="preserve">Bronchiolitis; Viruses; Preterm; Severity</t>
  </si>
  <si>
    <t xml:space="preserve">RESPIRATORY SYNCYTIAL VIRUS; HUMAN METAPNEUMOVIRUS INFECTIONS; HOSPITALIZED INFANTS; CHILDREN; SEVERITY; DISEASE; IMPACT; BOCAVIRUS; DIAGNOSIS; BURDEN</t>
  </si>
  <si>
    <t xml:space="preserve">Background: The rate of admissions to hospital with bronchiolitis has increased over the past years. The reasons for this are likely to be multifactorial including improved survival of preterm infants. Aim: To assess the severity of viral bronchiolitis in preterm compared to term infants admitted at a tertiary hospital in Cairo, Egypt, based on the outcome. Patients and methods: This prospective study was conducted throughout a 3-year period from September 2011 to October 2014. It included 153 infants, 74 healthy preterm, and 79 healthy term infants admitted with clinical diagnosis of bronchiolitis at a tertiary hospital in Cairo, Egypt. Bronchiolitis severity score (BSS) was recorded, and nasopharyngeal swabs were obtained from each patient at the time of presentation. Viruses were identified using reverse transcription polymerase chain reaction (RT-PCR). The clinical course and patient's outcome were recorded. Results: This study recorded a significantly more severe BSS for preterm compared to term infants. The preterm group had an increased mean length of hospital stay and oxygen therapy and was more likely to need intensive care unit admission and mechanical ventilation (MV) compared to the term group. The mean (+/- SD) BSS for infections with h-MPV, RSV, and para-influenza 3 was more significantly severe in preterm compared to term infants. Bacterial co-infection was significantly correlated with severity scoring in both groups. Conclusion: Prematurity significantly affects the severity of bronchiolitis, and this underscores the importance of early categorization as a high-risk group on their first visit. The physician should be aware that their illness runs a more severe course, even if they have no underlying disorders.</t>
  </si>
  <si>
    <t xml:space="preserve">[El Basha, Noussa R.; Marzouk, Huda] Cairo Univ, Dept Pediat, Fac Med, 2 Atteia Abd El Hadi St, Cairo 11562, Egypt; [Sherif, May M.; El Kholy, Amani A.] Cairo Univ, Dept Clin Pathol, Fac Med, 2 Atteia Abd El Hadi St, Cairo 11562, Egypt</t>
  </si>
  <si>
    <t xml:space="preserve">El Basha, NR (corresponding author), Cairo Univ, Dept Pediat, Fac Med, 2 Atteia Abd El Hadi St, Cairo 11562, Egypt.</t>
  </si>
  <si>
    <t xml:space="preserve">noussaelbasha3@yahoo.com</t>
  </si>
  <si>
    <t xml:space="preserve">2090-262X</t>
  </si>
  <si>
    <t xml:space="preserve">J EGYPT PUBLIC HEAL</t>
  </si>
  <si>
    <t xml:space="preserve">J. Egypt Public Health Assoc.</t>
  </si>
  <si>
    <t xml:space="preserve">MAR 22</t>
  </si>
  <si>
    <t xml:space="preserve">10.1186/s42506-019-0015-8</t>
  </si>
  <si>
    <t xml:space="preserve">IG5AT</t>
  </si>
  <si>
    <t xml:space="preserve">WOS:000473816500001</t>
  </si>
  <si>
    <t xml:space="preserve">Cangiano, G; Nenna, R; Frassanito, A; Evangelisti, M; Nicolai, A; Scagnolari, C; Pierangeli, A; Antonelli, G; Papoff, P; Petrarca, L; Capocaccia, P; Moretti, C; Midulla, F</t>
  </si>
  <si>
    <t xml:space="preserve">Cangiano, Giulia; Nenna, Raffaella; Frassanito, Antonella; Evangelisti, Melania; Nicolai, Ambra; Scagnolari, Carolina; Pierangeli, Alessandra; Antonelli, Guido; Papoff, Paola; Petrarca, Laura; Capocaccia, Paolo; Moretti, Corrado; Midulla, Fabio</t>
  </si>
  <si>
    <t xml:space="preserve">Bronchiolitis: Analysis of 10 consecutive epidemic seasons</t>
  </si>
  <si>
    <t xml:space="preserve">bronchiolitis; virus; epidemics; infants</t>
  </si>
  <si>
    <t xml:space="preserve">RESPIRATORY SYNCYTIAL VIRUS; MATERNAL SMOKING; ILLNESS; INFECTIONS; CHILDREN; INFANCY; LIFE</t>
  </si>
  <si>
    <t xml:space="preserve">Bronchiolitis is the leading cause of hospitalization in infants under 12 months. Our aims were to analyze epidemiological characteristics of infants with bronchiolitis over 10 consecutive seasons and to evaluate whether there are any clinical differences between infants hospitalized for bronchiolitis during epidemic peak months and infants in non-peak months. We enrolled consecutive enrolled 723 previously healthy term infants hospitalized at the Paediatric Emergency Department, Sapienza University of Rome over the period 2004-2014. Fourteen respiratory viruses were detected from nasopharyngeal aspirates by molecular methods. Clinical and demographic data were extracted from clinical charts. Viruses were detected in 351 infants (48.5%): RSV in 234 (32.4%), RV in 44 (6.1%), hBoV in 11 (1.5%), hMPV in 12 (1.6%), co-infections in 39 (5.4%), and other viruses in 11 (1.5%). Analyzing the 10 epidemic seasons, we found higher incidence for bronchiolitis every 4 years with a peak during the months December-January. Infants hospitalized during peak months had lower family history for asthma (P=0.003), more smoking mothers during pregnancy (P=0.036), were slightly higher breastfed (0.056), had lower number of blood eosinophils (P=0.015) and had a higher clinical severity score (P=0.017). RSV was detected mostly during peak months, while RV was equally distributed during the seasons. We found some variations in bronchiolitis incidence during epidemics, and discriminative characteristics in infants hospitalized for bronchiolitis during peak months and in non-peak months, that might reflect two different populations of children. Pediatr Pulmonol. 2016;51:1330-1335. (c) 2016 Wiley Periodicals, Inc.</t>
  </si>
  <si>
    <t xml:space="preserve">[Cangiano, Giulia; Nenna, Raffaella; Frassanito, Antonella; Evangelisti, Melania; Nicolai, Ambra; Papoff, Paola; Petrarca, Laura; Capocaccia, Paolo; Moretti, Corrado; Midulla, Fabio] Sapienza Univ Rome, Dept Pediat &amp; Infantile Neuropsychiat, Vle Regina Elena 324, I-00161 Rome, Italy; [Scagnolari, Carolina; Pierangeli, Alessandra; Antonelli, Guido] Sapienza Univ Rome, Virol Lab, Dept Mol Med, Rome, Italy</t>
  </si>
  <si>
    <t xml:space="preserve">Midulla, F (corresponding author), Sapienza Univ Rome, Dept Paediat, Vle Regina Elena 324, I-00161 Rome, Italy.</t>
  </si>
  <si>
    <t xml:space="preserve">Midulla, Fabio/AAL-4391-2020; Pierangeli, Alessandra/A-6368-2008; Nicolai, Ambra/AAD-6243-2020; Antonelli, Guido/K-7915-2016; Petrarca, Laura/JKJ-2347-2023; SCAGNOLARI, CAROLINA/G-3837-2011</t>
  </si>
  <si>
    <t xml:space="preserve">Midulla, Fabio/0000-0001-7476-5266; Moretti, Corrado/0000-0003-2005-7437; SCAGNOLARI, CAROLINA/0000-0003-1044-1478; ANTONELLI, Guido/0000-0002-2533-2939; Nicolai, Ambra/0000-0002-8583-9088; Nenna, Raffaella/0000-0001-8880-3462</t>
  </si>
  <si>
    <t xml:space="preserve">10.1002/ppul.23476</t>
  </si>
  <si>
    <t xml:space="preserve">WOS:000388583200010</t>
  </si>
  <si>
    <t xml:space="preserve">García, CG; Bhore, R; Soriano-Fallas, A; Trost, M; Chason, R; Ramilo, O; Mejias, A</t>
  </si>
  <si>
    <t xml:space="preserve">Garcia, Carla G.; Bhore, Rafia; Soriano-Fallas, Alejandra; Trost, Margaret; Chason, Rebecca; Ramilo, Octavio; Mejias, Asuncion</t>
  </si>
  <si>
    <t xml:space="preserve">Risk Factors in Children Hospitalized With RSV Bronchiolitis Versus Non-RSV Bronchiolitis</t>
  </si>
  <si>
    <t xml:space="preserve">bronchiolitis; RSV; disease severity; ICD-9</t>
  </si>
  <si>
    <t xml:space="preserve">RESPIRATORY SYNCYTIAL VIRUS; YOUNG-CHILDREN; HUMAN METAPNEUMOVIRUS; TRACT INFECTIONS; INFANTS; CARE; ADMISSION; DISEASE; BURDEN</t>
  </si>
  <si>
    <t xml:space="preserve">BACKGROUND: The trends in hospitalization rates and risk factors for severe bronchiolitis have not been recently described, especially after the routine implementation of prophylaxis for respiratory syncytial virus (RSV) infections. OBJECTIVES: To define the burden of hospitalizations related to RSV and non-RSV bronchiolitis in a tertiary-care children's hospital from 2002 to 2007 and to identify the risk factors associated with severe disease. METHODS: Medical records of patients hospitalized for bronchiolitis were reviewed for demographic, clinical, microbiologic, and radiologic characteristics as well as the presence of underlying medical conditions. Differences were evaluated between children with RSV and non-RSV bronchiolitis, and multivariable logistic regression analyses were performed to identify independent risk factors for severe disease. RESULTS: Bronchiolitis hospitalizations in children younger than 2 years old (n = 4800) significantly increased from 536 (3.3%) in 2002 to 1241 (5.5%) in 2007, mainly because of RSV infections. Patients with RSV bronchiolitis (n = 2840 [66%]) were younger at hospitalization and had a lower percentage of underlying medical conditions than children hospitalized with non-RSV bronchiolitis (27 vs 37.5%; P &lt; .001). However, disease severity defined by length of hospitalization and requirement of supplemental oxygen, intensive care, and mechanical ventilation was significantly worse in children with RSV bronchiolitis. RSV infection and prematurity, regardless of the etiology, were identified as independent risk factors for severe bronchiolitis. CONCLUSIONS: There was a significant increase in hospitalizations for RSV bronchiolitis from 2002 to 2007. A majority of the children with RSV bronchiolitis were previously healthy, but their disease severity was worse compared with those hospitalized with non-RSV bronchiolitis. Pediatrics 2010;126:e1453-e1460</t>
  </si>
  <si>
    <t xml:space="preserve">[Trost, Margaret] Childrens Med Ctr, Dallas, TX 75235 USA; [Mejias, Asuncion] Ohio State Univ, Coll Med, Div Pediat Infect Dis,Ctr Vaccines &amp; Immun, Res Inst,Nationwide Childrens Hosp, Columbus, OH 43205 USA; [Garcia, Carla G.; Soriano-Fallas, Alejandra; Mejias, Asuncion] Univ Texas SW Med Ctr Dallas, Dept Pediat, Div Pediat Infect Dis, Dallas, TX USA; [Bhore, Rafia; Chason, Rebecca] Univ Texas SW Med Ctr Dallas, Div Biostat, Dept Clin Sci, Dallas, TX USA; [Ramilo, Octavio; Mejias, Asuncion] Ohio State Univ, Coll Med, Columbus, OH 43205 USA</t>
  </si>
  <si>
    <t xml:space="preserve">University System of Ohio; Ohio State University; Nationwide Childrens Hospital; Research Institute at Nationwide Children's Hospital; University of Texas System; University of Texas Southwestern Medical Center Dallas; University of Texas System; University of Texas Southwestern Medical Center Dallas; University System of Ohio; Ohio State University</t>
  </si>
  <si>
    <t xml:space="preserve">Mejias, A (corresponding author), Ohio State Univ, Coll Med, Div Pediat Infect Dis,Ctr Vaccines &amp; Immun, Res Inst,Nationwide Childrens Hosp, 700 Childrens Dr,W4022, Columbus, OH 43205 USA.</t>
  </si>
  <si>
    <t xml:space="preserve">asuncion.mejias@nationwidechildrens.org</t>
  </si>
  <si>
    <t xml:space="preserve">Mejias, Asuncion/AAC-5998-2019</t>
  </si>
  <si>
    <t xml:space="preserve">MEJIAS, ASUNCION/0000-0002-5983-8006; Trost, Margaret/0000-0003-1834-447X</t>
  </si>
  <si>
    <t xml:space="preserve">NIH [1 UL1 RR024982-01]; RGK Foundation</t>
  </si>
  <si>
    <t xml:space="preserve">NIH(United States Department of Health &amp; Human ServicesNational Institutes of Health (NIH) - USA); RGK Foundation</t>
  </si>
  <si>
    <t xml:space="preserve">Dr Bhore was supported in part by NIH grant 1 UL1 RR024982-01, and Dr Mejias was supported in part by the RGK Foundation.</t>
  </si>
  <si>
    <t xml:space="preserve">E1453</t>
  </si>
  <si>
    <t xml:space="preserve">E1460</t>
  </si>
  <si>
    <t xml:space="preserve">10.1542/peds.2010-0507</t>
  </si>
  <si>
    <t xml:space="preserve">688EF</t>
  </si>
  <si>
    <t xml:space="preserve">WOS:000284831900005</t>
  </si>
  <si>
    <t xml:space="preserve">Brand, HK; de Groot, R; Galama, JMD; Brouwer, ML; Teuwen, K; Hermans, PWM; Melchers, WJG; Warris, A</t>
  </si>
  <si>
    <t xml:space="preserve">Brand, H. Kim; de Groot, Ronald; Galama, Joep M. D.; Brouwer, Marianne L.; Teuwen, Karin; Hermans, Peter W. M.; Melchers, Willem J. G.; Warris, Adilia</t>
  </si>
  <si>
    <t xml:space="preserve">Infection with multiple viruses is not associated with increased disease severity in children with bronchiolitis</t>
  </si>
  <si>
    <t xml:space="preserve">bronchiolitis; rhinovirus; respiratory syncytial virus; disease severity</t>
  </si>
  <si>
    <t xml:space="preserve">RESPIRATORY-SYNCYTIAL-VIRUS; POLYMERASE-CHAIN-REACTION; VIRAL LOAD; HOSPITALIZED INFANTS; HUMAN METAPNEUMOVIRUS; TRACT INFECTION; RT-PCR; PICORNAVIRUS; ILLNESS; RHINOVIRUS</t>
  </si>
  <si>
    <t xml:space="preserve">Background: The clinical relevance of parallel detection of multiple viruses by real-time polymerase chain reaction (RT-PCR) remains unclear. This study evaluated the association between the detection of multiple viruses by RT-PCR and disease severity in children with bronchiolitis. Methods: Children less than 2 years of age with clinical symptoms of bronchiolitis were prospectively included during three winter seasons. Patients were categorized in three groups based on disease severity; mild (no supportive treatment), moderate (supplemental oxygen and/or nasogastric feeding), and severe (mechanical ventilation). Multiplex RT-PCR of 15 respiratory viruses was performed on nasopharyngeal aspirates. Results: In total, 142 samples were obtained. Respiratory Syncytial virus (RSV) was the most commonly detected virus (73%) followed by rhinovirus (RV) (30%). In 58 samples (41%) more than one virus was detected, of which 41% was a dual infection with RSV and RV. In RSV infected children younger than 3 months, disease severity was not associated with the number of detected viruses. Remarkably, in children older than 3 months we found an association between more severe disease and RSV mono-infections. Conclusion: Disease severity in children with bronchiolitis is not associated with infection by multiple viruses. We conclude that other factors, such as age, contribute to disease severity to a larger extent. Pediatr Pulmonol. 2012; 47:393-400. (C) 2011 Wiley Periodicals, Inc.</t>
  </si>
  <si>
    <t xml:space="preserve">[Brand, H. Kim; de Groot, Ronald; Hermans, Peter W. M.; Warris, Adilia] Radboud Univ Nijmegen, Med Ctr, Dept Pediat, NL-6500 HB Nijmegen, Netherlands; [Brand, H. Kim; de Groot, Ronald; Galama, Joep M. D.; Teuwen, Karin; Hermans, Peter W. M.; Melchers, Willem J. G.; Warris, Adilia] Radboud Univ Nijmegen, Med Ctr, Nijmegen Inst Infect Inflammat &amp; Immun, NL-6500 HB Nijmegen, Netherlands; [Galama, Joep M. D.; Teuwen, Karin; Melchers, Willem J. G.] Radboud Univ Nijmegen, Med Ctr, Dept Med Microbiol, NL-6500 HB Nijmegen, Netherlands; [Brouwer, Marianne L.] Canisius Wilhelmina Ziekenhuis, Dept Pediat, Nijmegen, Netherlands</t>
  </si>
  <si>
    <t xml:space="preserve">Radboud University Nijmegen; Radboud University Nijmegen; Radboud University Nijmegen; Canisius-Wilhelmina Hospital</t>
  </si>
  <si>
    <t xml:space="preserve">Brand, HK (corresponding author), Radboud Univ Nijmegen, Med Ctr, Dept Pediat, POB 9101, NL-6500 HB Nijmegen, Netherlands.</t>
  </si>
  <si>
    <t xml:space="preserve">K.brand@cukz.umcn.nl</t>
  </si>
  <si>
    <t xml:space="preserve">Hermans, Peter/H-8042-2014; Brouwer, Marianne/AAF-3230-2019; Warris, A./L-4745-2015; de Groot, R./H-8039-2014; Melchers, Willem/C-8819-2015</t>
  </si>
  <si>
    <t xml:space="preserve">Melchers, Willem/0000-0002-5446-2230; Warris, Adilia/0000-0001-6586-3358</t>
  </si>
  <si>
    <t xml:space="preserve">VIRGO consortium, Dutch Government [BSIK 03012]</t>
  </si>
  <si>
    <t xml:space="preserve">VIRGO consortium, Dutch Government</t>
  </si>
  <si>
    <t xml:space="preserve">VIRGO consortium, Dutch Government, Number: BSIK 03012.</t>
  </si>
  <si>
    <t xml:space="preserve">10.1002/ppul.21552</t>
  </si>
  <si>
    <t xml:space="preserve">909OQ</t>
  </si>
  <si>
    <t xml:space="preserve">WOS:000301574400010</t>
  </si>
  <si>
    <t xml:space="preserve">Stempel, HE; Martin, ET; Kuypers, J; Englund, JA; Zerr, DM</t>
  </si>
  <si>
    <t xml:space="preserve">Stempel, Hilary E.; Martin, Emily T.; Kuypers, Jane; Englund, Janet A.; Zerr, Danielle M.</t>
  </si>
  <si>
    <t xml:space="preserve">Multiple viral respiratory pathogens in children with bronchiolitis</t>
  </si>
  <si>
    <t xml:space="preserve">Bronchiolitis; Respiratory syncytial virus; Viral infections</t>
  </si>
  <si>
    <t xml:space="preserve">VIRUS-INFECTIONS; SYNCYTIAL VIRUS; PCR ASSAYS; HUMAN METAPNEUMOVIRUS; DIAGNOSIS; DISEASE; HOSPITALIZATIONS; INFANTS</t>
  </si>
  <si>
    <t xml:space="preserve">Aim: The aim of the study was to describe the frequency of viral pathogens and relative frequency of co-infections in nasal specimens obtained from young children with bronchiolitis receiving care at a children's hospital. Methods: We conducted a study of nasal wash specimens using real-time PCR and fluorescent-antibody assay results from children less than two with an ICD-9-CM code for bronchiolitis. All specimens were collected for clinical care at Children's Hospital in Seattle, WA, USA, during the respiratory season from October 2003 to April 2004. Results: Viruses were detected in 168 (93%) of the 180 children with bronchiolitis. A single virus was identified in 127 (71%) children and multiple viruses in 41 (23%). Respiratory syncytial virus (RSV) was the most common virus detected (77%), followed by adenovirus (15%), human metapneumovirus (11%), coronavirus (8%), parainfluenza (6%) and influenza (1%). Of the 139 samples with RSV detected, 34 (24%) were co-infected with another viral pathogen. Conclusion: Molecular diagnostic techniques identified a high frequency of viruses and viral co-infections among children evaluated for bronchiolitis. Further study of the role of viral pathogens other than RSV and co-infections with RSV in children with bronchiolitis appears warranted.</t>
  </si>
  <si>
    <t xml:space="preserve">[Stempel, Hilary E.; Martin, Emily T.; Englund, Janet A.; Zerr, Danielle M.] Univ Washington, Seattle Childrens Hosp Res Inst, Seattle, WA 98195 USA; [Englund, Janet A.; Zerr, Danielle M.] Univ Washington, Dept Pediat, Seattle, WA 98195 USA; [Kuypers, Jane] Univ Washington, Lab Med, Seattle, WA 98195 USA</t>
  </si>
  <si>
    <t xml:space="preserve">Seattle Children's Hospital; University of Washington; University of Washington Seattle; University of Washington; University of Washington Seattle; University of Washington; University of Washington Seattle</t>
  </si>
  <si>
    <t xml:space="preserve">Zerr, DM (corresponding author), 4800 Sand Point Way NE,R5441, Seattle, WA 98105 USA.</t>
  </si>
  <si>
    <t xml:space="preserve">zerr@u.washington.edu</t>
  </si>
  <si>
    <t xml:space="preserve">Stempel, Hilary/0000-0001-5783-9876</t>
  </si>
  <si>
    <t xml:space="preserve">National Institutes of Health [HL081595]</t>
  </si>
  <si>
    <t xml:space="preserve">The authors would like to thank Laurel Laux, Judson Heugel, Anne Cent and the University of Washington Clinical Virology Laboratory for their contributions to this study. Funding for this study was provided in part by National Institutes of Health, grant HL081595. Dr Zerr had full access to all the data in the study and takes responsibility for the integrity of the data and the accuracy of the data analysis.</t>
  </si>
  <si>
    <t xml:space="preserve">10.1111/j.1651-2227.2008.01023.x</t>
  </si>
  <si>
    <t xml:space="preserve">382WT</t>
  </si>
  <si>
    <t xml:space="preserve">WOS:000261636800027</t>
  </si>
  <si>
    <t xml:space="preserve">Naja, Z; Fayad, D; Khafaja, S; Chamseddine, S; Dbaibo, G; Hanna-Wakim, R</t>
  </si>
  <si>
    <t xml:space="preserve">Naja, Zeina; Fayad, Danielle; Khafaja, Sarah; Chamseddine, Sarah; Dbaibo, Ghassan; Hanna-Wakim, Rima</t>
  </si>
  <si>
    <t xml:space="preserve">Bronchiolitis Admissions in a Lebanese Tertiary Medical Center: A 10 Years' Experience</t>
  </si>
  <si>
    <t xml:space="preserve">bronchiolitis; respiratory syncytial virus; risk factors; hospitalization; retrospective</t>
  </si>
  <si>
    <t xml:space="preserve">RESPIRATORY SYNCYTIAL VIRUS; RISK-FACTORS; HOSPITALIZED CHILDREN; HUMAN METAPNEUMOVIRUS; TRACT INFECTIONS; PRETERM INFANTS; YOUNG-CHILDREN; UNITED-STATES; DISEASE; MANAGEMENT</t>
  </si>
  <si>
    <t xml:space="preserve">Bronchiolitis and more specifically respiratory syncytial virus (RSV) bronchiolitis is a leading cause of global childhood morbidity and mortality. Despite the previous identification of possible risk factors associated with the severity of bronchiolitis, the data from Lebanon remains limited. We described the burden of bronchiolitis hospitalizations in children under 5 years of age in a tertiary care center in Lebanon from October 2004 to October 2014 and identified the risk factors associated with severe bronchiolitis. This was a retrospective cohort study conducted at the American University of Beirut Medical Center. Records of children younger than 5 years of age admitted with a diagnosis of bronchiolitis were reviewed. More than half the patients were RSV positive. RSV bronchiolitis was found to be significantly associated with longer hospital stay compared to children with non-RSV bronchiolitis = 0.007). Children exposed to smoking had an increased risk for longer hospital stay (P = 0.002) and were more likely to require ICU admission (P &lt; 0.001) and supplemental oxygen (P = 0.045). Congenital heart disease was found to be a significant risk factor for severe bronchiolitis (P &lt; 0.005). Conclusion: Patients with RSV bronchiolitis had a longer hospital stay compared to patients with non-RSV bronchiolitis. Exposure to smoking was associated with a more severe and complicated RSV infection. Congenital heart disease was the only risk factor significantly associated with all markers of bronchiolitis disease severity.</t>
  </si>
  <si>
    <t xml:space="preserve">[Naja, Zeina; Khafaja, Sarah; Dbaibo, Ghassan; Hanna-Wakim, Rima] Amer Univ Beirut, Dept Pediat &amp; Adolescent Med, Med Ctr, Beirut, Lebanon; [Fayad, Danielle; Chamseddine, Sarah; Dbaibo, Ghassan; Hanna-Wakim, Rima] Amer Univ Beirut, Div Pediat Infect Dis, Med Ctr, Dept Pediat &amp; Adolescent Med, Beirut, Lebanon; [Fayad, Danielle; Chamseddine, Sarah; Dbaibo, Ghassan; Hanna-Wakim, Rima] Amer Univ Beirut, Ctr Infect Dis Res, Beirut, Lebanon</t>
  </si>
  <si>
    <t xml:space="preserve">American University of Beirut; American University of Beirut; American University of Beirut</t>
  </si>
  <si>
    <t xml:space="preserve">Hanna-Wakim, R (corresponding author), Amer Univ Beirut, Dept Pediat &amp; Adolescent Med, Med Ctr, Beirut, Lebanon.;Hanna-Wakim, R (corresponding author), Amer Univ Beirut, Div Pediat Infect Dis, Med Ctr, Dept Pediat &amp; Adolescent Med, Beirut, Lebanon.;Hanna-Wakim, R (corresponding author), Amer Univ Beirut, Ctr Infect Dis Res, Beirut, Lebanon.</t>
  </si>
  <si>
    <t xml:space="preserve">rh08@aub.edu.lb</t>
  </si>
  <si>
    <t xml:space="preserve">Dbaibo, Ghassan/X-2978-2019</t>
  </si>
  <si>
    <t xml:space="preserve">10.3389/fped.2019.00189</t>
  </si>
  <si>
    <t xml:space="preserve">HY5OQ</t>
  </si>
  <si>
    <t xml:space="preserve">WOS:000468177800001</t>
  </si>
  <si>
    <t xml:space="preserve">Mansbach, JM; McAdam, AJ; Clark, S; Hain, PD; Flood, RG; Acholonu, U; Camargo, CA</t>
  </si>
  <si>
    <t xml:space="preserve">Mansbach, Jonathan M.; McAdam, Alexander J.; Clark, Sunday; Hain, Paul D.; Flood, Robert G.; Acholonu, Uchechi; Camargo, Carlos A., Jr.</t>
  </si>
  <si>
    <t xml:space="preserve">Prospective multicenter study of the viral etiology of bronchiolitis in the emergency department</t>
  </si>
  <si>
    <t xml:space="preserve">ACADEMIC EMERGENCY MEDICINE</t>
  </si>
  <si>
    <t xml:space="preserve">bronchiolitis; respiratory syncytial virus; rhinovirus; asthma</t>
  </si>
  <si>
    <t xml:space="preserve">RESPIRATORY SYNCYTIAL VIRUS; YOUNG-CHILDREN; INHALED CORTICOSTEROIDS; UNITED-STATES; HUMAN METAPNEUMOVIRUS; RHINOVIRUS INFECTION; HUMAN CORONAVIRUS; TRACT DISEASE; HIGH-RISK; ASTHMA</t>
  </si>
  <si>
    <t xml:space="preserve">Objectives: To determine the viral etiology of bronchiolitis and clinical characteristics of children age &lt; 2 years presenting to the emergency department (ED) with bronchiolitis. Methods: The authors conducted a 14-center prospective cohort study during 2005-2006 of ED patients age &lt; 2 years with bronchiolitis. The study was conducted in 10 states as part of the Emergency Medicine Network. Researchers collected nasopharyngeal aspirates and conducted structured interviews, medical record reviews, and 2-week follow-up telephone calls. Samples were tested using reverse transcription polymerase chain reaction for respiratory syncytial virus (RSV), rhinovirus (RV), human metapneumovirus (hMPV), and influenza viruses (Flu). Results: Testing of 277 samples revealed 176 (64%) positive for RSV, 44 (16%) for RV, 26 (9%) for hMPV, 17 (6%) for Flu A, and none for Flu B. When children were categorized as RSV only, RV only, RV and RSV, and all others (hMPV, Flu, no identified virus), children with RV only were more likely to be African American (19, 62, 14, and 40%, respectively; p &lt; 0.001) and have a history of wheezing (23, 52, 21, and 15%, respectively; p = 0.01). In multivariate models, children with RV were more likely to receive corticosteroids (odds ratio [OR] 3.5; 95% confidence interval [CI] = 1.5 to 8.15). The duration of illness may be shorter for children with RV (Days 8, 3, 6, and 8; p = 0.07). Conclusions: In this multicenter study, RSV was the most frequent cause of bronchiolitis (64%). RV was present in 16%, and these children have a distinct profile in terms of demographics, medical history, and ED treatment.</t>
  </si>
  <si>
    <t xml:space="preserve">[Mansbach, Jonathan M.] Harvard Univ, Sch Med, Childrens Hosp Boston, Dept Med, Boston, MA 02115 USA; [McAdam, Alexander J.] Harvard Univ, Sch Med, Childrens Hosp Boston, Dept Lab Med, Boston, MA USA; [Hain, Paul D.] Vanderbilt Childrens Hosp, Dept Pediat, Nashville, TN USA; [Flood, Robert G.] Temple Univ, Sch Med, Dept Pediat, Philadelphia, PA 19122 USA; [Clark, Sunday; Acholonu, Uchechi; Camargo, Carlos A., Jr.] Harvard Univ, Massachusetts Gen Hosp, Sch Med, Dept Emergency Med, Boston, MA USA</t>
  </si>
  <si>
    <t xml:space="preserve">Harvard University; Boston Children's Hospital; Harvard Medical School; Harvard University; Harvard Medical School; Boston Children's Hospital; Vanderbilt University; Pennsylvania Commonwealth System of Higher Education (PCSHE); Temple University; Harvard University; Massachusetts General Hospital; Harvard Medical School</t>
  </si>
  <si>
    <t xml:space="preserve">Mansbach, JM (corresponding author), Harvard Univ, Sch Med, Childrens Hosp Boston, Dept Med, Boston, MA 02115 USA.</t>
  </si>
  <si>
    <t xml:space="preserve">jonathan.mansbach@childrens.harvard.edu</t>
  </si>
  <si>
    <t xml:space="preserve">1069-6563</t>
  </si>
  <si>
    <t xml:space="preserve">1553-2712</t>
  </si>
  <si>
    <t xml:space="preserve">ACAD EMERG MED</t>
  </si>
  <si>
    <t xml:space="preserve">Acad. Emerg. Med.</t>
  </si>
  <si>
    <t xml:space="preserve">10.1111/j.1553-2712.2007.00034.x</t>
  </si>
  <si>
    <t xml:space="preserve">260WO</t>
  </si>
  <si>
    <t xml:space="preserve">WOS:000253041300001</t>
  </si>
  <si>
    <t xml:space="preserve">Deng, Y; Chen, JH; Bai, H; Wang, LJ; Liu, W; Yang, XQ; Luo, ZX; Luo, J; Zhao, XD; Fu, Z; Liu, EM</t>
  </si>
  <si>
    <t xml:space="preserve">Deng Yu; Chen Jiehua; Bai Hua; Wang Lijia; Liu Wei; Yang Xiqiang; Luo Zhengxiu; Luo Jian; Zhao Xiaodong; Fu Zhou; Liu Enmei</t>
  </si>
  <si>
    <t xml:space="preserve">The severity of bronchiolitis is not dependent on the co-infection of RSV with other respiratory viruses</t>
  </si>
  <si>
    <t xml:space="preserve">Bronchiolitis; respiratory syncytial virus; mixed virus infections; airway inflammation</t>
  </si>
  <si>
    <t xml:space="preserve">Bronchiolitis is one of the most common lower respiratory diseases in infants. A correlation between the severity of bronchiolitis and a co-infection with respiratory syncytial virus (RSV) as well as other viruses has not yet been elucidated. The purpose of this study was to clarify the impact of RSV co-infection with other viruses on the severity of bronchiolitis and airway inflammation. One hundred and twelve hospitalized children with clinical symptoms of bronchiolitis were prospectively enrolled in this study. Nasopharyngeal aspirates were analyzed to identify RSV, human bocavirus, human metapneumovirus and nine other respiratory viral pathogens. Inflammatory cell counting and concentrations of cytokines/chemokines were also evaluated. The severity of the disease was further determined on the basis of symptom score and duration of hospitalization. Viral pathogens were detected in 84 samples (75%). RSV was detected in 62 samples (55.36%), 31 of which also possessed other viruses. No difference was found between children with bronchiolitis that had RSV as the sole infecting viral agent and those that were infected with RSV and other viruses with respect to the prevalence of symptoms prior to admission to the hospital, the duration of hospitalization and the diagnosis of severe bronchiolitis. The median cellularity, concentrations of cytokines and cell counts of nasopharyngeal aspirates were similar between the two groups of children. The severity of bronchiolitis is not dependent on the co-infection of RSV with other respiratory viruses.</t>
  </si>
  <si>
    <t xml:space="preserve">[Deng Yu; Chen Jiehua; Bai Hua; Luo Zhengxiu; Luo Jian; Fu Zhou; Liu Enmei] Chongqing Med Univ, Childrens Hosp, Dept Resp Med, Chongqing 400014, Peoples R China; [Wang Lijia; Liu Wei] Chongqing Med Univ, Childrens Hosp, Clin Immunol Lab, Chongqing, Peoples R China; [Yang Xiqiang; Zhao Xiaodong] Chongqing Med Univ, Childrens Hosp, Dept Nephrol &amp; Immunol Med, Chongqing, Peoples R China</t>
  </si>
  <si>
    <t xml:space="preserve">Liu, EM (corresponding author), Chongqing Med Univ, Childrens Hosp, Dept Resp Med, Chongqing 400014, Peoples R China.</t>
  </si>
  <si>
    <t xml:space="preserve">emliu186@126.com</t>
  </si>
  <si>
    <t xml:space="preserve">Bai, Hua/E-4738-2011; zhao, xd/HJX-9525-2023</t>
  </si>
  <si>
    <t xml:space="preserve">10.3233/JPI-2010-0254</t>
  </si>
  <si>
    <t xml:space="preserve">V17RA</t>
  </si>
  <si>
    <t xml:space="preserve">WOS:000214699700007</t>
  </si>
  <si>
    <t xml:space="preserve">Nascimento, MS; de Souza, AV; Ferreira, AVD; Rodrigues, JC; Abramovici, S; da Silva, LVF</t>
  </si>
  <si>
    <t xml:space="preserve">Nascimento, Milena Siciliano; de Souza, Andrea Vieira; de Souza Ferreira, Adriana Vada; Rodrigues, Joaquim Carlos; Abramovici, Sulim; Ferreira da Silva Filho, Luiz Vicente</t>
  </si>
  <si>
    <t xml:space="preserve">High Rate of Viral Identification and Coinfections in Infants with Acute Bronchiolitis</t>
  </si>
  <si>
    <t xml:space="preserve">CLINICS</t>
  </si>
  <si>
    <t xml:space="preserve">Bronchiolitis; Respiratory Syncytial Virus; Infant; Hospitalization; Coinfections</t>
  </si>
  <si>
    <t xml:space="preserve">RESPIRATORY-SYNCYTIAL-VIRUS; COMPREHENSIVE DETECTION; HUMAN METAPNEUMOVIRUS; PCR ASSAY; RT-PCR; INFECTIONS; CHILDREN; DISEASE; SAMPLES; IMPACT</t>
  </si>
  <si>
    <t xml:space="preserve">OBJECTIVES: To determine the viruses and risk factors associated with hospital and intensive care unit (ICU) admissions in infants with acute bronchiolitis. INTRODUCTION: Bronchiolitis is a major cause of morbidity in infants. Widespread use of molecular-based methods has yielded new insights about its etiology, but the impact of viral etiologies on early outcomes is still unclear. METHODS: Seventy-seven infants with bronchiolitis who were under two years of age and visited an emergency unit were included. Using molecular-based methods, samples were tested for 12 different respiratory viruses. Logistic regression models were used to identify clinical and virological variables associated with the main endpoints: hospital admission and ICU admission. RESULTS: We identified at least one virus in 93.5% of patients, and coinfections were found in nearly 40% of patients. RSV was the most common pathogen (63.6%), followed by rhinovirus (39%). Identification of RSV was only associated with an increased risk of hospital admission in the univariate model. Younger age and enterovirus infection were associated with an increased risk of hospital admission, while atopy of a first-degree relative showed a protective effect. Prematurity was associated with an increased risk of admission to the ICU. Coinfections were not associated with worse outcomes. CONCLUSIONS: Molecular-based methods resulted in high rates of viral identification but did not change the significant role of RSV in acute bronchiolitis. Younger age and enterovirus infection were risk factors for hospital admission, while prematurity appeared to be a significant risk factor for admission to the ICU in acute viral bronchiolitis.</t>
  </si>
  <si>
    <t xml:space="preserve">[Nascimento, Milena Siciliano; Abramovici, Sulim] Hosp Israelita Albert Einstein, Dept Saude Materno Infantil, Sao Paulo, Brazil; [de Souza, Andrea Vieira] Hosp Israelita Albert Einstein, Ctr Pesquisa Expt, Inst Ensino &amp; Pesquisa, Sao Paulo, Brazil; [de Souza Ferreira, Adriana Vada] Hosp Israelita Albert Einstein, UPA, Sao Paulo, Brazil; [Ferreira da Silva Filho, Luiz Vicente] Univ Sao Paulo, Virol Lab, Inst Trop Med, Sao Paulo, Brazil; [Rodrigues, Joaquim Carlos; Ferreira da Silva Filho, Luiz Vicente] Univ Fed Sao Paulo, Fac Med, Hosp Clin, Inst Crianca, Sao Paulo, Brazil</t>
  </si>
  <si>
    <t xml:space="preserve">Hospital Israelita Albert Einstein; Hospital Israelita Albert Einstein; Hospital Israelita Albert Einstein; Universidade de Sao Paulo; Universidade Federal de Sao Paulo (UNIFESP); Universidade de Sao Paulo</t>
  </si>
  <si>
    <t xml:space="preserve">Nascimento, MS (corresponding author), Hosp Israelita Albert Einstein, Dept Saude Materno Infantil, Sao Paulo, Brazil.</t>
  </si>
  <si>
    <t xml:space="preserve">vicres@usp.br</t>
  </si>
  <si>
    <t xml:space="preserve">Silva Filho, Luiz Vicente/A-6957-2011</t>
  </si>
  <si>
    <t xml:space="preserve">Sociedade Beneficiente Israelita Brasileira Hospital Israelita Albert Einstein</t>
  </si>
  <si>
    <t xml:space="preserve">This work was fully supported by the Sociedade Beneficiente Israelita Brasileira Hospital Israelita Albert Einstein.</t>
  </si>
  <si>
    <t xml:space="preserve">HOSPITAL CLINICAS, UNIV SAO PAULO</t>
  </si>
  <si>
    <t xml:space="preserve">FAC MEDICINA, UNIV SAO PAULO, SAO PAULO, SP 00000, BRAZIL</t>
  </si>
  <si>
    <t xml:space="preserve">1807-5932</t>
  </si>
  <si>
    <t xml:space="preserve">Clinics</t>
  </si>
  <si>
    <t xml:space="preserve">10.1590/S1807-59322010001100014</t>
  </si>
  <si>
    <t xml:space="preserve">736JW</t>
  </si>
  <si>
    <t xml:space="preserve">WOS:000288492000014</t>
  </si>
  <si>
    <t xml:space="preserve">Azar, B; Hashavya, S; Cahan, LOS; Reif, S; Gross, I</t>
  </si>
  <si>
    <t xml:space="preserve">Azar, Bar; Hashavya, Saar; Cahan, Lea Ohana Sarna; Reif, Shimon; Gross, Itai</t>
  </si>
  <si>
    <t xml:space="preserve">Bronchiolitis Due to RSV and HMPV-Epidemiology, Clinical Course, and Prognosis: Experience of a Single Tertiary Center</t>
  </si>
  <si>
    <t xml:space="preserve">bronchiolitis; respiratory syncytial virus; human metapneumovirus; children; infants; respiratory distress</t>
  </si>
  <si>
    <t xml:space="preserve">RESPIRATORY-SYNCYTIAL-VIRUS; HUMAN-METAPNEUMOVIRUS; VIRAL BRONCHIOLITIS; YOUNG-CHILDREN; INFECTIONS; FEATURES; INFANTS; DISEASE</t>
  </si>
  <si>
    <t xml:space="preserve">Acute bronchiolitis is a leading cause of hospitalization in infants. In this retrospective study, 645 patients with acute bronchiolitis diagnosed as respiratory syncytial virus (RSV; n = 538) or human metapneumovirus (HMPV; n = 107) were compared in terms of demographic, clinical, and laboratory findings. The HMPV patients presented later in the winter, were older (20 vs 7.55 months; P &lt; .001)), had higher levels of C-reactive protein (4.55 vs 3.03 mg/dL; P = .007), and a higher prevalence of complications (43.9% vs 32.7%; P = .03). This study highlights the similarities and differences between these 2 common respiratory viral pathogens and shows that HMPV has a slightly more severe disease course than RSV. These findings can help guide approaches to these 2 common viruses that cause bronchiolitis.</t>
  </si>
  <si>
    <t xml:space="preserve">[Azar, Bar] Hebrew Univ Jerusalem, Fac Med, Jerusalem, Israel; [Hashavya, Saar; Cahan, Lea Ohana Sarna; Gross, Itai] Hadassah Med Ctr, Dept Pediat Emergency Med, POB 12000, IL-91120 Jerusalem, Israel; [Reif, Shimon] Hadassah Med Ctr, Dept Pediat, Jerusalem, Israel</t>
  </si>
  <si>
    <t xml:space="preserve">Hebrew University of Jerusalem; Hebrew University of Jerusalem; Hadassah University Medical Center; Hebrew University of Jerusalem; Hadassah University Medical Center</t>
  </si>
  <si>
    <t xml:space="preserve">Gross, I (corresponding author), Hadassah Med Ctr, Dept Pediat Emergency Med, POB 12000, IL-91120 Jerusalem, Israel.</t>
  </si>
  <si>
    <t xml:space="preserve">itaigross@gmail.com</t>
  </si>
  <si>
    <t xml:space="preserve">Azar, Bar/0000-0001-6152-6813; Gross, Itai/0000-0003-2801-4693</t>
  </si>
  <si>
    <t xml:space="preserve">10.1177/00099228231151401</t>
  </si>
  <si>
    <t xml:space="preserve">R1UM2</t>
  </si>
  <si>
    <t xml:space="preserve">WOS:000926292100001</t>
  </si>
  <si>
    <t xml:space="preserve">Zorc, JJ; Hall, CB</t>
  </si>
  <si>
    <t xml:space="preserve">Zorc, Joseph J.; Hall, Caroline Breese</t>
  </si>
  <si>
    <t xml:space="preserve">Bronchiolitis: Recent Evidence on Diagnosis and Management</t>
  </si>
  <si>
    <t xml:space="preserve">bronchiolitis; respiratory syncytial virus</t>
  </si>
  <si>
    <t xml:space="preserve">RESPIRATORY SYNCYTIAL VIRUS; HUMAN METAPNEUMOVIRUS INFECTION; LENGTH-OF-STAY; CONTROLLED-TRIAL; FEBRILE INFANTS; PROSPECTIVE MULTICENTER; GENETIC SUSCEPTIBILITY; NEBULIZED EPINEPHRINE; RANDOMIZED-TRIAL; YOUNG-CHILDREN</t>
  </si>
  <si>
    <t xml:space="preserve">Viral bronchiolitis is a leading cause of acute illness and hospitalization of young children. Research into the variation in treatment and outcomes for bronchiolitis across different settings has led to evidence-based clinical practice guidelines. Ongoing investigation continues to expand this body of evidence. Authors of recent surveillance studies have defined the presence of coinfections with multiple viruses in some cases of bronchiolitis. Underlying comorbidities and young age remain the most important predictors for severe bronchiolitis. Pulse oximetry plays an important role in driving use of health care resources. Evidence-based reviews have suggested a limited role for diagnostic laboratory or radiographic tests in typical cases of bronchiolitis. Several large, recent trials have revealed a lack of efficacy for routine use of either bronchodilators or corticosteroids for treatment of bronchiolitis. Preliminary evidence suggests a potential future role for a combination of these therapies and other novel treatments such as nebulized hypertonic saline. Pediatrics 2010; 125: 342-349</t>
  </si>
  <si>
    <t xml:space="preserve">[Zorc, Joseph J.] Childrens Hosp Philadelphia, Div Emergency Med, Dept Pediat, Philadelphia, PA 19104 USA; [Zorc, Joseph J.] Univ Penn, Sch Med, Dept Pediat, Philadelphia, PA 19104 USA; [Hall, Caroline Breese] Univ Rochester, Sch Med &amp; Dent, Dept Pediat, Rochester, NY 14642 USA; [Hall, Caroline Breese] Univ Rochester, Sch Med &amp; Dent, Dept Med, Rochester, NY 14642 USA</t>
  </si>
  <si>
    <t xml:space="preserve">University of Pennsylvania; Pennsylvania Medicine; Childrens Hospital of Philadelphia; University of Pennsylvania; University of Rochester; University of Rochester</t>
  </si>
  <si>
    <t xml:space="preserve">Zorc, JJ (corresponding author), Childrens Hosp Philadelphia, Div Emergency Med, Dept Pediat, Main AS01,34th St &amp; Civ Ctr Blvd, Philadelphia, PA 19104 USA.</t>
  </si>
  <si>
    <t xml:space="preserve">zorc@email.chop.edu</t>
  </si>
  <si>
    <t xml:space="preserve">10.1542/peds.2009-2092</t>
  </si>
  <si>
    <t xml:space="preserve">WOS:000275942900020</t>
  </si>
  <si>
    <t xml:space="preserve">Robinson, JL; Lee, BE; Bastien, N; Li, Y</t>
  </si>
  <si>
    <t xml:space="preserve">Seasonality and clinical features of human metapneumovirus infection in children in Northern Alberta</t>
  </si>
  <si>
    <t xml:space="preserve">bronchiolitis; pulmonary infections; respiratory tract infections; genotyping</t>
  </si>
  <si>
    <t xml:space="preserve">RESPIRATORY SYNCYTIAL VIRUS; TRACT INFECTIONS; YOUNG-CHILDREN; INFANTS; BRONCHIOLITIS; ILLNESS; DISEASE; PREVALENCE; AGE</t>
  </si>
  <si>
    <t xml:space="preserve">Human metapneumovirus (hMPV) causes respiratory tract infections in all age groups. The characteristics of pediatric hMPV infection in Northern Alberta have not been studied. The objectives of this study were to determine the seasonality of pediatric hMPV infections over a 13-month period, the genetic relationship of hMPV isolates to hMPV detected in other parts of Canada, and the burden of illness and possible risk factors for pediatric hMPV hospitalization. Detection of hMPV by polymerase chain reaction was performed on nasopharyngeal specimens collected from outpatients and inpatients at the Stollery Children's Hospital in Edmonton, Alberta, November 12, 2002-December 31, 2003. Forty-two of 1,079 specimens were positive for hMPV (3.9%) from 41 patients (14 outpatients and 27 inpatients), with a peak incidence during January-April, but isolates were detected 10 months of the year. Co-infection was not detected in 39 specimens from which RSV had been detected. Two hMPV genetic clusters were detected, and the isolates were homologous to those of previous Canadian isolates. Four of the 14 outpatients had reactive airways disease. Possible risk factors in the 27 inpatients included prematurity (n = 8), congenital heart disease (n = 6), gastroesophageal reflux disease or aspiration (n = 6), global developmental delay (n = 5), and multiple congenital anomalies (n = 4). Risk factors for hospitalization appear to be similar to risk factors for respiratory syncytial virus hospitalization. (c) 2005 Wiley-Liss, Inc.</t>
  </si>
  <si>
    <t xml:space="preserve">Univ Alberta, Stollery Childrens Hosp, Dept Pediat, Edmonton, AB T6G 2B7, Canada; Canadian Sci Ctr Human &amp; Anim Hlth, Natl Microbiol Lab, Winnipeg, MB, Canada</t>
  </si>
  <si>
    <t xml:space="preserve">Stollery Children's Hospital; University of Alberta; Canadian Science Centre for Human &amp; Animal Health</t>
  </si>
  <si>
    <t xml:space="preserve">Univ Alberta, Stollery Childrens Hosp, Dept Pediat, 2C3 Walter MacKenzie Ctr,8440-112 St, Edmonton, AB T6G 2B7, Canada.</t>
  </si>
  <si>
    <t xml:space="preserve">10.1002/jmv.20329</t>
  </si>
  <si>
    <t xml:space="preserve">912AN</t>
  </si>
  <si>
    <t xml:space="preserve">WOS:000228049600015</t>
  </si>
  <si>
    <t xml:space="preserve">Najioullah, F; Bancons, P; Césaire, R; Fléchelles, O</t>
  </si>
  <si>
    <t xml:space="preserve">Najioullah, Fatiha; Bancons, Pierre; Cesaire, Raymond; Flechelles, Olivier</t>
  </si>
  <si>
    <t xml:space="preserve">Seasonality and coinfection of bronchiolitis: epidemiological specificity and consequences in terms of prophylaxis in tropical climate</t>
  </si>
  <si>
    <t xml:space="preserve">bronchiolitis; palivizumab; respiratory syncytial virus infections; West Indies; tropical climate</t>
  </si>
  <si>
    <t xml:space="preserve">RESPIRATORY SYNCYTIAL VIRUS; VIRAL-INFECTIONS; CHILDREN; PALIVIZUMAB; INFANTS; PREVENTION; RSV</t>
  </si>
  <si>
    <t xml:space="preserve">Objective To describe the viruses involved, seasonality and coinfection in hospitalised children with suspected bronchiolitis. Methods Over the period 1/07/2007 to 31/12/2008, all children hospitalised for bronchiolitis in the paediatric ward were prospectively included, and had respiratory syncytial virus (RSV) screenings. We retrospectively tested all samples for RSVA, RSVB, rhinovirus (RV), human metapneumovirus, parainfluenza 1, 2, 3, 4, influenza A and influenza B. Results 198 children were tested, and 23% were negative for all viruses. RSVA was predominant in 2008 (64% of all viruses) and RSVB in 2007 (66% of all viruses). RV was frequent during both seasons (24% of all viruses). Flu was not found during the study period. Virus distribution was similar regardless of season or age, and identical to typical patterns in temperate countries. Coinfections were less frequent than in temperate regions because respiratory virus seasons seem to be better separated. The bronchiolitis season started in August and finished in December with a peak in October. Conclusion The specific seasonality of bronchiolitis infection requires palivizumab prophylaxis starting in early July for high-risk infants.</t>
  </si>
  <si>
    <t xml:space="preserve">[Najioullah, Fatiha; Bancons, Pierre; Cesaire, Raymond; Flechelles, Olivier] Univ Hosp Martinique, Virol Dept, Fort De France, Martinique, France; [Flechelles, Olivier] Univ Hosp Martinique, Pediat &amp; Neonatal Intens Care Dept, F-97261 Fort De France, Martinique, France</t>
  </si>
  <si>
    <t xml:space="preserve">CHU Martinique; CHU Martinique</t>
  </si>
  <si>
    <t xml:space="preserve">Fléchelles, O (corresponding author), Univ Hosp Martinique, Pediat &amp; Neonatal Intens Care Dept, F-97261 Fort De France, Martinique, France.</t>
  </si>
  <si>
    <t xml:space="preserve">olivier.flechelles@chu-martinique.fr</t>
  </si>
  <si>
    <t xml:space="preserve">najioullah, fatiha/0000-0002-2922-1400</t>
  </si>
  <si>
    <t xml:space="preserve">10.1111/tmi.13462</t>
  </si>
  <si>
    <t xml:space="preserve">NV2JB</t>
  </si>
  <si>
    <t xml:space="preserve">WOS:000555533200001</t>
  </si>
  <si>
    <t xml:space="preserve">Haque, F; Husain, MM; Ameen, KMH; Rahima, R; Hossain, MJ; Alamgir, ASM; Rahman, M; Rahman, M; Luby, SP</t>
  </si>
  <si>
    <t xml:space="preserve">Haque, Farhana; Husain, M. Mushtuq; Ameen, Kazi Mohammad Hassan; Rahima, Refat; Hossain, M. Jahangir; Alamgir, A. S. M.; Rahman, Mustafizur; Rahman, Mahmudur; Luby, Stephen P.</t>
  </si>
  <si>
    <t xml:space="preserve">Bronchiolitis outbreak caused by respiratory syncytial virus in southwest Bangladesh, 2010</t>
  </si>
  <si>
    <t xml:space="preserve">Bronchiolitis; Outbreak; Respiratory syncytial virus; RSV; Bangladesh</t>
  </si>
  <si>
    <t xml:space="preserve">HUMAN METAPNEUMOVIRUS; CHILDREN; INFECTION; INFANTS; EPIDEMIOLOGY; SEVERITY; ETIOLOGY; DISEASE</t>
  </si>
  <si>
    <t xml:space="preserve">Background: During July 2010, newspapers reported a respiratory disease outbreak in southwestern Bangladesh resulting in the admission of children to a secondary care hospital. We investigated this outbreak to determine the etiology and explore possible risk factors. Methods: The hospital's physician diagnosed children aged &lt;2 years with cough, tachypnea or dyspnea, and expiratory wheeze as having acute bronchiolitis. We reviewed the hospital records and listed case patients admitted between 26 June and 26 July 2010. We surveyed the case patients and collected nasal and throat swabs to test for respiratory viruses. Results: We identified 101 admitted acute bronchiolitis case patients. Fifty-nine (58%) of these were admitted between 16 and 20 July. Among the 29 case patients surveyed, the median age was 4 months and 65% were males. We identified respiratory syncytial virus (RSV) in 91% (21/23) of the samples, 43% of which had a dual viral infection. Most case patients (90%) were treated with broad-spectrum antibiotics. There were no reported deaths. Conclusions: The sudden increase in admitted acute bronchiolitis case patients, their median age, and identification of RSV in the majority of samples suggest an outbreak of RSV bronchiolitis. Research to identify strategies to prevent respiratory infections including RSV in low-income settings should be prioritized. Factors that perpetuate antibiotic use in managing this viral syndrome should also be explored. (C) 2012 International Society for Infectious Diseases. Published by Elsevier Ltd. All rights reserved.</t>
  </si>
  <si>
    <t xml:space="preserve">[Haque, Farhana; Hossain, M. Jahangir; Rahman, Mustafizur; Luby, Stephen P.] Int Ctr Diarrhoeal Dis Res, Ctr Communicable Dis, Dhaka 1000, Bangladesh; [Haque, Farhana; Husain, M. Mushtuq; Ameen, Kazi Mohammad Hassan; Rahima, Refat; Alamgir, A. S. M.; Rahman, Mahmudur] Inst Epidemiol Dis Control &amp; Res IEDCR, Dhaka, Bangladesh; [Luby, Stephen P.] Ctr Dis Control &amp; Prevent CDC, Atlanta, GA USA</t>
  </si>
  <si>
    <t xml:space="preserve">International Centre for Diarrhoeal Disease Research (ICDDR); Centers for Disease Control &amp; Prevention - USA</t>
  </si>
  <si>
    <t xml:space="preserve">Haque, F (corresponding author), Int Ctr Diarrhoeal Dis Res, Ctr Communicable Dis, GPO Box 128, Dhaka 1000, Bangladesh.</t>
  </si>
  <si>
    <t xml:space="preserve">farhanahaque@icddrb.org</t>
  </si>
  <si>
    <t xml:space="preserve">Rahman, Md Mahmudur/AAB-7011-2021; rahman, mustafizur/E-6918-2010; Haque, Farhana/M-2483-2017</t>
  </si>
  <si>
    <t xml:space="preserve">Haque, Farhana/0000-0002-4308-2857</t>
  </si>
  <si>
    <t xml:space="preserve">Centers for Disease Control and Prevention (CDC), Atlanta, Georgia, USA; Government of the People's Republic of Bangladesh</t>
  </si>
  <si>
    <t xml:space="preserve">Centers for Disease Control and Prevention (CDC), Atlanta, Georgia, USA(United States Department of Health &amp; Human ServicesCenters for Disease Control &amp; Prevention - USA); Government of the People's Republic of Bangladesh</t>
  </si>
  <si>
    <t xml:space="preserve">This investigation was funded by the Centers for Disease Control and Prevention (CDC), Atlanta, Georgia, USA and the Government of the People's Republic of Bangladesh. ICDDR, B acknowledges with gratitude the commitment of the Government of Bangladesh and the CDC to its research efforts.</t>
  </si>
  <si>
    <t xml:space="preserve">E866</t>
  </si>
  <si>
    <t xml:space="preserve">E871</t>
  </si>
  <si>
    <t xml:space="preserve">10.1016/j.ijid.2012.07.016</t>
  </si>
  <si>
    <t xml:space="preserve">039DM</t>
  </si>
  <si>
    <t xml:space="preserve">WOS:000311223700007</t>
  </si>
  <si>
    <t xml:space="preserve">Hatipoglu, N; Somer, A; Badur, S; Ünüvar, E; Akçay-Ciblak, M; Yekeler, E; Salman, N; Keser, M; Hatipoglu, H; Siraneci, R</t>
  </si>
  <si>
    <t xml:space="preserve">Hatipoglu, Nevin; Somer, Ayper; Badur, Selim; Unuvar, Emin; Akcay-Ciblak, Meral; Yekeler, Ensar; Salman, Nuran; Keser, Melike; Hatipoglu, Husem; Siraneci, Rengin</t>
  </si>
  <si>
    <t xml:space="preserve">Viral etiology in hospitalized children with acute lower respiratory tract infection</t>
  </si>
  <si>
    <t xml:space="preserve">bronchiolitis; metapneumovirus; pneumonia; respiratory syncytial virus; respiratory viruses</t>
  </si>
  <si>
    <t xml:space="preserve">HUMAN METAPNEUMOVIRUS INFECTION; SYNCYTIAL VIRUS; INFLUENZA-VIRUS; YOUNG-CHILDREN; WINTER SEASON; SURVEILLANCE; INFANTS; DISEASE; EPIDEMIOLOGY; DIAGNOSIS</t>
  </si>
  <si>
    <t xml:space="preserve">This study was performed to investigate the viral etiological agents, age distribution and clinical manifestations of lower respiratory tract infection (LRTI) in hospitalized children. The viral etiology and clinical findings in 147 children (1 month to 5 years of age) hospitalized with acute LRTI were evaluated. Cell culture was used for isolation of influenza viruses and direct fluorescent antibody assay for parainfluenza viruses (PIVs), respiratory syncytial virus (RSV) and adenoviruses (ADVs). Reverse-transcriptase polymerase chain reaction was employed for human metapneumovirus (hMPV). One hundred and six of all patients (72.1%) were male, and 116 children (79.8%) were years. A viral etiology was detected in 54 patients (36.7%). RSV was the most frequently isolated (30 patients, 55.6%), and PIV (27.8%), hMPV (13%), influenza-A (9.3%), and ADV (5.6%) were also shown. Dual infection was detected in six patients. There were no statistically significant differences between the two groups (with isolated virus or no known viral etiology) with respect to symptoms, clinical findings, laboratory work-up, or radiological data. Length of hospital stay was also not different. Determination of the etiology of acute LRTI in children less than 5 years of age seems impossible without performing virological work-up, whether viral or nonviral in origin.</t>
  </si>
  <si>
    <t xml:space="preserve">[Hatipoglu, Nevin; Hatipoglu, Husem; Siraneci, Rengin] Istanbul Univ, Istanbul Fac Med, Bakirkoy Matern &amp; Childrens Hosp, Dept Pediat, Istanbul, Turkey; [Somer, Ayper; Unuvar, Emin; Salman, Nuran] Istanbul Univ, Istanbul Fac Med, Dept Pediat, Istanbul, Turkey; [Badur, Selim; Akcay-Ciblak, Meral] Istanbul Univ, Istanbul Fac Med, Dept Microbiol, Istanbul, Turkey; [Yekeler, Ensar] Istanbul Univ, Istanbul Fac Med, Dept Pediat Radiol, Istanbul, Turkey; [Keser, Melike] Konya Training &amp; Res Hosp, Dept Pediat, Konya, Turkey</t>
  </si>
  <si>
    <t xml:space="preserve">Istanbul University; Bakirkoy Children's &amp; Maternity Hospital; Istanbul University; Istanbul University; Istanbul University; Konya Egitim Training &amp; Research Hospital</t>
  </si>
  <si>
    <t xml:space="preserve">Hatipoglu, N (corresponding author), Istanbul Univ, Istanbul Fac Med, Bakirkoy Matern &amp; Childrens Hosp, Dept Pediat, Istanbul, Turkey.</t>
  </si>
  <si>
    <t xml:space="preserve">Hatipoglu, Nevin/IYS-6548-2023; Somer, Ayper/AAE-5459-2020; Emiroğlu, Melike/AAH-3566-2019</t>
  </si>
  <si>
    <t xml:space="preserve">Emiroglu, Melike/0000-0003-1307-0246</t>
  </si>
  <si>
    <t xml:space="preserve">881DD</t>
  </si>
  <si>
    <t xml:space="preserve">WOS:000299459800004</t>
  </si>
  <si>
    <t xml:space="preserve">Werno, AM; Anderson, TP; Jennings, LC; Jackson, PM; Murdoch, DR</t>
  </si>
  <si>
    <t xml:space="preserve">Human metapneumovirus in children with bronchiolitis or pneumonia in New Zealand</t>
  </si>
  <si>
    <t xml:space="preserve">bronchiolitis; metapneumovirus; New Zealand; pneumonia; polymerase chain reaction</t>
  </si>
  <si>
    <t xml:space="preserve">RESPIRATORY-TRACT INFECTIONS; DISEASE; ILLNESS; ASSAYS; YOUNG</t>
  </si>
  <si>
    <t xml:space="preserve">Objectives: To confirm the presence of human metapneumovirus (hMPV) in New Zealand and establish its prevalence in selected paediatric patient groups. Methods: Nasopharyngeal swabs were collected in two separate paediatric studies enrolling children clinically diagnosed with either bronchiolitis or pneumonia and tested for hMPV by polymerase chain reaction. Results: Nucleic acid detection tests demonstrated 5.3% of paediatric bronchiolitis cases were positive for hMPV RNA and 2.7% of children admitted with pneumonia tested positive for hMPV RNA. Conclusions: The presence of hMPV in New Zealand has been confirmed in two selected paediatric patient groups, namely children diagnosed with bronchiolitis and pneumonia. These results indicate that hMPV is associated with a minority of cases of bronchiolitis or pneumonia in this patient group.</t>
  </si>
  <si>
    <t xml:space="preserve">Canterbury Hlth Labs, Microbiol Unit, Christchurch, New Zealand; Univ Otago, Christchurch Sch Med &amp; Hlth Sci, Dept Pathol, Christchurch, New Zealand; Christchurch Hosp, Dept Paediat, Christchurch, New Zealand</t>
  </si>
  <si>
    <t xml:space="preserve">Canterbury Health Laboratories; University of Otago; Christchurch Hospital New Zealand</t>
  </si>
  <si>
    <t xml:space="preserve">Werno, AM (corresponding author), Canterbury Hlth Labs, Microbiol Unit, POB 151, Christchurch, New Zealand.</t>
  </si>
  <si>
    <t xml:space="preserve">anja.werno@cdhb.govt.nz</t>
  </si>
  <si>
    <t xml:space="preserve">BLACKWELL PUBLISHING ASIA</t>
  </si>
  <si>
    <t xml:space="preserve">CARLTON</t>
  </si>
  <si>
    <t xml:space="preserve">54 UNIVERSITY ST, P O BOX 378, CARLTON, VICTORIA 3053, AUSTRALIA</t>
  </si>
  <si>
    <t xml:space="preserve">9-10</t>
  </si>
  <si>
    <t xml:space="preserve">10.1111/j.1440-1754.2004.00461.x</t>
  </si>
  <si>
    <t xml:space="preserve">852ID</t>
  </si>
  <si>
    <t xml:space="preserve">WOS:000223748100013</t>
  </si>
  <si>
    <t xml:space="preserve">Flores, P; Guimaraes, J; Amaral, JMV</t>
  </si>
  <si>
    <t xml:space="preserve">Flores, P.; Guimaraes, J.; Videira Amaral, J. M.</t>
  </si>
  <si>
    <t xml:space="preserve">Th1 and th2 cytokine expression in nasopharyngeal secretions during acute bronchiolitis in children younger than two years old</t>
  </si>
  <si>
    <t xml:space="preserve">Bronchiolitis; Interferon gamma; Interleukin 4; Interleukin 13; Interleukin 12; Nasal mucosa; Respiratory Syncytial Virus; Respiratory virus; T helper cytokines</t>
  </si>
  <si>
    <t xml:space="preserve">RESPIRATORY SYNCYTIAL VIRUS; HUMAN METAPNEUMOVIRUS; INFECTION; INFLAMMATION; ASSOCIATION; RESPONSES; PROFILES; TRACT</t>
  </si>
  <si>
    <t xml:space="preserve">Objectives: We characterised the T helper cytokine profiles on the surface of nasal mucosa of children with acute bronchiolitis caused by Respiratory Syncytial Virus, Parainfluenza Virus, Influenza Virus, Adenovirus, or without any viral identification, in order to examine whether these viral types modified cytokine responses. As an additional objective we sought to determine if T helper polarisation was associated with other demographic and environmental factors. Methods: A prospective study of children with acute bronchiolitis was performed. Patients were recruited from the emergency department of a central hospital in Lisbon, Portugal. Demographical, epidemiological and clinical data were gathered from a questionnaire. Nasal swabs were collected for viral studies (immunofluorescence) and T cell cytokine responses (detection of expression of interleukins 4, 13, 12 and interferon-gamma by real-time polymerase chain reaction assays). Results: Respiratory Syncytial Virus elicited lower levels of interleukin 4, when compared with samples without virus identification. A similar tendency to Th1 polarisation was found in older children, in those who attended day-care centres, and in breastfed individuals. Exposure to tobacco smoke was associated with a Th2 bias in this population. Conclusions: These findings show that Respiratory Syncytial Virus infection contributes to Th1 polarisation in immune response of respiratory mucosa, an effect that is similar to other environmental factors. Further studies are needed to assess immune response to other infectious causes of acute bronchiolitis. (C) 2010 SEICAP. Published by Elsevier Espana, S.L. All rights reserved.</t>
  </si>
  <si>
    <t xml:space="preserve">[Flores, P.; Guimaraes, J.; Videira Amaral, J. M.] Hosp S Francisco Xavier, Lisbon, Portugal</t>
  </si>
  <si>
    <t xml:space="preserve">Flores, P (corresponding author), Hosp S Francisco Xavier, Lisbon, Portugal.</t>
  </si>
  <si>
    <t xml:space="preserve">pedro.flores@sapo.pt</t>
  </si>
  <si>
    <t xml:space="preserve">Flores Tenorio, Pedro/H-9676-2013</t>
  </si>
  <si>
    <t xml:space="preserve">ELSEVIER ESPANA SLU</t>
  </si>
  <si>
    <t xml:space="preserve">AV JOSEP TARRADELLAS, 20-30, 1ERA PLANTA, BARCELONA, CP-08029, SPAIN</t>
  </si>
  <si>
    <t xml:space="preserve">10.1016/j.aller.2010.03.008</t>
  </si>
  <si>
    <t xml:space="preserve">720QV</t>
  </si>
  <si>
    <t xml:space="preserve">WOS:000287296100002</t>
  </si>
  <si>
    <t xml:space="preserve">Huguenin, A; Moutte, L; Renois, F; Leveque, N; Talmud, D; Abely, M; Nguyen, Y; Carrat, F; Andreoletti, L</t>
  </si>
  <si>
    <t xml:space="preserve">Huguenin, Antoine; Moutte, Lauryane; Renois, Fanny; Leveque, Nicolas; Talmud, Deborah; Abely, Michel; Yohan Nguyen; Carrat, Fabrice; Andreoletti, Laurent</t>
  </si>
  <si>
    <t xml:space="preserve">Broad respiratory virus detection in infants hospitalized for bronchiolitis by use of a multiplex RT-PCR DNA microarray system</t>
  </si>
  <si>
    <t xml:space="preserve">bronchiolitis; infants; RT-PCR DNA microarray; respiratory viruses; clinical severity parameters</t>
  </si>
  <si>
    <t xml:space="preserve">SYNCYTIAL-VIRUS; HUMAN METAPNEUMOVIRUS; FRENCH CHILDREN; PARAINFLUENZAVIRUS 3; VIRAL-INFECTIONS; TRACT; ASSOCIATION; SEQUENCES; RNA; PICORNAVIRUSES</t>
  </si>
  <si>
    <t xml:space="preserve">Newly available molecular tools allow a sensitive detection of a broad panel of viruses in respiratory tract specimens. In the present study, the application of a multiplex RT-PCR DNA microarray in diagnosis and epidemiological survey of viral infections in infants hospitalized for bronchiolitis was assessed. One hundred and thirty-eight nasopharyngeal aspirates collected from October 2007 to September 2008 were tested by direct immunofluorescence and viral culture, a combination of referenced RT-PCRs and the DNA microarray. One or more viruses were detected in 96, 126 and 126 of the specimens by direct immunofluorescence and viral culture, RT-PCRs and DNA microarray, respectively (70 vs. 91 vs. 91%, P??0.1). In conclusion, the use of this DNA microarray in clinical virology practice allows rapid and accurate identification of common and uncommon viral respiratory pathogens in infants hospitalized for bronchiolitis. It should improve the clinical management, the epidemiological survey, and the prevention of the nosocomial transmission of respiratory viruses in pediatric wards. J. Med. Virol. 84:979985, 2012. (C) 2012 Wiley Periodicals, Inc.</t>
  </si>
  <si>
    <t xml:space="preserve">[Huguenin, Antoine; Moutte, Lauryane; Renois, Fanny; Leveque, Nicolas; Talmud, Deborah; Yohan Nguyen; Andreoletti, Laurent] Univ Hosp Ctr, Med &amp; Mol Virol Unit, Reims, France; [Huguenin, Antoine; Moutte, Lauryane; Renois, Fanny; Leveque, Nicolas; Talmud, Deborah; Yohan Nguyen; Andreoletti, Laurent] Univ Hosp Ctr, EA 484, Reims, France; [Huguenin, Antoine; Moutte, Lauryane; Renois, Fanny; Leveque, Nicolas; Talmud, Deborah; Yohan Nguyen; Andreoletti, Laurent] Med Sch Reims, Reims, France; [Abely, Michel] Univ Hosp, Ctr Reims, Amer Mem Hosp, Dept Pediat, Reims, France; [Carrat, Fabrice] Med Sch St Antoine, UMR S 707, Paris, France</t>
  </si>
  <si>
    <t xml:space="preserve">Universite de Reims Champagne-Ardenne; CHU de Reims; Universite de Reims Champagne-Ardenne; CHU de Reims; Universite de Reims Champagne-Ardenne; Universite de Reims Champagne-Ardenne; CHU de Reims; Sorbonne Universite</t>
  </si>
  <si>
    <t xml:space="preserve">Andreoletti, L (corresponding author), Hop Robert Debre, Lab Virol Med &amp; Mol &amp; EA, Ave Gen Koenig, F-51092 Reims, France.</t>
  </si>
  <si>
    <t xml:space="preserve">ABELY, Michel/P-6469-2016; Andreoletti, Laurent/AAQ-2756-2020; Huguenin, Antoine/AAD-9201-2020; RENOIS, FANNY/B-7992-2015; Carrat, Fabrice/AAU-8480-2020; Carrat, Fabrice/P-6177-2017</t>
  </si>
  <si>
    <t xml:space="preserve">Carrat, Fabrice/0000-0002-8672-7918; Leveque, Nicolas/0000-0001-6991-2532; RENOIS, FANNY/0000-0003-3441-7608; ANDREOLETTI, LAURENT/0000-0002-7440-8880</t>
  </si>
  <si>
    <t xml:space="preserve">Reims University Medical Centre; French Army Department (Bourse DGA: Delegation Generale de l'Armement, Ministere de la Defense); Medical University and School of Medicine of Reims, France [IFR53/EA]</t>
  </si>
  <si>
    <t xml:space="preserve">Reims University Medical Centre; French Army Department (Bourse DGA: Delegation Generale de l'Armement, Ministere de la Defense); Medical University and School of Medicine of Reims, France</t>
  </si>
  <si>
    <t xml:space="preserve">Grant sponsor: Reims University Medical Centre; Grant sponsor: French Army Department (Bourse DGA: Delegation Generale de l'Armement, Ministere de la Defense, Topic: Microbiology, infectious diseases; to F.R.).None of the authors of the present manuscript have a commercial or other association that might pose a conflict of interest (e.g., pharmaceutical stock ownership, consultancy). This work was supported in part by a grant for Clinical and Virological Research (IFR53/EA) from the Medical University and School of Medicine of Reims, France.</t>
  </si>
  <si>
    <t xml:space="preserve">10.1002/jmv.23272</t>
  </si>
  <si>
    <t xml:space="preserve">924WX</t>
  </si>
  <si>
    <t xml:space="preserve">WOS:000302723100018</t>
  </si>
  <si>
    <t xml:space="preserve">McNamara, PS; Flanagan, BF; Smyth, RL; Hart, CA</t>
  </si>
  <si>
    <t xml:space="preserve">McNamara, Paul S.; Flanagan, Brian F.; Smyth, Rosalind L.; Hart, C. Anthony</t>
  </si>
  <si>
    <t xml:space="preserve">Impact of human Metapneumovirus and Respiratory Syncytial Virus co-infection in severe bronchiolitis</t>
  </si>
  <si>
    <t xml:space="preserve">bronchiolitis; infant; respiratory syncytial virus; human metapneumovirus; cytokines</t>
  </si>
  <si>
    <t xml:space="preserve">YOUNG-CHILDREN; TRACT DISEASE; INFECTION; INFANTS</t>
  </si>
  <si>
    <t xml:space="preserve">We have previously shown high rates of co-infection with Respiratory Syncytial Virus (RSV) and human Metapneumovirus (hMPV) in infants with severe bronchiolitis at our institution in 2000-2002, and that co-infection was associated with increased disease severity In this study, we have attempted to identify differences in intubated infants with severe RSV infection with and without hMPV co-infection. Here we show that RSV+/hMPV+ were clinically symptomatic for longer than RSV+/hMPV- infants, but that no differences in airway total cell concentration, differential cell count or cytokine/chemokine concentrations were detectable.</t>
  </si>
  <si>
    <t xml:space="preserve">Royal Liverpool Childrens Hosp, Inst Child Hlth, Liverpool L12 2AP, Merseyside, England; Univ Liverpool, Dept Med Microbiol, Liverpool L69 3GA, Merseyside, England; Univ Liverpool, Dept Immunol, Liverpool L69 3BX, Merseyside, England</t>
  </si>
  <si>
    <t xml:space="preserve">University of Liverpool; Alder Hey Children's NHS Foundation Trust; Alder Hey Children's Hospital; University of Liverpool; University of Liverpool</t>
  </si>
  <si>
    <t xml:space="preserve">McNamara, PS (corresponding author), Royal Liverpool Childrens Hosp, Inst Child Hlth, Eaton Rd, Liverpool L12 2AP, Merseyside, England.</t>
  </si>
  <si>
    <t xml:space="preserve">mcnamp@liv.ac.uk</t>
  </si>
  <si>
    <t xml:space="preserve">McNamara, Paul/0000-0002-7055-6034</t>
  </si>
  <si>
    <t xml:space="preserve">Wellcome Trust Funding Source: Medline</t>
  </si>
  <si>
    <t xml:space="preserve">10.1002/ppul.20649</t>
  </si>
  <si>
    <t xml:space="preserve">199RP</t>
  </si>
  <si>
    <t xml:space="preserve">WOS:000248713200012</t>
  </si>
  <si>
    <t xml:space="preserve">Özdemir, Ö; Bircan, O</t>
  </si>
  <si>
    <t xml:space="preserve">Ozdemir, Oner; Bircan, Onur</t>
  </si>
  <si>
    <t xml:space="preserve">Human Metapneumovirus Infection in a Patient with Recurrent Wheezing: Case Report</t>
  </si>
  <si>
    <t xml:space="preserve">ISTANBUL MEDICAL JOURNAL</t>
  </si>
  <si>
    <t xml:space="preserve">Bronchiolitis; human metapneumovirus; pneumonia; wheezing</t>
  </si>
  <si>
    <t xml:space="preserve">CHILDREN; DISEASE; YOUNG</t>
  </si>
  <si>
    <t xml:space="preserve">Lower respiratory tract infections are responsible for 28% of preventable and treatable childhood deaths under 2 years of age in the world. In recent years, due to advances on the factors of respiratory tract infections, new agents such as human metapneumovirus (hMPV), coronaviruses, human bocavirus, parvovirus type 4 and type 5, and polyomavirus have been identified in addition to classical respiratory tract viruses. hMPV was first identified in the Netherlands in 2001. hMPV can lead to clinical manifestations ranging from mild upper respiratory tract infection, bronchiolitis and asthma attack, severe pneumonia to acute respiratory distress syndrome. In this article, a 23-month-old patient, who was followed-up with recurrent wheezing, respiratory distress, hypoxemia and in whom hMPV was identified as an etiologic agent, was presented for the purpose of drawing attention to the recent identification of the agent and its rare occurrence in the clinical practice.</t>
  </si>
  <si>
    <t xml:space="preserve">[Ozdemir, Oner] Sakarya Univ Training &amp; Res Hosp, Clin Allergy &amp; Immunol, Adapazari, Turkey; [Bircan, Onur] Sakarya Univ, Dept Pediat, Fac Med, Adapazari, Turkey</t>
  </si>
  <si>
    <t xml:space="preserve">Sakarya Training &amp; Research Hospital; Sakarya University; Sakarya University</t>
  </si>
  <si>
    <t xml:space="preserve">Özdemir, Ö (corresponding author), Sakarya Univ Training &amp; Res Hosp, Clin Allergy &amp; Immunol, Adapazari, Turkey.</t>
  </si>
  <si>
    <t xml:space="preserve">oner.ozdemir.md@gmail.com</t>
  </si>
  <si>
    <t xml:space="preserve">OZDEMIR, ONER/KPB-3723-2024</t>
  </si>
  <si>
    <t xml:space="preserve">BIRCAN, ONUR/0000-0002-0920-7652</t>
  </si>
  <si>
    <t xml:space="preserve">ISTANBUL TRAINING &amp; RESEARCH HOSPITAL</t>
  </si>
  <si>
    <t xml:space="preserve">CERRAHPASA MAHALLESI, ORG ABDURRAHMAN NAFIZ GURMAN CD NO 21, FATIH, ISTANBUL, 00000, TURKEY</t>
  </si>
  <si>
    <t xml:space="preserve">2619-9793</t>
  </si>
  <si>
    <t xml:space="preserve">2148-094X</t>
  </si>
  <si>
    <t xml:space="preserve">ISTANB MED J</t>
  </si>
  <si>
    <t xml:space="preserve">Istanb. Med. J.</t>
  </si>
  <si>
    <t xml:space="preserve">10.4274/imj.galenos.2018.81488</t>
  </si>
  <si>
    <t xml:space="preserve">JR9YK</t>
  </si>
  <si>
    <t xml:space="preserve">WOS:000499971500017</t>
  </si>
  <si>
    <t xml:space="preserve">Alsuheel, AM; Ali, AS; Al-Hakami, AM; Shati, AA; Chandramoorthy, HC; Al-Qahtani, SM</t>
  </si>
  <si>
    <t xml:space="preserve">Alsuheel, Ali Mohammed; Ali, Abdelwahid Saeed; Al-Hakami, Ahmed Musa; Shati, Ayed Abdullah; Chandramoorthy, Hanish C.; Al-Qahtani, Saleh Mohammed</t>
  </si>
  <si>
    <t xml:space="preserve">Human metapneumovirus in Pediatric Patients with Acute Respiratory Tract Infections in the Aseer Region of Saudi Arabia</t>
  </si>
  <si>
    <t xml:space="preserve">SAUDI JOURNAL OF MEDICINE &amp; MEDICAL SCIENCES</t>
  </si>
  <si>
    <t xml:space="preserve">Bronchiolitis; Human metapneumovirus; pediatric; pneumonia; respiratory infection; Saudi Arabia</t>
  </si>
  <si>
    <t xml:space="preserve">HOSPITALIZED CHILDREN; GENETIC DIVERSITY; DIAGNOSIS; EPIDEMIOLOGY; SEASONALITY; INFANTS; DISEASE</t>
  </si>
  <si>
    <t xml:space="preserve">Background: Human metapneumovirus (hMPV) is a Paramyxovirus known to cause acute respiratory tract infections in children and young adults. To date, there is no study from the Aseer region of Saudi Arabia determining the proportion and severity of hMPV infection among pediatric hospitalized patients with respiratory infections. Objectives: The objective of this study is to determine the presence of hMPV antigens in the nasopharyngeal secretions of pediatric patients hospitalized with respiratory tract infections in the Aseer region of Saudi Arabia. Materials and Methods: This prospective, serological hospital-based study included all pediatric patients who were admitted to Aseer Central Hospital, Abha, Saudi Arabia, from July 2016 to November 2017 with upper and/or lower respiratory tract infections. Basic demographics of patients and their clinical data on and after admission were recorded. Direct fluorescent antibody assay was used to detect the presence of hMPV antigens in the obtained nasopharyngeal secretion specimens. Results: During the study, 91 pediatric patients were hospitalized due to upper and/or lower respiratory tract infections, of which 9.9% were positive for hMPV. These patients were aged 9 months to 16 years, were from Abha city or its surrounding localities and were mostly (77.8%) hospitalized during autumn or winter. The most common diagnosis on admission was bronchopneumonia (55.5%) and aspiration pneumonia (22.2%), and some patients also had underlying chronic conditions such as chronic heart disease (22.2%) and bronchial asthma (11.1%). Conclusions: The results obtained indicated that hMPV is a potential etiologic factor for the commonly occurring acute respiratory infections in hospitalized children from the Aseer region of Saudi Arabia. hMPV infection was also found to be associated with complicated respiratory conditions such as bronchopneumonia, chronic heart disease and bronchial asthma.</t>
  </si>
  <si>
    <t xml:space="preserve">[Alsuheel, Ali Mohammed; Shati, Ayed Abdullah; Al-Qahtani, Saleh Mohammed] King Khalid Univ, Coll Med, Dept Child Hlth, Abha, Saudi Arabia; [Ali, Abdelwahid Saeed; Al-Hakami, Ahmed Musa; Chandramoorthy, Hanish C.] King Khalid Univ, Coll Med, Dept Microbiol &amp; Clin Parasitol, Abha, Saudi Arabia</t>
  </si>
  <si>
    <t xml:space="preserve">King Khalid University; King Khalid University</t>
  </si>
  <si>
    <t xml:space="preserve">Ali, AS (corresponding author), King Khalid Univ, Coll Med, Dept Microbiol &amp; Clin Parasitol, Abha, Saudi Arabia.</t>
  </si>
  <si>
    <t xml:space="preserve">abumalaz2002@gmail.com</t>
  </si>
  <si>
    <t xml:space="preserve">Al-Hakami, Ahmed/Y-6492-2018; Ali, Abdelwahid/AFL-1100-2022; Chandramoorthy, Harish/JAC-4762-2023; Alqahtani, Saleh/ERO-1065-2022; Shati, Ayed/AAG-9375-2019; Asseri, Ali/ABD-1842-2020</t>
  </si>
  <si>
    <t xml:space="preserve">Chinna Konda Chandramoorthy, Harish/0000-0002-8780-8971; Shati, Ayed A./0000-0003-0444-5595</t>
  </si>
  <si>
    <t xml:space="preserve">Deanship of Scientific Research, King Khalid University, Saudi Arabia [190, 3]</t>
  </si>
  <si>
    <t xml:space="preserve">Deanship of Scientific Research, King Khalid University, Saudi Arabia</t>
  </si>
  <si>
    <t xml:space="preserve">This study was funded by the Deanship of Scientific Research, King Khalid University, Saudi Arabia, Research Grant No. 3 (Project No. 190).</t>
  </si>
  <si>
    <t xml:space="preserve">WOLTERS KLUWER INDIA PVT LTD , A-202, 2ND FLR, QUBE, C T S NO 1498A-2 VILLAGE MAROL, ANDHERI EAST, MUMBAI, Maharashtra, INDIA</t>
  </si>
  <si>
    <t xml:space="preserve">2321-4856</t>
  </si>
  <si>
    <t xml:space="preserve">SAUDI J MED MED SCI</t>
  </si>
  <si>
    <t xml:space="preserve">Saudi J. Med. Med. Sci.</t>
  </si>
  <si>
    <t xml:space="preserve">MAY-AUG</t>
  </si>
  <si>
    <t xml:space="preserve">10.4103/sjmms.sjmms_72_18</t>
  </si>
  <si>
    <t xml:space="preserve">HU0QB</t>
  </si>
  <si>
    <t xml:space="preserve">WOS:000464974400004</t>
  </si>
  <si>
    <t xml:space="preserve">Chen, YW; Huang, YC; Ho, TH; Huang, CG; Tsao, KC; Lin, TY</t>
  </si>
  <si>
    <t xml:space="preserve">Chen, Yu-Wen; Huang, Yhu-Chering; Ho, Tai-Hua; Huang, Chung-Guei; Tsao, Kuo-Chien; Lin, Tzou-Yien</t>
  </si>
  <si>
    <t xml:space="preserve">Viral etiology of bronchiolitis among pediatric inpatients in northern Taiwan with emphasis on newly identified respiratory viruses</t>
  </si>
  <si>
    <t xml:space="preserve">Bronchiolitis; Human bocavirus; Human metapneumovirus; Respiratory syncytial virus; Taiwan</t>
  </si>
  <si>
    <t xml:space="preserve">HUMAN METAPNEUMOVIRUS; HOSPITALIZED INFANTS; ASSOCIATION; INFECTION; DISEASE; EPIDEMIOLOGY; CHILDREN</t>
  </si>
  <si>
    <t xml:space="preserve">Purpose: Viral etiology of bronchiolitis in children in Taiwan has been fragmentary. We conducted a prospective study to figure out the viral epidemiology of bronchiolitis in Taiwan. Materials and methods: From January 2009 to March 2011, a total of 113 children with bronchiolitis, aged &lt;2 years, hospitalized in Chang Gung Children's Hospital were randomly selected for viral etiology investigation. Nasopharyngeal aspirates were obtained from each case and sent for viral detection by tissue culture, antigen test, and polymerase chain reaction. Results: A total of 120 viruses were detected from 113 children. Positive viral etiology was identified in 86 (76%) children. Mixed viral pathogens were found in 28 cases (25%). Respiratory syncytial virus (RSV) was the most common pathogen and was identified in 43.4% of the cases. Human bocavirus (hBoV) was the second most common identified virus (in 19.5%), followed by human metapneumovirus (hMPV), rhinovirus, influenza viruses, and coronavirus 0C43. In terms of clinical characteristics, no significant difference was found among the children with bronchiolitis either caused by different single or mixed viral infection. Conclusion: RSV was the most common etiologic agent for children with bronchiolitis in Taiwan. Newly identified viruses, including hMPV and hBoV, were also among the common causative agents. Clinical characteristics were not significantly different among the children with bronchiolitis caused by different viruses. Copyright (C) 2012, Taiwan Society of Microbiology. Published by Elsevier Taiwan LLC. All rights reserved.</t>
  </si>
  <si>
    <t xml:space="preserve">[Chen, Yu-Wen; Huang, Yhu-Chering; Ho, Tai-Hua; Huang, Chung-Guei; Lin, Tzou-Yien] Chang Guns Mem Hosp, Dept Pediat, Div Infect Dis, Taoyuan, Taiwan; [Huang, Yhu-Chering; Huang, Chung-Guei; Tsao, Kuo-Chien; Lin, Tzou-Yien] Chang Gung Univ, Coll Med, Taoyuan, Taiwan; [Huang, Chung-Guei; Tsao, Kuo-Chien] Chang Gung Mem Hosp, Dept Lab Med, Taoyuan, Taiwan</t>
  </si>
  <si>
    <t xml:space="preserve">Chang Gung University; Chang Gung Memorial Hospital</t>
  </si>
  <si>
    <t xml:space="preserve">Huang, YC (corresponding author), Chang Gung Childrens Hosp, Dept Pediat, Div Pediat Infect Dis, 5 Fu Shin St,Kweishan 333, Taoyuan, Taiwan.</t>
  </si>
  <si>
    <t xml:space="preserve">liu, yuchen/GYQ-6286-2022; Chen, Yuwen/JOZ-7901-2023</t>
  </si>
  <si>
    <t xml:space="preserve">Chang Gung Memorial Hospital [CMRPG470131-3]</t>
  </si>
  <si>
    <t xml:space="preserve">Chang Gung Memorial Hospital(Chang Gung Memorial Hospital)</t>
  </si>
  <si>
    <t xml:space="preserve">This study was supported by a grant from Chang Gung Memorial Hospital (CMRPG470131-3).</t>
  </si>
  <si>
    <t xml:space="preserve">10.1016/j.jmii.2012.08.012</t>
  </si>
  <si>
    <t xml:space="preserve">AG4BZ</t>
  </si>
  <si>
    <t xml:space="preserve">Green Published, Green Accepted, Bronze</t>
  </si>
  <si>
    <t xml:space="preserve">WOS:000335365400006</t>
  </si>
  <si>
    <t xml:space="preserve">Calvo, C; Pozo, F; García-García, ML; Sanchez, M; Lopez-Valero, M; Pérez-Breña, P; Casas, I</t>
  </si>
  <si>
    <t xml:space="preserve">Calvo, C.; Pozo, F.; Garcia-Garcia, M. L.; Sanchez, M.; Lopez-Valero, M.; Perez-Brena, P.; Casas, I.</t>
  </si>
  <si>
    <t xml:space="preserve">Detection of new respiratory viruses in hospitalized infants with bronchiolitis: a three-year prospective study</t>
  </si>
  <si>
    <t xml:space="preserve">Bronchiolitis; Human bocavirus; Human metapneumovirus; Infants; Respiratory syncytial virus; Rhinovirus</t>
  </si>
  <si>
    <t xml:space="preserve">HUMAN METAPNEUMOVIRUS INFECTIONS; HUMAN BOCAVIRUS INFECTION; CLINICAL CHARACTERISTICS; TRACT INFECTIONS; SYNCYTIAL-VIRUS; CHILDREN; SEASONALITY; ASSOCIATION; RHINOVIRUS; DISEASE</t>
  </si>
  <si>
    <t xml:space="preserve">Aim: We have designed a study with the objective of describing the clinical impact of other viruses different from the respiratory syncytial virus (RSV) in hospitalized infants with bronchiolitis. Methods: A 3 year prospective study was conducted on infants admitted to the Paediatrics Department of the Severo Ochoa Hospital (Spain). We studied the frequency of 16 respiratory viruses. Clinical characteristics of RSV-only infections were compared with other single agent viral infections. Results: Positive results were confirmed in 275 (86.5%) of the 318 children studied. A single virus was detected in 196 patients and 79 were dual or multiple viral infections. RSV was detected in 61.3% of total bronchiolitis. Rhinovirus (RV) was 17.4% of the identified virus, followed by human bocavirus (HBoV), adenovirus and metapneumovirus (hMPV). Only RV, HBoV and hMPV were significant as single infections. RSV patients were younger than HBoV (p &gt; 0.0001) and hMPV (p = 0.025). Seasonality was clearly different between them. Children with RSV infection needed treatment in the intensive care unit more frequently than others. Conclusions: In hospitalized infants, RSV was the most frequent agent in bronchiolitis in winter, but other viruses were present in 47% of the patients. RV, HBoV and hMPV had a significant proportion of single infections. Clinical characteristics were similar amongst them, but seasonality was clearly different.</t>
  </si>
  <si>
    <t xml:space="preserve">[Calvo, C.; Garcia-Garcia, M. L.] Hosp Severo Ochoa, Dept Pediat, Madrid 28911, Spain; [Pozo, F.; Sanchez, M.; Lopez-Valero, M.; Perez-Brena, P.; Casas, I.] Inst Salud Carlos III, Natl Ctr Microbiol, Influenza &amp; Resp Viruses Lab, Madrid, Spain</t>
  </si>
  <si>
    <t xml:space="preserve">Calvo, C (corresponding author), Hosp Severo Ochoa, Dept Pediat, Avda Orellana S-N, Madrid 28911, Spain.</t>
  </si>
  <si>
    <t xml:space="preserve">ccalvorey@ono.com</t>
  </si>
  <si>
    <t xml:space="preserve">Calvo, Cristina/0000-0002-6503-3423; GARCIA-GARCIA, MARIA LUZ/0000-0003-4906-4227; Pozo, Francisco/0000-0003-1828-733X; Casas, Inmaculada/0000-0003-1840-1198</t>
  </si>
  <si>
    <t xml:space="preserve">Spanish National Health Institute (ISCIII, Fondo de Investigaciones Sanitarias) [98/0310 and PI06/0532]</t>
  </si>
  <si>
    <t xml:space="preserve">Spanish National Health Institute (ISCIII, Fondo de Investigaciones Sanitarias)(Instituto de Salud Carlos III)</t>
  </si>
  <si>
    <t xml:space="preserve">This work was supported by Spanish National Health Institute (ISCIII, Fondo de Investigaciones Sanitarias) Grants 98/0310 and PI06/0532.</t>
  </si>
  <si>
    <t xml:space="preserve">10.1111/j.1651-2227.2010.01714.x</t>
  </si>
  <si>
    <t xml:space="preserve">591RJ</t>
  </si>
  <si>
    <t xml:space="preserve">WOS:000277320300020</t>
  </si>
  <si>
    <t xml:space="preserve">Tang, KM; Hametz, P; Southern, W</t>
  </si>
  <si>
    <t xml:space="preserve">Tang, Katherine M. M.; Hametz, Patricia; Southern, William</t>
  </si>
  <si>
    <t xml:space="preserve">RSV causes more severe respiratory illness than influenza in admitted children under 2-years-old</t>
  </si>
  <si>
    <t xml:space="preserve">bronchiolitis; hospitalization; influenza; lower respiratory tract infection; RSV</t>
  </si>
  <si>
    <t xml:space="preserve">SYNCYTIAL VIRUS; PROSPECTIVE MULTICENTER; INTENSIVE-CARE; RISK-FACTORS; HUMAN METAPNEUMOVIRUS; VIRAL ETIOLOGY; BRONCHIOLITIS; INFECTIONS; IMMUNIZATION; MANAGEMENT</t>
  </si>
  <si>
    <t xml:space="preserve">IntroductionBoth respiratory syncytial virus (RSV) and influenza-associated lower respiratory tract infections (LRTI) cause serious respiratory infections in infants and toddlers. We aimed to assess the frequency of complex hospital courses among patients admitted with influenza versus RSV LRTI. MethodsA retrospective cohort study was performed on admissions of children &lt;2 years who were admitted for LRTI and tested positive for influenza or RSV from 2016 to 2019. The primary outcome, complex hospital course, was a composite including: intensive care unit admission, respiratory support, nasogastric tube feeds, prolonged length of stay, and death. Secondary outcomes included 7-day readmission and time to respiratory support. Differences between RSV and influenza groups were assessed and unadjusted and adjusted regression models and competing risks time to event models were developed. ResultsThere were 1094 (89%) RSV admissions and 134 (11%) influenza admissions. Children admitted for influenza were significantly older (336 vs. 165 days, p &lt; 0.001), more likely to present with an abnormal heart rate for age (84.3% vs. 73.5%, p &lt; 0.01) and a fever (27.6% vs. 18.9%, p = 0.02). Admissions with RSV were significantly more likely to experience a complex hospital course (ORadj = 3.5, 95% CI: 2.2-5.6). In time to event analysis, RSV admissions had a significantly higher rate of respiratory support (HRadj = 3.2, 95% CI: 2.0, 5.2). Readmission rates were similar. ConclusionsRSV admissions were associated with a higher risk for a complex hospital course and required higher rates of respiratory support than influenza admissions. This information may help in evaluating hospital resources and admissions.</t>
  </si>
  <si>
    <t xml:space="preserve">[Tang, Katherine M. M.; Hametz, Patricia] Childrens Hosp Montefiore, Div Pediat Hosp Med, Dept Pediat, New York, NY USA; [Tang, Katherine M. M.; Hametz, Patricia; Southern, William] Albert Einstein Coll Med, New York, NY USA; [Southern, William] Div Hosp Med, Montefiore Med Ctr, Dept Internal Med, New York, NY USA; [Tang, Katherine M. M.] Childrens Hosp Montefiore, Div Pediat Hosp Med, 3411 Wayne Ave, 9th Floor, Bronx, NY 10467 USA</t>
  </si>
  <si>
    <t xml:space="preserve">Montefiore Medical Center; Albert Einstein College of Medicine; Childrens Hospital at Montefiore; Yeshiva University; Montefiore Medical Center; Montefiore Medical Center; Albert Einstein College of Medicine; Childrens Hospital at Montefiore</t>
  </si>
  <si>
    <t xml:space="preserve">Tang, KM (corresponding author), Childrens Hosp Montefiore, Div Pediat Hosp Med, 3411 Wayne Ave, 9th Floor, Bronx, NY 10467 USA.</t>
  </si>
  <si>
    <t xml:space="preserve">kt2886@cumc.columbia.edu</t>
  </si>
  <si>
    <t xml:space="preserve">Tang, Katherine/0000-0002-6856-1846</t>
  </si>
  <si>
    <t xml:space="preserve">NIH/National Center for Advancing Translational Science (NCATS) Einstein-Montefiore CTSA [UL1 TR002556]</t>
  </si>
  <si>
    <t xml:space="preserve">NIH/National Center for Advancing Translational Science (NCATS) Einstein-Montefiore CTSA(United States Department of Health &amp; Human ServicesNational Institutes of Health (NIH) - USANIH National Center for Advancing Translational Sciences (NCATS))</t>
  </si>
  <si>
    <t xml:space="preserve">ACKNOWLEDGMENTS This study was supported in part by NIH/National Center for Advancing Translational Science (NCATS) Einstein-Montefiore CTSA Grant Number UL1 TR002556.</t>
  </si>
  <si>
    <t xml:space="preserve">10.1002/ppul.26394</t>
  </si>
  <si>
    <t xml:space="preserve">AV7L8</t>
  </si>
  <si>
    <t xml:space="preserve">WOS:000962111400001</t>
  </si>
  <si>
    <t xml:space="preserve">Antunes, H; Rodrigues, H; Silva, N; Ferreira, C; Carvalho, F; Ramalho, H; Gonçalves, A; Branca, F</t>
  </si>
  <si>
    <t xml:space="preserve">Antunes, H.; Rodrigues, H.; Silva, N.; Ferreira, C.; Carvalho, F.; Ramalho, H.; Goncalves, A.; Branca, F.</t>
  </si>
  <si>
    <t xml:space="preserve">Etiology of bronchiolitis in a hospitalized pediatric population: Prospective multicenter study</t>
  </si>
  <si>
    <t xml:space="preserve">Bronchiolitis; Etiology; Adenovirus; Respiratory syncytial virus; Polymerase chain reaction</t>
  </si>
  <si>
    <t xml:space="preserve">RESPIRATORY VIRUS-INFECTIONS; REAL-TIME PCR; RT-PCR; CHILDREN; ASSAYS; DIAGNOSIS</t>
  </si>
  <si>
    <t xml:space="preserve">Background: In 2006, bronchiolitis due to adenovirus nosocomial infections resulted in the closure of a pediatric department in northern Portugal. Objectives: To determine the etiology of bronchiolitis in northern Portugal. Study design: It was a prospective multicenter study on the etiology of bronchiolitis during the respiratory syncytial virus (RSV) season (November-April). Children &lt;= 24 months of age admitted for a first wheezing episode were included. Nasopharyngeal specimens were analyzed by an indirect immunofluorescent-antibody assay (IFA) for RSV, adenovirus (HAdV), parainfluenza (PIV) 1-3 and influenza (IV) A and B and by polymerase chain reaction (PCR) or reverse transcription-PCR for the same viruses and for human metapneumovirus (hMPV), bocavirus (HBoV), rhinovirus (HRV), coronaviruses (229/E; NL63; OC43; HKU1) and enterovirus. Results: During this period, 253 children were included, 249 IFA analyses and 207 PCRs were performed. IFA detected RSV in 58.1%; PCR increased it to 66.7%. IFA detected HAdV in 3.2%, PCR 10.0%. PCR detected IV A in 5; IV B in 2; PIV 1 in 6, PIV 2 in 4 and PIV 3 in 11 cases. HBoV, as single agent in 2 cases, and HRV were positive in 8 samples and hMPV in 11. With this virus panel, 19.7% remained without etiology. Conclusions: The most frequent agent was RSV, followed by HAdV. PCR can be cost-effective and more accurate than IFA, which is crucial for HAdV that may be associated with significant mortality (IFA alone did not detect 2/3 of the cases). (C) 2010 Elsevier B.V. All rights reserved.</t>
  </si>
  <si>
    <t xml:space="preserve">[Antunes, H.; Silva, N.; Goncalves, A.] Braga Hosp, Dept Pediat, P-4701965 Braga, Portugal; [Antunes, H.] Univ Minho, Sch Hlth Sci, Life &amp; Hlth Sci Res Inst ICVS, P-4709057 Braga, Portugal; [Rodrigues, H.] EPE, Dept Pediat, Unidade Local Saude Alto Minho, Viana Do Castelo, Portugal; [Ferreira, C.] EPE, Ctr Hosp Medio Ave, Dept Pediat, Guimaraes, Portugal; [Carvalho, F.] EPE, Ctr Hosp Alto Ave, Dept Pediat, Guimaraes, Portugal; [Ramalho, H.] EPE, Santa Maria Maior Hosp, Dept Pediat, Barcelos, Portugal; [Branca, F.] Braga Hosp, Dept Clin Pathol, Braga, Portugal</t>
  </si>
  <si>
    <t xml:space="preserve">Hospital de Braga; Universidade do Minho; Hospital de Braga</t>
  </si>
  <si>
    <t xml:space="preserve">Antunes, H (corresponding author), Braga Hosp, Dept Pediat, Apartado 2242, P-4701965 Braga, Portugal.</t>
  </si>
  <si>
    <t xml:space="preserve">henedinaantunes@gmail.com</t>
  </si>
  <si>
    <t xml:space="preserve">Antunes, Henedina/ITU-8195-2023</t>
  </si>
  <si>
    <t xml:space="preserve">Antunes, Henedina/0000-0002-1035-0173</t>
  </si>
  <si>
    <t xml:space="preserve">10.1016/j.jcv.2010.03.002</t>
  </si>
  <si>
    <t xml:space="preserve">590YL</t>
  </si>
  <si>
    <t xml:space="preserve">WOS:000277264300013</t>
  </si>
  <si>
    <t xml:space="preserve">Carbonell-Estrany, X; Rodgers-Gray, BS; Paes, B</t>
  </si>
  <si>
    <t xml:space="preserve">Carbonell-Estrany, Xavier; Rodgers-Gray, Barry S.; Paes, Bosco</t>
  </si>
  <si>
    <t xml:space="preserve">Challenges in the prevention or treatment of RSV with emerging new agents in children from low- and middle-income countries</t>
  </si>
  <si>
    <t xml:space="preserve">Bronchiolitis; developing countries; immunization; lower respiratory tract infection; monoclonal antibodies; prophylaxis; respiratory syncytial virus; treatment; vaccination; vaccine</t>
  </si>
  <si>
    <t xml:space="preserve">RESPIRATORY-SYNCYTIAL-VIRUS; CONGENITAL HEART-DISEASE; LUNG-TRANSPLANT PATIENTS; PALIVIZUMAB PROPHYLAXIS; YOUNG-CHILDREN; COST-EFFECTIVENESS; PRETERM INFANTS; RISK-FACTORS; PREMATURE-INFANTS; HUMAN METAPNEUMOVIRUS</t>
  </si>
  <si>
    <t xml:space="preserve">Introduction Respiratory syncytial virus (RSV) causes approximately 120,000 deaths annually in children &lt;5 years, with 99% of fatalities occurring in low- and middle-income countries (LMICs). Areas covered There are numerous RSV interventions in development, including long-acting monoclonal antibodies, vaccines (maternal and child) and treatments which are expected to become available soon. We reviewed the key challenges and issues that need to be addressed to maximize the impact of these interventions in LMICs. The epidemiology of RSV in LMICs was reviewed (PubMed search to 30 June 2020 inclusive) and the need for more and better-quality data, encompassing hospital admissions, community contacts, and longer-term respiratory morbidity, emphasized. The requirement for an agreed clinical definition of RSV lower respiratory tract infection was proposed. The pros and cons of the new RSV interventions are reviewed from the perspective of LMICs. Expert opinion We believe that a vaccine (or combination of vaccines, if practicable) is the only viable solution to the burden of RSV in LMICs. A coordinated program, analogous to that with polio, involving governments, non-governmental organizations, the World Health Organization, the manufacturers and the healthcare community is required to realize the full potential of vaccine(s) and end the devastation of RSV in LMICs.</t>
  </si>
  <si>
    <t xml:space="preserve">[Carbonell-Estrany, Xavier] Inst Invest Biomed August Pi Suner IDIBAPS, Hosp Clin, Neonatol Serv, Barcelona, Spain; [Rodgers-Gray, Barry S.] Strategen Ltd, Winchester, Hants, England; [Paes, Bosco] McMaster Univ, Neonatal Div, Dept Pediat, Hamilton, ON, Canada</t>
  </si>
  <si>
    <t xml:space="preserve">University of Barcelona; Hospital Clinic de Barcelona; IDIBAPS; McMaster University</t>
  </si>
  <si>
    <t xml:space="preserve">Carbonell-Estrany, X (corresponding author), Inst Invest Biomed August Pi Suner IDIBAPS, Hosp Clin, Barcelona, Spain.</t>
  </si>
  <si>
    <t xml:space="preserve">barry.rodgers-gray@strategen.co.uk</t>
  </si>
  <si>
    <t xml:space="preserve">Paes, Bosco/AAS-2997-2021</t>
  </si>
  <si>
    <t xml:space="preserve">10.1080/14787210.2021.1828866</t>
  </si>
  <si>
    <t xml:space="preserve">RT6NB</t>
  </si>
  <si>
    <t xml:space="preserve">WOS:000597830600001</t>
  </si>
  <si>
    <t xml:space="preserve">Miller, EK; Gebretsadik, T; Carroll, KN; Dupont, WD; Mohamed, YA; Morin, LL; Heil, L; Minton, PA; Woodward, K; Liu, Z; Hartert, TV; Williams, JV</t>
  </si>
  <si>
    <t xml:space="preserve">Miller, E. Kathryn; Gebretsadik, Tebeb; Carroll, Kecia N.; Dupont, William D.; Mohamed, Yassir A.; Morin, Laura-Lee; Heil, Luke; Minton, Patricia A.; Woodward, Kimberly; Liu, Zhouwen; Hartert, Tina V.; Williams, John V.</t>
  </si>
  <si>
    <t xml:space="preserve">Viral Etiologies of Infant Bronchiolitis, Croup and Upper Respiratory Illness During 4 Consecutive Years</t>
  </si>
  <si>
    <t xml:space="preserve">bronchiolitis; croup; upper respiratory illness; rhinovirus; respiratory syncytial virus</t>
  </si>
  <si>
    <t xml:space="preserve">SYNCYTIAL VIRUS BRONCHIOLITIS; HOSPITALIZED CHILDREN; HUMAN METAPNEUMOVIRUS; RHINOVIRUS ILLNESSES; PCR ASSAY; ASTHMA; INFECTION; SEVERITY; COHORT; LIFE</t>
  </si>
  <si>
    <t xml:space="preserve">Background: Prospective data on viral etiology and clinical characteristics of bronchiolitis and upper respiratory illness (URI) in infants are limited. Methods: This prospective cohort enrolled previously healthy term infants during inpatient or outpatient visits for acute URI or bronchiolitis during September to May 2004 to 2008. Illness severity was determined using an ordinal bronchiolitis severity score. Common respiratory viruses were identified by real-time reverse-transcriptase polymerase chain reaction. Results: Of 648 infants, 67% were enrolled during inpatient visits and 33% during outpatient visits. Seventy percent had bronchiolitis, 3% croup and 27% URI. Among infants with bronchiolitis, 76% had respiratory syncytial virus (RSV), 18% human rhinovirus (HRV), 10% influenza, 2% coronavirus, 3% human metapneumovirus and 1% parainfluenza virus. Among infants with croup, 39% had HRV, 28% parainfluenza virus, 28% RSV, 11% influenza, 6% coronavirus and none human metapneumovirus. Among infants with URI, 46% had HRV, 14% RSV, 12% influenza, 7% coronavirus, 6% parainfluenza virus and 4% human metapneumovirus. Individual viruses exhibited distinct seasonal, demographic and clinical expression. Conclusions: The most common infections among infants seeking care in unscheduled medical visits for URI or bronchiolitis were RSV and HRV. Demographic differences were observed between patients with different viruses, suggesting that host and viral factors play a role in phenotypic expression of viral illness.</t>
  </si>
  <si>
    <t xml:space="preserve">[Miller, E. Kathryn; Carroll, Kecia N.; Mohamed, Yassir A.; Morin, Laura-Lee; Heil, Luke; Williams, John V.] Vanderbilt Univ, Dept Pediat, Sch Med, Nashville, TN 37232 USA; [Gebretsadik, Tebeb; Dupont, William D.; Liu, Zhouwen] Vanderbilt Univ, Dept Biostat, Sch Med, Nashville, TN 37232 USA; [Minton, Patricia A.; Woodward, Kimberly; Hartert, Tina V.] Vanderbilt Univ, Dept Med, Sch Med, Nashville, TN 37232 USA; [Williams, John V.] Vanderbilt Univ, Dept Pathol Microbiol &amp; Immunol, Sch Med, Nashville, TN 37232 USA</t>
  </si>
  <si>
    <t xml:space="preserve">Miller, EK (corresponding author), Vanderbilt Univ, Div Allergy Immunol &amp; Pulm Med, Dept Pediat, Sch Med, 1161 21st Ave S, Nashville, TN 37232 USA.</t>
  </si>
  <si>
    <t xml:space="preserve">Eva.k.miller@vanderbilt.edu</t>
  </si>
  <si>
    <t xml:space="preserve">Gebretsadik, Tebeb/KUC-9494-2024; Williams, John/ABE-3227-2020; Williams, John/F-6962-2010; Dupont, William/KRO-8863-2024</t>
  </si>
  <si>
    <t xml:space="preserve">Williams, John/0000-0001-8377-5175; Gebretsadik, Tebeb/0000-0003-4548-3010; Dupont, William/0000-0002-8166-599X</t>
  </si>
  <si>
    <t xml:space="preserve">Thrasher New Investigator Award; Thrasher Research Fund Clinical Research Grant; NIH [K24 AI 077930, UL1 RR024975, K01 AI070808, AI085062, K23 AI091691-02, U19 AI 095227, R01 HS018454, R01 HS019669, K12 ES 015855]; March of Dimes Basil O'Conner Award; MedImmune; [KL2 RR24977-03]</t>
  </si>
  <si>
    <t xml:space="preserve">Thrasher New Investigator Award; Thrasher Research Fund Clinical Research Grant; NIH(United States Department of Health &amp; Human ServicesNational Institutes of Health (NIH) - USA); March of Dimes Basil O'Conner Award(March of Dimes); MedImmune(AstraZenecaMedimmune);</t>
  </si>
  <si>
    <t xml:space="preserve">Supported by KL2 RR24977-03 (E. K. M.), Thrasher New Investigator Award (E. K. M.), Thrasher Research Fund Clinical Research Grant (T. V. H.), NIH midcareer investigator award K24 AI 077930 (T. V. H.), UL1 RR024975 (Vanderbilt CTSA), NIH K01 AI070808 mentored clinical science award (K.N.C.) and NIH AI085062 (J.V.W.). E. K. M. is supported by NIH K23 AI091691-02 and March of Dimes Basil O'Conner Award. T. V. H. is supported by NIH U19 AI 095227, R01 HS018454, R01 HS019669 and NIH K12 ES 015855. J.V.W. serves on the Scientific Advisory Board for Quidel. T. V. H. has received grant support from MedImmune. E. K. M. has received grant support from MedImmune. The authors have no other funding or conflicts of interest to disclose.</t>
  </si>
  <si>
    <t xml:space="preserve">10.1097/INF.0b013e31829b7e43</t>
  </si>
  <si>
    <t xml:space="preserve">WOS:000330525500013</t>
  </si>
  <si>
    <t xml:space="preserve">Ramanathan, A; Lee, W; Peplinski, J; Mace, AO; Foley, DA</t>
  </si>
  <si>
    <t xml:space="preserve">Ramanathan, Ashwin; Lee, Weihao; Peplinski, Joseph; Mace, Ariel O.; Foley, David A.</t>
  </si>
  <si>
    <t xml:space="preserve">Head-to-Head Comparison Between Respiratory Syncytial Virus and Human Metapneumovirus Bronchiolitis in the Setting of Increased Viral Testing</t>
  </si>
  <si>
    <t xml:space="preserve">bronchiolitis; COVID-19; child health; metapneumovirus</t>
  </si>
  <si>
    <t xml:space="preserve">We compared the epidemiology, severity and management of hospitalized respiratory syncytial virus (n = 305) and human metapneumovirus (n = 39) bronchiolitis in a setting with high respiratory virus testing (95% of admissions tested). Respiratory syncytial virus-positive infants were younger and tended to require more hydration support and longer hospital stays compared to human metapneumovirus-positive infants. Respiratory support requirements were similar between groups despite significant age differences.</t>
  </si>
  <si>
    <t xml:space="preserve">[Ramanathan, Ashwin; Lee, Weihao; Peplinski, Joseph; Mace, Ariel O.] Perth Childrens Hosp, Dept Gen Paediat, Nedlands, WA, Australia; [Mace, Ariel O.; Foley, David A.] Univ Western Australia, Telethon Kids Inst, Wesfarmers Ctr Vaccines &amp; Infect Dis, Perth, WA, Australia; [Foley, David A.] Dept Clin Microbiol, PathWest Lab Med, Perth, WA, Australia; [Foley, David A.] Univ Western Australia, Med Sch, Perth, WA, Australia; [Foley, David A.] PathWest Lab Med, Dept Clin Microbiol, 15 Hosp Ave, Nedlands, WA 6009, Australia</t>
  </si>
  <si>
    <t xml:space="preserve">Perth Childrens Hospital; University of Western Australia; Wesfarmers Limited; The Kids Research Institute Australia; Pathwest Laboratory Medicine; University of Western Australia; University of Western Australia; Pathwest Laboratory Medicine</t>
  </si>
  <si>
    <t xml:space="preserve">Foley, DA (corresponding author), PathWest Lab Med, Dept Clin Microbiol, 15 Hosp Ave, Nedlands, WA 6009, Australia.</t>
  </si>
  <si>
    <t xml:space="preserve">ashwinram96@gmail.com; j.peplinski@doctors.org.uk; ariel.mace@health.wa.gov.au; drdavidanthonyfoley@gmail.com</t>
  </si>
  <si>
    <t xml:space="preserve">; Lee, Wei Hao/HOF-6108-2023</t>
  </si>
  <si>
    <t xml:space="preserve">Peplinski, Joseph/0000-0003-2467-2330; Foley, David Anthony/0000-0002-8622-7809; Lee, Wei Hao/0000-0002-1212-1286</t>
  </si>
  <si>
    <t xml:space="preserve">e139</t>
  </si>
  <si>
    <t xml:space="preserve">10.1097/INF.0000000000004217</t>
  </si>
  <si>
    <t xml:space="preserve">WOS:001235391600014</t>
  </si>
  <si>
    <t xml:space="preserve">Guidi, C; Ragusa, N; Mussinatto, I; Parola, F; Luotti, D; Calosso, G; Rotondo, E; Deut, V; Timeus, F; del Prever, AB; Berger, M</t>
  </si>
  <si>
    <t xml:space="preserve">Guidi, Carla; Ragusa, Neftj; Mussinatto, Ilaria; Parola, Francesca; Luotti, Diego; Calosso, Giulia; Rotondo, Eleonora; Deut, Virginia; Timeus, Fabio; del Prever, Adalberto Brach; Berger, Massimo</t>
  </si>
  <si>
    <t xml:space="preserve">Management of Acute Bronchiolitis in Spoke Hospitals in Northern Italy: Analysis and Outcome</t>
  </si>
  <si>
    <t xml:space="preserve">DISEASES</t>
  </si>
  <si>
    <t xml:space="preserve">bronchiolitis; children; respiratory syncytial virus; high flow nasal cannula</t>
  </si>
  <si>
    <t xml:space="preserve">RESPIRATORY SYNCYTIAL VIRUS; NASAL CANNULA OXYGEN; HUMAN METAPNEUMOVIRUS; INFECTIONS; INFANTS; THERAPY</t>
  </si>
  <si>
    <t xml:space="preserve">Bronchiolitis is an acute viral infection of the lower respiratory tract that affects infants and young children. Respiratory syncytial virus (RSV) is the most common causative agent; however, other viruses can be involved in this disease. We retrospectively reviewed the clinical features of infants aged less than 12 months hospitalized for acute bronchiolitis in our Pediatric Units of Chivasso, Cirie, and Ivrea in Piedmont, Northern Italy, over two consecutive bronchiolitis seasons (September 2021-March 2022 and September 2022-March 2023). Patient-, disease-, and treatment-related variables were analyzed. The probability of therapeutic success (discharge home) was 96% for all patients (93% for RSV vs. 98% for non-RSV patients, p &gt; 0.05). Among 192 patients, 42 infants (22%) underwent high-flow oxygen support (HFNC), and only 8 (4%) needed to be transferred to our hub referral hospital. Factors associated with hub hospital transfer were the age under 1 month and the failure of HFNC. The wide and increasing use of HFNC in pediatric inpatients improved the management of bronchiolitis in Spoke hospitals, reducing transfer to a hub hospital provided with Intensive Care Units.</t>
  </si>
  <si>
    <t xml:space="preserve">[Guidi, Carla; Parola, Francesca; Rotondo, Eleonora; del Prever, Adalberto Brach] Cirie Hosp, Pediat Dept, I-10073 Cirie, TO, Italy; [Ragusa, Neftj; Luotti, Diego; Deut, Virginia; Berger, Massimo] Ivrea Hosp, Pediat Dept, I-10015 Ivrea, TO, Italy; [Mussinatto, Ilaria; Calosso, Giulia; Timeus, Fabio] Chivasso Hosp, Pediat Dept, I-10034 Chivasso, TO, Italy</t>
  </si>
  <si>
    <t xml:space="preserve">Berger, M (corresponding author), Ivrea Hosp, Pediat Dept, I-10015 Ivrea, TO, Italy.</t>
  </si>
  <si>
    <t xml:space="preserve">cguidi@aslto4.piemonte.it; nragusa@aslto4.piemonte.it; imussinatto@aslto4.piemonte.it; francesca.parola@aslto4.piemonte.it; ftimeus@aslto4.piemonte.it; abrachdelprever@aslto4.piemonte.it; mberger@aslto4.piemonte.it</t>
  </si>
  <si>
    <t xml:space="preserve">Berger, Massimo/0000-0003-3455-3802</t>
  </si>
  <si>
    <t xml:space="preserve">2079-9721</t>
  </si>
  <si>
    <t xml:space="preserve">DISEASES-BASEL</t>
  </si>
  <si>
    <t xml:space="preserve">Diseases</t>
  </si>
  <si>
    <t xml:space="preserve">10.3390/diseases12010025</t>
  </si>
  <si>
    <t xml:space="preserve">GH5E0</t>
  </si>
  <si>
    <t xml:space="preserve">WOS:001151782400001</t>
  </si>
  <si>
    <t xml:space="preserve">Vargas, SO; Kozaewich, HPW; Perez-Atayde, AR; McAdam, AJ</t>
  </si>
  <si>
    <t xml:space="preserve">Pathology of human metapneumovirus infection: Insights into the pathogenesis of a newly identified respiratory virus</t>
  </si>
  <si>
    <t xml:space="preserve">bronchiolitis; children; lung; pathology; ultrastructure; viral inclusions</t>
  </si>
  <si>
    <t xml:space="preserve">PARAINFLUENZA VIRUS; YOUNG-CHILDREN</t>
  </si>
  <si>
    <t xml:space="preserve">Human metapneumovirus (hMPV) is a recently discovered human vir-us that causes significant respiratory infections. Pathologic features of hMPV infection have not been described. A total of 1257 pediatric respiratory samples submitted for routine clinical virologic testing were additionally tested for hMPV by reverse transcriptase polymerase chain reaction (PCR). Pathology specimens, available in 6 of 53 hMPV-positive patients, were examined by light and electron microscopy and included 6 bronchoalveolar lavage (BAL) and 3 lung biopsy specimens from 6 patients (3 girls and 3 boys) ranging in age from 1 to 16 years. BAL from three patients performed within 4 days of the positive hMPV assay showed epithelial degenerative changes and eosinophilic cytoplasmic inclusions within epithelial cells, multinucleate giant cells, and histiocytes. Inclusions were not seen in three patients with BAL performed greater than or equal to 1 month from the time of their positive assay. Lung biopsy, performed in three patients, all greater than or equal to 1 month from the time of their positive assay, showed chronic airway inflammation and intraalveolar foamy and hemosiderin-laden macrophages; all three patients had an underlying pulmonary/systemic disorder. Our findings delineate the clinicopathologic features in hMPV-infected patients undergoing anatomic sampling, which may provide diagnostic guidance to a practicing pathologist. Further, they contribute toward understanding the pathogenesis of hMPV infection.</t>
  </si>
  <si>
    <t xml:space="preserve">Childrens Hosp, Dept Pathol, Boston, MA 02115 USA; Harvard Univ, Sch Med, Boston, MA 02115 USA; Childrens Hosp, Dept Lab Med, Boston, MA 02115 USA</t>
  </si>
  <si>
    <t xml:space="preserve">Harvard University; Boston Children's Hospital; Harvard University; Harvard Medical School; Harvard University; Boston Children's Hospital</t>
  </si>
  <si>
    <t xml:space="preserve">Childrens Hosp, Dept Pathol, 300 Longwood Ave, Boston, MA 02115 USA.</t>
  </si>
  <si>
    <t xml:space="preserve">sara.vargas@childrens.harvard.edu</t>
  </si>
  <si>
    <t xml:space="preserve">10.1007/s10024-004-1011-2</t>
  </si>
  <si>
    <t xml:space="preserve">871LE</t>
  </si>
  <si>
    <t xml:space="preserve">WOS:000225134400011</t>
  </si>
  <si>
    <t xml:space="preserve">Al-Thani, A; Azzam, SB; Abboubaker, HMA; Abdel-Hadi, FG; Elsheikh, M; Janahi, IA</t>
  </si>
  <si>
    <t xml:space="preserve">Al-Thani, Asma; Azzam, Samir B.; Abboubaker, Hafsa M. Al-Sheik; Abdel-Hadi, Fatma G.; Elsheikh, Mamoun; Janahi, Ibrahim A.</t>
  </si>
  <si>
    <t xml:space="preserve">The role of human metapneumovirus in pediatric respiratory tract infection in Qatar</t>
  </si>
  <si>
    <t xml:space="preserve">bronchiolitis; children; human metapneumovirus; Qatar</t>
  </si>
  <si>
    <t xml:space="preserve">SYNCYTIAL VIRUS; YOUNG-CHILDREN; PREVALENCE; SEVERITY; SYMPTOMS; FEATURES; INFANTS; DISEASE</t>
  </si>
  <si>
    <t xml:space="preserve">Aim: The human metapneumovirus (hMPV) has been recently discovered as an etiological agent of acute respiratory infections in infants and children, with similar clinical symptoms to those caused by respiratory syncytial virus. The aim of this study was to determine the prevalence of hMPV and its potential role as a causative agent of respiratory tract infections in children in Qatar. Methods: In the present study, we examined 84 nasopharyngeal aspirates from children with respiratory tract infections, presenting at Al-Saad Pediatric Emergency Center in Doha, Qatar, as outpatients, for the presence of respiratory viruses. Results: A total of 56 out of 84 (66.7%) cases were positive for the presence of respiratory viruses. Out of the 56 positive cases 54 (96%) contained hMPV; whereas 12 out of 56 (21.4%) contained human parainfluenza virus. A total of 14 out of 56 of the positive patients were infected with more than one virus. hMPV was in samples infected with one or more respiratory tract infection viruses and was the most frequently isolated virus from infants less than 6 months of age. Conclusion: This is the first report demonstrating the prevalence of hMPV in children suffering from respiratory tract infections in Qatar. Detection of this virus may have significant clinical implications in this patient population in Qatar.</t>
  </si>
  <si>
    <t xml:space="preserve">[Al-Thani, Asma; Abboubaker, Hafsa M. Al-Sheik; Abdel-Hadi, Fatma G.] Qatar Univ, Dept Hlth Sci, Doha, Qatar; [Azzam, Samir B.; Elsheikh, Mamoun; Janahi, Ibrahim A.] Hamad Med Corp, Doha, Qatar</t>
  </si>
  <si>
    <t xml:space="preserve">Qatar University; Hamad Medical Corporation</t>
  </si>
  <si>
    <t xml:space="preserve">Al-Thani, A (corresponding author), Qatar Univ, Dept Hlth Sci, POB 2713, Doha, Qatar.</t>
  </si>
  <si>
    <t xml:space="preserve">aaja@qu.edu.qa</t>
  </si>
  <si>
    <t xml:space="preserve">Janahi, Ibrahim/ABC-5994-2021</t>
  </si>
  <si>
    <t xml:space="preserve">Janahi, Ibrahim/0000-0002-0150-0256</t>
  </si>
  <si>
    <t xml:space="preserve">Qatar National Research Fund; Qatar University</t>
  </si>
  <si>
    <t xml:space="preserve">Qatar National Research Fund(Qatar National Research Fund (QNRF)); Qatar University(Qatar UniversityQatar National Research Fund (QNRF))</t>
  </si>
  <si>
    <t xml:space="preserve">This project was funded by the 2nd Undergraduate Research Experiences Program cycle of Qatar National Research Fund and Qatar University. The authors have no other relevant affiliations or financial involvement with any organization or entity with a financial interest in or financial conflict with the subject matter or materials discussed in the manuscript apart from those disclosed.</t>
  </si>
  <si>
    <t xml:space="preserve">10.2217/FVL.10.13</t>
  </si>
  <si>
    <t xml:space="preserve">594NW</t>
  </si>
  <si>
    <t xml:space="preserve">WOS:000277545400016</t>
  </si>
  <si>
    <t xml:space="preserve">Koetz, A; Nilsson, P; Lindén, M; van der Hoek, L; Ripa, T</t>
  </si>
  <si>
    <t xml:space="preserve">Koetz, A.; Nilsson, P.; Linden, M.; van der Hoek, L.; Ripa, T.</t>
  </si>
  <si>
    <t xml:space="preserve">Detection of human coronavirus NL63, human metapneumovirus and respiratory syncytial virus in children with respiratory tract infections in south-west Sweden</t>
  </si>
  <si>
    <t xml:space="preserve">bronchiolitis; children; human coronavirus NL63; human metapneumovirus; respiratory syncytial virus</t>
  </si>
  <si>
    <t xml:space="preserve">COMMUNITY-ACQUIRED PNEUMONIA; YOUNG-CHILDREN; PCR ASSAY; HOSPITALIZED CHILDREN; DISEASE; PNEUMOVIRUS; PREVALENCE; SYMPTOMS; ETIOLOGY; INFANTS</t>
  </si>
  <si>
    <t xml:space="preserve">Two recently detected viruses, human metapneumovirus (hMPV) and coronavirus NL63 (HCoV-NL63), have been associated with acute respiratory tract infections, particularly in young children. This study investigated the frequency of hMPV and HCoV-NL63 infections in Swedish children by screening 221 nasopharyngeal aspirates, collected between November 2003 and May 2005, from 212 children attending the paediatric department of a county hospital in Sweden or submitted from local general practitioners. The samples were originally submitted to be tested for respiratory syncytial virus (RSV), and were examined retrospectively for hMPV and HCoV-NL63 by RT-PCR. Of the 212 patients, 101 were positive for RSV (48%), 22 (10%) were positive for hMPV, and 12 (6%) were positive for HCoV-NL63. The frequency of HCoV-NL63 infection increased from 1% in 2003-2004 to 10% in 2004-2005. Sequence analysis of parts of the coronavirus genomes showed considerable similarity to the HCoV-NL63 prototype sequence. The study demonstrated that HCoV-NL63 and hMPV occur in south-west Sweden with essentially the same frequency, seasonal distribution and clinical characteristics as have been reported in other countries.</t>
  </si>
  <si>
    <t xml:space="preserve">Hosp Halmstad, Dept Clin Microbiol &amp; Infect Control, S-30185 Halmstad, Sweden; Hosp Halmstad, Dept Pediat, S-30185 Halmstad, Sweden; Univ Amsterdam, Acad Med Ctr, Dept Human Retrovirol, NL-1105 AZ Amsterdam, Netherlands</t>
  </si>
  <si>
    <t xml:space="preserve">Koetz, A (corresponding author), Hosp Halmstad, Dept Clin Microbiol &amp; Infect Control, S-30185 Halmstad, Sweden.</t>
  </si>
  <si>
    <t xml:space="preserve">arne.kotz@lthalland.se</t>
  </si>
  <si>
    <t xml:space="preserve">van der Hoek, Lia/Y-6412-2019</t>
  </si>
  <si>
    <t xml:space="preserve">10.1111/j.1469-0691.2006.01506.x</t>
  </si>
  <si>
    <t xml:space="preserve">087WR</t>
  </si>
  <si>
    <t xml:space="preserve">WOS:000240774000006</t>
  </si>
  <si>
    <t xml:space="preserve">Ghazaly, MMH; Abu Faddan, NH; Raafat, DM; Mohammed, NA; Nadel, S</t>
  </si>
  <si>
    <t xml:space="preserve">Ghazaly, Marwa M. H.; Abu Faddan, Nagla H.; Raafat, Duaa M.; Mohammed, Nagwa A.; Nadel, Simon</t>
  </si>
  <si>
    <t xml:space="preserve">Acute viral bronchiolitis as a cause of pediatric acute respiratory distress syndrome</t>
  </si>
  <si>
    <t xml:space="preserve">Bronchiolitis; Children; ARDS; Intensive care; Respiratory syncytial virus; RSV</t>
  </si>
  <si>
    <t xml:space="preserve">SYNCYTIAL VIRUS; HUMAN METAPNEUMOVIRUS; LUNG INJURY; CHILDREN; INFECTIONS; OUTCOMES</t>
  </si>
  <si>
    <t xml:space="preserve">The Pediatric Acute Lung Injury Consensus Conference (PALICC) published pediatric-specific guidelines for the definition, management, and research in pediatric acute respiratory distress syndrome (PARDS). Acute viral bronchiolitis (AVB) remains one of the leading causes of admission to PICU. Respiratory syncytial virus (RSV) is the most common cause of AVB. We aimed to evaluate the incidence of PARDS in AVB and identify the risk of RSV as a trigger pathogen for PARDS. This study is a retrospective single-center observational cohort study including children &lt; 2 years of age admitted to the pediatric intensive care unit at St Mary's Hospital, London, and presented with AVB in 3 years (2016-2018). Clinical and demographic data was collected; PALICC criteria were applied to define PARDS. Data was expressed as median (IQR range); non-parametric tests were used. In this study, 144 infants with acute viral bronchiolitis were admitted to PICU in the study period. Thirty-nine infants fulfilled criteria of PARDS with RSV as the most common virus identified. Bacterial infection was identified as a risk factor for development of PARDS in infants with AVB. Conclusion: AVB is an important cause of PARDS in infants. RSV is associated with a higher risk of PARDS in AVB. Bacterial co-infection is a significant risk factor for development of PARDS in AVB.</t>
  </si>
  <si>
    <t xml:space="preserve">[Ghazaly, Marwa M. H.; Abu Faddan, Nagla H.; Raafat, Duaa M.; Mohammed, Nagwa A.; Nadel, Simon] Assiut Univ, Children Univ Hosp, Dept Pediat, Fac Med, Assiut, Egypt; [Ghazaly, Marwa M. H.; Nadel, Simon] Imperial Coll London Healthcare NHS Trust, St Marys Hosp, Paediat Intens Care Unit, London, England</t>
  </si>
  <si>
    <t xml:space="preserve">Egyptian Knowledge Bank (EKB); Assiut University; Imperial College London</t>
  </si>
  <si>
    <t xml:space="preserve">Nadel, S (corresponding author), Assiut Univ, Children Univ Hosp, Dept Pediat, Fac Med, Assiut, Egypt.;Nadel, S (corresponding author), Imperial Coll London Healthcare NHS Trust, St Marys Hosp, Paediat Intens Care Unit, London, England.</t>
  </si>
  <si>
    <t xml:space="preserve">marwaghazally@med.au.edu.eg; nhi-af@hotmail.com; duaa_raafat@hotmail.com; namma65@yahoo.com; s.nadel@imperial.ac.uk</t>
  </si>
  <si>
    <t xml:space="preserve">Nadel, Sam/KLD-2579-2024</t>
  </si>
  <si>
    <t xml:space="preserve">Nadel, Simon/0000-0001-8122-3078; Ghazaly, Marwa/0000-0002-9907-6229</t>
  </si>
  <si>
    <t xml:space="preserve">Imperial College Healthcare NHS Trust; Egyptian Ministry of Higher Education</t>
  </si>
  <si>
    <t xml:space="preserve">Imperial College Healthcare NHS Trust; Egyptian Ministry of Higher Education(Science and Technology Development Fund (STDF))</t>
  </si>
  <si>
    <t xml:space="preserve">The author(s) disclosed receipt of the following financial support for the research, authorship, and publication of this article: Imperial College Healthcare NHS Trust and the Egyptian Ministry of Higher Education.</t>
  </si>
  <si>
    <t xml:space="preserve">10.1007/s00431-020-03852-9</t>
  </si>
  <si>
    <t xml:space="preserve">QT6MA</t>
  </si>
  <si>
    <t xml:space="preserve">WOS:000587277000001</t>
  </si>
  <si>
    <t xml:space="preserve">Hilmes, MA; Dunnavant, FD; Singh, SP; Ellis, WD; Payne, DC; Zhu, YW; Griffin, MR; Edwards, KM; Williams, JV</t>
  </si>
  <si>
    <t xml:space="preserve">Hilmes, Melissa A.; Dunnavant, F. Daniel; Singh, Sudha P.; Ellis, Wendy D.; Payne, Daniel C.; Zhu, Yuwei; Griffin, Marie R.; Edwards, Kathryn M.; Williams, John V.</t>
  </si>
  <si>
    <t xml:space="preserve">Chest radiographic features of human metapneumovirus infection in pediatric patients</t>
  </si>
  <si>
    <t xml:space="preserve">PEDIATRIC RADIOLOGY</t>
  </si>
  <si>
    <t xml:space="preserve">Bronchiolitis; Chest; Children; Human metapneumovirus; Infection; Lungs; Radiography; Respiratory tract</t>
  </si>
  <si>
    <t xml:space="preserve">RESPIRATORY-SYNCYTIAL-VIRUS; COMMUNITY-ACQUIRED PNEUMONIA; RADIOLOGICAL FINDINGS; TRACT INFECTIONS; INFLUENZA-VIRUS; YOUNG-CHILDREN; DISEASE; BURDEN; HOSPITALIZATIONS; MANAGEMENT</t>
  </si>
  <si>
    <t xml:space="preserve">Human metapneumovirus (HMPV) was identified in 2001 and is a common cause of acute respiratory illness in young children. The radiologic characteristics of laboratory-confirmed HMPV acute respiratory illness in young children have not been systematically assessed. We systematically evaluated the radiographic characteristics of acute respiratory illness associated with HMPV in a prospective cohort of pediatric patients. We included chest radiographs from children &lt; 5 years old with acute respiratory illness who were enrolled in the prospective New Vaccine Surveillance Network (NVSN) study from 2003 to 2009 and were diagnosed with HMPV by reverse transcription-polymerase chain reaction (RT-PCR). Of 215 HMPV-positive subjects enrolled at our tertiary care children's hospital, 68 had chest radiographs obtained by the treating clinician that were available for review. Two fellowship-trained pediatric radiologists, independently and then in consensus, retrospectively evaluated these chest radiographs for their radiographic features. Parahilar opacities were the most commonly observed abnormality, occurring in 87% of children with HMPV. Hyperinflation also occurred frequently (69%). Atelectasis (40%) and consolidation (18%) appeared less frequently. Pleural effusion and pneumothorax were not seen on any radiographs. The clinical presentations of HMPV include bronchiolitis, croup and pneumonia. Dominant chest radiographic abnormalities include parahilar opacities and hyperinflation, with occasional consolidation. Recognition of the imaging patterns seen with common viral illnesses like respiratory syncytial virus (RSV) and HMPV might facilitate diagnosis and limit unnecessary antibiotic treatment.</t>
  </si>
  <si>
    <t xml:space="preserve">[Hilmes, Melissa A.; Dunnavant, F. Daniel; Singh, Sudha P.; Ellis, Wendy D.] Vanderbilt Univ, Sch Med, Dept Radiol, Nashville, TN 37212 USA; [Payne, Daniel C.] Ctr Dis Control &amp; Prevent, Atlanta, GA USA; [Zhu, Yuwei] Vanderbilt Univ, Sch Med, Dept Biostat, Nashville, TN 37212 USA; [Griffin, Marie R.] Vanderbilt Univ, Sch Med, Dept Hlth Policy, Nashville, TN 37212 USA; [Edwards, Kathryn M.] Vanderbilt Univ, Sch Med, Dept Pediat, Nashville, TN 37212 USA; [Williams, John V.] Univ Pittsburgh, Sch Med, Dept Pediat, Pittsburgh, PA 15261 USA; [Williams, John V.] Univ Pittsburgh, UPMC, Childrens Hosp Pittsburgh, 4401 Penn Ave, Pittsburgh, PA 15224 USA</t>
  </si>
  <si>
    <t xml:space="preserve">Vanderbilt University; Centers for Disease Control &amp; Prevention - USA; Vanderbilt University; Vanderbilt University; Vanderbilt University; Pennsylvania Commonwealth System of Higher Education (PCSHE); University of Pittsburgh; Pennsylvania Commonwealth System of Higher Education (PCSHE); University of Pittsburgh</t>
  </si>
  <si>
    <t xml:space="preserve">Williams, JV (corresponding author), Univ Pittsburgh, Sch Med, Dept Pediat, Pittsburgh, PA 15261 USA.;Williams, JV (corresponding author), Univ Pittsburgh, UPMC, Childrens Hosp Pittsburgh, 4401 Penn Ave, Pittsburgh, PA 15224 USA.</t>
  </si>
  <si>
    <t xml:space="preserve">Payne, Daniel C./0000-0002-5871-911X</t>
  </si>
  <si>
    <t xml:space="preserve">Centers for Disease Control and Prevention (CDC) [U38 CCU417958, U01 IP000022]; National Institutes of Health (NIH) [AI-085062]</t>
  </si>
  <si>
    <t xml:space="preserve">This work was supported by grants from the Centers for Disease Control and Prevention (CDC) U38 CCU417958 and U01 IP000022 (K.M.E., M.R.G.) and the National Institutes of Health (NIH) AI-085062 (J.V.W.). The findings and conclusions in this report are those of the authors and do not necessarily represent the official position of the CDC.</t>
  </si>
  <si>
    <t xml:space="preserve">0301-0449</t>
  </si>
  <si>
    <t xml:space="preserve">1432-1998</t>
  </si>
  <si>
    <t xml:space="preserve">PEDIATR RADIOL</t>
  </si>
  <si>
    <t xml:space="preserve">Pediatr. Radiol.</t>
  </si>
  <si>
    <t xml:space="preserve">10.1007/s00247-017-3943-5</t>
  </si>
  <si>
    <t xml:space="preserve">Pediatrics; Radiology, Nuclear Medicine &amp; Medical Imaging</t>
  </si>
  <si>
    <t xml:space="preserve">FN2NV</t>
  </si>
  <si>
    <t xml:space="preserve">WOS:000415831000006</t>
  </si>
  <si>
    <t xml:space="preserve">Cavallaro, EC; Liang, KK; Lawrence, MD; Forsyth, KD; Dixon, DL</t>
  </si>
  <si>
    <t xml:space="preserve">Cavallaro, Elena C.; Liang, Kar-Kate; Lawrence, Mark D.; Forsyth, Kevin D.; Dixon, Dani-Louise</t>
  </si>
  <si>
    <t xml:space="preserve">Neutrophil infiltration and activation in bronchiolitic airways are independent of viral etiology</t>
  </si>
  <si>
    <t xml:space="preserve">bronchiolitis; chemokine; nasopharyngeal aspirate; neutrophil; viral etiology</t>
  </si>
  <si>
    <t xml:space="preserve">RESPIRATORY-SYNCYTIAL-VIRUS; EPITHELIAL-CELLS; HUMAN METAPNEUMOVIRUS; TRACT INFECTION; YOUNG-CHILDREN; INFANTS; ASTHMA; INTERLEUKIN-8; INFLAMMATION; SEVERITY</t>
  </si>
  <si>
    <t xml:space="preserve">BackgroundHospitalization with bronchiolitis is linked to the development of early childhood chronic wheeze and asthma. Viral etiology and severity of inflammation are potential contributing factors. Previously we observed reduced airway neutrophil infiltration in breastfed bronchiolitic infants, with a corresponding reduction in disease severity. This study aimed to examine whether respiratory viral etiology and co-infection alters the pattern of neutrophil influx, and the inflammatory mediator profile, resulting in epithelial damage in bronchiolitis. MethodsNasopharyngeal aspirates (NPAs) collected from hospitalized infants were assessed for viruses, soluble protein, cellular infiltrate, interleukin (IL)-6, -8, and myeloperoxidase (MPO). ResultsNPAs were collected from 228 bronchiolitic and 14 non-bronchiolitic infants. In the bronchiolitic cohort, human rhinovirus was most prevalent (38%), followed by respiratory syncytial virus (36%), adenovirus (10%), and human metapneumovirus (6%), with 25% positive for viral co-infections and 25% negative for all screened viruses. Viral-induced bronchiolitis was associated with increased cellular infiltrate and protein, above control, and virus-negative infants (P&lt;0.05). Cellular infiltrate correlated to IL-6, -8, and MPO (r=0.331, 0.669, and 0.661; P&lt;0.01). Protein, IL-6, -8, and MPO differed significantly between viral groups; however, the majority of marker values for all groups fall within an overlapping, indistinguishable range, precluding their use as biomarkers of viral etiology. No significant difference was found between single and viral co-infections for any parameter. ConclusionBronchiolitic infants presenting with a detectable respiratory virus during hospitalization demonstrated elevated markers of airway tissue inflammation and injury. In this cohort, viral etiology did not discernibly modulate chemokine-mediated neutrophil infiltration and activation. Pediatr Pulmonol. 2017;52:238-246. (c) 2016 Wiley Periodicals, Inc.</t>
  </si>
  <si>
    <t xml:space="preserve">[Cavallaro, Elena C.; Liang, Kar-Kate; Lawrence, Mark D.; Dixon, Dani-Louise] Dept Crit Care Med, Adelaide, SA, Australia; [Forsyth, Kevin D.] Flinders Univ S Australia, Dept Paediat &amp; Child Hlth, Adelaide, SA, Australia; [Dixon, Dani-Louise] Flinders Med Ctr, Intens &amp; Crit Care Unit, Adelaide, SA, Australia</t>
  </si>
  <si>
    <t xml:space="preserve">Flinders University South Australia; Flinders Medical Centre</t>
  </si>
  <si>
    <t xml:space="preserve">Cavallaro, EC (corresponding author), Flinders Univ S Australia, Dept Crit Care Med, Bedford Pk, SA 5042, Australia.</t>
  </si>
  <si>
    <t xml:space="preserve">elena.cavallaro@flinders.edu.au</t>
  </si>
  <si>
    <t xml:space="preserve">Cavallaro, Elena/0000-0001-5739-7406; Forsyth, Kevin/0000-0002-2748-0353; Dixon, Dani-Louise/0000-0001-6459-1856</t>
  </si>
  <si>
    <t xml:space="preserve">Financial Markets Fund for Children; Channel 7 Children's Research Foundation</t>
  </si>
  <si>
    <t xml:space="preserve">Financial Markets Fund for Children; Channel 7 Children's Research Foundation.</t>
  </si>
  <si>
    <t xml:space="preserve">10.1002/ppul.23514</t>
  </si>
  <si>
    <t xml:space="preserve">EL6FW</t>
  </si>
  <si>
    <t xml:space="preserve">WOS:000394716800016</t>
  </si>
  <si>
    <t xml:space="preserve">Nenna, R; Evangelisti, M; Frassanito, A; Scagnolari, C; Pierangeli, A; Antonelli, G; Nicolai, A; Arima, S; Moretti, C; Papoff, P; Villa, MP; Midulla, F</t>
  </si>
  <si>
    <t xml:space="preserve">Nenna, Raffaella; Evangelisti, Melania; Frassanito, Antonella; Scagnolari, Carolina; Pierangeli, Alessandra; Antonelli, Guido; Nicolai, Ambra; Arima, Serena; Moretti, Corrado; Papoff, Paola; Villa, Maria Pia; Midulla, Fabio</t>
  </si>
  <si>
    <t xml:space="preserve">Respiratory syncytial virus bronchiolitis, weather conditions and air pollution in an Italian urban area: An observational study</t>
  </si>
  <si>
    <t xml:space="preserve">ENVIRONMENTAL RESEARCH</t>
  </si>
  <si>
    <t xml:space="preserve">Bronchiolitis; Air pollution; Infants; Respiratory syncytial virus; Meteorological data</t>
  </si>
  <si>
    <t xml:space="preserve">METEOROLOGICAL FACTORS; OXIDATIVE STRESS; TRACT INFECTIONS; CASE-CROSSOVER; CHILDREN; HEALTH; SEVERITY; ETIOLOGY; BENZENE; SEASONS</t>
  </si>
  <si>
    <t xml:space="preserve">Background: In this study we sought to evaluate the association between viral bronchiolitis, weather conditions, and air pollution in an urban area in Italy. Methods: We included infants hospitalized for acute bronchiolitis from 2004 to 2014. All infants underwent a nasal washing for virus detection. A regional agency network collected meteorological data (mean temperature, relative humidity and wind velocity) and the following air pollutants: sulfur dioxide, nitrogen oxide, carbon monoxide, ozone, benzene and suspended particulate matter measuring less than 10 mu m (PM10) and less than 2.5 mu m (PM2.5) in aerodynamic diameter. We obtained mean weekly concentration data for the day of admission, from the urban background monitoring sites nearest to each child's home address. Overdispersed Poisson regression model was fitted and adjusted for seasonality of the respiratory syncytial virus (RSV) infection, to evaluate the impact of individual characteristics and environmental factors on the probability of a being positive RSV. Results: Of the 723 nasal washings from the infants enrolled, 266 (68%) contained RSV, 63 (16.1%) rhinovirus, 26 (6.6%) human bocavirus, 20 (5.1%) human metapneumovirus, and 16 (2.2%) other viruses. The number of RSV-positive infants correlated negatively with temperature (p &lt; 0.001), and positively with relative humidity (p &lt; 0.001). Air pollutant concentrations differed significantly during the peak RSV months and the other months. Benzene concentration was independently associated with RSV incidence (p = 0.0124). Conclusions: Seasonal weather conditions and concentration of air pollutants seem to influence RSV-related bronchiolitis epidemics in an Italian urban area.</t>
  </si>
  <si>
    <t xml:space="preserve">[Nenna, Raffaella; Frassanito, Antonella; Nicolai, Ambra; Moretti, Corrado; Papoff, Paola; Midulla, Fabio] Sapienza Univ, Dept Pediat &amp; Infantile Neuropsychiat, Rome, Italy; [Evangelisti, Melania; Villa, Maria Pia] Sapienza Univ Rome, S Andrea Hosp, Pediat Sleep Dis Ctr, Child Neurol,NESMOS Dept, Rome, Italy; [Scagnolari, Carolina; Pierangeli, Alessandra; Antonelli, Guido] Sapienza Univ, Dept Pediat &amp; Virol Lab, Dept Mol Med, Rome, Italy; [Arima, Serena] Sapienza Univ, Dept Methods &amp; Models Econ Terr &amp; Finance, Rome, Italy</t>
  </si>
  <si>
    <t xml:space="preserve">Sapienza University Rome; Sapienza University Rome; Azienda Ospedaliera Sant'Andrea; Sapienza University Rome; Sapienza University Rome</t>
  </si>
  <si>
    <t xml:space="preserve">Midulla, F (corresponding author), Sapienza Univ Rome, Pediat Dept, Viale Regina Elena 324, I-00161 Rome, Italy.</t>
  </si>
  <si>
    <t xml:space="preserve">Antonelli, Guido/K-7915-2016; Midulla, Fabio/AAL-4391-2020; Pierangeli, Alessandra/A-6368-2008; Nicolai, Ambra/AAD-6243-2020; SCAGNOLARI, CAROLINA/G-3837-2011</t>
  </si>
  <si>
    <t xml:space="preserve">Moretti, Corrado/0000-0003-2005-7437; Midulla, Fabio/0000-0001-7476-5266; ANTONELLI, Guido/0000-0002-2533-2939; Nenna, Raffaella/0000-0001-8880-3462; Nicolai, Ambra/0000-0002-8583-9088; SCAGNOLARI, CAROLINA/0000-0003-1044-1478</t>
  </si>
  <si>
    <t xml:space="preserve">0013-9351</t>
  </si>
  <si>
    <t xml:space="preserve">1096-0953</t>
  </si>
  <si>
    <t xml:space="preserve">ENVIRON RES</t>
  </si>
  <si>
    <t xml:space="preserve">Environ. Res.</t>
  </si>
  <si>
    <t xml:space="preserve">10.1016/j.envres.2017.06.014</t>
  </si>
  <si>
    <t xml:space="preserve">FE4LF</t>
  </si>
  <si>
    <t xml:space="preserve">WOS:000408184700021</t>
  </si>
  <si>
    <t xml:space="preserve">Kumar, D; Erdman, D; Keshavjee, S; Peret, T; Tellier, R; Hadjiliadis, D; Johnson, G; Ayers, M; Siegal, D; Humar, A</t>
  </si>
  <si>
    <t xml:space="preserve">Clinical impact of community-acquired respiratory viruses on bronchiolitis obliterans after lung transplant</t>
  </si>
  <si>
    <t xml:space="preserve">bronchiolitis obliterans; lung transplant; respiratory virus</t>
  </si>
  <si>
    <t xml:space="preserve">Community-acquired viral respiratory tract infections (RTI) in lung transplant recipients may have a high rate of progression to pneumonia and can be a trigger for immunologically mediated detrimental effects on lung function. A cohort of 100 patients was enrolled from 2001 to 2003 in which 50 patients had clinically diagnosed viral RTI and 50 were asymptomatic. All patients had nasopharyngeal and throat swabs taken for respiratory virus antigen detection, culture and RT-PCR. All patients had pulmonary function tests at regular intervals for 12 months. Rates of rejection, decline in forced expiratory volume (L) in 1 s (FEV-1) and bacterial and fungal superinfection were compared at the 3-month primary endpoint. In the 50 patients with RTI, a microbial etiology was identified in 33 of 50 (66%) and included rhinovirus (9), coronavirus (8), RSV (6), influenza A (5), parainfluenza (4) and human metapneumovirus (1). During the 3-month primary endpoint, 8 of 50 (16%) RTI patients had acute rejection versus 0 of 50 non-RTI patients (p = 0.006). The number of patients experiencing a 20% or more decline in FEV-1 by 3 months was 9 of 50 (18%) RTI versus 0 of 50 non-RTI (0%) (p = 0.003). In six of these nine patients, the decline in FEV-1 was sustained over a 1-year period consistent with bronchiolitis obliterans syndrome (BOS). Community-acquired respiratory viruses may be associated with the development of acute rejection and BOS.</t>
  </si>
  <si>
    <t xml:space="preserve">Univ Toronto, Toronto, ON, Canada; Ctr Dis Control &amp; Prevent, Resp &amp; Enter Viruses Branch, Atlanta, GA USA; Hosp Sick Children, Div Microbiol, Toronto, ON M5G 1X8, Canada; Hosp Sick Children, Metab Res Program, Toronto, ON M5G 1X8, Canada</t>
  </si>
  <si>
    <t xml:space="preserve">University of Toronto; Centers for Disease Control &amp; Prevention - USA; University of Toronto; Hospital for Sick Children (SickKids); University of Toronto; Hospital for Sick Children (SickKids)</t>
  </si>
  <si>
    <t xml:space="preserve">Kumar, D (corresponding author), Univ Toronto, 100 Coll St, Toronto, ON, Canada.</t>
  </si>
  <si>
    <t xml:space="preserve">deepali.kumar@uhn.on.ca</t>
  </si>
  <si>
    <t xml:space="preserve">Keshavjee, Shaf/0000-0003-4547-8094; Siegal, Deborah/0000-0003-3806-3245</t>
  </si>
  <si>
    <t xml:space="preserve">10.1111/j.1600-6143.2005.00971.x</t>
  </si>
  <si>
    <t xml:space="preserve">942OK</t>
  </si>
  <si>
    <t xml:space="preserve">WOS:000230291500035</t>
  </si>
  <si>
    <t xml:space="preserve">Garcia, B; Sharma, N; Johnson, K; Salgado, J; Wille, K</t>
  </si>
  <si>
    <t xml:space="preserve">Garcia, Bryan; Sharma, Nirmal; Johnson, Kevin; Salgado, Juan; Wille, Keith</t>
  </si>
  <si>
    <t xml:space="preserve">Clinical Outcomes of Paramyxovirus Infections in Lung Transplant Recipients Treated With Oral Ribavirin: A Two-Center Case Series</t>
  </si>
  <si>
    <t xml:space="preserve">EXPERIMENTAL AND CLINICAL TRANSPLANTATION</t>
  </si>
  <si>
    <t xml:space="preserve">Bronchiolitis obliterans syndrome; Pulmonary function testing; Respiratory syncytial virus</t>
  </si>
  <si>
    <t xml:space="preserve">RESPIRATORY SYNCYTIAL VIRUS; POLYMERASE-CHAIN-REACTION; HUMAN METAPNEUMOVIRUS; DIAGNOSIS; ILLNESSES; EFFICACY; THERAPY; RISK</t>
  </si>
  <si>
    <t xml:space="preserve">Objectives: Paramyxoviruses contribute to morbidity and mortality after lung transplant and are associated with bronchiolitis obliterans syndrome. Oral ribavirin has been used off-label for treatment of paramyxoviruses in immunosuppressed patients; however, data supporting its use for this purpose are lacking. Materials and Methods: We conducted a retrospective review to evaluate clinical outcomes of lung transplant recipients infected with paramyxoviruses and received treatment with oral ribavirin at 2 tertiary referral centers. Patients who were diagnosed with paramyxovirus infection by polymerase chain reaction testing between January 2011 and December 2014 and who received oral ribavirin were included. Clinical outcomes included pulmonary function testing, infection severity, and adverse events related to treatment. Results: Twenty-six patients were diagnosed with a paramyxovirus and received oral ribavirin. The changes in mean forced expiratory volume 1 second from preinfection to infection onset and from infection onset to postinfection were significant (1.79 +/- 0.13 to 1.61 +/- 0.12 Land 1.61 +/- 0.12L to 1.74 +/- 0.12 L;P= .0001). Similar results were seen in subgroup analysis when respiratory syncytial virus and parainfluenza infections were evaluated independently. Conclusions: Use of oral ribavirin for treatment of paramyxovirus infections in lung transplant recipients was safe and associated with recovery of lung function.</t>
  </si>
  <si>
    <t xml:space="preserve">[Garcia, Bryan; Sharma, Nirmal; Wille, Keith] Univ Alabama Birmingham, Div Pulm Allergy &amp; Crit Care Med, 1900 Univ Blvd,THT 422, Birmingham, AL 35294 USA; [Johnson, Kevin] Univ Florida, Div Pulm &amp; Crit Care, Gainesville, FL USA; [Salgado, Juan] Indiana Univ, Div Pulm &amp; Crit Care, Indianapolis, IN 46204 USA</t>
  </si>
  <si>
    <t xml:space="preserve">University of Alabama System; University of Alabama Birmingham; State University System of Florida; University of Florida; Indiana University System; Indiana University Indianapolis</t>
  </si>
  <si>
    <t xml:space="preserve">Garcia, B (corresponding author), Univ Alabama Birmingham, Div Pulm Allergy &amp; Crit Care Med, 1900 Univ Blvd,THT 422, Birmingham, AL 35294 USA.</t>
  </si>
  <si>
    <t xml:space="preserve">bgarcia@uabinc.edu</t>
  </si>
  <si>
    <t xml:space="preserve">Garcia, Bryan/0000-0003-4549-8036</t>
  </si>
  <si>
    <t xml:space="preserve">BASKENT UNIV</t>
  </si>
  <si>
    <t xml:space="preserve">TASKENT CADDESI NO 77, KAT 4, BAHCELIEVLER, ANKARA, 06490, TURKEY</t>
  </si>
  <si>
    <t xml:space="preserve">1304-0855</t>
  </si>
  <si>
    <t xml:space="preserve">EXP CLIN TRANSPLANT</t>
  </si>
  <si>
    <t xml:space="preserve">Exp. Clin. Transplant.</t>
  </si>
  <si>
    <t xml:space="preserve">10.6002/ect.2017.0133</t>
  </si>
  <si>
    <t xml:space="preserve">JZ1SE</t>
  </si>
  <si>
    <t xml:space="preserve">WOS:000504883700016</t>
  </si>
  <si>
    <t xml:space="preserve">Bazemore, K; Permpalung, N; Mathew, J; Lemma, M; Haile, B; Avery, R; Kong, H; Jang, MK; Andargie, T; Gopinath, S; Nathan, SD; Aryal, S; Orens, J; Valantine, H; Agbor-Enoh, S; Shah, P</t>
  </si>
  <si>
    <t xml:space="preserve">Bazemore, Katrina; Permpalung, Nitipong; Mathew, Joby; Lemma, Merte; Haile, Betelihim; Avery, Robin; Kong, Hyesik; Jang, Moon Kyoo; Andargie, Temesgen; Gopinath, Shilpa; Nathan, Steven D.; Aryal, Shambhu; Orens, Jonathan; Valantine, Hannah; Agbor-Enoh, Sean; Shah, Pali</t>
  </si>
  <si>
    <t xml:space="preserve">Elevated cell-free DNA in respiratory viral infection and associated lung allograft dysfunction</t>
  </si>
  <si>
    <t xml:space="preserve">bronchiolitis obliterans (BOS); clinical research; practice; infection and infectious agents-viral; infectious disease; lung (allograft) function; dysfunction; lung transplantation; pulmonology; molecular biology; DNA; translational research; science</t>
  </si>
  <si>
    <t xml:space="preserve">BRONCHIOLITIS OBLITERANS SYNDROME; ANTIBODY-MEDIATED REJECTION; TRANSPLANT RECIPIENTS; HUMAN METAPNEUMOVIRUS; VIRUS-INFECTION; RISK; INJURY; RHINOVIRUS; BIOPSY; MARKER</t>
  </si>
  <si>
    <t xml:space="preserve">Respiratory viral infection (RVI) in lung transplant recipients (LTRs) is a risk for chronic lung allograft dysfunction (CLAD). We hypothesize that donor-derived cell-free DNA (%ddcfDNA), at the time of RVI predicts CLAD progression. We followed 39 LTRs with RVI enrolled in the Genomic Research Alliance for Transplantation for 1 year. Plasma %ddcfDNA was measured by shotgun sequencing, with high %ddcfDNA as &gt;= 1% within 7 days of RVI. We examined %ddcfDNA, spirometry, and a composite (progression/failure) of CLAD stage progression, re-transplant, and death from respiratory failure. Fifty-nine RVI episodes, 38 low and 21 high %ddcfDNA were analyzed. High %ddcfDNA subjects had a greater median %FEV1 decline at RVI (-13.83 vs. -1.83, p = .007), day 90 (-7.97 vs. 0.91, p = .04), and 365 (-20.05 vs. 1.09, p = .047), compared to those with low %ddcfDNA and experienced greater progression/failure within 365 days (52.4% vs. 21.6%, p = .01). Elevated %ddcfDNA at RVI was associated with an increased risk of progression/failure adjusting for symptoms and days post-transplant (HR = 1.11, p = .04). No difference in %FEV1 decline was seen at any time point when RVIs were grouped by histopathology result at RVI. %ddcfDNA delineates LTRs with RVI who will recover lung function and who will experience sustained decline, a utility not seen with histopathology.</t>
  </si>
  <si>
    <t xml:space="preserve">[Bazemore, Katrina; Mathew, Joby; Orens, Jonathan; Agbor-Enoh, Sean; Shah, Pali] Johns Hopkins Univ, Sch Med, Dept Med, Div Pulm &amp; Crit Care, Baltimore, MD 21205 USA; [Permpalung, Nitipong; Avery, Robin] Johns Hopkins Univ, Sch Med, Dept Med, Div Infect Dis, Baltimore, MD 21205 USA; [Permpalung, Nitipong] Chulalongkorn Univ, Fac Med, Dept Microbiol, Div Mycol, Bangkok, Thailand; [Lemma, Merte; Nathan, Steven D.; Aryal, Shambhu] Inova Fairfax Hosp, Inova Heart &amp; Vasc Inst, Adv Lung Dis &amp; Transplant Program, Falls Church, VA USA; [Haile, Betelihim] Washington &amp; Lee Univ, Lexington, VA 24450 USA; [Kong, Hyesik; Jang, Moon Kyoo; Andargie, Temesgen; Valantine, Hannah; Agbor-Enoh, Sean] NHLBI, Lab Appl Precis Omics, NIH, Bldg 10, Bethesda, MD 20892 USA; [Kong, Hyesik; Jang, Moon Kyoo; Nathan, Steven D.; Orens, Jonathan; Valantine, Hannah; Agbor-Enoh, Sean; Shah, Pali] Genom Res Alliance Transplantat GRAfT, Bethesda, MD USA; [Gopinath, Shilpa] Johns Hopkins Univ, Sch Med, Div Transplant Oncol Infect Dis, Baltimore, MD USA</t>
  </si>
  <si>
    <t xml:space="preserve">Johns Hopkins University; Johns Hopkins University; Chulalongkorn University; Inova Fairfax Hospital; Washington &amp; Lee University; National Institutes of Health (NIH) - USA; NIH National Heart Lung &amp; Blood Institute (NHLBI); Johns Hopkins University</t>
  </si>
  <si>
    <t xml:space="preserve">Shah, P (corresponding author), Johns Hopkins Univ, Sch Med, Dept Med, Lung Transplantat Program,Div Pulm &amp; Crit Care, 1830 East Monument St, Baltimore, MD 21205 USA.;Agbor-Enoh, S (corresponding author), Lab Appl Precis Omics, 10 Ctr Dr 7D05, Bethesda, MD 20892 USA.</t>
  </si>
  <si>
    <t xml:space="preserve">sean.agbor-enoh@nih.gov; pdedhiy2@jhmi.edu</t>
  </si>
  <si>
    <t xml:space="preserve">Aryal, Shambhu/AAM-5534-2021; Gopinath, Shilpa/HJP-4697-2023; Permpalung, Nitipong/R-3686-2018</t>
  </si>
  <si>
    <t xml:space="preserve">Bazemore, Katrina/0000-0002-2006-623X; Permpalung, Nitipong/0000-0002-0749-7342; Jang, Moon Kyoo/0000-0002-1657-2877</t>
  </si>
  <si>
    <t xml:space="preserve">National Heart, Lung, and Blood Institute [HHSN268201800082P]</t>
  </si>
  <si>
    <t xml:space="preserve">National Heart, Lung, and Blood Institute(United States Department of Health &amp; Human ServicesNational Institutes of Health (NIH) - USANIH National Heart Lung &amp; Blood Institute (NHLBI))</t>
  </si>
  <si>
    <t xml:space="preserve">This manuscript was funded by the National Heart, Lung, and Blood Institute, award HHSN268201800082P (J.O., S.D.N., S.A-E., P.S.).</t>
  </si>
  <si>
    <t xml:space="preserve">10.1111/ajt.17125</t>
  </si>
  <si>
    <t xml:space="preserve">5Z2NN</t>
  </si>
  <si>
    <t xml:space="preserve">WOS:000836285300001</t>
  </si>
  <si>
    <t xml:space="preserve">Park, YE; Sung, H; Oh, YM</t>
  </si>
  <si>
    <t xml:space="preserve">Park, Yea Eun; Sung, Heungsup; Oh, Yeon-Mok</t>
  </si>
  <si>
    <t xml:space="preserve">Respiratory Viruses in Acute Exacerbations of Bronchiectasis</t>
  </si>
  <si>
    <t xml:space="preserve">Bronchiectasis; Acute Exacerbation; Respiratory Viruses</t>
  </si>
  <si>
    <t xml:space="preserve">SYNCYTIAL VIRUS; SEASONALITY; INFECTION; SEVERITY</t>
  </si>
  <si>
    <t xml:space="preserve">Background: Bacterial infections are well known factors underlying acute exacerbations in bronchiectasis. However, viral infections may also contribute to acute exacerbations. We aimed to assess the rate of viral detection in acute exacerbations of bronchiectasis, and the associated clinical factors. Methods: Diagnostic tests for viral and bacterial etiologies were performed in 792 patients with bronchiectasis who visited the emergency room or the respiratory care inpatient unit in a tertiary referral center in South Korea. All patients were diagnosed with bronchiectasis by chest computerized tomography and were prescribed antibiotics for a minimum of 3 days. Results: Viral pathogens were detected in 202 of the 792 enrolled patients (25.5%). The most common viral pathogen isolated was influenza A virus (24.8%), followed by rhinovirus (22.4%), influenza B virus (9.8%), respiratory syncytial virus B (8.9%), and human metapneumovirus (6.1%). In 145 patients, a viral, but not bacterial, pathogen was detected, whereas no pathogens were found in 443 patients with exacerbations. Multivariable analysis revealed that female sex and chronic heart disease as a comorbidity were positively associated with viral detection in acute exacerbations of patients with bronchiectasis, whereas the presence of radiographic infiltration was negatively associated. Conclusion: Respiratory viruses were identified in approximately 25% of the acute exacerbations observed among patients with bronchiectasis. Of the viruses detected, influenza viruses and rhinovirus made up over 50%. More attention to viruses as possible causative pathogens for acute deteriorating symptoms in patients with bronchiectasis is warranted.</t>
  </si>
  <si>
    <t xml:space="preserve">[Park, Yea Eun; Oh, Yeon-Mok] Univ Ulsan, Asan Med Ctr, Dept Pulm &amp; Crit Care Med, Coll Med, 88 Olymp Ro 43 Gil, Seoul 05505, South Korea; [Sung, Heungsup] Univ Ulsan, Asan Med Ctr, Dept Lab Med, Coll Med, Seoul, South Korea</t>
  </si>
  <si>
    <t xml:space="preserve">University of Ulsan; University of Ulsan; Asan Medical Center</t>
  </si>
  <si>
    <t xml:space="preserve">Oh, YM (corresponding author), Univ Ulsan, Asan Med Ctr, Dept Pulm &amp; Crit Care Med, Coll Med, 88 Olymp Ro 43 Gil, Seoul 05505, South Korea.</t>
  </si>
  <si>
    <t xml:space="preserve">yeonmok.oh@mail.com</t>
  </si>
  <si>
    <t xml:space="preserve">Sung, Heungsup/0000-0002-6062-4451; Oh, Yeon-Mok/0000-0003-0116-4683; Park, Yea Eun/0000-0003-1983-0277</t>
  </si>
  <si>
    <t xml:space="preserve">e217</t>
  </si>
  <si>
    <t xml:space="preserve">10.3346/jkms.2021.36.e217</t>
  </si>
  <si>
    <t xml:space="preserve">UL3UO</t>
  </si>
  <si>
    <t xml:space="preserve">WOS:000692580400002</t>
  </si>
  <si>
    <t xml:space="preserve">Karimata, Y; Kinjo, T; Parrott, G; Uehara, A; Nabeya, D; Haranaga, S; Higa, F; Tateyama, M; Miyagawa, K; Kishaba, T; Otani, K; Okamoto, M; Nishimura, H; Fujita, J</t>
  </si>
  <si>
    <t xml:space="preserve">Karimata, Yosuke; Kinjo, Takeshi; Parrott, Gretchen; Uehara, Ayako; Nabeya, Daijiro; Haranaga, Shusaku; Higa, Futoshi; Tateyama, Masao; Miyagawa, Keiko; Kishaba, Tomoo; Otani, Kanako; Okamoto, Michiko; Nishimura, Hidekazu; Fujita, Jiro</t>
  </si>
  <si>
    <t xml:space="preserve">Clinical Features of Human Metapneumovirus Pneumonia in Non-Immunocompromised Patients: An Investigation of Three Long-Term Care Facility Outbreaks</t>
  </si>
  <si>
    <t xml:space="preserve">bronchial wall thickenings; human metapneumovirus; long-term care facility; outbreak; pneumonia</t>
  </si>
  <si>
    <t xml:space="preserve">RESPIRATORY-TRACT INFECTION; CHILDREN; DISEASE; ADULTS; RHABDOMYOLYSIS; INPATIENTS; JAPAN; YOUNG</t>
  </si>
  <si>
    <t xml:space="preserve">Background. Several studies have reported outbreaks due to human metapneumovirus (hMPV) in long-term care facilities (LTCF) for the elderly. However, most of these reports are epidemiological studies and do not investigate the clinical features of hMPV pneumonia. Methods. Three independent outbreaks of hMPV occurred at separate LTCF for intellectually challenged and elderly residents. A retrospective evaluation of hMPV pneumonia and its clinical and radiological features was conducted using available medical records and data. Results. In 105 hMPV infections, 49% of patients developed pneumonia. The median age of pneumonia cases was significantly higher than non-pneumonia cases (P &lt; .001). Clinical manifestations of hMPV pneumonia included high fever, wheezing in 43%, and respiratory failure in 31% of patients. An elevated number of white blood cells as well as increased levels of C-reactive protein, creatine phosphokinase, and both aspartate and alanine transaminases was also observed among pneumonia cases. Evaluation of chest imaging revealed proximal bronchial wall thickenings radiating outward from the hilum in most patients. Conclusions. The aforementioned characteristics should be considered as representative of hMPV pneumonia. Patients presenting with these features should have laboratory testing performed for prompt diagnosis.</t>
  </si>
  <si>
    <t xml:space="preserve">[Karimata, Yosuke; Kinjo, Takeshi; Parrott, Gretchen; Uehara, Ayako; Nabeya, Daijiro; Haranaga, Shusaku; Higa, Futoshi; Tateyama, Masao; Fujita, Jiro] Univ Ryukyus, Grad Sch Med, Dept Infect Dis Resp &amp; Digest Med, Okinawa, Japan; [Miyagawa, Keiko] Okinawa Prefectural Govt, Dept Gen Affairs, Personnel Hlth Management Ctr, Okinawa, Japan; [Kishaba, Tomoo] Okinawa Chubu Hosp, Dept Resp Med, Okinawa, Japan; [Otani, Kanako; Nishimura, Hidekazu] Natl Hosp Org, Sendai Med Ctr, Virus Res Ctr, Sendai, Miyagi, Japan; [Otani, Kanako; Okamoto, Michiko] Tohoku Univ, Grad Sch Med, Dept Virol, Sendai, Miyagi, Japan; [Higa, Futoshi] Natl Hosp Org Okinawa Hosp, 3-20-14 Ganeko, Ginowan, Okinawa 9012214, Japan</t>
  </si>
  <si>
    <t xml:space="preserve">University of the Ryukyus; Okinawa Chubu Central Hospital; Tohoku University</t>
  </si>
  <si>
    <t xml:space="preserve">Kinjo, T (corresponding author), 207 Uehara, Nishihara, Okinawa 9030215, Japan.</t>
  </si>
  <si>
    <t xml:space="preserve">t_kinjo@med.u-ryukyu.ac.jp</t>
  </si>
  <si>
    <t xml:space="preserve">Otani, Kanako/0000-0001-9964-8146</t>
  </si>
  <si>
    <t xml:space="preserve">Okinawa Prefectural Government</t>
  </si>
  <si>
    <t xml:space="preserve">This work was funded by a research grant from Okinawa Prefectural Government.</t>
  </si>
  <si>
    <t xml:space="preserve">10.1093/infdis/jiy261</t>
  </si>
  <si>
    <t xml:space="preserve">GQ6DK</t>
  </si>
  <si>
    <t xml:space="preserve">WOS:000441792600004</t>
  </si>
  <si>
    <t xml:space="preserve">Zaits, M; Morita, S</t>
  </si>
  <si>
    <t xml:space="preserve">Zaits, Masafumi; Morita, Shun</t>
  </si>
  <si>
    <t xml:space="preserve">Infants Hospitalized with Lower Respiratory Tract Infections Were More Likely to Develop Asthma</t>
  </si>
  <si>
    <t xml:space="preserve">ADVANCES IN RESPIRATORY MEDICINE</t>
  </si>
  <si>
    <t xml:space="preserve">bronchial asthma; infant; lower respiratory tract infection; wheezing</t>
  </si>
  <si>
    <t xml:space="preserve">SYNCYTIAL VIRUS; EARLY-LIFE; ALLERGIC SENSITIZATION; HUMAN METAPNEUMOVIRUS; RSV BRONCHIOLITIS; CHILDHOOD ASTHMA; RISK; WHEEZE</t>
  </si>
  <si>
    <t xml:space="preserve">Introduction: Lower respiratory tract infections (LRTIs) have been reported to possibly initiate the development of asthma in children. However, the role of LRTIs in infantile asthma remains controversial. The goal of this study is to investigate whether LRTIs in hospitalized infants are involved in the development of asthma. Materials and Methods: The subjects were 251 infants under 2 years of age who were admitted to our hospital with an RTI (59 cases of upper RTI (URTIs) with upper respiratory tract inflammation and pharyngeal tonsillitis; 192 cases of LRTIs with bronchitis, pneumonia, and bronchiolitis). Pathogens of viral infections were examined at admission using viral antigen test kits that could be used in ordinary clinical practice in Japan. When the children reached the age of 3 years, a survey was conducted by mailing a questionnaire to determine the symptoms, diagnosis, and treatment of asthma. Results: The mailed questionnaires were returned by 116 of the 251 subjects. On the questionnaire, the diagnosis of asthma and treatment for asthma were significantly higher in hospitalized infants with LRTIs than in those with URTIs. By diagnosis of LRTIs, infants with pneumonia and bronchiolitis were significantly more likely to develop asthma. However, on pathogen-specific examination, there was no difference in the development of asthma among infants with LRTIs. Conclusion: LRTI in infancy may be involved in the development of asthma. The severity of LRTI in hospitalized infants, but not the particular viral pathogen causing infection, may be associated with later asthma onset.</t>
  </si>
  <si>
    <t xml:space="preserve">[Zaits, Masafumi; Morita, Shun] Natl Hosp Org Ureshino Med Ctr, 4279-3 Shimojuku Kou, Ureshino 8430393, Japan</t>
  </si>
  <si>
    <t xml:space="preserve">Zaits, M (corresponding author), Natl Hosp Org Ureshino Med Ctr, 4279-3 Shimojuku Kou, Ureshino 8430393, Japan.</t>
  </si>
  <si>
    <t xml:space="preserve">zaitsu.masafumi.hr@mail.hosp.go.jp</t>
  </si>
  <si>
    <t xml:space="preserve">Zaitsu, Masafumi/0000-0003-2326-954X</t>
  </si>
  <si>
    <t xml:space="preserve">2451-4934</t>
  </si>
  <si>
    <t xml:space="preserve">2543-6031</t>
  </si>
  <si>
    <t xml:space="preserve">ADV RESPIR MED</t>
  </si>
  <si>
    <t xml:space="preserve">Adv. Respir. Med.</t>
  </si>
  <si>
    <t xml:space="preserve">10.3390/arm90040034</t>
  </si>
  <si>
    <t xml:space="preserve">4N5ZO</t>
  </si>
  <si>
    <t xml:space="preserve">WOS:000854098500001</t>
  </si>
  <si>
    <t xml:space="preserve">Korematsu, S; Fujisawa, T; Saito, N; Tezuka, J; Miura, K; Kobayashi, I; Miyata, I; Kosugi, Y; Gohda, Y; Koike, Y; Suda, A; Matsuo, A; Sasaki, M; Handa, Y; Fujiwara, M; Ono, A; Koizumi, S; Oishi, T; Tanaka, T; Ando, Y; Taba, N; Tsurinaga, Y; Sato, T; Kanai, R; Yashiro, M; Takagi, T; Hida, S; Harazaki, M; Hoshina, T; Okada, S; Yasutomi, M; Nakata, S; Muto, A; Tanabe, S; Ueda, Y; Hasegawa, S; Kameda, M; Tanaka-Taya, K; Fujimoto, T; Okada, K</t>
  </si>
  <si>
    <t xml:space="preserve">Korematsu, Seigo; Fujisawa, Takao; Saito, Naruo; Tezuka, Junichiro; Miura, Katsushi; Kobayashi, Ichiro; Miyata, Ippei; Kosugi, Yujiro; Gohda, Yuji; Koike, Yumi; Suda, Ami; Matsuo, Akiko; Sasaki, Michiyo; Handa, Yousuke; Fujiwara, Michimasa; Ono, Atsushi; Koizumi, Shinya; Oishi, Taku; Tanaka, Takayuki; Ando, Yusuke; Taba, Naohiko; Tsurinaga, Yuki; Sato, Takeshi; Kanai, Rei; Yashiro, Masato; Takagi, Toshiyuki; Hida, Shinya; Harazaki, Masashi; Hoshina, Takayuki; Okada, Seigo; Yasutomi, Motoko; Nakata, Setsuko; Muto, Ayako; Tanabe, Saori; Ueda, Yutaka; Hasegawa, Shunji; Kameda, Makoto; Tanaka-Taya, Keiko; Fujimoto, Tsuguto; Okada, Kenji</t>
  </si>
  <si>
    <t xml:space="preserve">Suppressed pediatric asthma hospitalizations during the COVID-19 pandemic in Japan, from a national survey</t>
  </si>
  <si>
    <t xml:space="preserve">CLINICAL AND TRANSLATIONAL ALLERGY</t>
  </si>
  <si>
    <t xml:space="preserve">bronchial asthma; COVID-19; enterovirus D68; national survey; pediatrics</t>
  </si>
  <si>
    <t xml:space="preserve">BackgroundAcute asthma exacerbation in children is often caused by respiratory infections. In this study, a coordinated national surveillance system for acute asthma hospitalizations and causative respiratory infections was established. We herein report recent trends in pediatric acute asthma hospitalizations since the COVID-19 pandemic in Japan.MethodsThirty-three sentinel hospitals in Japan registered all of their hospitalized pediatric asthma patients and their causal pathogens. The changes in acute asthma hospitalization in children before and after the onset of the COVID-19 pandemic and whether or not COVID-19 caused acute asthma exacerbation were investigated.ResultsFrom fiscal years 2010-2019, the median number of acute asthma hospitalizations per year was 3524 (2462-4570), but in fiscal years 2020, 2021, and 2022, the numbers were 820, 1,001, and 1,026, respectively (the fiscal year in Japan is April to March). This decrease was observed in all age groups with the exception of the 3- to 6-year group. SARS-CoV-2 was evaluated in 2094 patients from fiscal years 2020-2022, but the first positive case was not detected until February 2022. Since then, only 36 of them have been identified with SARS-CoV-2, none of which required mechanical ventilation. Influenza, RS virus, and human metapneumovirus infections also decreased in FY 2020. In contrast, 24% of patients had not been receiving long-term control medications before admission despite the severity of bronchial asthma.ConclusionSARS-CoV-2 was hardly detected in children with acute asthma hospitalization during the COVID-19 pandemic. This result indicated that SARS-CoV-2 did not induce acute asthma exacerbation in children. Rather, infection control measures implemented against the pandemic may have consequently reduced other respiratory virus infections and thus acute asthma hospitalizations during this period. However, the fact that many hospitalized patients have not been receiving appropriate long-term control medications is a major problem that should be addressed.</t>
  </si>
  <si>
    <t xml:space="preserve">[Korematsu, Seigo] Saitama Med Univ, Saitama Med Ctr, Dept Pediat, Saitama, Japan; [Fujisawa, Takao; Kanai, Rei] NHO Mie Natl Hosp, Allergy Ctr, Mie, Japan; [Saito, Naruo] Saito Clin Asthma &amp; Allergy Children, Saito, Japan; [Tezuka, Junichiro] Fukuoka Childrens Hosp, Dept Allergy &amp; Pulmonol, Fukuoka, Japan; [Miura, Katsushi] Miyagi Childrens Hosp, Dept Allergy, Miyagi, Japan; [Kobayashi, Ichiro] KKR Sapporo Med Ctr, Ctr Pediat Allergy &amp; Rheumatol, Sapporo, Japan; [Miyata, Ippei] Kawasaki Med Sch, Dept Pediat, Okayama, Japan; [Kosugi, Yujiro] Nakatsu Municipal Hosp, Dept Pediat, Oita, Japan; [Gohda, Yuji] Sasebo Kyosai Hosp, Dept Pediat, Nagasaki, Japan; [Koike, Yumi] Nagano Childrens Hosp, Dept Allergy, Nagano, Japan; [Suda, Ami] Ageo Cent Gen Hosp, Dept Pediat, Saitama, Japan; [Matsuo, Akiko] Yokohama City Minato Red Cross Hosp, Dept Pediat, Kanagawa, Japan; [Sasaki, Michiyo] Nagasaki Univ, Dept Pediat, Nagasaki, Japan; [Handa, Yousuke] Kitsuki City Yamaga Hosp, Dept Pediat, Oita, Japan; [Fujiwara, Michimasa] NHO Fukuyama Med Ctr, Dept Pediat, Hiroshima, Japan; [Ono, Atsushi] Hiroshima City Funairi Citizens Hosp, Dept Pediat, Hiroshima, Japan; [Koizumi, Shinya] Fratern Mem Hosp, Dept Pediat, Tokyo, Japan; [Oishi, Taku] Kochi Univ, Kochi Med Sch, Dept Pediat, Kochi, Japan; [Tanaka, Takayuki] Japanese Red Cross Otsu Hosp, Dept Pediat, Shiga, Japan; [Ando, Yusuke] Dokkyo Med Univ, Dept Pediat, Tochigi, Japan; [Taba, Naohiko] Fukuoka Natl Hosp, Dept Pediat, Fukuoka, Japan; [Tsurinaga, Yuki; Kameda, Makoto] Osaka Habikino Med Ctr, Dept Pediat, Osaka, Japan; [Sato, Takeshi] Soka Municipal Hosp, Dept Pediat, Saitama, Japan; [Yashiro, Masato] Okayama Univ, Dept Pediat, Okayama, Japan; [Takagi, Toshiyuki] Showa Univ, Dept Pediat, Tokyo, Japan; [Hida, Shinya] Osaka Red Cross Hosp, Dept Pediat, Osaka, Japan; [Harazaki, Masashi] Shizuoka Prefectural Gen Hosp, Dept Pediat, Shizuoka, Japan; [Hoshina, Takayuki] Univ Occupat &amp; Environm Hlth, Dept Pediat, Sch Med, Fukuoka, Japan; [Okada, Seigo; Hasegawa, Shunji] Yamaguchi Univ, Grad Sch Med, Dept Pediat, Yamaguchi, Japan; [Yasutomi, Motoko] Univ Fukui, Fac Med Sci, Dept Pediat, Fukui, Japan; [Nakata, Setsuko] Matsumoto City Hosp, Dept Pediat, Nagano, Japan; [Muto, Ayako] Tokyo Womens Med Univ, Yachiyo Med Ctr, Dept Pediat, Chiba, Japan; [Tanabe, Saori] Nihonkai Hosp, Dept Pediat, Yamagata, Japan; [Ueda, Yutaka] Saitama Med Univ Hosp, Dept Pediat, Saitama, Japan; [Tanaka-Taya, Keiko] Kanagawa Prefectural Inst Publ Hlth, Kanagawa, Japan; [Fujimoto, Tsuguto] Natl Inst Infect Dis, Dept Fungal Infect, Tokyo, Japan; [Okada, Kenji] Fukuoka Nursing Coll, Dept Basic Nursing, Fukuoka, Japan; [Korematsu, Seigo] Saitama Med Univ, Saitama Med Ctr, Kamoda 1981, Saitama 3508550, Japan</t>
  </si>
  <si>
    <t xml:space="preserve">Saitama Medical University; Kawasaki Medical School; Nagasaki University; Kochi University; Dokkyo Medical University; Okayama University; Showa University; Osaka Red Cross Hospital; Shizuoka General Hospital; University of Occupational &amp; Environmental Health - Japan; Yamaguchi University; University of Fukui; Tokyo Women's Medical University; Saitama Medical University; National Institute of Infectious Diseases (NIID); Saitama Medical University</t>
  </si>
  <si>
    <t xml:space="preserve">Korematsu, S (corresponding author), Saitama Med Univ, Saitama Med Ctr, Kamoda 1981, Saitama 3508550, Japan.</t>
  </si>
  <si>
    <t xml:space="preserve">kseigo@oita-u.ac.jp</t>
  </si>
  <si>
    <t xml:space="preserve">Hoshina, Takayuki/AFL-2218-2022; Takagi, Toshiyuki/L-9665-2018; Yashiro, Masato/JUF-2638-2023; Fujisawa, Takao/ABB-2359-2021; Tezuka, Junichiro/H-7895-2019; Fujimoto, Tsuguto/AAG-8675-2019</t>
  </si>
  <si>
    <t xml:space="preserve">Fujisawa, Takao/0000-0002-9196-9436; Miyata, Ippei/0000-0002-6989-6680; Fujimoto, Tsuguto/0000-0002-4861-4349; Korematsu, Seigo/0000-0002-4150-3339</t>
  </si>
  <si>
    <t xml:space="preserve">JSPS KAKENHI; [JP20K08208]</t>
  </si>
  <si>
    <t xml:space="preserve">JSPS KAKENHI(Ministry of Education, Culture, Sports, Science and Technology, Japan (MEXT)Japan Society for the Promotion of ScienceGrants-in-Aid for Scientific Research (KAKENHI));</t>
  </si>
  <si>
    <t xml:space="preserve">This work was supported by JSPS KAKENHI Grant Number JP20K08208. The authors are grateful to Dr. Atsushi Isozaki, Yokohama City Minato Red Cross Hospital; Dr. Yuki Yamaguchi, Miyagi Children's Hospital; and Dr. Naho Abe, Oita Children's Hospital for the data collection.</t>
  </si>
  <si>
    <t xml:space="preserve">2045-7022</t>
  </si>
  <si>
    <t xml:space="preserve">CLIN TRANSL ALLERGY</t>
  </si>
  <si>
    <t xml:space="preserve">Clin. Transl. Allergy</t>
  </si>
  <si>
    <t xml:space="preserve">e12330</t>
  </si>
  <si>
    <t xml:space="preserve">10.1002/clt2.12330</t>
  </si>
  <si>
    <t xml:space="preserve">FE8G2</t>
  </si>
  <si>
    <t xml:space="preserve">WOS:001144172000001</t>
  </si>
  <si>
    <t xml:space="preserve">Libster, R; Hortoneda, JB; Laham, FR; Casellas, JM; Israele, V; Polack, NR; Delgado, MF; Klein, MI; Polack, FP</t>
  </si>
  <si>
    <t xml:space="preserve">Libster, Romina; Bugna Hortoneda, Jimena; Laham, Federico R.; Casellas, Javier M.; Israele, Victor; Polack, Norberto R.; Florencia Delgado, Maria; Ines Klein, Maria; Polack, Fernando P.</t>
  </si>
  <si>
    <t xml:space="preserve">Breastfeeding Prevents Severe Disease in Full Term Female Infants With Acute Respiratory Infection</t>
  </si>
  <si>
    <t xml:space="preserve">breast milk; lower respiratory infections; gender; infants</t>
  </si>
  <si>
    <t xml:space="preserve">SYNCYTIAL VIRUS; 1ST YEAR; HUMAN METAPNEUMOVIRUS; TRACT ILLNESS; RISK-FACTOR; HOSPITALIZATION; LIFE; BRONCHIOLITIS; AGE</t>
  </si>
  <si>
    <t xml:space="preserve">Background: Breastfeeding is a well-known protective factor against severe respiratory tract infections. Recently, a gender specific role for human milk hits been described in very low birth weight infants and neonates: breast milk protected girls bill not boys. Objective: To determine whether the protective effect of breastfeeding on the severity of acute respiratory infections in full term infants is different for girls and boys. Methods: A prospective cross-sectional study of infants seeking medical care for acute respiratory infection. The protective role of breastfeeding against viral pneumonia and hospitalization were assessed by univariate and multivariate analyses. Analyses were adjusted for important confounders. Results: A total of 323 patients were enrolled in this study. Breastfeeding protected girls against Pneumonia and hospitalization, but did not protect boys. Nonbreastfeeding females were particularly susceptible to severe acute respiratory infections. Conclusions: Breastfeeding had a protective effect against severe disease in infant girls experiencing their first symptomatic respiratory infection. Non-breastfeeding females arc at significant risk for severe acute lung disease and Should be targeted intensively by breastfeeding campaigns.</t>
  </si>
  <si>
    <t xml:space="preserve">[Libster, Romina; Bugna Hortoneda, Jimena; Laham, Federico R.; Polack, Norberto R.; Florencia Delgado, Maria; Ines Klein, Maria; Polack, Fernando P.] Fdn INFANT, Buenos Aires, DF, Argentina; [Laham, Federico R.; Polack, Fernando P.] Johns Hopkins Univ, Dept Pediat, Baltimore, MD 21218 USA; [Casellas, Javier M.; Israele, Victor] Hosp Materno Infantil San Isidro, Buenos Aires, DF, Argentina</t>
  </si>
  <si>
    <t xml:space="preserve">Johns Hopkins University</t>
  </si>
  <si>
    <t xml:space="preserve">Polack, FP (corresponding author), Vanderbilt Univ, Dept Pediat, 1161 21st Ave S, Nashville, TN 37232 USA.</t>
  </si>
  <si>
    <t xml:space="preserve">fernando.polack@vanderbilt.edu</t>
  </si>
  <si>
    <t xml:space="preserve">National Institute of Environmental Health Sciences [Al-054952]</t>
  </si>
  <si>
    <t xml:space="preserve">National Institute of Environmental Health Sciences(United States Department of Health &amp; Human ServicesNational Institutes of Health (NIH) - USANIH National Institute of Environmental Health Sciences (NIEHS))</t>
  </si>
  <si>
    <t xml:space="preserve">Supported by a National Institute of Environmental Health Sciences contract mechanism with Johns Hopkins University and Fundacion INFANT and Al-054952 (UPP).</t>
  </si>
  <si>
    <t xml:space="preserve">10.1097/INF.0b013e31818a8a82</t>
  </si>
  <si>
    <t xml:space="preserve">401OX</t>
  </si>
  <si>
    <t xml:space="preserve">WOS:000262952100011</t>
  </si>
  <si>
    <t xml:space="preserve">Melendi, GA; Coviello, S; Bhat, N; Zea-Hernandez, J; Ferolla, FM; Polack, FP</t>
  </si>
  <si>
    <t xml:space="preserve">Melendi, Guillermina A.; Coviello, Silvina; Bhat, Niranjan; Zea-Hernandez, Johanna; Ferolla, Fausto M.; Polack, Fernando P.</t>
  </si>
  <si>
    <t xml:space="preserve">Breastfeeding is associated with the production of type I interferon in infants infected with influenza virus</t>
  </si>
  <si>
    <t xml:space="preserve">Breast milk; Influenza; Interferon</t>
  </si>
  <si>
    <t xml:space="preserve">RESPIRATORY SYNCYTIAL VIRUS; HUMAN METAPNEUMOVIRUS; RECOGNITION; INDUCTION; CYTOKINES; RESPONSES; CHILDREN; RISK</t>
  </si>
  <si>
    <t xml:space="preserve">Background: Breast milk-mediated protection against respiratory viruses is well established. However, protective mechanisms are unclear. Type I interferons (IFN) mediate host defence against respiratory viruses, particularly influenza virus. The relationship among type I IFN, respiratory viral infections and breastfeeding has not been explored. Methods: Type I IFN responses were studied by ELISA and real time PCR in nasal secretions of infants experiencing their first respiratory infection. Modulation of IFN by breastfeeding and other variables affecting severity during viral infection was explored. Results: One hundred and twenty infants were positive by RT-PCR for influenza virus (n = 24), human metapneumovirus (hMPV) (n = 30) or respiratory syncytial virus (RSV) (n = 66). Type I IFNs were detected more frequently in infants infected with influenza virus than in those infected with RSV or hMPV. Breastfeeding promoted higher rates and levels of type I IFN only in infants infected with influenza virus. No effect on IFN production was observed for age, gender or smoking. Conclusion: Our study confirms that type I IFN production is detected more frequently in infants infected with influenza virus. Importantly, higher rates and levels of type I IFN in these infants are associated with breastfeeding. These observations suggest that breast milk can protect against respiratory viruses by activating innate antiviral mechanisms in the host.</t>
  </si>
  <si>
    <t xml:space="preserve">[Polack, Fernando P.] Vanderbilt Univ, Dept Pediat, Vanderbilt Vaccine Ctr, Nashville, TN 37232 USA; [Melendi, Guillermina A.; Coviello, Silvina; Ferolla, Fausto M.; Polack, Fernando P.] Fdn INFANT, Buenos Aires, DF, Argentina; [Coviello, Silvina; Ferolla, Fausto M.] Minist Ciencia Tecnol &amp; Innnovac Prod, Buenos Aires, DF, Argentina; [Bhat, Niranjan] Johns Hopkins Univ, Dept Pediat, Baltimore, MD 21218 USA</t>
  </si>
  <si>
    <t xml:space="preserve">Vanderbilt University; Johns Hopkins University</t>
  </si>
  <si>
    <t xml:space="preserve">Polack, FP (corresponding author), Vanderbilt Univ, Dept Pediat, Vanderbilt Vaccine Ctr, Nashville, TN 37232 USA.</t>
  </si>
  <si>
    <t xml:space="preserve">Thrasher Research Fund; NIEHS; PIDS MedImmune Fellowship; Early Career Thrasher Award; Fogarty International Center [R24 TW007988]; Argentinean Ministry of Health INFANT Award; [AI-054952]</t>
  </si>
  <si>
    <t xml:space="preserve">Thrasher Research Fund; NIEHS(United States Department of Health &amp; Human ServicesNational Institutes of Health (NIH) - USANIH National Institute of Environmental Health Sciences (NIEHS)); PIDS MedImmune Fellowship(AstraZenecaMedimmune); Early Career Thrasher Award; Fogarty International Center(United States Department of Health &amp; Human ServicesNational Institutes of Health (NIH) - USANIH Fogarty International Center (FIC)); Argentinean Ministry of Health INFANT Award;</t>
  </si>
  <si>
    <t xml:space="preserve">Funded by the Thrasher Research Fund (FPP, GAM), the NIEHS Director's Challenge Award (FPP and SRK) and AI-054952 (FPP). NB is a recipient of the PIDS MedImmune Fellowship. GAM is a recipient of an Early Career Thrasher Award and Fogarty International Center International Clinical Research Fellows Program at Vanderbilt (R24 TW007988). FMF is a recipient of the Argentinean Ministry of Health INFANT Award.</t>
  </si>
  <si>
    <t xml:space="preserve">10.1111/j.1651-2227.2010.01862.x</t>
  </si>
  <si>
    <t xml:space="preserve">646QI</t>
  </si>
  <si>
    <t xml:space="preserve">WOS:000281556700020</t>
  </si>
  <si>
    <t xml:space="preserve">Heininger, U; Burckhardt, MA</t>
  </si>
  <si>
    <t xml:space="preserve">Heininger, Ulrich; Burckhardt, Marie-Anne</t>
  </si>
  <si>
    <t xml:space="preserve">Bordetella pertussis and Concomitant Viral Respiratory Tract Infections Are Rare in Children With Cough Illness</t>
  </si>
  <si>
    <t xml:space="preserve">Bordetella; pertussis; cough illnesses; viruses</t>
  </si>
  <si>
    <t xml:space="preserve">POLYMERASE-CHAIN-REACTION; REAL-TIME PCR; SYNCYTIAL VIRUS; REVERSE TRANSCRIPTION; RAPID DIAGNOSIS; INFANTS; PNEUMONIAE; ASSAY</t>
  </si>
  <si>
    <t xml:space="preserve">Background: Case reports, case series, and retrospective and prospective studies have reported concomitant Bordetella pertussis and viral respiratory tract pathogen infections in children with cough illness with conflicting results regarding their frequency. Method: A prospective 1-year study was performed in ambulatory and hospitalized patients aged 0 to 17 years with a cough illness. Polymerase chain reaction for viral (influenza A and B, parainfluenza 1 and 3, respiratory syncytial, metapneumovirus, and adenovirus) and bacterial pathogens including B. pertussis and B. parapertussis was applied to nasopharyngeal aspirate (NPA) specimens. The primary goal of the study was to assess the frequency of unsuspected Bordetella infections in patients thought to have a viral respiratory tract infection. The secondary goal was to determine the frequency of concomitant viral respiratory tract and Bordetella infections. Results: B. pertussis and B. parapertussis DNA was amplified in 21 (2.0%) and 5 (0.5%) cases, respectively, of 1059 NPA specimens. Of the 1059 NPA specimens, 877 were tested in parallel for respiratory viruses, B. pertussis, and B. parapertussis; &gt; 1 virus was identified in 427 (48.7%) and Bordetella species was identified in 10 (1.1%) of these 877 NPA specimens but only 2 (0.2%) concomitant virus/Bordetella infections were identified. Specifically, of 268 NPAs positive for RSV, 1 (0.37%) was concomitant with B. pertussis infection as was 1 (3.7%) of 27 NPAs positive for hMPV. Conclusions: B. pertussis and B. parapertussis infections were rare in patients with cough illness and so were concomitant virus/Bordetella infections. We propose that virus/Bordetella coinfections primarily occur by chance.</t>
  </si>
  <si>
    <t xml:space="preserve">[Heininger, Ulrich; Burckhardt, Marie-Anne] Univ Childrens Hosp Basel, Dept Pediat Infect Dis, Basel, Switzerland</t>
  </si>
  <si>
    <t xml:space="preserve">University of Basel</t>
  </si>
  <si>
    <t xml:space="preserve">Heininger, U (corresponding author), Univ Childrens Hosp UKBB, CH-4005 Basel, Switzerland.</t>
  </si>
  <si>
    <t xml:space="preserve">Ulrich.Heininger@ukbb.ch</t>
  </si>
  <si>
    <t xml:space="preserve">Burckhardt, Marie-Anne/GWQ-5622-2022</t>
  </si>
  <si>
    <t xml:space="preserve">Burckhardt, Marie-Anne/0000-0002-6274-5900</t>
  </si>
  <si>
    <t xml:space="preserve">10.1097/INF.0b013e3182152d28</t>
  </si>
  <si>
    <t xml:space="preserve">796PN</t>
  </si>
  <si>
    <t xml:space="preserve">WOS:000293064200005</t>
  </si>
  <si>
    <t xml:space="preserve">Alkhalf, H; Almutairi, AR; Almutairi, A; Almutairi, RK; AlGhnam, S; Aljohani, S; Alqanatish, JT; Babiker, A</t>
  </si>
  <si>
    <t xml:space="preserve">Alkhalf, Hamad; Almutairi, Ashwag R.; Almutairi, Abeer; Almutairi, Reem K.; AlGhnam, Suliman; Aljohani, Sameera; Alqanatish, Jubran T.; Babiker, Amir</t>
  </si>
  <si>
    <t xml:space="preserve">Prevalence and Clinical Characterization of Bocavirus Infection in a Specialized Children's Hospital in Saudi Arabia</t>
  </si>
  <si>
    <t xml:space="preserve">bocavirus; saudi arabia; kasch; respiratory; length of stay</t>
  </si>
  <si>
    <t xml:space="preserve">HUMAN METAPNEUMOVIRUS; PARVOVIRUS; PNEUMONIA</t>
  </si>
  <si>
    <t xml:space="preserve">Aim The aim of this study was to assess the prevalence and clinical characterization of bocavirus infection in patients admitted with respiratory symptoms to a specialized children's hospital in Riyadh, Saudi Arabia. Methods This is a retrospective cross-sectional study that included children aged 0-14 years and was conducted over a two-year period (2017-2019). All data were gathered from an electronic information recording system, which included patients' demographics, comorbidities, clinical presentation, complication, and duration of hospitalization. Results Among all patients (11,709) admitted to King Abdullah Specialized Children's Hospital with predominant respiratory symptoms during the study period, 193 (1.6%) patients had bocavirus infections. Most of the patients were diagnosed in winter months. Cough was the primary presenting symptom (91.7%) followed by fever (83.4%). Gastrointestinal symptoms were also common (anorexia in 62% and vomiting in 39%). In 80% (n=154/193) of cases, bocavirus co-existed with other viruses, namely, human rhinovirus (45.8%), human adenovirus (31.2%), and respiratory syncytial virus type A (17.5%). Moreover, those who required oxygen supply stayed longer in the hospital (p&lt;0.001) and were more likely to receive multiple medications such as bronchodilators (p&lt;0.001), corticosteroids (p&lt;0.001), and nebulized racemic epinephrine (p&gt;0.05). Children infected with bocavirus and co-existing viruses were less likely to require oxygen supply (p&lt;0.050). Conclusion Bocavirus infection is more common during winter months and predominantly affects respiratory and gastrointestinal systems in children. More studies are needed to evaluate the global impact of this recently recognized infection.</t>
  </si>
  <si>
    <t xml:space="preserve">[Alkhalf, Hamad] King Saud Bin Abdulaziz Univ Hlth Sci, Gen Pediat, Coll Med, Riyadh, Saudi Arabia; [Alkhalf, Hamad; Alqanatish, Jubran T.; Babiker, Amir] King Abdulaziz Med City Riyadh, Pediat, Riyadh, Saudi Arabia; [Alkhalf, Hamad; Alqanatish, Jubran T.; Babiker, Amir] King Abdullah Int Med Res Ctr, Pediat, Riyadh, Saudi Arabia; [Almutairi, Ashwag R.] King Saud Univ, Pediat, Riyadh, Saudi Arabia; [Almutairi, Abeer; Babiker, Amir] King Saud Bin Abdulaziz Univ Hlth Sci, Pediat, Coll Med, Riyadh, Saudi Arabia; [Almutairi, Reem K.] King Saud Bin Abdulaziz Univ Hlth Sci, Nursing, Riyadh, Saudi Arabia; [AlGhnam, Suliman] King Abdullah Int Med Res Ctr, Populat Hlth, Riyadh, Saudi Arabia; [Aljohani, Sameera] King Saud Bin Abdulaziz Univ Hlth Sci, Infect Dis, Coll Med, Riyadh, Saudi Arabia; [Aljohani, Sameera] King Abdulaziz Med City Riyadh, Infect Dis, Riyadh, Saudi Arabia; [Aljohani, Sameera] King Abdullah Int Med Res Ctr, Infect Dis, Riyadh, Saudi Arabia; [Alqanatish, Jubran T.] King Abdul Aziz Med City, Pediat, Riyadh, Saudi Arabia; [Alqanatish, Jubran T.] King Saud Bin Abdulaziz Univ Hlth Sci, Natl Guard Hlth Affairs, Riyadh, Saudi Arabia</t>
  </si>
  <si>
    <t xml:space="preserve">King Saud Bin Abdulaziz University for Health Sciences; King Saud Bin Abdulaziz University for Health Sciences; King Abdulaziz Medical City - Riyadh; King Saud Bin Abdulaziz University for Health Sciences; King Abdullah International Medical Research Center (KAIMRC); King Saud University; King Saud Bin Abdulaziz University for Health Sciences; King Saud Bin Abdulaziz University for Health Sciences; King Saud Bin Abdulaziz University for Health Sciences; King Abdullah International Medical Research Center (KAIMRC); King Saud Bin Abdulaziz University for Health Sciences; King Saud Bin Abdulaziz University for Health Sciences; King Abdulaziz Medical City - Riyadh; King Saud Bin Abdulaziz University for Health Sciences; King Abdullah International Medical Research Center (KAIMRC); King Saud Bin Abdulaziz University for Health Sciences; King Abdulaziz Medical City - Riyadh; King Saud Bin Abdulaziz University for Health Sciences; King Abdulaziz Medical City - Riyadh; Ministry of National Guard - Health Affairs; National Guard Health Affairs - Saudi Arabia</t>
  </si>
  <si>
    <t xml:space="preserve">Babiker, A (corresponding author), King Abdulaziz Med City Riyadh, Pediat, Riyadh, Saudi Arabia.;Babiker, A (corresponding author), King Abdullah Int Med Res Ctr, Pediat, Riyadh, Saudi Arabia.;Babiker, A (corresponding author), King Saud Bin Abdulaziz Univ Hlth Sci, Pediat, Coll Med, Riyadh, Saudi Arabia.</t>
  </si>
  <si>
    <t xml:space="preserve">babikeramir@hotmail.com</t>
  </si>
  <si>
    <t xml:space="preserve">Alqanatish, Jubran/AAG-3400-2020</t>
  </si>
  <si>
    <t xml:space="preserve">Alqanatish, Jubran/0000-0001-6467-6972</t>
  </si>
  <si>
    <t xml:space="preserve">e22127</t>
  </si>
  <si>
    <t xml:space="preserve">10.7759/cureus.22127</t>
  </si>
  <si>
    <t xml:space="preserve">YZ0TW</t>
  </si>
  <si>
    <t xml:space="preserve">WOS:000755197000019</t>
  </si>
  <si>
    <t xml:space="preserve">Madi, NM; Al-Adwani, A</t>
  </si>
  <si>
    <t xml:space="preserve">Madi, Nada M.; Al-Adwani, Anfal</t>
  </si>
  <si>
    <t xml:space="preserve">Human bocavirus (HBoV) in Kuwait: molecular epidemiology and clinical outcome of the virus among patients with respiratory diseases</t>
  </si>
  <si>
    <t xml:space="preserve">bocavirus; epidemiology; Kuwait; respiratory patients</t>
  </si>
  <si>
    <t xml:space="preserve">HUMAN METAPNEUMOVIRUS; SYNCYTIAL VIRUS; YOUNG-CHILDREN; INFECTIONS; PARVOVIRUS; PROFILE; HOSPITALIZATION; PREVALENCE; FREQUENT</t>
  </si>
  <si>
    <t xml:space="preserve">Introduction. Globally, human bocavirus (HBoV) has been detected in respiratory samples from patients suffering from upper and lower respiratory diseases. In Kuwait, little is known about the epidemiological and clinical characterization of the virus and genetic characterization of the virus as a respiratory pathogen is unknown. Aim. This study aims to explore the molecular epidemiology and clinical features of HBoV isolates in patients with respiratory diseases. Methodology. Retrospectively, between 2018 and 2020, 5941 respiratory samples from patients with respiratory diseases were screened for respiratory viruses using multiplex real-time PCR. Samples that were positive for HBoV were then subjected to NP1 and VP1/PV2 phylogenetic analysis. Results. HBoV was detected in 1.9% of the patients, with a peak incidence of infection among children &lt;1 year old. Co-infection with other respiratory viruses was observed in 56.8% of HBoV-positive patients. Fever, cough and respiratory distress were the most common clinical features of HBoV infection. Phylogenetic analysis of the Kuwaiti HBoV isolates revealed that all the isolates were of the HBoV-1 genotype, with slight sequence variations among the isolates. Conclusion. This study illustrated the predominance of the HBoV-1 genotype in patients with respiratory diseases in Kuwait with minimal genetic variability. It also highlighted the clinical features of HBoV-1 infection, verifying its role in respiratory diseases.</t>
  </si>
  <si>
    <t xml:space="preserve">[Madi, Nada M.; Al-Adwani, Anfal] Kuwait Univ, Fac Med, Dept Microbiol, Virol Unit, Kuwait, Kuwait</t>
  </si>
  <si>
    <t xml:space="preserve">Madi, NM (corresponding author), Kuwait Univ, Fac Med, Dept Microbiol, Virol Unit, Kuwait, Kuwait.</t>
  </si>
  <si>
    <t xml:space="preserve">Madi, Nada/0000-0002-4654-544X</t>
  </si>
  <si>
    <t xml:space="preserve">10.1099/jmm.0.001219</t>
  </si>
  <si>
    <t xml:space="preserve">NB6RW</t>
  </si>
  <si>
    <t xml:space="preserve">WOS:000560642600012</t>
  </si>
  <si>
    <t xml:space="preserve">Tan, BH; Lim, EAS; Seah, SGK; Loo, LH; Tee, NWS; Lin, RTP; Sugrue, RJ</t>
  </si>
  <si>
    <t xml:space="preserve">Tan, Boon-Huan; Lim, Elizabeth Ai-Sim; Seah, Shirley Gek-Kheng; Loo, Liat-Hui; Tee, Nancy W. S.; Lin, Raymond T. P.; Sugrue, Richard Joseph</t>
  </si>
  <si>
    <t xml:space="preserve">The Incidence of Human Bocavirus Infection Among Children Admitted to Hospital in Singapore</t>
  </si>
  <si>
    <t xml:space="preserve">Bocavirus; coinfections; pediatric patients; lower respiratory tract infections; Singapore</t>
  </si>
  <si>
    <t xml:space="preserve">RESPIRATORY SYNCYTIAL VIRUS; HUMAN CORONAVIRUS NL63; HUMAN METAPNEUMOVIRUS; CLINICAL-MANIFESTATIONS; TRACT INFECTIONS; KOREAN CHILDREN; IDENTIFICATION; PARVOVIRUS; HKU1</t>
  </si>
  <si>
    <t xml:space="preserve">Human bocavirus (HBoV) is a parvovirus, belonging to the genus Bocavirus. The virus was identified recently in Sweden, and has now been detected in several different countries. Although it is associated with lower respiratory tract infections in pediatric patients, the incidence of HBoV infection in a developed country in South East Asia, has not been examined. The objective of this study was to determine the importance of HBoV as a cause of lower respiratory tract infections among children admitted to hospital in Singapore. Five hundred nasopharyngeal swabs were collected from anonymized pediatric patients admitted to the Kandang Kerbau Women's and Children's Hospital for acute respiratory infections. The specimens were tested for the presence of HBoV using polymerase chain reactions. HBoV was detected in 8.0% of the patients tested, and a majority of these HBoV patients exhibited lower respiratory tract infections. A significant level of coinfection with respiratory syncytial viruses and rhinoviruses was also observed in these HBoV patients. The data suggest that HBoV is an important cause of lower respiratory tract infections among children admitted to hospital in Singapore, and is the first study examining the incidence of HBoV infection in a developed country in South East Asia. J. Med ViroL 81:82-89, 2009. (c) 2008 Wiley-Liss, Inc.</t>
  </si>
  <si>
    <t xml:space="preserve">[Tan, Boon-Huan; Lim, Elizabeth Ai-Sim; Seah, Shirley Gek-Kheng] DSO Natl Labs, Def Med &amp; Environm Res Inst, Detect &amp; Diagnost Lab, Singapore 117510, Singapore; [Loo, Liat-Hui; Sugrue, Richard Joseph] Nanyang Technol Univ, Sch Biol Sci, Div Cell &amp; Mol Biol, Singapore, Singapore; [Loo, Liat-Hui; Tee, Nancy W. S.] Kandang Kerbau Womens &amp; Childrens Hosp, Microbiol Lab, Singapore, Singapore; [Lin, Raymond T. P.] Natl Univ Singapore Hosp, Dept Lab Medd, Singapore 117548, Singapore</t>
  </si>
  <si>
    <t xml:space="preserve">Nanyang Technological University; KK Women's &amp; Children's Hospital; National University of Singapore</t>
  </si>
  <si>
    <t xml:space="preserve">Tan, BH (corresponding author), DSO Natl Labs, Head Detect &amp; Diagnost Lab, 13-00,27 Med Dr, Singapore 117510, Singapore.</t>
  </si>
  <si>
    <t xml:space="preserve">tboonhua@dso.org.sg</t>
  </si>
  <si>
    <t xml:space="preserve">Tan, Boon Huan/ABB-8381-2021; Loo, Liat-Hui/AAS-9179-2020; Sugrue, Richard/A-2214-2011</t>
  </si>
  <si>
    <t xml:space="preserve">Tan, Boon Huan/0000-0002-4976-7988; Loo, Liat Hui/0000-0003-2747-9544</t>
  </si>
  <si>
    <t xml:space="preserve">National Medical Research Council, Singapore</t>
  </si>
  <si>
    <t xml:space="preserve">National Medical Research Council, Singapore(National Medical Research Council, Singapore)</t>
  </si>
  <si>
    <t xml:space="preserve">Grant sponsor: National Medical Research Council, Singapore.</t>
  </si>
  <si>
    <t xml:space="preserve">10.1002/jmv.21361</t>
  </si>
  <si>
    <t xml:space="preserve">377QU</t>
  </si>
  <si>
    <t xml:space="preserve">WOS:000261266500011</t>
  </si>
  <si>
    <t xml:space="preserve">Pogka, V; Moutousi, A; Kossyvakis, A; Kalliaropoulos, A; Sgouras, DN; Giannaki, M; Mentis, AF</t>
  </si>
  <si>
    <t xml:space="preserve">Pogka, Vasiliki; Moutousi, Afroditi; Kossyvakis, Athanasios; Kalliaropoulos, Antonios; Sgouras, Dionyssios N.; Giannaki, Maria; Mentis, Andreas F.</t>
  </si>
  <si>
    <t xml:space="preserve">Genetic variability of human metapneumo- and bocaviruses in children with respiratory tract infections</t>
  </si>
  <si>
    <t xml:space="preserve">Bocavirus; children; metapneumovirus; phylogenetic analysis; respiratory viruses</t>
  </si>
  <si>
    <t xml:space="preserve">YOUNG-CHILDREN; HOSPITALIZED CHILDREN; PHYLOGENETIC ANALYSIS; RECOMBINATION; PARVOVIRUS; EPIDEMIOLOGY; DIVERSITY; DIAGNOSIS; VIRUSES; RATES</t>
  </si>
  <si>
    <t xml:space="preserve">ObjectivesThe genotypic analysis of human metapneumo-(HMPV) and boca-(HBoV) viruses circulating in Greece and their comparison to reference and other clinical strains. DesignGenetic analysis of representative strains over three consecutive winter seasons of the years 2005-2008. SettingRepresentative positive specimens for HMPV and HBoV from paediatric patients of healthcare units and hospitals in Southern Greece with influenza-like illness or other respiratory tract infections. SampleSeven to ten positive specimens for either HMPV or HBoV from each winter period. In total, 24 specimens positive for HMPV and 26 for HBoV, respectively. Main outcome measuresSequence diversity of HMPV and HBoV strains by sequencing the complete G and VP1/VP2 genes, respectively. ResultsIn total, 24 HMPV strains were found to have a 92-100% nucleotide and a 85.9-100% amino acid identity. Phylogenetic analysis based on the number of amino acid differences, revealed circulation of 4 different subclusters belonging to genetic lineage B2. Similarly, analysis of 26 HBoV strains indicated that 22 clustered within genotype St2, 2 into genotype St1 and the remaining 2 formed a third cluster derived from potential recombination between different St1 genotype strains. St2 HBoV genotype was observed throughout the whole observation period whereas St1 only during the second and the third winter period. Higher levels of heterogeneity were observed between HMPV compared to HBoV strains. ConclusionsPhylogenetic analysis revealed circulation of one single lineage (B2) for HMPV viruses and predominance of St2 genotype for HBoV viruses. A possible recombination between St1 genotype strains of HBoV was observed.</t>
  </si>
  <si>
    <t xml:space="preserve">[Pogka, Vasiliki; Moutousi, Afroditi; Kossyvakis, Athanasios; Kalliaropoulos, Antonios; Mentis, Andreas F.] Hellenic Pasteur Inst, Natl Influenza Reference Lab Southern Greece, Athens 11521, Greece; [Sgouras, Dionyssios N.; Mentis, Andreas F.] Hellenic Pasteur Inst, Lab Med Microbiol, Athens 11521, Greece; [Giannaki, Maria] Aghia Sophia Childrens Hosp, Dept Microbiol, Athens, Greece</t>
  </si>
  <si>
    <t xml:space="preserve">The Aghia Sophia Children's Hospital</t>
  </si>
  <si>
    <t xml:space="preserve">Mentis, AF (corresponding author), Hellenic Pasteur Inst, Vas Sofias 127, Athens 11521, Greece.</t>
  </si>
  <si>
    <t xml:space="preserve">Pogka, Vasiliki/H-7602-2019; Sgouras, Dionyssios Nicholas/D-9943-2012</t>
  </si>
  <si>
    <t xml:space="preserve">Sgouras, Dionyssios Nicholas/0000-0003-0975-2607; POGKA, VASILIKI/0000-0002-1543-2418</t>
  </si>
  <si>
    <t xml:space="preserve">10.1111/irv.12185</t>
  </si>
  <si>
    <t xml:space="preserve">275VA</t>
  </si>
  <si>
    <t xml:space="preserve">WOS:000328704900015</t>
  </si>
  <si>
    <t xml:space="preserve">Sung, CC; Chi, H; Chiu, NC; Huang, DTN; Weng, LC; Wang, NY; Huang, FY</t>
  </si>
  <si>
    <t xml:space="preserve">Sung, Chi-Chun; Chi, Hsin; Chiu, Nan-Chang; Huang, Daniel Tsung-Ning; Weng, Li-Chuan; Wang, Nai-Yu; Huang, Fu-Yuan</t>
  </si>
  <si>
    <t xml:space="preserve">Viral etiology of acute lower respiratory tract infections in hospitalized young children in Northern Taiwan</t>
  </si>
  <si>
    <t xml:space="preserve">Bocavirus; Bronchiolitis; Metapneumovirus; Mixed infection; Respiratory syncytial virus</t>
  </si>
  <si>
    <t xml:space="preserve">HUMAN METAPNEUMOVIRUS INFECTION; SYNCYTIAL VIRUS-INFECTION; HUMAN CORONAVIRUS NL63; HUMAN BOCAVIRUS; CLINICAL-MANIFESTATIONS; DISEASE; BRONCHIOLITIS; COINFECTION; INFANTS; ASTHMA</t>
  </si>
  <si>
    <t xml:space="preserve">Background: Lower respiratory tract infections (LRTIs) comprise a great proportion of diagnoses among hospitalized children. This study identifies the viral pathogens causing LRTIs in young children and compares their clinical features and disease severity. Methods: Children younger than 36 months old, hospitalized at a medical center in Northern Taiwan with acute bronchiolitis or pneumonia from April to December 2007, were prospectively enrolled. Nasopharyngeal aspiration fluid samples were sent for virus culture, for direct immunofluorescence test of respiratory syncytial virus (RSV), for rapid influenza viral identification, and for polymerase chain reaction of human metapneumovirus (hMPV), human boca virus (hBoV), and human corona virus. The clinical features and laboratory findings were recorded and analyzed. Results: A total of 48 children were enrolled. RSV was the most common pathogen (41.7%), followed by hMPV (27.1%), hBoV, and enterovirus (both 6.3%). There were no significant differences in clinical presentation and disease severity between the RSV and hMPV groups. However, the hMPV group had a higher mixed infection rate (p = 0.038). Fourteen children had no identifiable viruses. Children with single, dual, and triple pathogens numbered 26, 7, and 1, respectively. The mixed infection rate reached 23.5% among 34 children with identifiable viruses. Children with a higher severity score had greater chance to develop asthma in the next 2 years (p = 0.042). Conclusion: RSV is the most common pathogen causing LRTIs in young children, followed by hMPV. The hMPV group had higher mixed infection rate than RSV group. hBoV does circulate in northern Taiwan. Copyright (C) 2011, Taiwan Society of Microbiology. Published by Elsevier Taiwan LLC. All rights reserved.</t>
  </si>
  <si>
    <t xml:space="preserve">[Sung, Chi-Chun; Chi, Hsin; Chiu, Nan-Chang; Huang, Daniel Tsung-Ning; Huang, Fu-Yuan] Mackay Mem Hosp, Dept Pediat, Div Infect Dis, Taipei 10449, Taiwan; [Chi, Hsin; Chiu, Nan-Chang] Mackay Med Nursing &amp; Management Coll, Taipei, Taiwan; [Chi, Hsin; Huang, Daniel Tsung-Ning] Natl Taiwan Univ, Grad Inst Clin Med, Coll Med, Taipei 10764, Taiwan; [Weng, Li-Chuan; Wang, Nai-Yu] Mackay Mem Hosp, Dept Med Res, Tamsui, Taiwan</t>
  </si>
  <si>
    <t xml:space="preserve">Mackay Memorial Hospital; Mackay Junior College of Medicine, Nursing &amp; Management; National Taiwan University; Mackay Memorial Hospital</t>
  </si>
  <si>
    <t xml:space="preserve">Chiu, NC (corresponding author), Mackay Mem Hosp, Dept Pediat, Div Infect Dis, 92,Sect 2,Chung Shan N Rd, Taipei 10449, Taiwan.</t>
  </si>
  <si>
    <t xml:space="preserve">ncc88@ms2.mmh.org.tw</t>
  </si>
  <si>
    <t xml:space="preserve">Huang, Daniel/IXD-5511-2023; Huang, Yuchen/HOH-2286-2023</t>
  </si>
  <si>
    <t xml:space="preserve">Huang, Daniel Tsung-Ning/0000-0001-6940-6701</t>
  </si>
  <si>
    <t xml:space="preserve">Mackay Memorial Hospital, Taiwan [MMH 9667]</t>
  </si>
  <si>
    <t xml:space="preserve">Mackay Memorial Hospital, Taiwan</t>
  </si>
  <si>
    <t xml:space="preserve">This research was supported by grants MMH 9667 from Mackay Memorial Hospital, Taiwan.</t>
  </si>
  <si>
    <t xml:space="preserve">10.1016/j.jmii.2011.01.025</t>
  </si>
  <si>
    <t xml:space="preserve">770IV</t>
  </si>
  <si>
    <t xml:space="preserve">WOS:000291081100005</t>
  </si>
  <si>
    <t xml:space="preserve">Higazy, D; Lin, XW; Xie, TH; Wang, K; Gao, XC; Cui, M</t>
  </si>
  <si>
    <t xml:space="preserve">Higazy, Doaa; Lin, Xianwu; Xie, Tanghui; Wang, Ke; Gao, Xiaochen; Cui, Min</t>
  </si>
  <si>
    <t xml:space="preserve">Altered gene expression in human brain microvascular endothelial cells in response to the infection of influenza H1N1 virus</t>
  </si>
  <si>
    <t xml:space="preserve">ANIMAL DISEASES</t>
  </si>
  <si>
    <t xml:space="preserve">Blood-brain barrier; Influenza A virus (IAV); hBMECs; CNS; Neurodegenerative diseases; RNAseq</t>
  </si>
  <si>
    <t xml:space="preserve">CENTRAL-NERVOUS-SYSTEM; HIPPOCAMPAL NEURON MORPHOLOGY; HUMAN METAPNEUMOVIRUS; A VIRUS; CEREBROSPINAL-FLUID; NEUROINFLAMMATION; INVASION; DISEASE; CNS; NUCLEOPROTEIN</t>
  </si>
  <si>
    <t xml:space="preserve">Influenza viruses not only cause respiratory illness, but also have been reported to elicit neurological manifestations following acute viral infection. The central nervous system (CNS) has a specific defense mechanism against pathogens structured by cerebral microvasculature lined with brain endothelial cells to form the blood-brain barrier (BBB). To investigate the response of human brain microvascular endothelial cells (hBMECs) to the Influenza A virus (IAV), we inoculated the cells with the A/WSN/33 (H1N1) virus. We then conducted an RNAseq experiment to determine the changes in gene expression levels and the activated disease pathways following infection. The analysis revealed an effective activation of the innate immune defense by inducing the pattern recognition receptors (PRRs). Along with the production of proinflammatory cytokines, we detected an upregulation of interferons and interferon-stimulated genes, such as IFN-beta/lambda, ISG15, CXCL11, CXCL3 and IL-6, etc. Moreover, infected hBMECs exhibited a disruption in the cytoskeletal structure both on the transcriptomic and cytological levels. The RNAseq analysis showed different pathways and candidate genes associated with the neuroactive ligand-receptor interaction, neuroinflammation, and neurodegenerative diseases, together with a predicted activation of the neuroglia. Likewise, some genes linked with the mitochondrial structure and function displayed a significantly altered expression. En masse, this data supports that hBMECs could be infected by the IAV, which induces the innate and inflammatory immune response. The results suggest that the influenza virus infection could potentially induce a subsequent aggravation of neurological disorders.</t>
  </si>
  <si>
    <t xml:space="preserve">[Higazy, Doaa] Cairo Univ, Fac Agr, Microbiol Dept, Giza 12613, Egypt; [Higazy, Doaa; Lin, Xianwu; Wang, Ke; Gao, Xiaochen; Cui, Min] Cooperat Innovat Ctr Sustainable Pig Prod, Key Lab Prevent Vet Med Hubei Prov, Wuhan 430070, Hubei, Peoples R China; [Higazy, Doaa; Lin, Xianwu; Wang, Ke; Gao, Xiaochen; Cui, Min] Minist Agr Peoples Republ China, Key Lab Dev Vet Diagnost Prod, Wuhan 430070, Hubei, Peoples R China; [Higazy, Doaa; Lin, Xianwu; Wang, Ke; Gao, Xiaochen; Cui, Min] Minist Sci &amp; Technol Peoples Republ China, Int Res Ctr Anim Dis, Wuhan 430070, Hubei, Peoples R China; [Higazy, Doaa; Lin, Xianwu; Wang, Ke; Gao, Xiaochen; Cui, Min] Huazhong Agr Univ, Coll Vet Med, State Key Lab Agr Microbiol, 1 Shizishan St, Wuhan 430070, Hubei, Peoples R China; [Xie, Tanghui] Huazhong Agr Univ, Coll Informat, Wuhan 430070, Hubei, Peoples R China</t>
  </si>
  <si>
    <t xml:space="preserve">Egyptian Knowledge Bank (EKB); Cairo University; Ministry of Agriculture &amp; Rural Affairs; Huazhong Agricultural University; Huazhong Agricultural University</t>
  </si>
  <si>
    <t xml:space="preserve">Cui, M (corresponding author), Cooperat Innovat Ctr Sustainable Pig Prod, Key Lab Prevent Vet Med Hubei Prov, Wuhan 430070, Hubei, Peoples R China.;Cui, M (corresponding author), Minist Agr Peoples Republ China, Key Lab Dev Vet Diagnost Prod, Wuhan 430070, Hubei, Peoples R China.;Cui, M (corresponding author), Minist Sci &amp; Technol Peoples Republ China, Int Res Ctr Anim Dis, Wuhan 430070, Hubei, Peoples R China.;Cui, M (corresponding author), Huazhong Agr Univ, Coll Vet Med, State Key Lab Agr Microbiol, 1 Shizishan St, Wuhan 430070, Hubei, Peoples R China.</t>
  </si>
  <si>
    <t xml:space="preserve">cuimin@mail.hzau.edu.cn</t>
  </si>
  <si>
    <t xml:space="preserve">Gao, Xiaochen/AAI-7180-2020</t>
  </si>
  <si>
    <t xml:space="preserve">Gao, Xiaochen/0000-0003-3381-2489</t>
  </si>
  <si>
    <t xml:space="preserve">National Program on Key Research Project of China</t>
  </si>
  <si>
    <t xml:space="preserve">The authors thank Ms. Wenjing Xiong for her technical assistance.</t>
  </si>
  <si>
    <t xml:space="preserve">2731-0442</t>
  </si>
  <si>
    <t xml:space="preserve">ANIM DIS</t>
  </si>
  <si>
    <t xml:space="preserve">Anim. Dis.</t>
  </si>
  <si>
    <t xml:space="preserve">NOV 3</t>
  </si>
  <si>
    <t xml:space="preserve">10.1186/s44149-022-00053-9</t>
  </si>
  <si>
    <t xml:space="preserve">Veterinary Sciences</t>
  </si>
  <si>
    <t xml:space="preserve">MC1W0</t>
  </si>
  <si>
    <t xml:space="preserve">WOS:001191346600001</t>
  </si>
  <si>
    <t xml:space="preserve">Langer, S; Horn, J; Gottschick, C; Klee, B; Purschke, O; Caputo, M; Dorendorf, E; Meyer-Schlinkmann, KM; Raupach-Rosin, H; Karch, A; Rübsamen, N; Aydogdu, M; Buhles, M; Dressler, F; Eberl, W; von Koch, FE; Frambach, T; Franz, H; Guthmann, F; Guzman, CA; Haase, R; Hansen, G; Heselich, V; Hübner, J; Koch, HG; Oberhoff, C; Riese, P; Schild, R; Seeger, S; Tchirikov, M; Trittel, S; von Kaisenberg, C; Mikolajczyk, R</t>
  </si>
  <si>
    <t xml:space="preserve">Langer, Susan; Horn, Johannes; Gottschick, Cornelia; Klee, Bianca; Purschke, Oliver; Caputo, Mahrrouz; Dorendorf, Evelyn; Meyer-Schlinkmann, Kristin Maria; Raupach-Rosin, Heike; Karch, Andre; Ruebsamen, Nicole; Aydogdu, Mustafa; Buhles, Matthias; Dressler, Frank; Eberl, Wolfgang; von Koch, Franz Edler; Frambach, Torsten; Franz, Heiko; Guthmann, Florian; Guzman, Carlos A.; Haase, Roland; Hansen, Gesine; Heselich, Valerie; Huebner, Johannes; Koch, Hans Georg; Oberhoff, Carsten; Riese, Peggy; Schild, Ralf; Seeger, Sven; Tchirikov, Michael; Trittel, Stephanie; von Kaisenberg, Constantin; Mikolajczyk, Rafael</t>
  </si>
  <si>
    <t xml:space="preserve">Symptom Burden and Factors Associated with Acute Respiratory Infections in the First Two Years of Life-Results from the LoewenKIDS Cohort</t>
  </si>
  <si>
    <t xml:space="preserve">birth cohort; respiratory infection; newborn; children; symptom diary; longitudinal observation; infectious diseases; symptom burden; LoewenKIDS</t>
  </si>
  <si>
    <t xml:space="preserve">HUMAN METAPNEUMOVIRUS; TRACT INFECTIONS; DAY-CARE; ILLNESS; COMMUNITY; CHILDREN; ASTHMA; RISK; EPIDEMIOLOGY; CHILDHOOD</t>
  </si>
  <si>
    <t xml:space="preserve">Acute respiratory infections (ARIs) are the most common childhood illnesses worldwide whereby the reported frequency varies widely, often depending on type of assessment. Symptom diaries are a powerful tool to counteract possible under-reporting, particularly of milder infections, and thus offer the possibility to assess the full burden of ARIs. The following analyses are based on symptom diaries from participants of the German birth cohort study LoewenKIDS. Primary analyses included frequencies of ARIs and specific symptoms. Factors, which might be associated with an increased number of ARIs, were identified using the Poisson regression. A subsample of two hundred eighty-eight participants were included. On average, 13.7 ARIs (SD: 5.2 median: 14.0 IQR: 10-17) were reported in the first two years of life with an average duration of 11 days per episode (SD: 5.8, median: 9.7, IQR: 7-14). The median age for the first ARI episode was 91 days (IQR: 57-128, mean: 107, SD: 84.5). Childcare attendance and having siblings were associated with an increased frequency of ARIs, while exclusive breastfeeding for the first three months was associated with less ARIs, compared to exclusive breastfeeding for a longer period. This study provides detailed insight into the symptom burden of ARIs in German infants.</t>
  </si>
  <si>
    <t xml:space="preserve">[Langer, Susan; Horn, Johannes; Gottschick, Cornelia; Klee, Bianca; Purschke, Oliver; Mikolajczyk, Rafael] Martin Luther Univ Halle Wittenberg, Inst Med Epidemiol Biometr &amp; Informat, Interdisciplinary Ctr Hlth Sci, Med Sch, D-06112 Halle, Germany; [Caputo, Mahrrouz; Dorendorf, Evelyn; Meyer-Schlinkmann, Kristin Maria; Raupach-Rosin, Heike; Mikolajczyk, Rafael] Helmholtz Ctr Infect Res, Epidmiol Res Grp Epidmiol &amp; Stat Methods, D-38124 Braunschweig, Germany; [Karch, Andre; Ruebsamen, Nicole] Univ Munster, Inst Epidmiol &amp; Social Med, D-48149 Munster, Germany; [Aydogdu, Mustafa] Klinikum Bremen Mitte, Dept Gynecol Gyneoncol &amp; Senol, D-28205 Bremen, Germany; [Buhles, Matthias] Community Hosp Wolfenbuettel, Dept Gynecol &amp; Obstet, D-38302 Wolfenbuettel, Germany; [Dressler, Frank; Hansen, Gesine] Hannover Med Sch, Dept Pediat Pulmonol Allergol &amp; Neonatol, D-30625 Hannover, Germany; [Eberl, Wolfgang; Koch, Hans Georg] Hosp Braunschweig, Dept Paediat, D-38118 Braunschweig, Germany; [von Koch, Franz Edler] Hosp Dritter Orden, Dept Gynecol &amp; Obstet, D-80336 Munich Nymphenburg, Germany; [Frambach, Torsten] Hosp St Joseph Stift Bremen, Dept Gynecol &amp; Obstet, D-80336 Bremen, Germany; [Franz, Heiko] Hosp Braunschweig, Dept Gynecol &amp; Obstet, D-38118 Braunschweig, Germany; [Guthmann, Florian] Children &amp; Youth Hosp AUF DER BULT, Dept Neonatol, D-30173 Hannover, Germany; [Guzman, Carlos A.; Riese, Peggy; Trittel, Stephanie] Helmholtz Ctr Infect Res, Dept Vaccinol &amp; Appl Microbiol, D-38124 Braunschweig, Germany; [Haase, Roland] Hosp St Elisabeth &amp; St Barbara, Dept Neonatol &amp; Pediat Intens Care, D-06110 Halle, Germany; [Heselich, Valerie; Huebner, Johannes] Ludwig Maximilians Univ Munchen, Dr Von Hauner Childrens Hosp, Dept Paediat, D-80337 Munich, Germany; [Oberhoff, Carsten] Klinikum Links Weser, Dept Gynecol &amp; Obstet, D-28277 Bremen, Germany; [Schild, Ralf] DIAKOVERE Henriettenstift Hanover, Dept Obstet &amp; Perinatal Med, D-30559 Hannover, Germany; [Seeger, Sven] Hosp St Elisabeth &amp; St Barbara, Dept Gynecol &amp; Obstet, D-06110 Halle, Germany; [Tchirikov, Michael] Univ Clin &amp; Outpatient Clin Obstet &amp; Prenatal Med, D-06120 Halle, Germany; [von Kaisenberg, Constantin] Hannover Med Sch, Dept Obstet Gynecol &amp; Reprod Med, D-30625 Hannover, Germany</t>
  </si>
  <si>
    <t xml:space="preserve">Martin Luther University Halle Wittenberg; Helmholtz Association; Helmholtz-Center for Infection Research; University of Munster; Klinikum Bremen-Mitte; Hannover Medical School; Helmholtz Association; Helmholtz-Center for Infection Research; University of Munich; Hannover Medical School</t>
  </si>
  <si>
    <t xml:space="preserve">Gottschick, C (corresponding author), Martin Luther Univ Halle Wittenberg, Inst Med Epidemiol Biometr &amp; Informat, Interdisciplinary Ctr Hlth Sci, Med Sch, D-06112 Halle, Germany.</t>
  </si>
  <si>
    <t xml:space="preserve">Susan.langer@uk-halle.de; Johannes.horn@uk-halle.de; Cornelia.gottschick@uk-halle.de; Bianca.Klee@uk-halle.de; Oliver.Purschke@uk-halle.de; mahrrouz_hoodgar@yahoo.de; e.dorendorf@hbk-bs.de; kristin.schlinkmann@gmail.com; heike.rosin@gmail.com; akarch@uni-muenster.de; Nicole.Ruebsamen@ukmuenster.de; Mustafa.Aydogdu@Klinikum-Bremen-Mitte.de; matthias.buhles@klinikum-wolfenbuettel.de; dressler.frank@mh-hannover.de; w.eberl@klinikum-braunschweig.de; franz.koch@dritter-orden.de; Tframbach@sjs-bremen.de; h.franz@klinikum-braunschweig.de; guthmann@hka.de; Carlos.Guzman@helmholtz-hzi.de; r.haase@krankenhaus-halle-saale.de; hansen.gesine@mh-hannover.de; valerie.heselich@gmx.net; Johannes.huebner@med.uni-muenchen.de; hg.koch@klinikum-braunschweig.de; carsten.oberhoff@klinikum-bremen-ldw.de; peggy.riese@helmholtz-hzi.de; Ralf.Schild@diakovere.de; s.seeger@krankenhaus-halle-saale.de; michael.tchirikov@uk-halle.de; stephanie.trittel@helmholtz-hzi.de; vonkaisenberg.constantin@mh-hannover.de; Rafael.mikolajczyk@uk-halle.de</t>
  </si>
  <si>
    <t xml:space="preserve">Rübsamen, Nicole/S-2460-2019; von Kaisenberg, Constantin/AAR-2756-2021; Gottschick, Cornelia/HJI-1513-2023; Guzmán, Carlos/JFB-1616-2023; Mikolajczyk, Rafael/ABB-5259-2021; Huebner, Johannes/KVY-7036-2024</t>
  </si>
  <si>
    <t xml:space="preserve">Langer, Susan/0000-0002-7656-9696; Schild, Ralf/0000-0001-7316-459X; Rubsamen, Nicole/0000-0003-2198-5577; Huebner, Johannes/0000-0003-1232-4646; Gottschick, Cornelia/0000-0002-5822-1055; Guzman, Carlos Alberto/0000-0002-2913-5254; Klee, Bianca/0000-0001-5453-7207; Horn, Johannes/0000-0001-6714-8016</t>
  </si>
  <si>
    <t xml:space="preserve">HZI and the Martin-Luther University</t>
  </si>
  <si>
    <t xml:space="preserve">This study was funded internally by HZI and the Martin-Luther University, Germany.</t>
  </si>
  <si>
    <t xml:space="preserve">10.3390/microorganisms10010111</t>
  </si>
  <si>
    <t xml:space="preserve">YN0GR</t>
  </si>
  <si>
    <t xml:space="preserve">WOS:000746946700001</t>
  </si>
  <si>
    <t xml:space="preserve">Zuurbier, RP; Bogaert, D; Piters, WAAD; Arp, K; Chu, MLJN; Sanders, EAM; van Houten, MA</t>
  </si>
  <si>
    <t xml:space="preserve">Zuurbier, Roy P.; Bogaert, Debby; Piters, Wouter A. A. de Steenhuijsen; Arp, Kayleigh; Chu, Mei Ling J. N.; Sanders, Elisabeth A. M.; van Houten, Marlies A.</t>
  </si>
  <si>
    <t xml:space="preserve">Asymptomatic Viral Presence in Early Life Precedes Recurrence of Respiratory Tract Infections</t>
  </si>
  <si>
    <t xml:space="preserve">birth cohort study; respiratory viruses; respiratory tract infections; asymptomatic viral detection; infants</t>
  </si>
  <si>
    <t xml:space="preserve">REAL-TIME PCR; 1ST YEAR; SYSTEMATIC ANALYSIS; SYNCYTIAL VIRUS; CHILDREN; MICROBIOTA; PATHOGENS; CORONAVIRUSES; PERFORMANCE; SPECIMENS</t>
  </si>
  <si>
    <t xml:space="preserve">Background:Respiratory tract infections (RTIs) in infants are often caused by viruses. Although respiratory syncytial virus (RSV), influenza virus and human metapneumovirus (hMPV) can be considered the most pathogenic viruses in children, rhinovirus (RV) is often found in asymptomatic infants as well. Little is known about the health consequences of viral presence, especially early in life. We aimed to examine the dynamics of (a)symptomatic viral presence and relate early viral detection to susceptibility to RTIs in infants. Methods:In a prospective birth cohort of 117 infants, we tested 1304 nasopharyngeal samples obtained from 11 consecutive regular sampling moments, and during acute RTIs across the first year of life for 17 respiratory viruses by quantitative PCR. Associations between viral presence, viral (sub)type, viral load, viral co-detection and symptoms were tested by generalized estimating equation (GEE) models. Results:RV was the most detected virus. RV was negatively associated [GEE: adjusted odds ratio (aOR) 0.41 (95% CI 0.18-0.92)], and hMPV, RSV, parainfluenza 2 and 4 and human coronavirus HKU1 were positively associated with an acute RTI. Asymptomatic RV in early life was, however, associated with increased susceptibility to and recurrence of RTIs later in the first year of life (Kaplan-Meier survival analysis: P = 0.022). Conclusions:Respiratory viruses, including the seasonal human coronaviruses, are often detected in infants, and are often asymptomatic. Early life RV presence is, though negatively associated with an acute RTI, associated with future susceptibility to and recurrence of RTIs. Further studies on potential ecologic or immunologic mechanisms are needed to understand these observations.</t>
  </si>
  <si>
    <t xml:space="preserve">[Zuurbier, Roy P.; Bogaert, Debby; Arp, Kayleigh; Chu, Mei Ling J. N.; Sanders, Elisabeth A. M.] Univ Med Ctr Utrecht, Wilhelmina Childrens Hosp, Dept Pediat Immunol &amp; Infect Dis, Utrecht, South Africa; [Zuurbier, Roy P.; van Houten, Marlies A.] Spaarne Gasthuis Acad, Hoofddorp, Netherlands; [Zuurbier, Roy P.; van Houten, Marlies A.] Spaarne Gasthuis Acad, Haarlem, Netherlands; [Bogaert, Debby] Univ Edinburgh, Med Res Council, Edinburgh, Scotland; [Bogaert, Debby] Univ Edinburgh, Queens Med Res Inst, Ctr Inflammat Res, Edinburgh, Scotland; [Piters, Wouter A. A. de Steenhuijsen; Arp, Kayleigh; Chu, Mei Ling J. N.; Sanders, Elisabeth A. M.] Natl Inst Publ Hlth &amp; Environm, Bilthoven, Netherlands; [van Houten, Marlies A.] Spaarne Gasthuis, Dept Pediat, Spaarnepoort 1, NL-2134 TM Hoofddorp, Netherlands; [van Houten, Marlies A.] Spaarne Gasthuis, Dept Pediat, Haarlem, Netherlands</t>
  </si>
  <si>
    <t xml:space="preserve">Spaarne Hospital; Spaarne Hospital; UK Research &amp; Innovation (UKRI); Medical Research Council UK (MRC); University of Edinburgh; University of Edinburgh; Netherlands National Institute for Public Health &amp; the Environment; Spaarne Hospital; Spaarne Hospital</t>
  </si>
  <si>
    <t xml:space="preserve">van Houten, MA (corresponding author), Spaarne Gasthuis, Dept Pediat, Spaarnepoort 1, NL-2134 TM Hoofddorp, Netherlands.</t>
  </si>
  <si>
    <t xml:space="preserve">r.p.zuurbier@gmail.com; d.bogaert@ed.ac.uk; wouter.de.steenhuijsen.piters@rivm.nl; kayleigh.arp@rivm.nl; mei.ling.chu@rivm.nl; lieke.sanders@rivm.nl; Mvanhouten2@spaarnegasthuis.nl</t>
  </si>
  <si>
    <t xml:space="preserve">de Steenhuijsen Piters, Wouter/AAI-9952-2020</t>
  </si>
  <si>
    <t xml:space="preserve">van Houten, Marlies/0000-0002-5942-8082; de Steenhuijsen Piters, Wouter/0000-0002-1144-4067; Zuurbier, Roy/0000-0001-5789-1084; Sanders, Elisabeth/0000-0002-6672-3266; Bogaert, Debby/0000-0003-2651-7000</t>
  </si>
  <si>
    <t xml:space="preserve">Netherlands Organisation for Scientific research (NWO-VIDI) [91715359]; CSO/NRS Scottish Senior Clinical Fellowship award [SCAF/16/03]; Spaarne Gasthuis Hospital Haarlem/Hoofddorp; UMC Utrecht, Netherlands</t>
  </si>
  <si>
    <t xml:space="preserve">Netherlands Organisation for Scientific research (NWO-VIDI)(Netherlands Organization for Scientific Research (NWO)); CSO/NRS Scottish Senior Clinical Fellowship award; Spaarne Gasthuis Hospital Haarlem/Hoofddorp; UMC Utrecht, Netherlands</t>
  </si>
  <si>
    <t xml:space="preserve">This work was supported in part by The Netherlands Organisation for Scientific research (NWO-VIDI; grant 91715359) and CSO/NRS Scottish Senior Clinical Fellowship award (SCAF/16/03). The study was co-sponsored by the Spaarne Gasthuis Hospital Haarlem/Hoofddorp and the UMC Utrecht, The Netherlands.</t>
  </si>
  <si>
    <t xml:space="preserve">10.1097/INF.0000000000003732</t>
  </si>
  <si>
    <t xml:space="preserve">6X0BE</t>
  </si>
  <si>
    <t xml:space="preserve">WOS:000896088500024</t>
  </si>
  <si>
    <t xml:space="preserve">Aronis, JM; Ye, Y; Espino, J; Hochheiser, H; Michaels, MG; Cooper, GF</t>
  </si>
  <si>
    <t xml:space="preserve">Aronis, John M.; Ye, Ye; Espino, Jessi; Hochheiser, Harry; Michaels, Marian G.; Cooper, Gregory F.</t>
  </si>
  <si>
    <t xml:space="preserve">A Bayesian System to Detect and Track Outbreaks of Influenza-Like Illnesses Including Novel Diseases: Algorithm Development and Validation</t>
  </si>
  <si>
    <t xml:space="preserve">biosurveillance; outbreak; novel disease; natural language processing; disease modeling; Bayesian modeling; influenza; influenza-like illnesses; novel diseases; public health; COVID-19; SARS-CoV-2; coronavirus; hospital; hospitals; emergency department; patient care; NLP; algorithm; respiratory syncytial; human metapneumovirus; parainfluenza; Pennsylvania; enterovirus D68; surveillance</t>
  </si>
  <si>
    <t xml:space="preserve">SURVEILLANCE; CHILDREN; NETWORK</t>
  </si>
  <si>
    <t xml:space="preserve">Background: The early identification of outbreaks of both known and novel influenza-like illnesses (ILIs) is an important public health problem. Objective: This study aimed to describe the design and testing of a tool that detects and tracks outbreaks of both known and novel ILIs, such as the SARS-CoV-2 worldwide pandemic, accurately and early. Methods: This paper describes the ILI Tracker algorithm that first models the daily occurrence of a set of known ILIs in hospital emergency departments in a monitored region using findings extracted from patient care reports using natural language processing. We then show how the algorithm can be extended to detect and track the presence of an unmodeled disease that may representa novel disease outbreak. Results: We include results based on modeling diseases like influenza, respiratory syncytial virus, human metapneumovirus, and parainfluenza for 5 emergency departments in Allegheny County, Pennsylvania, from June 1, 2014, to May 31, 2015. We also include the results of detecting the outbreak of an unmodeled disease, which in retrospect was very likely an outbreak of the enterovirus D68 (EV-D68). Conclusions: The results reported in this paper provide support that ILI Tracker was able to track well the incidence of 4modeled influenza-like diseases over a 1-year period, relative to laboratory-confirmed cases, and it was computationally efficient in doing so. The system was also able to detect a likely novel outbreak of EV-D68 early in an outbreak that occurred in Allegheny County in 2014 as well as clinically characterize that outbreak disease accurately.</t>
  </si>
  <si>
    <t xml:space="preserve">[Aronis, John M.; Ye, Ye; Espino, Jessi; Hochheiser, Harry; Cooper, Gregory F.] Univ Pittsburgh, Dept Biomed Informat, 5607 Baum Blvd,Suite 500, Pittsburgh, PA 15206 USA; [Michaels, Marian G.] Univ Pittsburgh, UPMC Childrens Hosp Pittsburgh, Sch Med, Dept Pediat, Pittsburgh, PA USA</t>
  </si>
  <si>
    <t xml:space="preserve">Aronis, JM (corresponding author), Univ Pittsburgh, Dept Biomed Informat, 5607 Baum Blvd,Suite 500, Pittsburgh, PA 15206 USA.</t>
  </si>
  <si>
    <t xml:space="preserve">jma18@pitt.edu</t>
  </si>
  <si>
    <t xml:space="preserve">Ye, Ye/T-2154-2019</t>
  </si>
  <si>
    <t xml:space="preserve">Ye, Ye/0000-0002-1138-9846; Michaels, Marian/0000-0002-2556-0544</t>
  </si>
  <si>
    <t xml:space="preserve">This work was supported by grant R01LM013509 (Automated Surveillance of Overlapping Outbreaks and New Outbreak Diseases) from the National Library of Medicine of the US National Institutes of Health (NIH) . HH was supported by Models of Infectious Disease Agent Study grant U24GM132013. YY was supported by grant R00LM013383 from NIH/National Library of Medicine. The content of this paper is solely the responsibility of the authors and does not necessarily represent the official views of the NIH.</t>
  </si>
  <si>
    <t xml:space="preserve">e57349</t>
  </si>
  <si>
    <t xml:space="preserve">10.2196/57349</t>
  </si>
  <si>
    <t xml:space="preserve">I9H5P</t>
  </si>
  <si>
    <t xml:space="preserve">WOS:001333292200020</t>
  </si>
  <si>
    <t xml:space="preserve">Takamizawa, K; Shindo, T; Ono, H; Kato, H</t>
  </si>
  <si>
    <t xml:space="preserve">Takamizawa, Koichi; Shindo, Takahiro; Ono, Hiroshi; Kato, Hitoshi</t>
  </si>
  <si>
    <t xml:space="preserve">Infantile takotsubo cardiomyopathy following human metapneumovirus infection</t>
  </si>
  <si>
    <t xml:space="preserve">biopsy; cardiac catheterization; cardiomegaly; human metapneumovirus; takotsubo cardiomyopathy</t>
  </si>
  <si>
    <t xml:space="preserve">[Takamizawa, Koichi; Shindo, Takahiro; Ono, Hiroshi; Kato, Hitoshi] Natl Ctr Child Hlth &amp; Dev, Div Cardiol, Tokyo, Japan</t>
  </si>
  <si>
    <t xml:space="preserve">National Center for Child Health &amp; Development - Japan</t>
  </si>
  <si>
    <t xml:space="preserve">Takamizawa, K (corresponding author), Natl Ctr Child Hlth &amp; Dev, Div Cardiol, Setagaya Ku, 2-10-1 Okura, Tokyo 1578535, Japan.</t>
  </si>
  <si>
    <t xml:space="preserve">k.takami46@gmail.com</t>
  </si>
  <si>
    <t xml:space="preserve">gao jian ze, xing yi/0000-0003-0275-1513</t>
  </si>
  <si>
    <t xml:space="preserve">e15125</t>
  </si>
  <si>
    <t xml:space="preserve">10.1111/ped.15125</t>
  </si>
  <si>
    <t xml:space="preserve">0I6FD</t>
  </si>
  <si>
    <t xml:space="preserve">WOS:000779513600001</t>
  </si>
  <si>
    <t xml:space="preserve">Aliravci, ID; Celik, T; celik-Ekinci, S; Hamidi, AA</t>
  </si>
  <si>
    <t xml:space="preserve">Aliravci, Isil Deniz; Celik, Taylan; celik-Ekinci, Semiha; Hamidi, Aziz Ahmad</t>
  </si>
  <si>
    <t xml:space="preserve">Bibliometric Analysis of Human Metapneumovirus Studies</t>
  </si>
  <si>
    <t xml:space="preserve">INFECTIOUS DISEASES AND CLINICAL MICROBIOLOGY</t>
  </si>
  <si>
    <t xml:space="preserve">bibliometric analysis; publication; hMPV; human metapneumovirus</t>
  </si>
  <si>
    <t xml:space="preserve">VIRUS; INFECTIONS; RIBAVIRIN</t>
  </si>
  <si>
    <t xml:space="preserve">Objective: This study aimed to estimate research productivity and general characteristics of research in different regions of the world in the field of human metapneumovirus (hMPV). Materials and Methods: We used the Web of Science (WoS) electronic database to retrieve articles on human metapneumovirus, published up to March 31, 2023. Parameters such as research productivity, the total number of publications, average citation counts of all ar-ticles, research productivity by top publishing countries and affiliated organizations, links between countries/organizations, and top keywords were assessed. Results: We found 826 articles in the WoS database. The first article on hMPV was pub-lished in 2002, and 2008 was the year that the most articles on hMPV were published, with 70 articles. The articles were cited 26,797 times (14,498 times without self-citations) and 32.25 times on average per article. Hirsch (H)-index was 80. The year 2008 also had the highest number of citations, with more than 1800. The United States was the most pro-ductive country, producing 295 documents (35.714%), one-third of all publications in this field worldwide. Canada (6.5%) and Japan (6.5%) followed the United States regarding total hMPV publications worldwide. The leading funding agencies for hMPV research were from the United States, Europe, China, and Japan. Conclusion: Our findings imply that developed countries should assist developing countries in enhancing their research infrastructures.</t>
  </si>
  <si>
    <t xml:space="preserve">[Aliravci, Isil Deniz] Canakkale 18 Mart Univ Hosp, Dept Infect Dis &amp; Clin Microbiol, Canakkale, Turkiye; [Celik, Taylan] Canakkale 18 Mart Univ Hosp, Dept Pediat, Canakkale, Turkiye; [celik-Ekinci, Semiha; Hamidi, Aziz Ahmad] Univ Hlth Sci, Fatih Sultan Mehmet Training &amp; Res Hosp, Istanbul, Turkiye</t>
  </si>
  <si>
    <t xml:space="preserve">Canakkale Onsekiz Mart University; Canakkale Onsekiz Mart University; University of Health Sciences Turkey; Fatih Sultan Mehmet Training &amp; Research Hospital</t>
  </si>
  <si>
    <t xml:space="preserve">Aliravci, ID (corresponding author), Canakkale 18 Mart Univ Hosp, Dept Infect Dis &amp; Clin Microbiol, Canakkale, Turkiye.</t>
  </si>
  <si>
    <t xml:space="preserve">isildeniz.aliravci@comu.edu.tr</t>
  </si>
  <si>
    <t xml:space="preserve">hamidi, aziz/GQP-0532-2022; Çelik Ekinci, Semiha/HPH-6509-2023; ALIRAVCI, IŞIL/GSD-4338-2022</t>
  </si>
  <si>
    <t xml:space="preserve">Celik Ekinci, Semiha/0000-0002-6264-1685; Aliravci, Isil Deniz/0000-0002-4740-1579</t>
  </si>
  <si>
    <t xml:space="preserve">DOC DESIGN INFORMATICS CO LTD</t>
  </si>
  <si>
    <t xml:space="preserve">Yali Mah Rihtim Cad Tevetoglu Apt No 7 D 6, ISTANBUL, Turkiye</t>
  </si>
  <si>
    <t xml:space="preserve">2667-646X</t>
  </si>
  <si>
    <t xml:space="preserve">INFECT DIS CLIN MICR</t>
  </si>
  <si>
    <t xml:space="preserve">Infect. Dis. Clin. Microbiol.</t>
  </si>
  <si>
    <t xml:space="preserve">10.36519/idcm.2023.250</t>
  </si>
  <si>
    <t xml:space="preserve">HE7O6</t>
  </si>
  <si>
    <t xml:space="preserve">WOS:001157884800010</t>
  </si>
  <si>
    <t xml:space="preserve">Zhao, YJ; Lu, RJ; Shen, J; Xie, ZD; Liu, GS; Tan, WJ</t>
  </si>
  <si>
    <t xml:space="preserve">Zhao, Yanjie; Lu, Roujian; Shen, Jun; Xie, Zhengde; Liu, Gaoshan; Tan, Wenjie</t>
  </si>
  <si>
    <t xml:space="preserve">Comparison of viral and epidemiological profiles of hospitalized children with severe acute respiratory infection in Beijing and Shanghai, China</t>
  </si>
  <si>
    <t xml:space="preserve">Beijing; Children; Epidemiological profile; Nasopharyngeal aspirates; Polymerase chain reaction; Severe acute respiratory infection; Shanghai; Virus</t>
  </si>
  <si>
    <t xml:space="preserve">TRACT INFECTIONS; CLINICAL CHARACTERISTICS; HUMAN CORONAVIRUSES; HUMAN BOCAVIRUS; VIRUSES; ETIOLOGY; ASSOCIATIONS; PREVALENCE; INFANTS</t>
  </si>
  <si>
    <t xml:space="preserve">Background No comparison data have been reported on viral and epidemiological profiles of hospitalized children with severe acute respiratory infection (SARI) in Beijing or Shanghai, China. Methods We collected 700 nasopharyngeal aspirates (NPA) from hospitalized children with SARI in Beijing (northern China) and Shanghai (southern China). Multiple respiratory viruses (including 15 common viruses) were screened by validated polymerase chain reaction (PCR) or real-time reverse transcription-PCR assays and confirmed by sequencing. Demographic data and the distribution of viral infections were also examined. Results Of 700 samples, 547 (78.1%) tested positive for viral infections. The picornaviruses (PIC), which included rhinovirus (RV) and enterovirus (EV), were the most common (34.0%), followed by respiratory syncytial virus (RSV) (28.3%), human bocavirus (HBoV) (19.1%), adenovirus (ADV) (13.7%), human coronaviruses (HCoV) (10.7%), influenza A and B (8.9%), parainfluenza virus (PIV 1-3) (7.9%), and human metapneumovirus (HMPV) (5.0%). PIC (RV/EV) and RSV were the most prevalent etiological agents of SARI in both cities. The total and age-matched prevalence of RSV, HCoV, and hMPV among SARI children under 5 years old were significantly higher in Beijing than in Shanghai. Different age and seasonal distribution patterns of the viral infections were found between Beijing and Shanghai. Conclusions Viral infection was tested and shown to be the most prevalent etiological agent among children with SARI in either the Beijing or the Shanghai area, while showing different patterns of viral and epidemiological profiles. Our findings provide a better understanding of the roles of geographic location and climate in respiratory viral infections in hospitalized children with SARI.</t>
  </si>
  <si>
    <t xml:space="preserve">[Zhao, Yanjie; Liu, Gaoshan; Tan, Wenjie] Wenzhou Med Univ, Minist Educ, Key Lab Lab Med, Wenzhou, Zhejiang, Peoples R China; [Zhao, Yanjie; Liu, Gaoshan; Tan, Wenjie] Wenzhou Med Univ, Inst Med Virol, Wenzhou, Zhejiang, Peoples R China; [Zhao, Yanjie; Lu, Roujian; Tan, Wenjie] China CDC, Natl Inst Viral Dis Control &amp; Prevent, 155 Changbai Rd, Beijing 102206, Peoples R China; [Shen, Jun] Fudan Univ, Childrens Hosp, Shanghai, Peoples R China; [Xie, Zhengde] Capital Med Univ, Beijing Childrens Hosp, Key Lab Major Dis Children, Minist Educ,Beijing Pediat Res Inst, Beijing 100045, Peoples R China; [Xie, Zhengde] Capital Med Univ, Beijing Childrens Hosp, Key Discipline Pediat, Minist Educ,Beijing Pediat Res Inst, Beijing 100045, Peoples R China</t>
  </si>
  <si>
    <t xml:space="preserve">Wenzhou Medical University; Wenzhou Medical University; Chinese Center for Disease Control &amp; Prevention; National Institute for Viral Disease Control &amp; Prevention, Chinese Center for Disease Control &amp; Prevention; Fudan University; Capital Medical University; Capital Medical University</t>
  </si>
  <si>
    <t xml:space="preserve">Tan, WJ (corresponding author), Wenzhou Med Univ, Minist Educ, Key Lab Lab Med, Wenzhou, Zhejiang, Peoples R China.;Tan, WJ (corresponding author), Wenzhou Med Univ, Inst Med Virol, Wenzhou, Zhejiang, Peoples R China.;Tan, WJ (corresponding author), China CDC, Natl Inst Viral Dis Control &amp; Prevent, 155 Changbai Rd, Beijing 102206, Peoples R China.</t>
  </si>
  <si>
    <t xml:space="preserve">zhaoyanjie1022x@126.com; tanwj28@163.com</t>
  </si>
  <si>
    <t xml:space="preserve">Tan, Wenjie/JOZ-1821-2023</t>
  </si>
  <si>
    <t xml:space="preserve">Tan, Wenjie/0000-0002-5963-1136</t>
  </si>
  <si>
    <t xml:space="preserve">National Major Project for Control and Prevention of Infectious Disease in China [2017ZX10104001-002-003, 2014ZX10004001-002]; National Key Research and Development Program of China [2016YFD0500301, 2016YFC1200200]</t>
  </si>
  <si>
    <t xml:space="preserve">National Major Project for Control and Prevention of Infectious Disease in China; National Key Research and Development Program of China(National Key Research &amp; Development Program of China)</t>
  </si>
  <si>
    <t xml:space="preserve">This work was supported by the National Major Project for Control and Prevention of Infectious Disease in China (2017ZX10104001-002-003 and 2014ZX10004001-002), and the National Key Research and Development Program of China (2016YFD0500301 and 2016YFC1200200). The funders had no role in the study design, data collection and analysis, decision to publish, or preparation of the manuscript.</t>
  </si>
  <si>
    <t xml:space="preserve">10.1186/s12879-019-4385-5</t>
  </si>
  <si>
    <t xml:space="preserve">IT5UI</t>
  </si>
  <si>
    <t xml:space="preserve">WOS:000482932100004</t>
  </si>
  <si>
    <t xml:space="preserve">Islam, MA; Hassan, MZ; Aleem, MA; Akhtar, Z; Chowdhury, S; Rahman, M; Rahman, MZ; Ahmmed, MK; Mah-E-Muneer, S; Alamgir, ASM; Anwar, SNR; Alam, AN; Shirin, T; Rahman, M; Davis, WW; Mott, JA; Azziz-Baumgartner, E; Chowdhury, F</t>
  </si>
  <si>
    <t xml:space="preserve">Islam, Md Ariful; Hassan, Md Zakiul; Aleem, Mohammad Abdul; Akhtar, Zubair; Chowdhury, Sukanta; Rahman, Mustafizur; Rahman, Mohammed Ziaur; Ahmmed, Md Kaousar; Mah-E-Muneer, Syeda; Alamgir, A. S. M.; Anwar, Shah Niaz Rubaid; Alam, Ahmed Nawsher; Shirin, Tahmina; Rahman, Mahmudur; Davis, William W.; Mott, Joshua A.; Azziz-Baumgartner, Eduardo; Chowdhury, Fahmida</t>
  </si>
  <si>
    <t xml:space="preserve">Lessons learned from identifying clusters of severe acute respiratory infections with influenza sentinel surveillance, Bangladesh, 2009-2020</t>
  </si>
  <si>
    <t xml:space="preserve">Bangladesh; cluster; influenza; SARI; surveillance</t>
  </si>
  <si>
    <t xml:space="preserve">INTERNATIONAL HEALTH REGULATIONS; EPIDEMIOLOGY; VIRUSES; AGE; PCR</t>
  </si>
  <si>
    <t xml:space="preserve">Background: We explored whether hospital-based surveillance is useful in detecting severe acute respiratory infection (SARI) clusters and how often these events result in outbreak investigation and community mitigation.Methods: During May 2009-December 2020, physicians at 14 sentinel hospitals prospectively identified SARI clusters (i.e., &gt;= 2 SARI cases who developed symptoms &lt;= 10 days of each other and lived &lt;30 min walk or &lt;3 km from each other). Oropharyngeal and nasopharyngeal swabs were tested for influenza and other respiratory viruses by real-time reverse transcriptase-polymerase chain reaction (rRT-PCR). We describe the demographic of persons within clusters, laboratory results, and outbreak investigations.Results: Field staff identified 464 clusters comprising 1427 SARI cases (range 0-13 clusters per month). Sixty percent of clusters had three, 23% had two, and 17% had &gt;= 4 cases. Their median age was 2 years (inter-quartile range [IQR] 0.4-25) and 63% were male. Laboratory results were available for the 464 clusters with a median of 9 days (IQR = 6-13 days) after cluster identification. Less than one in five clusters had cases that tested positive for the same virus: respiratory syncytial virus (RSV) in 58 (13%), influenza viruses in 24 (5%), human metapneumovirus (HMPV) in five (1%), human parainfluenza virus (HPIV) in three (0.6%), adenovirus in two (0.4%). While 102/464 (22%) had poultry exposure, none tested positive for influenza A (H5N1) or A (H7N9). None of the 464 clusters led to field deployments for outbreak response.Conclusions: For 11 years, none of the hundreds of identified clusters led to an emergency response. The value of this event-based surveillance might be improved by seeking larger clusters, with stronger epidemiologic ties or decedents.</t>
  </si>
  <si>
    <t xml:space="preserve">[Islam, Md Ariful; Hassan, Md Zakiul; Aleem, Mohammad Abdul; Akhtar, Zubair; Chowdhury, Sukanta; Rahman, Mustafizur; Rahman, Mohammed Ziaur; Ahmmed, Md Kaousar; Mah-E-Muneer, Syeda; Chowdhury, Fahmida] Icddr B, Infect Dis Div, Dhaka, Bangladesh; [Hassan, Md Zakiul] Univ Oxford, Nuffield Dept Med, Oxford, England; [Aleem, Mohammad Abdul] Univ New South Wales, Sch Populat Hlth, Sydney, NSW, Australia; [Akhtar, Zubair] Univ New South Wales, Kirby Inst, Biosecur Program, Sydney, NSW, Australia; [Alamgir, A. S. M.; Anwar, Shah Niaz Rubaid; Alam, Ahmed Nawsher; Shirin, Tahmina] Inst Epidemiol Dis Control &amp; Res IEDCR, Dhaka, Bangladesh; [Rahman, Mahmudur] EMPHNET, Global Hlth Dev, Dhaka, Bangladesh; [Davis, William W.; Mott, Joshua A.; Azziz-Baumgartner, Eduardo] Ctr Dis Control &amp; Prevent CDC, Influenza Div, Atlanta, GA USA</t>
  </si>
  <si>
    <t xml:space="preserve">International Centre for Diarrhoeal Disease Research (ICDDR); University of Oxford; University of New South Wales Sydney; University of New South Wales Sydney; Kirby Institute; Centers for Disease Control &amp; Prevention - USA</t>
  </si>
  <si>
    <t xml:space="preserve">Islam, MA (corresponding author), Icddr B, Infect Dis Div, Programme Emerging Infect, Dhaka 1212, Bangladesh.</t>
  </si>
  <si>
    <t xml:space="preserve">arif@icddrb.org</t>
  </si>
  <si>
    <t xml:space="preserve">Aleem, Mohammad/LSL-4916-2024; Chowdhury, Sukanta/HMV-3898-2023; Rahman, Md Mahmudur/AAB-7011-2021</t>
  </si>
  <si>
    <t xml:space="preserve">Chowdhury, Sukanta/0000-0003-3053-4241; Islam, Md. Ariful/0000-0002-0734-5832; Zubair Akhtar, Abu Muhammad/0000-0001-5054-9243; Hassan, Md. Zakiul/0000-0001-5888-1558; Mah-E-Muneer, Syeda/0000-0001-8871-3184</t>
  </si>
  <si>
    <t xml:space="preserve">The authors acknowledge the efforts and contributions of the administrators, collaborators, surveillance physicians, field staff, and participants at the surveillance hospitals. Hospital-based influenza surveillance was funded by the Centers for Disease Co; Centers for Disease Control and Prevention (CDC), Atlanta, USA</t>
  </si>
  <si>
    <t xml:space="preserve">The authors acknowledge the efforts and contributions of the administrators, collaborators, surveillance physicians, field staff, and participants at the surveillance hospitals. Hospital-based influenza surveillance was funded by the Centers for Disease Co; Centers for Disease Control and Prevention (CDC), Atlanta, USA(United States Department of Health &amp; Human ServicesCenters for Disease Control &amp; Prevention - USA)</t>
  </si>
  <si>
    <t xml:space="preserve">The authors acknowledge the efforts and contributions of the administrators, collaborators, surveillance physicians, field staff, and participants at the surveillance hospitals. Hospital-based influenza surveillance was funded by the Centers for Disease Control and Prevention (CDC), Atlanta, USA. icddr,b acknowledges with gratitude the commitment of CDC to its evaluation efforts. icddr,b is thankful to the Governments of Bangladesh and Canada for providing core/unrestricted support. We express our gratitude to Dr. Abdullah Al Mamun (icddr,b) for his contribution in developing the manuscript. We also express our gratitude to Dr. Robin Spratling (US-CDC) for her scientific editing.</t>
  </si>
  <si>
    <t xml:space="preserve">e13201</t>
  </si>
  <si>
    <t xml:space="preserve">10.1111/irv.13201</t>
  </si>
  <si>
    <t xml:space="preserve">FI0A2</t>
  </si>
  <si>
    <t xml:space="preserve">WOS:001145003200001</t>
  </si>
  <si>
    <t xml:space="preserve">Noyola, E; Noor, A; Sweeney, N; Chan, J; Ramesh, R; Calixte, R; Krilov, LR</t>
  </si>
  <si>
    <t xml:space="preserve">Noyola, Estela; Noor, Asif; Sweeney, Nicole; Chan, Joshua; Ramesh, Rahul; Calixte, Rose; Krilov, Leonard R.</t>
  </si>
  <si>
    <t xml:space="preserve">Prevalence of Bandemia in Respiratory Viral Infections: A Pediatric Emergency Room Experience</t>
  </si>
  <si>
    <t xml:space="preserve">bandemia; respiratory viral infections; fever; complete blood cell (CBC) count; absolute neutrophil count (ANC); absolute band count; film array</t>
  </si>
  <si>
    <t xml:space="preserve">BACTERIAL-INFECTIONS; IMMATURE NEUTROPHILS; COUNT; FEVER</t>
  </si>
  <si>
    <t xml:space="preserve">Objective: The aim of this study was to examine the prevalence of bandemia in confirmed respiratory viral infections in febrile infants and children presenting to the emergency department. Methods: An observational retrospective study from January 1, 2016, through December 31, 2016, was conducted in patients between the ages of &gt;= 1 month and &lt;= 5 years presenting to the emergency room with fever and who had a complete blood cell count performed. Patients were separated into seven groups based on the type of respiratory viral infection. Inclusion criteria strictly counted children with viral infections and absence of clinical and laboratory evidence of a bacterial coinfection. Results: A total of 419 patients had a documented viral infection. A significant proportion of these children were found to have bandemia; children with adenovirus (17%), respiratory syncytial virus (RSV) (14.9%), human metapneumovirus (hMPV) (13%), and parainfluenza virus (7.9%) had the highest prevalence when the cutoff for bandemia was set at 10%. The prevalence increased to 35.3, 30.9, 40.3, and 15.8% for adenovirus, RSV, hMPV, and parainfluenza virus, respectively, when this cutoff was lowered further to 5%. Conclusion: Band neutrophils are detected frequently in confirmed respiratory viral infections particularly during early stages.</t>
  </si>
  <si>
    <t xml:space="preserve">[Noyola, Estela; Noor, Asif; Sweeney, Nicole; Chan, Joshua; Ramesh, Rahul; Calixte, Rose; Krilov, Leonard R.] NYU Long Isl Sch Med, Dept Pediat, Mineola, NY 11501 USA; [Calixte, Rose] CUNY, Sch Med, Dept Community Hlth &amp; Social Med, New York, NY 10031 USA</t>
  </si>
  <si>
    <t xml:space="preserve">City University of New York (CUNY) System</t>
  </si>
  <si>
    <t xml:space="preserve">Noor, A (corresponding author), NYU Long Isl Sch Med, Dept Pediat, Mineola, NY 11501 USA.</t>
  </si>
  <si>
    <t xml:space="preserve">asif.noor@nyulangone.org</t>
  </si>
  <si>
    <t xml:space="preserve">Sweeney, Nicole/0000-0001-9633-9145; Noor, Asif/0000-0002-1593-0943; Calixte, Rose/0000-0002-2020-5906</t>
  </si>
  <si>
    <t xml:space="preserve">AstraZeneca (Medimmune); Regeneron; Sanofi Pasteur</t>
  </si>
  <si>
    <t xml:space="preserve">AstraZeneca (Medimmune)(AstraZeneca); Regeneron(Regeneron); Sanofi Pasteur</t>
  </si>
  <si>
    <t xml:space="preserve">Clinical research grants were paid to LK's institution, NYU Long Island School of Medicine, by AstraZeneca (Medimmune), Regeneron, and Sanofi Pasteur. These three companies had no role in the study design, data collection and analysis, decision to publish, or preparation of the manuscript.</t>
  </si>
  <si>
    <t xml:space="preserve">DEC 29</t>
  </si>
  <si>
    <t xml:space="preserve">10.3389/fped.2020.576676</t>
  </si>
  <si>
    <t xml:space="preserve">PU2EZ</t>
  </si>
  <si>
    <t xml:space="preserve">WOS:000609120600001</t>
  </si>
  <si>
    <t xml:space="preserve">Pilaev, M; Shen, Y; Carbonneau, J; Venable, MC; Rhéaume, C; Lavigne, S; Couture, C; Guarné, A; Hamelin, ME; Boivin, G</t>
  </si>
  <si>
    <t xml:space="preserve">Pilaev, Martin; Shen, Yao; Carbonneau, Julie; Venable, Marie-Christine; Rheaume, Chantal; Lavigne, Sophie; Couture, Christian; Guarne, Alba; Hamelin, Marie-Eve; Boivin, Guy</t>
  </si>
  <si>
    <t xml:space="preserve">Evaluation of pre- and post-fusion Human metapneumovirus F proteins as subunit vaccine candidates in mice</t>
  </si>
  <si>
    <t xml:space="preserve">Balb/C; hMPV; Fusion protein; Pre-fusion; Vaccine; Immunisation</t>
  </si>
  <si>
    <t xml:space="preserve">Human metapneumovirus (hMPV) is an important respiratory pathogen especially in young children and elderly subjects. Our objective was to assess the immunogenicity and protection conferred by predominant pre- and post-fusion (F) hMPV-F constructs in Balb/C mice. Immunizations without adjuvant were not immunogenic whereas alum-adjuvanted hMPV-F proteins, regardless of their conformations, generated comparable neutralizing antibody titers with undetectable pulmonary viral titers following viral challenge. In conclusion, we found no apparent advantage for mixtures of predominant pre-fusion F proteins over post-fusion conformations for hMPV vaccination in opposite to recent data obtained with the human respiratory syncytial virus. (C) 2020 Elsevier Ltd. All rights reserved.</t>
  </si>
  <si>
    <t xml:space="preserve">[Pilaev, Martin; Carbonneau, Julie; Venable, Marie-Christine; Rheaume, Chantal; Hamelin, Marie-Eve; Boivin, Guy] CHU Quebec, Infect Dis Res Ctr, Quebec City, PQ, Canada; [Pilaev, Martin; Carbonneau, Julie; Venable, Marie-Christine; Rheaume, Chantal; Hamelin, Marie-Eve; Boivin, Guy] Laval Univ, Quebec City, PQ, Canada; [Shen, Yao; Guarne, Alba] McGill Univ, Dept Biochem, Montreal, PQ, Canada; [Lavigne, Sophie; Couture, Christian] Laval Univ, Quebec Heart &amp; Lung Inst, Quebec City, PQ, Canada</t>
  </si>
  <si>
    <t xml:space="preserve">Laval University; Laval University; McGill University; Laval University; Quebec Heart &amp; Lung Institute</t>
  </si>
  <si>
    <t xml:space="preserve">Boivin, G (corresponding author), CHU Quebec, Infect Dis Res Ctr, Quebec City, PQ, Canada.;Boivin, G (corresponding author), Laval Univ, Quebec City, PQ, Canada.</t>
  </si>
  <si>
    <t xml:space="preserve">Hamelin, Marie-Eve/0000-0002-7568-5097; Boivin, Guy/0000-0003-3027-4662; Shen, Yao/0000-0002-0278-0771</t>
  </si>
  <si>
    <t xml:space="preserve">Canadian Institutes of Health Research [273261, PJT-155491]</t>
  </si>
  <si>
    <t xml:space="preserve">Canadian Institutes of Health Research(Canadian Institutes of Health Research (CIHR))</t>
  </si>
  <si>
    <t xml:space="preserve">This study was supported by grants from Canadian Institutes of Health Research No. 273261 to GB and PJT-155491 to AG.</t>
  </si>
  <si>
    <t xml:space="preserve">10.1016/j.vaccine.2020.01.047</t>
  </si>
  <si>
    <t xml:space="preserve">KT0UL</t>
  </si>
  <si>
    <t xml:space="preserve">WOS:000518725900004</t>
  </si>
  <si>
    <t xml:space="preserve">Hatem, AM; Abuelhassan, UE; Mohamed, SAA; Rizk, MS; El-kholy, A; Al-Harras, M</t>
  </si>
  <si>
    <t xml:space="preserve">Hatem, Ashraf M.; Abuelhassan, Usama E.; Mohamed, Sherif A. A.; Rizk, Magda S.; El-kholy, Amany; Al-Harras, Mohamed</t>
  </si>
  <si>
    <t xml:space="preserve">Viral and atypical bacterial etiologies of severe acute respiratory infection (SARI) in Egyptian patients: epidemiological patterns and results from the sentinel surveillance study 2010-2014</t>
  </si>
  <si>
    <t xml:space="preserve">EGYPTIAN JOURNAL OF CHEST DISEASES AND TUBERCULOSIS</t>
  </si>
  <si>
    <t xml:space="preserve">bacterial; Egypt; epidemiology; severe acute respiratory infection; surveillance; viral</t>
  </si>
  <si>
    <t xml:space="preserve">SYNCYTIAL VIRUS; CLINICAL CHARACTERISTICS; HUMAN METAPNEUMOVIRUS; TRACT INFECTIONS; HUMAN RHINOVIRUS; HUMAN BOCAVIRUS; CHILDREN; RISK</t>
  </si>
  <si>
    <t xml:space="preserve">Background Respiratory viral and atypical bacterial infections data in Egyptian patients are sparse. This study described the epidemiological pattern of viral and atypical bacteria as causes for severe acute respiratory infections (SARI) in hospitalized patients in Egypt. Patients and methods SARI surveillance was carried out at a Teaching University Hospital during the period 2010-2014. All hospitalized adults and pediatric patients meeting the WHO case definition criteria for SARI were enrolled. Nasopharyngeal/oropharyngeal swabs were collected and samples were tested using reverse transcription-PCR for influenza A, B, respiratory syncytial virus, human metapneumovirus, parainfluenza viruses 1, 2, 3, 4, adenovirus, human bocavirus, coronavirus, enterovirus, rhinovirus, and atypical bacteria (Mycoplasma spp., Chlamydia spp., and Legionella spp.). Results Overall, 1075/3207 (33.5%) cases had a viral etiology, and included 912 (84.4%) women and 163 (15.6%) men, with a mean age of 5.74 +/- 13.87 years. The highest rates were reported for respiratory syncytial virus (485 cases, 45.2%), parainfluenza virus (125, 11.6%), and adenovirus (105, 9.8%). Single viral etiology was reported in 901 (83.3%), while 174 (16.7%) cases had multiple etiologies. Children had a higher rate (981, 91.2%) compared with 94 (8.8%) cases in adults. Only three and one cases were positive for Mycoplasma spp. and Chlamydia spp. infections, respectively. Neither coronavirus nor Legionella spp. were detected. Conclusion Viral infections were encountered in one-third of hospitalized Egyptian adult and pediatric patients with SARI. Atypical bacteria had a minor role in SARI in our locality. Ongoing surveillance programs will better describe the epidemiology of SARI and will provide specific data to enable decision makers to take appropriate prevention measures.</t>
  </si>
  <si>
    <t xml:space="preserve">[Hatem, Ashraf M.; Abuelhassan, Usama E.] Cairo Univ, Fac Med, Dept Chest Dis, Cairo, Egypt; [Mohamed, Sherif A. A.] Assiut Univ, Fac Med, Dept Chest Dis &amp; TB, Assiut 71516, Egypt; [Rizk, Magda S.] Cairo Univ, Fac Med, Dept Anaethesia &amp; Intens Care, Cairo, Egypt; [El-kholy, Amany] Cairo Univ, Fac Med, Dept Clin Pathol, Cairo, Egypt; [Al-Harras, Mohamed] Mansura Univ, Fac Med, Dept Clin Pathol, Mansoura, Egypt</t>
  </si>
  <si>
    <t xml:space="preserve">Mohamed, SAA (corresponding author), Assiut Univ, Fac Med, Dept Chest Dis &amp; TB, Assiut 71516, Egypt.</t>
  </si>
  <si>
    <t xml:space="preserve">0422-7638</t>
  </si>
  <si>
    <t xml:space="preserve">EGYPT J CHEST DIS TU</t>
  </si>
  <si>
    <t xml:space="preserve">Egypt. J. Chest Dis. Tuberc.</t>
  </si>
  <si>
    <t xml:space="preserve">10.4103/ejcdt.ejcdt_96_18</t>
  </si>
  <si>
    <t xml:space="preserve">HP2YN</t>
  </si>
  <si>
    <t xml:space="preserve">WOS:000461542100016</t>
  </si>
  <si>
    <t xml:space="preserve">Shah, MM; Patel, K; Milucky, J; Taylor, CA; Reingold, A; Armistead, I; Meek, J; Anderson, EJ; Weigel, A; Reeg, L; Como-Sabetti, K; Ropp, SL; Muse, A; Bushey, S; Shiltz, E; Sutton, M; Talbot, HK; Chatelain, R; Havers, FP; Kirley, PD; Alden, NB; Yousey-Hindes, K; Openo, KP; Teno, K; Leegwater, L; Bye, E; Hancock, EB; Spina, N; Popham, K; Billing, LM; Abdullan, N; Schaffner, W; Roberts, ER</t>
  </si>
  <si>
    <t xml:space="preserve">Shah, Melisa M.; Patel, Kadam; Milucky, Jennifer; Taylor, Christopher A.; Reingold, Arthur; Armistead, Isaac; Meek, James; Anderson, Evan J.; Weigel, Andy; Reeg, Libby; Como-Sabetti, Kathryn; Ropp, Susan L.; Muse, Alison; Bushey, Sophrena; Shiltz, Eli; Sutton, Melissa; Talbot, H. Keipp; Chatelain, Ryan; Havers, Fiona P.; Kirley, Pam Daily; Alden, Nisha B.; Yousey-Hindes, Kimberly; Openo, Kyle P.; Teno, Kenzie; Leegwater, Lauren; Bye, Erica; Hancock, Emily B.; Spina, Nancy; Popham, Kevin; Billing, Laurie M.; Abdullan, Nasreen; Schaffner, William; Roberts, Emily R.</t>
  </si>
  <si>
    <t xml:space="preserve">CDC COVID NET Surveillance Team</t>
  </si>
  <si>
    <t xml:space="preserve">Bacterial and viral infections among adults hospitalized with COVID-19, COVID-NET, 14 states, March 2020-April 2022</t>
  </si>
  <si>
    <t xml:space="preserve">bacterial coinfection; COVID-19; COVID-NET; SARS-CoV-2; viral coinfection</t>
  </si>
  <si>
    <t xml:space="preserve">COINFECTIONS; INFLUENZA</t>
  </si>
  <si>
    <t xml:space="preserve">BackgroundBacterial and viral infections can occur with SARS-CoV-2 infection, but prevalence, risk factors, and associated clinical outcomes are not fully understood. MethodsWe used the Coronavirus Disease 2019-Associated Hospitalization Surveillance Network (COVID-NET), a population-based surveillance system, to investigate the occurrence of bacterial and viral infections among hospitalized adults with laboratory-confirmed SARS-CoV-2 infection between March 2020 and April 2022. Clinician-driven testing for bacterial pathogens from sputum, deep respiratory, and sterile sites were included. The demographic and clinical features of those with and without bacterial infections were compared. We also describe the prevalence of viral pathogens including respiratory syncytial virus, rhinovirus/enterovirus, influenza, adenovirus, human metapneumovirus, parainfluenza viruses, and non-SARS-CoV-2 endemic coronaviruses. ResultsAmong 36 490 hospitalized adults with COVID-19, 53.3% had bacterial cultures taken within 7 days of admission and 6.0% of these had a clinically relevant bacterial pathogen. After adjustment for demographic factors and co-morbidities, bacterial infections in patients with COVID-19 within 7 days of admission were associated with an adjusted relative risk of death 2.3 times that of patients with negative bacterial testing. Staphylococcus aureus and Gram-negative rods were the most frequently isolated bacterial pathogens. Among hospitalized adults with COVID-19, 2766 (7.6%) were tested for seven virus groups. A non-SARS-CoV-2 virus was identified in 0.9% of tested patients. ConclusionsAmong patients with clinician-driven testing, 6.0% of adults hospitalized with COVID-19 were identified to have bacterial coinfections and 0.9% were identified to have viral coinfections; identification of a bacterial coinfection within 7 days of admission was associated with increased mortality.</t>
  </si>
  <si>
    <t xml:space="preserve">[Shah, Melisa M.] Ctr Dis Control &amp; Prevent, Epidem Intelligence Serv, Atlanta, GA USA; [Shah, Melisa M.; Patel, Kadam; Milucky, Jennifer; Taylor, Christopher A.; Havers, Fiona P.] Ctr Dis Control &amp; Prevent, COVID 19 Emergency Response Team, Atlanta, GA USA; [Patel, Kadam] Gen Dynam Informat Technol, Atlanta, GA USA; [Patel, Kadam; Milucky, Jennifer; Taylor, Christopher A.; Havers, Fiona P.] Ctr Dis Control &amp; Prevent, Natl Ctr Immunizat &amp; Resp Dis, Coronavirus Dis 2019 Associated Hospitalizat Surv, Div Viral Dis, Atlanta, GA USA; [Reingold, Arthur; Kirley, Pam Daily] Calif Emerging Infect Program, Oakland, CA USA; [Reingold, Arthur] Univ Calif Berkeley, Berkeley, CA USA; [Armistead, Isaac; Alden, Nisha B.] Colorado Dept Publ Hlth &amp; Environm, Denver, CO USA; [Meek, James; Yousey-Hindes, Kimberly] Yale Sch Publ Hlth, Connecticut Emerging Infect Program, New Haven, CT USA; [Anderson, Evan J.; Openo, Kyle P.] Emory Univ, Sch Med, Dept Med, Atlanta, GA USA; [Anderson, Evan J.; Openo, Kyle P.] Emory Univ, Sch Med, Dept Pediat, Atlanta, GA USA; [Anderson, Evan J.; Openo, Kyle P.] Atlanta Vet Affairs Med Ctr, Georgia Dept Publ Hlth, Georgia Emerging Infect Program, Atlanta, GA USA; [Weigel, Andy; Teno, Kenzie] Iowa Dept Hlth, Des Moines, IA USA; [Reeg, Libby; Leegwater, Lauren] Michigan Dept Hlth &amp; Human Serv, Lansing, MI USA; [Como-Sabetti, Kathryn; Bye, Erica] Minnesota Dept Hlth, St Paul, MN USA; [Ropp, Susan L.] New Mex Dept Hlth, Santa Fe, NM USA; [Bushey, Sophrena; Spina, Nancy] New York State Dept Hlth, Albany, NY USA; [Shiltz, Eli; Popham, Kevin] Univ Rochester, Sch Med &amp; Dent, Rochester, NY 14627 USA; [Sutton, Melissa; Billing, Laurie M.] Ohio Dept Hlth, Columbus, OH USA; [Talbot, H. Keipp; Abdullan, Nasreen] Oregon Hlth Author, Publ Hlth Div, Portland, OR USA; [Chatelain, Ryan; Schaffner, William] Vanderbilt Univ, Med Ctr, 221 Kirkland Hall, Nashville, TN 37235 USA; [Havers, Fiona P.; Roberts, Emily R.] Salt Lake Cty Hlth Dept, Salt Lake City, UT USA; [Havers, Fiona P.] US Public Hlth Serv Commissioned Corps, Rockville, MD USA; [Hancock, Emily B.] Univ New Mexico, New Mexico Emerging Infect Program, Albuquerque, NM 87131 USA</t>
  </si>
  <si>
    <t xml:space="preserve">Centers for Disease Control &amp; Prevention - USA; Centers for Disease Control &amp; Prevention - USA; Centers for Disease Control &amp; Prevention - USA; California Emerging Infections Program; University of California System; University of California Berkeley; Colorado Department of Public Health &amp; Environment; Yale University; Emory University; Emory University; US Department of Veterans Affairs; Veterans Health Administration (VHA); Atlanta VA Health Care System; MDHHS - Michigan Department of Health &amp; Human Services; Minnesota Department of Health (MHD); State University of New York (SUNY) System; University of Rochester; Vanderbilt University; United States Public Health Service; University of New Mexico</t>
  </si>
  <si>
    <t xml:space="preserve">Shah, MM; Patel, K (corresponding author), Ctr Dis Control &amp; Prevent, Ctr Immunizat &amp; Resp Dis, Div Viral Dis, Natl Ctr Immunizat &amp; Resp Dis, 1600 Clifton Rd, Atlanta, GA 30329 USA.</t>
  </si>
  <si>
    <t xml:space="preserve">bgn3@cdc.gov; qbi1@cdc.gov</t>
  </si>
  <si>
    <t xml:space="preserve">Shah, Melisa/0000-0002-7277-1547; Anderson, Evan/0000-0002-1576-4420; Schaffner, William/0000-0002-1375-8078</t>
  </si>
  <si>
    <t xml:space="preserve">Centers for Disease Control and Prevention through an Emerging Infections Program [CK17-1701]; Centers for Disease Control and Prevention through Council of State and Territorial Epidemiologists cooperative agreement [NU38OT000297-02-00]</t>
  </si>
  <si>
    <t xml:space="preserve">Centers for Disease Control and Prevention through an Emerging Infections Program(United States Department of Health &amp; Human ServicesCenters for Disease Control &amp; Prevention - USACDC Intramural Centers for Disease Control and Prevention); Centers for Disease Control and Prevention through Council of State and Territorial Epidemiologists cooperative agreement(United States Department of Health &amp; Human ServicesCenters for Disease Control &amp; Prevention - USA)</t>
  </si>
  <si>
    <t xml:space="preserve">This work was supported by the Centers for Disease Control and Prevention through an Emerging Infections Program cooperative agreement (grant CK17-1701) and through a Council of State and Territorial Epidemiologists cooperative agreement(grant NU38OT000297-02-00). The findings and conclusions in this report are those of the authors do not necessarily represent the official position of the United States Department of Health and Human Services,the United States Public Health Service Commissioned Corps, the Centers for Disease Control and Prevention, or the authors'institutions</t>
  </si>
  <si>
    <t xml:space="preserve">e13107</t>
  </si>
  <si>
    <t xml:space="preserve">10.1111/irv.13107</t>
  </si>
  <si>
    <t xml:space="preserve">9N1IK</t>
  </si>
  <si>
    <t xml:space="preserve">WOS:000942671900001</t>
  </si>
  <si>
    <t xml:space="preserve">Verkaik, NJ; Nguyen, DT; de Vogel, CP; Moll, HA; Verbrugh, HA; Jaddoe, VWV; Hofman, A; van Wamel, WJB; van den Hoogen, BG; Buijs-Offerman, RMGB; Ludlow, M; de Witte, L; Osterhaus, ADME; van Belkum, A; de Swart, RL</t>
  </si>
  <si>
    <t xml:space="preserve">Verkaik, N. J.; Nguyen, D. T.; de Vogel, C. P.; Moll, H. A.; Verbrugh, H. A.; Jaddoe, V. W. V.; Hofman, A.; van Wamel, W. J. B.; van den Hoogen, B. G.; Buijs-Offerman, R. M. G. B.; Ludlow, M.; de Witte, L.; Osterhaus, A. D. M. E.; van Belkum, A.; de Swart, R. L.</t>
  </si>
  <si>
    <t xml:space="preserve">Streptococcus pneumoniae exposure is associated with human metapneumovirus seroconversion and increased susceptibility to in vitro HMPV infection</t>
  </si>
  <si>
    <t xml:space="preserve">Bacterial and viral interaction; human metapneumovirus (HMPV); pathogenesis; respiratory infection; Streptococcus pneumoniae</t>
  </si>
  <si>
    <t xml:space="preserve">It remains largely unknown which factors determine the clinical outcome of human metapneumovirus (HMPV) infections. The aim of the present study was to analyse whether exposure to bacterial pathogens can influence HMPV infections. From 57 children, serum samples and colonization data for Haemophilus influenzae, Moraxella catarrhalis, Staphylococcus aureus and Streptococcus pneumoniae were collected at 1.5, 6, 14 and 24 months of age. Seroconversion rates to HMPV were determined and related to bacterial carriage. Frequent nasopharyngeal carriage (=2 times in the first 2 years of life) of S. pneumoniae, but not of the other three pathogens, was associated with increased seroconversion rates of infants to HMPV at the age of 2 years (frequently vs. less exposed, 93% vs. 59%; p &lt;0.05). Subsequently, the susceptibility of well-differentiated normal human bronchial epithelial cells (wd-NHBE) pre-incubated with bacterial pathogens to in vitro HMPV infection was evaluated. Pre-incubation of wd-NHBE with S. pneumoniae resulted in increased susceptibility to infection with HMPV-enhanced green fluorescent protein (EGFP), as determined by enumeration of EGFP-positive cells. This was not the case for cells pre-incubated with H. influenzae, M. catarrhalis on S. aureus. We conclude that exposure to S. pneumoniae can modulate HMPV infection.</t>
  </si>
  <si>
    <t xml:space="preserve">[Nguyen, D. T.; van den Hoogen, B. G.; Ludlow, M.; de Witte, L.; Osterhaus, A. D. M. E.; de Swart, R. L.] Erasmus MC, Dept Virol, Univ Med Ctr, NL-3000 CA Rotterdam, Netherlands; [Verkaik, N. J.; de Vogel, C. P.; Verbrugh, H. A.; van Wamel, W. J. B.; van Belkum, A.] Erasmus MC, Dept Med Microbiol &amp; Infect Dis, Univ Med Ctr, NL-3000 CA Rotterdam, Netherlands; [Verkaik, N. J.; Verbrugh, H. A.; Jaddoe, V. W. V.; Hofman, A.] Erasmus MC, Generat R Study Grp, Univ Med Ctr, NL-3000 CA Rotterdam, Netherlands; [Hofman, A.] Erasmus MC, Dept Epidemiol, Univ Med Ctr, NL-3000 CA Rotterdam, Netherlands; [Buijs-Offerman, R. M. G. B.] Erasmus MC, Dept Cell Biol, Univ Med Ctr, NL-3000 CA Rotterdam, Netherlands; [van Belkum, A.] BioMerieux, Marcy Letoile, France</t>
  </si>
  <si>
    <t xml:space="preserve">Erasmus University Rotterdam; Erasmus MC; Erasmus University Rotterdam; Erasmus MC; Erasmus University Rotterdam; Erasmus MC; Erasmus University Rotterdam; Erasmus MC; Erasmus University Rotterdam; Erasmus MC; bioMerieux</t>
  </si>
  <si>
    <t xml:space="preserve">de Swart, RL (corresponding author), Erasmus MC, Dept Virol, Univ Med Ctr, Room Ee1722A,POB 2040, NL-3000 CA Rotterdam, Netherlands.</t>
  </si>
  <si>
    <t xml:space="preserve">Verbrugh, Henri/HNQ-4851-2023; van den Hoogen, Bernadette/J-5461-2013; de Witte, Lot/H-1499-2011; De Swart, Rik/E-6508-2011</t>
  </si>
  <si>
    <t xml:space="preserve">DE WITTE, LOTJE/0000-0002-7235-9958; van Wamel, Willem/0000-0001-9145-9121; Verkaik, Nelianne/0000-0003-2351-2669; De Swart, Rik/0000-0003-3599-8969</t>
  </si>
  <si>
    <t xml:space="preserve">Erasmus MC, Rotterdam; Erasmus University Rotterdam; Netherlands Organization for Health Research and Development (ZonMw); VIRGO consortium; Dutch Government [BSIK03012]; TI-Pharma [T4-214]</t>
  </si>
  <si>
    <t xml:space="preserve">Erasmus MC, Rotterdam; Erasmus University Rotterdam; Netherlands Organization for Health Research and Development (ZonMw)(Netherlands Organization for Health Research and Development); VIRGO consortium; Dutch Government; TI-Pharma</t>
  </si>
  <si>
    <t xml:space="preserve">The Generation R Study was supported by grants from the Erasmus MC, Rotterdam, the Erasmus University Rotterdam and the Netherlands Organization for Health Research and Development (ZonMw). D.T.N., B. G. H., M. L. and R. L. S. were supported by the VIRGO consortium, an innovative cluster approved by the Netherlands Genomics Initiative and partially funded by the Dutch Government (grant # BSIK03012). L. D. W. was supported by TI-Pharma (grant # T4-214).</t>
  </si>
  <si>
    <t xml:space="preserve">10.1111/j.1469-0691.2011.03480.x</t>
  </si>
  <si>
    <t xml:space="preserve">847YO</t>
  </si>
  <si>
    <t xml:space="preserve">WOS:000297012200020</t>
  </si>
  <si>
    <t xml:space="preserve">Lemarie, B; Boussaid, G; Gault, E; Prigent, H; Beaune, S; Moreau, F; Dumoulin, J; Pepin, M; Greffe, S; De Truchis, P; Davido, B</t>
  </si>
  <si>
    <t xml:space="preserve">Lemarie, Benoit; Boussaid, Ghilas; Gault, Elyanne; Prigent, Helene; Beaune, Sebastien; Moreau, Frederique; Dumoulin, Jennifer; Pepin, Marion; Greffe, Segolene; De Truchis, Pierre; Davido, Benjamin</t>
  </si>
  <si>
    <t xml:space="preserve">Predictors of Hospitalization and Superinfection in Viral Respiratory Tract Infections Between Influenza and Paramyxoviruses: The SUPERFLUOUS Study</t>
  </si>
  <si>
    <t xml:space="preserve">Bacteria; influenza; respiratory tract infections; Superinfection; Viruses</t>
  </si>
  <si>
    <t xml:space="preserve">INVASIVE PNEUMOCOCCAL DISEASE; COMMUNITY-ACQUIRED PNEUMONIA; BACTERIAL PNEUMONIA; COMPLICATIONS; ASSOCIATION; VIRUSES; ADULTS</t>
  </si>
  <si>
    <t xml:space="preserve">In our in-hospital setting study, viral respiratory tract infections are at high risk of superinfection (56%), regardless of virus species, and require improving vaccination coverage among patients at risk. Background Viral respiratory tract infections (VRTIs) are among the most common diseases, but the risks of superinfection for different virus species have never been compared. Methods Multicenter retrospective study conducted among adults who tested positive for VRTIs with reverse-transcription polymerase chain reaction. We compared characteristics between influenza (A or B) and paramyxoviruses (respiratory syncytial virus, parainfluenza virus types 1 and 3, and human metapneumovirus) and identified predictors of superinfection and hospitalization.s Results Five hundred ninety patients had VRTI, including 347 (59%) influenza and 243 paramyxovirus infections with comparable rates of superinfections (53% vs 60%). In multivariate analyses, the predictors of superinfections were age &gt;75 years (adjusted odds ratio, 2.37 [95% confidence interval, 1.65-3.40]), chronic respiratory disease (1.79 [1.20-2.67]), and biological abnormalities, including neutrophil count &gt;7000/mu L (1.98 [1.34-2.91)], eosinophil count &lt;50/mu L (2.53 [1.61-3.98], and procalcitonin level &gt;0.25ng/mL (2.8 [1.65-4.73]). The predictors of hospitalization were age &gt;75 years old (adjusted odds ratio, 3.49 [95% confidence interval, 2.17-5.63]), paramyxovirus infection (2.28 [1.39-3.75]), long-term use of inhaled corticosteroids (2.49 [1.13-5.49]), and biological abnormalities, including neutrophil count &gt;7000/mu L (2.38 [1.37-4.12)] and procalcitonin level &gt;0.25ng/mL (2.49 [1.23-5.02]). Kaplan-Meier survival curves showed that influenza-infected patients had a higher mortality rate than those with paramyxovirus infections (8.9% vs 4.5%, respectively; P = .02). Conclusions Our study revealed a high rate of superinfection (56%), not related to viral species. However influenza virus was associated with a poorer prognosis than paramyxoviruses, pleading for a broader and large-scale vaccination of individual at risk of VRTIs.</t>
  </si>
  <si>
    <t xml:space="preserve">[Lemarie, Benoit; De Truchis, Pierre; Davido, Benjamin] Hop Raymond Poincare, Malad Infect, Garches, France; [Boussaid, Ghilas] Univ Paris Saclay, Equipe Rech Paramed HAndicap Neuromoteur, Univ Versailles St Quentin, Versailles, France; [Gault, Elyanne; Moreau, Frederique] Hop Ambroise Pare, AP HP, Virol, Boulogne, France; [Prigent, Helene] Hop Raymond Poincare, AP HP, Explorat Fonct Resp, Garches, France; [Beaune, Sebastien] Hop Ambroise Pare, AP HP, Serv Accueil Urgences, Boulogne, France; [Dumoulin, Jennifer] Hop Ambroise Pare, AP HP, Pneumol, Boulogne, France; [Pepin, Marion] Hop Ambroise Pare, AP HP, Geriatrie, Boulogne, France; [Greffe, Segolene] Hop Ambroise Pare, AP HP, Med Interne, Boulogne, France</t>
  </si>
  <si>
    <t xml:space="preserve">Assistance Publique Hopitaux Paris (APHP); Hopital Universitaire Raymond-Poincare - APHP; Universite Paris Saclay; Assistance Publique Hopitaux Paris (APHP); Hopital Universitaire Ambroise-Pare - APHP; Assistance Publique Hopitaux Paris (APHP); Hopital Universitaire Raymond-Poincare - APHP; Assistance Publique Hopitaux Paris (APHP); Hopital Universitaire Ambroise-Pare - APHP; Assistance Publique Hopitaux Paris (APHP); Hopital Universitaire Ambroise-Pare - APHP; Assistance Publique Hopitaux Paris (APHP); Hopital Universitaire Ambroise-Pare - APHP; Assistance Publique Hopitaux Paris (APHP); Hopital Universitaire Ambroise-Pare - APHP</t>
  </si>
  <si>
    <t xml:space="preserve">Davido, B (corresponding author), Hop Raymond Poincare, 104 Blvd Raymond Poincare, F-92380 Garches, France.</t>
  </si>
  <si>
    <t xml:space="preserve">benjamin.davido@aphp.fr</t>
  </si>
  <si>
    <t xml:space="preserve">SEP 21</t>
  </si>
  <si>
    <t xml:space="preserve">10.1093/infdis/jiab525</t>
  </si>
  <si>
    <t xml:space="preserve">4S8VR</t>
  </si>
  <si>
    <t xml:space="preserve">WOS:000790066900001</t>
  </si>
  <si>
    <t xml:space="preserve">Lednicky, JA; Rayner, JO</t>
  </si>
  <si>
    <t xml:space="preserve">Lednicky, John A.; Rayner, Jonathan O.</t>
  </si>
  <si>
    <t xml:space="preserve">Uncommon respiratory pathogens</t>
  </si>
  <si>
    <t xml:space="preserve">bacteria; fungi; protozoa; respiratory pathogen; unusual; viruses</t>
  </si>
  <si>
    <t xml:space="preserve">MYCOBACTERIUM-LENTIFLAVUM; HUMAN METAPNEUMOVIRUS; PULMONARY AMEBIASIS; CORONAVIRUS HKU1; VIRUS-INFECTION; NIPAH VIRUS; BK VIRUS; PNEUMONIA; TRACT; IMMUNOCOMPETENT</t>
  </si>
  <si>
    <t xml:space="preserve">Purpose of review In many cases, the specific pathogen responsible for a respiratory infection is not identified and can leas to improper medical treatment, increased duration of illness, and possibly contributes to the development of antibiotic resistance. Molecular-based diagnostic methodologies have significantly improved our ability to identify common respiratory pathogens; these techniques are not useful, however, when a novel pathogen is responsible for the infection and clinicians must rely on differential diagnosis for the treatment of patients. Recent findings New pathogens previously not associated with human infections have been identified in the past few years. In addition, new strains of bacterial and viruses have emerged as the causative agents of pneumonia and acute respiratory distress. Protozoans and saprophytic fungi, which are not normally associated with respiratory infection, have also emerged as respiratory pathogens particularly in individuals with AIDS or in those who are otherwise immunocompromised. Summary This review discusses the recent literature on newly described respiratory pathogens as well as opportunistic pathogens that can infect the respiratory system of immunocompromised individuals. The studies referenced here reveal the need for expanded laboratory tests and highly trained microbiologists in clinical laboratories worldwide.</t>
  </si>
  <si>
    <t xml:space="preserve">Midwest Res Inst, Div Life Sci, Kansas City, MO 64110 USA</t>
  </si>
  <si>
    <t xml:space="preserve">Lednicky, JA (corresponding author), Midwest Res Inst, Div Life Sci, 425 Volker Blvd, Kansas City, MO 64110 USA.</t>
  </si>
  <si>
    <t xml:space="preserve">jlednicky@mriresearch.org</t>
  </si>
  <si>
    <t xml:space="preserve">Lednicky, John/C-5678-2012</t>
  </si>
  <si>
    <t xml:space="preserve">Rayner, Jonathan/0000-0002-2091-7604</t>
  </si>
  <si>
    <t xml:space="preserve">10.1097/01.mcp.0000219274.65557.dc</t>
  </si>
  <si>
    <t xml:space="preserve">132BY</t>
  </si>
  <si>
    <t xml:space="preserve">WOS:000243918300012</t>
  </si>
  <si>
    <t xml:space="preserve">Lal, D; Song, LS; Brar, T; Cope, EK; Keim, P; Williams, S; Chung, YR; Murugan, V; LaBaer, J; Magee, DM</t>
  </si>
  <si>
    <t xml:space="preserve">Lal, Devyani; Song, Lusheng; Brar, Tripti; Cope, Emily K.; Keim, Paul; Williams, Stacy; Chung, Yunro; Murugan, Vel; LaBaer, Joshua; Magee, D. Mitchell</t>
  </si>
  <si>
    <t xml:space="preserve">Antibody responses to the host microbiome in chronic rhinosinusitis</t>
  </si>
  <si>
    <t xml:space="preserve">INTERNATIONAL FORUM OF ALLERGY &amp; RHINOLOGY</t>
  </si>
  <si>
    <t xml:space="preserve">bacteria; chronic rhinosinusitis; IgA; IgG; immunoglobulin; microbe; NAPPA; protein; protein microarray; virus</t>
  </si>
  <si>
    <t xml:space="preserve">BackgroundThe role of microbes in chronic rhinosinusitis (CRS) is poorly understood. We hypothesize that analyzing prior microbial exposures via assessing microbial protein serological reactivity in CRS versus controls may offer insights for CRS etiopathogenesis. MethodsWe profiled IgG and IgA antibodies to individual microbial proteins in serum samples of CRS patients and controls using a novel high-throughput microarray protein technology, Nucleic Acid Programmable Protein Array (NAPPA). The study was conducted on 118 subjects (39 CRS, 79 controls). A CRS-focused NAPPA array, with 1557 potentially sero-reactive microbial proteins elected from a pre-screening of 6500 genes of interest was constructed. It included membrane-associated proteins from 47 bacterial species and all proteins from 43 viral strains. Differences between CRS and controls were compared across individual antimicrobial antibodies and the species. ResultsChronic rhinosinusitis patients had significantly elevated antimicrobial antibodies compared with controls. One bacterium (Staphylococcus aureus) and three viral strains (human metapneumovirus, human herpesvirus 5, and human herpesvirus 4) were identified as sources of the proteins that showed significantly elevated sero-reactivity in CRS patients. Within CRS, patients with polyps had elevated antibodies against S. aureus, influenza A virus (H1N1, H3N2), and rhinovirus B14. CRS patients without polyps showed more antibodies against human herpesvirus 1 and vaccinia virus WR. ConclusionsCompared with healthy controls, CRS patients' serum samples showed significantly increased sero-reactivity to both bacterial and viral proteins, reflecting recent or current infection or active colonization. Significantly higher antibodies against S. aureus, human metapneumovirus, human herpesvirus 5, and human herpesvirus 4 in CRS need further study.</t>
  </si>
  <si>
    <t xml:space="preserve">[Lal, Devyani; Brar, Tripti] Mayo Clin, Dept Otolaryngol, Phoenix, AZ USA; [Song, Lusheng; Williams, Stacy; Chung, Yunro; Murugan, Vel; LaBaer, Joshua; Magee, D. Mitchell] Arizona State Univ, Biodesign Inst, Virginia G Piper Ctr Personalized Diagnost, Tempe, AZ USA; [Cope, Emily K.; Keim, Paul] No Arizona Univ, Pathogen &amp; Microbiome Inst, Flagstaff, AZ USA; [Keim, Paul] Translat Genom Res Inst, Pathogen &amp; Microbiome Div, Flagstaff, AZ USA; [Chung, Yunro] Arizona State Univ, Coll Hlth Solut, Phoenix, AZ USA; [Lal, Devyani] Mayo Clin Arizona, Otolaryngol Head &amp; Neck Surg, Div Rhinol, 5777 East Mayo Blvd, Phoenix, AZ 85054 USA</t>
  </si>
  <si>
    <t xml:space="preserve">Mayo Clinic; Mayo Clinic Phoenix; Arizona State University; Arizona State University-Tempe; Northern Arizona University; Translational Genomics Research Institute; Arizona State University; Arizona State University-Downtown Phoenix; Mayo Clinic; Mayo Clinic Phoenix</t>
  </si>
  <si>
    <t xml:space="preserve">Lal, D (corresponding author), Mayo Clin Arizona, Otolaryngol Head &amp; Neck Surg, Div Rhinol, 5777 East Mayo Blvd, Phoenix, AZ 85054 USA.</t>
  </si>
  <si>
    <t xml:space="preserve">lal.devyani@mayo.edu</t>
  </si>
  <si>
    <t xml:space="preserve">Chung, Yunro/AAH-3477-2020; Keim, Paul/A-2269-2010; Brar, Tripti/ABC-4526-2021</t>
  </si>
  <si>
    <t xml:space="preserve">Lal, Devyani/0000-0002-7593-2385; Williams, Stacy/0000-0002-0328-6548</t>
  </si>
  <si>
    <t xml:space="preserve">Flinn Foundation; Phoenix; Arizona</t>
  </si>
  <si>
    <t xml:space="preserve">The authors are grateful to Michael M. Marino, Megan Folkerts John D. Gillece, and Sarah K. Highlander for assistance with sample accrual and critical input. This multi-institutional study was funded by the Flinn Foundation, Phoenix, Arizona.</t>
  </si>
  <si>
    <t xml:space="preserve">2042-6976</t>
  </si>
  <si>
    <t xml:space="preserve">2042-6984</t>
  </si>
  <si>
    <t xml:space="preserve">INT FORUM ALLERGY RH</t>
  </si>
  <si>
    <t xml:space="preserve">Int. Forum Allergy Rhinol.</t>
  </si>
  <si>
    <t xml:space="preserve">10.1002/alr.23107</t>
  </si>
  <si>
    <t xml:space="preserve">Otorhinolaryngology</t>
  </si>
  <si>
    <t xml:space="preserve">M5XT1</t>
  </si>
  <si>
    <t xml:space="preserve">WOS:000908006300001</t>
  </si>
  <si>
    <t xml:space="preserve">Choe, YJ; Park, S; Michelow, IC</t>
  </si>
  <si>
    <t xml:space="preserve">Choe, Young June; Park, Sangshin; Michelow, Ian C.</t>
  </si>
  <si>
    <t xml:space="preserve">Co-seasonality and co-detection of respiratory viruses and bacteraemia in children: a retrospective analysis</t>
  </si>
  <si>
    <t xml:space="preserve">Bacteraemia; Child; Co-detection; Human metapneumovirus; Influenza; RSV; Seasonality</t>
  </si>
  <si>
    <t xml:space="preserve">INVASIVE PNEUMOCOCCAL DISEASE; SERIOUS BACTERIAL-INFECTIONS; CLINICAL CHARACTERISTICS; EPIDEMIOLOGY; ADULTS</t>
  </si>
  <si>
    <t xml:space="preserve">Objectives: The aim of this study was to assess the co-seasonality and co-detection of respiratory viral infections and bacteraemia in children since the introduction of the 13-valent pneumococcal conjugate vaccine (PCV13). Methods: Children &lt;18 years old were eligible for inclusion if they had a respiratory infection and a positive PCR-based assay for respiratory viruses as well as a positive blood culture between 2010 and 2018 at a single referral centre in the United States, regardless of their underlying medical condition or antibiotic treatment history. Monthly incidence rates of respiratory viruses and bacteraemia were analysed with a seasonal-trend decomposition procedure based on loess (STL) and cross-correlation functions using time series regression modelling. Results: We identified 7415 unique positive respiratory virus tests, including 2278 respiratory syncytial virus (RSV) (31%), 1825 influenza viruses (24%), 1036 parainfluenza viruses (14%), 1017 human metapneumovirus (hMPV) (14%), 677 seasonal coronaviruses (9%), and 582 adenoviruses (8%), together with a total of 11 827 episodes of bacteraemia. Significant co-seasonality was found between all-cause bacteraemia and RSV (OR = 1.76, 95%CI 1.50-2.06, p &lt; 0.001), influenza viruses (OR = 1.38, 95%CI 1.13-1.68, p 0.002), and seasonal coronaviruses (OR = 1.18, 95%CI 1.09-1.28, p &lt; 0.001), respectively. Analysis of linked viral-bacterial infections in individual children indicated that the rate ratio (RR) of bacteraemia associated with hMPV (RR = 2.73, 95%CI 1.12-6.85, p 0.019) and influenza (RR = 2.61, 95%CI 1.21-6.11, p 0.013) were more than double that of RSV. Staphylococcus aureus and Streptococcus pneumoniae were the most commonly identified pathogens causing bacteraemia. Conclusions: There is a significant association between hMPV and influenza viruses and bacteraemia of all causes in hospitalized children at a single paediatric centre in the United States. Large multicentre studies are needed to confirm these findings and to elucidate the mechanisms by which hMPV potentiates the virulence and invasive capacity of diverse bacteria. (C) 2020 European Society of Clinical Microbiology and Infectious Diseases. Published by Elsevier Ltd. All rights reserved.</t>
  </si>
  <si>
    <t xml:space="preserve">[Choe, Young June; Michelow, Ian C.] Brown Univ, Dept Pediat, Warren Alpert Med Sch, Div Infect Dis, Providence, RI 02912 USA; [Choe, Young June] Hallym Univ, Dept Social &amp; Prevent Med, Coll Med, Chunchon, South Korea; [Park, Sangshin] Univ Seoul, Grad Sch Urban Publ Hlth, Seoul, South Korea; [Michelow, Ian C.] Rhode Isl Hosp, Ctr Int Hlth Res, Providence, RI USA</t>
  </si>
  <si>
    <t xml:space="preserve">Brown University; Hallym University; University of Seoul; Lifespan Health Rhode Island; Rhode Island Hospital</t>
  </si>
  <si>
    <t xml:space="preserve">Michelow, IC (corresponding author), 55 Claverick St, Providence, RI 02903 USA.</t>
  </si>
  <si>
    <t xml:space="preserve">ian_michelow@brown.edu</t>
  </si>
  <si>
    <t xml:space="preserve">Michelow, Ian/AAH-2373-2020; Park, Sangshin/K-6889-2014; Choe, Young/AAG-6632-2021</t>
  </si>
  <si>
    <t xml:space="preserve">Choe, Young June/0000-0003-2733-0715</t>
  </si>
  <si>
    <t xml:space="preserve">National Institute of Allergy and Infectious Diseases at the National Institutes of Health [R25AI140490]</t>
  </si>
  <si>
    <t xml:space="preserve">National Institute of Allergy and Infectious Diseases at the National Institutes of Health(United States Department of Health &amp; Human ServicesNational Institutes of Health (NIH) - USANIH National Institute of Allergy &amp; Infectious Diseases (NIAID))</t>
  </si>
  <si>
    <t xml:space="preserve">The authors declare no competing interests. This work was supported by a grant from the National Institute of Allergy and Infectious Diseases at the National Institutes of Health (grant number R25AI140490 to ICM).</t>
  </si>
  <si>
    <t xml:space="preserve">10.1016/j.cmi.2020.09.006</t>
  </si>
  <si>
    <t xml:space="preserve">PH7FI</t>
  </si>
  <si>
    <t xml:space="preserve">WOS:000600573300028</t>
  </si>
  <si>
    <t xml:space="preserve">Luo, L; Sabara, MI; Li, Y</t>
  </si>
  <si>
    <t xml:space="preserve">Luo, L.; Sabara, M. I.; Li, Y.</t>
  </si>
  <si>
    <t xml:space="preserve">Analysis of Antigenic Cross-Reactivity Between Subgroup C Avian Pneumovirus and Human Metapneumovirus by Using Recombinant Fusion Proteins</t>
  </si>
  <si>
    <t xml:space="preserve">TRANSBOUNDARY AND EMERGING DISEASES</t>
  </si>
  <si>
    <t xml:space="preserve">Avian Pneumovirus; human metapneumovirus; recombinant glycoprotein; antigenic cross-reactivity; F gene cloning; baculovirus expression</t>
  </si>
  <si>
    <t xml:space="preserve">RESPIRATORY SYNCYTIAL VIRUS; LINKED-IMMUNOSORBENT-ASSAY; SMALL HYDROPHOBIC PROTEIN; AMINO-ACID-SEQUENCE; CELL-LINE QT-35; BACULOVIRUS VECTOR; F-GLYCOPROTEIN; MATRIX PROTEIN; EXPRESSION; GENE</t>
  </si>
  <si>
    <t xml:space="preserve">Avian pneumovirus subgroup C (APV/C) has recently been reported to be more closely related to human metapneumovirus (hMPV) as determined by sequence analysis. To examine the antigenic relationship between APV/C and hMPV, the APV/C fusion (F) gene was cloned and expressed as an uncleaved glycoprotein in a baculovirus system. The reactivity of the APV/C F protein with antibodies against APV subgroups A, B, C, and hMPV was examined by Western blot analysis. The results showed that the expressed APV/C F protein was not only recognized by APV/C-specific antibodies but also by antibodies raised against hMPV. Previously expressed recombinant hMPV F protein also reacted with APV/C-specific antibodies, suggesting that there was significant antigenic cross-reactivity and a potential evolutionary relationship between hMPV and APV/C. Interestingly, the recombinant F proteins from APV/C and hMPV were not recognized by polyclonal antibodies specific to APV subgroups A and B.</t>
  </si>
  <si>
    <t xml:space="preserve">[Luo, L.; Sabara, M. I.] Natl Ctr Foreign Anim Dis, Winnipeg, MB, Canada; [Li, Y.] Publ Hlth Agcy Canada, Natl Microbiol Lab, Winnipeg, MB, Canada</t>
  </si>
  <si>
    <t xml:space="preserve">Public Health Agency of Canada</t>
  </si>
  <si>
    <t xml:space="preserve">Luo, L (corresponding author), Natl Ctr Foreign Anim Dis, Winnipeg, MB, Canada.</t>
  </si>
  <si>
    <t xml:space="preserve">luol@inspection.gc.ca</t>
  </si>
  <si>
    <t xml:space="preserve">Canadian Food Inspection Agency; Public Health Agency of Canada</t>
  </si>
  <si>
    <t xml:space="preserve">This study was supported by Canadian Food Inspection Agency and Public Health Agency of Canada.</t>
  </si>
  <si>
    <t xml:space="preserve">1865-1674</t>
  </si>
  <si>
    <t xml:space="preserve">TRANSBOUND EMERG DIS</t>
  </si>
  <si>
    <t xml:space="preserve">Transbound. Emerg. Dis.</t>
  </si>
  <si>
    <t xml:space="preserve">10.1111/j.1865-1682.2009.01085.x</t>
  </si>
  <si>
    <t xml:space="preserve">Infectious Diseases; Veterinary Sciences</t>
  </si>
  <si>
    <t xml:space="preserve">501CY</t>
  </si>
  <si>
    <t xml:space="preserve">WOS:000270358200003</t>
  </si>
  <si>
    <t xml:space="preserve">Lemaitre, E; Allée, C; Vabret, A; Eterradossi, N; Brown, PA</t>
  </si>
  <si>
    <t xml:space="preserve">Lemaitre, E.; Allee, C.; Vabret, A.; Eterradossi, N.; Brown, P. A.</t>
  </si>
  <si>
    <t xml:space="preserve">Single reaction, real time RT-PCR detection of all known avian and human metapneumoviruses</t>
  </si>
  <si>
    <t xml:space="preserve">Avian metapneumovirus; Human metapneumovirus; Real-time RT-PCR</t>
  </si>
  <si>
    <t xml:space="preserve">RESPIRATORY-TRACT DISEASE; SWOLLEN-HEAD SYNDROME; GENETIC LINEAGES; CHICKENS; PNEUMOVIRUS; VIRUS; SUBGROUP; TURKEYS; ASSAY; DIFFERENTIATION</t>
  </si>
  <si>
    <t xml:space="preserve">Current molecular methods for the detection of avian and human metapneumovirus (AMPV, HMPV) are specifically targeted towards each virus species or individual subgroups of these. Here a broad range SYBR Green I real time RT-PCR was developed which amplified a highly conserved fragment of sequence in the N open reading frame. This method was sufficiently efficient and specific in detecting all MPVs. Its validation according to the NF U47-600 norm for the four AMPV subgroups estimated low limits of detection between 1000 and 10 copies/mu L, similar with detection levels described previously for real time RT-PCRs targeting specific subgroups. RNA viruses present a challenge for the design of durable molecular diagnostic test due to the rate of change in their genome sequences which can vary substantially in different areas and over time. The fact that the regions of sequence for primer hybridization in the described method have remained sufficiently conserved since the AMPV and HMPV diverged, should give the best chance of continued detection of current subgroups and of potential unknown or future emerging MPV strains.</t>
  </si>
  <si>
    <t xml:space="preserve">[Lemaitre, E.; Allee, C.; Eterradossi, N.; Brown, P. A.] Univ Europeenne Bretagne, Anses French Agcy Food Environm &amp; Occupat Hlth Sa, Ploufragan Plouzane Lab,OIE Reference Lab Turkey, Avian &amp; Rabbit Virol Immunol &amp; Parasitol Unit VIP, BP 53, F-22440 Ploufragan, France; [Vabret, A.] Univ Hosp Caen, Dept Virol, F-14033 Caen, France</t>
  </si>
  <si>
    <t xml:space="preserve">Universite de Bretagne Occidentale; Agence Nationale de Securite Sanitaire de l'Alimentation, de l'Environnement du Travail (ANSES); CHU de Caen NORMANDIE; Universite de Caen Normandie</t>
  </si>
  <si>
    <t xml:space="preserve">Brown, PA (corresponding author), Anses, Lab Ploufragan Plouzan, BP 53, F-22440 Ploufragan, France.</t>
  </si>
  <si>
    <t xml:space="preserve">Paul.brown@anses.fr</t>
  </si>
  <si>
    <t xml:space="preserve">VABRET, Astrid/HTO-5810-2023</t>
  </si>
  <si>
    <t xml:space="preserve">Departement des Cotes d'Armor, France</t>
  </si>
  <si>
    <t xml:space="preserve">The authors wish to thank Mrs. M. Cherbonnel for her help with AFNOR validation methodology. Anses-Ploufragan is partly financially supported by Departement des Cotes d'Armor, France.</t>
  </si>
  <si>
    <t xml:space="preserve">10.1016/j.jviromet.2017.10.010</t>
  </si>
  <si>
    <t xml:space="preserve">FO2NX</t>
  </si>
  <si>
    <t xml:space="preserve">WOS:000416617100010</t>
  </si>
  <si>
    <t xml:space="preserve">Lee, EH; Song, MS; Shin, JY; Lee, YM; Kim, CJ; Lee, YS; Kim, H; Choi, YK</t>
  </si>
  <si>
    <t xml:space="preserve">Lee, Eun Ho; Song, Min-Suk; Shin, Jin-Young; Lee, Young-Min; Kim, Chul-Joong; Lee, Young Sik; Kim, Hyunggee; Choi, Young Ki</t>
  </si>
  <si>
    <t xml:space="preserve">Genetic characterization of avian metapneumovirus subtype C isolated from pheasants in a live bird market</t>
  </si>
  <si>
    <t xml:space="preserve">avian metapneumovirus; gene sequence; pheasant; Korea</t>
  </si>
  <si>
    <t xml:space="preserve">AMINO-ACID-SEQUENCE; TURKEY RHINOTRACHEITIS VIRUS; SWOLLEN HEAD SYNDROME; PNEUMOVIRUS ISOLATE; GENOME SEQUENCE; CLUSTAL-X; PROTEIN; NUCLEOTIDE; INFECTION; BROILER</t>
  </si>
  <si>
    <t xml:space="preserve">Complete nucleotide sequences of two avian metapneumoviruses (aMPV), designated PL-1 and PL-2, were isolated from pheasants, revealing novel sequences of the first aMPV to be fully sequenced in Korea. The complete genome of both PL-1 and PL-2 was composed of 13,170 nucleotides. Phylogenetic analysis revealed that PL-1 belonged to aMPV subtype C, sharing higher homology in deduced amino acid sequence identities with hMPV, rather than with aMPV subtypes A and B. Replication of PL-1 in experimentally re-infected pheasants was confirmed by reverse transcription (RT)-polymerase chain reaction (PCR). Chickens and mice were experimentally inoculated with PL-1 to test the replication potential of PL-1 in other species. Although one specimen from the nasal turbinates of an inoculated chicken showed a slight trace of viral replication at 3 days post-infection (dpi), all of the infected mice were negative for aMPV by RT-PCR throughout the experiment, suggesting that PL-1 does not readily infect mammals. This is the first report of the isolation and complete genomic sequence of aMPV subtype C originating from pheasants. (C) 2007 Published by Elsevier B.V.</t>
  </si>
  <si>
    <t xml:space="preserve">Chungbuk Natl Univ, Coll Med, Cheongju 361763, South Korea; Chungbuk Natl Univ, Inst Med Res, Cheongju 361763, South Korea; Chungnam Natl Univ, Coll Vet Med, Taejon 305764, South Korea; Korea Univ, Div Biosci &amp; Technol, Coll Life &amp; Environm Sci, Seoul 136701, South Korea</t>
  </si>
  <si>
    <t xml:space="preserve">Chungbuk National University; Chungbuk National University; Chungnam National University; Korea University; Korea University Medicine (KU Medicine)</t>
  </si>
  <si>
    <t xml:space="preserve">Choi, YK (corresponding author), Chungbuk Natl Univ, Coll Med, 12 Gaeshin Dong, Cheongju 361763, South Korea.</t>
  </si>
  <si>
    <t xml:space="preserve">choiki55@chungbuk.ac.kr</t>
  </si>
  <si>
    <t xml:space="preserve">LEE, YS/JTU-4754-2023; Kim, Hyunggee/F-2673-2013; Kim, Yong-Joo/AAK-1840-2021</t>
  </si>
  <si>
    <t xml:space="preserve">Kim, Chul-Joong/0000-0001-8827-6332</t>
  </si>
  <si>
    <t xml:space="preserve">10.1016/j.virusres.2007.03.029</t>
  </si>
  <si>
    <t xml:space="preserve">208HP</t>
  </si>
  <si>
    <t xml:space="preserve">WOS:000249310700003</t>
  </si>
  <si>
    <t xml:space="preserve">Cui, YQ; Li, ST; Xu, WY; Li, YQ; Xie, JL; Wang, DD; Guo, JS; Zhou, JW; Feng, XF; Hou, L; Liu, J</t>
  </si>
  <si>
    <t xml:space="preserve">Cui, Yongqiu; Li, Siting; Xu, Weiyin; Li, Yeqiu; Xie, Jiali; Wang, Dedong; Guo, Jinshuo; Zhou, Jianwei; Feng, Xufei; Hou, Lei; Liu, Jue</t>
  </si>
  <si>
    <t xml:space="preserve">A Receptor Integrin β1 Promotes Infection of Avian Metapneumovirus Subgroup C by Recognizing a Viral Fusion Protein RSD Motif</t>
  </si>
  <si>
    <t xml:space="preserve">avian metapneumovirus subgroup C; fusion protein; integrin beta 1; viral entry; avian and human cells</t>
  </si>
  <si>
    <t xml:space="preserve">CELL-CELL FUSION; PARAMYXOVIRUS FUSION; F PROTEIN; ENTRY; ROLES; GENE; SH; INFLUENZA; CHICKENS</t>
  </si>
  <si>
    <t xml:space="preserve">Avian metapneumovirus subgroup C (aMPV/C) causes respiratory diseases and egg dropping in chickens and turkeys, resulting in severe economic losses to the poultry industry worldwide. Integrin beta 1 (ITGB1), a transmembrane cell adhesion molecule, is present in various cells and mediates numerous viral infections. Herein, we demonstrate that ITGB1 is essential for aMPV/C infection in cultured DF-1 cells, as evidenced by the inhibition of viral binding by EDTA blockade, Arg-Ser-Asp (RSD) peptide, monoclonal antibody against ITGB1, and ITGB1 short interfering (si) RNA knockdown in cultured DF-1 cells. Simulation of the binding process between the aMPV/C fusion (F) protein and avian-derived ITGB1 using molecular dynamics showed that ITGB1 may be a host factor benefiting aMPV/C attachment or internalization. The transient expression of avian ITGB1-rendered porcine and feline non-permissive cells (DQ cells and CRFK cells, respectively) is susceptible to aMPV/C infection. Kinetic replication of aMPV/C in siRNA-knockdown cells revealed that ITGB1 plays an important role in aMPV/C infection at the early stage (attachment and internalization). aMPV/C was also able to efficiently infect human non-small cell lung cancer (A549) cells. This may be a consequence of the similar structures of both metapneumovirus F protein-specific motifs (RSD for aMPV/C and RGD for human metapneumovirus) recognized by ITGB1. Overexpression of avian-derived ITGB1 and human-derived ITGB1 in A549 cells enhanced aMPV/C infectivity. Taken together, this study demonstrated that ITGB1 acts as an essential receptor for aMPV/C attachment and internalization into host cells, facilitating aMPV/C infection.</t>
  </si>
  <si>
    <t xml:space="preserve">[Cui, Yongqiu; Li, Siting; Xu, Weiyin; Li, Yeqiu; Xie, Jiali; Wang, Dedong; Guo, Jinshuo; Zhou, Jianwei; Feng, Xufei; Hou, Lei; Liu, Jue] Yangzhou Univ, Coll Vet Med, Yangzhou 225009, Peoples R China; [Cui, Yongqiu; Li, Siting; Xu, Weiyin; Li, Yeqiu; Xie, Jiali; Wang, Dedong; Guo, Jinshuo; Zhou, Jianwei; Feng, Xufei; Hou, Lei; Liu, Jue] Yangzhou Univ, Jiangsu Co Innovat Ctr Prevent &amp; Control Important, Yangzhou 225009, Peoples R China</t>
  </si>
  <si>
    <t xml:space="preserve">Yangzhou University; Yangzhou University</t>
  </si>
  <si>
    <t xml:space="preserve">Hou, L; Liu, J (corresponding author), Yangzhou Univ, Coll Vet Med, Yangzhou 225009, Peoples R China.;Hou, L; Liu, J (corresponding author), Yangzhou Univ, Jiangsu Co Innovat Ctr Prevent &amp; Control Important, Yangzhou 225009, Peoples R China.</t>
  </si>
  <si>
    <t xml:space="preserve">cuiyongqiu97@163.com; sitingli999@163.com; xuxuwy@163.com; liyeqiu1996@163.com; xjl999736@163.com; wddyzu@163.com; jane9407@163.com; jwzhou@yzu.edu.cn; xffeng@yzu.edu.cn; houlei@yzu.edu.cn; liujue@yeu.edu.cn</t>
  </si>
  <si>
    <t xml:space="preserve">Cui, Yongqiu/0000-0003-3459-7047</t>
  </si>
  <si>
    <t xml:space="preserve">The authors greatly appreciate Dongwan Yoo (College of Veterinary Medicine, University of Illinois at Urbana-Champaign, Urbana, IL, USA) and Yuanhong Wang (Shanghai Veterinary Research Institute, Chinese Academy of Agricultural Sciences) for providing the IPEC-DQ and CRFK cell lines.</t>
  </si>
  <si>
    <t xml:space="preserve">10.3390/ijms25020829</t>
  </si>
  <si>
    <t xml:space="preserve">GM2Q1</t>
  </si>
  <si>
    <t xml:space="preserve">WOS:001153022600001</t>
  </si>
  <si>
    <t xml:space="preserve">Das, T; Sargan, A; Yagmur, G; Yildirim, M; Topal, CS; Gürler, AS; Asliyüksek, H; Arslan, MN; Özdemirel, R</t>
  </si>
  <si>
    <t xml:space="preserve">Das, Taner; Sargan, Aytul; Yagmur, Gulhan; Yildirim, Muzaffer; Topal, Cumhur Selcuk; Gurler, Ahmet Selcuk; Asliyuksek, Hizir; Arslan, Murat Nihat; Ozdemirel, Rifat</t>
  </si>
  <si>
    <t xml:space="preserve">Viral Pneumonias in Forensic Autopsies Evaluation and Classification of Histopathologic Changes With Microbiologic Correlation</t>
  </si>
  <si>
    <t xml:space="preserve">AMERICAN JOURNAL OF FORENSIC MEDICINE AND PATHOLOGY</t>
  </si>
  <si>
    <t xml:space="preserve">autopsy; pneumonia; histopathology; real-time RT-PCR; virus; forensic pathology</t>
  </si>
  <si>
    <t xml:space="preserve">RESPIRATORY SYNCYTIAL VIRUS; HUMAN METAPNEUMOVIRUS INFECTION; PCR; PATHOLOGY; INFLUENZA; TISSUES</t>
  </si>
  <si>
    <t xml:space="preserve">Lower respiratory infections are commonly due to viruses and are the third largest cause of death. Respiratory tract viruses have a tendency to target the specific regions in the lung and can harm the host via direct effect of the virus and the host's inflammatory response. In this study, relationships between morphologic changes in the lung and the viral agent type isolated in the lung by the polymerase chain reaction technique were investigated. This study was performed retrospectively at 113 autopsy cases in the Council of Forensic Medicine in Istanbul. Slides from the lung tissues diagnosed as interstitial pneumonia and detected viral agent in polymerase chain reaction were evaluated and reviewed under light microscope by 2 pathologists simultaneously according to predetermined bronchiolar; alveolar; and interstitial findings. Alveolar findings were detected in 108 cases (95.6%), whereas interstitial and bronchiolar findings were detected in 91 (80.5%) and 38 (33.6%) cases, respectively. Intra-alveolar edema was the most common alveolar finding. Some findings such as multinucleated syncytial cells and smudge cells can aid the search for etiologic agent. Interstitial inflammation was the most common histopathologic finding in the lung in viral infections and the most prominent clue to viral infections in the lung histopathologically without discrimination of viral agent type.</t>
  </si>
  <si>
    <t xml:space="preserve">[Das, Taner; Yildirim, Muzaffer] Forens Council Turkey, Minist Justice, Dept Pathol, Istanbul, Turkey; [Sargan, Aytul] Okmeydam Training &amp; Res Hosp, Dept Pathol, Istanbul, Turkey; [Yagmur, Gulhan] Forens Council Turkey, Minist Justice, Dept Postmortem Microbiol, Istanbul, Turkey; [Topal, Cumhur Selcuk] Umraniye Training &amp; Res Hosp, Dept Pathol, Istanbul, Turkey; [Gurler, Ahmet Selcuk; Arslan, Murat Nihat; Ozdemirel, Rifat] Forens Council Turkey, Minist Justice, Morgue Dept, Istanbul, Turkey; [Asliyuksek, Hizir] Istanbul Univ, Inst Forens Med, Dept Med Sci, Istanbul, Turkey</t>
  </si>
  <si>
    <t xml:space="preserve">Ministry of Justice - Turkey; Istanbul Okmeydani Training &amp; Research Hospital; Ministry of Justice - Turkey; Istanbul Umraniye Training &amp; Research Hospital; Ministry of Justice - Turkey; Istanbul University; Ministry of Justice - Turkey</t>
  </si>
  <si>
    <t xml:space="preserve">Das, T (corresponding author), Council Forens Med, Dept Pathol, Cobancesme Mah Sanayi Cd Kimiz Sk 1, Istanbul, Turkey.</t>
  </si>
  <si>
    <t xml:space="preserve">tanerdas@hotmail.com</t>
  </si>
  <si>
    <t xml:space="preserve">Daş, Taner/AFK-3546-2022; Arslan, Murat Nihat/X-7900-2018; Aslıyüksek, Hızır/AAC-1523-2021; topal, cumhur selcuk/AEJ-8271-2022</t>
  </si>
  <si>
    <t xml:space="preserve">Asliyuksek, Hizir/0000-0001-6845-3717; topal, cumhur selcuk/0000-0001-6782-2373; Bugra, Aytul/0000-0001-5640-8329</t>
  </si>
  <si>
    <t xml:space="preserve">0195-7910</t>
  </si>
  <si>
    <t xml:space="preserve">1533-404X</t>
  </si>
  <si>
    <t xml:space="preserve">AM J FOREN MED PATH</t>
  </si>
  <si>
    <t xml:space="preserve">Am. J. Forensic Med. Pathol.</t>
  </si>
  <si>
    <t xml:space="preserve">10.1097/PAF.0000000000000261</t>
  </si>
  <si>
    <t xml:space="preserve">Medicine, Legal; Pathology</t>
  </si>
  <si>
    <t xml:space="preserve">Legal Medicine; Pathology</t>
  </si>
  <si>
    <t xml:space="preserve">ED8IR</t>
  </si>
  <si>
    <t xml:space="preserve">WOS:000389115700009</t>
  </si>
  <si>
    <t xml:space="preserve">Huang, H; Deng, WW; Li, YX; Li, GH; Huang, JC; Luo, YL; Ke, PF</t>
  </si>
  <si>
    <t xml:space="preserve">Huang, Hui; Deng, Weiwen; Li, Yanxin; Li, Guohua; Huang, Jingchun; Luo, Yanling; Ke, Peifeng</t>
  </si>
  <si>
    <t xml:space="preserve">Evaluation of AutoLumo A2000 Chemiluminescent Immunoassay for Detection of Respiratory Syncytial Virus and Adenovirus IgM Antibodies</t>
  </si>
  <si>
    <t xml:space="preserve">AutoLumo evaluation; respiratory syncytial virus; adenovirus</t>
  </si>
  <si>
    <t xml:space="preserve">HUMAN METAPNEUMOVIRUS; INFECTION; DIAGNOSIS; IMMUNOFLUORESCENCE; YOUNG</t>
  </si>
  <si>
    <t xml:space="preserve">Background: Respiratory syncytial virus and adenovirus are seasonal diseases that cause an enormous burden on health systems. Previously, our lab uses DHI D3-Ultra DFA for detecting antigen of respiratory syncytial virus (RSV) and adenovirus (ADV). This article will evaluate the performance of AutoLumo RSV-IgM and ADV-IgM assays compared to D3-Ultra DFA method. Methods: We used quality control specimens to evaluate precision, cross-reactivity specimen to evaluate the specificity, exogenous interferent: Hb (1,000 mg/dL); total bilirubin (50 mg/dL), ANA titer (1:10,000), RF (500 IU/mL) to evaluate interference, and paired, nasopharyngeal swab and sera specimens to evaluate clinical sensitivity and specificity. Results: AutoLumo RSV-IgM and ADV-IgM assay show good precision and no cross-reactivity with other pathogen-specific IgM antibodies; no hook effect; exogenous interferent substance: Hb &lt; 1,000 mg/dL; total bilirubin &lt; 50 mg/dL, ANA titer &lt; 1:10,000, and RF &lt; 500 IU/mL showed no interference to RSV-IgM and ADV-IgM antibodies. The paired comparison test showed that RSV-IgM and ADV-IgM appear partly on the fifth day of the disease and peaked on days six to fourteen. Conclusions: AutoLumo RSV-IgM and ADV-IgM have good performance, but their sensitivities await further improvements.</t>
  </si>
  <si>
    <t xml:space="preserve">[Huang, Hui; Li, Yanxin; Li, Guohua; Huang, Jingchun; Luo, Yanling; Ke, Peifeng] Guangzhou Univ Chinese Med, Affiliated Hosp 2, Guangdong Prov Hosp Chinese Med, Dept Clin Lab, Guangzhou, Peoples R China; [Deng, Weiwen] Guangdong Womens &amp; Childrens Hosp, Guangzhou, Peoples R China</t>
  </si>
  <si>
    <t xml:space="preserve">Guangzhou University of Chinese Medicine</t>
  </si>
  <si>
    <t xml:space="preserve">Ke, PF (corresponding author), Guangzhou Univ Chinese Med, Affiliated Hosp 2, Dept Lab Sci, 111 Dade Rd, Guangzhou 510120, Peoples R China.</t>
  </si>
  <si>
    <t xml:space="preserve">kevinland020@163.com</t>
  </si>
  <si>
    <t xml:space="preserve">Hu, Ying/GQZ-8100-2022; Deng, Weiwen/A-1646-2013</t>
  </si>
  <si>
    <t xml:space="preserve">10.7754/Clin.Lab.2020.200918</t>
  </si>
  <si>
    <t xml:space="preserve">SE6DS</t>
  </si>
  <si>
    <t xml:space="preserve">WOS:000652161500019</t>
  </si>
  <si>
    <t xml:space="preserve">Taye, BW; Sarna, M; Le, H; Levy, A; Minney-Smith, C; Richmond, P; Menzies, R; Blyth, CC; Moore, HC</t>
  </si>
  <si>
    <t xml:space="preserve">Taye, Belaynew W.; Sarna, Mohinder; Le, Huong; Levy, Avram; Minney-Smith, Cara; Richmond, Peter; Menzies, Robert; Blyth, Christopher C.; Moore, Hannah C.</t>
  </si>
  <si>
    <t xml:space="preserve">Respiratory Viral Testing Rate Patterns in Young Children Attending Tertiary Care Across Western Australia: A Population-Based Birth Cohort Study</t>
  </si>
  <si>
    <t xml:space="preserve">Australia; geographic variation; respiratory virus; within-hospital laboratory testing</t>
  </si>
  <si>
    <t xml:space="preserve">SYNCYTIAL VIRUS; GLOBAL BURDEN; PARAINFLUENZA VIRUS; INFECTION; INFLUENZA; DISEASE; TIME</t>
  </si>
  <si>
    <t xml:space="preserve">Background: An understanding of viral testing rates is crucial to accurately estimate the pathogen-specific hospitalisation burden. We aimed to estimate the patterns of testing for respiratory syncytial virus (RSV), influenza virus, parainfluenza virus (PIV) and human metapneumovirus (hMPV) by geographical location, age and time in children &lt;5 years old in Western Australia. Methods: We conducted a population-based cohort study of children born between 1 January 2010 and 31 December 2021, utilising linked administrative data incorporating birth and death records, hospitalisations and respiratory viral surveillance testing records from state-wide public pathology data. We examined within-hospital testing rates using survival analysis techniques and identified independent predictors of testing using binary logistic regression. Results: Our dataset included 46,553 laboratory tests for RSV, influenza, PIV, or hMPV from 355,021 children (52.5% male). Testing rates declined in the metropolitan region over the study period (RSV testing in infants: from 242.11/1000 child-years in 2012 to 155.47/1000 child-years in 2018) and increased thereafter. Conversely, rates increased in non-metropolitan areas (e.g., RSV in Goldfields: from 364.92 in 2012 to 504.37/1000 child-years in 2021). The strongest predictors of testing were age &lt;12 months (adjusted odds ratio [aOR] = 2.25, 95% CI 2.20-2.31), preterm birth (&lt;32 weeks: aOR = 2.90, 95% CI 2.76-3.05) and remote residence (aOR = 0.77, 95% CI 0.73-0.81). Conclusion: These current testing rates highlight the potential underestimation of respiratory virus hospitalisations by routine surveillance and the need for estimation of the true burden of respiratory virus admissions.</t>
  </si>
  <si>
    <t xml:space="preserve">[Taye, Belaynew W.; Sarna, Mohinder; Le, Huong; Richmond, Peter; Blyth, Christopher C.; Moore, Hannah C.] Univ Western Australia, Telethon Kids Inst, Wesfarmers Ctr Vaccines &amp; Infect Dis, Perth, Australia; [Taye, Belaynew W.; Sarna, Mohinder; Le, Huong; Moore, Hannah C.] Curtin Univ, Sch Populat Hlth, Perth, Australia; [Levy, Avram] QEII Med Ctr, Pathogen Genom &amp; Surveillance Unit, PathWest Lab Med, Perth, Australia; [Levy, Avram] Univ Western Australia, Sch Biomed Sci, Perth, Australia; [Minney-Smith, Cara; Blyth, Christopher C.] QEII Med Ctr, Dept Microbiol, PathWest Lab Med, Perth, Australia; [Richmond, Peter; Blyth, Christopher C.] Univ Western Australia, Sch Med, Perth, Australia; [Richmond, Peter] Perth Childrens Hosp, Dept Immunol, Perth, Australia; [Menzies, Robert] Sanofi Aventis, Sanofi Vaccines, Macquarie Pk, Australia; [Menzies, Robert] Sanofi Aventis, Sanofi Vaccines, Auckland, New Zealand</t>
  </si>
  <si>
    <t xml:space="preserve">University of Western Australia; The Kids Research Institute Australia; Curtin University; Pathwest Laboratory Medicine; University of Western Australia; Pathwest Laboratory Medicine; University of Western Australia; Perth Childrens Hospital; Sanofi-Aventis</t>
  </si>
  <si>
    <t xml:space="preserve">Taye, BW (corresponding author), Univ Western Australia, Telethon Kids Inst, Wesfarmers Ctr Vaccines &amp; Infect Dis, Perth, Australia.;Taye, BW (corresponding author), Curtin Univ, Sch Populat Hlth, Perth, Australia.</t>
  </si>
  <si>
    <t xml:space="preserve">belaynew.taye@telethonkids.org.au</t>
  </si>
  <si>
    <t xml:space="preserve">Richmond, Peter/G-3379-2012; Moore, Hannah/G-3690-2011; /I-1941-2019; Moore, Hannah/W-4727-2018; Le, Huong/AGQ-2821-2022</t>
  </si>
  <si>
    <t xml:space="preserve">/0000-0003-2659-1059; Moore, Hannah/0000-0001-6434-8290; Richmond, Peter/0000-0001-7562-7228; Minney-Smith, Cara/0000-0003-4445-826X; Le, Huong/0000-0003-4630-5734; Levy, Avram/0000-0002-0934-2387; Blyth, Christopher Charles/0000-0003-2017-0683</t>
  </si>
  <si>
    <t xml:space="preserve">Sanofi-Aventis Australia [FLU00200]</t>
  </si>
  <si>
    <t xml:space="preserve">Sanofi-Aventis Australia(Sanofi-Aventis)</t>
  </si>
  <si>
    <t xml:space="preserve">This work was supported by Sanofi-Aventis Australia (Agreement #: FLU00200).</t>
  </si>
  <si>
    <t xml:space="preserve">e70005</t>
  </si>
  <si>
    <t xml:space="preserve">10.1111/irv.70005</t>
  </si>
  <si>
    <t xml:space="preserve">E6L0O</t>
  </si>
  <si>
    <t xml:space="preserve">WOS:001304088900001</t>
  </si>
  <si>
    <t xml:space="preserve">Esposito, S; Scala, A; Bianchini, S; Presicce, ML; Mori, A; Sciarrabba, CS; Fior, G; Principi, N</t>
  </si>
  <si>
    <t xml:space="preserve">Esposito, Susanna; Scala, Alessia; Bianchini, Sonia; Presicce, Maria Lory; Mori, Alessandro; Sciarrabba, Calogero Sathya; Fior, Giulia; Principi, Nicola</t>
  </si>
  <si>
    <t xml:space="preserve">Partial comparison of the NxTAG Respiratory Pathogen Panel Assay with the Luminex xTAG Respiratory Panel Fast Assay V2 and singleplex real-time polymerase chain reaction for detection of respiratory pathogens</t>
  </si>
  <si>
    <t xml:space="preserve">Atypical bacteria; Luminex NxTAG Respiratory Pathogen Panel Assay; Luminex Respiratory Virus Panel Fast Assay v2; Real-time polymerase chain reaction; Respiratory viruses</t>
  </si>
  <si>
    <t xml:space="preserve">COMMUNITY-ACQUIRED-PNEUMONIA; VIRUS-INFECTIONS; VIRAL PANEL; DIAGNOSIS; PCR; CHILDREN</t>
  </si>
  <si>
    <t xml:space="preserve">In this study, 185 nasopharyngeal swabs were tested to compare the sensitivity and specificity of the Luminex NxTAG (NxTAG) Respiratory Pathogen Panel (RPP) Assay with those of the Luminex Respiratory Virus Panel (RVP) Fast Assay v2 and singleplex real-time polymerase chain reaction (PCR). The NxTAG Assay identified at least one infectious agent in 164 (88.7%) of the swabs. In 91 (6.2%) tests with negative results with the RVP Fast Assay v2, a virus was identified by the NxTAG (P &lt; 0.001). With the NxTAG Assay, the detection rates were significantly higher for respiratory syncytial virus (P = 0.003), human metapneumovirus (P &lt; 0.001), human rhinovirus/human enterovirus (P = 0.009) and human adenovirus (P &lt; 0.001). Finally, the NxTAG Assay identified M. pneumoniae in 32 of 44 (72.7%) PCR-positive samples. However, the concordance with real-time PCR results was low for both assays. In conclusion, the results indicate that the NxTAG Assay overcomes some of the limitations of previous Luminex assays, although further studies are needed for a more complete evaluation of the new assay. (C) 2016 Elsevier Inc. All rights reserved.</t>
  </si>
  <si>
    <t xml:space="preserve">[Esposito, Susanna; Scala, Alessia; Bianchini, Sonia; Presicce, Maria Lory; Mori, Alessandro; Sciarrabba, Calogero Sathya; Fior, Giulia; Principi, Nicola] Univ Milan, Pediat Highly Intens Care Unit, Dept Pathophysiol &amp; Transplantat, Fdn IRCCS Ca Granda Osped Maggiore Policlin, Milan, Italy</t>
  </si>
  <si>
    <t xml:space="preserve">IRCCS Ca Granda Ospedale Maggiore Policlinico; University of Milan</t>
  </si>
  <si>
    <t xml:space="preserve">Esposito, S (corresponding author), Univ Milan, Pediat Highly Intens Care Unit, Dept Pathophysiol &amp; Transplantat, Fdn IRCCS Ca Granda Osped Maggiore Policlin, Milan, Italy.</t>
  </si>
  <si>
    <t xml:space="preserve">susanna.esposito@unimi.it</t>
  </si>
  <si>
    <t xml:space="preserve">Italian Ministry of Health (Fondazione IRCCS Ca' Granda Ospedale Maggiore Policlinico Fondi Ricerca Corrente) [2016 850/01]</t>
  </si>
  <si>
    <t xml:space="preserve">Italian Ministry of Health (Fondazione IRCCS Ca' Granda Ospedale Maggiore Policlinico Fondi Ricerca Corrente)</t>
  </si>
  <si>
    <t xml:space="preserve">This study was supported by a grant obtained from the Italian Ministry of Health (Fondazione IRCCS Ca' Granda Ospedale Maggiore Policlinico Fondi Ricerca Corrente 2016 850/01).</t>
  </si>
  <si>
    <t xml:space="preserve">10.1016/j.diagmicrobio.2016.06.018</t>
  </si>
  <si>
    <t xml:space="preserve">DU7TB</t>
  </si>
  <si>
    <t xml:space="preserve">WOS:000382416400011</t>
  </si>
  <si>
    <t xml:space="preserve">Amer, HM</t>
  </si>
  <si>
    <t xml:space="preserve">Amer, Haitham Mohamed</t>
  </si>
  <si>
    <t xml:space="preserve">Molecular Epidemiology of Human Metapneumovirus in Riyadh Province, Saudi Arabia</t>
  </si>
  <si>
    <t xml:space="preserve">JOURNAL OF MOLECULAR MICROBIOLOGY AND BIOTECHNOLOGY</t>
  </si>
  <si>
    <t xml:space="preserve">Attachment glycoprotein; Fusion protein; Genotypic classification; Human metapneumovirus; Phylogeny; Riyadh</t>
  </si>
  <si>
    <t xml:space="preserve">ACUTE RESPIRATORY-INFECTIONS; GENETIC-VARIABILITY; HOSPITALIZED CHILDREN; SURFACE GLYCOPROTEINS; SYNCYTIAL VIRUS; DIVERSITY; PREVALENCE; FEATURES; DISEASE; ILLNESS</t>
  </si>
  <si>
    <t xml:space="preserve">Human metapneumovirus (HMPV) is an important cause of respiratory tract illness in children. Two HMPV subgroups, A and B, and four genotypes, A1, A2, B1 and B2, have been identified. Concurrent circulation of the different genotypes in yearly epidemics has been recorded globally, but not in Saudi Arabia. The current report was designed to study HMPV epidemiology in Saudi children and to analyze the genetic diversity and circulation patterns. Nasopharyngeal aspirates (n = 174) were collected from hospitalized children in Riyadh (2008-2009). The screening of samples using real-time RT-PCR identified 19 HMPV strains. The majority of the strains belonged to subgroup B, while all strains of subgroup A were members of genotype A2. In 2008, only subgroup B was recognized, whereas in 2009 both subgroups were identified to be cocirculating at similar rates. The full-length attachment (G) gene and a partial sequence of the fusion (F) gene of positive samples were sequenced. The G gene showed a high degree of genetic diversity and exhibited a variable number of positively selected sites in different lineages. In contrast, the F gene demonstrated an extensive genetic stability with a higher tendency toward purifying selection. This is the first report on HMPV genotype circulation in Saudi Arabia; however, the exact circulation kinetics requires further retrospective and prospective study. (C) 2016 S. Karger AG, Basel.</t>
  </si>
  <si>
    <t xml:space="preserve">[Amer, Haitham Mohamed] King Saud Univ, Dept Bot &amp; Microbiol, Coll Sci, POB 2455, Riyadh 11451, Saudi Arabia; [Amer, Haitham Mohamed] Cairo Univ, Dept Virol, Fac Vet Med, Giza, Egypt</t>
  </si>
  <si>
    <t xml:space="preserve">King Saud University; Egyptian Knowledge Bank (EKB); Cairo University</t>
  </si>
  <si>
    <t xml:space="preserve">Amer, HM (corresponding author), King Saud Univ, Dept Bot &amp; Microbiol, Coll Sci, POB 2455, Riyadh 11451, Saudi Arabia.</t>
  </si>
  <si>
    <t xml:space="preserve">hamer@ksu.edu.sa</t>
  </si>
  <si>
    <t xml:space="preserve">Amer, Haitham/0000-0002-0024-2451</t>
  </si>
  <si>
    <t xml:space="preserve">NSTIP strategic technologies program in the Kingdom of Saudi Arabia [14-MED809-02]</t>
  </si>
  <si>
    <t xml:space="preserve">NSTIP strategic technologies program in the Kingdom of Saudi Arabia(King Abdulaziz City for Science &amp; Technology)</t>
  </si>
  <si>
    <t xml:space="preserve">This project was supported by the NSTIP strategic technologies program (No. 14-MED809-02) in the Kingdom of Saudi Arabia. I also thank Dr. Fahad Almajhdi and Mr. Mohamed Farrag for their technical and logistic assistance.</t>
  </si>
  <si>
    <t xml:space="preserve">1464-1801</t>
  </si>
  <si>
    <t xml:space="preserve">1660-2412</t>
  </si>
  <si>
    <t xml:space="preserve">J MOL MICROB BIOTECH</t>
  </si>
  <si>
    <t xml:space="preserve">J. Mol. Microbiol. Biotechnol.</t>
  </si>
  <si>
    <t xml:space="preserve">10.1159/000448374</t>
  </si>
  <si>
    <t xml:space="preserve">EA8DT</t>
  </si>
  <si>
    <t xml:space="preserve">WOS:000386866200007</t>
  </si>
  <si>
    <t xml:space="preserve">Erdem, SB; Can, D; Girit, S; Çatal, F; Sen, V; Pekcan, S; Yüksel, H; Bingöl, A; Bostanci, I; Erge, D; Ersu, R</t>
  </si>
  <si>
    <t xml:space="preserve">Erdem, S. B.; Can, D.; Girit, S.; Catal, F.; Sen, V.; Pekcan, S.; Yuksel, H.; Bingol, A.; Bostanci, I.; Erge, D.; Ersu, R.</t>
  </si>
  <si>
    <t xml:space="preserve">Does atopy affect the course of viral pneumonia?</t>
  </si>
  <si>
    <t xml:space="preserve">Atopy; Children; Viral pneumonia</t>
  </si>
  <si>
    <t xml:space="preserve">RISK-FACTORS; PNEUMOCOCCAL DISEASE; VIRUS/ALLERGEN INTERACTIONS; AIRWAY EPITHELIUM; CHILDREN YOUNGER; ASTHMA; INFECTIONS; IDENTIFICATION; EXACERBATIONS; EXPOSURE</t>
  </si>
  <si>
    <t xml:space="preserve">Background: The presence of atopy is considered as a risk factor for severe respiratory symptoms in children. The objective of this study was to examine the effect of atopy on the course of disease in children hospitalised with viral pneumonia. Methods: Children between the ages of 1 and 6 years hospitalised due to viral pneumonia between the years of 2013 and 2016 were included to this multicentre study. Patients were classified into two groups as mild-moderate and severe according to the course of pneumonia. Presence of atopy was evaluated with skin prick tests. Groups were compared to evaluate the risk factors associated with severe viral pneumonia. Results: A total of 280 patients from nine centres were included in the study. Of these patients, 163 (58.2%) were male. Respiratory syncytial virus (29.7%), Influenza A (20.5%), rhinovirus (18.9%), adenovirus (10%), human metapneumovirus (8%), parainfluenza (5.2%), coronavirus (6%), and bocavirus (1.6%) were isolated from respiratory samples. Eighty-five (30.4%) children had severe pneumonia. Atopic sensitisation was found in 21.4% of the patients. Ever wheezing (RR: 1.6, 95% CI: 1.1-2.4), parental asthma (RR: 1.5, 95% CI: 1.1-2.2), other allergic diseases in the family (RR: 1.8, 95% CI: 1.2-2.9) and environmental tobacco smoke (RR: 1.6, 95% CI: 1.1-3.5) were more common in the severe pneumonia group. Conclusions: When patients with mild-moderate pneumonia were compared to patients with severe pneumonia, frequency of atopy was not different between the two groups. However, parental asthma, ever wheezing and environmental tobacco smoke exposure are risk factors for severe viral pneumonia in children. (C) 2017 SEICAP. Published by Elsevier Espana, S.L.U. All rights reserved.</t>
  </si>
  <si>
    <t xml:space="preserve">[Erdem, S. B.; Can, D.] Dr Behcet Uz Childrens Hosp, Dept Pediat Allergy, Izmir, Turkey; [Girit, S.] Kartal Dr Lutfu Kirdar Training &amp; Res Hosp, Pediat Pulmonol, Istanbul, Turkey; [Catal, F.] Inonu Univ, Fac Med, Dept Allergy Immunol, Malatya, Turkey; [Sen, V.] Dicle Univ, Fac Med, Dept Pediat, Diyarbakir, Turkey; [Pekcan, S.] Necmettin Erbakan Univ, Dept Allergy Immunol, Meram Med Fac, Konya, Turkey; [Yuksel, H.] Celal Bayar Univ, Med Fac, Dept Allergy Immunol, Manisa, Turkey; [Bingol, A.] Akdeniz Univ, Fac Med, Dept Allergy Immunol, Antalya, Turkey; [Bostanci, I.] Dr Sami Ulus Obstet &amp; Child Hlth &amp; Dis Training &amp;, Dept Allergy Immunol, Ankara, Turkey; [Erge, D.] Adnan Menderes Univ, Med Fac, Dept Allergy Immunol, Aydin, Turkey; [Ersu, R.] Marmara Univ, Fac Med, Dept Pediat Pulmonol, Istanbul, Turkey</t>
  </si>
  <si>
    <t xml:space="preserve">Izmir Dr Behcet Uz Children's Disease &amp; Surgery Training &amp; Research Hospital; Inonu University; Dicle University; Necmettin Erbakan University; Celal Bayar University; Akdeniz University; Adnan Menderes University; Marmara University</t>
  </si>
  <si>
    <t xml:space="preserve">Erdem, SB (corresponding author), Dr Behcet Uz Childrens Hosp, Dept Pediat Allergy, Izmir, Turkey.</t>
  </si>
  <si>
    <t xml:space="preserve">semihabahceci@hotmail.com</t>
  </si>
  <si>
    <t xml:space="preserve">YÜKSEL, Hasan/A-1474-2013; Bahceci, Semiha/AAV-7665-2021; Girit, Saniye/AAE-6316-2019; Can, Demet/AAG-6831-2019</t>
  </si>
  <si>
    <t xml:space="preserve">Bostanci, Ilknur/0000-0001-6392-5877</t>
  </si>
  <si>
    <t xml:space="preserve">10.1016/j.aller.2017.04.003</t>
  </si>
  <si>
    <t xml:space="preserve">FY4MS</t>
  </si>
  <si>
    <t xml:space="preserve">WOS:000426799400004</t>
  </si>
  <si>
    <t xml:space="preserve">Birger, R; Morita, H; Comito, D; Filip, I; Galanti, M; Lane, B; Ligon, C; Rosenbloom, D; Shittu, A; Ud-Dean, M; Desalle, R; Planet, P; Shaman, J</t>
  </si>
  <si>
    <t xml:space="preserve">Birger, Ruthie; Morita, Haruka; Comito, Devon; Filip, Ioan; Galanti, Marta; Lane, Benjamin; Ligon, Chanel; Rosenbloom, Daniel; Shittu, Atinuke; Ud-Dean, Minhaz; Desalle, Rob; Planet, Paul; Shaman, Jeffrey</t>
  </si>
  <si>
    <t xml:space="preserve">Asymptomatic Shedding of Respiratory Virus among an Ambulatory Population across Seasons</t>
  </si>
  <si>
    <t xml:space="preserve">asymptomatic infection; population health; respiratory viruses</t>
  </si>
  <si>
    <t xml:space="preserve">SYNCYTIAL VIRUS; INFLUENZA-VIRUS; YOUNG-CHILDREN; INFECTIONS; RHINOVIRUS; SYMPTOMS; SURVEILLANCE; FAMILIES; INFANTS; DISEASE</t>
  </si>
  <si>
    <t xml:space="preserve">Most observation of human respiratory virus carriage is derived from medical surveillance; however, the infections documented by this surveillance represent only a symptomatic fraction of the total infected population. As the role of asymptomatic infection in respiratory virus transmission is still largely unknown and rates of asymptomatic shedding are not well constrained, it is important to obtain more-precise estimates through alternative sampling methods. We actively recruited participants from among visitors to a New York City tourist attraction. Nasopharyngeal swabs, demographics, and survey information on symptoms, medical history, and recent travel were obtained from 2,685 adults over two seasonal arms. We used multiplex PCR to test swab specimens for a selection of common respiratory viruses. A total of 6.2% of samples (168 individuals) tested positive for at least one virus, with 5.6% testing positive in the summer arm and 7.0% testing positive in the winter arm. Of these, 85 (50.6%) were positive for human rhinovirus (HRV), 65 (38.7%) for coronavirus (CoV), and 18 (10.2%) for other viruses (including adenovirus, human metapneumovirus, influenza virus, and parainfluenza virus). Depending on the definition of symptomatic infection, 65% to 97% of infections were classified as asymptomatic. The best-fit model for prediction of positivity across all viruses included a symptom severity score, Hispanic ethnicity data, and age category, though there were slight differences across the seasonal arms. Though having symptoms is predictive of virus positivity, there are high levels of asymptomatic respiratory virus shedding among the members of an ambulatory population in New York City. IMPORTANCE Respiratory viruses are common in human populations, causing significant levels of morbidity. Understanding the distribution of these viruses is critical for designing control methods. However, most data available are from medical records and thus predominantly represent symptomatic infections. Estimates for asymptomatic prevalence are sparse and span a broad range. In this study, we aimed to measure more precisely the proportion of infections that are asymptomatic in a general, ambulatory adult population. We recruited participants from a New York City tourist attraction and administered nasal swabs, testing them for adenovirus, coronavirus, human metapneumovirus, rhinovirus, influenza virus, respiratory syncytial virus, and parainfluenza virus. At recruitment, participants completed surveys on demographics and symptomology. Analysis of these data indicated that over 6% of participants tested positive for shedding of respiratory virus. While participants who tested positive were more likely to report symptoms than those who did not, over half of participants who tested positive were asymptomatic.</t>
  </si>
  <si>
    <t xml:space="preserve">[Birger, Ruthie; Morita, Haruka; Comito, Devon; Galanti, Marta; Lane, Benjamin; Ligon, Chanel; Shittu, Atinuke; Ud-Dean, Minhaz; Shaman, Jeffrey] Columbia Univ, Mailman Sch Publ Hlth, Dept Environm Hlth Sci, New York, NY 10027 USA; [Filip, Ioan; Rosenbloom, Daniel] Columbia Univ, Dept Biomed Informat, New York, NY USA; [Desalle, Rob; Planet, Paul; Shaman, Jeffrey] Amer Museum Nat Hist, Sackler Inst Comparat Genom, New York, NY 10024 USA; [Planet, Paul] Univ Penn, Dept Pediat, Perelman Sch Med, Philadelphia, PA 19104 USA; [Planet, Paul] Childrens Hosp Philadelphia, Philadelphia, PA 19104 USA</t>
  </si>
  <si>
    <t xml:space="preserve">Columbia University; Columbia University; American Museum of Natural History (AMNH); University of Pennsylvania; University of Pennsylvania; Pennsylvania Medicine; Childrens Hospital of Philadelphia</t>
  </si>
  <si>
    <t xml:space="preserve">Birger, R (corresponding author), Columbia Univ, Mailman Sch Publ Hlth, Dept Environm Hlth Sci, New York, NY 10027 USA.</t>
  </si>
  <si>
    <t xml:space="preserve">rbb2123@cumc.columbia.edu</t>
  </si>
  <si>
    <t xml:space="preserve">UD-DEAN, S/A-8135-2010; Filip, Ioan/AAU-5107-2021; Birger, Ruthie/LNQ-4943-2024; Galanti, Marta/KFQ-7348-2024; Birger, Ruthie/F-2416-2014</t>
  </si>
  <si>
    <t xml:space="preserve">galanti, marta/0000-0002-9060-1250; Ligon, Chanel/0000-0002-0304-6907; Birger, Ruthie/0000-0002-2960-5084</t>
  </si>
  <si>
    <t xml:space="preserve">Defense Advanced Research Projects Agency [W911NF-16-2-0035]; Earth Institute at Columbia University</t>
  </si>
  <si>
    <t xml:space="preserve">Defense Advanced Research Projects Agency(United States Department of DefenseDefense Advanced Research Projects Agency (DARPA)); Earth Institute at Columbia University</t>
  </si>
  <si>
    <t xml:space="preserve">Funding for this work was provided by Defense Advanced Research Projects Agency contract W911NF-16-2-0035. R.B. is also supported by the Earth Institute at Columbia University. J.S. and Columbia University disclose partial ownership of SK Analytics. The rest of us declare no competing interests.</t>
  </si>
  <si>
    <t xml:space="preserve">e00249-18</t>
  </si>
  <si>
    <t xml:space="preserve">10.1128/mSphere.00249-18</t>
  </si>
  <si>
    <t xml:space="preserve">GP7FE</t>
  </si>
  <si>
    <t xml:space="preserve">WOS:000441058200019</t>
  </si>
  <si>
    <t xml:space="preserve">Walker, GJ; Stelzer-Braid, S; Shorter, C; Honeywill, C; Wynn, M; Willenborg, C; Barnes, P; Kang, J; Pierse, N; Crane, J; Howden-Chapman, P; Rawlinson, WD</t>
  </si>
  <si>
    <t xml:space="preserve">Walker, Gregory J.; Stelzer-Braid, Sacha; Shorter, Caroline; Honeywill, Claire; Wynn, Matthew; Willenborg, Christiana; Barnes, Phillipa; Kang, Janice; Pierse, Nevil; Crane, Julian; Howden-Chapman, Philippa; Rawlinson, William D.</t>
  </si>
  <si>
    <t xml:space="preserve">Viruses associated with acute respiratory infection in a community-based cohort of healthy New Zealand children</t>
  </si>
  <si>
    <t xml:space="preserve">asymptomatic infection; epidemiology; pediatric; respiratory virus; surveillance</t>
  </si>
  <si>
    <t xml:space="preserve">PRESCHOOL-AGED CHILDREN; DISEASE SEVERITY; TRACT INFECTIONS; HUMAN RHINOVIRUS; INFLUENZA; EPIDEMIOLOGY; PATHOGENS; SYMPTOMS; SURVEILLANCE; DETECTIONS</t>
  </si>
  <si>
    <t xml:space="preserve">Acute respiratory infections (ARIs) are a major cause of morbidity among children. Respiratory viruses are commonly detected in both symptomatic and asymptomatic periods. The rates of infection and community epidemiology of respiratory viruses in healthy children needs further definition to assist interpretation of molecular diagnostic assays in this population. Children otherwise healthy aged 1 to 8 years were prospectively enrolled in the study during two consecutive winters, when ARIs peak in New Zealand. Parents completed a daily symptom diary for 8 weeks, during which time they collected a nasal swab from the child for each clinical ARI episode. A further nasal swab was collected by research staff during a clinic visit at the conclusion of the study. All samples were tested for 15 respiratory viruses commonly causing ARI using molecular multiplex polymerase chain reaction assays. There were 575 ARIs identified from 301 children completing the study, at a rate of 1.04 per child-month. Swabs collected during an ARI were positive for a respiratory virus in 76.8% (307 of 400), compared with 37.3% (79 of 212) of swabs collected during asymptomatic periods. The most common viruses detected were human rhinovirus, coronavirus, parainfluenza viruses, influenzavirus, respiratory syncytial virus, and human metapneumovirus. All of these were significantly more likely to be detected during ARIs than asymptomatic periods. Parent-administered surveillance is a useful mechanism for understanding infectious disease in healthy children in the community. Interpretation of molecular diagnostic assays for viruses must be informed by understanding of local rates of asymptomatic infection by such viruses.</t>
  </si>
  <si>
    <t xml:space="preserve">[Walker, Gregory J.; Stelzer-Braid, Sacha; Wynn, Matthew; Willenborg, Christiana; Rawlinson, William D.] Prince Wales Hosp, Virol Res Lab, Sydney, NSW, Australia; [Walker, Gregory J.; Stelzer-Braid, Sacha; Rawlinson, William D.] Univ New South Wales, Sch Med Sci, Fac Med, Sydney, NSW, Australia; [Shorter, Caroline; Honeywill, Claire; Barnes, Phillipa; Kang, Janice; Crane, Julian] Univ Otago, Dept Med, Wellington, New Zealand; [Pierse, Nevil; Howden-Chapman, Philippa] Univ Otago, Dept Publ Hlth, Wellington, New Zealand; [Rawlinson, William D.] Prince Wales Hosp, Serol &amp; Virol Div, South Eastern Area Lab Serv Microbiol, Sydney, NSW, Australia; [Rawlinson, William D.] Univ New South Wales, Sch Womens &amp; Childrens Hlth, Fac Med, Sydney, NSW, Australia</t>
  </si>
  <si>
    <t xml:space="preserve">University of New South Wales Sydney; Prince of Wales Hospital (POWH); University of New South Wales Sydney; University of Otago; University of Otago; University of New South Wales Sydney; Prince of Wales Hospital (POWH); University of New South Wales Sydney</t>
  </si>
  <si>
    <t xml:space="preserve">Stelzer-Braid, S (corresponding author), Prince Wales Hosp, Virol Res Lab, Level 3 Campus Ctr, Randwick, NSW 2031, Australia.</t>
  </si>
  <si>
    <t xml:space="preserve">s.stelzer-braid@unsw.edu.au</t>
  </si>
  <si>
    <t xml:space="preserve">Kang, Janice/KGK-6371-2024; Wynn, Matthew/AAG-6807-2021</t>
  </si>
  <si>
    <t xml:space="preserve">Stelzer-Braid, Sacha/0000-0001-6037-9305; Walker, Gregory/0000-0003-0044-1394; Wynn, Matthew/0000-0002-6773-6325</t>
  </si>
  <si>
    <t xml:space="preserve">10.1002/jmv.25493</t>
  </si>
  <si>
    <t xml:space="preserve">XL5NV</t>
  </si>
  <si>
    <t xml:space="preserve">WOS:000728193300006</t>
  </si>
  <si>
    <t xml:space="preserve">Arruda, LK; Ferriani, VPL; Silva, J; Camara, AA; Arruda, E</t>
  </si>
  <si>
    <t xml:space="preserve">Arruda, L. Karla; Ferriani, Virginia P. L.; Silva, Jorgete; Camara, Ataide A.; Arruda, Eurico</t>
  </si>
  <si>
    <t xml:space="preserve">Risk factors for wheezing in children - The role of respiratory viruses</t>
  </si>
  <si>
    <t xml:space="preserve">ALLERGY &amp; CLINICAL IMMUNOLOGY INTERNATIONAL-JOURNAL OF THE WORLD ALLERGY ORGANIZATION</t>
  </si>
  <si>
    <t xml:space="preserve">asthma; wheezing; children; rhinovirus; respiratory syncytial virus</t>
  </si>
  <si>
    <t xml:space="preserve">SYNCYTIAL VIRUS; VIRAL-INFECTIONS; YOUNG-CHILDREN; HUMAN METAPNEUMOVIRUS; BRONCHIAL EPITHELIUM; PRESCHOOL-CHILDREN; ALLERGEN EXPOSURE; CHILDHOOD ASTHMA; SOUTHEAST BRAZIL; HUMAN RHINOVIRUS</t>
  </si>
  <si>
    <t xml:space="preserve">Background: Infections with respiratory viruses, particularly human rhinovirus (HRV) and respiratory syncytial virus (RSV), are major causes of lower respiratory tract (LTR) illnesses associated with wheezing in children. Asthma is the most common chronic disease in children, and it is thought that environmental factors acting early in life, including respiratory viral infections, interacting with specific genes, are key events for the development of chronic disease. Infections with both RSV and rhinovirus early in life have been associated with persistent wheezing and asthma in children, and are a known cause of exacerbations of asthma in those with established disease. Methods/Data base: A review of the literature and own studies. Results: Studies performed in different areas of the world indicate that there are differences in the distribution of viruses and in the association of viruses with wheezing in temperate areas as compared to subtropical environments. Conclusions: Preventive treatment for infections with RSV or rhinoviruses, when available, will probably have a major impact on childhood wheezing and asthma.</t>
  </si>
  <si>
    <t xml:space="preserve">[Arruda, L. Karla] Univ Sao Paulo, Sch Med, Dept Internal Med, BR-14049900 Ribeirao Preto, Brazil; [Arruda, Eurico] Univ Sao Paulo, Sch Med, Dept Cell Biol, BR-14049900 Ribeirao Preto, Brazil; [Ferriani, Virginia P. L.; Silva, Jorgete] Univ Sao Paulo, Sch Med, Dept Pediat, BR-14049900 Ribeirao Preto, Brazil; [Camara, Ataide A.] Santa Lydia Hosp, Ribeirao Preto, Brazil</t>
  </si>
  <si>
    <t xml:space="preserve">Universidade de Sao Paulo; Universidade de Sao Paulo; Universidade Federal de Sao Paulo (UNIFESP); Universidade de Sao Paulo</t>
  </si>
  <si>
    <t xml:space="preserve">Arruda, LK (corresponding author), Univ Sao Paulo, Sch Med, Dept Internal Med, Av Bandeirantes 3900, BR-14049900 Ribeirao Preto, Brazil.</t>
  </si>
  <si>
    <t xml:space="preserve">karla@fmrp.usp.br</t>
  </si>
  <si>
    <t xml:space="preserve">Arruda, Eurico/E-4101-2012; Arruda, L. Karla/D-5845-2013; Ferriani, Virginia/E-2209-2012</t>
  </si>
  <si>
    <t xml:space="preserve">HOGREFE &amp; HUBER PUBLISHERS</t>
  </si>
  <si>
    <t xml:space="preserve">KIRKLAND</t>
  </si>
  <si>
    <t xml:space="preserve">PO BOX 2487, KIRKLAND, WA 98083-2487 USA</t>
  </si>
  <si>
    <t xml:space="preserve">0838-1925</t>
  </si>
  <si>
    <t xml:space="preserve">ALLERGY CLIN IMMUNOL</t>
  </si>
  <si>
    <t xml:space="preserve">Allergy Clin. Immunol. Int.</t>
  </si>
  <si>
    <t xml:space="preserve">10.1027/0838-1925.19.5.185</t>
  </si>
  <si>
    <t xml:space="preserve">278AE</t>
  </si>
  <si>
    <t xml:space="preserve">WOS:000254255000003</t>
  </si>
  <si>
    <t xml:space="preserve">Chang, AB; Clark, R; Acworth, JP; Petsky, HL; Sloots, TP</t>
  </si>
  <si>
    <t xml:space="preserve">Chang, Anne B.; Clark, Ron; Acworth, Jason P.; Petsky, Helen L.; Sloots, Theo P.</t>
  </si>
  <si>
    <t xml:space="preserve">The Impact of Viral Respiratory Infection on the Severity and Recovery From an Asthma Exacerbation</t>
  </si>
  <si>
    <t xml:space="preserve">asthma; viral infections; acute exacerbation; polymerase chain reaction</t>
  </si>
  <si>
    <t xml:space="preserve">QUALITY-OF-LIFE; MYCOPLASMA-PNEUMONIAE; HUMAN METAPNEUMOVIRUS; CHLAMYDIA-PNEUMONIAE; TRACT INFECTIONS; CHILDREN; VIRUSES; COUGH; EPIDEMIOLOGY; BOCAVIRUS</t>
  </si>
  <si>
    <t xml:space="preserve">Background: Viral respiratory illness triggers asthma exacerbations, but the influence of respiratory illness on the acute severity and recovery of childhood asthma is unknown. Our objective was to evaluate the impact of a concurrent acute respiratory illness (based on a clinical definition and PCR detection of a panel of respiratory viruses, Mycoplasma pneumoniae and Chlamydia pneumoniae) on the severity and resolution of symptoms in children with a nonhospitalized exacerbation of asthma. Methods: Subjects were children aged 2 to 15 years presenting to an emergency department for an acute asthma exacerbation and not hospitalized. Acute respiratory illness (ARI) was clinically defined. Nasopharyngeal aspirates (NPA) were examined for respiratory viruses, Chlamydia and Mycoplasma using PCR. The primary outcome was quality of life (QOL) on presentation, day 7 and day 14. Secondary outcomes were acute asthma severity score, asthma diary, and cough diary scores on days 5, 7, 10, and 14. Results: On multivariate regression, presence of ARI was statistically but not clinically significantly associated with QOL score on presentation (B = -0.36, P = 0.025). By day 7 and 14, there was no difference between groups. Asthma diary score was significantly higher in children with ARI (B = 0.41, P = 0.039) on day 5 but not on presentation or subsequent days. Respiratory viruses were detected in 54% of the 78 NPAs obtained. There was no difference in the any of the asthma outcomes of children grouped by positive or negative NPA. Conclusions: The presence of a viral respiratory illness has a modest influence on asthma severity, and does not influence recovery from a nonhospitalized asthma exacerbation.</t>
  </si>
  <si>
    <t xml:space="preserve">[Chang, Anne B.; Petsky, Helen L.] Royal Childrens Hosp, Queensland Childrens Resp Ctr, Brisbane, Qld 4029, Australia; [Chang, Anne B.] Charles Darwin Univ, Menzies Sch Hlth Res, Child Hlth Div, Brisbane, Qld, Australia; [Clark, Ron; Acworth, Jason P.] Royal Childrens Hosp, Dept Emergency Med, Brisbane, Qld 4029, Australia; [Sloots, Theo P.] Royal Childrens Hosp, Sir Albert Sakzewski Virus Res Ctr, Queensland Paediat Infect Dis Lab, Res Unit, Brisbane, Qld 4029, Australia</t>
  </si>
  <si>
    <t xml:space="preserve">Royal Children's Hospital Brisbane; Charles Darwin University; Menzies School of Health Research; Royal Children's Hospital Brisbane; Royal Children's Hospital Brisbane</t>
  </si>
  <si>
    <t xml:space="preserve">Chang, AB (corresponding author), Royal Childrens Hosp, Queensland Childrens Resp Ctr, Brisbane, Qld 4029, Australia.</t>
  </si>
  <si>
    <t xml:space="preserve">annechang@ausdoctors.net</t>
  </si>
  <si>
    <t xml:space="preserve">Sloots, Theo/E-6118-2011; Chang, Anne/F-2066-2013; Acworth, Jason/B-1339-2011; Petsky, Helen/S-9975-2019</t>
  </si>
  <si>
    <t xml:space="preserve">Chang, Anne/0000-0002-1331-3706; Acworth, Jason/0000-0002-6602-3155; Petsky, Helen/0000-0002-5315-9002</t>
  </si>
  <si>
    <t xml:space="preserve">Asthma Foundation of Queensland; Royal Children's Hospital Foundation; NHMRC Practitioner and Queensland Clinical Research Fellowships</t>
  </si>
  <si>
    <t xml:space="preserve">Asthma Foundation of Queensland; Royal Children's Hospital Foundation; NHMRC Practitioner and Queensland Clinical Research Fellowships(National Health &amp; Medical Research Council (NHMRC) of Australia)</t>
  </si>
  <si>
    <t xml:space="preserve">Supported by the Asthma Foundation of Queensland and Royal Children's Hospital Foundation; and NHMRC Practitioner and Queensland Clinical Research Fellowships (to A.B.C.).</t>
  </si>
  <si>
    <t xml:space="preserve">10.1097/INF.0b013e31819067b1</t>
  </si>
  <si>
    <t xml:space="preserve">424YG</t>
  </si>
  <si>
    <t xml:space="preserve">WOS:000264603600007</t>
  </si>
  <si>
    <t xml:space="preserve">Baturcam, E; Snape, N; Yeo, TH; Schagen, J; Thomas, E; Logan, J; Galbraith, S; Collinson, N; Phipps, S; Fantino, E; Sly, PD; Spann, KM</t>
  </si>
  <si>
    <t xml:space="preserve">Baturcam, Engin; Snape, Natale; Yeo, Tiong Han; Schagen, Johanna; Thomas, Emma; Logan, Jayden; Galbraith, Sally; Collinson, Natasha; Phipps, Simon; Fantino, Emmanuelle; Sly, Peter D.; Spann, Kirsten M.</t>
  </si>
  <si>
    <t xml:space="preserve">Human Metapneumovirus Impairs Apoptosis of Nasal Epithelial Cells in Asthma via HSP70</t>
  </si>
  <si>
    <t xml:space="preserve">JOURNAL OF INNATE IMMUNITY</t>
  </si>
  <si>
    <t xml:space="preserve">Asthma; Primary nasal epithelial cells; Human metapneumovirus; Apoptosis; Interferon; Heat shock protein 70</t>
  </si>
  <si>
    <t xml:space="preserve">HEAT-SHOCK PROTEINS; INFECTION; HEAT-SHOCK-PROTEIN-70; EXPRESSION; DEFICIENT; INHIBITION; MECHANISM; CHILDREN; VIRUSES; BURDEN</t>
  </si>
  <si>
    <t xml:space="preserve">Asthmatics are highly susceptible to respiratory viral infections, possibly due to impaired innate immunity. However, the exact mechanisms of susceptibility are likely to differ amongst viruses. Therefore, we infected primary nasal epithelial cells (NECs) from adults with mild-to-moderate asthma, with respiratory syncytial virus (RSV) or human meta-pneumovirus (hMPV) in vitro and investigated the antiviral response. NECs from these asthmatics supported elevated hMPV but not RSV infection, compared to non-asthmatic controls. This correlated with reduced apoptosis and reduced activation of caspase-9 and caspase-3/7 in response to hMPV, but not RSV. The expression of heat shock protein 70 (HSP70), a known inhibitor of caspase activation and subsequent apoptosis, was amplified in response to hMPV infection. Chemical inhibition of HSP70 function restored caspase activation and reduced hMPV infection in NECs from asthmatic subjects. There was no impairment in the production of IFN by NECs from asthmatics in response to either hMPV or RSV, demonstrating that increased infection of asthmatic airway cells by hMPV is IFN-independent. This study demonstrates, for the first time, a mechanism for elevated hMPV infection in airway epithelial cells from adult asthmatics and identifies HSP70 as a potential target for antiviral and asthma therapies. (C) 2016 S. Karger AG, Basel</t>
  </si>
  <si>
    <t xml:space="preserve">[Baturcam, Engin] Univ Queensland, Sch Med, Brisbane, Qld, Australia; [Baturcam, Engin; Snape, Natale; Schagen, Johanna; Thomas, Emma; Logan, Jayden; Galbraith, Sally; Fantino, Emmanuelle; Sly, Peter D.] Univ Queensland, Child Hlth Res Ctr, Brisbane, Qld, Australia; [Collinson, Natasha; Spann, Kirsten M.] Queensland Univ Technol, Sch Biomed Sci, Brisbane, Qld, Australia; [Collinson, Natasha; Spann, Kirsten M.] Ctr Childrens Hlth Res, Inst Hlth &amp; Biomed Innovat, Brisbane, Qld, Australia; [Yeo, Tiong Han] Univ Queensland, Sch Chem &amp; Mol Biosci, St Lucia, Qld, Australia; [Phipps, Simon] Univ Queensland, Sch Biomed Sci, St Lucia, Qld, Australia; [Phipps, Simon] Australian Infect Dis Res Ctr, St Lucia, Qld, Australia</t>
  </si>
  <si>
    <t xml:space="preserve">University of Queensland; University of Queensland; Queensland University of Technology (QUT); Queensland University of Technology (QUT); University of Queensland; University of Queensland</t>
  </si>
  <si>
    <t xml:space="preserve">Spann, KM (corresponding author), Queensland Univ Technol, Fac Hlth, Sch Biomed Sci, CCHR, Room 807,62 Graham St, South Brisbane, Qld 4101, Australia.</t>
  </si>
  <si>
    <t xml:space="preserve">Kirsten.Spann@qut.edu.au</t>
  </si>
  <si>
    <t xml:space="preserve">Sly, Peter/F-1486-2010; Fantino, Emmanuelle/F-1654-2010; Phipps, Simon/F-9170-2010; Spann, Kirsten/B-4524-2013; Thomas, Emma/AAJ-6492-2020</t>
  </si>
  <si>
    <t xml:space="preserve">Sly, Peter/0000-0001-6305-2201; Fantino, Emmanuelle/0000-0001-9046-3655; Phipps, Simon/0000-0002-7388-3612; Spann, Kirsten/0000-0003-0567-8382; Thomas, Emma/0000-0001-8415-0521</t>
  </si>
  <si>
    <t xml:space="preserve">National Health and Medical Research Council of Australia [1061921]; Queensland Children's Medical Research Institute; National Health and Medical Research Council of Australia [1061921] Funding Source: NHMRC</t>
  </si>
  <si>
    <t xml:space="preserve">National Health and Medical Research Council of Australia(National Health &amp; Medical Research Council (NHMRC) of Australia); Queensland Children's Medical Research Institute; National Health and Medical Research Council of Australia(National Health &amp; Medical Research Council (NHMRC) of Australia)</t>
  </si>
  <si>
    <t xml:space="preserve">We thank Dr. Dimitrios Vagenas from the Institute for Health and Biomedical Innovation, Queensland University of Technology, for statistical advice. This study was supported by a National Health and Medical Research Council of Australia project grant (No. 1061921) awarded to K.M.S., E.F. and P.D.S. E.B. was supported by a Queensland Children's Medical Research Institute PhD support scholarship.</t>
  </si>
  <si>
    <t xml:space="preserve">1662-811X</t>
  </si>
  <si>
    <t xml:space="preserve">1662-8128</t>
  </si>
  <si>
    <t xml:space="preserve">J INNATE IMMUN</t>
  </si>
  <si>
    <t xml:space="preserve">J. Innate Immun.</t>
  </si>
  <si>
    <t xml:space="preserve">10.1159/000449101</t>
  </si>
  <si>
    <t xml:space="preserve">EI0LT</t>
  </si>
  <si>
    <t xml:space="preserve">WOS:000392166700006</t>
  </si>
  <si>
    <t xml:space="preserve">Moattari, A; Aleyasin, S; Arabpour, M; Sadeghi, S</t>
  </si>
  <si>
    <t xml:space="preserve">Moattari, Afagh; Aleyasin, Soheila; Arabpour, Mohammad; Sadeghi, Sadaf</t>
  </si>
  <si>
    <t xml:space="preserve">Prevalence of Human Metapneumovirus (hMPV) in Children with Wheezing in Shiraz-Iran</t>
  </si>
  <si>
    <t xml:space="preserve">IRANIAN JOURNAL OF ALLERGY ASTHMA AND IMMUNOLOGY</t>
  </si>
  <si>
    <t xml:space="preserve">Asthma; Iran; Metapneumovirus; Pediatrics</t>
  </si>
  <si>
    <t xml:space="preserve">Human metapneumovirus (hMPV) infection plays an important role in the pediatric respiratory infections. The aim of this study was to determine the relationship between asthma and wheezing with hMPV in hospitalized children. Nasal pharyngeal swabs obtained from 120 children aged 1-60 months, hospitalized during a one year period, were tested for the hMPV by RT-PCR. HMPV was detected in 20 (16.6%) of patients suffering from wheezing. Some patients in addition to wheezing had asthma 10.8%. This infection occurred predominantly from October 2008 to September 2009.</t>
  </si>
  <si>
    <t xml:space="preserve">[Moattari, Afagh; Arabpour, Mohammad; Sadeghi, Sadaf] Shiraz Univ Med Sci, Dept Virol, Shiraz, Iran; [Aleyasin, Soheila] Shiraz Univ Med Sci, Dept Pediat, Shiraz, Iran</t>
  </si>
  <si>
    <t xml:space="preserve">Shiraz University of Medical Science; Shiraz University of Medical Science</t>
  </si>
  <si>
    <t xml:space="preserve">Moattari, A (corresponding author), Shiraz Univ Med Sci, Dept Virol, Shiraz, Iran.</t>
  </si>
  <si>
    <t xml:space="preserve">Moattari, Afagh/U-8143-2017</t>
  </si>
  <si>
    <t xml:space="preserve">Moattari, Afagh/0000-0003-4394-9622</t>
  </si>
  <si>
    <t xml:space="preserve">Shiraz University of Medical Sciences [86-3817]</t>
  </si>
  <si>
    <t xml:space="preserve">This work was financially supported by a grant (86-3817) from Vice Chancellor for Research, Shiraz University of Medical Sciences. The authors are grateful and thankful to Elham Amini for her assistance research experiment.</t>
  </si>
  <si>
    <t xml:space="preserve">1735-1502</t>
  </si>
  <si>
    <t xml:space="preserve">IRAN J ALLERGY ASTHM</t>
  </si>
  <si>
    <t xml:space="preserve">Iran. J. Allergy Asthma Immunol.</t>
  </si>
  <si>
    <t xml:space="preserve">V21TI</t>
  </si>
  <si>
    <t xml:space="preserve">WOS:000208229500008</t>
  </si>
  <si>
    <t xml:space="preserve">Pancham, K; Sami, I; Perez, GF; Huseni, S; Kurdi, B; Rose, MC; Rodriguez-Martinez, CE; Nino, G</t>
  </si>
  <si>
    <t xml:space="preserve">Pancham, Krishna; Sami, Iman; Perez, Geovanny F.; Huseni, Shehlanoor; Kurdi, Bassem; Rose, Mary C.; Rodriguez-Martinez, Carlos E.; Nino, Gustavo</t>
  </si>
  <si>
    <t xml:space="preserve">Human Metapneumovirus Infection is Associated with Severe Respiratory Disease in Preschool Children with History of Prematurity</t>
  </si>
  <si>
    <t xml:space="preserve">PEDIATRICS AND NEONATOLOGY</t>
  </si>
  <si>
    <t xml:space="preserve">asthma; human metapneumovirus; prematurity; wheezing</t>
  </si>
  <si>
    <t xml:space="preserve">SYNCYTIAL VIRUS; YOUNG-CHILDREN; PRETERM BIRTH; HIGH-RISK; INFANTS; FEATURES; BRONCHIOLITIS; POPULATION; HEALTH; IMPACT</t>
  </si>
  <si>
    <t xml:space="preserve">Background: Human metapneumovirus (HMPV) is a recently discovered respiratory pathogen of the family Paramyxoviridae, the same family as that of respiratory syncytial virus (RSV). Premature children are at high risk of severe RSV infections, however, it is unclear whether HMPV infection is more severe in hospitalized children with a history of severe prematurity. Methods: We conducted a retrospective analysis of the clinical respiratory presentation of all polymerase chain reaction-confirmed HMPV infections in preschool-age children (&lt;= 5 years) with and without history of severe prematurity (&lt;32 weeks gestation). Respiratory distress scores were developed to examine the clinical severity of HMPV infections. Demographic and clinical variables were obtained from reviewing electronic medical records. Results: A total of 571 preschool children were identified using polymerase chain reaction confirmed viral respiratory tract infection during the study period. HMPV was identified as a causative organism in 63 cases (11%). Fifty-eight (n = 58) preschool-age children with HMPV infection were included in this study after excluding those with significant comorbidities. Our data demonstrated that 32.7% of children admitted with HMPV had a history of severe prematurity. Preschool children with a history of prematurity had more severe HMPV disease as illustrated by longer hospitalizations, new or increased need for supplemental 02, and higher severity scores independently of age, ethnicity, and history of asthma. Conclusion: Our study suggests that HMPV infection causes significant disease burden among preschool children with a history of prematurity leading to severe respiratory infections and increasing health care resource utilization due to prolonged hospitalizations. Copyright (C) 2016, Taiwan Pediatric Association. Published by Elsevier Taiwan LLC.</t>
  </si>
  <si>
    <t xml:space="preserve">[Pancham, Krishna; Sami, Iman; Perez, Geovanny F.; Huseni, Shehlanoor; Rose, Mary C.; Nino, Gustavo] Childrens Natl Med Ctr, Div Pulm &amp; Sleep Med, Washington, DC 20010 USA; [Kurdi, Bassem; Rose, Mary C.; Nino, Gustavo] George Washington Univ, Sch Med &amp; Hlth Sci, Dept Pediat, Washington, DC 20052 USA; [Rose, Mary C.; Nino, Gustavo] George Washington Univ, Dept Integrat Syst Biol, Washington, DC USA; [Rose, Mary C.; Nino, Gustavo] George Washington Univ, Med Genet Res Ctr, Washington, DC USA; [Rose, Mary C.; Nino, Gustavo] Childrens Natl Med Ctr, Med Genet Res Ctr, Washington, DC 20010 USA; [Rodriguez-Martinez, Carlos E.] Univ Nacl Colombia, Sch Med, Dept Pediat, Bogota, Colombia; [Rodriguez-Martinez, Carlos E.] Univ El Bosque, Sch Med, Dept Pediat Pulmonol &amp; Pediat Crit Care Med, Bogota, Colombia; [Rodriguez-Martinez, Carlos E.] Mil Hosp Colombia, Res Unit, Bogota, Colombia</t>
  </si>
  <si>
    <t xml:space="preserve">Children's National Health System; George Washington University; George Washington University; George Washington University; Children's National Health System; Universidad Nacional de Colombia; Universidad El Bosque</t>
  </si>
  <si>
    <t xml:space="preserve">Nino, G (corresponding author), Childrens Natl Med Ctr, Div Pediat Pulmonol &amp; Sleep Med, Med Genet Res Ctr, 111 Michigan Ave NW, Washington, DC 20010 USA.</t>
  </si>
  <si>
    <t xml:space="preserve">gnino@childrensnational.org</t>
  </si>
  <si>
    <t xml:space="preserve">K12 Genomics of Lung [NHLBI/HL090020]; K12 Child Health Research Career Development Award [NICHC/HD001399]; NIH National Center for Advancing Translational Sciences [UL1TR000075 KL2TR000076]</t>
  </si>
  <si>
    <t xml:space="preserve">K12 Genomics of Lung; K12 Child Health Research Career Development Award; NIH National Center for Advancing Translational Sciences</t>
  </si>
  <si>
    <t xml:space="preserve">Work supported by Grants NHLBI/HL090020 (K12 Genomics of Lung), NICHC/HD001399 (K12 Child Health Research Career Development Award), UL1TR000075 KL2TR000076 Awards from the NIH National Center for Advancing Translational Sciences.</t>
  </si>
  <si>
    <t xml:space="preserve">1875-9572</t>
  </si>
  <si>
    <t xml:space="preserve">2212-1692</t>
  </si>
  <si>
    <t xml:space="preserve">PEDIATR NEONATOL</t>
  </si>
  <si>
    <t xml:space="preserve">Pediatr. Neonatol.</t>
  </si>
  <si>
    <t xml:space="preserve">10.1016/j.pedneo.2015.03.008</t>
  </si>
  <si>
    <t xml:space="preserve">DG5RT</t>
  </si>
  <si>
    <t xml:space="preserve">WOS:000372137000006</t>
  </si>
  <si>
    <t xml:space="preserve">Lai, SH; Liao, SL; Wong, KS; Lin, TY</t>
  </si>
  <si>
    <t xml:space="preserve">Lai, Shen-Hao; Liao, Sui-Ling; Wong, Kin-Sun; Lin, Tzou-Yien</t>
  </si>
  <si>
    <t xml:space="preserve">Defective innate immune responses to respiratory syncytial virus infection in ovalbumin-sensitized mice</t>
  </si>
  <si>
    <t xml:space="preserve">asthma; human metapneumovirus; innate immunity; mice; respiratory syncytial virus</t>
  </si>
  <si>
    <t xml:space="preserve">HUMAN METAPNEUMOVIRUS; AIRWAY HYPERRESPONSIVENESS; VIRAL-INFECTIONS; GENE-EXPRESSION; INDUCED ASTHMA; CHILDREN; INTERFERON; EXACERBATIONS; ALPHA; BETA</t>
  </si>
  <si>
    <t xml:space="preserve">Background/Purpose: Respiratory viral infections have frequently been reported to closely correlate with asthma exacerbations. Distinctive expression of cytokine/chemokine and anomalous responses of innate immunity induced by respiratory viral infections were suggested to play a key role. This study further evaluates the effects of airway sensitization on innate immunity in response to different viruses. Methods: Murine sensitization was established using an ovalbumin (OVA) sensitization model. Mice were subsequently infected with either respiratory syncytial virus (RSV) or human metapneumovirus (hMPV). Type I interferon (IFN), cytokines, and chemokines were measured in bronchoalveolar lavage (BAL) fluid. Pulmonary tissue samples were collected for the analysis of viral titers and type I IFN signal transcriptors. Results: Distinct expressions of cytokine/chemokine responses after viral infection were also found in mice with OVA sensitization. A significant increase of virus replication was found in lungs of RSV-infected sensitized mice. The increment of RSV titer was associated with the decreased levels of type I IFN. Although Toll-like receptor 3 (TLR3) expression was significantly increased in the lungs, the key signal transcriptor, IFN regulatory factor 3, was significantly suppressed in the RSV-infected sensitized mice. Conclusion: A defective antiviral innate response was observed in the murine respiratory allergy model. Suppressed expression of IFN signal transcriptor contributes to decreased production of type I IFN. The defective innate immune response might result in acute viral exacerbations of allergic airway diseases. Copyright (C) 2014, Taiwan Society of Microbiology. Published by Elsevier Taiwan LLC.</t>
  </si>
  <si>
    <t xml:space="preserve">[Lai, Shen-Hao; Wong, Kin-Sun; Lin, Tzou-Yien] Chang Gung Mem Hosp, Dept Pediat, 5 Fu Hsing St, Taoyuan, Taiwan; [Lai, Shen-Hao; Liao, Sui-Ling; Wong, Kin-Sun; Lin, Tzou-Yien] Chang Gung Univ, Dept Pediat, Taoyuan, Taiwan; [Liao, Sui-Ling] Chang Gung Mem Hosp, Dept Pediat, Keelung, Taiwan</t>
  </si>
  <si>
    <t xml:space="preserve">Lin, TY (corresponding author), Chang Gung Mem Hosp, Dept Pediat, 5 Fu Hsing St, Taoyuan, Taiwan.;Lin, TY (corresponding author), Chang Gung Univ, Dept Pediat, Taoyuan, Taiwan.</t>
  </si>
  <si>
    <t xml:space="preserve">pidlin@adm.cgmh.org.tw</t>
  </si>
  <si>
    <t xml:space="preserve">National Science Council [97-2314-B-182A-055]; Chang Gung Medical Research Program [CMRPG470141, 470142]</t>
  </si>
  <si>
    <t xml:space="preserve">National Science Council(Ministry of Science and Technology, Taiwan); Chang Gung Medical Research Program</t>
  </si>
  <si>
    <t xml:space="preserve">This work was supported by grants from the National Science Council (97-2314-B-182A-055) and Chang Gung Medical Research Program (CMRPG470141 and 470142).</t>
  </si>
  <si>
    <t xml:space="preserve">10.1016/j.jmii.2014.09.001</t>
  </si>
  <si>
    <t xml:space="preserve">EO8IG</t>
  </si>
  <si>
    <t xml:space="preserve">WOS:000396932000004</t>
  </si>
  <si>
    <t xml:space="preserve">McErlean, P; Greiman, A; Favoreto, S; Avila, PC</t>
  </si>
  <si>
    <t xml:space="preserve">McErlean, Peter; Greiman, Alyssa; Favoreto, Silvio, Jr.; Avila, Pedro C.</t>
  </si>
  <si>
    <t xml:space="preserve">Viral Diversity in Asthma</t>
  </si>
  <si>
    <t xml:space="preserve">Asthma; Exacerbation; Respiratory; Newly identified virus</t>
  </si>
  <si>
    <t xml:space="preserve">RESPIRATORY SYNCYTIAL VIRUS; HUMAN CORONAVIRUS NL63; HUMAN BOCAVIRUS INFECTION; HUMAN METAPNEUMOVIRUS; INFLUENZA VACCINATION; REQUIRING HOSPITALIZATION; CLINICAL CHARACTERISTICS; EPIDEMIOLOGIC PROFILE; YOUNG-CHILDREN; UNITED-STATES</t>
  </si>
  <si>
    <t xml:space="preserve">Asthma exacerbations are precipitated primarily by respiratory virus infection and frequently require immediate medical intervention. Studies of childhood and adult asthma have implicated a wide variety of respiratory viruses in exacerbations. By focusing on both RNA and DNA respiratory viruses and some newly identified viruses, this review illustrates the diversity and highlights some of the uncertainties that exist in our understanding of virus-related asthma exacerbations.</t>
  </si>
  <si>
    <t xml:space="preserve">[McErlean, Peter; Greiman, Alyssa; Avila, Pedro C.] Northwestern Univ, Feinberg Sch Med, Div Allergy Immunol, Chicago, IL 60611 USA; [Favoreto, Silvio, Jr.] Cuesta Coll, Div Biol, San Luis Obispo, CA 93401 USA</t>
  </si>
  <si>
    <t xml:space="preserve">McErlean, P (corresponding author), Northwestern Univ, Feinberg Sch Med, Div Allergy Immunol, 240 E Huron,McGaw M530H, Chicago, IL 60611 USA.</t>
  </si>
  <si>
    <t xml:space="preserve">p-mcerlean@northwestern.edu</t>
  </si>
  <si>
    <t xml:space="preserve">McErlean, Peter/O-5187-2016</t>
  </si>
  <si>
    <t xml:space="preserve">Glen and Wendy Miller Family Foundation; NIH [U01AI082984]; Ernest S. Bazley Grant</t>
  </si>
  <si>
    <t xml:space="preserve">Glen and Wendy Miller Family Foundation; NIH(United States Department of Health &amp; Human ServicesNational Institutes of Health (NIH) - USA); Ernest S. Bazley Grant</t>
  </si>
  <si>
    <t xml:space="preserve">Glen and Wendy Miller Family Foundation, Ernest S. Bazley Grant, NIH grant U01AI082984.</t>
  </si>
  <si>
    <t xml:space="preserve">10.1016/j.iac.2010.08.001</t>
  </si>
  <si>
    <t xml:space="preserve">683BI</t>
  </si>
  <si>
    <t xml:space="preserve">WOS:000284446300004</t>
  </si>
  <si>
    <t xml:space="preserve">Furuta, T; Hasegawa, S; Mizutani, M; Iwai, T; Ohbuchi, N; Kawano, S; Tashiro, N; Uchida, M; Hasegawa, M; Motoyama, M; Sekino, T; Nakatsuka, K; Ichihara, K; Shirabe, K; Ohga, S</t>
  </si>
  <si>
    <t xml:space="preserve">Furuta, Takashi; Hasegawa, Shunji; Mizutani, Makoto; Iwai, Takashi; Ohbuchi, Noriko; Kawano, Shoji; Tashiro, Norimichi; Uchida, Masashi; Hasegawa, Masanari; Motoyama, Masashi; Sekino, Takaomi; Nakatsuka, Kenji; Ichihara, Kiyoshi; Shirabe, Komei; Ohga, Shouichi</t>
  </si>
  <si>
    <t xml:space="preserve">Burden of Human Metapneumovirus and Respiratory Syncytial Virus Infections in Asthmatic Children</t>
  </si>
  <si>
    <t xml:space="preserve">asthma; epidemiology; hMPV; hypoxia; RSV</t>
  </si>
  <si>
    <t xml:space="preserve">LINKED-IMMUNOSORBENT-ASSAY; YOUNG-CHILDREN; DISEASE</t>
  </si>
  <si>
    <t xml:space="preserve">Background: Human metapneumovirus (hMPV) and respiratory syncytial virus (RSV) are the leading causes of acute respiratory illness in children. Clinical burden of each infection on the respiratory distress in asthmatic patients remains unclear. The purpose of the study was to clarify the effect of these infections on the severity of asthmatic children in the seasonal outbreaks. Methods: A total of 1,217 pediatric inpatients with hMPV (n = 114) or RSV (n = 1,103) infection in Yamaguchi prefecture, Japan, between 2011 and 2014 were enrolled. Bronchial asthma was defined as having more than 3 episodes of wheezing illness over 1 year of age. Infection was determined by the positive antigen test for each virus in the nasal specimens. Results: The number of patients peaked at age 12-15 months in hMPV infection and at age 0-3 months in RSV infection. The proportion of hypoxic patients (40-50%) did not differ at any age between hMPV-infected and RSV-infected children. In the analysis of date from &gt; 1 year old patients with hypoxia, hMPV-infection group was older (P = 0.036), and more frequently had history of asthma (P = 0.015) or abnormal chest roentgenogram (P &lt; 0.001) than RSV-infection group. Multivariate analysis indicated that the hypoxia-associated factors were history of asthma in both hMPV (odds ratio [OR]: 15.8; P &lt; 0.001) and RSV infections (OR, 2.2; P = 0.005), higher body temperature in hMPV infection (OR, 2.2; P = 0.009), and younger age in RSV infection (OR, 1.4; P = 0.004). Conclusions: Outbreaks of hMPV, rather than, RSV infection may have a greater impact on the development of hypoxic respiratory illness in asthmatic children.</t>
  </si>
  <si>
    <t xml:space="preserve">[Furuta, Takashi; Hasegawa, Shunji; Mizutani, Makoto] Yamaguchi Univ, Dept Pediat, Grad Sch Med, 1-1-1 Minamikogushi, Ube, Yamaguchi 7558505, Japan; [Iwai, Takashi] Yamaguchi Ken Saiseikai Shimonoseki Gen Hosp, Div Pediat, Yamaguchi, Japan; [Ohbuchi, Noriko] Japan Red Cross Yamaguchi Hosp, Div Pediat, Yamaguchi, Japan; [Kawano, Shoji] Shimonoseki City Hosp, Div Pediat, Yamaguchi, Japan; [Tashiro, Norimichi] Yamaguchi Rosai Hosp, Div Pediat, Yamaguchi, Japan; [Uchida, Masashi] JCHO Tokuyama Cent Hosp, Div Pediat, Yamaguchi, Japan; [Hasegawa, Masanari] Yamaguchi Grand Med Ctr, Div Pediat, Yamaguchi, Japan; [Motoyama, Masashi] Shuto Gen Hosp, Div Pediat, Yamaguchi, Japan; [Sekino, Takaomi] Ogori Daiichi Gen Hosp, Div Pediat, Yamaguchi, Japan; [Nakatsuka, Kenji] Yamaguchi Ken Saiseikai Toyoura Hosp, Div Pediat, Yamaguchi, Japan; [Ichihara, Kiyoshi] Yamaguchi Univ, Dept Lab Sci, Fac Hlth Sci, Grad Sch Med, Yamaguchi, Japan; [Shirabe, Komei] Yamaguchi Prefectural Inst Publ Hlth &amp; Environm, Yamaguchi, Japan; Kyushu Univ, Dept Pediat, Grad Sch Med Sci, Fukuoka, Fukuoka, Japan</t>
  </si>
  <si>
    <t xml:space="preserve">Yamaguchi University; Yamaguchi University; Kyushu University</t>
  </si>
  <si>
    <t xml:space="preserve">Hasegawa, S (corresponding author), Yamaguchi Univ, Dept Pediat, Grad Sch Med, 1-1-1 Minamikogushi, Ube, Yamaguchi 7558505, Japan.</t>
  </si>
  <si>
    <t xml:space="preserve">shunji@yamaguchi-u.ac.jp</t>
  </si>
  <si>
    <t xml:space="preserve">10.1097/INF.0000000000002038</t>
  </si>
  <si>
    <t xml:space="preserve">GX7SC</t>
  </si>
  <si>
    <t xml:space="preserve">WOS:000447975400018</t>
  </si>
  <si>
    <t xml:space="preserve">Kotaniemi-Syrjänen, A; Korppi, M</t>
  </si>
  <si>
    <t xml:space="preserve">Kotaniemi-Syrjanen, Anne; Korppi, Matti</t>
  </si>
  <si>
    <t xml:space="preserve">Respiratory Viruses, Eosinophil Activation, and Early Allergen Sensitization - Early Life Predictors of Persistent Wheezing and Asthma</t>
  </si>
  <si>
    <t xml:space="preserve">CURRENT PEDIATRIC REVIEWS</t>
  </si>
  <si>
    <t xml:space="preserve">Asthma; eosinophilia; respiratory syncytial virus; rhinovirus; sensitization; wheezing</t>
  </si>
  <si>
    <t xml:space="preserve">INDUCED AIRWAY HYPERRESPONSIVENESS; HUMAN METAPNEUMOVIRUS INFECTIONS; IMMUNOGLOBULIN-E ANTIBODIES; COLONY-STIMULATING FACTOR; POLYMERASE-CHAIN-REACTION; TUMOR-NECROSIS-FACTOR; EPITHELIAL-CELL LINE; 1ST 6 YEARS; SYNCYTIAL-VIRUS; EARLY-CHILDHOOD</t>
  </si>
  <si>
    <t xml:space="preserve">Approximately 20% of all children will suffer from wheezing illnesses, and in 1-3% of all infants, respiratory distress is severe enough to require hospitalization. As wheezing infants form a heterogeneous group with different phenotypes and outcomes, it is still a challenge to identify those who will go on wheezing to develop asthma. In order to facilitate the prediction of later asthma, algorithms have been developed for clinical use. The algorithms validated this far are based on personal atopic findings and the parental history of asthma, and blood eosinophilia has been the only laboratory marker included. In this review, we will focus on the role of respiratory viruses, eosinophil activation markers, specific immunoglobulin E antibodies, and skin prick tests, as early life predictors of persistent wheezing and asthma. According to recently published results, rhinoviral infection seems to carry a high risk for persistence of wheezing. Sensitization to inhalant allergens in infancy strongly increases the risk for later respiratory allergy. Eosinophil activation markers seem not to offer significant additional value over blood eosinophils. Determination of viral etiology of wheeze, and/or screening for early sensitization to inhalant allergens in individuals with no clinically evident atopy might be of use in identifying future asthmatics.</t>
  </si>
  <si>
    <t xml:space="preserve">[Kotaniemi-Syrjanen, Anne] Univ Kuopio, Dept Pediat, POB 1627, FIN-70211 Kuopio, Finland; Kuopio Univ Hosp, Kuopio, Finland</t>
  </si>
  <si>
    <t xml:space="preserve">University of Eastern Finland; University of Eastern Finland; Kuopio University Hospital</t>
  </si>
  <si>
    <t xml:space="preserve">Kotaniemi-Syrjänen, A (corresponding author), Univ Kuopio, Dept Pediat, POB 1627, FIN-70211 Kuopio, Finland.</t>
  </si>
  <si>
    <t xml:space="preserve">anne.kotaniemi-syrjanen@fimnet.fi</t>
  </si>
  <si>
    <t xml:space="preserve">Kotaniemi-Syrjanen, Anne/0000-0002-9375-376X</t>
  </si>
  <si>
    <t xml:space="preserve">Finnish Pediatric Association</t>
  </si>
  <si>
    <t xml:space="preserve">Financially supported by Finnish Pediatric Association.</t>
  </si>
  <si>
    <t xml:space="preserve">1573-3963</t>
  </si>
  <si>
    <t xml:space="preserve">1875-6336</t>
  </si>
  <si>
    <t xml:space="preserve">CURR PEDIATR REV</t>
  </si>
  <si>
    <t xml:space="preserve">Curr. Pediatr. Rev.</t>
  </si>
  <si>
    <t xml:space="preserve">10.2174/157339607780599047</t>
  </si>
  <si>
    <t xml:space="preserve">VC6BF</t>
  </si>
  <si>
    <t xml:space="preserve">WOS:000433872400003</t>
  </si>
  <si>
    <t xml:space="preserve">García-García, ML; Calvo, C; Moreira, A; Cañas, JA; Pozo, F; Sastre, B; Quevedo, S; Casas, I; Del Pozo, V</t>
  </si>
  <si>
    <t xml:space="preserve">Luz Garcia-Garcia, Maria; Calvo, Cristina; Moreira, Ana; Antonio Canas, Jose; Pozo, Francisco; Sastre, Beatriz; Quevedo, Sergio; Casas, Inmaculada; Del Pozo, Victoria</t>
  </si>
  <si>
    <t xml:space="preserve">Thymic stromal lymphopoietin, IL-33, and periostin in hospitalized infants with viral bronchiolitis</t>
  </si>
  <si>
    <t xml:space="preserve">MEDICINE</t>
  </si>
  <si>
    <t xml:space="preserve">asthma; bronchiolitis; IL-33; infants; periostin; respiratory viruses; Th2; TSLP</t>
  </si>
  <si>
    <t xml:space="preserve">RESPIRATORY-SYNCYTIAL-VIRUS; AIRWAY EPITHELIAL-CELLS; RSV BRONCHIOLITIS; RESPONSE PATTERNS; HUMAN BOCAVIRUS; YOUNG-CHILDREN; RHINOVIRUS; INFECTION; ASTHMA; INFLAMMATION</t>
  </si>
  <si>
    <t xml:space="preserve">Much attention has recently been focused on thymic stromal lymphopoietin (TSLP), IL-33, and periostin in allergic disease, but less is known about their role in viral bronchiolitis. The aim of the study was to investigate whether infants exhibit enhanced nasal airway secretion of TSLP, IL-33, and periostin during natural respiratory viral bronchiolitis compared to healthy controls. In total, 213 infants &lt; 2 years of age, hospitalized with bronchiolitis from October/2013 to April/2016 were enrolled alongside 45 healthy infants. Nasopharyngeal aspirates (NPA) were screened for respiratory viruses by the polymerase chain reaction. TSLP, IL-33, and periostin were measured in NPAs. Clinical data were recorded. At least 1 virus was detected in 186 (87.3%) hospitalized infants: 149 (70%) respiratory syncytial virus (RSV); 42 (19.7%) rhinovirus (HRV); 16 (7.5%) parainfluenza virus (PIV); 9 (4.2%) adenovirus; 10 (4.7%) bocavirus; and 7 (3.3%) metapneumovirus (hMPV). Infants with bronchiolitis had higher levels of TSLP (P=.02), IL-33 (P&lt;.001), and periostin (P=.003) than healthy controls. Detectable levels of TSLP and periostin were more frequent in virus-positive than in virus-negative patients (P=.05). TSLP and IL-33 were also more common in coinfections, mainly RSV and HRV, than in single-infections (P&lt;.05). No patient with bronchiolitis but with negative viral detection had detectable levels of nasal TSLP or IL-33. Infants with hospital stay &gt;= 5 days were more likely to have detectable levels of nasal TSLP and periostin after adjusting by age (P=.01). Bronchiolitis by common respiratory viruses is associated with elevated nasal levels of TSLP, IL-33, and periostin, factors known to be important in the development of Th2-response. Respiratory viruses in early life might shift immune responses toward Th2, involving asthma, and allergic diseases.</t>
  </si>
  <si>
    <t xml:space="preserve">[Luz Garcia-Garcia, Maria; Calvo, Cristina; Moreira, Ana; Quevedo, Sergio] Alfonso X El Sabio Univ, Severo Ochoa Hosp, Dept Pediat, Madrid, Spain; [Antonio Canas, Jose; Sastre, Beatriz; Del Pozo, Victoria] IIS Fdn Jimenez Diaz, Dept Immunol, Madrid, Spain; [Antonio Canas, Jose; Sastre, Beatriz; Del Pozo, Victoria] CIBER Enfermedades Resp CIBERES, Madrid, Spain; [Pozo, Francisco; Casas, Inmaculada] Natl Microbiol Ctr ISCIII, Resp Virus &amp; Influenza Unit, Madrid, Spain; [Luz Garcia-Garcia, Maria; Calvo, Cristina; Pozo, Francisco; Casas, Inmaculada] Translat Res Network Pediat Infect Dis RITIP, Madrid, Spain; [Calvo, Cristina] TEDDY Network European Network Excellence Pediat, Pavia, Italy</t>
  </si>
  <si>
    <t xml:space="preserve">Universidad Alfonso X el Sabio (UAX); Severo Ochoa University Hospital; Fundacion Jimenez Diaz; CIBER - Centro de Investigacion Biomedica en Red; CIBERES</t>
  </si>
  <si>
    <t xml:space="preserve">García-García, ML (corresponding author), Hosp Severo Ochoa, Serv Pediat, Ave Orellana, Madrid, Spain.</t>
  </si>
  <si>
    <t xml:space="preserve">Sastre, Beatriz/F-1715-2015; Casas, Inmaculada/H-9442-2015; Cañas, José/AAA-6693-2020; del Pozo, Victoria/AGI-2660-2022; Calvo, Cristina/T-5028-2018; Pozo, Francisco/F-4426-2012</t>
  </si>
  <si>
    <t xml:space="preserve">Canas, Jose Antonio/0000-0002-0460-2813; Calvo, Cristina/0000-0002-6503-3423; GARCIA-GARCIA, MARIA LUZ/0000-0003-4906-4227; Pozo, Francisco/0000-0003-1828-733X; Casas, Inmaculada/0000-0003-1840-1198</t>
  </si>
  <si>
    <t xml:space="preserve">FIS (Fondo de Investigaciones Sanitarias-Spanish Health Research Fund) [PI12/0129]; FEDER (Fondo Europeo de Desarrollo Regional); Alfonso X El Sabio, University; CIBER de Enfermedades Respiratorias (CIBERES); Carlos III Institute of Health Initiative</t>
  </si>
  <si>
    <t xml:space="preserve">FIS (Fondo de Investigaciones Sanitarias-Spanish Health Research Fund); FEDER (Fondo Europeo de Desarrollo Regional)(European Union (EU)); Alfonso X El Sabio, University; CIBER de Enfermedades Respiratorias (CIBERES); Carlos III Institute of Health Initiative</t>
  </si>
  <si>
    <t xml:space="preserve">This study has been partially supported by FIS (Fondo de Investigaciones Sanitarias-Spanish Health Research Fund) Grants PI12/0129 and FEDER (Fondo Europeo de Desarrollo Regional); Alfonso X El Sabio, University Grant: VI Convocatoria Santander-UAX; CIBER de Enfermedades Respiratorias (CIBERES), a Carlos III Institute of Health Initiative.</t>
  </si>
  <si>
    <t xml:space="preserve">0025-7974</t>
  </si>
  <si>
    <t xml:space="preserve">1536-5964</t>
  </si>
  <si>
    <t xml:space="preserve">Medicine (Baltimore)</t>
  </si>
  <si>
    <t xml:space="preserve">e6787</t>
  </si>
  <si>
    <t xml:space="preserve">10.1097/MD.0000000000006787</t>
  </si>
  <si>
    <t xml:space="preserve">EU2FM</t>
  </si>
  <si>
    <t xml:space="preserve">WOS:000400842700025</t>
  </si>
  <si>
    <t xml:space="preserve">Hahn, A; Wang, W; Jaggi, P; Dvorchik, I; Ramilo, O; Koranyi, K; Mejias, A</t>
  </si>
  <si>
    <t xml:space="preserve">Hahn, A.; Wang, W.; Jaggi, P.; Dvorchik, I.; Ramilo, O.; Koranyi, K.; Mejias, A.</t>
  </si>
  <si>
    <t xml:space="preserve">Human metapneumovirus infections are associated with severe morbidity in hospitalized children of all ages</t>
  </si>
  <si>
    <t xml:space="preserve">Asthma; bronchiolitis; human metapneumovirus; respiratory infections</t>
  </si>
  <si>
    <t xml:space="preserve">RESPIRATORY SYNCYTIAL VIRUS; YOUNG-CHILDREN; TRACT DISEASE; RISK-FACTORS; CLINICAL-FEATURES; BRONCHIOLITIS; SYMPTOMS; INFANTS</t>
  </si>
  <si>
    <t xml:space="preserve">The impact of human metapneumovirus (HMPV) in children aged &gt;5 years and the risk factors associated with disease severity for all ages have not been well characterized. A retrospective cohort study of 238 children aged 0-15 years hospitalized over a 3-year period was performed. Medical records were reviewed for demographic information, clinical parameters and outcomes. Multivariable analyses were performed to identify independent factors associated with worse disease severity assessed by length of hospital stay (LOS), need for ICU care, respiratory support, and a disease severity score. Pulmonary diseases were associated with all outcomes of care, while congenital heart disease (CHD) and neuromuscular disorders were associated with longer LOS, and CHD and trisomy 21 were associated with worse severity scores independent of other covariables. Fever, retractions, use of steroids and albuterol were also associated with enhanced disease severity. Understanding the determinants of HMPV disease in children may help design targeted preventive strategies.</t>
  </si>
  <si>
    <t xml:space="preserve">[Hahn, A.] Nationwide Childrens Hosp, Dept Paediat, Columbus, OH 43215 USA; [Jaggi, P.; Ramilo, O.; Koranyi, K.; Mejias, A.] Nationwide Childrens Hosp, Div Paediat Infect Dis, Columbus, OH 43215 USA; [Wang, W.; Dvorchik, I.] Nationwide Childrens Hosp, Div Stat, Columbus, OH 43215 USA; [Hahn, A.] Cincinnati Childrens Hosp Med Ctr, Div Paediat Infect Dis, Cincinnati, OH 45229 USA</t>
  </si>
  <si>
    <t xml:space="preserve">University System of Ohio; Ohio State University; Nationwide Childrens Hospital; University System of Ohio; Ohio State University; Nationwide Childrens Hospital; University System of Ohio; Ohio State University; Nationwide Childrens Hospital; Cincinnati Children's Hospital Medical Center</t>
  </si>
  <si>
    <t xml:space="preserve">Hahn, A (corresponding author), Nationwide Childrens Hosp, Dept Paediat, Div Infect Dis, 700 Childrens Dr WA 4022, Columbus, OH 43215 USA.</t>
  </si>
  <si>
    <t xml:space="preserve">andrealeighhahn@gmail.com; Asuncion.Mejias@nationwidechildrens.org</t>
  </si>
  <si>
    <t xml:space="preserve">Jaggi, Preeti/E-3303-2011; Mejias, Asuncion/AAC-5998-2019; Dvorchik, Igor/D-1749-2013</t>
  </si>
  <si>
    <t xml:space="preserve">MEJIAS, ASUNCION/0000-0002-5983-8006</t>
  </si>
  <si>
    <t xml:space="preserve">NCATS NIH HHS [UL1 TR001070] Funding Source: Medline</t>
  </si>
  <si>
    <t xml:space="preserve">NCATS NIH HHS(United States Department of Health &amp; Human ServicesNational Institutes of Health (NIH) - USANIH National Center for Advancing Translational Sciences (NCATS))</t>
  </si>
  <si>
    <t xml:space="preserve">10.1017/S0950268812002920</t>
  </si>
  <si>
    <t xml:space="preserve">211EH</t>
  </si>
  <si>
    <t xml:space="preserve">WOS:000323887200026</t>
  </si>
  <si>
    <t xml:space="preserve">Mitchell, AB; Mourad, B; Tovey, E; Buddle, L; Peters, M; Morgan, L; Oliver, BG</t>
  </si>
  <si>
    <t xml:space="preserve">Mitchell, Alicia B.; Mourad, Bassel; Tovey, Euan; Buddle, Lachlan; Peters, Matthew; Morgan, Lucy; Oliver, Brian G.</t>
  </si>
  <si>
    <t xml:space="preserve">Spirometry filters can be used to detect exhaled respiratory viruses</t>
  </si>
  <si>
    <t xml:space="preserve">JOURNAL OF BREATH RESEARCH</t>
  </si>
  <si>
    <t xml:space="preserve">asthma; bronchiectasis; influenza; respiratory function tests; viral infection; COPD</t>
  </si>
  <si>
    <t xml:space="preserve">NASOPHARYNGEAL ASPIRATE; NASAL SWAB; INFECTION; EXACERBATIONS; COPD; RHINOVIRUS; INFLUENZA; SYMPTOMS; AEROSOLS; CHILDREN</t>
  </si>
  <si>
    <t xml:space="preserve">Respiratory viruses are very common in the community and contribute to the burden of illness for patients with chronic respiratory diseases, including acute exacerbations. Traditional sampling methods are invasive and problematic to repeat. Accordingly, we explored whether respiratory viruses could be isolated from disposable spirometry filters and whether detection of viruses in this context represented presence in the upper or lower respiratory tract. Discovery (n = 53) and validation (n = 49) cohorts were recruited from a hospital outpatient department during two different time periods. Spirometry mouthpiece filters were collected from all participants. Respiratory secretions were sampled from the upper and lower respiratory tract by nasal washing (NW), sputum, and bronchoalveolar lavage (BAL). All samples were examined using RT-PCR to identify a panel of respiratory viruses (rhinovirus, respiratory syncytial virus, influenza A, influenza B, parainfluenza virus 1, 2 &amp; 3, and human metapneumovirus). Rhinovirus was quantified using qPCR. Paired filter-NW samples (n = 29), filter-sputum samples (n = 24), filter-BAL samples (n = 39) and filter-NW-BAL samples (n = 10) provided a range of comparisons. At least one virus was detected in any sample in 85% of participants in the discovery cohort versus 45% in the validation cohort. Overall, 72% of viruses identified in the paired comparator method matched those detected in spirometry filters. There was a high correlation between viruses identified in spirometry filters compared with viruses identified in both the upper and lower respiratory tract using traditional sampling methods. Our results suggest that examination of spirometry filters may be a novel and inexpensive sampling method for the presence of respiratory viruses in exhaled breath.</t>
  </si>
  <si>
    <t xml:space="preserve">[Mitchell, Alicia B.; Mourad, Bassel; Tovey, Euan; Oliver, Brian G.] Univ Sydney, Resp Cellular &amp; Mol Biol, Woolcock Inst Med Res, Sydney, NSW 2006, Australia; [Mitchell, Alicia B.; Buddle, Lachlan; Peters, Matthew; Morgan, Lucy] Concord Repatriat Gen Hosp, Dept Resp Med, Concord, NSW 2139, Australia; [Peters, Matthew; Morgan, Lucy] Univ Sydney, Concord Clin Sch, Sydney, NSW 2006, Australia; [Mitchell, Alicia B.; Mourad, Bassel; Oliver, Brian G.] Univ Technol Sydney, Mol Biosci, Sch Life Sci, Sydney, NSW 2007, Australia; [Oliver, Brian G.] Univ Technol Sydney, Ctr Hlth Technol, Sydney, NSW 2007, Australia; [Oliver, Brian G.] Univ Sydney, Emphysema Ctr, Woolcock Inst Med Res, Sydney, NSW 2006, Australia</t>
  </si>
  <si>
    <t xml:space="preserve">University of Sydney; Woolcock Institute of Medical Research; Concord Repatriation General Hospital; University of Sydney; University of Technology Sydney; University of Technology Sydney; University of Sydney; Woolcock Institute of Medical Research</t>
  </si>
  <si>
    <t xml:space="preserve">Mitchell, AB (corresponding author), Univ Technol Sydney, Bldg 4,15 Broadway, Ultimo, NSW 2007, Australia.</t>
  </si>
  <si>
    <t xml:space="preserve">Alicia.B.Mitchell@student.uts.edu.au</t>
  </si>
  <si>
    <t xml:space="preserve">Mitchell, Alicia/R-6479-2019; Tovey, Euan/G-8604-2017; Oliver, Brian/E-7939-2010</t>
  </si>
  <si>
    <t xml:space="preserve">Morgan, Lucy/0000-0001-6389-1953; Tovey, Euan/0000-0002-1802-7266; Buddle, Lachlan/0009-0000-0836-5811; Mitchell, Alicia/0000-0002-9086-1589; Peters, Matthew/0000-0002-9649-8741; Oliver, Brian/0000-0002-7122-9262; Mourad, Bassel/0000-0002-2430-6683</t>
  </si>
  <si>
    <t xml:space="preserve">IOP PUBLISHING LTD</t>
  </si>
  <si>
    <t xml:space="preserve">BRISTOL</t>
  </si>
  <si>
    <t xml:space="preserve">TEMPLE CIRCUS, TEMPLE WAY, BRISTOL BS1 6BE, ENGLAND</t>
  </si>
  <si>
    <t xml:space="preserve">1752-7155</t>
  </si>
  <si>
    <t xml:space="preserve">1752-7163</t>
  </si>
  <si>
    <t xml:space="preserve">J BREATH RES</t>
  </si>
  <si>
    <t xml:space="preserve">J. Breath Res.</t>
  </si>
  <si>
    <t xml:space="preserve">10.1088/1752-7155/10/4/046002</t>
  </si>
  <si>
    <t xml:space="preserve">Biochemical Research Methods; Respiratory System</t>
  </si>
  <si>
    <t xml:space="preserve">Biochemistry &amp; Molecular Biology; Respiratory System</t>
  </si>
  <si>
    <t xml:space="preserve">DX1NH</t>
  </si>
  <si>
    <t xml:space="preserve">WOS:000384133600002</t>
  </si>
  <si>
    <t xml:space="preserve">Sobkowiak, P; Mikos, M; Breborowicz, A; Szczepankiewicz, A</t>
  </si>
  <si>
    <t xml:space="preserve">Sobkowiak, Paulina; Mikos, Marcin; Breborowicz, Anna; Szczepankiewicz, Aleksandra</t>
  </si>
  <si>
    <t xml:space="preserve">Human bocavirus and metapneumovirus in acute wheezing in children-Is there a link with atopy?</t>
  </si>
  <si>
    <t xml:space="preserve">asthma; bocavirus; bronchiolitis; children; metapneumovirus; wheezing</t>
  </si>
  <si>
    <t xml:space="preserve">YOUNG-CHILDREN; ASTHMA; VIRUS; RHINOVIRUS; ETIOLOGY; BRONCHIOLITIS; INFECTIONS</t>
  </si>
  <si>
    <t xml:space="preserve">Introduction Viral respiratory tract infections are the leading cause of acute wheezing in children with a significant risk of hospital admission, risk of recurrence and subsequent asthma. Human respiratory syncytial virus (RSV) and human rhinovirus (RV) in childhood wheezing are widely studied; however, accessible PCR assays enabled diagnosis of other pathogens, including bocavirus (hBOV) and metapneumovirus (hMPV). Objectives The aim of the study was to evaluate the prevalence of respiratory viruses in children hospitalized for acute wheezing along with demographic and clinical data. Methods We enrolled 101 children,n= 50 (49.5%) with wheezy bronchitis,n= 34 (33.7%) with acute bronchiolitis andn= 17 (16.8%) with exacerbation of asthma; (median age 1.41 +/- 2.84 years). Multiplex real-time PCR assay was used for virus detection. Results One or more viruses were detected in 83.2% subjects: RSV in 44.6%, followed by RV (23.8%), hBOV and hMPV (both 11.9%); other viruses were less frequent (&lt;8%). Viral coinfection was found in 38 (37.6%) of children. ANCOVA analysis revealed significantly higher total IgE concentrations in the hMPV-positive subgroup compared to RSV (34 kU/L vs 12.7 kU/L;P= .009) and RV (13.3 kU/L,P= .022). For both hMPV and hBOV an association with atopic dermatitis (AD) was observed: aOR for hMPV and AD was 5.6 (95%CI: 1.4-22.7;P= .016) and 4.7 for hBOV and AD (95%CI: 1.3-18;P= .024). Conclusion Viral detection ratio in wheezy respiratory tract infections in Polish children is high (83.2%), with both hBOV and hMPV at 11.9% The results also suggest possible relationship of hBOV wheezy infection with nonspecific markers of atopy in children.</t>
  </si>
  <si>
    <t xml:space="preserve">[Sobkowiak, Paulina; Mikos, Marcin; Breborowicz, Anna; Szczepankiewicz, Aleksandra] Poznan Univ Med Sci, Dept Pneumonol Allergol &amp; Clin Immunol, Poznan, Poland; [Szczepankiewicz, Aleksandra] Poznan Univ Med Sci, Dept Pneumonol Allergol &amp; Clin Immunol, Lab Mol &amp; Cell Biol, Poznan, Poland</t>
  </si>
  <si>
    <t xml:space="preserve">Poznan University of Medical Sciences; Poznan University of Medical Sciences</t>
  </si>
  <si>
    <t xml:space="preserve">Sobkowiak, P (corresponding author), Poznan Univ Med Sci, Dept Pediat Pulmonol Allergy &amp; Clin Immunol, 27-33 Szpitalna St, PL-60572 Poznan, Poland.</t>
  </si>
  <si>
    <t xml:space="preserve">paulinasobkowiak@ump.edu.pl</t>
  </si>
  <si>
    <t xml:space="preserve">Mikoś, Marcin/AAN-2652-2020</t>
  </si>
  <si>
    <t xml:space="preserve">Department of Pediatric Pulmonology, Allergy and Clinical Immunology, Poznan University of Medical Sciences</t>
  </si>
  <si>
    <t xml:space="preserve">This study was supported by the Department of Pediatric Pulmonology, Allergy and Clinical Immunology, Poznan University of Medical Sciences.</t>
  </si>
  <si>
    <t xml:space="preserve">10.1111/crj.13261</t>
  </si>
  <si>
    <t xml:space="preserve">PE8VU</t>
  </si>
  <si>
    <t xml:space="preserve">WOS:000566421600001</t>
  </si>
  <si>
    <t xml:space="preserve">Bosis, S; Esposito, S; Niesters, HGM; Zuccotti, GV; Marseglia, G; Lanari, M; Zuin, G; Pelucchi, C; Osterhaus, ADME; Principi, N</t>
  </si>
  <si>
    <t xml:space="preserve">Bosis, S.; Esposito, S.; Niesters, H. G. M.; Zuccotti, G. V.; Marseglia, G.; Lanari, M.; Zuin, G.; Pelucchi, C.; Osterhaus, A. D. M. E.; Principi, N.</t>
  </si>
  <si>
    <t xml:space="preserve">Role of respiratory pathogens in infants hospitalized for a first episode of wheezing and their impact on recurrences</t>
  </si>
  <si>
    <t xml:space="preserve">asthma; atypical bacteria; respiratory syncytial virus; respiratory viruses; wheezing</t>
  </si>
  <si>
    <t xml:space="preserve">SYNCYTIAL VIRUS-INFECTION; ACUTE MYCOPLASMA-PNEUMONIAE; PREVIOUSLY HEALTHY INFANTS; REAL-TIME PCR; DISEASE SEVERITY; HUMAN METAPNEUMOVIRUS; CHLAMYDIA-PNEUMONIAE; HUMAN BOCAVIRUS; CORONAVIRUS HKU1; TRACT INFECTIONS</t>
  </si>
  <si>
    <t xml:space="preserve">In order to evaluate the infectious agents associated with the first episode of severe acute wheezing in otherwise healthy infants and to define the role of each of them in recurrences, 85 patients in Italy, aged &lt; 12 months, hospitalized because of a first acute episode of wheezing, were prospectively enrolled between 1 October 2005 and 31 March 2006. Upon enrolment, nasopharyngeal swabs were collected for the real-time PCR detection of respiratory syncytial virus (RSV) types A and B, influenza virus types A and B, adenovirus, parainfluenza viruses types 1, 2, 3 and 4, rhinovirus, human metapneumovirus, human coronavirus types 229E, OC43, NL63, and HKU1, bocavirus, enterovirus, and paraechovirus; nasopharyngeal aspirates were also obtained to detect atypical bacteria. At least one infectious agent was identified in 76 children (89.4%). RSV was the most frequently detected pathogen and its prevalence was significantly higher than that of the other pathogens in both age groups, and significantly higher in the children aged 3-12 months than in those aged &lt; 3 months. Only the children with RSV infection experienced recurrent wheezing. Viral load was significantly higher in children with than in those without recurrent wheezing. This study shows that RSV is the main reason for hospitalization during the first wheezing episode in infants, and that it appears to be the only pathogen associated with a high frequency of recurrences. A high viral load seems to be strictly related to the likelihood of recurrence.</t>
  </si>
  <si>
    <t xml:space="preserve">[Bosis, S.; Esposito, S.; Principi, N.] Univ Milan, Inst Paediat, Fdn IRCCS, Osped Maggiore Policlin Mangiagalli &amp; Regina Elen, I-20122 Milan, Italy; [Niesters, H. G. M.; Osterhaus, A. D. M. E.] Univ Med Ctr, Dept Virol, Rotterdam, Netherlands; [Zuccotti, G. V.] Univ Milan, Inst Paediat, L Sacco Hosp, I-20122 Milan, Italy; [Marseglia, G.] Univ Pavia, Dept Paediat, IRCCS, Policlin San Matteo, I-27100 Pavia, Italy; [Lanari, M.] Hosp Imola, Paediat Unit, Imola, Italy; [Zuin, G.] Buzzi Hosp, Paediat Unit, Milan, Italy; [Pelucchi, C.] Ist Ric Farmacol Mario Negri, Lab Epidemiol, Milan, Italy</t>
  </si>
  <si>
    <t xml:space="preserve">University of Milan; IRCCS Ca Granda Ospedale Maggiore Policlinico; University of Milan; Luigi Sacco Hospital; University of Pavia; IRCCS Fondazione San Matteo; Azienda USL di Imola; Istituto di Ricerche Farmacologiche Mario Negri IRCCS</t>
  </si>
  <si>
    <t xml:space="preserve">Principi, N (corresponding author), Univ Milan, Inst Paediat, Fdn IRCCS, Osped Maggiore Policlin Mangiagalli &amp; Regina Elen, Via Commenda 9, I-20122 Milan, Italy.</t>
  </si>
  <si>
    <t xml:space="preserve">Esposito, Susanna/AAA-8275-2022; Bert, Niesters/AAH-6808-2019; Pelucchi, Claudio/AGD-5279-2022; Lanari, Marcello/AAE-8932-2020; MARSEGLIA, GIAN/HPF-5225-2023; Esposito, Susanna/K-3475-2016; Zuccotti, Gianvincenzo/H-8572-2017; Bosis, Samantha/K-2754-2016</t>
  </si>
  <si>
    <t xml:space="preserve">Pelucchi, Claudio/0000-0003-1425-8945; Esposito, Susanna/0000-0003-4103-2837; Zuccotti, Gianvincenzo/0000-0002-2795-9874; Niesters, Hubert/0000-0002-1758-0430; Bosis, Samantha/0000-0003-2288-2633; MARSEGLIA, GIAN LUIGI/0000-0003-3662-0159</t>
  </si>
  <si>
    <t xml:space="preserve">10.1111/j.1469-0691.2008.02016.x</t>
  </si>
  <si>
    <t xml:space="preserve">311PU</t>
  </si>
  <si>
    <t xml:space="preserve">WOS:000256612900007</t>
  </si>
  <si>
    <t xml:space="preserve">Amin, NM; El Basha, NR; El Rifai, NM; El Baz, MS; Draz, IH; El Kholy, AA; Sherif, MM</t>
  </si>
  <si>
    <t xml:space="preserve">Amin, Nadia M.; El Basha, Noussa R.; El Rifai, Nihal M.; El Baz, Mohamed S.; Draz, Iman H.; El Kholy, Amani A.; Sherif, May M.</t>
  </si>
  <si>
    <t xml:space="preserve">Viral causes of acute respiratory infection among Egyptian children hospitalized with severe acute asthma exacerbation</t>
  </si>
  <si>
    <t xml:space="preserve">asthma exacerbation; children; Egypt; PCR; viruses</t>
  </si>
  <si>
    <t xml:space="preserve">Background Viral respiratory infections are associated with nearly 80% of asthma exacerbation episodes. These can have severe adverse outcomes in patients with established asthma. Aim The aim of the study was to identify the viral causes of acute respiratory infection that precipitate acute asthma exacerbation in Egyptian asthmatic children. Patients and methods The current prospective study was conducted in Cairo University Children's Hospitals from December 2010 to December 2011. All asthmatic children (n = 130) aged 2-12 years admitted with asthma exacerbation due to severe lower respiratory tract infection were included. All cases were subjected to nasopharyngeal or throat swabs that were analyzed for common respiratory viruses, including respiratory syncytial virus (RSV), human metapneumovirus (hMPV), influenza B (Flu B), human parainfluenza virus (hPIV), influenza A (H1N1), and adenovirus (ADV) using the real-time PCR technique. All patients were followed up to record the outcome. Results PCR analysis was positive for one respiratory virus in 54 asthmatic patients (41.5%) and was negative in 76 patients (58.5%), with a high predominance of RSV (51.9%) and hMPV (25.9%) especially in winter and early spring months. Hypoxia was detected in all patients with RSV infection; of these patients, 21.4% were admitted to the ICU, 14.3% required mechanical ventilation, and 14.3% died. In contrast, among those with hMPV infection, hypoxia was detected in 71.4%; none required ICU admission or mechanical ventilation. Conclusion and recommendations Viral etiology of lower respiratory tract infections constitutes an important cause of acute asthma exacerbation in asthmatic children admitted to children's hospitals in Cairo, supporting the need for large-scale multicentric studies on asthmatic patients over multiple years using a wider-panel PCR for detection of respiratory viruses.</t>
  </si>
  <si>
    <t xml:space="preserve">[Amin, Nadia M.; El Basha, Noussa R.; El Rifai, Nihal M.; El Baz, Mohamed S.; Draz, Iman H.] Cairo Univ, Fac Med, New Univ Childrens Hosp Abu El Reish, Dept Pediat, 2 Atteia Abd El Hadi St Maadi, Cairo, Egypt; [El Kholy, Amani A.; Sherif, May M.] Cairo Univ, Fac Med, New Univ Childrens Hosp Abu El Reish, Dept Clin Pathol, Cairo, Egypt</t>
  </si>
  <si>
    <t xml:space="preserve">El Basha, NR (corresponding author), Cairo Univ, Fac Med, New Univ Childrens Hosp Abu El Reish, Dept Pediat, 2 Atteia Abd El Hadi St Maadi, Cairo, Egypt.</t>
  </si>
  <si>
    <t xml:space="preserve">El-Baz, Mohamed/GYJ-7621-2022; Kholy, Amani/ABA-4759-2020</t>
  </si>
  <si>
    <t xml:space="preserve">El Kholy, Amani/0000-0002-0645-7664; El Rifai, Nihal/0000-0002-1397-2867</t>
  </si>
  <si>
    <t xml:space="preserve">U.S. Naval Medical Researches [3(NAMRU. 3)]; Surveillance for Severe Acute Respiratory Illness (SARI Surveillance)</t>
  </si>
  <si>
    <t xml:space="preserve">U.S. Naval Medical Researches; Surveillance for Severe Acute Respiratory Illness (SARI Surveillance)</t>
  </si>
  <si>
    <t xml:space="preserve">Special thanks to the U.S. Naval Medical Researches unite No. 3 (NAMRU. 3), which funded the research as a part of the Surveillance for Severe Acute Respiratory Illness (SARI Surveillance).</t>
  </si>
  <si>
    <t xml:space="preserve">10.1097/01.EPX.0000427636.90615.ad</t>
  </si>
  <si>
    <t xml:space="preserve">V3G2K</t>
  </si>
  <si>
    <t xml:space="preserve">WOS:000218227700010</t>
  </si>
  <si>
    <t xml:space="preserve">Dawood, FS; Fry, AM; Goswami, D; Sharmeen, A; Nahar, K; Anjali, BA; Rahman, M; Brooks, WA</t>
  </si>
  <si>
    <t xml:space="preserve">Dawood, Fatimah S.; Fry, Alicia M.; Goswami, Doli; Sharmeen, Amina; Nahar, Kamrun; Anjali, Bilkis Ara; Rahman, Mustafizur; Brooks, W. Abdullah</t>
  </si>
  <si>
    <t xml:space="preserve">Incidence and Characteristics of Early Childhood Wheezing, Dhaka, Bangladesh, 2004-2010</t>
  </si>
  <si>
    <t xml:space="preserve">asthma and early wheeze; epidemiology; infections; pneumonia; viral; international health</t>
  </si>
  <si>
    <t xml:space="preserve">1ST 6 YEARS; RESPIRATORY SYNCYTIAL VIRUS; EARLY-LIFE; AIRWAY RESPONSIVENESS; ASTHMA; CHILDREN; PREVALENCE; URBAN; RISK; ILLNESSES</t>
  </si>
  <si>
    <t xml:space="preserve">Background: Early childhood wheezing substantially impacts quality of life in high-income countries, but data are sparse on early childhood wheezing in low-income countries. We estimate wheezing incidence, describe wheezing phenotypes, and explore the contribution of respiratory viral illnesses among children aged &lt;5 years in urban Bangladesh. Methods: During 2004-2010, respiratory illness surveillance was conducted through weekly home visits. Children with fever or respiratory illness were referred for examination by study physicians including lung auscultation. During 2005-2007, every fifth referred child had nasal washes tested for human metapneumovirus, respiratory syncytial viruses, and influenza and parainfluenza viruses. Results: During April 2004-July 2010, 23,609 children were enrolled in surveillance. Of these, 11,912 (50%) were male, median age at enrollment was 20 months (IQR 5-38), and 4,711 (20%) had &gt;= 1 wheezing episode accounting for 8,901 episodes (733 [8%] associated with hospitalization); 25% wheezed at &lt;1 year of age. Among children aged &lt;5 years, incidences of wheezing and wheezing hospitalizations were 2,335/10,000 and 192/10,000 child-years. Twenty-eight percent had recurrent wheezing. Recurrent versus non-recurrent wheezing episodes were more likely to be associated with oxygen saturation &lt;93% (OR 6.9, 95% CI 2.8-17.3), increased work of breathing (OR 1.6, 95% CI 1.4-1.8), and hospitalization (OR 2.0, 95% CI 1.6-2.4). Respiratory viruses were detected in 66% (578/873) of episodes with testing. Conclusion: In urban Bangladesh, early childhood wheezing is common and largely associated with respiratory virus infections. Recurrent wheezing is associated with more severe illness and may predict children who would benefit most from closer follow-up and targeted interventions. (C) 2015 Wiley Periodicals, Inc.</t>
  </si>
  <si>
    <t xml:space="preserve">[Dawood, Fatimah S.; Fry, Alicia M.] Ctr Dis Control &amp; Prevent, Influenza Div, 1600 Clifton Rd MS A-32, Atlanta, GA 30333 USA; [Goswami, Doli; Sharmeen, Amina; Nahar, Kamrun; Anjali, Bilkis Ara; Rahman, Mustafizur; Brooks, W. Abdullah] Int Ctr Diarrhoeal Dis Res, Dhaka, Bangladesh; [Brooks, W. Abdullah] Johns Hopkins Univ, Bloomberg Sch Publ Hlth, Baltimore, MD USA</t>
  </si>
  <si>
    <t xml:space="preserve">Dawood, FS (corresponding author), Ctr Dis Control &amp; Prevent, Influenza Div, 1600 Clifton Rd MS A-32, Atlanta, GA 30333 USA.</t>
  </si>
  <si>
    <t xml:space="preserve">10.1002/ppul.23343</t>
  </si>
  <si>
    <t xml:space="preserve">EL1AH</t>
  </si>
  <si>
    <t xml:space="preserve">WOS:000394352400008</t>
  </si>
  <si>
    <t xml:space="preserve">Bernal, LJ; Velandia-Romero, M; Guevara, C; Castellanos, JE</t>
  </si>
  <si>
    <t xml:space="preserve">Bernal, Lilia J.; Velandia-Romero, Myriam; Guevara, Carolina; Castellanos, Jaime E.</t>
  </si>
  <si>
    <t xml:space="preserve">Human Metapneumovirus: Laboratory Methods for Isolation, Propagation, and Plaque Titration</t>
  </si>
  <si>
    <t xml:space="preserve">Assay development; Human metapneumovirus; Isolation; Plaque titration; Infection</t>
  </si>
  <si>
    <t xml:space="preserve">RESPIRATORY SYNCYTIAL VIRUS; TRANSCRIPTASE PCR ASSAY; INFECTION; OUTBREAK; QUANTIFICATION; PATHOGENESIS; YAMAGATA; CHILDREN</t>
  </si>
  <si>
    <t xml:space="preserve">The human metapneumovirus (hMPV) is an important viral agent associated with severe infections of the upper and lower airways, especially in young children and immunosuppressed subjects. Nevertheless, in vitro studies of hMPV are very difficult due to the little knowledge we have on its laboratory manipulation. Objective: The aim of this study was to isolate and propagate hMPV from patients, and to establish a method to quantify the virus by plaque assay. Method: As part of a Latin American respiratory virus surveillance study, 12 nasal secretion samples - hMPV-positive by direct fluorescence - were inoculated on LLC-MK2 cells to isolate the virus. The supernatants were re-inoculated and the cytopathic effect and syncytium formation were evaluated daily; the infection was confirmed by immunofluorescence and RT-PCR. A protocol to titrate the harvested virus was established inoculating serial dilutions on LLC-MK2 cells, and agarose was then added as an overlay. After different time periods, the monolayers were fixed and stained with Naphthol blue/black or crystal violet and finally the viral titer was obtained. Results: Eight out of 12 hMPV-positive respiratory samples were positive for the isolation and confirmed by RT-PCR and immunofluorescence, but the cytopathic effect and syncytium formation were observed only in 5 cultures. One out of 8 viral isolates was used for propagation and plaque assay standardization. We found that incubation for 7 days in the semisolid overlay yielded plaques with appropriate size and shape to be counted, although crystal violet staining showed slightly larger plaques than those seen with Naphthol blue/black staining. Conclusions: The isolation and propagation from patient-derived hMPV and the standardization of a practical, reliable, and inexpensive method of detection and quantification of hMPV were carried out, without the additional use of antibodies that had not been reported previously. These results offer some important insights for future studies of cellular and molecular biology of hMPV. (C) 2019 S. Karger AG, Basel</t>
  </si>
  <si>
    <t xml:space="preserve">[Bernal, Lilia J.; Castellanos, Jaime E.] Univ Nacl Colombia, Fac Odontol, Edificio 210,Oficina 301,Carrera 30 45-03, Bogota, Colombia; [Velandia-Romero, Myriam; Castellanos, Jaime E.] Univ El Bosque, Grp Virol, Bogota, Colombia; [Guevara, Carolina] US Naval Med Res Unit Six NAMRU 6, Lima, Peru</t>
  </si>
  <si>
    <t xml:space="preserve">Universidad Nacional de Colombia; Universidad El Bosque; Naval Medical Research Center (NMRC); Naval Medical Research Unit No. 6 (NAMRU-6)</t>
  </si>
  <si>
    <t xml:space="preserve">Castellanos, JE (corresponding author), Univ Nacl Colombia, Fac Odontol, Edificio 210,Oficina 301,Carrera 30 45-03, Bogota, Colombia.</t>
  </si>
  <si>
    <t xml:space="preserve">Velandia-Romero, Myriam Lucia/0000-0002-3340-7304; Castellanos, Jaime/0000-0003-1596-8383; Bernal, Lilia Jadith/0000-0002-2889-5497</t>
  </si>
  <si>
    <t xml:space="preserve">Facultad de Odontologia of Universidad Nacional de Colombia; Vicerrectoria de Investigaciones of Universidad El Bosque, Colombia; [847705 82000 25GB B0016]</t>
  </si>
  <si>
    <t xml:space="preserve">Facultad de Odontologia of Universidad Nacional de Colombia; Vicerrectoria de Investigaciones of Universidad El Bosque, Colombia;</t>
  </si>
  <si>
    <t xml:space="preserve">This work was supported by the Facultad de Odontologia of Universidad Nacional de Colombia, Vicerrectoria de Investigaciones of Universidad El Bosque, Colombia, and work unit No. 847705 82000 25GB B0016.</t>
  </si>
  <si>
    <t xml:space="preserve">10.1159/000497309</t>
  </si>
  <si>
    <t xml:space="preserve">IC3JQ</t>
  </si>
  <si>
    <t xml:space="preserve">WOS:000470856800006</t>
  </si>
  <si>
    <t xml:space="preserve">Wansaula, Z; Olsen, SJ; Casal, MG; Golenko, C; Erhart, LM; Kammerer, P; Whitfield, N; McCotter, OZ</t>
  </si>
  <si>
    <t xml:space="preserve">Wansaula, Zimy; Olsen, Sonja J.; Casal, Mariana G.; Golenko, Catherine; Erhart, Laura M.; Kammerer, Peter; Whitfield, Natalie; McCotter, Orion Z.</t>
  </si>
  <si>
    <t xml:space="preserve">Surveillance for severe acute respiratory infections in Southern Arizona, 2010-2014</t>
  </si>
  <si>
    <t xml:space="preserve">Arizona; influenza; respiratory tract diseases; surveillance</t>
  </si>
  <si>
    <t xml:space="preserve">INFLUENZA; VIRUSES; IDENTIFICATION; CHILDREN; STATES</t>
  </si>
  <si>
    <t xml:space="preserve">BackgroundThe Binational Border Infectious Disease Surveillance program began surveillance for severe acute respiratory infections (SARI) on the US-Mexico border in 2009. Here, we describe patients in Southern Arizona. MethodsPatients admitted to five acute care hospitals that met the SARI case definition (temperature 378 degrees C or reported fever or chills with history of cough, sore throat, or shortness of breath in a hospitalized person) were enrolled. Staff completed a standard form and collected a nasopharyngeal swab which was tested for selected respiratory viruses by reverse transcription polymerase chain reaction. ResultsFrom October 2010-September 2014, we enrolled 332 SARI patients. Fifty-two percent were male and 48% were white non-Hispanic. The median age was 63 years (47% 65 years and 52% &lt;5 years). During hospitalization, 51 of 230 (22%) patients required intubation, 120 of 297 (40%) were admitted to intensive care unit, and 28 of 278 (10%) died. Influenza vaccination was 56%. Of 309 cases tested, 49 (16%) were positive for influenza viruses, 25 (81%) for human metapneumovirus, 20 (65%) for parainfluenza viruses, 16 (52%) for coronavirus, 11 (36%) for respiratory syncytial virus, 10 (32%) for rhinovirus, 4 (13%) for rhinovirus/enterovirus, 3 (10%) for enteroviruses, and 3 (10%) for adenovirus. Among the 49 influenza-positive specimens, 76% were influenza A (19 H3N2, 17 H1N1pdm09, and 1 not subtyped), and 24% were influenza B. ConclusionInfluenza viruses were a frequent cause of SARI in hospitalized patients in Southern Arizona. Monitoring respiratory illness in border populations will help better understand the etiologies. Improving influenza vaccination coverage may help prevent some SARI cases.</t>
  </si>
  <si>
    <t xml:space="preserve">[Wansaula, Zimy; Casal, Mariana G.; McCotter, Orion Z.] Arizona Dept Hlth Serv, Off Border Hlth, Tucson, AZ USA; [Olsen, Sonja J.] Ctr Dis Control &amp; Prevent, Influenza Div, Atlanta, GA USA; [Golenko, Catherine; Erhart, Laura M.] Arizona Dept Hlth Serv, Off Infect Dis Serv, Phoenix, AZ 85007 USA; [Kammerer, Peter] US Navy, Hlth Res Ctr, San Diego, CA 92152 USA; [Whitfield, Natalie] Univ Arizona, Clin &amp; Mol Microbiol, Tucson, AZ USA; [McCotter, Orion Z.] Ctr Dis Control &amp; Prevent, Mycot Dis Branch, Atlanta, GA USA</t>
  </si>
  <si>
    <t xml:space="preserve">Arizona Department of Health Services; Centers for Disease Control &amp; Prevention - USA; Arizona Department of Health Services; United States Department of Defense; United States Navy; Naval Medical Research Center (NMRC); Naval Health Research Center (NHRC); University of Arizona; Centers for Disease Control &amp; Prevention - USA</t>
  </si>
  <si>
    <t xml:space="preserve">McCotter, OZ (corresponding author), 1600 Clifton Rd,MS G-09, Atlanta, GA 30329 USA.</t>
  </si>
  <si>
    <t xml:space="preserve">yim4@cdc.gov</t>
  </si>
  <si>
    <t xml:space="preserve">Whitfield, Natalie/AAO-3874-2020</t>
  </si>
  <si>
    <t xml:space="preserve">Whitfield, Natalie/0000-0001-9937-9687; Casal Singletary, Mariana/0000-0001-8937-2588</t>
  </si>
  <si>
    <t xml:space="preserve">Epidemiology and Laboratory Capacity for Infectious Diseases from U.S. Centers for Disease Control and Prevention [3U50CK0004]; Arizona Department of Health Services</t>
  </si>
  <si>
    <t xml:space="preserve">Epidemiology and Laboratory Capacity for Infectious Diseases from U.S. Centers for Disease Control and Prevention; Arizona Department of Health Services</t>
  </si>
  <si>
    <t xml:space="preserve">This surveillance was supported by the Epidemiology and Laboratory Capacity for Infectious Diseases cooperative agreement (Grant number: 3U50CK0004) from the U.S. Centers for Disease Control and Prevention. We would like to thank the staff of St Mary's hospital especially Daniel Lewis, Shannon Mabalot, and Ami Bera; the staff of St Joseph Hospital especially Cynthia Kartchner, and Monica Fontes; the staff of Sells Hospital especially Guadalupe Camarena and Mary Bell. We are thankful to BIDS program at CDC Division of Global Migration and Quarantine, US-Mexico Unit: Dr Steve Waterman, Alba Phippard, Clelia Pezzi, and Sonia Montiel. We also gratefully acknowledge the support of the Arizona Department of Health Services especially Ken Komatsu, Shane Brady, Kristen Herrick, and Robert Guerrero.</t>
  </si>
  <si>
    <t xml:space="preserve">10.1111/irv.12360</t>
  </si>
  <si>
    <t xml:space="preserve">DI4SZ</t>
  </si>
  <si>
    <t xml:space="preserve">WOS:000373490900003</t>
  </si>
  <si>
    <t xml:space="preserve">Fukutani, KF; Nascimento-Carvalho, CM; Van der Gucht, W; Wollants, E; Khouri, R; Dierckx, T; Van Ranst, M; Houspie, L; Bouzas, ML; Oliveira, JR; Barral, A; Van Weyenbergh, J; de Oliveira, CI</t>
  </si>
  <si>
    <t xml:space="preserve">Fukutani, Kiyoshi F.; Nascimento-Carvalho, Cristiana M.; Van der Gucht, Winke; Wollants, Elke; Khouri, Ricardo; Dierckx, Tim; Van Ranst, Marc; Houspie, Lieselot; Bouzas, Maiara L.; Oliveira, Juliana R.; Barral, Aldina; Van Weyenbergh, Johan; de Oliveira, Camila I.</t>
  </si>
  <si>
    <t xml:space="preserve">Pathogen transcriptional profile in nasopharyngeal aspirates of children with acute respiratory tract infection</t>
  </si>
  <si>
    <t xml:space="preserve">ARI; nCounter; Diagnostics; RSV</t>
  </si>
  <si>
    <t xml:space="preserve">MESSENGER-RNA ABUNDANCE; RSV BRONCHIOLITIS; QUANTIFICATION; PULMONARY; VIRUSES; RISK</t>
  </si>
  <si>
    <t xml:space="preserve">Background: Acute respiratory tract infections (ARI) present a significant morbidity and pose a global health burden. Patients are frequently treated with antibiotics although ARI are most commonly caused by virus, strengthening the need for improved diagnostic methods. Objectives: Detect viral and bacterial RNA in nasopharyngeal aspirates (NPA) from children aged 6-23 months with ARI using nCounter. Study design: A custom-designed nCounter probeset containing viral and bacterial targets was tested in NPA of ARI patients. Results: Initially, spiked control viral RNAs were detectable in &gt;= 6.25 ng input RNA, indicating absence of inhibitors in NPA. nCounter applied to a larger NPA sample (n = 61) enabled the multiplex detection of different pathogens: RNA viruses Parainfluenza virus (PIV 1-3) and RSV A-B in 21%, Human metapneumovirus (hMPV) in 5%, Bocavirus (BoV), CoV, Influenza virus (IV) A in 3% and, Rhinovirus (RV) in 2% of samples, respectively. RSV A-B was confirmed by Real Time PCR (86.2-96.9% agreement). DNA virus (AV) was detected at RNAlevel, reflecting viral replication, in 10% of samples. Bacterial transcripts from Staphylococcus aureus, Haemophilus influenzae, Streptococcus pneumoniae, Moraxella catarrhalis, Mycoplasma pneumoniae and Chlamydophila pneumoniae were detected in 77, 69, 26, 8, 3 and 2% of samples, respectively. Conclusion: nCounter is robust and sensitive for the simultaneous detection of viral (both RNA and DNA) and bacterial transcripts in NPA with low RNA input (&lt; 10 ng). This medium-throughput technique will increase our understanding of ARI pathogenesis and may provide an evidence-based approach for the targeted and rational use of antibiotics in pediatric ARI. (C) 2015 Elsevier B.V. All rights reserved.</t>
  </si>
  <si>
    <t xml:space="preserve">[Fukutani, Kiyoshi F.; Khouri, Ricardo; Barral, Aldina; de Oliveira, Camila I.] Ctr Pesquisas Goncalo Moniz CPqGM FIOCRUZ, Salvador, BA, Brazil; [Fukutani, Kiyoshi F.; Nascimento-Carvalho, Cristiana M.; Khouri, Ricardo; Bouzas, Maiara L.; Oliveira, Juliana R.; Barral, Aldina; de Oliveira, Camila I.] Univ Fed Bahia, Sch Med, Postgrad Program Hlth Sci, Salvador, BA, Brazil; [Nascimento-Carvalho, Cristiana M.] Univ Fed Bahia, Sch Med, Dept Pediat, Salvador, BA, Brazil; [Van der Gucht, Winke; Wollants, Elke; Dierckx, Tim; Van Ranst, Marc; Houspie, Lieselot; Van Weyenbergh, Johan] Katholieke Univ Leuven, Rega Inst Med Res, Dept Microbiol &amp; Immunol, Leuven, Belgium; [Barral, Aldina] Univ Fed Bahia, Sch Med, Dept Pathol, Salvador, BA, Brazil; [Barral, Aldina; de Oliveira, Camila I.] Inst Invest Imunol, Sao Paulo, SP, Brazil</t>
  </si>
  <si>
    <t xml:space="preserve">Fundacao Oswaldo Cruz; Universidade Federal da Bahia; Universidade Federal da Bahia; KU Leuven; Universidade Federal da Bahia</t>
  </si>
  <si>
    <t xml:space="preserve">de Oliveira, CI (corresponding author), LIP CPqGM FIOCRUZ, Rua Waldemar Falcao 121, BR-40296710 Salvador, BA, Brazil.</t>
  </si>
  <si>
    <t xml:space="preserve">camila@bahia.fiocruz.br</t>
  </si>
  <si>
    <t xml:space="preserve">de Oliveira, Camila/B-4358-2009; Fukutani, Kiyoshi/N-7905-2016; Van Ranst, Marc/P-7522-2017; Khouri, Ricardo/M-3184-2018; Van Weyenbergh, Johan/B-4187-2009; Barral, Aldina/B-4191-2009</t>
  </si>
  <si>
    <t xml:space="preserve">Van Ranst, Marc/0000-0002-1674-4157; DE OLIVEIRA, CAMILA INDIANI/0000-0002-7868-5164; Fukutani, Kiyoshi/0000-0003-2223-0918; Khouri, Ricardo/0000-0001-5664-4436; Van Weyenbergh, Johan/0000-0003-3234-8426; Van der Gucht, Winke/0000-0002-1775-6176; Wollants, Elke/0000-0002-4057-2236; Barral, Aldina/0000-0002-7177-464X; Dierckx, Tim/0000-0002-1969-7974</t>
  </si>
  <si>
    <t xml:space="preserve">Fundacao de Amparo a Pesquisa do Estado da Bahia (FAPESB) [PNX0019/2009]; Science without Borders (Conselho Nacional de Desenvolvimento Cientifico e Tecnologico; CNPQ); FAPESB; CNPq</t>
  </si>
  <si>
    <t xml:space="preserve">Fundacao de Amparo a Pesquisa do Estado da Bahia (FAPESB)(Fundacao de Amparo a Pesquisa do Estado da Bahia (FAPESB)); Science without Borders (Conselho Nacional de Desenvolvimento Cientifico e Tecnologico; CNPQ); FAPESB(Fundacao de Amparo a Pesquisa do Estado da Bahia (FAPESB)); CNPq(Conselho Nacional de Desenvolvimento Cientifico e Tecnologico (CNPQ))</t>
  </si>
  <si>
    <t xml:space="preserve">This work was supported by Fundacao de Amparo a Pesquisa do Estado da Bahia (FAPESB; grant PNX0019/2009). KFF was supported by fellowships from Science without Borders (Conselho Nacional de Desenvolvimento Cientifico e Tecnologico; CNPQ) and FAPESB. RK was supported by a fellowship from CNPq. AB, CN-C and CIO are senior investigators from CNPq.</t>
  </si>
  <si>
    <t xml:space="preserve">10.1016/j.jcv.2015.06.005</t>
  </si>
  <si>
    <t xml:space="preserve">WOS:000358318400039</t>
  </si>
  <si>
    <t xml:space="preserve">Yunus, AS; Govindarajan, D; Huang, ZH; Samal, SK</t>
  </si>
  <si>
    <t xml:space="preserve">Deduced amino acid sequence of the small hydrophobic protein of US avian pneumovirus has greater identity with that of human metapneumovirus than those of non-US avian pneumoviruses</t>
  </si>
  <si>
    <t xml:space="preserve">APV/CO; avian pneumovirus colorado isolate; SH protein; small hydrophobic protein</t>
  </si>
  <si>
    <t xml:space="preserve">RESPIRATORY SYNCYTIAL VIRUS; TURKEY RHINOTRACHEITIS VIRUS; SUBGROUP-A; ANTIGENIC CHARACTERIZATION; NUCLEOTIDE-SEQUENCE; MATRIX PROTEIN; MESSENGER-RNA; GENE; GLYCOPROTEIN; ANTIBODIES</t>
  </si>
  <si>
    <t xml:space="preserve">We report here the nucleotide and deduced amino acid (aa) sequences of the small hydrophobic (SH) gene of the avian pneumovirus strain Colorado (APV/CO). The SH gene of APV/CO is 628 nucleotides in length from gene-start to gene-end. The longest ORF of the SH gene encoded a protein of 177 aas in length. Comparison of the deduced aa sequence of the SH protein of APV/CO with the corresponding published sequences of other members of genera metapneumovirus showed 28% identity with the newly discovered human metapneumovirus (hMPV), but no discernable identity with the APV subgroup A or B. Collectively, this data supports the hypothesis that: (i) APV/CO is distinct from European APV subgroups and belongs to the novel subgroup APV/C (APV/US); (ii) APV/CO is more closely related to hMPV, a mammalian metapneumovirus, than to either APV subgroup A or B. The SH gene of APV/CO was cloned using a genomic walk strategy which initiated cDNA synthesis from genomic RNA that traversed the genes in the order 3'-M-F-M2-SH-G-5', thus confirming that gene-order of APV/CO conforms in the genus Metapneumovirus. We also provide the sequences of transcription-signals and the M-F, F-M2, M2-SH and SH-G intergenic regions of APV/CO. (C) 2003 Elsevier Science B.V. All rights reserved.</t>
  </si>
  <si>
    <t xml:space="preserve">Univ Maryland, Virginia Maryland Reg Coll Vet Med, College Pk, MD 20742 USA</t>
  </si>
  <si>
    <t xml:space="preserve">University System of Maryland; University of Maryland College Park</t>
  </si>
  <si>
    <t xml:space="preserve">Samal, SK (corresponding author), Univ Maryland, Virginia Maryland Reg Coll Vet Med, College Pk, MD 20742 USA.</t>
  </si>
  <si>
    <t xml:space="preserve">10.1016/S0168-1702(03)00074-1</t>
  </si>
  <si>
    <t xml:space="preserve">678LH</t>
  </si>
  <si>
    <t xml:space="preserve">WOS:000182868300010</t>
  </si>
  <si>
    <t xml:space="preserve">Govindarajan, D; Samal, SK</t>
  </si>
  <si>
    <t xml:space="preserve">Sequence analysis of the large polymerase (L) protein of the US strain of avian metapneumovirus indicates a close resemblance to that of the human metapneumovirus</t>
  </si>
  <si>
    <t xml:space="preserve">APV-C; avian pneumovirus Colorado isolate; L protein; large polymerase protein</t>
  </si>
  <si>
    <t xml:space="preserve">TURKEY RHINOTRACHEITIS VIRUS; AMINO-ACID-SEQUENCE; RESPIRATORY SYNCYTIAL VIRUS; GENE ORDER DIFFERENT; MOLECULAR EPIDEMIOLOGY; PNEUMOVIRUS ISOLATE; NUCLEOTIDE-SEQUENCE; UNITED-STATES; RNA VIRUSES; MATRIX</t>
  </si>
  <si>
    <t xml:space="preserve">The complete nucleotide sequence of the large polymerase (L) protein of the avian metapneumovirus subgroup C strain Colorado was determined. The L protein gene of avian pneumovirus Colorado isolate (APV-C) was 6173 nucleotides in length from the gene-start to the gene-end and encoded a polypeptide of 2005 amino acids in length. The length of the L protein of APV-C was exactly the same as that of human metapneumovirus (hMPV) and one amino acid longer than the L protein of APV subgroup A. The L protein of APV-C showed 80% amino acid identity with the L protein of hMPV, but only 64% amino acid identity with the L protein of APV-A. The nucleotide and deduced amino acid sequences were compared with the corresponding sequences of eleven other paramyxoviruses. All six domains characteristic of paramyxovirus L proteins were also observed in the L protein of APV-C. All the polymerase core motifs in domain III were conserved to nearly 100% in the metapneumoviruses. Similarly, the putative ATP-binding motif in domain VI was completely conserved among the metapneumoviruses and differed in length, by one intermediate residue, from other paramyxoviruses. Phylogenetic analysis of the different L proteins also revealed a closer relationship between APV-C and hMPV. (C) 2004 Elsevier B.V. All rights reserved.</t>
  </si>
  <si>
    <t xml:space="preserve">Univ Maryland, Virginia Maryland Reg Coll Vet Med, 8075 Greenmead Dr, College Pk, MD 20742 USA.</t>
  </si>
  <si>
    <t xml:space="preserve">ssamal@umd.edu</t>
  </si>
  <si>
    <t xml:space="preserve">10.1016/j.virusres.2004.04.014</t>
  </si>
  <si>
    <t xml:space="preserve">WOS:000223814800006</t>
  </si>
  <si>
    <t xml:space="preserve">Cruz-Jiménez, AE; Quintanar, L; Luján-Montelongo, JA</t>
  </si>
  <si>
    <t xml:space="preserve">Cruz-Jimenez, Alicia Elvira; Quintanar, Liliana; Lujan-Montelongo, J. Armando</t>
  </si>
  <si>
    <t xml:space="preserve">An Overview of Antivirals for Treating Lower Respiratory Tract Infections</t>
  </si>
  <si>
    <t xml:space="preserve">JOURNAL OF THE MEXICAN CHEMICAL SOCIETY</t>
  </si>
  <si>
    <t xml:space="preserve">Antivirals; viral respiratory diseases; drug repurpose; drug research</t>
  </si>
  <si>
    <t xml:space="preserve">SYNCYTIAL VIRUS-INFECTION; SYNDROME-CORONAVIRUS; HEMAGGLUTININ-NEURAMINIDASE; HUMAN METAPNEUMOVIRUS; PANDEMIC INFLUENZA; 3CL PROTEASE; SARS-COV; POTENT INHIBITORS; SPIKE PROTEIN; SIALIC-ACID</t>
  </si>
  <si>
    <t xml:space="preserve">Covid-19 has resulted in a worldwide epidemic (pandemic) with high morbidity and mortality, which has generated efforts in various areas of research looking for safe and effective treatments to combat the virus that generates this disease: SARS-CoV-2. However, several viruses have been emerged/adapted in the last few decades, also affecting the respiratory system. According to the world health organization (WHO), lower respiratory tract infections (LRTIs) are one of the leading causes of death worldwide, and viruses are playing important roles as the cause of these infections. In contrast to the vast repertoire of antibiotics that exist to treat bacteria-caused LRTIs, there are a very few antivirals approved for the treatment of virus-caused LRTIs, whose approach consists mainly of drug reuse. This minireview deals on the main viral pathogens that cause LRTIs and some of the most relevant antivirals to counter them (available drugs and molecules in research/clinical trials), with concise comments of their mechanism of action.</t>
  </si>
  <si>
    <t xml:space="preserve">[Cruz-Jimenez, Alicia Elvira; Quintanar, Liliana; Lujan-Montelongo, J. Armando] Ctr Invest &amp; Estudios Avanzados Cinvestav, Dept Quim, Av Inst Politecn Nacl 2508, Mexico City 07360, DF, Mexico</t>
  </si>
  <si>
    <t xml:space="preserve">CINVESTAV - Centro de Investigacion y de Estudios Avanzados del Instituto Politecnico Nacional</t>
  </si>
  <si>
    <t xml:space="preserve">Luján-Montelongo, JA (corresponding author), Ctr Invest &amp; Estudios Avanzados Cinvestav, Dept Quim, Av Inst Politecn Nacl 2508, Mexico City 07360, DF, Mexico.</t>
  </si>
  <si>
    <t xml:space="preserve">; Lujan Montelongo, Jesus/M-4604-2017</t>
  </si>
  <si>
    <t xml:space="preserve">Quintanar, Liliana/0000-0003-3090-7175; Lujan Montelongo, Jesus/0000-0002-5651-8955</t>
  </si>
  <si>
    <t xml:space="preserve">Conacyt (Mexico) [708711]; Marie Curie Actions (MSCA) [708711] Funding Source: Marie Curie Actions (MSCA)</t>
  </si>
  <si>
    <t xml:space="preserve">Conacyt (Mexico)(Consejo Nacional de Ciencia y Tecnologia (CONACyT)); Marie Curie Actions (MSCA)(Marie Curie Actions)</t>
  </si>
  <si>
    <t xml:space="preserve">Authors are grateful with the Chemistry Department of Cinvestav (Mexico). Prof. Antonio E. Lazcano Araujo Reyes (UNAM) is gratefully acknowledged for helpful suggestions on the manuscript. A.E. C-J. also thank to Conacyt (Mexico) for PhD scholarship 708711.</t>
  </si>
  <si>
    <t xml:space="preserve">SOC QUIMICA MEXICO</t>
  </si>
  <si>
    <t xml:space="preserve">MEXICO D F</t>
  </si>
  <si>
    <t xml:space="preserve">BARRANCA DEL MUERTO 26, COL CREDITO CONSTRUCTOR, DEL BENITO JUAREZ, MEXICO D F, C P 03940, MEXICO</t>
  </si>
  <si>
    <t xml:space="preserve">1870-249X</t>
  </si>
  <si>
    <t xml:space="preserve">1665-9686</t>
  </si>
  <si>
    <t xml:space="preserve">J MEX CHEM SOC</t>
  </si>
  <si>
    <t xml:space="preserve">J. Mex. Chem. Soc.</t>
  </si>
  <si>
    <t xml:space="preserve">10.29356/jmcs.v66i1.1657</t>
  </si>
  <si>
    <t xml:space="preserve">YC9UF</t>
  </si>
  <si>
    <t xml:space="preserve">WOS:000740028200010</t>
  </si>
  <si>
    <t xml:space="preserve">Mendes, GD; Soares, AR; Martins, FO; de Albuquerque, MCM; Costa, SS; Yoneshigue-Valentin, Y; Gestinari, LMD; Santos, N; Romanos, MTV</t>
  </si>
  <si>
    <t xml:space="preserve">Mendes, Gabriella da Silva; Soares, Angelica Ribeiro; Martins, Fernanda Otaviano; Maciel de Albuquerque, Maria Carolina; Costa, Sonia Soares; Yoneshigue-Valentin, Yocie; de Souza Gestinari, Lisia Monica; Santos, Norma; Villela Romanos, Maria Teresa</t>
  </si>
  <si>
    <t xml:space="preserve">ANTIVIRAL ACTIVITY OF THE GREEN MARINE ALGA Ulva fasciata ON THE REPLICATION OF HUMAN METAPNEUMOVIRUS</t>
  </si>
  <si>
    <t xml:space="preserve">Antiviral; Human metapneumovirus; Marine alga; Respiratory infection</t>
  </si>
  <si>
    <t xml:space="preserve">RESPIRATORY SYNCYTIAL VIRUS; SEAWEED NOTHOGENIA-FASTIGIATA; CELL-WALL POLYSACCHARIDES; ANTI-HIV ACTIVITY; IN-VITRO; YOUNG-CHILDREN; SULFATED POLYSACCHARIDES; MISCELLANEOUS MECHANISMS; STRUCTURAL FEATURES; NERVOUS SYSTEMS</t>
  </si>
  <si>
    <t xml:space="preserve">We evaluated the antiviral activity of the marine alga, Ulva fasciata. collected from Rasa beach and Forno beach. Buzios. Rio de Janeiro, Brazil on the replication of human metapneumovirus (HMPV). The algae extracts were prepared using three different methodologies to compare the activity of different groups of chemical composites obtained through these different methodologies. Four Out of the six extracts inhibited nearly 100% of viral replication. The results demonstrated that the majority of the extracts (five Out of six) possess virucidal activity and therefore have the ability to interact with the extracellular viral particles and prevent the infection. On the other hand. only two extracts (from Forno beach. obtained by maceration and maceration of the decoction) were able to interact with cell receptors, hindering the viral entry. Finally, only the extract of algae collected tit Forno beach, obtained by maceration presented intracellular activity. To our knowledge, this is a pioneer study on antiviral activity of marine algae against HMPV. It is also the first on antiviral activity against HMPV ever done in Brazil. The Study also shown the effect of different environment factors and different chemical procedures used to obtain the extract on its biological properties.</t>
  </si>
  <si>
    <t xml:space="preserve">[Villela Romanos, Maria Teresa] Univ Fed Rio de Janeiro, Dept Virol, Inst Microbiol Prof Paulo de Goes, LEDAC,CCS, BR-21941590 Rio De Janeiro, Brazil; [Soares, Angelica Ribeiro; de Souza Gestinari, Lisia Monica] Univ Fed Rio de Janeiro, GPNOA, Nucleo Ecol &amp; Desenvolvimento Socio Ambiental Mac, BR-21941590 Rio De Janeiro, Brazil; [Maciel de Albuquerque, Maria Carolina; Santos, Norma] Univ Fed Rio de Janeiro, Enter &amp; Oculares Dept Virol, Inst Microbiol Prof Paulo de Goes, Lab Viroses Resp, BR-21941590 Rio De Janeiro, Brazil; [Costa, Sonia Soares] Univ Fed Rio de Janeiro, Nucleo Pesquisa Prod Nat, BR-21941590 Rio De Janeiro, Brazil; [Yoneshigue-Valentin, Yocie] Univ Fed Rio de Janeiro, Inst Biol, Dept Bot, BR-21941590 Rio De Janeiro, Brazil</t>
  </si>
  <si>
    <t xml:space="preserve">Universidade Federal do Rio de Janeiro; Universidade Federal do Rio de Janeiro; Universidade Federal do Rio de Janeiro; Universidade Federal do Rio de Janeiro; Universidade Federal do Rio de Janeiro</t>
  </si>
  <si>
    <t xml:space="preserve">Romanos, MTV (corresponding author), Univ Fed Rio de Janeiro, Dept Virol, Inst Microbiol Prof Paulo de Goes, LEDAC,CCS, Caixa Postal 68040,Bloco 1, BR-21941590 Rio De Janeiro, Brazil.</t>
  </si>
  <si>
    <t xml:space="preserve">Mendes, Gabriella/CAG-0780-2022; Valentin, yocie/D-7602-2013; Soares, Angelica/AAW-6611-2021; Martins, Fernanda/GXG-8067-2022; Santos, Norma/H-6986-2015; Costa, Sonia/A-2474-2017</t>
  </si>
  <si>
    <t xml:space="preserve">Santos, Norma/0000-0002-5123-9172; Costa, Sonia/0000-0001-7928-8147; Mendes, Gabriella/0000-0003-1978-9569</t>
  </si>
  <si>
    <t xml:space="preserve">Conselho Nacional de Desenvolvimento Cientifico e Tecnologico (CNPq); Coordenacao de Aperfeicoamento de Pessoal de Nivel Superior (CAPES); Fundacao Carlos Chagas de Amparo a Pesquisa do Estado do Rio de Janeiro (FAPERJ), Brazil</t>
  </si>
  <si>
    <t xml:space="preserve">We thank Soluza dos Santos Goncalves for the technical assistance. This study was supported in part by Conselho Nacional de Desenvolvimento Cientifico e Tecnologico (CNPq), Coordenacao de Aperfeicoamento de Pessoal de Nivel Superior (CAPES) and, Fundacao Carlos Chagas de Amparo a Pesquisa do Estado do Rio de Janeiro (FAPERJ), Brazil.</t>
  </si>
  <si>
    <t xml:space="preserve">10.1590/S0036-46652010000100002</t>
  </si>
  <si>
    <t xml:space="preserve">569PR</t>
  </si>
  <si>
    <t xml:space="preserve">WOS:000275610500001</t>
  </si>
  <si>
    <t xml:space="preserve">Barrett, CT; Webb, SR; Dutch, RE</t>
  </si>
  <si>
    <t xml:space="preserve">Barrett, Chelsea T.; Webb, Stacy R.; Dutch, Rebecca Ellis</t>
  </si>
  <si>
    <t xml:space="preserve">A Hydrophobic Target: Using the Paramyxovirus Fusion Protein Transmembrane Domain To Modulate Fusion Protein Stability</t>
  </si>
  <si>
    <t xml:space="preserve">antiviral agents; fusion protein; membrane fusion; transmembrane domain</t>
  </si>
  <si>
    <t xml:space="preserve">VIRUS; PEPTIDE; SEQUENCE; GROWTH</t>
  </si>
  <si>
    <t xml:space="preserve">Enveloped viruses utilize surface glycoproteins to bind and fuse with a target cell membrane. The zoonotic Hendra virus (HeV), a member of the family Paramyxoviridae, utilizes the attachment protein (G) and the fusion protein (F) to perform these critical functions. Upon triggering, the trimeric F protein undergoes a large, irreversible conformation change to drive membrane fusion. Previously, we have shown that the transmembrane (TM) domain of the F protein, separate from the rest of the protein, is present in a monomer-trimer equilibrium. This TM-TM association contributes to the stability of the prefusion form of the protein, supporting a role for TM-TM interactions in the control of F protein conformational changes. To determine the impact of disrupting TM-TM interactions, constructs expressing the HeV F TM with limited flanking sequences were synthesized. Coexpression of these constructs with HeV F resulted in dramatic reductions in the stability of F protein expression and fusion activity. In contrast, no effects were observed when the HeV F TM constructs were coexpressed with the nonhomologous parainfluenza virus 5 (PIV5) fusion protein, indicating a requirement for specific interactions. To further examine this, a TM peptide homologous to the PIV5 F TM domain was synthesized. Addition of the peptide prior to infection inhibited infection with PIV5 but did not significantly affect infection with human metapneumovirus, a related virus. These results indicate that targeted disruption of TM-TM interactions significantly impact viral fusion protein stability and function, presenting these interactions as a novel target for antiviral development. IMPORTANCE Enveloped viruses require virus-cell membrane fusion to release the viral genome and replicate. The viral fusion protein triggers from the pre- to the postfusion conformation, an essentially irreversible change, to drive membrane fusion. We found that small proteins containing the TM and a limited flanking region homologous to the fusion protein of the zoonotic Hendra virus reduced protein expression and fusion activity. The introduction of exogenous TM peptides may displace a TM domain, disrupting native TM-TM interactions and globally destabilizing the fusion protein. Supporting this hypothesis, we showed that a sequence-specific transmembrane peptide dramatically reduced viral infection in another enveloped virus model, suggesting a broader inhibitory mechanism. Viral fusion protein TM-TM interactions are important for protein function, and disruption of these interactions dramatically reduces protein stability.</t>
  </si>
  <si>
    <t xml:space="preserve">[Barrett, Chelsea T.; Webb, Stacy R.; Dutch, Rebecca Ellis] Univ Kentucky, Dept Mol &amp; Cellular Biochem, Lexington, KY 40506 USA</t>
  </si>
  <si>
    <t xml:space="preserve">NIAID [R01AI051517]; NIH [2P20 RR02017]; NRSA [F31 AI120653]</t>
  </si>
  <si>
    <t xml:space="preserve">NIAID(United States Department of Health &amp; Human ServicesNational Institutes of Health (NIH) - USANIH National Institute of Allergy &amp; Infectious Diseases (NIAID)); NIH(United States Department of Health &amp; Human ServicesNational Institutes of Health (NIH) - USA); NRSA(United States Department of Health &amp; Human ServicesNational Institutes of Health (NIH) - USA)</t>
  </si>
  <si>
    <t xml:space="preserve">This work was supported by NIAID grant R01AI051517 and NIH grant 2P20 RR02017 to R.E.D. and an NRSA grant (F31 AI120653) to S.R.W.</t>
  </si>
  <si>
    <t xml:space="preserve">e00863-19</t>
  </si>
  <si>
    <t xml:space="preserve">10.1128/JVI.00863-19</t>
  </si>
  <si>
    <t xml:space="preserve">IQ4HQ</t>
  </si>
  <si>
    <t xml:space="preserve">WOS:000480712100022</t>
  </si>
  <si>
    <t xml:space="preserve">Takata, M; Nakamoto, M; Kitaura, T; Okada, K; Tsuneki-Tokunaga, A; Yamasaki, A; Kageyama, S; Burioka, N; Chikumi, H</t>
  </si>
  <si>
    <t xml:space="preserve">Takata, Miyako; Nakamoto, Masaki; Kitaura, Tsuyoshi; Okada, Kensaku; Tsuneki-Tokunaga, Akeno; Yamasaki, Akira; Kageyama, Seiji; Burioka, Naoto; Chikumi, Hiroki</t>
  </si>
  <si>
    <t xml:space="preserve">Rapid Multiplex RT-PCR for Influenza A and B by Genesoc®, a Microfluidic PCR System</t>
  </si>
  <si>
    <t xml:space="preserve">YONAGO ACTA MEDICA</t>
  </si>
  <si>
    <t xml:space="preserve">antigen detection test; GeneSoC (R); influenza A; influenza B; realtime-PCR</t>
  </si>
  <si>
    <t xml:space="preserve">Background Rapid antigen tests are widely used to diagnose influenza. However, despite their simplicity and short turnover time, the sensitivity of these tests is relatively low, and molecular tests with greater sensitivity are being sought. In this study, we developed and clinically evaluated a protocol for the rapid multiplex testing of influenza A and B, using a rapid real-time PCR system, GeneSoC (R), that is based on microfluidic thermal cycling technology.Methods The specificity of the developed assay was validated using cultured viral strains of influenza A/ B, human metapneumovirus, and respiratory syncytial virus. Analytical sensitivity was evaluated using serially diluted RNA synthesized via in vitro transcription and nasopharyngeal swab samples collected from consecutive patients seeking medical attention for a combination of upper respiratory and general symptoms. Cross validation of GeneSoC (R) based on comparisons with conventional real-time RT-PCR and rapid antigen tests was performed by parallel testing of influenza-positive clinical specimens.Results The GeneSoC (R) assay detected the target sequences of influenza A and B at minimum concentrations of 38 and 65 copies/mu L in reaction, respectively. For the analysis of clinical specimens, the positive, negative, and overall agreement between GeneSoC (R) RT-PCR and a conventional real-time RT-PCR was in all cases 100%, whereas for the comparison between GeneSoC (R) RT-PCR and the rapid antigen test, the agreements for positive, negative, and overall findings were 100%, 90.9%, and 95.7%, respectively. The mean time for completing GeneSoC (R) RT-PCR was 16 min 29 s (95% confidence interval, 16 min 18 s to 16 min 39 s).Conclusion The microfluidic real-time PCR system, GeneSoC (R), has an analytical performance comparable to that of conventional real-time RT-PCR with rapid turnover time, and represents a promising alternative to rapid antigen tests for diagnosing influenza A and B.</t>
  </si>
  <si>
    <t xml:space="preserve">[Takata, Miyako; Burioka, Naoto] Tottori Univ, Fac Med, Grad Sch Med Sci, Sch Hlth Sci,Dept Pathobiol Sci &amp; Technol, Yonago 6838503, Japan; [Nakamoto, Masaki; Kitaura, Tsuyoshi; Okada, Kensaku; Chikumi, Hiroki] Tottori Univ, Fac Med, Sch Med, Div Infect Dis, Yonago 6838503, Japan; [Tsuneki-Tokunaga, Akeno; Kageyama, Seiji] Tottori Univ, Fac Med, Sch Med, Dept Microbiol &amp; Immunol,Div Virol, Yonago 6838503, Japan; [Yamasaki, Akira] Tottori Univ, Fac Med, Dept Multidisciplinary Internal Med, Div Resp Med &amp; Rheumatol,Sch Med, Yonago 6838503, Japan</t>
  </si>
  <si>
    <t xml:space="preserve">Tottori University; Tottori University; Tottori University; Tottori University</t>
  </si>
  <si>
    <t xml:space="preserve">Chikumi, H (corresponding author), Tottori Univ, Fac Med, Sch Med, Div Infect Dis, Yonago 6838503, Japan.</t>
  </si>
  <si>
    <t xml:space="preserve">chikumi@tottori-u.ac.jp</t>
  </si>
  <si>
    <t xml:space="preserve">TOTTORI UNIV MEDICAL PRESS</t>
  </si>
  <si>
    <t xml:space="preserve">YONAGO</t>
  </si>
  <si>
    <t xml:space="preserve">86 NISHI-CHO, YONAGO, TOTTORI-KEN 683-8503, JAPAN</t>
  </si>
  <si>
    <t xml:space="preserve">0513-5710</t>
  </si>
  <si>
    <t xml:space="preserve">1346-8049</t>
  </si>
  <si>
    <t xml:space="preserve">YONAGO ACTA MED</t>
  </si>
  <si>
    <t xml:space="preserve">Yonago Acta Med.</t>
  </si>
  <si>
    <t xml:space="preserve">10.33160/yam.2023.05.007</t>
  </si>
  <si>
    <t xml:space="preserve">W6GQ3</t>
  </si>
  <si>
    <t xml:space="preserve">WOS:001092594700005</t>
  </si>
  <si>
    <t xml:space="preserve">Ramocha, LM; van den Hoogen, BG; Baillie, V; van Nieuwkoop, S; Cutland, CL; Jones, S; Moultrie, A; Izu, A; Verwey, C; Madhi, SA; Dorfman, JR</t>
  </si>
  <si>
    <t xml:space="preserve">Ramocha, Lesego M.; van den Hoogen, Bernadette G.; Baillie, Vicky; van Nieuwkoop, Stefan; Cutland, Clare L.; Jones, Stephanie; Moultrie, Andrew; Izu, Alane; Verwey, Charl; Madhi, Shabir A.; Dorfman, Jeffrey R.</t>
  </si>
  <si>
    <t xml:space="preserve">Fetal Transfer of Human Metapneumovirus-Neutralizing Antibodies Is Reduced From Mothers Living With HIV-1</t>
  </si>
  <si>
    <t xml:space="preserve">antibody transfer; HIV-1; HIV-1 exposure; human metapneumovirus; neutralizing antibodies</t>
  </si>
  <si>
    <t xml:space="preserve">CHILDREN; HOSPITALIZATION; REDUCTION; BURDEN</t>
  </si>
  <si>
    <t xml:space="preserve">Transplacental hMPV-neutralizing antibody transfer was reduced from mothers living with HIV-1. However, a comparison of antibody titers at birth between hMPV hospitalization cases at &lt;6 months and matched controls suggested that reduced maternal antibody might not be the primary cause of the previously reported elevated hMPV risk in HIV-1-exposed infants.</t>
  </si>
  <si>
    <t xml:space="preserve">[Ramocha, Lesego M.; Baillie, Vicky; Jones, Stephanie; Moultrie, Andrew; Izu, Alane; Verwey, Charl; Madhi, Shabir A.; Dorfman, Jeffrey R.] Univ Witwatersrand, Fac Hlth Sci, South African Med Res Council, Vaccines &amp; Infect Dis Analyt Res Unit, Johannesburg, South Africa; [Ramocha, Lesego M.; Baillie, Vicky; Jones, Stephanie; Moultrie, Andrew; Izu, Alane; Madhi, Shabir A.; Dorfman, Jeffrey R.] Univ Witwatersrand, Natl Res Fdn Vaccine Preventable Dis, Fac Hlth Sci, Dept Sci, Johannesburg, South Africa; [van den Hoogen, Bernadette G.; van Nieuwkoop, Stefan] Erasmus MC, Dept Virosci, Rotterdam, Netherlands; [Baillie, Vicky; Cutland, Clare L.; Izu, Alane; Madhi, Shabir A.; Dorfman, Jeffrey R.] Univ Witwatersrand, Fac Hlth Sci, African Leadership Vaccinol Expertise ALIVE, Johannesburg, South Africa; [Verwey, Charl] Univ Witwatersrand, Fac Hlth Sci, Dept Pediat &amp; Child Hlth, Johannesburg, South Africa; [Dorfman, Jeffrey R.] Stellenbosch Univ, Dept Pathol, Div Med Virol, Cape Town, South Africa</t>
  </si>
  <si>
    <t xml:space="preserve">University of Witwatersrand; South African Medical Research Council; National Research Foundation - South Africa; University of Witwatersrand; Erasmus University Rotterdam; Erasmus MC; University of Witwatersrand; University of Witwatersrand; University of Cape Town; Stellenbosch University</t>
  </si>
  <si>
    <t xml:space="preserve">Dorfman, JR (corresponding author), Stellenbosch Univ, Fac Hlth Sci &amp; Med, Div Med Virol, Francie Van Zijl Ave, ZA-7505 Cape Town, South Africa.</t>
  </si>
  <si>
    <t xml:space="preserve">dorfman@sun.ac.za</t>
  </si>
  <si>
    <t xml:space="preserve">Verwey, Charl/K-7183-2019; Baillie, Vicky/LJL-0428-2024; Dorfman, Jeffrey/B-4854-2011; Cutland, Clare/JCD-8654-2023</t>
  </si>
  <si>
    <t xml:space="preserve">Madhi, Shabir/0000-0002-7629-0636; Dorfman, Jeffrey/0000-0001-9938-8911; Moultrie, Andrew/0000-0002-8222-4168; Cutland, Clare/0000-0001-8250-8307</t>
  </si>
  <si>
    <t xml:space="preserve">South African Research Chairs Initiative of the Department of Science and Innovation/National Research Foundation; South African Medical Research Council; National Research Foundation of South Africa</t>
  </si>
  <si>
    <t xml:space="preserve">South African Research Chairs Initiative of the Department of Science and Innovation/National Research Foundation; South African Medical Research Council(South African Medical Research CouncilUK Research &amp; Innovation (UKRI)Medical Research Council UK (MRC)); National Research Foundation of South Africa(National Research Foundation - South Africa)</t>
  </si>
  <si>
    <t xml:space="preserve">This work was partially supported by the South African Research Chairs Initiative of the Department of Science and Innovation/National Research Foundation, the South African Medical Research Council, and the National Research Foundation of South Africa.</t>
  </si>
  <si>
    <t xml:space="preserve">JUL 21</t>
  </si>
  <si>
    <t xml:space="preserve">10.1093/jpids/piac018</t>
  </si>
  <si>
    <t xml:space="preserve">3C7QL</t>
  </si>
  <si>
    <t xml:space="preserve">WOS:000785706900001</t>
  </si>
  <si>
    <t xml:space="preserve">Park, WJ</t>
  </si>
  <si>
    <t xml:space="preserve">Park, Won-Ju</t>
  </si>
  <si>
    <t xml:space="preserve">Seroprevalence of Respiratory Syncytial Virus IgG among Healthy Young Adults in Basic Training for the Republic of Korea Air Force</t>
  </si>
  <si>
    <t xml:space="preserve">Antibodies; Military Facilities; Military Personnel; Respiratory Syncytial Virus Infections</t>
  </si>
  <si>
    <t xml:space="preserve">HUMAN METAPNEUMOVIRUS; INFECTION; ANTIBODIES; ILLNESS; INFANTS; RISK</t>
  </si>
  <si>
    <t xml:space="preserve">This investigation enrolled 570 healthy young males gathered from all over the country for military service at the Republic of Korea Air Force boot camp. It confirmed RSV IgG seroprevalence by utilizing the enzyme immunoassay method just prior to undergoing basic training. The mean age of this study was 20.25 +/- 1.34 yr old. The results of their immunoassay seroprofiles showed that 561 men (98.4%) were positive, 2 (0.4%) were negative and 7 (1.2%) were equivocal belonging to the grey zone. It was confirmed that RSV is a common respiratory virus and RSV infection was encountered by almost all people before reaching adulthood in Korea. Nine basic trainees belonging to the RSV IgG negative and equivocal grey zone categories were prospectively observed for any particular vulnerability to respiratory infection during the training period of two months. However, these nine men completed their basic training without developing any specific respiratory illness.</t>
  </si>
  <si>
    <t xml:space="preserve">[Park, Won-Ju] Chonnam Natl Univ, Dept Occupat &amp; Environm Med, Hwasun Hosp, Hwasun, South Korea; [Park, Won-Ju] Republ Korea Air Force, Dept Occupat &amp; Environm Med, Aerosp Med Res Ctr, Cheongwon, South Korea</t>
  </si>
  <si>
    <t xml:space="preserve">Chonnam National University</t>
  </si>
  <si>
    <t xml:space="preserve">Park, WJ (corresponding author), Chonnam Natl Univ, Dept Occupat &amp; Environm Med, Hwasun Hosp, 322 Seoyang Ro, Hwasun Gun 519763, Jeollanam Do, South Korea.</t>
  </si>
  <si>
    <t xml:space="preserve">luvoem@gmail.com</t>
  </si>
  <si>
    <t xml:space="preserve">Park, Won-Ju/0000-0002-1081-9840</t>
  </si>
  <si>
    <t xml:space="preserve">Korean Military Medical Research Project - ROK Ministry of National Defense [ROK-MND-2012-KMMRP-010]</t>
  </si>
  <si>
    <t xml:space="preserve">Korean Military Medical Research Project - ROK Ministry of National Defense</t>
  </si>
  <si>
    <t xml:space="preserve">This research was supported by the Korean Military Medical Research Project funded by the ROK Ministry of National Defense (ROK-MND-2012-KMMRP-010).</t>
  </si>
  <si>
    <t xml:space="preserve">10.3346/jkms.2014.29.9.1325</t>
  </si>
  <si>
    <t xml:space="preserve">AS5PG</t>
  </si>
  <si>
    <t xml:space="preserve">Green Accepted, Green Submitted, Green Published, gold</t>
  </si>
  <si>
    <t xml:space="preserve">WOS:000344321800023</t>
  </si>
  <si>
    <t xml:space="preserve">Jadhao, SJ; Ha, B; McCracken, C; Gebretsadik, T; Rosas-Salazar, C; Chappell, J; Das, S; Hartert, T; Anderson, LJ</t>
  </si>
  <si>
    <t xml:space="preserve">Jadhao, Samadhan J.; Ha, Binh; McCracken, Courtney; Gebretsadik, Tebeb; Rosas-Salazar, Christian; Chappell, James; Das, Suman; Hartert, Tina; Anderson, Larry J.</t>
  </si>
  <si>
    <t xml:space="preserve">Performance evaluation of antibody tests for detecting infant respiratory syncytial virus infection</t>
  </si>
  <si>
    <t xml:space="preserve">antibodies; infant; infection; respiratory syncytial virus</t>
  </si>
  <si>
    <t xml:space="preserve">YOUNG-CHILDREN; HUMAN METAPNEUMOVIRUS; IMMUNOGLOBULIN-G; RISK; AGE; SERUM; SEROPREVALENCE; RESPONSES; GLOBULIN; PROTEINS</t>
  </si>
  <si>
    <t xml:space="preserve">Respiratory syncytial virus (RSV) infection is a major cause of respiratory tract disease in young children and throughout life. Infant infection is also associated with later respiratory morbidity including asthma. With a prospective birth cohort study of RSV and asthma, we evaluated the performance of an RSV antibody enzyme-linked immunoassay (EIA) for detecting prior infant RSV infection. Infant RSV infection was determined by biweekly respiratory illness surveillance plus RSV polymerase chain reaction (PCR) testing in their first RSV season and serum RSV antibodies after the season at approximately 1 year of age. RSV antibodies were detected by RSV A and B lysate EIA. Antibody and PCR results on 1707 children included 327 RSV PCR positive (PCR+) and 1380 not RSV+. Of 327 PCR+ children, 314 (96%) were lysate EIA positive and 583 out of 1380 (42%) children not PCR+ were positive. We compared the lysate EIA to RSV F, group A G (Ga), and group B G (Gb) protein antibody EIAs in a subset of 226 sera, 118 PCR+ children (97 group A and 21 group B) and 108 not PCR+. In this subset, 117 out of 118 (99%) RSV PCR+ children were positive by both the F and lysate EIAs and 103 out of 118 (87%) were positive by the Ga and/or Gb EIAs. Comparison of the two G EIAs indicated the infecting group correctly in 100 out of 118 (86%) and incorrectly in 1 out of 118 (1%). The lysate and F EIAs are sensitive for detecting infant infection and the two G EIAs can indicate the group of an earlier primary infection.</t>
  </si>
  <si>
    <t xml:space="preserve">[Jadhao, Samadhan J.; Ha, Binh; McCracken, Courtney; Anderson, Larry J.] Emory Univ, Dept Pediat, Atlanta, GA 30322 USA; [Jadhao, Samadhan J.; Ha, Binh; McCracken, Courtney; Anderson, Larry J.] Childrens Healthcare Atlanta, Atlanta, GA USA; [Gebretsadik, Tebeb; Rosas-Salazar, Christian; Chappell, James; Das, Suman; Hartert, Tina] Vanderbilt Univ, Sch Med, Dept Med Biostat &amp; Pathol, Nashville, TN 37212 USA</t>
  </si>
  <si>
    <t xml:space="preserve">Emory University; Children's Healthcare of Atlanta (CHOA); Vanderbilt University</t>
  </si>
  <si>
    <t xml:space="preserve">Anderson, LJ (corresponding author), Emory Childrens Ctr, 2015 Upper Gate Dr, Atlanta, GA 30322 USA.</t>
  </si>
  <si>
    <t xml:space="preserve">Larry.anderson@emory.edu</t>
  </si>
  <si>
    <t xml:space="preserve">Gebretsadik, Tebeb/KUC-9494-2024; Das, Suman/KGM-7470-2024; Rosas-Salazar, Christian/AAC-8571-2021</t>
  </si>
  <si>
    <t xml:space="preserve">Rosas-Salazar, Christian/0000-0001-6644-5780; Das, Suman/0000-0003-2496-9724; Gebretsadik, Tebeb/0000-0003-4548-3010</t>
  </si>
  <si>
    <t xml:space="preserve">National Institute of Health, Bethesda, MD, USA [U19 AI 095227]</t>
  </si>
  <si>
    <t xml:space="preserve">National Institute of Health, Bethesda, MD, USA(United States Department of Health &amp; Human ServicesNational Institutes of Health (NIH) - USA)</t>
  </si>
  <si>
    <t xml:space="preserve">Research funding was through U19 AI 095227 grant by National Institute of Health, Bethesda, MD, USA. Emory University, Atlanta, GA provided the laboratory research facilities.</t>
  </si>
  <si>
    <t xml:space="preserve">10.1002/jmv.26736</t>
  </si>
  <si>
    <t xml:space="preserve">WOS:000603134100001</t>
  </si>
  <si>
    <t xml:space="preserve">Hayashida, S; Nagano, N; Morohashi, T; Momoki, E; Nezu, K; Shimozawa, K; Ishii, W; Okahashi, A; Morioka, I</t>
  </si>
  <si>
    <t xml:space="preserve">Hayashida, Shingo; Nagano, Nobuhiko; Morohashi, Tamaki; Momoki, Emiko; Nezu, Keiko; Shimozawa, Katsuyoshi; Ishii, Wakako; Okahashi, Aya; Morioka, Ichiro</t>
  </si>
  <si>
    <t xml:space="preserve">Clinical factors associated with extended hospitalization in pediatric patients ≥3 years of age with respiratory syncytial virus or human metapneumovirus infection: A Japanese single-center, retrospective study</t>
  </si>
  <si>
    <t xml:space="preserve">antibiotics; clinical risk factor; co-bacterial colonization; hospitalization; pediatric patient; underlying disease</t>
  </si>
  <si>
    <t xml:space="preserve">YOUNG-CHILDREN; RISK-FACTORS; DISEASE; BURDEN; SEVERITY; INFANTS</t>
  </si>
  <si>
    <t xml:space="preserve">Respiratory syncytial virus (RSV) and human metapneumovirus (hMPV) infections are common in children worldwide. However, the clinical factors related to extended hospitalization in Japanese patients aged &gt;= 3 years remain elusive. We aimed to elucidate the clinical risk factors contributing to hospital stays &gt;= 7 days in patients with RSV and hMPV infections. Patients &gt;= 3 years of age who were hospitalized due to RSV or hMPV infection between 2014 to 2020 were included. Twenty-one RSV- and 27 hMPV-infected patients were enrolled. Patients were divided into 2 groups: hospitalization for &gt;= and &lt;7 days. Univariate and multivariate analyses determined the clinical risk factors contributing to hospital stay &gt;= 7 days. The RSV- and hMPV-infected patients had similar clinical characteristics. The clinical risk factors contributing to extended hospitalization were analyzed in the 48 infected patients of the 2 groups. The presence of prophylactic antibiotics usage, co-bacterial colonization, and underlying diseases were extracted by univariate analysis (P&lt;.05). In multivariate analysis, underlying diseases were determined as an independent clinical risk factor (odds ratio 8.09, P=.005). Underlying diseases contributed to extended hospitalization in RSV- or hMPV-infected patients &gt;= 3 years of age.</t>
  </si>
  <si>
    <t xml:space="preserve">[Hayashida, Shingo; Nagano, Nobuhiko; Morohashi, Tamaki; Momoki, Emiko; Nezu, Keiko; Shimozawa, Katsuyoshi; Ishii, Wakako; Okahashi, Aya; Morioka, Ichiro] Nihon Univ, Dept Pediat &amp; Child Hlth, Sch Med, 30-1,Oyaguchi,Kami cho,Itabashi ku, Tokyo 1738610, Japan</t>
  </si>
  <si>
    <t xml:space="preserve">Nihon University</t>
  </si>
  <si>
    <t xml:space="preserve">Morioka, I (corresponding author), Nihon Univ, Dept Pediat &amp; Child Hlth, Sch Med, 30-1,Oyaguchi,Kami cho,Itabashi ku, Tokyo 1738610, Japan.</t>
  </si>
  <si>
    <t xml:space="preserve">hayashida.shingo@nihon-u.ac.jp; nagano.nobuhiko@nihon-u.ac.jp; morohashi.tamaki@nihon-u.ac.jp; momoki.emiko@nihon-u.ac.jp; kawauso@love.email.ne.jp; shimozawa.katsuyoshi@nihon-u.ac.jp; ishii.wakako@nihon-u.ac.jp; okahashi.aya@nihon-u.ac.jp; morioka.ichiro@nihon-u.ac.jp</t>
  </si>
  <si>
    <r>
      <rPr>
        <sz val="10"/>
        <rFont val="Arial"/>
        <family val="0"/>
        <charset val="1"/>
      </rPr>
      <t xml:space="preserve">Nagano, Nobuhiko/GNM-8267-2022; </t>
    </r>
    <r>
      <rPr>
        <sz val="10"/>
        <rFont val="Noto Sans CJK SC"/>
        <family val="2"/>
        <charset val="1"/>
      </rPr>
      <t xml:space="preserve">モロハシ</t>
    </r>
    <r>
      <rPr>
        <sz val="10"/>
        <rFont val="Arial"/>
        <family val="0"/>
        <charset val="1"/>
      </rPr>
      <t xml:space="preserve">, </t>
    </r>
    <r>
      <rPr>
        <sz val="10"/>
        <rFont val="Noto Sans CJK SC"/>
        <family val="2"/>
        <charset val="1"/>
      </rPr>
      <t xml:space="preserve">タマキ</t>
    </r>
    <r>
      <rPr>
        <sz val="10"/>
        <rFont val="Arial"/>
        <family val="0"/>
        <charset val="1"/>
      </rPr>
      <t xml:space="preserve">/IST-2002-2023</t>
    </r>
  </si>
  <si>
    <t xml:space="preserve">Morioka, Ichiro/0000-0002-5685-2670</t>
  </si>
  <si>
    <t xml:space="preserve">Nihon University; JSPS KAKENHI [23K06265]</t>
  </si>
  <si>
    <t xml:space="preserve">Nihon University; JSPS KAKENHI(Ministry of Education, Culture, Sports, Science and Technology, Japan (MEXT)Japan Society for the Promotion of ScienceGrants-in-Aid for Scientific Research (KAKENHI))</t>
  </si>
  <si>
    <t xml:space="preserve">This study was partially supported by Nihon University Research Grant for 2022 and the Grants-in-Aid for Scientific Research (C) of JSPS KAKENHI (grant number: 23K06265).</t>
  </si>
  <si>
    <t xml:space="preserve">OCT 20</t>
  </si>
  <si>
    <t xml:space="preserve">e35565</t>
  </si>
  <si>
    <t xml:space="preserve">10.1097/MD.0000000000035565</t>
  </si>
  <si>
    <t xml:space="preserve">EQ9H1</t>
  </si>
  <si>
    <t xml:space="preserve">WOS:001140501600076</t>
  </si>
  <si>
    <t xml:space="preserve">de Zwart, AES; Riezebos-Brilman, A; Alffenaar, JWC; van den Heuvel, ER; Gan, CT; van der Bij, W; Kerstjens, HAM; Verschuuren, EAM</t>
  </si>
  <si>
    <t xml:space="preserve">de Zwart, Auke E. S.; Riezebos-Brilman, Annelies; Alffenaar, Jan-Willem C.; van den Heuvel, Edwin R.; Gan, Christiaan Tji; van der Bij, Wim; Kerstjens, Huib A. M.; Verschuuren, Erik A. M.</t>
  </si>
  <si>
    <t xml:space="preserve">Evaluation of 10 years of parainfluenza virus, human metapneumovirus, and respiratory syncytial virus infections in lung transplant recipients</t>
  </si>
  <si>
    <t xml:space="preserve">antibiotic; antiviral; clinical research; practice; infection and infectious agents - viral; infectious disease; lung (allograft) function; dysfunction; lung transplantation; pulmonology</t>
  </si>
  <si>
    <t xml:space="preserve">VIRAL-INFECTIONS; ORAL RIBAVIRIN; IN-VITRO; OUTCOMES; EPIDEMIOLOGY; REPLICATION; INHIBITION; EFFICACY; RISK</t>
  </si>
  <si>
    <t xml:space="preserve">Respiratory tract infection with pneumoviruses (PVs) and paramyxoviruses (PMVs) are increasingly associated with chronic lung allograft dysfunction (CLAD) in lung transplant recipients (LTRs). Ribavirin may be a treatment option but its effectiveness is unclear, especially with respect to infection severity. We retrospectively analyzed 10 years of PV/PMV infections in LTRs. The main end points were forced expiratory volume in 1 second (FEV1) at 3 and 6 months postinfection, expressed as a percentage of pre-infection FEV(1)and incidence of new or progressed CLAD 6 months postinfection. A total of 139 infections were included: 88 severe infections (63%) (defined as &gt;10% FEV(1)loss at infection) and 51 mild infections (37%) (&lt;= 10% FEV(1)loss). Overall postinfection CLAD incidence was 20%. Associations were estimated on postinfection FEV(1)for ribavirin vs no ribavirin (+13.2% [95% CI: 7.79; 18.67]) and severe vs mild infection (-11.1% [95% CI: -14.76; -7.37]). Factors associated with CLAD incidence at 6 months were ribavirin treatment (odds ratio (OR [95% CI]) 0.24 [0.10; 0.59]), severe infection (OR [95% CI] 4.63 [1.66; 12.88]), and mycophenolate mofetil use (OR [95% CI] 0.38 [0.14; 0.97]). These data provide valuable information about the outcomes of lung transplant recipients with these infections and suggests possible associations of ribavirin use and infection severity with long-term outcomes. Well-designed prospective trials are needed to confirm these findings.</t>
  </si>
  <si>
    <t xml:space="preserve">[de Zwart, Auke E. S.; Gan, Christiaan Tji; van der Bij, Wim; Kerstjens, Huib A. M.; Verschuuren, Erik A. M.] Univ Groningen, Univ Med Ctr Groningen, Dept Pulm Dis &amp; TB, Groningen, Netherlands; [Riezebos-Brilman, Annelies] Univ Utrecht, Univ Med Ctr Utrecht, Dept Med Microbiol, Utrecht, Netherlands; [Riezebos-Brilman, Annelies] Univ Groningen, Univ Med Ctr Groningen, Dept Med Microbiol, Groningen, Netherlands; [Alffenaar, Jan-Willem C.] Univ Groningen, Univ Med Ctr Groningen, Dept Clin Pharm &amp; Pharmacol, Groningen, Netherlands; [Alffenaar, Jan-Willem C.] Univ Sydney, Fac Med &amp; Hlth, Sch Pharm, Sydney, NSW, Australia; [Alffenaar, Jan-Willem C.] Westmead Hosp, Sydney, NSW, Australia; [Alffenaar, Jan-Willem C.] Marie Bashir Inst Infect Dis &amp; Biosecur, Sydney, NSW, Australia; [van den Heuvel, Edwin R.] Eindhoven Univ Technol, Dept Math &amp; Comp Sci, Eindhoven, Netherlands</t>
  </si>
  <si>
    <t xml:space="preserve">University of Groningen; Utrecht University; Utrecht University Medical Center; University of Groningen; University of Groningen; University of Sydney; NSW Health; Westmead Hospital; University of Sydney; Eindhoven University of Technology</t>
  </si>
  <si>
    <t xml:space="preserve">de Zwart, AES (corresponding author), Univ Groningen, Univ Med Ctr Groningen, Dept Pulm Dis &amp; TB, Groningen, Netherlands.</t>
  </si>
  <si>
    <t xml:space="preserve">a.e.s.de.zwart@umcg.nl</t>
  </si>
  <si>
    <t xml:space="preserve">Alffenaar, Jan-Willem/AFV-0554-2022; Van den Heuvel, Edwin/C-5166-2013</t>
  </si>
  <si>
    <t xml:space="preserve">Kerstjens, Huib/0000-0001-7705-7927; de Zwart, Auke/0000-0003-0201-8178; Verschuuren, Erik/0000-0002-6807-6744; Gan, Tji/0000-0002-1310-4189</t>
  </si>
  <si>
    <t xml:space="preserve">10.1111/ajt.16073</t>
  </si>
  <si>
    <t xml:space="preserve">PA0RP</t>
  </si>
  <si>
    <t xml:space="preserve">WOS:000544365900001</t>
  </si>
  <si>
    <t xml:space="preserve">Goriacko, P; Saiman, L; Zachariah, P</t>
  </si>
  <si>
    <t xml:space="preserve">Goriacko, Pavel; Saiman, Lisa; Zachariah, Philip</t>
  </si>
  <si>
    <t xml:space="preserve">Antibiotic Use in Hospitalized Children With Respiratory Viruses Detected by Multiplex Polymerase Chain Reaction</t>
  </si>
  <si>
    <t xml:space="preserve">antibiotic use; hospitalized children; respiratory viruses; multiplex polymerase chain reaction</t>
  </si>
  <si>
    <t xml:space="preserve">BACTERIAL COINFECTION; PEDIATRIC INPATIENTS; RESOURCE UTILIZATION; BRONCHIOLITIS; PANEL; MANAGEMENT; GUIDELINE; IMPACT</t>
  </si>
  <si>
    <t xml:space="preserve">Background: Multiplex polymerase chain reaction-based methods are increasingly used to detect respiratory pathogens in children. While rapid identification of viruses has been shown to reduce antibiotic use, the impact of detecting specific viruses on antibiotic utilization has not been ascertained. This study compared antibiotic utilization among hospitalized children who tested positive for different respiratory viruses at admission. Methods: A single-center study of hospitalized children under 21 years of age who tested positive at admission for at least 1 respiratory virus by multiplex polymerase chain reaction from October 1, 2012 to October 1, 2015 was performed. Multivariable logistic regression was used to determine the association of testing positive for specific viruses with the use of antibiotics for &gt;= 2 days, adjusted for demographic and clinical characteristics. Results: The study included 1416 patients with a median age of 2.1 years (interquartile range: 0.6-6.2 years). Patients positive for influenza (odds ratio: 2.0, 95% confidence interval: 1.1-3.4) and human metapneumovirus (odds ratio: 2.0, 95% confidence interval: 1.1-3.7) were more likely to receive &gt;= 2 days of treatment compared with patients positive for respiratory syncytial virus (RSV). Other variables affecting prolonged use of antibiotics included respiratory support, primary nonrespiratory diagnosis, complex comorbid conditions and admission to the intensive care unit. Conclusions: Providers are more likely to use antibiotics in non-RSV-infected patients compared with RSV. These trends likely represent concern about bacterial superinfection and may reflect lack of familiarity with these pathogens.</t>
  </si>
  <si>
    <t xml:space="preserve">[Goriacko, Pavel] Montefiore Med Ctr, Dept Pharm, 111 E 210th St, Bronx, NY 10467 USA; [Saiman, Lisa; Zachariah, Philip] Columbia Univ, Dept Pediat, Med Ctr, New York, NY 10027 USA; [Saiman, Lisa; Zachariah, Philip] New York Presbyterian Morgan Stanley Childrens Ho, Dept Infect Prevent &amp; Control, New York, NY USA</t>
  </si>
  <si>
    <t xml:space="preserve">Montefiore Medical Center; Albert Einstein College of Medicine; Columbia University; NewYork-Presbyterian Hospital; Morgan Stanley Children's Hospital</t>
  </si>
  <si>
    <t xml:space="preserve">Goriacko, P (corresponding author), Montefiore Med Ctr, Dept Pharm, Crit Care, 111 E 210th St, Bronx, NY 10467 USA.</t>
  </si>
  <si>
    <t xml:space="preserve">pgoriack@montefiore.org</t>
  </si>
  <si>
    <t xml:space="preserve">Goriacko, Pavel/M-2580-2019</t>
  </si>
  <si>
    <t xml:space="preserve">Goriacko, Pavel/0000-0001-6875-3082</t>
  </si>
  <si>
    <t xml:space="preserve">10.1097/INF.0000000000001775</t>
  </si>
  <si>
    <t xml:space="preserve">GH2LJ</t>
  </si>
  <si>
    <t xml:space="preserve">WOS:000433233100021</t>
  </si>
  <si>
    <t xml:space="preserve">Sinaniotis, CA; Sinaniotis, AC</t>
  </si>
  <si>
    <t xml:space="preserve">Community-acquired pneumonia in children</t>
  </si>
  <si>
    <t xml:space="preserve">antibiotic resistance; community-acquired pneumonia; empyema; pneumococcal conjugate vaccine; pleural effusion; respiratory syncytial virus</t>
  </si>
  <si>
    <t xml:space="preserve">INVASIVE PNEUMOCOCCAL DISEASE; ACUTE RESPIRATORY SYNDROME; C-REACTIVE PROTEIN; HUMAN METAPNEUMOVIRUS; MYCOPLASMA-PNEUMONIAE; SERUM PROCALCITONIN; CONJUGATE VACCINE; VIRAL PNEUMONIA; INFECTIONS; BACTERIAL</t>
  </si>
  <si>
    <t xml:space="preserve">Purpose of review This review highlights recent developments in the diagnosis, etiology, therapy, and prevention of community-acquired pneumonia in children. Recent findings Sensitive new diagnostic methods have increased the detection rate of the causative agent up to 94% Streptococcus pneumoniae is the most prevalent bacterial pathogen in all ages. Polymerase chain reaction is a rapid and sensitive method for the detection of Chlamydia pneumoniae and Mycoplasma pneumoniae, which have gained greater importance in recent years. During the period covered by this review, two new agents causing pneumonia were extensively studied. Human metapneumonovirus detected in young children is a leading cause of respiratory disease during the first years of life. A novel coronavirus was identified as the causative agent of severe repiratory syndrome, a new respiratory illness that affects adults and children. One multicenter trial concluded that nonsevere pneumonia can be treated with a short course of oral amoxicillin or parenteral penicillin, but more data are needed to demonstrate the safety and efficacy of such regimens. Summary The continued evolution of bacterial resistance highlights the need for appropriate use of antibacterials. Improved diagnostic technique will aid the treatment of children with community-acquired pneumonia. Aggressive vaccination with the pneumococcal conjugate vaccine and other available vaccines as well as the development of new vaccines will aid the development of new vaccines will aid the prevention of respiratory disease in children.</t>
  </si>
  <si>
    <t xml:space="preserve">Univ Athens, Sch Med, A&amp;P Kyriakou Childrens Hosp, Dept Pediat 2, Athens 11527, Greece; Laikon Gen Hosp, Dept Allergy &amp; Clin Immunol, Athens, Greece</t>
  </si>
  <si>
    <t xml:space="preserve">Athens Medical School; National &amp; Kapodistrian University of Athens; Laiko General Hospital</t>
  </si>
  <si>
    <t xml:space="preserve">Univ Athens, Sch Med, A&amp;P Kyriakou Childrens Hosp, Dept Pediat 2, Athens 11527, Greece.</t>
  </si>
  <si>
    <t xml:space="preserve">konsinan@med.uoa.gr</t>
  </si>
  <si>
    <t xml:space="preserve">Sinaniotis, Athanasios/0009-0001-6213-6128</t>
  </si>
  <si>
    <t xml:space="preserve">10.1097/01.mcp.0000159831.82529.85</t>
  </si>
  <si>
    <t xml:space="preserve">919IW</t>
  </si>
  <si>
    <t xml:space="preserve">WOS:000228612700007</t>
  </si>
  <si>
    <t xml:space="preserve">Manuel, O; Estabrook, M</t>
  </si>
  <si>
    <t xml:space="preserve">Manuel, Oriol; Estabrook, Michele</t>
  </si>
  <si>
    <t xml:space="preserve">Amer Soc Transplantation Infect</t>
  </si>
  <si>
    <t xml:space="preserve">RNA respiratory viral infections in solid organ transplant recipients: Guidelines from the American Society of Transplantation Infectious Diseases Community of Practice</t>
  </si>
  <si>
    <t xml:space="preserve">CLINICAL TRANSPLANTATION</t>
  </si>
  <si>
    <t xml:space="preserve">antibiotic prophylaxis; antibiotic; antiviral; guidelines; infection and infectious agents; viral; influenza</t>
  </si>
  <si>
    <t xml:space="preserve">SYNCYTIAL VIRUS-INFECTION; INFLUENZA-A H1N1; HUMAN METAPNEUMOVIRUS; PALIVIZUMAB PROPHYLAXIS; BRONCHIOLITIS OBLITERANS; ADULT RECIPIENTS; ORAL OSELTAMIVIR; YOUNG-CHILDREN; DOUBLE-BLIND; LUNG</t>
  </si>
  <si>
    <t xml:space="preserve">These updated guidelines from the Infectious Diseases Community of Practice of the American Society of Transplantation review the diagnosis, prevention, and management of RNA respiratory viral infections in the pre- and post-transplant period. Viruses reviewed include influenza, respiratory syncytial virus (RSV), parainfluenza, rhinovirus, human metapneumovirus (hMPV), and coronavirus. Diagnosis is by nucleic acid testing due to improved sensitivity, specificity, broad range of detection of viral pathogens, automatization, and turnaround time. Respiratory viral infections may be associated with acute rejection and chronic lung allograft dysfunction in lung transplant recipients. The cornerstone of influenza prevention is annual vaccination and in some cases antiviral prophylaxis. Treatment with neuraminidase inhibitors and other antivirals is reviewed. Prevention of RSV is limited to prophylaxis with palivizumab in select children. Therapy of RSV upper or lower tract disease is controversial but may include oral or aerosolized ribavirin in some populations. There are no approved vaccines or licensed antivirals for parainfluenza, rhinovirus, hMPV, and coronavirus. Potential management strategies for these viruses are given. Future studies should include prospective trials using contemporary molecular diagnostics to understand the true epidemiology, clinical spectrum, and long-term consequences of respiratory viruses as well as to define preventative and therapeutic measures.</t>
  </si>
  <si>
    <t xml:space="preserve">[Manuel, Oriol] Univ Hosp, Infect Dis Serv, Lausanne, Switzerland; [Manuel, Oriol] Univ Hosp, Transplantat Ctr, Lausanne, Switzerland; [Manuel, Oriol] Univ Lausanne, Lausanne, Switzerland; [Estabrook, Michele] Washington Univ, Sch Med, Div Pediat Infect Dis, St Louis, MO USA</t>
  </si>
  <si>
    <t xml:space="preserve">University of Lausanne; Centre Hospitalier Universitaire Vaudois (CHUV); University of Lausanne; Centre Hospitalier Universitaire Vaudois (CHUV); University of Lausanne; Washington University (WUSTL)</t>
  </si>
  <si>
    <t xml:space="preserve">Manuel, O (corresponding author), Univ Hosp, Infect Dis Serv, Lausanne, Switzerland.;Manuel, O (corresponding author), Univ Hosp, Transplantat Ctr, Lausanne, Switzerland.;Manuel, O (corresponding author), Univ Lausanne, Lausanne, Switzerland.</t>
  </si>
  <si>
    <t xml:space="preserve">oriol.manuel@chuv.ch</t>
  </si>
  <si>
    <t xml:space="preserve">Manuel, Oriol/F-2978-2010</t>
  </si>
  <si>
    <t xml:space="preserve">0902-0063</t>
  </si>
  <si>
    <t xml:space="preserve">1399-0012</t>
  </si>
  <si>
    <t xml:space="preserve">CLIN TRANSPLANT</t>
  </si>
  <si>
    <t xml:space="preserve">Clin. Transplant.</t>
  </si>
  <si>
    <t xml:space="preserve">e13511</t>
  </si>
  <si>
    <t xml:space="preserve">10.1111/ctr.13511</t>
  </si>
  <si>
    <t xml:space="preserve">JD1UW</t>
  </si>
  <si>
    <t xml:space="preserve">WOS:000489762300031</t>
  </si>
  <si>
    <t xml:space="preserve">Ganly, KH; Bowyer, JC; Bird, PW; Willford, NJ; Shaw, J; Odedra, M; Osborn, G; Everett, T; Warner, M; Horne, S; Dinn, M; McMurray, CL; Holmes, CW; Koo, SSF; Tang, JWT</t>
  </si>
  <si>
    <t xml:space="preserve">Ganly, Katharine H.; Bowyer, James C.; Bird, Paul W.; Willford, Nicholas J.; Shaw, Jessica; Odedra, Mina; Osborn, Georgia; Everett, Tom; Warner, Matthew; Horne, Simon; Dinn, Michael; McMurray, Claire L.; Holmes, Christopher W.; Koo, Sharon S. F.; Tang, Julian Wei Tze</t>
  </si>
  <si>
    <t xml:space="preserve">Prospective Surveillance of Respiratory Infections in British Antarctic Survey Bases During the COVID-19 Pandemic</t>
  </si>
  <si>
    <t xml:space="preserve">Antarctic; SARS-CoV-2; imported; infection; personnel; respiratory virus; surveillance; symptomatic; transmission</t>
  </si>
  <si>
    <t xml:space="preserve">TRANSMISSION; SUSCEPTIBILITY; VIRUSES; STATION</t>
  </si>
  <si>
    <t xml:space="preserve">Weekly surveillance for respiratory viruses during the early COVID-19 pandemic in the 2020 Antarctic winter, in 2 British Antarctic Survey bases (Rothera and King Edward Point), revealed several different viruses, but no SARS-CoV-2, and no evidence of sustained onward transmission. Background The British Antarctic bases offer a semiclosed environment for assessing the transmission and persistence of seasonal respiratory viruses. Methods Weekly swabbing was performed for respiratory pathogen surveillance (including SARS-CoV-2), at 2 British Antarctic Survey bases, during 2020: King Edward Point (KEP, 30 June to 29 September, 9 participants, 124 swabs) and Rothera (9 May to 6 June, 27 participants, 127 swabs). Symptom questionnaires were collected for any newly symptomatic cases that presented during this weekly swabbing period. Results At KEP, swabs tested positive for non-SARS-CoV-2 seasonal coronavirus (2), adenovirus (1), parainfluenza 3 (1), and respiratory syncytial virus B (1). At Rothera, swabs tested positive for non-SARS-CoV-2 seasonal coronavirus (3), adenovirus (2), parainfluenza 4 (1), and human metapneumovirus (1). All bacterial agents identified were considered to be colonizers and not pathogenic. Conclusions At KEP, the timeline indicated that the parainfluenza 3 and adenovirus infections could have been linked to some of the symptomatic cases that presented. For the other viruses, the only other possible sources were the visiting ship crew members. At Rothera, the single symptomatic case presented too early for this to be linked to the subsequent viral detections, and the only other possible source could have been a single nonparticipating staff member.</t>
  </si>
  <si>
    <t xml:space="preserve">[Ganly, Katharine H.; Bowyer, James C.; Everett, Tom; Warner, Matthew; Horne, Simon; Dinn, Michael] Univ Hosp Plymouth NHS Trust, Emergency Dept, British Antarctic Survey Med Unit, Plymouth, Devon, England; [Bird, Paul W.; Willford, Nicholas J.; Shaw, Jessica; Odedra, Mina; Osborn, Georgia; McMurray, Claire L.; Holmes, Christopher W.; Koo, Sharon S. F.; Tang, Julian Wei Tze] Univ Hosp Leicester NHS Trust, Clin Microbiol, Leicester, Leics, England; [Tang, Julian Wei Tze] Univ Leicester, Resp Sci, Leicester, Leics, England</t>
  </si>
  <si>
    <t xml:space="preserve">University Hospitals of Leicester NHS Trust; University of Leicester; University of Leicester</t>
  </si>
  <si>
    <t xml:space="preserve">Tang, JWT (corresponding author), Leicester Royal Infirm, Clin Microbiol, 5-F Sandringham Bldg, Leicester LE1 5WW, Leics, England.</t>
  </si>
  <si>
    <t xml:space="preserve">, Julian W Tang/H-2348-2014; Horne, Simon/AAB-4064-2019; Ganly, Katharine/JRW-7401-2023</t>
  </si>
  <si>
    <t xml:space="preserve">Warner, Matthew/0009-0003-7184-3099; Holmes, Christopher/0000-0002-4765-9107</t>
  </si>
  <si>
    <t xml:space="preserve">10.1093/infdis/jiac412</t>
  </si>
  <si>
    <t xml:space="preserve">WOS:000874786900001</t>
  </si>
  <si>
    <t xml:space="preserve">Rijsbergen, LC; Schmitz, KS; Begeman, L; Drew-Bear, J; Gommers, L; Lamers, MM; Greninger, AL; Haagmans, BL; Porotto, M; de Swart, RL; Moscona, A; de Vries, RD</t>
  </si>
  <si>
    <t xml:space="preserve">Rijsbergen, Laurine C.; Schmitz, Katharina S.; Begeman, Lineke; Drew-Bear, Jennifer; Gommers, Lennert; Lamers, Mart M.; Greninger, Alexander L.; Haagmans, Bart L.; Porotto, Matteo; de Swart, Rik L.; Moscona, Anne; de Vries, Rory D.</t>
  </si>
  <si>
    <t xml:space="preserve">Modeling Infection and Tropism of Human Parainfluenza Virus Type 3 in Ferrets</t>
  </si>
  <si>
    <t xml:space="preserve">animal models; parainfluenza virus; viral pathogenesis</t>
  </si>
  <si>
    <t xml:space="preserve">RESPIRATORY SYNCYTIAL VIRUS; STEM-CELL TRANSPLANT; COTTON RAT; HUMAN METAPNEUMOVIRUS; SIGMODON-HISPIDUS; INFLUENZA-A; LIVE; VACCINE; CHILDREN; INFANTS</t>
  </si>
  <si>
    <t xml:space="preserve">Human parainfluenza virus type 3 (HPIV-3) is a significant cause of lower respiratory tract infections, with the most severe disease in young infants, immunocompromised individuals, and the elderly. HPIV-3 infections are currently untreatable with licensed therapeutics, and prophylactic and therapeutic options are needed for patients at risk. To complement existing human airway models of HPIV-3 infection and develop an animal model to assess novel intervention strategies, we evaluated infection and transmission of HPIV-3 in ferrets. A well-characterized human clinical isolate (CI) of HPIV-3 engineered to express enhanced green fluorescent protein (rHPIV-3 CI-1-EGFP) was passaged on primary human airway epithelial cells (HAE) or airway organoids (AO) to avoid tissue culture adaptations. rHPIV3 CI-1-EGFP infection was assessed in vitro in ferret AO and in ferrets in vivo. Undifferentiated and differentiated ferret AO cultures supported rHPIV-3 CI-1-EGFP replication, but the ferret primary airway cells from AO were less susceptible and permissive than HAE. In vivo rHPIV-3 CI-1-EGFP replicated in the upper and lower airways of ferrets and targeted respiratory epithelial cells, olfactory epithelial cells, type I pneumocytes, and type II pneumocytes. The infection efficiently induced specific antibody responses. Taken together, ferrets are naturally susceptible to HPIV-3 infection; however, limited replication was observed that led to neither overt clinical signs nor ferret-to-ferret transmission. However, in combination with ferret AO, the ferret model of HPIV-3 infection, tissue tropism, and neutralizing antibodies complements human ex vivo lung models and can be used as a platform for prevention and treatment studies for this important respiratory pathogen. IMPORTANCE HPIV-3 is an important cause of pediatric disease and significantly impacts the elderly. Increasing numbers of immunocompromised patients suffer from HPIV-3 infections, often related to problems with viral clearance. There is a need to model HPIV-3 infections in vitro and in vivo to evaluate novel prophylaxis and treatment options. Currently existing animal models lack the potential for studying animal-to-animal transmission or the effect of immunosuppressive therapy. Here, we describe the use of the ferret model in combination with authentic clinical viruses to further complement human ex vivo models, providing a platform to study approaches to prevent and treat HPIV-3 infection. Although we did not detect ferret-to-ferret transmission in our studies, these studies lay the groundwork for further refinement of the ferret model to immunocompromised ferrets, allowing for studies of severe HPIV-3-associated disease. Such models for preclinical evaluation of prophylaxis and antivirals can contribute to reducing the global health burden of HPIV-3.</t>
  </si>
  <si>
    <t xml:space="preserve">[Rijsbergen, Laurine C.; Schmitz, Katharina S.; Begeman, Lineke; Gommers, Lennert; Lamers, Mart M.; Haagmans, Bart L.; de Swart, Rik L.; de Vries, Rory D.] Univ Med Ctr, Dept Virosci, Erasmus MC, Rotterdam, Netherlands; [Drew-Bear, Jennifer; Porotto, Matteo; Moscona, Anne] Columbia Univ, Vagelos Coll Phys &amp; Surg, Ctr Host Pathogen Interact, New York, NY USA; [Drew-Bear, Jennifer; Porotto, Matteo; Moscona, Anne] Columbia Univ, Dept Pediat, Vagelos Coll Phys &amp; Surg, New York, NY 10027 USA; [Greninger, Alexander L.] Univ Washington, Dept Lab Med &amp; Pathol, Seattle, WA 98195 USA; [Greninger, Alexander L.] Fred Hutchinson Canc Res Ctr, Vaccine &amp; Infect Dis Div, Seattle, WA USA; [Porotto, Matteo] Univ Campania Luigi Vanvitelli, Dept Expt Med, Caserta, Italy; [Moscona, Anne] Columbia Univ, Vagelos Coll Phys &amp; Surg, Dept Physiol &amp; Cellular Biophys, New York, NY USA; [Moscona, Anne] Columbia Univ, Dept Microbiol &amp; Immunol, Vagelos Coll Phys &amp; Surg, New York, NY USA</t>
  </si>
  <si>
    <t xml:space="preserve">Erasmus University Rotterdam; Erasmus MC; Columbia University; Columbia University; University of Washington; University of Washington Seattle; Fred Hutchinson Cancer Center; Universita della Campania Vanvitelli; Columbia University; Columbia University</t>
  </si>
  <si>
    <t xml:space="preserve">de Vries, RD (corresponding author), Univ Med Ctr, Dept Virosci, Erasmus MC, Rotterdam, Netherlands.;Moscona, A (corresponding author), Columbia Univ, Vagelos Coll Phys &amp; Surg, Ctr Host Pathogen Interact, New York, NY USA.;Moscona, A (corresponding author), Columbia Univ, Dept Pediat, Vagelos Coll Phys &amp; Surg, New York, NY 10027 USA.;Moscona, A (corresponding author), Columbia Univ, Vagelos Coll Phys &amp; Surg, Dept Physiol &amp; Cellular Biophys, New York, NY USA.;Moscona, A (corresponding author), Columbia Univ, Dept Microbiol &amp; Immunol, Vagelos Coll Phys &amp; Surg, New York, NY USA.</t>
  </si>
  <si>
    <t xml:space="preserve">am939@cumc.columbia.edu; r.d.devries@erasmusmc.nl</t>
  </si>
  <si>
    <t xml:space="preserve">Gommers, Lennert/HMV-2602-2023; Lamers, Mart M./JOZ-4481-2023; Greninger, Alex/LOR-8084-2024; Haagmans, Bart L./E-9791-2015; de Vries, Rory Dylan/L-2264-2015; De Swart, Rik/E-6508-2011</t>
  </si>
  <si>
    <t xml:space="preserve">Haagmans, Bart L./0000-0001-6221-2015; Lamers, Mart/0000-0002-1431-4022; de Vries, Rory Dylan/0000-0003-2817-0127; POROTTO, Matteo/0000-0003-3866-9220; De Swart, Rik/0000-0003-3599-8969; Rijsbergen, Laurine/0000-0001-8328-2899</t>
  </si>
  <si>
    <t xml:space="preserve">National Institute of Allergy and Infectious Diseases (NIAID); NIH [R01 AI114736]</t>
  </si>
  <si>
    <t xml:space="preserve">National Institute of Allergy and Infectious Diseases (NIAID)(United States Department of Health &amp; Human ServicesNational Institutes of Health (NIH) - USANIH National Institute of Allergy &amp; Infectious Diseases (NIAID)); NIH(United States Department of Health &amp; Human ServicesNational Institutes of Health (NIH) - USA)</t>
  </si>
  <si>
    <t xml:space="preserve">This work was supported by National Institute of Allergy and Infectious Diseases (NIAID), NIH, grant R01 AI114736 to A.M.</t>
  </si>
  <si>
    <t xml:space="preserve">e03831-21</t>
  </si>
  <si>
    <t xml:space="preserve">10.1128/mbio.03831-21</t>
  </si>
  <si>
    <t xml:space="preserve">O0OA2</t>
  </si>
  <si>
    <t xml:space="preserve">WOS:001040888600144</t>
  </si>
  <si>
    <t xml:space="preserve">Bhat, N; Tokarz, R; Jain, K; Haq, S; Weatherholtz, R; Chandran, A; Karron, R; Reid, R; Santosham, M; O'Brien, KL; Lipkin, WI</t>
  </si>
  <si>
    <t xml:space="preserve">Bhat, Niranjan; Tokarz, Rafal; Jain, Komal; Haq, Saddef; Weatherholtz, Robert; Chandran, Aruna; Karron, Ruth; Reid, Raymond; Santosham, Mathuram; O'Brien, Katherine L.; Lipkin, W. Ian</t>
  </si>
  <si>
    <t xml:space="preserve">A Prospective Study of Agents Associated With Acute Respiratory Infection Among Young American Indian Children</t>
  </si>
  <si>
    <t xml:space="preserve">American Indian; respiratory infections; child; diagnosis; influenza</t>
  </si>
  <si>
    <t xml:space="preserve">INVASIVE PNEUMOCOCCAL DISEASE; COMMUNITY-ACQUIRED PNEUMONIA; MOUNTAIN APACHE CHILDREN; ALASKA NATIVE CHILDREN; INFLUENZA-LIKE ILLNESS; STREPTOCOCCUS-PNEUMONIAE; CONJUGATE VACCINE; HUMAN METAPNEUMOVIRUS; SYNCYTIAL VIRUS; HIGH-RISK</t>
  </si>
  <si>
    <t xml:space="preserve">Background: Native American children have higher rates of morbidity associated with acute respiratory infection than children in the general US population, yet detailed information is lacking regarding their principal clinical presentations and infectious etiologies. Methods: We pursued a comprehensive molecular survey of bacteria and viruses in nasal wash specimens from children with acute respiratory disease collected prospectively over 1 year (January 1 through December 31, 2009) from 915 Navajo and White Mountain Apache children in their second or third year of life who had been enrolled in an efficacy study of a respiratory syncytial virus monoclonal antibody in the first year of life. Results: During the surveillance period, 1476 episodes of disease were detected in 669 children. Rates of outpatient and inpatient lower respiratory tract illness were 391 and 79 per 1000 child-years, respectively, and were most commonly diagnosed as pneumonia. Potential pathogens were detected in 88% of specimens. Viruses most commonly detected were respiratory syncytial virus and human rhinovirus; the 2009 pandemic influenza A (H1N1) illnesses primarily occurred in the fall. Streptococcus pneumoniae was detected in 60% of subjects; only human rhinovirus was significantly associated with S. pneumoniae carriage. The presence of influenza virus, human rhinovirus or S. pneumoniae was not associated with increased risk for lower respiratory tract involvement or hospitalization. Conclusions: Acute lower respiratory illnesses occur at disproportionately high rates among young American Indian children and are associated with a range of common pathogens. This study provides critical evidence to support reducing the disproportionate burden of acute respiratory disease among young Native Americans.</t>
  </si>
  <si>
    <t xml:space="preserve">[Bhat, Niranjan; Weatherholtz, Robert; Chandran, Aruna; Reid, Raymond; Santosham, Mathuram; O'Brien, Katherine L.] Johns Hopkins Bloomberg Sch Publ Hlth, Ctr Amer Indian Hlth, Baltimore, MD USA; [Tokarz, Rafal; Jain, Komal; Haq, Saddef; Lipkin, W. Ian] Columbia Univ, Mailman Sch Publ Hlth, Ctr Infect &amp; Immun, New York, NY USA; [Karron, Ruth] Johns Hopkins Bloomberg Sch Publ Hlth, Ctr Immunizat Res, Baltimore, MD USA</t>
  </si>
  <si>
    <t xml:space="preserve">Johns Hopkins University; Johns Hopkins Bloomberg School of Public Health; Columbia University; Johns Hopkins University; Johns Hopkins Bloomberg School of Public Health</t>
  </si>
  <si>
    <t xml:space="preserve">O'Brien, KL (corresponding author), Ctr Amer Indian Hlth, 621 N Washington St, Baltimore, MD 21205 USA.</t>
  </si>
  <si>
    <t xml:space="preserve">klobrien@jhsph.edu</t>
  </si>
  <si>
    <t xml:space="preserve">Lipkin, W./ABE-6216-2020</t>
  </si>
  <si>
    <t xml:space="preserve">Lipkin, W. Ian/0000-0002-8768-9386; O'Brien, Katherine/0000-0002-0164-4030</t>
  </si>
  <si>
    <t xml:space="preserve">National Center for Research Resources at the National Institutes of Health [1KL2RR025006-01]; National Institutes of Health [AI57158]; Bill and Melinda Gates Foundation; Defense Threats Reduction Agency; MedImmune</t>
  </si>
  <si>
    <t xml:space="preserve">National Center for Research Resources at the National Institutes of Health(United States Department of Health &amp; Human ServicesNational Institutes of Health (NIH) - USANIH National Center for Research Resources (NCRR)); National Institutes of Health(United States Department of Health &amp; Human ServicesNational Institutes of Health (NIH) - USA); Bill and Melinda Gates Foundation(Bill &amp; Melinda Gates Foundation); Defense Threats Reduction Agency; MedImmune(AstraZenecaMedimmune)</t>
  </si>
  <si>
    <t xml:space="preserve">This work was supported by the National Center for Research Resources at the National Institutes of Health (grant 1KL2RR025006-01 to N.B.); the National Institutes of Health (grant AI57158 to the Northeast Biodefense Center - W.I.L.); the Bill and Melinda Gates Foundation and the Defense Threats Reduction Agency (to the Center for Infection and Immunity, Columbia University). The parent clinical trial was funded by MedImmune, who played no role in the design, conduct, analysis or funding of the molecular diagnostic pathogen substudy. N.B is currently an employee of the United States Food and Drug Administration. K.L.O., A. C., R. W., R. R. and M. S. received funding for the parent trial from MedImmune. The authors have no other funding or conflicts of interest to disclose.</t>
  </si>
  <si>
    <t xml:space="preserve">E324</t>
  </si>
  <si>
    <t xml:space="preserve">10.1097/INF.0b013e31828ff4bc</t>
  </si>
  <si>
    <t xml:space="preserve">WOS:000330524100003</t>
  </si>
  <si>
    <t xml:space="preserve">Zhou, Z; Gilca, R; Deceuninck, G; Boucher, FD; Charest, H; De Wals, P</t>
  </si>
  <si>
    <t xml:space="preserve">Zhou, Z.; Gilca, R.; Deceuninck, G.; Boucher, F. D.; Charest, H.; De Wals, P.</t>
  </si>
  <si>
    <t xml:space="preserve">Predictors of hospitalization for lower respiratory tract infection in children aged &lt;2 years in the province of Quebec, Canada</t>
  </si>
  <si>
    <t xml:space="preserve">Ambient temperature; ecological study; hospital admissions; respiratory infections; respiratory virus; pneumococcal conjugate vaccine</t>
  </si>
  <si>
    <t xml:space="preserve">PNEUMOCOCCAL CONJUGATE VACCINE; SYNCYTIAL VIRUS; DISEASE INCIDENCE; BRITISH-COLUMBIA; UNITED-STATES; INFLUENZA; IMPACT; PREVENTION; PNEUMONIA; MANAGEMENT</t>
  </si>
  <si>
    <t xml:space="preserve">Young age, adverse environmental conditions and infectious agents are established risk factors of lower respiratory tract infection (LRTI), whereas pneumococcal conjugate vaccines may be protective. To explore their relative role as predictors of hospitalizations under the continental climate prevailing in the province of Quebec, Canada, an ecological study was performed. Records with a main diagnosis of LRTI in children born during 2007-2010 and observed up to their second-year anniversary were extracted from the provincial hospital administrative database. Respiratory virus surveillance data and statistics on ambient air temperature were obtained. Vaccine use in different birth cohorts was derived from the Quebec City Immunization Registry. Additive and multiplicative Poisson regression models were applied to estimate attributable fractions. Age, month of birth, ambient temperature, and respiratory syncytial virus (RSV), human metapneumovirus (hMPV) and influenza-positive test proportions were significant predictors of LRTI hospitalizations. No substantial differences were observed in cohorts exposed to the 7-valent or 10-valent pneumococcal conjugate vaccines. In the additive model, the fraction of hospitalizations explained by temperature variation was 37%, whereas RSV circulation explained 28%, hMPV 4% and influenza 1%. Complex interplay between biological, environmental and social mechanisms may explain the important role of ambient air temperature in predicting LRTI hospitalization risk in young children.</t>
  </si>
  <si>
    <t xml:space="preserve">[Zhou, Z.; Deceuninck, G.] Quebec Univ Hosp, Res Ctr, Quebec City, PQ, Canada; [Gilca, R.] Inst Natl Sante Publ Quebec, Direct Risques Biol &amp; Sante Travail, Quebec City, PQ, Canada; [Boucher, F. D.] Univ Laval, Dept Pediat, Quebec City, PQ G1V 4G5, Canada; [Charest, H.] Inst Natl Sante Publ Quebec, Lab Sante Publ Quebec, Ste Anne De Bellevue, PQ, Canada; [De Wals, P.] Univ Laval, Dept Social &amp; Prevent Med, Quebec City, PQ G1V 4G5, Canada</t>
  </si>
  <si>
    <t xml:space="preserve">Institut national de sante publique du Quebec (INSPQ); Laval University; Institut national de sante publique du Quebec (INSPQ); Laval University</t>
  </si>
  <si>
    <t xml:space="preserve">De Wals, P (corresponding author), Univ Laval, Dept Social &amp; Prevent Med, IUCPQ, 2725 Chemin St Foy, Quebec City, PQ G1V 4G5, Canada.</t>
  </si>
  <si>
    <t xml:space="preserve">philippe.dewals@criucpq.ulaval.ca</t>
  </si>
  <si>
    <t xml:space="preserve">Boucher, Francois/AAG-3901-2019</t>
  </si>
  <si>
    <t xml:space="preserve">GlaxoSmithKline Biologicals</t>
  </si>
  <si>
    <t xml:space="preserve">GlaxoSmithKline Biologicals(GlaxoSmithKline)</t>
  </si>
  <si>
    <t xml:space="preserve">The study was supported by an investigator-initiated research grant from GlaxoSmithKline Biologicals. The sponsor had no role in the design and conduct of the study, collection, management, analysis, and interpretation of the data, and preparation, review, and approval of the manuscript.</t>
  </si>
  <si>
    <t xml:space="preserve">10.1017/S0950268815002204</t>
  </si>
  <si>
    <t xml:space="preserve">DF9ZH</t>
  </si>
  <si>
    <t xml:space="preserve">WOS:000371720700016</t>
  </si>
  <si>
    <t xml:space="preserve">Manuel, O.; Estabrook, M.</t>
  </si>
  <si>
    <t xml:space="preserve">RNA Respiratory Viruses in Solid Organ Transplantation</t>
  </si>
  <si>
    <t xml:space="preserve">Amantadine; influenza; oseltamivir; respiratory viral infections; vaccines</t>
  </si>
  <si>
    <t xml:space="preserve">STEM-CELL TRANSPLANTATION; INFLUENZA-A H1N1; LUNG-TRANSPLANT; SYNCYTIAL VIRUS; PANDEMIC H1N1; IMMUNOCOMPROMISED PATIENTS; HUMAN METAPNEUMOVIRUS; VIRAL-INFECTIONS; BRONCHIOLITIS OBLITERANS; INTRAVENOUS RIBAVIRIN</t>
  </si>
  <si>
    <t xml:space="preserve">[Manuel, O.] Univ Lausanne Hosp, Infect Dis Serv, Lausanne, Switzerland; [Manuel, O.] Univ Lausanne Hosp, Transplantat Ctr, Lausanne, Switzerland; [Manuel, O.] Univ Lausanne, Lausanne, Switzerland; [Estabrook, M.] Washington Univ, Sch Med, Div Pediat Infect Dis, St Louis, MO USA</t>
  </si>
  <si>
    <t xml:space="preserve">Manuel, O (corresponding author), Univ Lausanne Hosp, Infect Dis Serv, Lausanne, Switzerland.</t>
  </si>
  <si>
    <t xml:space="preserve">Manuel, Oriol/F-2978-2010; cavassini, matthias/F-8987-2017</t>
  </si>
  <si>
    <t xml:space="preserve">Manuel, Oriol/0000-0001-7607-0943; cavassini, matthias/0000-0003-0933-7833</t>
  </si>
  <si>
    <t xml:space="preserve">10.1111/ajt.12113</t>
  </si>
  <si>
    <t xml:space="preserve">103HY</t>
  </si>
  <si>
    <t xml:space="preserve">WOS:000315907900023</t>
  </si>
  <si>
    <t xml:space="preserve">Morkuniene, R; Zvirbliene, A; Dalgediene, I; Cizas, P; Jankeviciute, S; Baliutyte, G; Jokubka, R; Jankunec, M; Valincius, G; Borutaite, V</t>
  </si>
  <si>
    <t xml:space="preserve">Morkuniene, Ramune; Zvirbliene, Aurelija; Dalgediene, Indre; Cizas, Paulius; Jankeviciute, Silvija; Baliutyte, Giedre; Jokubka, Ramunas; Jankunec, Marija; Valincius, Gintaras; Borutaite, Vilmante</t>
  </si>
  <si>
    <t xml:space="preserve">Antibodies bound to Aβ oligomers potentiate the neurotoxicity of Aβ by activating microglia</t>
  </si>
  <si>
    <t xml:space="preserve">JOURNAL OF NEUROCHEMISTRY</t>
  </si>
  <si>
    <t xml:space="preserve">Alzheimer's disease; antibodies; beta amyloid; neurons; neurotoxicity; oligomers</t>
  </si>
  <si>
    <t xml:space="preserve">TRANSGENIC MOUSE MODEL; CENTRAL-NERVOUS-SYSTEM; VIRUS-LIKE PARTICLES; AMYLOID-BETA; ALZHEIMERS-DISEASE; MONOCLONAL-ANTIBODIES; FC-RECEPTOR; NUCLEOCAPSID PROTEIN; IN-VITRO; PEPTIDE</t>
  </si>
  <si>
    <t xml:space="preserve">Beta amyloid (A beta) oligomers are thought to contribute to the pathogenesis of Alzheimer's disease. However, clinical trials using A beta immunization were unsuccessful due to strong brain inflammation, the mechanisms of which are poorly understood. In this study we tested whether monoclonal antibodies to oligomeric A beta would prevent the neurotoxicity of A beta oligomers in primary neuronal-glial cultures. However, surprisingly, the antibodies dramatically increased the neurotoxicity of A beta. Antibodies bound to monomeric A beta fragments were non-toxic to cultured neurons, while antibodies to other oligomeric proteins: hamster polyomavirus major capsid protein, human metapneumovirus nucleocapsid protein, and measles virus nucleocapsid protein, strongly potentiated the neurotoxicity of their antigens. The neurotoxicity of antibody-oligomeric antigen complexes was abolished by removal of the Fc region from the antibodies or by removal of microglia from cultures, and was accompanied by inflammatory activation and proliferation of the microglia in culture. In conclusion, we find that immune complexes formed by A beta oligomers or other oligomeric/multimeric antigens and their specific antibodies can cause death and loss of neurons in primary neuronal-glial cultures via Fc-dependent microglial activation. The results suggest that therapies resulting in antibodies to oligomeric A beta or oligomeric brain virus proteins should be used with caution or with suppression of microglial activation.</t>
  </si>
  <si>
    <t xml:space="preserve">[Morkuniene, Ramune; Cizas, Paulius; Jankeviciute, Silvija; Baliutyte, Giedre; Jokubka, Ramunas; Borutaite, Vilmante] Lithuanian Univ Hlth Sci, Inst Neurosci, LT-50009 Kaunas, Lithuania; [Morkuniene, Ramune; Cizas, Paulius] Lithuanian Univ Hlth Sci, Med Acad, Dept Biochem, LT-50009 Kaunas, Lithuania; [Zvirbliene, Aurelija; Dalgediene, Indre] Vilnius State Univ, Inst Biotechnol, Vilnius, Lithuania; [Jankunec, Marija; Valincius, Gintaras] Vilnius State Univ, Inst Biochem, Vilnius, Lithuania</t>
  </si>
  <si>
    <t xml:space="preserve">Lithuanian University of Health Sciences; Lithuanian University of Health Sciences; Vilnius University; Vilnius University</t>
  </si>
  <si>
    <t xml:space="preserve">Morkuniene, R (corresponding author), Lithuanian Univ Hlth Sci, Inst Neurosci, Eiveniu 4, LT-50009 Kaunas, Lithuania.</t>
  </si>
  <si>
    <t xml:space="preserve">ramunem@med.kmu.lt</t>
  </si>
  <si>
    <t xml:space="preserve">Jankunec, Marija/ITV-2820-2023; Dalgėdienė, Indrė/P-2445-2019; Dalgediene, Indre/M-8457-2014</t>
  </si>
  <si>
    <t xml:space="preserve">Jankeviciute, Silvija/0000-0001-6406-2671; Jokubka, Ramunas/0000-0002-0953-5576; Dalgediene, Indre/0000-0003-4113-4761; Jankunec, Marija/0000-0002-1119-4467</t>
  </si>
  <si>
    <t xml:space="preserve">Research Council of Lithuania [LIG-04/2012 MALPAMA]</t>
  </si>
  <si>
    <t xml:space="preserve">Research Council of Lithuania(Research Council of Lithuania (LMTLT))</t>
  </si>
  <si>
    <t xml:space="preserve">Authors thank Prof. Guy C. Brown for discussions and critical reading of the manuscript. This study was supported by the Research Council of Lithuania (grant LIG-04/2012 MALPAMA).</t>
  </si>
  <si>
    <t xml:space="preserve">0022-3042</t>
  </si>
  <si>
    <t xml:space="preserve">1471-4159</t>
  </si>
  <si>
    <t xml:space="preserve">J NEUROCHEM</t>
  </si>
  <si>
    <t xml:space="preserve">J. Neurochem.</t>
  </si>
  <si>
    <t xml:space="preserve">10.1111/jnc.12332</t>
  </si>
  <si>
    <t xml:space="preserve">Biochemistry &amp; Molecular Biology; Neurosciences</t>
  </si>
  <si>
    <t xml:space="preserve">Biochemistry &amp; Molecular Biology; Neurosciences &amp; Neurology</t>
  </si>
  <si>
    <t xml:space="preserve">204TV</t>
  </si>
  <si>
    <t xml:space="preserve">WOS:000323393400006</t>
  </si>
  <si>
    <t xml:space="preserve">Hepworth, SJ; Law, GR; Lawlor, DA; McKinney, PA</t>
  </si>
  <si>
    <t xml:space="preserve">Hepworth, Sarah J.; Law, Graham R.; Lawlor, Debbie A.; McKinney, Patricia A.</t>
  </si>
  <si>
    <t xml:space="preserve">Early life patterns of common infection: a latent class analysis</t>
  </si>
  <si>
    <t xml:space="preserve">EUROPEAN JOURNAL OF EPIDEMIOLOGY</t>
  </si>
  <si>
    <t xml:space="preserve">ALSPAC; Latent class analysis; Infection; Proxies; Hygiene hypothesis</t>
  </si>
  <si>
    <t xml:space="preserve">ENVIRONMENTAL TOBACCO-SMOKE; HYGIENE HYPOTHESIS; HUMAN METAPNEUMOVIRUS; MATERNAL SMOKING; RISK-FACTORS; CHILDREN; RESPONSES; EXPOSURE; PARENTS; DISEASE</t>
  </si>
  <si>
    <t xml:space="preserve">Early life infection has been implicated in the aetiology of many chronic diseases, most often through proxy measures. Data on ten infectious symptoms were collected by parental questionnaire when children were 6 months old as part of the Avon Longitudinal Study of Parents and Children, United Kingdom. A latent class analysis was used to identify patterns of infection and their relationship to five factors commonly used as proxies: sex, other children in the home, maternal smoking, breastfeeding and maternal education. A total of 10,032 singleton children were included in the analysis. Five classes were identified with differing infectious disease patterns and children were assigned to the class for which they had a highest probability of membership based on their infectious symptom profile: 'general infection' (n = 1,252, 12.5%), 'gastrointestinal' (n = 1,902, 19.0%), 'mild respiratory' (n = 3,560, 35.5%), 'colds/ear ache' (n = 462, 4.6%) and 'healthy' (n = 2,856, 28.5%). Females had a reduced risk of being in all infectious classes, other children in the home were associated with an increased risk of being in the 'general infection', 'mild respiratory' or 'colds/ear ache' class. Breastfeeding reduced the risk of being in the 'general infection' and 'gastrointestinal' classes whereas maternal smoking increased the risk of membership. Higher maternal education was associated with an increased risk of being in the 'mild respiratory' group. Other children in the home had the greatest association with infectious class membership. Latent class analysis provided a flexible method of investigating the relationship between multiple symptoms and demographic and lifestyle factors.</t>
  </si>
  <si>
    <t xml:space="preserve">[Hepworth, Sarah J.; McKinney, Patricia A.] Univ Leeds, Leeds Inst Genet Hlth &amp; Therapeut, Ctr Biostat &amp; Epidemiol, Paediat Epidemiol Grp, Leeds LS2 9JT, W Yorkshire, England; [Law, Graham R.] Univ Leeds, Leeds Inst Genet Hlth &amp; Therapeut, Ctr Biostat &amp; Epidemiol, Biostat Unit, Leeds LS2 9JT, W Yorkshire, England; [Lawlor, Debbie A.] Univ Bristol, Dept Social Med, Div Epidemiol, Bristol, Avon, England; [Lawlor, Debbie A.] Univ Bristol, MRC, Ctr Causal Anal Translat Epidemiol, Bristol, Avon, England</t>
  </si>
  <si>
    <t xml:space="preserve">University of Leeds; University of Leeds; University of Bristol; University of Bristol</t>
  </si>
  <si>
    <t xml:space="preserve">Hepworth, SJ (corresponding author), Univ Leeds, Leeds Inst Genet Hlth &amp; Therapeut, Ctr Biostat &amp; Epidemiol, Paediat Epidemiol Grp, Room 8-49,Worsley Bldg,Clarendon Way, Leeds LS2 9JT, W Yorkshire, England.</t>
  </si>
  <si>
    <t xml:space="preserve">s.j.hepworth@leeds.ac.uk</t>
  </si>
  <si>
    <t xml:space="preserve">; Law, Graham/B-9654-2008</t>
  </si>
  <si>
    <t xml:space="preserve">Fleming, Sarah/0000-0002-7655-4806; Lawlor, Debbie A/0000-0002-6793-2262; Law, Graham/0000-0001-7904-0264</t>
  </si>
  <si>
    <t xml:space="preserve">EU [FOOD-CT-2005-016320]; MRC [G0600705] Funding Source: UKRI</t>
  </si>
  <si>
    <t xml:space="preserve">EU(European Union (EU)); MRC(UK Research &amp; Innovation (UKRI)Medical Research Council UK (MRC))</t>
  </si>
  <si>
    <t xml:space="preserve">We are extremely grateful to all the families who took part in this study, the midwives for their help in recruiting them, and the whole ALSPAC team, which includes interviewers, computer and laboratory technicians, clerical workers, research scientists, volunteers, managers, receptionists and nurses. This publication is the work of the authors and SH, GL, PMcK and DL will serve as guarantors for the contents of this paper. SH is supported by the EU Integrated Project NewGeneris, 6th Framework Programme, Priority 5: Food Quality and Safety (Contract no. FOOD-CT-2005-016320). NewGeneris is the acronym of the project 'Newborns and Genotoxic exposure risks' http://www.newgeneris.org. The UK Medical Research Council, the Wellcome Trust and the University of Bristol provide core support for ALSPAC.</t>
  </si>
  <si>
    <t xml:space="preserve">0393-2990</t>
  </si>
  <si>
    <t xml:space="preserve">1573-7284</t>
  </si>
  <si>
    <t xml:space="preserve">EUR J EPIDEMIOL</t>
  </si>
  <si>
    <t xml:space="preserve">Eur. J. Epidemiol.</t>
  </si>
  <si>
    <t xml:space="preserve">10.1007/s10654-010-9518-5</t>
  </si>
  <si>
    <t xml:space="preserve">703IJ</t>
  </si>
  <si>
    <t xml:space="preserve">WOS:000285971300004</t>
  </si>
  <si>
    <t xml:space="preserve">Hacker, K; Kuan, G; Vydiswaran, N; Chowell-Puente, G; Patel, M; Sanchez, N; Lopez, R; Ojeda, S; Lopez, B; Mousa, J; Maier, HE; Balmaseda, A; Gordon, A</t>
  </si>
  <si>
    <t xml:space="preserve">Hacker, Kathryn; Kuan, Guillermina; Vydiswaran, Nivea; Chowell-Puente, Gerardo; Patel, Mayuri; Sanchez, Nery; Lopez, Roger; Ojeda, Sergio; Lopez, Brenda; Mousa, Jarrod; Maier, Hannah E.; Balmaseda, Angel; Gordon, Aubree</t>
  </si>
  <si>
    <t xml:space="preserve">Pediatric burden and seasonality of human metapneumovirus over 5 years in Managua, Nicaragua</t>
  </si>
  <si>
    <t xml:space="preserve">ALRI; community-based; human metapneumovirus; respiratory infection; seasonality</t>
  </si>
  <si>
    <t xml:space="preserve">RESPIRATORY SYNCYTIAL VIRUS; GENETIC-VARIABILITY; TRACT INFECTIONS; YOUNG-CHILDREN; EPIDEMIOLOGY; GENOTYPE; SEROPREVALENCE; REINFECTION; INFLUENZA</t>
  </si>
  <si>
    <t xml:space="preserve">Background Human metapneumovirus (hMPV) is an important cause of pediatric respiratory infection. We leveraged the Nicaraguan Pediatric Influenza Cohort Study (NPICS) to assess the burden and seasonality of symptomatic hMPV infection in children. Methods NPICS is an ongoing prospective study of children in Managua, Nicaragua. We assessed children for hMPV infection via real-time reverse-transcription polymerase chain reaction (RT-PCR). We used classical additive decomposition analysis to assess the temporal trends, and generalized growth models (GGMs) were used to estimate effective reproduction numbers. Results From 2011 to 2016, there were 564 hMPV symptomatic infections, yielding an incidence rate of 5.74 cases per 100 person-years (95% CI 5.3, 6.2). Children experienced 3509 acute lower respiratory infections (ALRIs), of which 160 (4.6%) were associated with hMPV infection. Children under the age of one had 55% of all symptomatic hMPV infections (62/112) develop into hMPV-associated ALRIs and were five times as likely as children over one to have an hMPV-associated ALRI (rate ratio 5.5 95% CI 4.1, 7.4 p &lt; 0.001). Additionally, symptomatic reinfection with hMPV was common. In total, 87 (15%) of all observed symptomatic infections were detected reinfections. The seasonality of symptomatic hMPV outbreaks varied considerably. From 2011 to 2016, four epidemic periods were observed, following a biennial seasonal pattern. The mean ascending phase of the epidemic periods were 7.7 weeks, with an overall mean estimated reproductive number of 1.2 (95% CI 1.1, 1.4). Conclusions Symptomatic hMPV infection was associated with substantial burden among children in the first year of life. Timing and frequency of symptomatic hMPV incidence followed biennial patterns.</t>
  </si>
  <si>
    <t xml:space="preserve">[Hacker, Kathryn; Vydiswaran, Nivea; Patel, Mayuri; Maier, Hannah E.; Gordon, Aubree] Univ Michigan, Sch Publ Hlth, Dept Epidemiol, 5606 SPH 1,1415 Washington Hts, Ann Arbor, MI 48109 USA; [Kuan, Guillermina; Sanchez, Nery; Lopez, Roger; Ojeda, Sergio; Lopez, Brenda; Balmaseda, Angel] Sustainable Sci Inst, Managua, Nicaragua; [Kuan, Guillermina] Minist Hlth, Ctr Salud Socrates Flores Vivas, Managua, Nicaragua; [Chowell-Puente, Gerardo] Georgia State Univ, Sch Publ Hlth, Dept Populat Hlth Sci, Atlanta, GA USA; [Lopez, Roger; Balmaseda, Angel] Minist Hlth, Lab Nacl Virol, Ctr Nacl Diagnost &amp; Referencia, Managua, Nicaragua; [Mousa, Jarrod] Univ Georgia, Coll Vet Med, Ctr Vaccines &amp; Immunol, Athens, GA USA; [Mousa, Jarrod] Univ Georgia, Coll Vet Med, Dept Infect Dis, Athens, GA USA</t>
  </si>
  <si>
    <t xml:space="preserve">University of Michigan System; University of Michigan; University System of Georgia; Georgia State University; University System of Georgia; University of Georgia; University System of Georgia; University of Georgia</t>
  </si>
  <si>
    <t xml:space="preserve">Hacker, K (corresponding author), Univ Michigan, Sch Publ Hlth, Dept Epidemiol, 5606 SPH 1,1415 Washington Hts, Ann Arbor, MI 48109 USA.;Gordon, A (corresponding author), Univ Michigan, Sch Publ Hlth, Dept Epidemiol, 5622 SPH 1,1415 Washington Hts, Ann Arbor, MI 48109 USA.</t>
  </si>
  <si>
    <t xml:space="preserve">kphacker@umich.edu; gordonal@umich.edu</t>
  </si>
  <si>
    <t xml:space="preserve">Gordon, Aubree/X-1113-2019</t>
  </si>
  <si>
    <t xml:space="preserve">Mousa, Jarrod/0000-0003-4709-2478; Hacker, Kathryn/0000-0001-5267-1699</t>
  </si>
  <si>
    <t xml:space="preserve">National Institute of Allergy and Infectious Diseases; Centers of Excellence for Influenza Research and Surveillance at the National Institute of Health [R01AI143865, R01AI149747, U01 AI088654]</t>
  </si>
  <si>
    <t xml:space="preserve">National Institute of Allergy and Infectious Diseases(United States Department of Health &amp; Human ServicesNational Institutes of Health (NIH) - USANIH National Institute of Allergy &amp; Infectious Diseases (NIAID)); Centers of Excellence for Influenza Research and Surveillance at the National Institute of Health</t>
  </si>
  <si>
    <t xml:space="preserve">This work was supported by the National Institute of Allergy and Infectious Diseases and the Centers of Excellence for Influenza Research and Surveillance at the National Institute of Health award no. (R01AI143865, R01AI149747, and U01 AI088654).</t>
  </si>
  <si>
    <t xml:space="preserve">10.1111/irv.13034</t>
  </si>
  <si>
    <t xml:space="preserve">WOS:000840373000001</t>
  </si>
  <si>
    <t xml:space="preserve">Ljungman, P</t>
  </si>
  <si>
    <t xml:space="preserve">Ljungman, Per</t>
  </si>
  <si>
    <t xml:space="preserve">Viral infection after hematopoietic stem cell transplantation</t>
  </si>
  <si>
    <t xml:space="preserve">CURRENT OPINION IN HEMATOLOGY</t>
  </si>
  <si>
    <t xml:space="preserve">allogenic hematopoietic stem cell transplantation; cytomegalovirus; COVID-19; EBV; viral infections</t>
  </si>
  <si>
    <t xml:space="preserve">PARAINFLUENZA VIRUS-INFECTIONS; POSTTRANSPLANT CYCLOPHOSPHAMIDE; CYTOMEGALOVIRUS-INFECTION; LETERMOVIR PROPHYLAXIS; RECIPIENTS; COVID-19; OUTCOMES; LEUKEMIA; THERAPY; DISEASE</t>
  </si>
  <si>
    <t xml:space="preserve">Purpose of reviewViral infections are important complications after allogeneic hematopoietic stem cell transplantation. New infections develop such as SARS-CoV-2 with the potential for severe consequences. In this review, newly published information regarding management of viral infections is discussed.Recent findingsLetermovir and maribavir are antiviral agents that have positively impacted the management of cytomegalovirus infections. These should today be included in treatment algorithms. The first antiviral cellular therapy for anti-CD20 refractory EBV-associated lymphoproliferative disease is now licensed and available. Vaccination as well as introduction of antiviral agents, mAbs and possibly the development of different viral strains have reduced mortality in COVID-19 in this patient population. Well designed studies have shown the improved immunogenicity of high-dose influenza vaccines. There is still an unmet medical need for patients infected with human metapneumovirus and parainfluenza viruses.SummaryAlthough improvements in patient management for several important posttransplantation viral infections have been reported, an unmet medical need still exists for other viruses occurring in this high-risk population.</t>
  </si>
  <si>
    <t xml:space="preserve">[Ljungman, Per] Karolinska Univ Hosp, Karolinska Inst, Karolinska Comprehens Canc Ctr,Div Hematol, Dept Med Huddinge,Dept Cellular Therapy &amp; Allogen, SE-14186 Stockholm, Sweden</t>
  </si>
  <si>
    <t xml:space="preserve">Ljungman, P (corresponding author), Karolinska Univ Hosp, Karolinska Inst, Karolinska Comprehens Canc Ctr,Div Hematol, Dept Med Huddinge,Dept Cellular Therapy &amp; Allogen, SE-14186 Stockholm, Sweden.</t>
  </si>
  <si>
    <t xml:space="preserve">Per.Ljungman@ki.se</t>
  </si>
  <si>
    <t xml:space="preserve">1065-6251</t>
  </si>
  <si>
    <t xml:space="preserve">1531-7048</t>
  </si>
  <si>
    <t xml:space="preserve">CURR OPIN HEMATOL</t>
  </si>
  <si>
    <t xml:space="preserve">Curr. Opin. Hematol.</t>
  </si>
  <si>
    <t xml:space="preserve">10.1097/MOH.0000000000000833</t>
  </si>
  <si>
    <t xml:space="preserve">H2O3A</t>
  </si>
  <si>
    <t xml:space="preserve">WOS:001321877900008</t>
  </si>
  <si>
    <t xml:space="preserve">Jyoti, J; Sameer, S; Prashant, K; Lalit, D</t>
  </si>
  <si>
    <t xml:space="preserve">Jyoti, Jethani; Sameer, Samad; Prashant, Kumar; Lalit, Dar</t>
  </si>
  <si>
    <t xml:space="preserve">Risk of respiratory viral infections after hematopoietic stem cell transplantation in Indian patients</t>
  </si>
  <si>
    <t xml:space="preserve">RESEARCH JOURNAL OF BIOTECHNOLOGY</t>
  </si>
  <si>
    <t xml:space="preserve">Allogeneic; Autologous; Hematopoietic stem cell transplant (HSCT); Respiratory Virus; RTPCR</t>
  </si>
  <si>
    <t xml:space="preserve">VIRUS-INFECTIONS; TRACT INFECTIONS; SOLID-ORGAN; PCR; PREVENTION; RECIPIENTS; MORTALITY</t>
  </si>
  <si>
    <t xml:space="preserve">Haematopoietic stem cell transplant (HSCT) recipients are at higher risk of morbidity and mortality due to respiratory infections and their frequency is not well studied in Indian HSCT recipients. A cohort of 55 HSCT recipients were enrolled prospectively for respiratory episodes. Real-time polymerase chain reaction was performed for respiratory viral aetiology. A total of 153 episodes of acute respiratory infections occurred, [107 episodes (mean; 2.8/patient) in autologous HSCT (n=38); 46 episodes (mean; 2.7/patients) in allogeneic HSCT (n=17)]. From these episodes, 70 samples could be tested for respiratory viruses, of which 33 (47. 1%) samples tested positive. A higher infection rate (52%; 26/50) was seen in autologous HSCT compared with allogeneic HSCT (35%; 7/20). Rhinoviruses were detected most often (18/33; 54.5%), followed by parainfluenza viruses, (PIV, 6/33; 18. 1%). Human metapneumoviruses, (hMPV) and influenza A/H3N2 were detected in 4 samples each (4/33; 12. 1%) followed by respiratory syncytial virus (RSV, 2/33; 6.1%). Of the 13 patients with an unfavourable outcome, 4 had respiratory viral infections. Significantly higher fatality was observed in allogeneic than in autologous recipients. Respiratory viruses cause multiple episodes of infection contributing to morbidity and mortality in HSCT recipients.</t>
  </si>
  <si>
    <t xml:space="preserve">[Jyoti, Jethani; Prashant, Kumar] Amity Univ, Amity Inst Virol &amp; Immunol, Sect 125, Noida 201313, Uttar Pradesh, India; [Jyoti, Jethani; Lalit, Dar] All India Inst Med Sci AIIMS, Dept Microbiol, New Delhi 110029, India; [Sameer, Samad] All India Inst Med Sci AIIMS, Dept Internal Med, New Delhi 110029, India</t>
  </si>
  <si>
    <t xml:space="preserve">Amity University Noida; All India Institute of Medical Sciences (AIIMS) New Delhi; All India Institute of Medical Sciences (AIIMS) New Delhi</t>
  </si>
  <si>
    <t xml:space="preserve">Prashant, K (corresponding author), Amity Univ, Amity Inst Virol &amp; Immunol, Sect 125, Noida 201313, Uttar Pradesh, India.</t>
  </si>
  <si>
    <t xml:space="preserve">pkumar18@amity.edu</t>
  </si>
  <si>
    <t xml:space="preserve">Jethani, Jyoti/AFU-5198-2022</t>
  </si>
  <si>
    <t xml:space="preserve">Indian Council of Medical Research (ICMR), New Delhi; Department of Health Research, Viral Research and Diagnostic Laboratory (DHR-VRDL)</t>
  </si>
  <si>
    <t xml:space="preserve">Indian Council of Medical Research (ICMR), New Delhi(Indian Council of Medical Research (ICMR)); Department of Health Research, Viral Research and Diagnostic Laboratory (DHR-VRDL)</t>
  </si>
  <si>
    <t xml:space="preserve">The authors thank the Indian Council of Medical Research (ICMR), New Delhi and Department of Health Research, Viral Research and Diagnostic Laboratory (DHR-VRDL) for their financial support.</t>
  </si>
  <si>
    <t xml:space="preserve">RESEARCH JOURNAL BIOTECHNOLOGY</t>
  </si>
  <si>
    <t xml:space="preserve">INDORE</t>
  </si>
  <si>
    <t xml:space="preserve">SECTOR A-80, SCHEME NO 54, VIJAY NAGAR, A B ROAD, INDORE, 452 010 MP, INDIA</t>
  </si>
  <si>
    <t xml:space="preserve">2278-4535</t>
  </si>
  <si>
    <t xml:space="preserve">RES J BIOTECHNOL</t>
  </si>
  <si>
    <t xml:space="preserve">Res. J. Biotechnol.</t>
  </si>
  <si>
    <t xml:space="preserve">Biotechnology &amp; Applied Microbiology</t>
  </si>
  <si>
    <t xml:space="preserve">UZ2XI</t>
  </si>
  <si>
    <t xml:space="preserve">WOS:000702072800013</t>
  </si>
  <si>
    <t xml:space="preserve">Akhmedov, M; Wais, V; Sala, E; Neagoie, A; Nguyen, TM; Gantner, A; von Harsdorf, S; Kuchenbauer, F; Schubert, A; Michel, D; Döhner, H; Bunjes, D</t>
  </si>
  <si>
    <t xml:space="preserve">Akhmedov, Mobil; Wais, Verena; Sala, Elisa; Neagoie, Adela; Thanh Mai Nguyen; Gantner, Andrea; von Harsdorf, Stephanie; Kuchenbauer, Florian; Schubert, Axel; Michel, Detlef; Doehner, Hartmut; Bunjes, Donald</t>
  </si>
  <si>
    <t xml:space="preserve">Respiratory syncytial virus and human metapneumovirus after allogeneic hematopoietic stem cell transplantation: Impact of the immunodeficiency scoring index, viral load, and ribavirin treatment on the outcomes</t>
  </si>
  <si>
    <t xml:space="preserve">allogeneic hematopoietic stem cell transplantation; human metapneumovirus; ISI; respiratory syncytial virus; ribavirin</t>
  </si>
  <si>
    <t xml:space="preserve">INFLUENZA INFECTIONS; TRACT INFECTIONS; RNA DETECTION; RECIPIENTS; MORTALITY; DISEASE</t>
  </si>
  <si>
    <t xml:space="preserve">Introduction Respiratory viral infections are a major cause of morbidity and mortality among stem cell transplant recipients. While there is a substantial amount of information on prognostic factors and response to ribavirin therapy is available for RSV infections, this information is largely lacking for hMPV. Patients and methods In total, 71 patients were included in this study: 47 patients with RSV and 24 with hMPV. Forty-one patients presented as an upper respiratory tract infection (URTI) and 30 as a primary lower respiratory tract infection (LRTI). Patients were stratified as per ISI criteria into low-, moderate-, and high-risk groups. Twenty-two patients in the URTI cohort received treatment with ribavirin (mainly oral), and 19 patients received no antiviral therapy. The decision for antiviral treatment was at the discretion of the attending physician. All 30 patients with primary LRTI and 10 patients with secondary LRTI were treated with ribavirin, 95% with the intravenous formulation. 45% of these patients received additional treatment with intravenous immunoglobulins. The viral load was assessed indirectly by using the CT value of the RT-PCR. Results In the cohort, as whole 11.5% suffered a virus-associated death, 5% in the URTI group, and 20% in the LRTI group. Sixty-day mortality was significantly higher in the ISI high-risk group (log-rank P = .05). Mortality was independent of the type of virus (P = .817). Respiratory failure with an indication for mechanical ventilation developed in 11.5%, this risk was independent of the type of virus. Progression from URTI to LRTI was observed in 24% of cases with a significantly higher risk (75%) in the ISI high group (log-rank P = .001). In the ISI high-risk group, treatment with ribavirin significantly reduced the risk of progression (log-rank P &lt; .001). Neither the type of virus nor the viral load in the nasopharyngeal swab impacted the risk of progression (P = .529 and P = .141, respectively). The detection of co-pathogens in the BAL fluid was borderline significant for mortality (P = .07). Conclusions We could detect no differences between RSV and hMPV with respect to progression to LRTI, risk of respiratory failure or need for mechanical ventilation and virus-associated death. The ISI index is of predictive value in hMPV patients with a high ISI score and treatment with oral ribavirin has an equivalent protective effect in RSV and hMPV patients. Treatment of LRTI with intravenous ribavirin results in a similar outcome in RSV- and hMPV-infected patients. We could not detect any benefit of adjunctive treatment with immunoglobulins in both primary and secondary LRTI. No role of viral load as an independent prognostic marker could be detected either for progression to LRTI or death.</t>
  </si>
  <si>
    <t xml:space="preserve">[Akhmedov, Mobil; Wais, Verena; Sala, Elisa; Neagoie, Adela; Thanh Mai Nguyen; Gantner, Andrea; von Harsdorf, Stephanie; Kuchenbauer, Florian; Doehner, Hartmut; Bunjes, Donald] Univ Hosp Ulm, Dept Internal Med 3, Albert Einstein Allee 23, D-89081 Ulm, Germany; [Schubert, Axel; Michel, Detlef] Univ Hosp Ulm, Dept Virol, Ulm, Germany</t>
  </si>
  <si>
    <t xml:space="preserve">Ulm University; Ulm University</t>
  </si>
  <si>
    <t xml:space="preserve">Bunjes, D (corresponding author), Univ Hosp Ulm, Dept Internal Med 3, Albert Einstein Allee 23, D-89081 Ulm, Germany.</t>
  </si>
  <si>
    <t xml:space="preserve">donald.bunjes@uniklinik-ulm.de</t>
  </si>
  <si>
    <t xml:space="preserve">Döhner, Hartmut/C-8933-2016; Akhmedov, Mobil/ABH-2465-2020</t>
  </si>
  <si>
    <t xml:space="preserve">e13276</t>
  </si>
  <si>
    <t xml:space="preserve">10.1111/tid.13276</t>
  </si>
  <si>
    <t xml:space="preserve">APR 2020</t>
  </si>
  <si>
    <t xml:space="preserve">ND2PU</t>
  </si>
  <si>
    <t xml:space="preserve">WOS:000523700900001</t>
  </si>
  <si>
    <t xml:space="preserve">Ison, MG; Marty, FM; Chao, N; Moon, SH; Zhang, ZJ; Chandak, A</t>
  </si>
  <si>
    <t xml:space="preserve">Ison, Michael G.; Marty, Francisco M.; Chao, Nelson; Moon, Seung Hyun; Zhang, Zhiji; Chandak, Aastha</t>
  </si>
  <si>
    <t xml:space="preserve">Economic and clinical burden associated with respiratory viral infections after allogeneic hematopoietic cell transplant in the United States</t>
  </si>
  <si>
    <t xml:space="preserve">allogeneic HCT; clinical burden; health care burden; respiratory viral infection</t>
  </si>
  <si>
    <t xml:space="preserve">VIRUS-INFECTIONS; SOLID-ORGAN; RECIPIENTS; MANAGEMENT</t>
  </si>
  <si>
    <t xml:space="preserve">Background Allogeneic hematopoietic cell transplant (allo-HCT) recipients are at increased risk for respiratory viral infections (RVIs), which invoke substantial morbidity and mortality. Limited effective antiviral options and drug resistance often hamper successful RVI treatment, creating additional burden for patients and the health care system. Methods Using an open-source health care claims database, we examined differences in clinical outcomes, health resource utilization, and total reimbursements during the 1-year period following allo-HCT in patients with and without any RVI infection (respiratory syncytial virus, influenza, parainfluenza virus, and human metapneumovirus). RVIs were diagnosed at any time &lt;= 1 year after allo-HCT and identified by International Classification of Disease codes. Analyses were stratified by the presence or absence of acute or chronic graft-versus-host disease (GVHD). Results The study included 13 363 allo-HCT patients, 1368 (10.2%) of whom had a diagnostic code for any RVI. A higher proportion of patients with any RVI had pneumonia &lt;= 1 year after allo-HCT compared to patients without any RVI, with or without GVHD. Patients with any RVI had higher all-cause mortality risk, longer length of post-allo-HCT hospital stay, higher readmission rate, and higher number of hospital days after allo-HCT compared to patients without the infection (all p &lt; .05). Total unadjusted median reimbursements were higher for those with any RVI and each specific RVI assessed than those without the specific infection, with or without GVHD. Conclusion Allo-HCT patients with RVIs had significantly worse clinical outcomes and increased health resource utilization and reimbursements during the year following allo-HCT, with or without GVHD.</t>
  </si>
  <si>
    <t xml:space="preserve">[Ison, Michael G.] Northwestern Univ, Feinberg Sch Med, Suite 900 645 N Michigan Ave, Chicago, IL 60611 USA; [Marty, Francisco M.] Brigham &amp; Womens Hosp, 75 Francis St, Boston, MA 02115 USA; [Chao, Nelson] Duke Univ, Med Ctr, Durham, NC USA; [Moon, Seung Hyun] AlloVir, Cambridge, MA USA; [Zhang, Zhiji; Chandak, Aastha] Certara, New York, NY USA</t>
  </si>
  <si>
    <t xml:space="preserve">Northwestern University; Feinberg School of Medicine; Harvard University; Brigham &amp; Women's Hospital; Duke University</t>
  </si>
  <si>
    <t xml:space="preserve">Ison, MG (corresponding author), Northwestern Univ, Feinberg Sch Med, Suite 900 645 N Michigan Ave, Chicago, IL 60611 USA.</t>
  </si>
  <si>
    <t xml:space="preserve">Ison, Michael/0000-0003-3347-9671</t>
  </si>
  <si>
    <t xml:space="preserve">e13866</t>
  </si>
  <si>
    <t xml:space="preserve">10.1111/tid.13866</t>
  </si>
  <si>
    <t xml:space="preserve">3Q4ME</t>
  </si>
  <si>
    <t xml:space="preserve">WOS:000804471200001</t>
  </si>
  <si>
    <t xml:space="preserve">Sweet, SC; Chin, H; Conrad, C; Hayes, D; Heeger, PS; Faro, A; Goldfarb, S; Melicoff-Portillo, E; Mohanakumar, T; Odim, J; Schecter, M; Storch, GA; Visner, G; Williams, NM; Kesler, K; Danziger-Isakov, L</t>
  </si>
  <si>
    <t xml:space="preserve">Sweet, Stuart C.; Chin, Hyunsook; Conrad, Carol; Hayes, Don; Heeger, Peter S.; Faro, Albert; Goldfarb, Samuel; Melicoff-Portillo, Ernestina; Mohanakumar, Thalachallour; Odim, Jonah; Schecter, Marc; Storch, Gregory A.; Visner, Gary; Williams, Nikki M.; Kesler, Karen; Danziger-Isakov, Lara</t>
  </si>
  <si>
    <t xml:space="preserve">Absence of evidence that respiratory viral infections influence pediatric lung transplantation outcomes: Results of the CTOTC-03 study</t>
  </si>
  <si>
    <t xml:space="preserve">alloantibody; autoantibody; autoimmunity; infection and infectious agents - viral; lung (allograft) function; dysfunction; lung transplantation; pulmonology; pediatrics; translational research; science</t>
  </si>
  <si>
    <t xml:space="preserve">BRONCHIOLITIS-OBLITERANS-SYNDROME; RECIPIENT GENDER MISMATCH; ANTI-HLA ANTIBODIES; AIRWAY EPITHELIAL-CELLS; ISHLT WORKING GROUP; REACTIVE T-CELLS; INTERNATIONAL-SOCIETY; GRAFT DYSFUNCTION; CELLULAR ALLOIMMUNITY; HUMAN METAPNEUMOVIRUS</t>
  </si>
  <si>
    <t xml:space="preserve">Based on reports in adult lung transplant recipients, we hypothesized that community-acquired respiratory viral infections (CARVs) would be a risk factor for poor outcome after pediatric lung transplant. We followed 61 pediatric lung transplant recipients for 2+ years or until they met a composite primary endpoint including bronchiolitis obliterans syndrome/obliterative bronchiolitis, retransplant, or death. Blood, bronchoalveolar lavage, and nasopharyngeal specimens were obtained with standard of care visits. Nasopharyngeal specimens were obtained from recipients with respiratory viral symptoms. Respiratory specimens were interrogated for respiratory viruses by using multiplex polymerase chain reaction. Donor-specific HLA antibodies, self-antigens, and ELISPOT reactivity were also evaluated. Survival was 84% (1 year) and 68% (3 years). Bronchiolitis obliterans syndrome incidence was 20% (1 year) and 38% (3 years). The primary endpoint was met in 46% of patients. CARV was detected in 156 patient visits (74% enterovirus/rhinovirus). We did not find a relationship between CARV recovery from respiratory specimens and the primary endpoint (hazard ratio 0.64 [95% confidence interval: 0.25-1.59], P = .335) or between CARV and the development of alloimmune or autoimmune humoral or cellular responses. These findings raise the possibility that the immunologic impact of CARV following pediatric lung transplant is different than that observed in adults.</t>
  </si>
  <si>
    <t xml:space="preserve">[Sweet, Stuart C.; Storch, Gregory A.] Washington Univ St Louis, St Louis, MO 63130 USA; [Chin, Hyunsook; Kesler, Karen] Rho Fed Syst, Chapel Hill, NC USA; [Conrad, Carol] Lucile Packard Childrens Hosp, Palo Alto, CA USA; [Hayes, Don] Nationwide Childrens Hosp, Columbus, OH USA; [Heeger, Peter S.] Icahn Sch Med Mt Sinai, Dept Med, Translat Transplant Res Ctr, New York, NY 10029 USA; [Faro, Albert] Cyst Fibrosis Fdn, Bethesda, MD USA; [Goldfarb, Samuel] Childrens Hosp Philadelphia, Philadelphia, PA 19104 USA; [Melicoff-Portillo, Ernestina] Texas Childrens Hosp, Houston, TX 77030 USA; [Mohanakumar, Thalachallour] St Josephs Hosp, Norton Thorac Inst, Phoenix, AZ USA; [Odim, Jonah; Williams, Nikki M.] NIAID, NIH, 9000 Rockville Pike, Bethesda, MD 20892 USA; [Schecter, Marc; Danziger-Isakov, Lara] Cincinnati Childrens Hosp Med Ctr, Cincinnati, OH 45229 USA; [Visner, Gary] Boston Childrens Hosp, Boston, MA USA</t>
  </si>
  <si>
    <t xml:space="preserve">Washington University (WUSTL); Rho; Lucile Packard Children's Hospital (LPCH); University System of Ohio; Ohio State University; Nationwide Childrens Hospital; Icahn School of Medicine at Mount Sinai; Cystic Fibrosis Foundation; University of Pennsylvania; Pennsylvania Medicine; Childrens Hospital of Philadelphia; Baylor College of Medicine; Baylor College Medical Hospital; St. Joseph's Hospital and Medical Center; National Institutes of Health (NIH) - USA; NIH National Institute of Allergy &amp; Infectious Diseases (NIAID); Cincinnati Children's Hospital Medical Center; Harvard University; Boston Children's Hospital</t>
  </si>
  <si>
    <t xml:space="preserve">Sweet, SC (corresponding author), Washington Univ St Louis, St Louis, MO 63130 USA.</t>
  </si>
  <si>
    <t xml:space="preserve">scsweet@wustl.edu</t>
  </si>
  <si>
    <t xml:space="preserve">Sweet, Stuart/AFS-1828-2022; Schecter, Marc/ABD-8262-2021</t>
  </si>
  <si>
    <t xml:space="preserve">Heeger, Peter/0000-0003-4673-6913; Sweet, Stuart/0000-0002-0638-2586; Williams, Nikki/0000-0002-9720-3108; Schecter, Marc/0000-0001-6047-9939; Goldfarb, Samuel/0000-0002-0012-5415</t>
  </si>
  <si>
    <t xml:space="preserve">Division of Allergy, Immunology and Transplantation of the National Institutes of Health [U01 AI077810]</t>
  </si>
  <si>
    <t xml:space="preserve">Division of Allergy, Immunology and Transplantation of the National Institutes of Health</t>
  </si>
  <si>
    <t xml:space="preserve">This research was performed as a project of the Clinical Trials in Organ Transplantation in Children, a collaborative clinical research project headquartered at the National Institute of Allergy and Infectious Diseases. The work was supported by Grant U01 AI077810 Viral Triggers of Alloimmunity and Autoimmunity in Pediatric Lung Transplantation from the Division of Allergy, Immunology and Transplantation of the National Institutes of Health.</t>
  </si>
  <si>
    <t xml:space="preserve">10.1111/ajt.15505</t>
  </si>
  <si>
    <t xml:space="preserve">JUL 2019</t>
  </si>
  <si>
    <t xml:space="preserve">JT9AH</t>
  </si>
  <si>
    <t xml:space="preserve">WOS:000479456500001</t>
  </si>
  <si>
    <t xml:space="preserve">Hartert, TV; Carroll, K; Gebretsadik, T; Woodward, K; Minton, P</t>
  </si>
  <si>
    <t xml:space="preserve">Hartert, Tina V.; Carroll, Kecia; Gebretsadik, Tebeb; Woodward, Kimberly; Minton, Patricia</t>
  </si>
  <si>
    <t xml:space="preserve">Vanderbilt Ctr Asthma Environm Hlt</t>
  </si>
  <si>
    <t xml:space="preserve">The Tennessee Children's Respiratory Initiative: Objectives, design and recruitment results of a prospective cohort study investigating infant viral respiratory illness and the development of asthma and allergic diseases</t>
  </si>
  <si>
    <t xml:space="preserve">allergic rhinitis; asthma; bronchiolitis; Immunoglobulin E; respiratory virus</t>
  </si>
  <si>
    <t xml:space="preserve">HUMAN METAPNEUMOVIRUS INFECTION; CHILDHOOD ISAAC; QUESTIONNAIRE; VALIDATION; INFLUENZA; DIAGNOSIS; BURDEN; PCR</t>
  </si>
  <si>
    <t xml:space="preserve">Background and objective: The 'attack rate' of asthma following viral lower respiratory tract infections (LRTI) is about 3-4 fold higher than that of the general population; however, the majority of children who develop viral LRTI during infancy do not develop asthma, and asthma incidence has been observed to continuously decrease with age. Thus, we do not understand how viral LRTI either predispose or serve as a marker of children to develop asthma. The Tennessee Children's Respiratory Initiative has been established as a longitudinal prospective investigation of infants and their biological mothers. The primary goals are to investigate both the acute and the long-term health consequences of varying severity and aetiology of clinically significant viral respiratory tract infections on early childhood outcomes. Methods: Over four respiratory viral seasons, 2004-2008, term, non-low birth weight previously healthy infants and their biological mothers were enrolled during an infant's acute viral respiratory illness. Longitudinal follow up to age 6 years is ongoing. Results: This report describes the study objectives, design and recruitment results of the over 650 families enrolled in this longitudinal investigation. The Tennessee Children's Respiratory Initiative is additionally unique because it is designed in parallel with a large retrospective birth cohort of over 95 000 mother-infant dyads with similar objectives to investigate the role of respiratory viral infection severity and aetiology in the development of asthma. Conclusions: Future reports from this cohort will help to clarify the complex relationship between infant respiratory viral infection severity, aetiology, atopic predisposition and the subsequent development of early childhood asthma and atopic diseases.</t>
  </si>
  <si>
    <t xml:space="preserve">[Hartert, Tina V.; Woodward, Kimberly; Minton, Patricia] Vanderbilt Univ, Sch Med, Dept Med, Nashville, TN 37232 USA; [Carroll, Kecia] Vanderbilt Univ, Sch Med, Dept Pediat, Nashville, TN 37232 USA; [Gebretsadik, Tebeb] Vanderbilt Univ, Sch Med, Dept Biostat, Nashville, TN 37232 USA; [Hartert, Tina V.] Vanderbilt Univ, Sch Med, Inst Med &amp; Publ Hlth, Nashville, TN 37232 USA; [Hartert, Tina V.; Carroll, Kecia; Gebretsadik, Tebeb; Woodward, Kimberly; Minton, Patricia] Vanderbilt Univ, Sch Med, Ctr Asthma Res &amp; Environm Hlth, Nashville, TN 37232 USA</t>
  </si>
  <si>
    <t xml:space="preserve">Hartert, TV (corresponding author), Vanderbilt Univ, Sch Med, Dept Med, 6107 Med Ctr E, Nashville, TN 37232 USA.</t>
  </si>
  <si>
    <t xml:space="preserve">Gebretsadik, Tebeb/KUC-9494-2024; Williams, John/F-6962-2010</t>
  </si>
  <si>
    <t xml:space="preserve">Gebretsadik, Tebeb/0000-0003-4548-3010; Williams, John/0000-0001-8377-5175</t>
  </si>
  <si>
    <t xml:space="preserve">Thrasher Research Fund Clinical Research Grant; NIH [K24 AI 077930, UL1 RR024975, U01 HL 072471, R01 AI 05884, K12 ES 015855]</t>
  </si>
  <si>
    <t xml:space="preserve">Thrasher Research Fund Clinical Research Grant; NIH(United States Department of Health &amp; Human ServicesNational Institutes of Health (NIH) - USA)</t>
  </si>
  <si>
    <t xml:space="preserve">We would like to thank the many families, paediatricians and their office staff, who have participated in this study, as without them, this work would not have been possible. The Vanderbilt Center for Asthma and Environmental Health Research investigators and collaborators include: Paul Moore, John V. Williams, Marie Griffin, Kathryn Edwards, William Dupont, Kathryn Miller, Asad Ali, Toddra Liddell, Rachel Armstrong-Richardson, Rachel Hayes, PingshengWu, Robert Valet, Jennifer Ker, Megan Lemke, Sara Van Driest, Zhouwen Liu, Janice Brooks, Carol Meisch, James Gern, R. Stokes Peebles, L. Jackson Roberts II, Wendall Yarbrough, Adriana Bialozosky. This work was supported by Thrasher Research Fund Clinical Research Grant (to TVH), NIH mid-career investigator award K24 AI 077930 (to TVH), UL1 RR024975 (Vanderbilt CTSA), and NIH K01 AI070808 mentored clinical scientist award (to KNC). TVH is also supported by NIH U01 HL 072471 (which supports the Tennessee Asthma Bronchiolitis Study (TABS) cohort), R01 AI 05884, and NIH K12 ES 015855.</t>
  </si>
  <si>
    <t xml:space="preserve">10.1111/j.1440-1843.2010.01743.x</t>
  </si>
  <si>
    <t xml:space="preserve">589RA</t>
  </si>
  <si>
    <t xml:space="preserve">WOS:000277169300015</t>
  </si>
  <si>
    <t xml:space="preserve">Madani, TA; Abuelzein, ETME; Azhar, EI; Al-Bar, HMS; Abu-Araki, H; Ksiazek, TG</t>
  </si>
  <si>
    <t xml:space="preserve">Madani, Tariq A.; Abuelzein, El-Tayb M. E.; Azhar, Esam I.; Al-Bar, Hussein M. S.; Abu-Araki, Huda; Ksiazek, Thomas G.</t>
  </si>
  <si>
    <t xml:space="preserve">Comparison of RT-PCR assay and virus isolation in cell culture for the detection of alkhumra hemorrhagic fever virus</t>
  </si>
  <si>
    <t xml:space="preserve">Alkhumra hemorrhagic fever virus; virus isolation; cell culture, real time RT-PCR</t>
  </si>
  <si>
    <t xml:space="preserve">REVERSE TRANSCRIPTION-PCR; HUMAN METAPNEUMOVIRUS; SAUDI-ARABIA; INFECTIONS; DIAGNOSIS; ANTIBODY; YOUNG</t>
  </si>
  <si>
    <t xml:space="preserve">Alkhumra hemorrhagic fever virus (AHFV) is an emerging flavivirus that was isolated originally from Saudi Arabia in 1994-1995. The main tests used for the detection of AHFV are the real time (rt) RT-PCR and virus isolation in cell culture. In the present study the detection of AHFV by rtRT-PCR was compared with virus isolation in BHK-21, HEp-2, and LLC-MK2 cell lines. AHFV suspensions grown in BHK-21, HEp-2, and LLC-MK2 cell lines were serially diluted 10-fold from 10(-1) to 10(-11). Samples from each dilution were used to inoculate four cell culture tubes and were also examined by the rtRT-PCR for AHFV RNA. Fifteen non-inoculated cell culture samples (five from each cell line) were included blindly in both tests. Thus, a total of 132 AHFV-positive and 15 negative control samples were tested. The rtRT-PCR could detect the viral RNA in all diluted specimens up to and including the 10(-10) dilution (40 specimens for each cell line), whereas, cell cultures were positive in 70% of specimens for BHK-21, 65% for LLC-MK2, and 45% for HEp-2 at this dilution. None of the three cell cultures nor the rtRT-PCR was positive at 10(-11) dilution. The specificity and positive predictive values of virus isolation compared to rtRT-PCR were each 100%, whereas the negative predictive values were 29.4% for BHK-21, 26.3% for LLC-MK2, and 18.5% for HEp-2. In conclusion, the rtRT-PCR is more sensitive than virus isolation for detecting AHFV. J. Med. Virol. 86:1176-1180, 2014. (c) 2013 Wiley Periodicals, Inc.</t>
  </si>
  <si>
    <t xml:space="preserve">[Madani, Tariq A.] King Abdulaziz Univ, Fac Med, Dept Med, Jeddah 21413, Saudi Arabia; [Abuelzein, El-Tayb M. E.] King Abdulaziz Univ, King Fahd Med Res Ctr, Sci Chair Sheikh Mohammad Hussein Al Amoudi Viral, Jeddah 21413, Saudi Arabia; [Abuelzein, El-Tayb M. E.; Azhar, Esam I.] King Abdulaziz Univ, King Fahd Med Res Ctr, Special Infect Agents Unit, Jeddah 21413, Saudi Arabia; [Azhar, Esam I.] King Abdulaziz Univ, Dept Med Lab Technol, Fac Appl Med Sci, Jeddah 21413, Saudi Arabia; [Al-Bar, Hussein M. S.] King Abdulaziz Univ, Dept Family &amp; Community Med, Fac Med, Jeddah 21413, Saudi Arabia; [Abu-Araki, Huda] King Abdulaziz Univ, King Fahd Med Res Ctr, Lab Anim Unit, Jeddah 21413, Saudi Arabia; [Ksiazek, Thomas G.] Univ Texas Med Branch, Galveston Natl Lab, Dept Pathol, Galveston, TX 77555 USA; [Ksiazek, Thomas G.] Univ Texas Med Branch, Galveston Natl Lab, Dept Microbiol &amp; Immunol, Galveston, TX 77555 USA</t>
  </si>
  <si>
    <t xml:space="preserve">King Abdulaziz University; King Abdulaziz University; King Abdulaziz University; King Abdulaziz University; King Abdulaziz University; King Abdulaziz University; University of Texas System; University of Texas Medical Branch Galveston; University of Texas System; University of Texas Medical Branch Galveston</t>
  </si>
  <si>
    <t xml:space="preserve">Madani, TA (corresponding author), King Abdulaziz Univ Hosp, Dept Med, POB 80215, Jeddah 21589, Saudi Arabia.</t>
  </si>
  <si>
    <t xml:space="preserve">tmadani@kau.edu.sa</t>
  </si>
  <si>
    <t xml:space="preserve">Madani, Tariq/AAY-8909-2020; Azhar, Esam/ABI-1044-2020; Abu-araki, Huda/I-7113-2013</t>
  </si>
  <si>
    <t xml:space="preserve">Azhar, Esam Ibraheem/0000-0002-1736-181X; Madani, Tariq/0000-0003-2453-0623</t>
  </si>
  <si>
    <t xml:space="preserve">Sheikh Mohammad Hussein Al-Amoudi's Scientific Chair for Viral Hemorrhagic Fever at King Abdulaziz University, Jeddah, Saudi Arabia</t>
  </si>
  <si>
    <t xml:space="preserve">Sheikh Mohammad Hussein Al-Amoudi's Scientific Chair for Viral Hemorrhagic Fever at King Abdulaziz University, Jeddah, Saudi Arabia(King Abdulaziz University)</t>
  </si>
  <si>
    <t xml:space="preserve">Grant sponsor: Sheikh Mohammad Hussein Al-Amoudi's Scientific Chair for Viral Hemorrhagic Fever at King Abdulaziz University, Jeddah, Saudi Arabia</t>
  </si>
  <si>
    <t xml:space="preserve">10.1002/jmv.23755</t>
  </si>
  <si>
    <t xml:space="preserve">WOS:000335195300012</t>
  </si>
  <si>
    <t xml:space="preserve">Laine, O; Laine, J; Säilä, P; Huhtala, H; Syrjänen, J; Vuorinen, T; Vuento, R</t>
  </si>
  <si>
    <t xml:space="preserve">Laine, Outi; Laine, Janne; Saila, Petrus; Huhtala, Heini; Syrjanen, Jaana; Vuorinen, Tytti; Vuento, Risto</t>
  </si>
  <si>
    <t xml:space="preserve">An outbreak of human metapneumovirus in a rehabilitation center for alcoholics in Tampere, Finland</t>
  </si>
  <si>
    <t xml:space="preserve">Alcoholic; healthcare-associated infections; human metapneumovirus; outbreak; smoking</t>
  </si>
  <si>
    <t xml:space="preserve">COMMUNITY-ACQUIRED PNEUMONIA; INFECTION; EXACERBATIONS; EPIDEMIOLOGY; IMPACT; RISK</t>
  </si>
  <si>
    <t xml:space="preserve">Reports of respiratory tract infections in a rehabilitation center for alcoholics triggered the epidemiological investigations in Tampere, Finland. Twenty-nine out of 40 residents (attack rate 73%) and four members of staff fulfilled the case criteria: cough; worsening of dyspnea; or rhinitis with or without fever. Ten cases were hospitalized, one needed treatment in the intensive care unit. All cases recovered. Serum hMPV antibody titer was high (10 240 or more) in 20 (69%) of the 29 tested cases and the difference was significant when compared with the titer measured from the voluntary laboratory personnel (n = 14, p &lt; 0.001). The titers were rising in three out of the five cases from whom coupled samples could be obtained. Rt-PCR for hMPV was positive in three out of the eight tested cases. No other causative agent for the outbreak was detected. The outcome of hMPV infection among institutionalized smoking alcoholics was good with no mortality.</t>
  </si>
  <si>
    <t xml:space="preserve">[Laine, Outi; Laine, Janne; Saila, Petrus; Syrjanen, Jaana] Tampere Univ Hosp, Dept Internal Med, Tampere, Finland; [Laine, Outi] Univ Tampere, Sch Med, FIN-33101 Tampere, Finland; [Laine, Janne] Natl Inst Hlth &amp; Welf, Helsinki, Finland; [Huhtala, Heini] Univ Tampere, Sch Hlth Sci, FIN-33101 Tampere, Finland; [Vuorinen, Tytti] Univ Turku, Dept Virol, Turku, Finland; [Vuento, Risto] Fimlab Labs, Dept Clin Microbiol, Tampere, Finland</t>
  </si>
  <si>
    <t xml:space="preserve">Tampere University; Tampere University Hospital; Tampere University; Finland National Institute for Health &amp; Welfare; Tampere University; University of Turku</t>
  </si>
  <si>
    <t xml:space="preserve">Laine, O (corresponding author), TAYS, POB 2000, Tampere 33521, Finland.</t>
  </si>
  <si>
    <t xml:space="preserve">outi.laine@uta.fi</t>
  </si>
  <si>
    <t xml:space="preserve">Syrjanen, Jaana/0000-0002-7335-573X</t>
  </si>
  <si>
    <t xml:space="preserve">10.3109/00365548.2014.995698</t>
  </si>
  <si>
    <t xml:space="preserve">CM5ON</t>
  </si>
  <si>
    <t xml:space="preserve">WOS:000357737700010</t>
  </si>
  <si>
    <t xml:space="preserve">Preceding human metapneumovirus infection increases adherence of Streptococcus pneumoniae and severity of murine pneumococcal pneumonia</t>
  </si>
  <si>
    <t xml:space="preserve">airway epithelium; animal model; infection and inflammation; pneumonia; viral infection</t>
  </si>
  <si>
    <t xml:space="preserve">COMMUNITY-ACQUIRED PNEUMONIA; RESPIRATORY SYNCYTIAL VIRUS; HUMAN EPITHELIAL-CELLS; CLEARANCE; ETIOLOGY; MODEL; CHILDREN; IMMUNITY; IL-10; MICE</t>
  </si>
  <si>
    <t xml:space="preserve">Background: Coinfection with respiratory virus and Streptococcus pneumoniae has been frequently reported in several epidemiologic studies. The aim of this study was to explore the effect of preceding human metapneumovirus (hMPV) inoculation on subsequent pneumococcal infection. Methods: Hep-2 and A549 cells were infected with hMPV then inoculated with S. pneumoniae. Bacterial adhesion was measured using colony forming unit and cytometric-fluorescence assays. In vivo bacterial adhesion was examined in hMPV-infected mice after inoculation of fluorescence-conjugated S. pneumoniae. Pulmonary inflammation (bacterial titers, cytokine levels, and histopathology) of hMPV-infected mice was investigated after inoculation with S. pneumoniae. Results: In vitro results of bacterial infection with S. pneumoniae on A549 and Hep-2 mono layer cells showed that even though cellular adherence was variable among different serotypes, there was significantly enhanced bacterial adherence in A549 cells with preceding hMPV infection. In addition, in vivo study of hMPV-infected mice showed increased adhesion of S. pneumoniae on the bronchial epithelium with delayed bacterial clearance and exacerbated histopathology. Furthermore, mice with preceding hMPV infection showed repressed recruitment of airway neutrophils with decreased expression of neutrophil chemoattractants during pneumococcal infection. Conclusion: These results suggest that hMPV-infected airway cells, especially the lower airway epithelium, express increased adherence with S. pneumoniae. Furthermore, hMPV-infected mice showed impaired recruitment of airway neutrophils, possibly leading to delayed bacterial clearance and exacerbated pulmonary inflammation, after secondary infection with pneumococcal isolates. Copyright (C) 2014, Taiwan Society of Microbiology. Published by Elsevier Taiwan LLC. All rights reserved.</t>
  </si>
  <si>
    <t xml:space="preserve">[Lai, Shen-Hao; Wong, Kin-Sun; Lin, Tzou-Yien] Chang Gung Mem Hosp, Dept Pediat, 5 Fu Hsing St, Taoyuan, Taiwan; [Lai, Shen-Hao; Wong, Kin-Sun; Lin, Tzou-Yien] Chang Gung Univ, Taoyuan, Taiwan; [Liao, Sui-Ling] Chang Gung Mem Hosp, Dept Pediat, Keelung, Taiwan; [Liao, Sui-Ling] Chang Gung Univ, Keelung, Taiwan</t>
  </si>
  <si>
    <t xml:space="preserve">Chang Gung Memorial Hospital; Chang Gung University; Chang Gung Memorial Hospital; Chang Gung University</t>
  </si>
  <si>
    <t xml:space="preserve">Lin, TY (corresponding author), Chang Gung Mem Hosp, Dept Pediat, 5 Fu Hsing St, Taoyuan, Taiwan.</t>
  </si>
  <si>
    <t xml:space="preserve">Chang Gung Medical Hospital [CMRPG470141, 470142, 470143]</t>
  </si>
  <si>
    <t xml:space="preserve">Chang Gung Medical Hospital</t>
  </si>
  <si>
    <t xml:space="preserve">This study is sponsored by Chang Gung Medical Hospital (CMRPG470141, 470142 and 470143). The authors thank Chien-Ting Shen for her technical assistance.</t>
  </si>
  <si>
    <t xml:space="preserve">10.1016/j.jmii.2014.04.008</t>
  </si>
  <si>
    <t xml:space="preserve">DH5GA</t>
  </si>
  <si>
    <t xml:space="preserve">WOS:000372812900008</t>
  </si>
  <si>
    <t xml:space="preserve">Kutter, JS; de Meulder, D; Bestebroer, TM; Mulders, A; Fouchier, RAM; Herfst, S</t>
  </si>
  <si>
    <t xml:space="preserve">Kutter, Jasmin S.; de Meulder, Dennis; Bestebroer, Theo M.; Mulders, Ard; Fouchier, Ron A. M.; Herfst, Sander</t>
  </si>
  <si>
    <t xml:space="preserve">Comparison of three air samplers for the collection of four nebulized respiratory viruses - Collection of respiratory viruses from air -</t>
  </si>
  <si>
    <t xml:space="preserve">INDOOR AIR</t>
  </si>
  <si>
    <t xml:space="preserve">air sampling; collection efficiency; electrostatic precipitator; impactor; impinger</t>
  </si>
  <si>
    <t xml:space="preserve">INFLUENZA-VIRUS; SYNCYTIAL VIRUS; AIRBORNE MICROORGANISMS; YOUNG-CHILDREN; AEROSOL; EFFICIENCIES; INFECTION; SUBMICROMETER; INACTIVATION; MORPHOLOGY</t>
  </si>
  <si>
    <t xml:space="preserve">Viral respiratory tract infections are a leading cause of morbidity and mortality worldwide. Unfortunately, the transmission routes and shedding kinetics of respiratory viruses remain poorly understood. Air sampling techniques to quantify infectious viruses in the air are indispensable to improve intervention strategies to control and prevent spreading of respiratory viruses. Here, the collection of infectious virus with the six-stage Andersen cascade impactor was optimized with semi-solid gelatin as collection surface. Subsequently, the collection efficiency of the cascade impactor, the SKC BioSampler, and an in-house developed electrostatic precipitator was compared. In an in vitro set-up, influenza A virus, human metapneumovirus, parainfluenza virus type 3, and respiratory syncytial virus were nebulized and the amount of collected infectious virus and viral RNA was quantified with each air sampler. Whereas only low amounts of virus were collected using the electrostatic precipitator, high amounts were collected with the BioSampler and cascade impactor. The BioSampler allowed straight-forward sampling in liquid medium, whereas the more laborious cascade impactor allowed size fractionation of virus-containing particles. Depending on the research question, either the BioSampler or the cascade impactor can be applied in laboratory and field settings, such as hospitals to gain more insight into the transmission routes of respiratory viruses.</t>
  </si>
  <si>
    <t xml:space="preserve">[Kutter, Jasmin S.; de Meulder, Dennis; Bestebroer, Theo M.; Mulders, Ard; Fouchier, Ron A. M.; Herfst, Sander] Erasmus Univ, Dept Virosci, Med Ctr, Rotterdam, Netherlands</t>
  </si>
  <si>
    <t xml:space="preserve">Herfst, S (corresponding author), Erasmus Univ, Dept Virosci, Med Ctr, Rotterdam, Netherlands.</t>
  </si>
  <si>
    <t xml:space="preserve">s.herfst@erasmusmc.nl</t>
  </si>
  <si>
    <t xml:space="preserve">Fouchier, Ron/0000-0001-8095-2869; Kutter, Jasmin S./0000-0002-9934-6858</t>
  </si>
  <si>
    <t xml:space="preserve">National Institutes of Health; Nederlandse Organisatie voor Wetenschappelijk Onderzoek; Horizon 2020 Framework Programme</t>
  </si>
  <si>
    <t xml:space="preserve">National Institutes of Health(United States Department of Health &amp; Human ServicesNational Institutes of Health (NIH) - USA); Nederlandse Organisatie voor Wetenschappelijk Onderzoek(Netherlands Organization for Scientific Research (NWO)); Horizon 2020 Framework Programme(Horizon 2020)</t>
  </si>
  <si>
    <t xml:space="preserve">WILEY-HINDAWI</t>
  </si>
  <si>
    <t xml:space="preserve">ADAM HOUSE, 3RD FL, 1 FITZROY SQ, LONDON, WIT 5HE, ENGLAND</t>
  </si>
  <si>
    <t xml:space="preserve">0905-6947</t>
  </si>
  <si>
    <t xml:space="preserve">1600-0668</t>
  </si>
  <si>
    <t xml:space="preserve">Indoor Air</t>
  </si>
  <si>
    <t xml:space="preserve">10.1111/ina.12875</t>
  </si>
  <si>
    <t xml:space="preserve">Construction &amp; Building Technology; Engineering, Environmental; Public, Environmental &amp; Occupational Health</t>
  </si>
  <si>
    <t xml:space="preserve">Construction &amp; Building Technology; Engineering; Public, Environmental &amp; Occupational Health</t>
  </si>
  <si>
    <t xml:space="preserve">WI0SH</t>
  </si>
  <si>
    <t xml:space="preserve">WOS:000661129700001</t>
  </si>
  <si>
    <t xml:space="preserve">Arabpour, M; Samarbafzadeh, AR; Makvandi, M; Shamsizadeh, A; Percivalle, E; Englud, J; Latifi, SM</t>
  </si>
  <si>
    <t xml:space="preserve">Arabpour, M.; Samarbafzadeh, A. R.; Makvandi, M.; Shamsizadeh, A.; Percivalle, E.; Englud, Janet; Latifi, Seid Mannut</t>
  </si>
  <si>
    <t xml:space="preserve">THE HIGHEST PREVALENCE OF HUMAN METAPNEUMOVIRUS IN AHWAZ CHILDREN ACCOMPANIED BY ACUTE RESPIRATORY INFECTIONS</t>
  </si>
  <si>
    <t xml:space="preserve">Ahwaz; acute respiratory infections; human metapneumovirus</t>
  </si>
  <si>
    <t xml:space="preserve">Purpose: The newly described human metapneumovirus (hMPV) has been recently discovered as an etiological agent of acute respiratory infections (ARTI) in infants and children. The aim of this study was to determine the prevalence of hMPV and its potential role as causative agent of ARTI in Ahwaz children. Methods: In the present study, we examined 124 nasal swabs from infants affected by ARTI for the presence of hMPV by RT-PCR technique. Results: Sixty-eight out of 124 (54.4) cases were positive for hMPV which is the highest incidence of hMPV ever reported in the world, 94.1 of positive cases belonged to genotype A; whereas no B genotype was detected. Our positive hMPV children were affected by upper (URTI) as well as lower respiratory tract infection (LRTI); however, LARTIs had higher prevalence. Conclusions: We suggest a probable role of F protein alteration as the causative agent for the highest prevalence of hMPV infection among Ahvaz children.</t>
  </si>
  <si>
    <t xml:space="preserve">[Arabpour, M.; Samarbafzadeh, A. R.; Makvandi, M.] Ahwaz Jondishapur Univ Med Sci, Div Virol, Dept Microbiol, Fac Med, Ahvaz, Iran; [Shamsizadeh, A.] Abouzar Hosp, Div Pediat, Ahvaz, Iran; [Percivalle, E.] IRCCS Policlin San Matteo, Dipartimento Pediat, I-27100 Pavia, Italy; [Percivalle, E.] Univ Pavia, I-27100 Pavia, Italy; [Englud, Janet] Childrens Hosp &amp; Reg Med Ctr, Seattle, WA 98105 USA; [Latifi, Seid Mannut] Ahwaz Jondishapur Univ Med Sci, Dept Stat, Ahvaz, Iran</t>
  </si>
  <si>
    <t xml:space="preserve">IRCCS Fondazione San Matteo; University of Pavia; Seattle Children's Hospital</t>
  </si>
  <si>
    <t xml:space="preserve">Arabpour, M (corresponding author), Ahwaz Jondishapur Univ Med Sci, Div Virol, Dept Microbiol, Fac Med, Ahvaz, Iran.</t>
  </si>
  <si>
    <t xml:space="preserve">arabpour@sums.ac.ir</t>
  </si>
  <si>
    <t xml:space="preserve">latifi, seyed/L-8828-2017; shamsizadeh, ahmad/O-3729-2017; Percivalle, Elena/K-7994-2016; makvandi, manoochehr/V-3740-2017</t>
  </si>
  <si>
    <t xml:space="preserve">shamsizadeh, ahmad/0000-0003-3068-9913; Percivalle, Elena/0000-0002-3355-1410; Latifi, Seyed Mahmoud/0000-0001-8989-5397; makvandi, manoochehr/0000-0001-5602-6961</t>
  </si>
  <si>
    <t xml:space="preserve">APR-JUN</t>
  </si>
  <si>
    <t xml:space="preserve">10.4103/0255-0857.40524</t>
  </si>
  <si>
    <t xml:space="preserve">361DA</t>
  </si>
  <si>
    <t xml:space="preserve">WOS:000260106500004</t>
  </si>
  <si>
    <t xml:space="preserve">Barben, J; Putot, A; Mihai, AM; Vovelle, J; Manckoundia, P</t>
  </si>
  <si>
    <t xml:space="preserve">Barben, Jeremy; Putot, Alain; Mihai, Anca-Maria; Vovelle, Jeremie; Manckoundia, Patrick</t>
  </si>
  <si>
    <t xml:space="preserve">The Pivotal Role of Viruses in the Pathogeny of Chronic Lymphocytic Leukemia: Monoclonal (Type 1) IgG K Cryoglobulinemia and Chronic Lymphocytic Leukemia Diagnosis in the Course of a Human Metapneumovirus Infection</t>
  </si>
  <si>
    <t xml:space="preserve">aged; chronic lymphocytic leukemia; cryoglobulinemia; human metapneumovirus; monoclonal B-cell lymphocytosis</t>
  </si>
  <si>
    <t xml:space="preserve">MERKEL CELL POLYOMAVIRUS; EPSTEIN-BARR-VIRUS; LYMPHOPROLIFERATIVE DISORDERS; VIRAL-INFECTIONS; MECHANISMS; RECEPTORS; LYMPHOMAS; CLASSIFICATION; CARCINOMA; ANTIGEN</t>
  </si>
  <si>
    <t xml:space="preserve">Background: Type-1 cryoglobulinemia (CG) is a rare disease associated with B-cell lymphoproliferative disorder. Some viral infections, such as Epstein-Barr Virus infections, are known to cause malignant lymphoproliferation, like certain B-cell lymphomas. However, their role in the pathogenesis of chronic lymphocytic leukemia (CLL) is still debatable. Here, we report a unique case of Type-1 CG associated to a CLL transformation diagnosed in the course of a human metapneumovirus (hMPV) infection. Case presentation: A 91-year-old man was initially hospitalized for delirium. In a context of febrile rhinorrhea, the diagnosis of hMPV infection was made by molecular assay (RT-PCR) on nasopharyngeal swab. Owing to hyperlymphocytosis that developed during the course of the infection and unexplained peripheral neuropathy, a type-1 IgG Kappa CG secondary to a CLL was diagnosed. The patient was not treated for the CLL because of Binet A stage classification and his poor physical condition. Conclusions: We report the unique observation in the literature of CLL transformation and hMPV infection. We provide a mini review on the pivotal role of viruses in CLL pathophysiology.</t>
  </si>
  <si>
    <t xml:space="preserve">[Barben, Jeremy; Putot, Alain; Mihai, Anca-Maria; Vovelle, Jeremie; Manckoundia, Patrick] Univ Hosp Dijon, Geriatr Internal Med Dept, Hop Champmaillot 2,Rue Jules Violle,BP 87 909, F-21079 Dijon, France</t>
  </si>
  <si>
    <t xml:space="preserve">Barben, J (corresponding author), Univ Hosp Dijon, Geriatr Internal Med Dept, Hop Champmaillot 2,Rue Jules Violle,BP 87 909, F-21079 Dijon, France.</t>
  </si>
  <si>
    <t xml:space="preserve">jeremy.barben@chu-dijon.fr; alain.putot@chu-dijon.fr; anca-maria.mihai@chu-dijon.fr; jeremie.vovelle@chu-dijon.fr; patrick.manckoundia@chu-dijon.fr</t>
  </si>
  <si>
    <t xml:space="preserve">; Alain, Putot/O-2164-2018</t>
  </si>
  <si>
    <t xml:space="preserve">Barben, Jeremy/0000-0001-7140-8415; Alain, Putot/0000-0002-4408-554X; Manckoundia, Patrick/0000-0002-5518-9803</t>
  </si>
  <si>
    <t xml:space="preserve">10.3390/v13010115</t>
  </si>
  <si>
    <t xml:space="preserve">PW6YI</t>
  </si>
  <si>
    <t xml:space="preserve">WOS:000610817300001</t>
  </si>
  <si>
    <t xml:space="preserve">Tsagarakis, NJ; Sideri, A; Makridis, P; Triantafyllou, A; Stamoulakatou, A; Papadogeorgaki, E</t>
  </si>
  <si>
    <t xml:space="preserve">Tsagarakis, Nikolaos J.; Sideri, Anthi; Makridis, Panagiotis; Triantafyllou, Argyro; Stamoulakatou, Alexandra; Papadogeorgaki, Eleni</t>
  </si>
  <si>
    <t xml:space="preserve">Age-related prevalence of common upper respiratory pathogens, based on the application of the FilmArray Respiratory panel in a tertiary hospital in Greece</t>
  </si>
  <si>
    <t xml:space="preserve">age and respiratory infection; FilmArray; multiplex PCR; respiratory pathogen; respiratory virus</t>
  </si>
  <si>
    <t xml:space="preserve">SYNCYTIAL VIRUS; PEDIATRIC-PATIENTS; TRACT INFECTIONS; VIRAL ETIOLOGY; MULTIPLEX PCR; CHILDREN; EPIDEMIOLOGY; RHINOVIRUS; ADULTS; CARE</t>
  </si>
  <si>
    <t xml:space="preserve">The FilmArray Respiratory Panel (FA-RP) is an FDA certified multiplex PCR that can detect 17 viruses and 3 bacteria responsible for upper respiratory tract infections, thus it is potentially useful to the assessment of the age-related prevalence of these pathogens.In this observational study, we retrospectively analyzed the results of all the respiratory samples, which had been processed during 1 year-period (November 2015 to November 2016) with the FA-RP, in the Central Laboratories of Hygeia &amp; Mitera General Hospitals of Athens, Greece. In order to have an age-related distribution, the following age groups were implemented: (&lt;2), (2, &lt;5), (5, &lt;10), (10, &lt;18), (18, &lt;45), (45, &lt;65), and (65) years old.Among 656 respiratory samples tested, 362 (55%) were from male and 294 (45%) from female patients, while 356 (54.3%) were positive and 300 (45.7%) negative. In the first age-group (&lt;2), 41/121 samples (33.9%) revealed human rhinovirus/enterovirus (HRV) and 16 (13.2%) adenovirus (Adv), followed by respiratory syncytial virus (RSV), coronavirus, human metapneumovirus (Hmpv), and parainfluenza viruses (PIV). In the age-group (2, &lt;5), Adv predominated with 37/147 samples (25.2%), followed by HRV, RSV, coronavirus (all types), and influenza, Hmpv and PIV. In the age-group (5, &lt;10), HRV was identified in 25/80 samples (31.3%), Adv in 18 (22.5%), influenza in 11 (13.8%), and Hmpv in 6 (7.5%). Influenza predominated in the age-group (10, &lt;18), with 4/22 samples (18.2%), while in the remaining age-groups (18), HRV was the commonest isolated pathogen, 33/286 (11.5%), followed by influenza with 20 (7%) (influenza A H1-2009, 11/20).In our patient series, HRV seemed to prevail in most age-groups, followed by Adv, although Influenza was the second most frequent pathogen isolated in the age-groups (18). Moreover, increasing age corresponded to increasing possibility of having a negative sample, indicating that FilmArray may be more useful before adolescence.</t>
  </si>
  <si>
    <t xml:space="preserve">[Tsagarakis, Nikolaos J.; Sideri, Anthi; Makridis, Panagiotis; Triantafyllou, Argyro; Stamoulakatou, Alexandra; Papadogeorgaki, Eleni] Hygeia Gen Hosp, Cent Labs, Athens, Greece</t>
  </si>
  <si>
    <t xml:space="preserve">Hygeia Hospital</t>
  </si>
  <si>
    <t xml:space="preserve">Tsagarakis, NJ (corresponding author), G Papadaki 13,POB 14575, Athens, Greece.</t>
  </si>
  <si>
    <t xml:space="preserve">nikolaostsagarakis@gmail.com</t>
  </si>
  <si>
    <t xml:space="preserve">Tsagarakis, Nikolaos/P-9599-2019</t>
  </si>
  <si>
    <t xml:space="preserve">e10903</t>
  </si>
  <si>
    <t xml:space="preserve">10.1097/MD.0000000000010903</t>
  </si>
  <si>
    <t xml:space="preserve">GI3YV</t>
  </si>
  <si>
    <t xml:space="preserve">WOS:000434308900045</t>
  </si>
  <si>
    <t xml:space="preserve">Kenmoe, S; Tchendjou, P; Vernet, MA; Moyo-Tetang, S; Mossus, T; Njankouo-Ripa, M; Kenne, A; Beng, EP; Vabret, A; Njouom, R</t>
  </si>
  <si>
    <t xml:space="preserve">Kenmoe, Sebastien; Tchendjou, Patrice; Vernet, Marie-Astrid; Moyo-Tetang, Suzie; Mossus, Tatiana; Njankouo-Ripa, Mohamadou; Kenne, Angeladine; Beng, Eronique Penlap; Vabret, Astrid; Njouom, Richard</t>
  </si>
  <si>
    <t xml:space="preserve">Viral etiology of severe acute respiratory infections in hospitalized children in Cameroon, 2011-2013</t>
  </si>
  <si>
    <t xml:space="preserve">Africa; Cameroon; etiology; severe acute respiratory infections; virus</t>
  </si>
  <si>
    <t xml:space="preserve">POLYMERASE-CHAIN-REACTION; COMMUNITY-ACQUIRED PNEUMONIA; INFLUENZA-LIKE ILLNESSES; TRACT INFECTIONS; VIRUSES; BRONCHIOLITIS; COINFECTION; INFANTS; ADULTS; AREA</t>
  </si>
  <si>
    <t xml:space="preserve">Background Severe acute respiratory illness (SARI) is recognized as an important cause of morbidity, mortality, and hospitalization among children in developing countries. Little is known, however, in tropical countries like Cameroon about the cause and seasonality of respiratory infections, especially in hospitalized settings. Objectives: Our study investigates the viral etiology and seasonality of SARI in hospitalized children in Yaounde, Cameroon. Methods Prospective clinic surveillance was conducted to identify hospitalized children aged &lt;= 15 years presenting with respiratory symptoms &lt;= 5-day duration. Demographic and clinical data, and respiratory specimens were collected. Nasopharyngeal samples were tested for 17 respiratory viruses using a multiplex polymerase chain reaction. The viral distribution and demographic data were statistically analyzed. Results From September 2011 through September 2013, 347 children aged &lt;= 15 years were enrolled. At least one virus was identified in each of 65.4% children, of which 29.5% were coinfections; 27.3% were positive for human adenovirus (hAdV), 13.2% for human respiratory syncytial virus (hRSV), 11.5% for rhinovirus/enterovirus (RV/EV), 10.6% for human bocavirus (hBoV), 9.8% for influenza virus (Inf), 6.6% for human parainfluenza virus (hPIV), 5.7% for human coronavirus (hCoV), and 2.3% for human metapneumovirus (hMPV). While hRSV showed seasonal patterns, hAdV and RV/EV were detected throughout the year and no evident temporal patterns were observed for the remaining viruses. Conclusion Respiratory viruses were associated with a high burden of hospitalizations among children in Cameroon. Nevertheless, additional studies evaluating asymptomatic Cameroonian children will be important in understanding the relationship between viral carriage and disease.</t>
  </si>
  <si>
    <t xml:space="preserve">[Kenmoe, Sebastien; Tchendjou, Patrice; Vernet, Marie-Astrid; Mossus, Tatiana; Njankouo-Ripa, Mohamadou; Kenne, Angeladine; Njouom, Richard] Ctr Pasteur Cameroon, Int Network Pasteur Inst, Yaounde, Cameroon; [Moyo-Tetang, Suzie] Essos Hosp Ctr, Yaounde, Cameroon; [Kenmoe, Sebastien; Beng, Eronique Penlap] Univ Yaounde I, Dept Biochim, Yaounde, Cameroon; [Kenmoe, Sebastien; Vabret, Astrid] CHU Caen, Virol Serv, Pole Biol, Caen, France</t>
  </si>
  <si>
    <t xml:space="preserve">University of Yaounde I; CHU de Caen NORMANDIE; Universite de Caen Normandie</t>
  </si>
  <si>
    <t xml:space="preserve">Njouom, R (corresponding author), Ctr Pasteur Cameroon, POB 1274, Yaounde, Cameroon.</t>
  </si>
  <si>
    <t xml:space="preserve">njouom@pasteur-yaounde.org</t>
  </si>
  <si>
    <t xml:space="preserve">VABRET, Astrid/HTO-5810-2023; Kenmoe, Sebastien/J-9678-2019</t>
  </si>
  <si>
    <t xml:space="preserve">KENMOE, SEBASTIEN/0000-0002-5536-080X; VABRET, Astrid/0000-0002-8940-7645</t>
  </si>
  <si>
    <t xml:space="preserve">International Network of Pasteur Institutes [PTR 351]; Institut de Microbiologie et de Maladies Infectieuses (IMMI) in France</t>
  </si>
  <si>
    <t xml:space="preserve">International Network of Pasteur Institutes; Institut de Microbiologie et de Maladies Infectieuses (IMMI) in France</t>
  </si>
  <si>
    <t xml:space="preserve">We are grateful to all the nurses and other healthcare workers who collected specimens, data, and information and provided their support with clinical evaluations of patients during this study. 'This work was funded by the International Network of Pasteur Institutes (PTR 351) and the Institut de Microbiologie et de Maladies Infectieuses (IMMI) in France'.</t>
  </si>
  <si>
    <t xml:space="preserve">10.1111/irv.12391</t>
  </si>
  <si>
    <t xml:space="preserve">ED3MV</t>
  </si>
  <si>
    <t xml:space="preserve">WOS:000388754100005</t>
  </si>
  <si>
    <t xml:space="preserve">Ieven, M; Coenen, S; Loens, K; Lammens, C; Coenjaerts, E; Vanderstraeten, A; Henriques-Normark, B; Crook, D; Huygen, K; Butler, CC; Verheij, TJM; Little, P; Zlateva, K; van Loon, A; Claas, ECJ; Goossens, H</t>
  </si>
  <si>
    <t xml:space="preserve">Ieven, M.; Coenen, S.; Loens, K.; Lammens, C.; Coenjaerts, E.; Vanderstraeten, A.; Henriques-Normark, B.; Crook, D.; Huygen, K.; Butler, C. C.; Verheij, T. J. M.; Little, P.; Zlateva, K.; van Loon, A.; Claas, E. C. J.; Goossens, H.</t>
  </si>
  <si>
    <t xml:space="preserve">Aetiology of lower respiratory tract infection in adults in primary care: a prospective study in 11 European countries</t>
  </si>
  <si>
    <t xml:space="preserve">Aetiology; Lower respiratory tract infection; Respiratory</t>
  </si>
  <si>
    <t xml:space="preserve">COMMUNITY-ACQUIRED PNEUMONIA; HUMAN BOCAVIRUS; SYNCYTIAL VIRUS; POLYOMAVIRUSES; RHINOVIRUS; DISEASE; ILLNESS; WU; KI; AMOXICILLIN</t>
  </si>
  <si>
    <t xml:space="preserve">Objectives: To describe the role of bacteria (including bacterial resistance), viruses (including those recently described) and mixed bacterial-viral infections in adults presenting to primary care with lower respiratory tract infection (LRTI). Methods: In all, 3104 adults with LRTI were enrolled, of whom 141 (4.5%) had community-acquired pneumonia (CAP), and 2985 matched controls in a prospective study in 16 primary care networks in Europe, and followed patients up at 28-35 days. We detected Streptococcus pneumoniae and Haemophilus influenzae and assessed susceptibility, atypical bacteria and viruses. Results: A potential pathogen was detected in 1844 (59%) (in 350 (11%) bacterial pathogens only, in 1190 (38%) viral pathogens only, and in 304 (10%) both bacterial and viral pathogens). The most common bacterial pathogens isolated were S. pneumoniae (5.5% overall, 9.2% in CAP patients) and H. influenzae (5.4% overall, 14.2% in CAP patients). Less than 1% of S. pneumoniae were highly resistant to penicillin and 12.6% of H. influenzae were beta-lactamase positive. The most common viral pathogens detected were human rhinovirus (20.1%), influenza viruses (9.9%), and human coronavirus (7.4%). Influenza virus, human parainfluenza viruses and human respiratory syncytial virus as well as human rhinovirus, human coronavirus and human metapneumovirus were detected significantly more frequently in LRTI patients than in controls. Conclusions: A bacterial pathogen is identified in approximately one in five adult patients with LRTI in primary care, and a viral pathogen in just under half, with mixed infections in one in ten. Penicillin-resistant pneumococci and beta-lactamase producing H. influenzae are uncommon. These new findings support a restrictive approach to antibiotic prescribing for LRTI and the use of first-line, narrow-spectrum agents in primary care. (C) 2018 European Society of Clinical Microbiology and Infectious Diseases. Published by Elsevier Ltd. All rights reserved.</t>
  </si>
  <si>
    <t xml:space="preserve">[Ieven, M.; Loens, K.; Lammens, C.; Vanderstraeten, A.; Goossens, H.] Antwerp Univ Hosp, Dept Med Microbiol, Antwerp, Belgium; [Ieven, M.; Coenen, S.; Loens, K.; Lammens, C.; Vanderstraeten, A.; Goossens, H.] Univ Antwerp, Vaccine &amp; Infect Dis Inst VAXINFECTIO, Antwerp, Belgium; [Coenen, S.] Univ Antwerp, Dept Primary &amp; Interdisciplinary Care ELIZA, Antwerp, Belgium; [Coenen, S.] Univ Antwerp, Dept Epidemiol &amp; Social Med ESOC, Antwerp, Belgium; [Coenjaerts, E.; van Loon, A.] Univ Med Ctr Utrecht, Dept Med Microbiol, Utrecht, Netherlands; [Henriques-Normark, B.] Karolinska Inst, Dept Microbiol Tumour &amp; Cell Biol, Stockholm, Sweden; [Henriques-Normark, B.] Karolinska Univ Hosp, Dept Clin Microbiol, Stockholm, Sweden; [Crook, D.; Butler, C. C.] Univ Oxford, Nuffield Dept Primary Care Hlth Sci, Nuffield Dept Med, Oxford, England; [Huygen, K.] Sci Inst Publ Hlth, Dept Communicable &amp; Infect Dis, Brussels, Belgium; [Verheij, T. J. M.] Univ Med Ctr Utrecht, Julius Ctr Hlth Sci &amp; Primary Care, Utrecht, Netherlands; [Little, P.] Univ Southampton, Southampton, Hants, England; [Zlateva, K.; Claas, E. C. J.] Leiden Univ, Med Ctr, Leiden, Netherlands</t>
  </si>
  <si>
    <t xml:space="preserve">University of Antwerp; University of Antwerp; University of Antwerp; University of Antwerp; Utrecht University; Utrecht University Medical Center; Karolinska Institutet; Karolinska Institutet; Karolinska University Hospital; University of Oxford; Utrecht University; Utrecht University Medical Center; University of Southampton; Leiden University - Excl LUMC; Leiden University; Leiden University Medical Center (LUMC)</t>
  </si>
  <si>
    <t xml:space="preserve">Ieven, M (corresponding author), Antwerp Univ Hosp, Dept Med Microbiol, Antwerp, Belgium.</t>
  </si>
  <si>
    <t xml:space="preserve">greet.ieven@uza.be</t>
  </si>
  <si>
    <t xml:space="preserve">Butler, Christopher/B-5048-2009; Little, Peter/F-9865-2015; Coenen, Samuel/A-6410-2011</t>
  </si>
  <si>
    <t xml:space="preserve">Butler, Christopher/0000-0002-0102-3453; Crook, Derrick/0000-0002-0590-2850; Little, Paul/0000-0003-3664-1873; Coenen, Samuel/0000-0002-1238-8052</t>
  </si>
  <si>
    <t xml:space="preserve">Research Foundation Flanders (Belgium) [G.0274.08N]; 6th Framework Program of the European Commission [LSHM-CT-2005-518226]; European Science Foundation (ESF) [09-RNP-053]</t>
  </si>
  <si>
    <t xml:space="preserve">Research Foundation Flanders (Belgium)(FWO); 6th Framework Program of the European Commission(European Union (EU)European Commission Joint Research Centre); European Science Foundation (ESF)(European Science Foundation (ESF))</t>
  </si>
  <si>
    <t xml:space="preserve">GRACE (Genomics to combat Resistance against Antibiotics in CA-LRTI in Europe, www.grace-lrti.org) was supported by the Research Foundation Flanders (Belgium) (G.0274.08N) and the 6th Framework Program of the European Commission, contract no. LSHM-CT-2005-518226). The work reported in this publication has been financially supported through the European Science Foundation (ESF), in the framework of the Research Networking Programme TRACE (http://archives.esf.org/trace; 09-RNP-053). The funding sources were not involved in the design, conduct, analysis and interpretation of the data, nor in the writing and decision to submit the paper.</t>
  </si>
  <si>
    <t xml:space="preserve">10.1016/j.cmi.2018.02.004</t>
  </si>
  <si>
    <t xml:space="preserve">GY0FE</t>
  </si>
  <si>
    <t xml:space="preserve">Bronze, Green Published, Green Accepted, Green Submitted</t>
  </si>
  <si>
    <t xml:space="preserve">WOS:000448188200010</t>
  </si>
  <si>
    <t xml:space="preserve">Honkinen, M; Lahti, E; Österback, R; Ruuskanen, O; Waris, M</t>
  </si>
  <si>
    <t xml:space="preserve">Honkinen, M.; Lahti, E.; Osterback, R.; Ruuskanen, O.; Waris, M.</t>
  </si>
  <si>
    <t xml:space="preserve">Viruses and bacteria in sputum samples of children with community-acquired pneumonia</t>
  </si>
  <si>
    <t xml:space="preserve">Aetiology of pneumonia; children; respiratory viruses; viral-bacterial infection</t>
  </si>
  <si>
    <t xml:space="preserve">RESPIRATORY VIRAL-INFECTIONS; REAL-TIME PCR; HOSPITALIZED CHILDREN; HUMAN BOCAVIRUS; STAPHYLOCOCCUS-AUREUS; HIGH-PREVALENCE; INFLUENZA; ETIOLOGY; EPIDEMIOLOGY; COINFECTION</t>
  </si>
  <si>
    <t xml:space="preserve">Few comprehensive studies have searched for viruses and bacteria in children with community-acquired pneumonia (CAP). We identified 76 children hospitalized for pneumonia. Induced sputum samples were analysed for 18 viruses by antigen detection and PCR, and for six bacteria by culture and PCR. Viruses were found in 72% of samples, bacteria in 91%, and both in 66%. Rhinovirus (30%), human bocavirus (18%) and human metapneumovirus (14%) were the most commonly detected viruses. Two viruses were found in 22% of samples and three in 8%. The most common bacteria found were Streptococcus pneumoniae (50%), Haemophilus influenzae (38%), and Moraxella catarrhalis (28%). RhinovirusS. pneumoniae was the most commonly found combination of virus and bacterium (16%). All six children with treatment failure had both viruses and bacteria detected in the sputum. Otherwise, we found no special clinical characteristics in those with mixed viralbacterial detections. With modern molecular diagnostic techniques, there are high rates of both viral and bacterial identification in childhood CAP. The clinical significance of mixed viralbacterial infections remains unclear, although we found a potential association between them and treatment failure.</t>
  </si>
  <si>
    <t xml:space="preserve">[Honkinen, M.; Lahti, E.; Ruuskanen, O.] Turku Univ Hosp, Dept Paediat, Turku 20521, Finland; [Osterback, R.; Waris, M.] Turku Univ, Dept Virol, Turku, Finland</t>
  </si>
  <si>
    <t xml:space="preserve">University of Turku; University of Turku</t>
  </si>
  <si>
    <t xml:space="preserve">Ruuskanen, O (corresponding author), Turku Univ Hosp, Dept Paediat, PB 52, Turku 20521, Finland.</t>
  </si>
  <si>
    <t xml:space="preserve">olli.ruuskanen@tyks.fi</t>
  </si>
  <si>
    <t xml:space="preserve">Waris, Matti/A-6418-2008</t>
  </si>
  <si>
    <t xml:space="preserve">Waris, Matti/0000-0002-6747-0889</t>
  </si>
  <si>
    <t xml:space="preserve">Turku University Hospital; Finnish Cultural Foundation at Southwestern Finland; Paulo Foundation</t>
  </si>
  <si>
    <t xml:space="preserve">This study was financially supported by a special government grant from Turku University Hospital, Finnish Cultural Foundation at Southwestern Finland, and the Paulo Foundation. M. Honkinen, E. Lahti, R. Osterback and M. Waris have no conflicts of interest. O. Ruuskanen has been a consultant to Novartis Vaccines and Abbott.</t>
  </si>
  <si>
    <t xml:space="preserve">10.1111/j.1469-0691.2011.03603.x</t>
  </si>
  <si>
    <t xml:space="preserve">899SX</t>
  </si>
  <si>
    <t xml:space="preserve">WOS:000300837600021</t>
  </si>
  <si>
    <t xml:space="preserve">Stelzer-Braid, S; Oliver, BG; Blazey, AJ; Argent, E; Newsome, TP; Rawlinson, WD; Tovey, ER</t>
  </si>
  <si>
    <t xml:space="preserve">Stelzer-Braid, Sacha; Oliver, Brian G.; Blazey, Angus J.; Argent, Elizabeth; Newsome, Timothy P.; Rawlinson, William D.; Tovey, Euan R.</t>
  </si>
  <si>
    <t xml:space="preserve">Exhalation of Respiratory Viruses by Breathing, Coughing, and Talking</t>
  </si>
  <si>
    <t xml:space="preserve">aerosols; transmission; droplet nuclei</t>
  </si>
  <si>
    <t xml:space="preserve">AEROSOL TRANSMISSION; INFLUENZA-VIRUS; RHINOVIRUS; BIOAEROSOLS; VENTILATION; INFECTIONS; PATHOGENS; AGENTS</t>
  </si>
  <si>
    <t xml:space="preserve">There is a lack of quantitative information about the generation of virus aerosols by infected subjects. The exhaled aerosols generated by coughing, talking, and breathing were sampled in 50 subjects using a novel mask, and analyzed using PCR for nine respiratory viruses. The exhaled samples from a subset of 10 subjects who were PCR positive for rhinovirus were also examined by cell culture for this virus. Of the 50 subjects, among the 33 with symptoms of upper respiratory tract infections, 21 had at least one virus detected by PCR, while amongst the 17 asymptomatic subjects, 4 had a virus detected by PCR. Overall, rhinovirus was detected in 19 subjects, influenza in 4 subjects, parainfluenza in 2 subjects, and human metapneumovirus in 1 subject. Two subjects were co-infected. Of the 25 subjects who had virus-positive nasal mucus, the same virus type was detected in 12 breathing samples, 8 talking samples, and in 2 coughing samples. In the subset of exhaled samples from 10 subjects examined by culture, infective rhinovirus was detected in 2. These data provide further evidence that breathing may be a source of respirable particles carrying infectious virus. J. Med. Virol. 81:1674-1679, 2009. (C) 2009 Wiley-Liss, Inc.</t>
  </si>
  <si>
    <t xml:space="preserve">[Tovey, Euan R.] Woolcock Inst Med Res, Glebe, NSW 2050, Australia; [Stelzer-Braid, Sacha; Rawlinson, William D.] Univ New S Wales, Fac Sci, Sch Biotechnol &amp; Biomol Sci, Kensington, NSW 2033, Australia; [Stelzer-Braid, Sacha; Rawlinson, William D.] Univ New S Wales, Fac Med, Sch Med Sci, Kensington, NSW 2033, Australia; [Oliver, Brian G.] Univ Sydney, Dept Pharmacol, Sch Med Sci, Sydney, NSW 2006, Australia; [Blazey, Angus J.; Newsome, Timothy P.] Univ Sydney, Sch Mol &amp; Microbial Biosci, Sydney, NSW 2006, Australia; [Argent, Elizabeth] Sydney Childrens Hosp, Randwick, NSW, Australia</t>
  </si>
  <si>
    <t xml:space="preserve">University of Sydney; Woolcock Institute of Medical Research; University of New South Wales Sydney; University of New South Wales Sydney; University of Sydney; University of Sydney; NSW Health; Sydney Childrens Hospitals Network</t>
  </si>
  <si>
    <t xml:space="preserve">Tovey, ER (corresponding author), Woolcock Inst Med Res, POB M77,Missenden Rd PO, Glebe, NSW 2050, Australia.</t>
  </si>
  <si>
    <t xml:space="preserve">ert@med.usyd.edu.au</t>
  </si>
  <si>
    <t xml:space="preserve">Newsome, Timothy/AAB-4033-2019; Oliver, Brian/E-7939-2010; Tovey, Euan/G-8604-2017</t>
  </si>
  <si>
    <t xml:space="preserve">Rawlinson, William/0000-0003-0988-7827; Oliver, Brian/0000-0002-7122-9262; Stelzer-Braid, Sacha/0000-0001-6037-9305; Newsome, Timothy/0000-0002-2193-596X; Tovey, Euan/0000-0002-1802-7266</t>
  </si>
  <si>
    <t xml:space="preserve">NHMRC</t>
  </si>
  <si>
    <t xml:space="preserve">NHMRC(National Health &amp; Medical Research Council (NHMRC) of Australia)</t>
  </si>
  <si>
    <t xml:space="preserve">Grant sponsor: NH&amp;MRC (to E.R.T. and W.D.R.).</t>
  </si>
  <si>
    <t xml:space="preserve">10.1002/jmv.21556</t>
  </si>
  <si>
    <t xml:space="preserve">477YN</t>
  </si>
  <si>
    <t xml:space="preserve">WOS:000268555000023</t>
  </si>
  <si>
    <t xml:space="preserve">Cabral, CZ; Guaragna, JBD; Amantéa, FC; Lopes, PGM; Pasqualotto, AC; Rhoden, CR; Amantéa, SL</t>
  </si>
  <si>
    <t xml:space="preserve">Cabral, Catiane Zanin; Guaragna, Juliana Beirao de Almeida; Amantea, Fernanda Chaves; Lopes, Paulo Guilherme Markus; Pasqualotto, Alessandro Cumaru; Rhoden, Claudia Ramos; Amantea, Sergio Luis</t>
  </si>
  <si>
    <t xml:space="preserve">Distribution of airborne respiratory pathogens in pediatric emergency department waiting room</t>
  </si>
  <si>
    <t xml:space="preserve">aerosol biology; airborne virus; environmental lung disease; infections; pneumonia; TB; viral</t>
  </si>
  <si>
    <t xml:space="preserve">REAL-TIME PCR; INFLUENZA-VIRUS; SARS</t>
  </si>
  <si>
    <t xml:space="preserve">Objective To determine the presence of genetic material from potentially infectious airborne respiratory virus pathogens in a pediatric emergency department (PED) waiting room. Methods A cross-sectional study in the waiting room area of PED at Santo Antonio Children's Hospital, Porto Alegre, in southern Brazil. The room air samples were collected with a portable cyclone sampler (Coriolis (R)), twice a day (8 a.m. and 8 p.m.), during 5 consecutive weekdays, during two seasons, fall and spring (20 samples), in 2016. Reverse transcription polymerase chain reaction was used to detect influenza A, influenza B, parainfluenza 2, parainfluenza 3, human metapneumovirus, respiratory syncytial virus, human adenovirus, human bocavirus, and Bordetella pertussis. The PED provides care to an average of 6000 patients per month and the age of patients ranges from 1 month to 17 years old. It is waiting area has 645 ft square. Results Genetic material from pathogens was detected in 12 out of 20 samples (60%). In 5 samples, more than one pathogen of respiratory virus was identified. Human adenovirus was the most frequent pathogen (n = 9/52%), followed by Bordetella pertussis (n = 4/24%), respiratory syncytial virus (n = 2/12%) and human bocavirus (n = 2/12%). Season and number of people in the waiting room were not associated with the presence of genetic material from pathogens. Conclusions Genetic material from pathogens potentially associated with severe respiratory diseases was found in the room air of a pediatric ED waiting room.</t>
  </si>
  <si>
    <t xml:space="preserve">[Cabral, Catiane Zanin; Rhoden, Claudia Ramos; Amantea, Sergio Luis] Fed Univ Hlth Sci Porto Alegre, Dept Postgrad Program Pediat, Porto Alegre, RS, Brazil; [Guaragna, Juliana Beirao de Almeida; Amantea, Sergio Luis] Santo Antonio Childrens Hosp, Dept Pediat Emergency, Porto Alegre, RS, Brazil; [Amantea, Fernanda Chaves; Amantea, Sergio Luis] Pontifical Catholic Univ Rio Grande, Dept Med, Porto Alegre, RS, Brazil; [Lopes, Paulo Guilherme Markus; Rhoden, Claudia Ramos; Amantea, Sergio Luis] Fed Univ Hlth Sci Porto Alegre, Dept Pollut &amp; Oxidat Stress Lab, Porto Alegre, RS, Brazil; [Pasqualotto, Alessandro Cumaru; Rhoden, Claudia Ramos] Fed Univ Hlth Sci Porto Alegre, Dept Postgrad, Porto Alegre, RS, Brazil</t>
  </si>
  <si>
    <t xml:space="preserve">Pontificia Universidade Catolica Do Rio Grande Do Sul</t>
  </si>
  <si>
    <t xml:space="preserve">Guaragna, JBD (corresponding author), 245 Sarmento Leite St, BR-90050170 Porto Alegre, RS, Brazil.</t>
  </si>
  <si>
    <t xml:space="preserve">ju_guaragna@hotmail.com</t>
  </si>
  <si>
    <t xml:space="preserve">Amantea, Sergio/JVO-2620-2024</t>
  </si>
  <si>
    <t xml:space="preserve">Cabral, Catiane/0000-0002-9493-3682; Pasqualotto, Alessandro/0000-0002-6782-5395; Markus Lopes, Paulo Guilherme/0000-0003-0471-0555; Amantea, Fernanda/0000-0001-5756-6353</t>
  </si>
  <si>
    <t xml:space="preserve">10.1002/ppul.25469</t>
  </si>
  <si>
    <t xml:space="preserve">TQ0BG</t>
  </si>
  <si>
    <t xml:space="preserve">WOS:000667827500001</t>
  </si>
  <si>
    <t xml:space="preserve">Niggli, F; Huber, LC; Benden, C; Schuurmans, MM</t>
  </si>
  <si>
    <t xml:space="preserve">Niggli, Fabian; Huber, Lars C.; Benden, Christian; Schuurmans, Mace M.</t>
  </si>
  <si>
    <t xml:space="preserve">Human metapneumovirus in lung transplant recipients: characteristics and outcomes</t>
  </si>
  <si>
    <t xml:space="preserve">Adverse drug reactions; human metapneumovirus; lung transplantation; safety; shedding; treatment</t>
  </si>
  <si>
    <t xml:space="preserve">RESPIRATORY SYNCYTIAL VIRUS; ORAL RIBAVIRIN; INTRAVENOUS RIBAVIRIN; VIRAL-INFECTIONS; ADULTS</t>
  </si>
  <si>
    <t xml:space="preserve">Human metapneumovirus (hMPV) causes serious respiratory tract infections in lung transplant recipients (LTRs). We evaluated the characteristics and adverse drug reactions (ADR) of oral ribavirin therapy for hMPV infections in LTRs. LTRs with respiratory symptoms or suspected infection of unknown origin were routinely sampled with nasopharyngeal swabs (NPS) for virological and bacteriological analysis as part of a diagnostic workup. Medical records of hMPV polymerase chain reaction (PCR)-positive LTRs at the University Hospital of Zurich were reviewed retrospectively. Between January 2012 and June 2014, 12 (80%) of 15 consecutive patients with documented hMPV infection received oral ribavirin therapy (800mg/d, after 48h: 400mg/d). Mean duration of therapy was 28.6 days (range: 11-54). Mean duration of viral shedding was 16.3 days (range: 5-48). In general, oral ribavirin was well tolerated in LTRs. The most common ADR was moderate anaemia. All patients recovered from infection without immediate serious sequelae within 3 months of infection.</t>
  </si>
  <si>
    <t xml:space="preserve">[Niggli, Fabian; Huber, Lars C.; Benden, Christian; Schuurmans, Mace M.] Univ Zurich Hosp, Div Pulmonol, C HOER 23,Ramistr 100, CH-8091 Zurich, Switzerland</t>
  </si>
  <si>
    <t xml:space="preserve">University of Zurich; University Zurich Hospital</t>
  </si>
  <si>
    <t xml:space="preserve">Schuurmans, MM (corresponding author), Univ Zurich Hosp, Div Pulmonol, C HOER 23,Ramistr 100, CH-8091 Zurich, Switzerland.</t>
  </si>
  <si>
    <t xml:space="preserve">mace.schuurmans@usz.ch</t>
  </si>
  <si>
    <t xml:space="preserve">Benden, Christian/E-9774-2012</t>
  </si>
  <si>
    <t xml:space="preserve">Schuurmans, Mace M./0000-0001-5404-7566</t>
  </si>
  <si>
    <t xml:space="preserve">11-12</t>
  </si>
  <si>
    <t xml:space="preserve">10.1080/23744235.2016.1204661</t>
  </si>
  <si>
    <t xml:space="preserve">DX4BZ</t>
  </si>
  <si>
    <t xml:space="preserve">WOS:000384325500013</t>
  </si>
  <si>
    <t xml:space="preserve">Lai, SY; Liu, YL; Jiang, YM; Liu, T</t>
  </si>
  <si>
    <t xml:space="preserve">Lai, Shu-Yu; Liu, Yan-Ling; Jiang, Yong-Mei; Liu, Ting</t>
  </si>
  <si>
    <t xml:space="preserve">Precautions against COVID-19 reduce respiratory virus infections among children in Southwest China</t>
  </si>
  <si>
    <t xml:space="preserve">advanced fragment analysis; children; COVID-19; infection; public health; respiratory viruses</t>
  </si>
  <si>
    <t xml:space="preserve">TRACT INFECTIONS; EPIDEMIOLOGY; PNEUMONIA; COMMUNITY; INFANTS; DISEASE; ADULTS; IMPACT</t>
  </si>
  <si>
    <t xml:space="preserve">Acute respiratory tract infections pose a serious threat to the health of children worldwide, with viral infections representing a major etiology of this type of disease. Protective measures such as mask-wearing, social distancing, and hand hygiene can be effective in curbing the spread of severe acute respiratory syndrome coronavirus 2. These precautions may also have an impact on the spread of other respiratory viruses. In this study, we retrospectively compared the respiratory virus infections of children in Southwest China before and after the outbreak of COVID-19. Nasopharyngeal swabs were collected from 1578 patients under 14 years old with acute respiratory tract infection symptoms before and after COVID-19 pandemic. Nine common respiratory viruses including human bocavirus, human rhinoviruses, human coronaviruses, human adenoviruses, human metapneumovirus, respiratory syncytial virus, influenza A virus, influenza B virus, and parainfluenza virus were measured by advanced fragment analysis. The respiratory virus infection rates among children of all ages and genders in Southwest China under the precautions against COVID-19 pandemic were significantly lower than that of the same period before the pandemic. Our findings indicate that public health measures implemented during the COVID-19 pandemic, including strict mask-wearing, social distancing, and hand hygiene, may be effective in preventing the transmission of other respiratory viruses in children, thereby controlling the spread of infections.</t>
  </si>
  <si>
    <t xml:space="preserve">[Lai, Shu-Yu; Liu, Yan-Ling; Jiang, Yong-Mei; Liu, Ting] Sichuan Univ, Dept Lab Med, West China Univ Hosp 2, 20 Sect 3,Renmin South Rd, Chengdu 610041, Sichuan, Peoples R China; [Lai, Shu-Yu; Liu, Yan-Ling; Jiang, Yong-Mei; Liu, Ting] Sichuan Univ, Key Lab Obstetr &amp; Gynecol &amp; Pediat Dis &amp; Birth De, Minist Educ, Chengdu, Peoples R China; [Liu, Ting] Sichuan Univ, State Key Lab Biotherapy, Chengdu, Peoples R China; [Liu, Ting] Sichuan Univ, Canc Ctr, Natl Collaborat Innovat Ctr Biotherapy, Chengdu, Peoples R China</t>
  </si>
  <si>
    <t xml:space="preserve">Sichuan University; Sichuan University; Sichuan University; Sichuan University</t>
  </si>
  <si>
    <t xml:space="preserve">Liu, T (corresponding author), Sichuan Univ, Dept Lab Med, West China Univ Hosp 2, 20 Sect 3,Renmin South Rd, Chengdu 610041, Sichuan, Peoples R China.</t>
  </si>
  <si>
    <t xml:space="preserve">liuting88823@163.com</t>
  </si>
  <si>
    <t xml:space="preserve">National Natural Science Foundation of China [81801628]; Clinical Research Foundation of West China Second University Hospital [KL076]</t>
  </si>
  <si>
    <t xml:space="preserve">National Natural Science Foundation of China(National Natural Science Foundation of China (NSFC)); Clinical Research Foundation of West China Second University Hospital</t>
  </si>
  <si>
    <t xml:space="preserve">This work was supported by the National Natural Science Foundation of China (No.81801628) and the Clinical Research Foundation of West China Second University Hospital (KL076).</t>
  </si>
  <si>
    <t xml:space="preserve">e30604</t>
  </si>
  <si>
    <t xml:space="preserve">10.1097/MD.0000000000030604</t>
  </si>
  <si>
    <t xml:space="preserve">4P0XR</t>
  </si>
  <si>
    <t xml:space="preserve">WOS:000855119700070</t>
  </si>
  <si>
    <t xml:space="preserve">Loubet, P; Mathieu, P; Lenzi, N; Galtier, F; Lain, F; Lesieur, Z; Vanhems, P; Duval, X; Postil, D; Amour, S; Rogez, S; Lagathu, G; L'Honneur, AS; Foulongne, V; Houhou, N; Lina, B; Carrat, F; Launay, O</t>
  </si>
  <si>
    <t xml:space="preserve">Loubet, P.; Mathieu, P.; Lenzi, N.; Galtier, F.; Lain, F.; Lesieur, Z.; Vanhems, P.; Duval, X.; Postil, D.; Amour, S.; Rogez, S.; Lagathu, G.; L'Honneur, A-S; Foulongne, V; Houhou, N.; Lina, B.; Carrat, F.; Launay, O.</t>
  </si>
  <si>
    <t xml:space="preserve">Fluvac Study Grp</t>
  </si>
  <si>
    <t xml:space="preserve">Characteristics of human metapneumovirus infection in adults hospitalized for community-acquired influenza-like illness in France, 2012-2018: a retrospective observational study</t>
  </si>
  <si>
    <t xml:space="preserve">Adults; Human metapneumovirus; Influenza; Influenza-like-illness; Respiratory syncytial virus</t>
  </si>
  <si>
    <t xml:space="preserve">RESPIRATORY SYNCYTIAL VIRUS</t>
  </si>
  <si>
    <t xml:space="preserve">Objectives: To describe the prevalence, clinical features and complications of human metapneumovirus (hMPV) infections in a population of adults hospitalized with influenza-like illness (ILI). Methods: This was a retrospective, observational, multicenter cohort study using prospectively collected data from adult patients hospitalized during influenza virus circulation, for at least 24 h, for community-acquired ILI (with symptom onset &lt;7 days). Data were collected from five French teaching hospitals over six consecutive winters (2012-2018). Respiratory viruses were identified by multiplex reverse transcription polymerase chain reaction (RT-PCR) on nasopharyngeal specimens. hMPV + patients were compared with hMPV- patients, influenza+ and respiratory syncytial virus (RSV)+ patients using multivariate logistic regressions. Primary outcome was the prevalence of hMPV in patients hospitalized for ILI. Results: Among the 3148 patients included (1449 (46%) women, 1988 (63%) aged 65 and over; 2508 (80%) with chronic disease), at least one respiratory virus was detected in 1604 (51%, 95% confidence interval (CI) 49-53), including 100 cases of hMPV (100/3148, 3% 95% CI 3-4), of which 10 (10%) were viral co-infection. In the hMPV + patients, mean length of stay was 7 days, 62% (56/90) developed a complication, 21% (14/68) were admitted to intensive care unit and 4% (4/90) died during hospitalization. In comparison with influenza + patients, hMPV + patients were more frequently &gt;65 years old (adjusted odds ratio (aOR) = 3.3, 95% CI 1.9-6.3) and presented more acute heart failure during hospitalization (aOR = 1.8, 95% CI 1.0-2.9). Compared with RSV + patients, hMPV + patients had less cancer (aOR = 0.4, 95% CI 0.2-0.9) and were less likely to smoke (aOR = 0.5, 95% CI 0.2-0.9) but had similar outcomes, especially high rates of respiratory and cardiovascular complications. Conclusions: Adult hMPV infections mainly affect the elderly and patients with chronic conditions and are responsible for frequent cardiac and pulmonary complications similar to those of RSV infections. At-risk populations would benefit from the development of antivirals and vaccines targeting hMPV. (C) 2020 European Society of Clinical Microbiology and Infectious Diseases. Published by Elsevier Ltd. All rights reserved.</t>
  </si>
  <si>
    <t xml:space="preserve">[Loubet, P.] Univ Montpellier, Dept Infect &amp; Trop Dis, CHU Nimes, INSERM,U1047,VBMI, Nimes, France; [Loubet, P.; Lenzi, N.; Galtier, F.; Lain, F.; Lesieur, Z.; Vanhems, P.; Duval, X.; Launay, O.] Reseau Innovat Clin Res Vaccinol I REIVAC, F CRIN, INSERM, Paris, France; [Mathieu, P.; Launay, O.] Univ Paris 05, Hop Cochin, AP HP, Sorbonne Paris Cite,Inserm,CIC Cochin Pasteur, Paris, France; [Galtier, F.] CHU Montpellier, Hop St Eloi, CIC1411, F-34295 Montpellier, France; [Lain, F.] Hop Pontchaillou, INSERM UMR CIC 1414, Ctr Invest Clin, Rennes, France; [Vanhems, P.; Amour, S.] Hosp Civils Lyon, Serv Hyg Epidemiol &amp; Prevent, F-69437 Lyon, France; [Duval, X.] Hop Bichat Claude Bernard, CIC1125, Paris, France; [Postil, D.] CHU Dupuytren, CIC 1435, Limoges, France; [Rogez, S.] CHU Dupuytren, Serv Bacteriol Virol Hyg, Limoges, France; [Lagathu, G.] Univ Rennes 1, Virol, Hop Pontchaillou, Rennes, France; [L'Honneur, A-S] Hop Cochin, Serv Virol, AHU, Paris, France; [Foulongne, V] CHU Montpellier, Hop St Eloi, Serv Virol, F-34295 Montpellier, France; [Houhou, N.] Hop Bichat Claude Bernard, Lab Virol, Paris, France; [Lina, B.] Hosp Civils Lyon, Lab Virol, Inst Agents Infectieux IAI, Ctr Natl Reference Virus Resp France Sud,Hop Croi, F-69317 Lyon 04, France; [Carrat, F.] Sorbonne Univ, Hop St Antoine, AP HP, Inst Pierre Louis Epidemiol &amp; Sante Publ IPLESP,I, F-75013 Paris, France</t>
  </si>
  <si>
    <t xml:space="preserve">Institut National de la Sante et de la Recherche Medicale (Inserm); Universite de Montpellier; CHU de Nimes; Institut National de la Sante et de la Recherche Medicale (Inserm); Institut National de la Sante et de la Recherche Medicale (Inserm); Universite Paris Cite; Assistance Publique Hopitaux Paris (APHP); Hopital Universitaire Cochin - APHP; Universite de Montpellier; CHU de Montpellier; CHU Rennes; Universite de Rennes; Institut National de la Sante et de la Recherche Medicale (Inserm); CHU Lyon; Assistance Publique Hopitaux Paris (APHP); Universite Paris Cite; Hopital Universitaire Bichat-Claude Bernard - APHP; CHU Limoges; CHU Limoges; Universite de Rennes; CHU Rennes; Assistance Publique Hopitaux Paris (APHP); Universite Paris Cite; Hopital Universitaire Cochin - APHP; Universite de Montpellier; CHU de Montpellier; Universite Paris Cite; Assistance Publique Hopitaux Paris (APHP); Hopital Universitaire Bichat-Claude Bernard - APHP; CHU Lyon; Assistance Publique Hopitaux Paris (APHP); Sorbonne Universite; Hopital Universitaire Saint-Antoine - APHP</t>
  </si>
  <si>
    <t xml:space="preserve">Loubet, P (corresponding author), CHU Nimes, Serv Malad Infect &amp; Trop, Nimes, France.</t>
  </si>
  <si>
    <t xml:space="preserve">paul.loubet@chu-nimes.fr</t>
  </si>
  <si>
    <t xml:space="preserve">Carrat, Fabrice/AAU-8480-2020; Loubet, Paul/AAE-1988-2019; lina, bruno/N-3663-2019; Galtier, Florence/AFA-9074-2022; Carrat, Fabrice/P-6177-2017</t>
  </si>
  <si>
    <t xml:space="preserve">Galtier, Florence/0000-0002-0720-6277; lina, bruno/0000-0002-8959-2123; Loubet, Paul/0000-0002-1218-9432; laine, fabrice/0000-0001-6405-2211; Amour, Selilah/0000-0002-4804-7209; Carrat, Fabrice/0000-0002-8672-7918</t>
  </si>
  <si>
    <t xml:space="preserve">Pfizer; Sanofi Pasteur; Janssen; GSK; MSD; Sanofi Pasteur MSD</t>
  </si>
  <si>
    <t xml:space="preserve">Pfizer(Pfizer); Sanofi Pasteur; Janssen(Johnson &amp; JohnsonJohnson &amp; Johnson USAJanssen Biotech Inc); GSK(GlaxoSmithKline); MSD; Sanofi Pasteur MSD</t>
  </si>
  <si>
    <t xml:space="preserve">The authors declare no competing interest related to the study. P.L. has received personal fees and non-financial support from Pfizer and Sanofi Pasteur. O.L. is an investigator for clinical trials sponsored by Janssen, GSK, Pfizer, Sanofi Pasteur and MSD and received travel support to attend scientific meetings from pharmaceutical companies. The current work received no funding. However, the study sites received funding from Sanofi Pasteur, Sanofi Pasteur MSD and Janssen for the FLUVAC study. Vaccine producers had no role in the study design, data analysis, decision to publish or preparation of the manuscript.</t>
  </si>
  <si>
    <t xml:space="preserve">10.1016/j.cmi.2020.04.005</t>
  </si>
  <si>
    <t xml:space="preserve">Green Published, Bronze, Green Submitted</t>
  </si>
  <si>
    <t xml:space="preserve">WOS:000600577900025</t>
  </si>
  <si>
    <t xml:space="preserve">Debes, S; Haug, JB; de Blasio, BF; Jonassen, CM; Dudman, SG</t>
  </si>
  <si>
    <t xml:space="preserve">Debes, Sara; Haug, Jon Birger; de Blasio, Birgitte Freiesleben; Jonassen, Christine Monceyron; Dudman, Susanne Gjeruldsen</t>
  </si>
  <si>
    <t xml:space="preserve">Etiology of viral respiratory tract infections in hospitalized adults, and evidence of the high frequency of prehospitalization antibiotic treatment in Norway</t>
  </si>
  <si>
    <t xml:space="preserve">adults; antibiotic; etiology; hospitalization; human metapneumovirus; influenza; respiratory syncytial virus; viral respiratory tract infection</t>
  </si>
  <si>
    <t xml:space="preserve">SYNCYTIAL VIRUS-INFECTION; CLINICAL CHARACTERISTICS; HUMAN METAPNEUMOVIRUS; INFLUENZA-VIRUS; OLDER-ADULTS; RESPONSES; ANTIBODY</t>
  </si>
  <si>
    <t xml:space="preserve">Background and aims Respiratory tract infections (RTIs) cause considerable morbidity and mortality in all age groups, but the epidemiology and role of several of the viral RTIs in the adult and elderly patients are still unclear, as is the extent of prehospitalization antibacterial drug use in this population. Methods We conducted a three-year (2015-2018) observational study of viral RTIs in hospitalized patients in a 500-bed hospital in Southeastern Norway, including all patients &gt;= 18 years with RTI symptoms where one of the following viral agents was detected in a respiratory specimen (Seegene Allplex): Influenza A/B, RSV A/B, human metapneumovirus (hMPV), adenovirus and parainfluenza virus 1-4. Viral findings, demographical data, and information on prehospital antibiotic prescriptions were recorded. Results In 1182 patients 1222 viral infection events occurred. The mean patient age was 69.6 years, and 53% were females. Influenza virus A/B (63%), RSV A/B (15%) and hMPV (13%) were the most common agents detected. The proportional burden of influenza A H1 was found to be relatively high (65%) in the age groups &lt;69 years, compared to older patients (P = .001, chi-square). As many as 20% of the patients had been treated with antibiotics prior to admission, with the lowest rate for influenza A H3 group at 17% (P = .036, chi-square), and highest for the RSV group at 28% (P = .004, chi-square). Oseltamivir was prescribed prior to hospitalization in only 3 cases (0.2%). Conclusions We found a high rate of prehospital antibiotic prescription in adults hospitalized with viral RTIs, warranting better stewardship programs to tackle the increasing antibiotic resistance problem.</t>
  </si>
  <si>
    <t xml:space="preserve">[Debes, Sara; Jonassen, Christine Monceyron] Ostfold Hosp Trust, Ctr Lab Med, Sarpsborg, Norway; [Debes, Sara; Dudman, Susanne Gjeruldsen] Univ Oslo, Fac Med, Inst Clin Med, Oslo, Norway; [Haug, Jon Birger] Ostfold Hosp Trust, Dept Infect Control, Sarpsborg, Norway; [de Blasio, Birgitte Freiesleben] Norwegian Inst Publ Hlth, Dept Methods Dev &amp; Analyt, Div Infect Control &amp; Environm Hlth, Oslo, Norway; [de Blasio, Birgitte Freiesleben] Univ Oslo, Ctr Biostat &amp; Epidemiol, Inst Basic Med Sci, Dept Biostat, Oslo, Norway; [Jonassen, Christine Monceyron] Norwegian Univ Life Sci, Dept Chem Biotechnol &amp; Food Sci, As, Norway; [Dudman, Susanne Gjeruldsen] Oslo Univ Hosp, Dept Microbiol, Oslo, Norway</t>
  </si>
  <si>
    <t xml:space="preserve">University of Oslo; Norwegian Institute of Public Health (NIPH); University of Oslo; Norwegian University of Life Sciences; University of Oslo</t>
  </si>
  <si>
    <t xml:space="preserve">Debes, S (corresponding author), Univ Oslo, Fac Med, Inst Clin Med, Oslo, Norway.</t>
  </si>
  <si>
    <t xml:space="preserve">Dudman, Susanne Gjeruldsen/0000-0001-5047-4982; Debes, Sara/0000-0002-6342-2601</t>
  </si>
  <si>
    <t xml:space="preserve">Sykehuset Ostfold [AB3417]; Ostfold Hospital Trust, Sykehuset Ostfold [AB3417]</t>
  </si>
  <si>
    <t xml:space="preserve">Sykehuset Ostfold; Ostfold Hospital Trust, Sykehuset Ostfold</t>
  </si>
  <si>
    <t xml:space="preserve">Sykehuset Ostfold, Grant/Award Number: Research Grant AB3417; Ostfold Hospital Trust, Sykehuset Ostfold, Grant/Award Number: AB3417</t>
  </si>
  <si>
    <t xml:space="preserve">e403</t>
  </si>
  <si>
    <t xml:space="preserve">10.1002/hsr2.403</t>
  </si>
  <si>
    <t xml:space="preserve">XW2BK</t>
  </si>
  <si>
    <t xml:space="preserve">WOS:000735431100072</t>
  </si>
  <si>
    <t xml:space="preserve">Lee, YM; Kim, T; Park, KH; Choi, SH; Kwak, YG; Choo, EJ; Chung, JW; Lee, MS</t>
  </si>
  <si>
    <t xml:space="preserve">Lee, Yu-Mi; Kim, Tark; Park, Ki-Ho; Choi, Seong-Ho; Kwak, Yee Gyung; Choo, Eun Ju; Chung, Jin-Won; Lee, Mi Suk</t>
  </si>
  <si>
    <t xml:space="preserve">Dual respiratory virus detection in adult patients with acute respiratory illness</t>
  </si>
  <si>
    <t xml:space="preserve">Adult; Respiratory tract infections; Viruses</t>
  </si>
  <si>
    <t xml:space="preserve">A H1N1 2009; VIRAL-INFECTIONS; INFLUENZA; CIRCULATION</t>
  </si>
  <si>
    <t xml:space="preserve">Background Nonrandom multiple respiratory virus (RV) detection provides evidence for viral interference among respiratory viruses. However, little is known as to whether it occurs randomly. Methods The prevalence of dual RV detection (DRVD) in patients with acute respiratory illnesses (ARIs) at 4 academic medical centers was investigated; data about the prevalence of 8 RVs were collected from the Korean national RV surveillance dataset. Linear regression analysis was performed to assess the correlation between observed and estimated prevalence of each type of DRVD. Results In total, 108 patients with ARIs showing DRVD were included in this study between 2011 and 2017. In several types of regression analysis, a strong correlation was observed between the observed and estimated prevalence of each type of DRVD. Excluding three DRVD types (influenza/picornavirus, influenza/human metapneumovirus, and adenovirus/respiratory syncytial virus), the slope of the regression line was higher than that of the line of random occurrence (1.231 &gt; 1.000) and the 95% confidence interval of the regression line was located above the line of random occurrence. Conclusions Contrary to the results of previous epidemiologic studies, most types of DRVD occur more frequently than expected from the prevalence rates of individual RV, except for three underrepresented pairs above.</t>
  </si>
  <si>
    <t xml:space="preserve">[Lee, Yu-Mi; Park, Ki-Ho; Lee, Mi Suk] Kyung Hee Univ, Kyung Hee Univ Hosp, Dept Internal Med, Div Infect Dis,Sch Med, Seoul, South Korea; [Kim, Tark; Choo, Eun Ju] Soonchunhyang Univ, Bucheon Hosp, Div Infect Dis, Dept Internal Med, Bucheon, South Korea; [Choi, Seong-Ho; Chung, Jin-Won] Chung Ang Univ, Chung Ang Univ Hosp, Dept Internal Med, Div Infect Dis,Coll Med, 102 Heukseok Ro, Seoul 06973, South Korea; [Kwak, Yee Gyung] Inje Univ, Ilsan Paik Hosp, Div Infect Dis, Dept Internal Med, Goyang, South Korea</t>
  </si>
  <si>
    <t xml:space="preserve">Kyung Hee University; Kyung Hee University Hospital; Soonchunhyang University; Chung Ang University; Chung Ang University Hospital; Inje University</t>
  </si>
  <si>
    <t xml:space="preserve">Choi, SH (corresponding author), Chung Ang Univ, Chung Ang Univ Hosp, Dept Internal Med, Div Infect Dis,Coll Med, 102 Heukseok Ro, Seoul 06973, South Korea.</t>
  </si>
  <si>
    <t xml:space="preserve">tobeservant@cau.ac.kr</t>
  </si>
  <si>
    <t xml:space="preserve">Kim, Sun-Ouck/HKE-9385-2023; choi, sangho/KBQ-3756-2024</t>
  </si>
  <si>
    <t xml:space="preserve">Choi, Seong-Ho/0000-0001-8108-2412; Lee, Yu-Mi/0000-0002-0486-6608</t>
  </si>
  <si>
    <t xml:space="preserve">National Research Foundation of Korea - Korea Government (Ministry of Science, ICT and Future Planning) [2019R1C1C1006417]</t>
  </si>
  <si>
    <t xml:space="preserve">National Research Foundation of Korea - Korea Government (Ministry of Science, ICT and Future Planning)</t>
  </si>
  <si>
    <t xml:space="preserve">This work was supported by the National Research Foundation of Korea grant funded by the Korea Government (Ministry of Science, ICT and Future Planning) (2019R1C1C1006417). The funding organization had no role in the development of study design or in the collection, analysis, and interpretation of data.</t>
  </si>
  <si>
    <t xml:space="preserve">SEP 23</t>
  </si>
  <si>
    <t xml:space="preserve">10.1186/s12879-021-06699-z</t>
  </si>
  <si>
    <t xml:space="preserve">UU2XN</t>
  </si>
  <si>
    <t xml:space="preserve">WOS:000698664400009</t>
  </si>
  <si>
    <t xml:space="preserve">Cho, EB; Choi, SH; Chung, JW; Lee, MK</t>
  </si>
  <si>
    <t xml:space="preserve">Cho, Eun Been; Choi, Seong-Ho; Chung, Jin-Won; Lee, Mi-Kyung</t>
  </si>
  <si>
    <t xml:space="preserve">Usefulness of national respiratory virus surveillance data for clinicians who manage adult patients</t>
  </si>
  <si>
    <t xml:space="preserve">adult; respiratory tract infections; sentinel surveillance; viruses</t>
  </si>
  <si>
    <t xml:space="preserve">The Korean Centers for Disease Control and Prevention (KCDC) provides weekly respiratory virus (RV) surveillance reports on its website (the KCDC data). Clinicians in clinical settings wherein the use of PCR for RVs is not a routine laboratory test for adult patients with acute respiratory illness (ARI) may question the clinical utility of such a national RV surveillance dataset in predicting RV outbreaks among their adult patients. We compared the KCDC data to the RV PCR data of adult patients who visited a tertiary care center. During a period of 108 weeks, a total of 6955 (5598 pediatric and 1257 adult) patients underwent RV PCR tests for ARI; most of these tests were administered while the patients were admitted (n=6,920; 99.5%). From the KCDC website, we collected the RV PCR test results of 22540 patients. Three graphs of weekly positivity rates were made for adults, children, and the KCDC data per each RV, and these graphs were then compared with one another. Whereas RV outbreaks were coincident between the KCDC and the adult graph with respect to influenza virus, respiratory syncytial virus, human metapneumovirus, and human coronavirus, the same was not true for human bocavirus, parainfluenza virus, rhinovirus, and adenovirus. However, a negative predictive value of the KCDC data in the prediction of the occurrence of an outbreak in the adult graph was high for the respective eight RVs (85-100%). A national RV surveillance dataset may be useful in identifying RV outbreaks in adult patients with severe ARI.</t>
  </si>
  <si>
    <t xml:space="preserve">[Cho, Eun Been; Choi, Seong-Ho; Chung, Jin-Won] Chung Ang Univ Hosp, Div Infect Dis, Dept Internal Med, 102 Heukseok Ro, Seoul 156755, South Korea; [Lee, Mi-Kyung] Chung Ang Univ, Coll Med, Chung Ang Univ Hosp, Dept Lab Med, Seoul, South Korea</t>
  </si>
  <si>
    <t xml:space="preserve">Choi, SH (corresponding author), Chung Ang Univ Hosp, Div Infect Dis, Dept Internal Med, 102 Heukseok Ro, Seoul 156755, South Korea.</t>
  </si>
  <si>
    <t xml:space="preserve">tobeserve@gmail.com</t>
  </si>
  <si>
    <t xml:space="preserve">Choi, Seong-Ho/I-9732-2019</t>
  </si>
  <si>
    <t xml:space="preserve">Choi, Seong-Ho/0000-0001-8108-2412</t>
  </si>
  <si>
    <t xml:space="preserve">10.1002/jmv.25199</t>
  </si>
  <si>
    <t xml:space="preserve">GK0JY</t>
  </si>
  <si>
    <t xml:space="preserve">WOS:000435797200005</t>
  </si>
  <si>
    <t xml:space="preserve">Auvinen, R; Syrjänen, R; Ollgren, J; Nohynek, H; Skogberg, K</t>
  </si>
  <si>
    <t xml:space="preserve">Auvinen, Raija; Syrjanen, Ritva; Ollgren, Jukka; Nohynek, Hanna; Skogberg, Kirsi</t>
  </si>
  <si>
    <t xml:space="preserve">Clinical characteristics and population-based attack rates of respiratory syncytial virus versus influenza hospitalizations among adults-An observational study</t>
  </si>
  <si>
    <t xml:space="preserve">adult; hospitalization; incidence; influenza; respiratory syncytial viruses</t>
  </si>
  <si>
    <t xml:space="preserve">HUMAN METAPNEUMOVIRUS; VIRAL-INFECTIONS; UNITED-STATES; COMMUNITY; ADMISSIONS; BURDEN; CHINA</t>
  </si>
  <si>
    <t xml:space="preserve">Background The clinical significance of respiratory syncytial virus (RSV) among adults remains underinvestigated. We compared the characteristics and population-based attack rates of RSV and influenza hospitalizations. Methods During 2018-2020, we recruited hospitalized adults with respiratory infection to our prospective substudy at a tertiary care hospital in Finland and compared the characteristics of RSV and influenza patients. In our retrospective substudy, we calculated the attack rates of all RSV and influenza hospitalizations among adults in the same geographic area during 2016-2020. Results Of the 537 prospective substudy patients, 31 (6%) had RSV, and 106 (20%) had influenza. Duration of hospitalization, need for intensive care or outcome did not differ significantly between RSV and influenza patients. RSV was more often missed or its diagnosis omitted from medical record (13% vs. 1%, p = 0.016 and 52% vs. 85%, p &lt; 0.001). In the retrospective substudy, the mean attack rates of RSV, influenza A, and influenza B hospitalizations rose with age from 4.1 (range by season 1.9-5.9), 15.4 (12.3-23.3), and 4.7 (0.5-16.2) per 100,000 persons among 18- to 64-year-olds to 58.3 (19.3-117.6), 204.1 (31.0-345.0), and 60.4 (0.0-231.0) per 100,000 persons among 65+-year-olds and varied considerably between seasons. Discussion While the attack rates of influenza hospitalizations were higher compared with RSV, RSV and influenza hospitalizations were similar in severity. Missing or underreporting of RSV infections may lead to underestimating its disease burden. Both RSV and influenza caused a substantial amount of hospitalizations among the elderly, stressing the need for more effective interventions.</t>
  </si>
  <si>
    <t xml:space="preserve">[Auvinen, Raija; Skogberg, Kirsi] Univ Helsinki, Inflammat Ctr, Helsinki, Finland; [Auvinen, Raija; Skogberg, Kirsi] Helsinki Univ Hosp, Helsinki, Finland; [Auvinen, Raija; Ollgren, Jukka; Nohynek, Hanna] Finnish Inst Hlth &amp; Welf, Dept Hlth Secur, Infect Dis Control &amp; Vaccinat Unit, Helsinki, Finland; [Auvinen, Raija] Univ Helsinki, Internal Med &amp; Rehabil, Helsinki, Finland; [Syrjanen, Ritva] Finnish Inst Hlth &amp; Welf, Dept Publ Hlth &amp; Welf, Populat Hlth Unit, Helsinki, Finland</t>
  </si>
  <si>
    <t xml:space="preserve">University of Helsinki; University of Helsinki; Helsinki University Central Hospital; University of Helsinki</t>
  </si>
  <si>
    <t xml:space="preserve">Auvinen, R (corresponding author), Univ Helsinki, Inflammat Ctr, Helsinki, Finland.;Auvinen, R (corresponding author), Helsinki Univ Hosp, Helsinki, Finland.</t>
  </si>
  <si>
    <t xml:space="preserve">raija.auvinen@helsinki.fi</t>
  </si>
  <si>
    <t xml:space="preserve">Auvinen, Raija/0000-0003-1300-1048</t>
  </si>
  <si>
    <t xml:space="preserve">Innovative Medicines Initiative [777363]</t>
  </si>
  <si>
    <t xml:space="preserve">Innovative Medicines Initiative</t>
  </si>
  <si>
    <t xml:space="preserve">Innovative Medicines Initiative, Grant/Award Numbers: Grant agreement No 777363, 777363</t>
  </si>
  <si>
    <t xml:space="preserve">10.1111/irv.12914</t>
  </si>
  <si>
    <t xml:space="preserve">YT9KL</t>
  </si>
  <si>
    <t xml:space="preserve">WOS:000702982600001</t>
  </si>
  <si>
    <t xml:space="preserve">Serin, DC; Pullukçu, H; Çiçek, C; Sipahi, OR; Tasbakan, S; Atalay, S</t>
  </si>
  <si>
    <t xml:space="preserve">Serin, Derya Caglayan; Pullukcu, Husnu; Cicek, Candan; Sipahi, Oguz Resat; Tasbakan, Sezai; Atalay, Sabri</t>
  </si>
  <si>
    <t xml:space="preserve">Pneumonia Study Grp</t>
  </si>
  <si>
    <t xml:space="preserve">Bacterial and viral etiology in hospitalized community acquired pneumonia with molecular methods and clinical evaluation</t>
  </si>
  <si>
    <t xml:space="preserve">Adult; community acquired pneumonia; etiology; mixed infection; polymerase chain reaction; respiratory viruses</t>
  </si>
  <si>
    <t xml:space="preserve">POLYMERASE-CHAIN-REACTION; STREPTOCOCCUS-PNEUMONIAE; MULTIPLEX PCR; QUANTITATIVE DETECTION; MYCOPLASMA-PNEUMONIAE; SPUTUM SAMPLES; ADULT PATIENTS; INFECTION; DIAGNOSIS; PREVALENCE</t>
  </si>
  <si>
    <t xml:space="preserve">Introduction: Polymerase chain reaction (PCR) method has improved the diagnosis rates for patients with community-acquired pneumonia (CAP). We aimed to evaluate the bacterial and viral etiology of hospitalized CAP cases and compare clinical and laboratory findings of patients with pure bacterial and bacterial and viral (mixed) infections. Methodology: A total of 55 patients hospitalized with CAP were enrolled into the prospective study between February 2010 and December 2010. Clinical and laboratory follow-up were performed on days 0, 7 and 14. Deep tracheal aspiration samples were examined for bacterial and viral pathogens by multiplex PCR, and standard bacteriological culture method. Results: The etiological identification rate in 50 patients for bacteria, viruses and mixed virus-bacteria combination by PCR were 62%, 4%, 32%, respectively and 60% in 55 patients by bacterial culture method. Streptococcus pneumoniae concomitant with Haemophilus influenzae (36%) and rhinovirus (16%) was very common, whereas atypical pathogens (only Mycoplasma pneumoniae) were rare (6%). Rhinovirus was the most common viral agent (20%). Recently identified viruses, human coronavirus HKU1 and human bocavirus were not detected except for human metapneumovirus (one case). There was no significant difference in terms of mean age, immune status, leukocyte count, C-reactive protein (CRP) values, hospitalization duration and CURB-65 score between bacterial and mixed viral-bacterial detections. Advanced age (p &lt; 0.01) and higher CURB-65 score (p = 0.01) were found to be associated with increased mortality. Conclusion: Concomitance of bacterial and viral agents is frequent and resemble with bacterial infections alone. Further studies are needed for the clinical significance of mixed detections.</t>
  </si>
  <si>
    <t xml:space="preserve">[Serin, Derya Caglayan; Pullukcu, Husnu; Sipahi, Oguz Resat] Ege Univ, Fac Med, Dept Infect Dis &amp; Clin Microbiol, TR-35100 Izmir, Turkey; [Cicek, Candan] Ege Univ, Fac Med, Dept Microbiol &amp; Clin Microbiol, TR-35100 Izmir, Turkey; [Tasbakan, Sezai] Ege Univ, Fac Med, Dept Chest Dis, TR-35100 Izmir, Turkey; [Atalay, Sabri] Izmir Tepecik Educ &amp; Res Hosp, Dept Infect Dis &amp; Clin Microbiol, Izmir, Turkey</t>
  </si>
  <si>
    <t xml:space="preserve">Ege University; Ege University; Ege University; Izmir Tepecik Training &amp; Research Hospital</t>
  </si>
  <si>
    <t xml:space="preserve">Serin, DC (corresponding author), Ege Univ, Fac Med, Dept Infect Dis &amp; Clin Microbiol, TR-35100 Izmir, Turkey.</t>
  </si>
  <si>
    <t xml:space="preserve">drderya_caglayan@yahoo.com</t>
  </si>
  <si>
    <t xml:space="preserve">Atalay, Sabri/AAB-6517-2020; Çiçek, Candan/ABH-1161-2021; Sipahi, Oguz/AAR-2916-2020; Çağlayan, Derya/JAO-4738-2023</t>
  </si>
  <si>
    <t xml:space="preserve">Ege University Commission for Scientific Research Projects</t>
  </si>
  <si>
    <t xml:space="preserve">Ege University Commission for Scientific Research Projects(Ege University)</t>
  </si>
  <si>
    <t xml:space="preserve">This work was supported by Ege University Commission for Scientific Research Projects. The authors declare no conflicts of interest. Authors thank Sevim Sipahi (Retired English teacher) for English proofreading.</t>
  </si>
  <si>
    <t xml:space="preserve">10.3855/jidc.3560</t>
  </si>
  <si>
    <t xml:space="preserve">AM5VA</t>
  </si>
  <si>
    <t xml:space="preserve">WOS:000339927900016</t>
  </si>
  <si>
    <t xml:space="preserve">Bin Seo, Y; Song, JY; Choi, MJ; Kim, IS; Yang, TU; Hong, KW; Cheong, HJ; Kim, WJ</t>
  </si>
  <si>
    <t xml:space="preserve">Bin Seo, Yu; Song, Joon Young; Choi, Min Ju; Kim, In Seon; Yang, Tea Un; Hong, Kyung-Wook; Cheong, Hee Jin; Kim, Woo Joo</t>
  </si>
  <si>
    <t xml:space="preserve">Etiology and Clinical Outcomes of Acute Respiratory Virus Infection in Hospitalized Adults</t>
  </si>
  <si>
    <t xml:space="preserve">Adult; Children; Etiology; Respiratory virus</t>
  </si>
  <si>
    <t xml:space="preserve">INFLUENZA; COMPLICATIONS; COINFECTIONS; INFANTS</t>
  </si>
  <si>
    <t xml:space="preserve">Background: Etiologies and clinical profiles of acute respiratory viral infections need to be clarified to improve preventive and therapeutic strategies. Materials and Methods: A retrospective observational study at a single, university-affiliated center was performed to evaluate the respiratory viral infection etiologies in children compared to that in adults and to document the clinical features of common viral infections for adults from July 2009 to April 2012. \Results: The common viruses detected from children (2,800 total patients) were human rhinovirus (hRV) (31.8%), adenovirus (AdV) (19.2%), respiratory syncytial virus (RSV) A (17.4%), RSV B (11.7%), and human metapneumovirus (hMPV) (9.8%). In comparison, influenza virus A (IFA) had the highest isolation rate (28.5%), followed by hRV (15.5%), influenza virus B (IFB) (15.0%), and hMPV (14.0%), in adults (763 total patients). Multiple viruses were detected in single specimens from 22.4% of children and 2.0% of adults. IFA/IFB, RSV A/B, and hMPV exhibited strong seasonal detection and similar circulating patterns in children and adults. Adult patients showed different clinical manifestations according to causative viruses; nasal congestion and rhinorrhea were more common in hRV and human coronavirus (hCoV) infection. Patients with RSV B, hRV, or AdV tended to be younger, and those infected with RSV A and hMPV were likely to be older. Those with RSV A infection tended to stay longer in hospital, enter the intensive care unit more frequently, and have a fatal outcome more often. The bacterial co-detection rate was 26.5%, and those cases were more likely to have lower respiratory tract involvement (P = 0.001), longer hospital stay (P = 0.001), and higher mortality (P = 0.001). Conclusions: The etiologic virus of an acute respiratory infection can be cautiously inferred based on a patient's age and clinical features and concurrent epidemic data. Large-scale prospective surveillance studies are required to provide more accurate information about respiratory viral infection etiology, which could favorably influence clinical outcomes.</t>
  </si>
  <si>
    <t xml:space="preserve">[Bin Seo, Yu; Hong, Kyung-Wook] Hallym Univ, Coll Med, Dept Internal Med, Div Infect Dis, Chunchon, South Korea; [Song, Joon Young; Choi, Min Ju; Kim, In Seon; Yang, Tea Un; Cheong, Hee Jin; Kim, Woo Joo] Korea Univ, Coll Med, Dept Internal Med, Div Infect Dis, Seoul, South Korea</t>
  </si>
  <si>
    <t xml:space="preserve">Hallym University; Korea University; Korea University Medicine (KU Medicine)</t>
  </si>
  <si>
    <t xml:space="preserve">Song, JY (corresponding author), Korea Univ, Korea Univ Guro Hosp, Coll Med, Dept Internal Med,Div Infect Dis, 148 Gurudong Ro, Seoul 152703, South Korea.</t>
  </si>
  <si>
    <t xml:space="preserve">Cho, Hye-Min/D-9097-2019; Kim, Mi-Jeong/AAK-3053-2021; Kim, Hyunho/GQH-5608-2022; Kim, Woo Joo/D-2733-2015; Hong, Kyung-Wook/T-3067-2018</t>
  </si>
  <si>
    <t xml:space="preserve">Song, Joon Young/0000-0002-0148-7194; Kim, Woo Joo/0000-0002-4546-3880; Hong, Kyung-Wook/0000-0002-3227-9558</t>
  </si>
  <si>
    <t xml:space="preserve">10.3947/ic.2014.46.2.67</t>
  </si>
  <si>
    <t xml:space="preserve">V8E2I</t>
  </si>
  <si>
    <t xml:space="preserve">WOS:000421555500001</t>
  </si>
  <si>
    <t xml:space="preserve">Saraya, T; Kimura, H; Kurai, D; Ishii, H; Takizawa, H</t>
  </si>
  <si>
    <t xml:space="preserve">Saraya, Takeshi; Kimura, Hirokazu; Kurai, Daisuke; Ishii, Haruyuki; Takizawa, Hajime</t>
  </si>
  <si>
    <t xml:space="preserve">The molecular epidemiology of respiratory viruses associated with asthma attacks: A single-center observational study in Japan</t>
  </si>
  <si>
    <t xml:space="preserve">adult; asthma attack; molecular epidemiology; respiratory virus</t>
  </si>
  <si>
    <t xml:space="preserve">REQUIRING HOSPITALIZATION; VIRAL-INFECTIONS; ADULTS; EXACERBATIONS; CHILDREN; RISK</t>
  </si>
  <si>
    <t xml:space="preserve">Few reports have described the significance of viral respiratory infections (VRIs) in exacerbation of asthma in adult patients. The aim of this study was to elucidate the profiles of VRIs in adult patients with asthma along with their molecular epidemiology.A cross-sectional observational study was conducted at Kyorin University Hospital from August 2012 to May 2015. To identify respiratory pathogens in inpatients and outpatients suffering from asthma attacks, RT-PCR/sequencing/phylogenetic analysis methods were applied alongside conventional microbiological methods. Phylogenetic and pairwise distance analyses of 10 viruses were performed.A total of 106 asthma attack patients enrolled in this study in both inpatient (n=49) and outpatient (n=57) settings. The total 106 respiratory samples were obtained from nasopharyngeal swab (n=68) or sputum (n=38). Among these, patients with virus alone (n=39), virus and bacterial (n=5), and bacterial alone (n=5) were identified. The ratio of virus-positive patients in inpatient or outpatient to the total cases were 31.1% (n=33) and 10.4% (n=11), respectively. The frequency of virus-positive patients was significantly higher in inpatients (75.3%, n=33) than in outpatients (19.3%, n=11). Major VRIs included human rhinovirus (HRV) (n=24), human metapneumovirus (hMPV) (n=9), influenza virus (Inf-V) (n=8), and respiratory syncytial virus (RSV) (n=3) infections with seasonal variations. HRV-A and HRV-C were the most commonly detected viruses, with wide genetic divergence on phylogenetic analysis.Asthmatic exacerbations in adults are highly associated with VRIs such as HRV-A or HRV-C, hMPV, RSV, and Inf-V infections with seasonal variations and genetic divergence, but similar frequencies of VRIs occurred in asthma attack patients throughout the seasons.</t>
  </si>
  <si>
    <t xml:space="preserve">[Saraya, Takeshi; Kurai, Daisuke; Ishii, Haruyuki; Takizawa, Hajime] Kyorin Univ, Sch Med, Dept Resp Med, 6-20-2 Shinkawa, Mitaka, Tokyo 1818611, Japan; [Kimura, Hirokazu] Natl Inst Infect Dis, Infect Dis Surveillance Ctr, Tokyo, Japan</t>
  </si>
  <si>
    <t xml:space="preserve">Kyorin University; National Institute of Infectious Diseases (NIID)</t>
  </si>
  <si>
    <t xml:space="preserve">Saraya, T (corresponding author), Kyorin Univ, Sch Med, Dept Resp Med, 6-20-2 Shinkawa, Mitaka, Tokyo 1818611, Japan.</t>
  </si>
  <si>
    <t xml:space="preserve">sara@yd5.so-net.ne.jp</t>
  </si>
  <si>
    <t xml:space="preserve">JSPS KAKENHI [JP15K09579]; Grants-in-Aid for Scientific Research [15K09579, 15K09189] Funding Source: KAKEN</t>
  </si>
  <si>
    <t xml:space="preserve">This work was supported by JSPS KAKENHI (Grant Number JP15K09579).</t>
  </si>
  <si>
    <t xml:space="preserve">e8204</t>
  </si>
  <si>
    <t xml:space="preserve">10.1097/MD.0000000000008204</t>
  </si>
  <si>
    <t xml:space="preserve">FM5SO</t>
  </si>
  <si>
    <t xml:space="preserve">WOS:000415100000044</t>
  </si>
  <si>
    <t xml:space="preserve">Santamaría, C; Urueña, A; Videla, C; Suarez, A; Ganduglia, C; Carballal, G; Bonvehi, P; Echavarría, M</t>
  </si>
  <si>
    <t xml:space="preserve">Santamaria, Cecilia; Uruena, Analia; Videla, Cristina; Suarez, Ariel; Ganduglia, Cecilia; Carballal, Guadalupe; Bonvehi, Pablo; Echavarria, Marcela</t>
  </si>
  <si>
    <t xml:space="preserve">Epidemiological study of influenza virus infections in young adult outpatients from Buenos Aires, Argentina</t>
  </si>
  <si>
    <t xml:space="preserve">Adult outpatients; infection control; influenza virus; influenza-like illness; upper respiratory tract infections</t>
  </si>
  <si>
    <t xml:space="preserve">RESPIRATORY SYNCYTIAL VIRUS; VIRAL-INFECTIONS; SURVEILLANCE; CORONAVIRUS</t>
  </si>
  <si>
    <t xml:space="preserve">Background Influenza virus is the most common cause of influenza-like illness (ILI) in adults. In Argentina, studies on influenza and other respiratory viruses were performed mostly in pediatric populations. Objectives To determine: (1) the frequency of influenza virus and other common respiratory viruses in adult outpatients with ILI, (2) whether the signs and symptoms predict viral etiology, (3) whether viral diagnosis changes clinical management or infection control measures and (4) to characterize the influenza strains circulating in the community. Population and methods Nasal and pharyngeal swabs from adult outpatients with ILI attending the emergency room during the winter seasons of 2004 and 2005 in Argentina were evaluated by immunofluorescence and RT-PCR. Results Of 151 samples analyzed, 39 (26%) were influenza A positive, 5 (3.3%) influenza B positive and 4 (2.6%) respiratory syncytial virus positive by immunofluorescence. Two samples (1.3%) were human metapneumovirus positive by RT PCR. Cell culture detected six additional influenza viruses and one adenovirus positive sample. The sensitivity of immunofluorescence for influenza compared with culture was 70%. Symptoms did not predict etiology. Conclusions In this study, 40% of the patients with ILI had a specific viral infection and 83% were influenza viruses. Viral detection was necessary to determine the etiology as signs and symptoms were not different between patients with or without viral infection. Viral diagnosis was important to implement infectious control measures. Circulating influenza strains in this study were similar to the correspondent vaccine strains selected for the Southern hemisphere.</t>
  </si>
  <si>
    <t xml:space="preserve">[Santamaria, Cecilia; Videla, Cristina; Suarez, Ariel; Carballal, Guadalupe; Echavarria, Marcela] CEMIC, Virol Lab, Buenos Aires, DF, Argentina</t>
  </si>
  <si>
    <t xml:space="preserve">Centro de Educacion Medica e Investigaciones Clinicas (CEMIC)</t>
  </si>
  <si>
    <t xml:space="preserve">Santamaría, C (corresponding author), CEMIC, Virol Lab, C1431FWO, Buenos Aires, DF, Argentina.</t>
  </si>
  <si>
    <t xml:space="preserve">chusantamaria@yahoo.com.ar</t>
  </si>
  <si>
    <t xml:space="preserve">Uruena, Analia/0000-0001-5108-2534</t>
  </si>
  <si>
    <t xml:space="preserve">10.1111/j.1750-2659.2008.00048.x</t>
  </si>
  <si>
    <t xml:space="preserve">WOS:000267761600003</t>
  </si>
  <si>
    <t xml:space="preserve">Zou, LR; Zhou, J; Li, H; Wu, J; Mo, YL; Chen, QX; Fang, L; Wu, D; Wu, J; Ke, CW</t>
  </si>
  <si>
    <t xml:space="preserve">Zou, Lirong; Zhou, Jie; Li, Hui; Wu, Jian; Mo, Yanling; Chen, Qiuxia; Fang, Ling; Wu, De; Wu, Jie; Ke, Changwen</t>
  </si>
  <si>
    <t xml:space="preserve">Human adenovirus infection in children with acute respiratory tract disease in Guangzhou, China</t>
  </si>
  <si>
    <t xml:space="preserve">APMIS</t>
  </si>
  <si>
    <t xml:space="preserve">Adenovirus; virus respiratory infection; incidence</t>
  </si>
  <si>
    <t xml:space="preserve">HUMAN METAPNEUMOVIRUS; SYNCYTIAL VIRUS; MOLECULAR EPIDEMIOLOGY; PCR ASSAYS; TYPE-7; GENOME; BRONCHIOLITIS; INFANTS; TAIWAN</t>
  </si>
  <si>
    <t xml:space="preserve">Acute respiratory infections (ARI) are the major worldwide health problem due to associated high morbidity and mortality rates. Adenovirus (Adv) is one of the most common causes of viral ARI, and thus calls for specific diagnosis and better understanding of the epidemiology and clinical characteristics. Our aims were to find out the status of Adv infection in children &lt;14 years with ARI, analyze the epidemiology and clinical characteristics among the Adv-infected children in Guangzhou, China, and to provide some basis for the research of Adv. The throat and pharyngeal swabs were collected among the children with acute respiratory tract infections in outpatient department from September 2006 to August 2008. The samples were analyzed by PCR and the sequences were blasted with the sequences of Adv in GenBank. Clinical data were analyzed along with virological data by using appropriate statistical methods. Adv was detected in 25 out of 512 (4.9%) children. The genome types of 23 samples were determined after analysis of the gene sequence. The most prevalent Adv type was species B type 3. Among the patients, 10 were of Ad3 (43.5%), three were of Ad1 (1.3%), five were of species C Ad2 (21.7%), and five were of species E Ad4 (21.7%). A higher incidence of positive results was found during the summer season, thus showing a pattern of seasonality. There exists Adv infection in children with acute respiratory system diseases in Guangzhou area. No significant differences were found among different age groups and gender groups. Co-infections with other respiratory virus were detected in 64% of the Adv positive samples.</t>
  </si>
  <si>
    <t xml:space="preserve">[Ke, Changwen] Ctr Dis Control &amp; Prevent Guangdong Prov, Inst Microbiol, Guangzhou 510300, Guangdong, Peoples R China; [Wu, Jian] Hunan Normal Univ, Coll Life Sci, Changsha, Hunan, Peoples R China</t>
  </si>
  <si>
    <t xml:space="preserve">Hunan Normal University</t>
  </si>
  <si>
    <t xml:space="preserve">Ke, CW (corresponding author), Ctr Dis Control &amp; Prevent Guangdong Prov, Inst Microbiol, 176 Xin Gang Rd W, Guangzhou 510300, Guangdong, Peoples R China.</t>
  </si>
  <si>
    <t xml:space="preserve">kecw1965@yahoo.com.cn</t>
  </si>
  <si>
    <t xml:space="preserve">Wu, Jian/K-2038-2015; Chen, qiu/LCE-1743-2024</t>
  </si>
  <si>
    <t xml:space="preserve">Emerging infection disease, pathogen detection technology research center of Guangdong Province [[2008]12616-2]</t>
  </si>
  <si>
    <t xml:space="preserve">Emerging infection disease, pathogen detection technology research center of Guangdong Province</t>
  </si>
  <si>
    <t xml:space="preserve">This project was financially supported by the Emerging infection disease, pathogen detection technology research center of Guangdong Province. Grant No: [2008]12616-2.</t>
  </si>
  <si>
    <t xml:space="preserve">0903-4641</t>
  </si>
  <si>
    <t xml:space="preserve">10.1111/j.1600-0463.2012.02890.x</t>
  </si>
  <si>
    <t xml:space="preserve">Immunology; Microbiology; Pathology</t>
  </si>
  <si>
    <t xml:space="preserve">972VZ</t>
  </si>
  <si>
    <t xml:space="preserve">WOS:000306310500011</t>
  </si>
  <si>
    <t xml:space="preserve">Joyce, C; Scallan, CD; Mateo, R; Belshe, RB; Tucker, SN; Moore, AC</t>
  </si>
  <si>
    <t xml:space="preserve">Joyce, Christina; Scallan, Ciaran D.; Mateo, Roberto; Belshe, Robert B.; Tucker, Sean N.; Moore, Anne C.</t>
  </si>
  <si>
    <t xml:space="preserve">Orally administered adenoviral-based vaccine induces respiratory mucosal memory and protection against RSV infection in cotton rats</t>
  </si>
  <si>
    <t xml:space="preserve">Adenovirus; Vaccine; Memory B cell mucosal; Oral; RSV; Cotton rats</t>
  </si>
  <si>
    <t xml:space="preserve">SYNCYTIAL VIRUS-INFECTION; B-CELL MEMORY; NEUTRALIZING ANTIBODIES; HUMAN METAPNEUMOVIRUS; NANOPARTICLE VACCINE; SIGMODON-HISPIDUS; IMMUNE-RESPONSES; AVIAN INFLUENZA; OLDER-ADULTS; DISEASE</t>
  </si>
  <si>
    <t xml:space="preserve">A vaccine against Respiratory Syncytial Virus (RSV) is a major unmet need to prevent the significant morbidity and mortality that it causes in society. In addition to efficacy, such a vaccine must not induce adverse events, as previously occurred with a formalin-inactivated vaccine (FI-RSV). In this study, the safety, immunogenicity and efficacy of a molecularly adjuvanted adenovirus serotype 5 based RSV vaccine encoding the fusion (F) protein (Ad-RSVF) is demonstrated in cotton rats. Protective immunity to RSV was induced by Ad-RSVF when administered by an oral route as well as by intranasal and intramuscular routes. Compared to FI-RSV, the Ad-RSVF vaccine induced significantly greater neutralizing antibody responses and protection against RSV infection. Significantly, oral or intranasal immunization each induced protective multi-functional effector and memory B cell responses in the respiratory tract. This study uniquely demonstrates the capacity of an orally administered adenovirus vaccine to induce protective immunity in the respiratory tract against RSV in a pre-clinical model and supports further clinical development of this oral Ad-RSVF vaccine strategy. (C) 2018 Elsevier Ltd. All rights reserved.</t>
  </si>
  <si>
    <t xml:space="preserve">[Joyce, Christina; Scallan, Ciaran D.; Mateo, Roberto; Tucker, Sean N.] Vaxart Inc, 290 Utah Ave,Suite 200, San Francisco, CA 94080 USA; [Belshe, Robert B.] St Louis Univ, Dept Internal Med, Div Infect Dis Allergy &amp; Immunol, St Louis, MO 63103 USA; [Moore, Anne C.] Univ Coll Cork, Dept Pharmacol &amp; Therapeut, Cork, Ireland; [Moore, Anne C.] Univ Coll Cork, Sch Pharm, Cork, Ireland</t>
  </si>
  <si>
    <t xml:space="preserve">Saint Louis University; University College Cork; University College Cork</t>
  </si>
  <si>
    <t xml:space="preserve">Moore, AC (corresponding author), Univ Coll Cork, Dept Pharmacol &amp; Therapeut, Cork, Ireland.;Moore, AC (corresponding author), Univ Coll Cork, Sch Pharm, Cork, Ireland.</t>
  </si>
  <si>
    <t xml:space="preserve">anne.moore@ucc.ie</t>
  </si>
  <si>
    <t xml:space="preserve">Moore, Anne/HKV-5003-2023</t>
  </si>
  <si>
    <t xml:space="preserve">Moore, Anne/0000-0003-3656-4230; Tucker, Sean/0000-0002-6233-225X</t>
  </si>
  <si>
    <t xml:space="preserve">Vaxart Inc.</t>
  </si>
  <si>
    <t xml:space="preserve">Vaxart Inc. funded this study.</t>
  </si>
  <si>
    <t xml:space="preserve">JUL 5</t>
  </si>
  <si>
    <t xml:space="preserve">10.1016/j.vaccine.2018.05.112</t>
  </si>
  <si>
    <t xml:space="preserve">GM3IF</t>
  </si>
  <si>
    <t xml:space="preserve">WOS:000437997300015</t>
  </si>
  <si>
    <t xml:space="preserve">Choi, EJ; Wu, WZ; Cong, XY; Zhang, K; Luo, JQ; Ye, S; Wang, PY; Suresh, A; Ullah, UM; Zhou, J; Bao, XY</t>
  </si>
  <si>
    <t xml:space="preserve">Choi, Eun-Jin; Wu, Wenzhe; Cong, Xiaoyan; Zhang, Ke; Luo, Jiaqi; Ye, Sha; Wang, Pingyuan; Suresh, Adarsh; Ullah, Uneeb Mohammad; Zhou, Jia; Bao, Xiaoyong</t>
  </si>
  <si>
    <t xml:space="preserve">Broad Impact of Exchange Protein Directly Activated by cAMP 2 (EPAC2) on Respiratory Viral Infections</t>
  </si>
  <si>
    <t xml:space="preserve">adenovirus; human metapneumovirus; respiratory syncytial virus; EPAC2; viral replication; host cellular response</t>
  </si>
  <si>
    <t xml:space="preserve">NF-KAPPA-B; HUMAN METAPNEUMOVIRUS INFECTION; SYNCYTIAL VIRUS RSV; DOUBLE-STRANDED-RNA; TRACT INFECTIONS; RIG-I; CYTOKINE EXPRESSION; DIFFERENTIAL ROLES; DISEASE SEVERITY; BINDING PROTEIN</t>
  </si>
  <si>
    <t xml:space="preserve">The recently discovered exchange protein directly activated by cAMP (EPAC), compared with protein kinase A (PKA), is a fairly new family of cAMP effectors. Soon after the discovery, EPAC has shown its significance in many diseases including its emerging role in infectious diseases. In a recent study, we demonstrated that EPAC, but not PKA, is a promising therapeutic target to regulate respiratory syncytial virus (RSV) replication and its associated inflammation. In mammals, there are two isoforms of EPAC-EPAC1 and EPAC2. Unlike other viruses, including Middle East respiratory syndrome coronavirus (MERS-CoV) and Ebola virus, which use EPAC1 to regulate viral replication, RSV uses EPAC2 to control its replication and associated cytokine/chemokine responses. To determine whether EPAC2 protein has a broad impact on other respiratory viral infections, we used an EPAC2-specific inhibitor, MAY0132, to examine the functions of EPAC2 in human metapneumovirus (HMPV) and adenovirus (AdV) infections. HMPV is a negative-sense single-stranded RNA virus belonging to the family Pneumoviridae, which also includes RSV, while AdV is a double-stranded DNA virus. Treatment with an EPAC1-specific inhibitor was also included to investigate the impact of EPAC1 on these two viruses. We found that the replication of HMPV, AdV, and RSV and the viral-induced immune mediators are significantly impaired by MAY0132, while an EPAC1-specific inhibitor, CE3F4, does not impact or slightly impacts, demonstrating that EPAC2 could serve as a novel common therapeutic target to control these viruses, all of which do not have effective treatment and prevention strategies.</t>
  </si>
  <si>
    <t xml:space="preserve">[Choi, Eun-Jin; Wu, Wenzhe; Cong, Xiaoyan; Zhang, Ke; Luo, Jiaqi; Ye, Sha; Suresh, Adarsh; Ullah, Uneeb Mohammad; Bao, Xiaoyong] Univ Texas Med Branch, Dept Pediat, Galveston, TX 77555 USA; [Wang, Pingyuan; Zhou, Jia] Univ Texas Med Branch, Dept Pharmacol &amp; Toxicol, Galveston, TX 77555 USA; [Suresh, Adarsh] Rice Univ, Dept Kinesiol, Houston, TX 77005 USA; [Ullah, Uneeb Mohammad] Univ Texas Austin, Coll Nat Sci, Austin, TX 78712 USA; [Zhou, Jia; Bao, Xiaoyong] Univ Texas Med Branch, Sealy Ctr Mol Med, Galveston, TX 77555 USA; [Zhou, Jia; Bao, Xiaoyong] Univ Texas Med Branch, Inst Translat Sci, Galveston, TX 77555 USA; [Bao, Xiaoyong] Univ Texas Med Branch, Inst Human Infect &amp; Immun, Galveston, TX 77555 USA</t>
  </si>
  <si>
    <t xml:space="preserve">University of Texas System; University of Texas Medical Branch Galveston; University of Texas System; University of Texas Medical Branch Galveston; Rice University; University of Texas System; University of Texas Austin; University of Texas System; University of Texas Medical Branch Galveston; University of Texas System; University of Texas Medical Branch Galveston; University of Texas System; University of Texas Medical Branch Galveston</t>
  </si>
  <si>
    <t xml:space="preserve">euchoi@utmb.edu; wenwu@utmb.edu; xycong@163.com; kezhang@utmb.edu; luojq8@mail2.sysu.edu.cn; shye@utmb.edu; piwang@utmb.edu; as210@rice.edu; uu12@utexas.edu; jizhou@utmb.edu; xibao@utmb.edu</t>
  </si>
  <si>
    <t xml:space="preserve">Wang, Pingyuan/U-8680-2019</t>
  </si>
  <si>
    <t xml:space="preserve">Bao, Xiaoyong/0000-0002-6884-2584; Wang, Pingyuan/0009-0005-0368-5070; Zhou, Jia/0000-0002-2811-1090</t>
  </si>
  <si>
    <t xml:space="preserve">NIH [R01 AI116812, R21 AI113771]; FAMRI Clinical Innovator Award [160020]; John, D., Stobo, M.D. Distinguished Chair Endowment Fund at UTMB</t>
  </si>
  <si>
    <t xml:space="preserve">NIH(United States Department of Health &amp; Human ServicesNational Institutes of Health (NIH) - USA); FAMRI Clinical Innovator Award; John, D., Stobo, M.D. Distinguished Chair Endowment Fund at UTMB</t>
  </si>
  <si>
    <t xml:space="preserve">This work was supported by grants from the NIH R01 AI116812 and R21 AI113771, and FAMRI Clinical Innovator Award 160020 to X.B., J.Z. is partly supported by the John, D., Stobo, M.D. Distinguished Chair Endowment Fund at UTMB.</t>
  </si>
  <si>
    <t xml:space="preserve">10.3390/v13061179</t>
  </si>
  <si>
    <t xml:space="preserve">SZ8IB</t>
  </si>
  <si>
    <t xml:space="preserve">WOS:000666800600001</t>
  </si>
  <si>
    <t xml:space="preserve">Rehder, KJ; Wilson, EA; Zimmerman, KO; Cunningham, CK; Turner, DA</t>
  </si>
  <si>
    <t xml:space="preserve">Rehder, Kyle J.; Wilson, Elizabeth A.; Zimmerman, Kanecia O.; Cunningham, Coleen K.; Turner, David A.</t>
  </si>
  <si>
    <t xml:space="preserve">Detection of Multiple Respiratory Viruses Associated With Mortality and Severity of Illness in Children</t>
  </si>
  <si>
    <t xml:space="preserve">adenovirus; human metapneumovirus; influenza; parainfluenza; pediatric; respiratory; respiratory syncytial virus; severity of illness; virus</t>
  </si>
  <si>
    <t xml:space="preserve">SYNCYTIAL VIRUS; HUMAN METAPNEUMOVIRUS; VIRAL COINFECTIONS; TRACT INFECTIONS; YOUNG-CHILDREN; INFLUENZA; EPIDEMIOLOGY; BURDEN; CARE</t>
  </si>
  <si>
    <t xml:space="preserve">Objective: Respiratory viral infection is a common source of morbidity and mortality in children. Coinfection with multiple viruses occurs frequently; however, the clinical significance of concomitant viral pathogens is unclear. We hypothesized that presence of more than one respiratory virus is associated with increased morbidity and mortality when compared with children with a single respiratory virus. Design: Retrospective cohort study. Setting: A tertiary care hospital. Patients: All children at Duke Children's Hospital over a 2-year period with isolation of a virus on an extended viral respiratory panel result. Demographic data, comorbidities, and details of hospital encounter were recorded. Interventions: None. Measurements and Main Results: Two hundred thirty-five hospital encounters demonstrated positive extended viral respiratory panels. Immunocompromised status (37%) and respiratory comorbidities (23%) were common. Twenty-eight patients (12%) tested positive for multiple viruses, with adenovirus (23/28) and respiratory syncytial virus (15/28) most prevalent in patients with multiple viruses. Viral codetection was associated with increased use of noninvasive ventilation (p = 0.02), extracorporeal membrane oxygenation (p = 0.02), increased likelihood of moderate or severe illness (p = 0.005), and increased mortality (p = 0.01). Subgroup analysis demonstrated that this mortality association persisted for children with normal immune function (p = 0.003) and children with no comorbidities (p = 0.007). Conclusions: Children with multiple respiratory viruses may be at increased risk of moderate or severe illness and mortality, with previously healthy children potentially being at greatest risk. Further studies are indicated to determine the significance and generalizability of this finding and to better understand the pathophysiology of viral coinfection.</t>
  </si>
  <si>
    <t xml:space="preserve">[Rehder, Kyle J.; Zimmerman, Kanecia O.; Turner, David A.] Duke Univ, Med Ctr, Dept Pediat, Div Pediat Crit Care Med,Duke Childrens Hosp, Durham, NC 27710 USA; [Wilson, Elizabeth A.] Childrens Natl Med Ctr, Div Crit Care, Washington, DC 20010 USA; [Cunningham, Coleen K.] Duke Univ, Med Ctr, Dept Pediat, Div Infect Dis,Duke Childrens Hosp, Durham, NC 27710 USA</t>
  </si>
  <si>
    <t xml:space="preserve">Duke University; Children's National Health System; Duke University</t>
  </si>
  <si>
    <t xml:space="preserve">Rehder, KJ (corresponding author), Duke Univ, Med Ctr, Dept Pediat, Div Pediat Crit Care Med,Duke Childrens Hosp, Durham, NC 27710 USA.</t>
  </si>
  <si>
    <t xml:space="preserve">kyle.rehder@duke.edu</t>
  </si>
  <si>
    <t xml:space="preserve">Wilson, Elizabeth/HZH-2894-2023; Cunningham, Coleen/HLH-3413-2023; Turner, David/JKJ-4517-2023</t>
  </si>
  <si>
    <t xml:space="preserve">Wilson, Elizabeth/0000-0002-8105-0928</t>
  </si>
  <si>
    <t xml:space="preserve">National Institute of Child Human Development [5T32HD043029-12]</t>
  </si>
  <si>
    <t xml:space="preserve">National Institute of Child Human Development</t>
  </si>
  <si>
    <t xml:space="preserve">Dr. Rehder consulted for McKesson Health Solutions (Clinical Content Reviewer; unrelated to current manuscript). Dr. Wilson served as a board member for American Board of Pediatrics (Board Certified) and is employed by Duke University Medical Center Pediatrics Residency and Children's National Medical Center Critical Care Fellowship. Dr. Zimmerman's institution received grant support from the National Institute of Child Human Development (5T32HD043029-12 PI: Benjamin) (KL2 Clinical Translation Science Award Pending [Duke University]). Dr. Cunningham's institution received grant support. Dr. Turner disclosed that he does not have any potential conflicts of interest.</t>
  </si>
  <si>
    <t xml:space="preserve">E201</t>
  </si>
  <si>
    <t xml:space="preserve">E206</t>
  </si>
  <si>
    <t xml:space="preserve">10.1097/PCC.0000000000000492</t>
  </si>
  <si>
    <t xml:space="preserve">DD1UK</t>
  </si>
  <si>
    <t xml:space="preserve">WOS:000369707300003</t>
  </si>
  <si>
    <t xml:space="preserve">Dorji, K; Yuden, P; Ghishing, TD; Ghimeray, G; Klungthong, C; Wangchuk, S; Farmer, A</t>
  </si>
  <si>
    <t xml:space="preserve">Dorji, Kunzang; Yuden, Pema; Ghishing, Tara Devi; Ghimeray, Govinda; Klungthong, Chonticha; Wangchuk, Sonam; Farmer, Aaron</t>
  </si>
  <si>
    <t xml:space="preserve">Respiratory syncytial virus among hospitalized patients of severe acute respiratory infection in Bhutan: Cross-sectional study</t>
  </si>
  <si>
    <t xml:space="preserve">adenovirus; human metapneumovirus; influenza virus; respiratory syncytial virus; respiratory tract infection</t>
  </si>
  <si>
    <t xml:space="preserve">CHILDREN; BURDEN; SEASONALITY; ILLNESS; VACCINE; RSV; AGE</t>
  </si>
  <si>
    <t xml:space="preserve">IntroductionRespiratory syncytial virus (RSV) is a leading cause of lower respiratory tract infections worldwide, particularly in young children. In Bhutan, respiratory disease continues to be among the top 10 diseases of morbidity for several years. This study aimed to estimate the prevalence of RSV among hospitalized patients with severe acute respiratory infection (SARI) in Bhutan.MethodRespiratory specimens were collected from SARI patients of all ages in 2016 and 2018 following influenza surveillance guidelines. Specimens were tested for influenza and RSV, human metapneumovirus, adenovirus, and human parainfluenza virus types 1, 2, and 3 using real-time reverse-transcription polymerase chain reaction assay. Descriptive statistics were used to analyze the result in STATA 16.1.ResultOf the 1339 SARI specimens tested, 34.8% were positive for at least one viral pathogen. RSV was detected in 18.5% of SARI cases, followed by influenza in 13.4% and other respiratory viruses in 3%. The median age of SARI cases was 3 (IQR: 0.8-21 years) years. RSV detection was higher among children aged 0-6 (Adj OR: 3.03; 95% CI: 1.7-5.39) and 7-23 months (Adj OR: 3.01; 95% CI: 1.77-5.12) compared with the children aged 5-15 years. RSV was also associated with breathing difficulty (Adj OR: 1.73; 95% CI: 1.17-2.56) and pre-existing lung disease, including asthma (Adj OR: 2.78; 95% CI: 0.99-7.8).ConclusionRespiratory viruses were detected in a substantial proportion of SARI hospitalizations in Bhutan.</t>
  </si>
  <si>
    <t xml:space="preserve">[Dorji, Kunzang; Yuden, Pema; Ghishing, Tara Devi] Minist Hlth, Royal Ctr Dis Control, Natl Influenza Ctr, Thimphu, Bhutan; [Ghimeray, Govinda] Minist Hlth, Royal Ctr Dis Control, ICT Unit, Thimphu, Bhutan; [Wangchuk, Sonam] Minist Hlth, Royal Ctr Dis Control, Thimphu, Bhutan; [Klungthong, Chonticha; Farmer, Aaron] Armed Forces Res Inst Med Sci, Dept Virol, Bangkok, Thailand; [Dorji, Kunzang] Minist Hlth, Royal Ctr Dis Control, Natl Influenza Ctr, POB 667, Thimphu, Bhutan</t>
  </si>
  <si>
    <t xml:space="preserve">Walter Reed Army Institute of Research (WRAIR); Armed Forces Research Institute of Medical Science (AFRIMS); United States Department of Defense; United States Army</t>
  </si>
  <si>
    <t xml:space="preserve">Dorji, K (corresponding author), Minist Hlth, Royal Ctr Dis Control, Natl Influenza Ctr, POB 667, Thimphu, Bhutan.</t>
  </si>
  <si>
    <t xml:space="preserve">kunzangdorji@health.gov.bt</t>
  </si>
  <si>
    <t xml:space="preserve">Farmer, Aaron/LMP-7387-2024; Dorji, Kunzang/ABB-7631-2020</t>
  </si>
  <si>
    <t xml:space="preserve">Dorji, Kunzang/0000-0002-3876-9638</t>
  </si>
  <si>
    <t xml:space="preserve">Armed Forces Health Surveillance Division and its Global Emerging Infections Surveillance Branch, USA</t>
  </si>
  <si>
    <t xml:space="preserve">We are thankful to Mr. Binay Thapa, Dorji Wangchuk, Sonam Gyeltshen, Mrs. Sangay Zangmo, of RCDC, and all the health staff of sentinel hospitals for enrolling the SARI cases as per the SARI surveillance guideline. We are grateful to our collaborating lab partner AFRIMS, Thailand, for scientific and technical support. We would also like to thank Dr. Aslesh Prabhakaran, Public Health Specialist, and Dr. Siddhartha Saha, CDC New Delhi, India, for their support and guidance in writing this manuscript.</t>
  </si>
  <si>
    <t xml:space="preserve">e13242</t>
  </si>
  <si>
    <t xml:space="preserve">10.1111/irv.13242</t>
  </si>
  <si>
    <t xml:space="preserve">FD3H1</t>
  </si>
  <si>
    <t xml:space="preserve">WOS:001143777200001</t>
  </si>
  <si>
    <t xml:space="preserve">Sieling, WD; Goldman, CR; Oberhardt, M; Phillips, M; Finelli, L; Saiman, L</t>
  </si>
  <si>
    <t xml:space="preserve">Sieling, William D.; Goldman, Connor R.; Oberhardt, Matthew; Phillips, Matthew; Finelli, Lyn; Saiman, Lisa</t>
  </si>
  <si>
    <t xml:space="preserve">Comparative incidence and burden of respiratory viruses associated with hospitalization in adults in New York City</t>
  </si>
  <si>
    <t xml:space="preserve">adenovirus; human coronaviruses; influenza; parainfluenza viruses; respiratory syncytial virus</t>
  </si>
  <si>
    <t xml:space="preserve">UPDATE INFLUENZA ACTIVITY; SYNCYTIAL VIRUS; UNITED-STATES; INFECTIONS; MORTALITY; OLDER; SEASON</t>
  </si>
  <si>
    <t xml:space="preserve">Background Although the burden of influenza is well characterized, the burden of community-onset non-influenza respiratory viruses has not been systematically assessed. Understanding the severity and seasonality of non-influenza viruses, including human coronaviruses, will provide a better understanding of the overall disease burden from respiratory viruses that could better inform resource utilization for hospitals and highlight the value of preventative strategies, including vaccines. Methods From October 2017 to September 2019, a retrospective study was performed in a pre-defined catchment area to estimate the population-based incidence of community-onset respiratory viruses associated with hospitalization. Included patients were &gt;= 18 years old, resided in New York City, were hospitalized for &gt;= 24 hours, and had a respiratory virus detected within 3 calendar-days of admission. Disease burden was measured by hospital length of stay (LOS), intensive care unit (ICU) admissions, and in-hospital mortality and compared among those with laboratory-confirmed influenza versus those with laboratory-confirmed non-influenza viruses (human coronaviruses, parainfluenza viruses, respiratory syncytial virus, human metapneumovirus, and adenovirus). Results During the study period, 4232 eligible patients were identified of whom 50.9% were &gt;= 65 years of age. For each virus, the population-based incidence was highest for those &gt;= 80 years of age. When compared to those with influenza viruses detected, those with non-influenza respiratory viruses detected (combined) had higher population-based incidence, significantly more ICU admissions, and higher in-house mortality. Conclusions The burden of non-influenza respiratory viruses for hospitalized adults is substantial. Prevention and treatment strategies are needed for non-influenza respiratory viruses, particularly for older adults.</t>
  </si>
  <si>
    <t xml:space="preserve">[Sieling, William D.; Goldman, Connor R.; Saiman, Lisa] Columbia Univ, Dept Pediat, Irving Med Ctr, New York, NY 10027 USA; [Oberhardt, Matthew] New York Presbyterian Hosp, Value Inst, New York, NY USA; [Goldman, Connor R.; Phillips, Matthew; Finelli, Lyn] Merck &amp; Co Inc, Ctr Observat &amp; Real World Evidence, Kenilworth, NJ USA; [Saiman, Lisa] NewYork Presbyterian Hosp, Dept Infect Prevent &amp; Control, New York, NY USA; [Sieling, William D.] Univ Minnesota, Sch Med, Duluth, MN 55812 USA</t>
  </si>
  <si>
    <t xml:space="preserve">NewYork-Presbyterian Hospital; Columbia University; NewYork-Presbyterian Hospital; Merck &amp; Company; Merck &amp; Company USA; NewYork-Presbyterian Hospital; University of Minnesota System; University of Minnesota Duluth</t>
  </si>
  <si>
    <t xml:space="preserve">Saiman, L (corresponding author), Columbia Univ, Irving Med Ctr, 622 West 168th St,PH4W-470, New York, NY 10032 USA.</t>
  </si>
  <si>
    <t xml:space="preserve">ls5@cumc.columbia.edu</t>
  </si>
  <si>
    <t xml:space="preserve">Merck &amp; Co., Inc, Kenilworth, NJ, USA</t>
  </si>
  <si>
    <t xml:space="preserve">This work was supported by a research grant from Merck &amp; Co., Inc, Kenilworth, NJ, USA.</t>
  </si>
  <si>
    <t xml:space="preserve">10.1111/irv.12842</t>
  </si>
  <si>
    <t xml:space="preserve">UI8ZR</t>
  </si>
  <si>
    <t xml:space="preserve">WOS:000611935800001</t>
  </si>
  <si>
    <t xml:space="preserve">Ambrosioni, J; Bridevaux, PO; Wagner, G; Mamin, A; Kaiser, L</t>
  </si>
  <si>
    <t xml:space="preserve">Ambrosioni, J.; Bridevaux, P. -O.; Wagner, G.; Mamin, A.; Kaiser, L.</t>
  </si>
  <si>
    <t xml:space="preserve">Epidemiology of viral respiratory infections in a tertiary care centre in the era of molecular diagnosis, Geneva, Switzerland, 2011-2012</t>
  </si>
  <si>
    <t xml:space="preserve">Adenovirus; coronavirus; epidemiology; influenza; picornavirus; respiratory syncytial virus; respiratory virus; seasonality</t>
  </si>
  <si>
    <t xml:space="preserve">VIRUS-INFECTIONS; CHILDREN; RHINOVIRUSES; COINFECTIONS; SEASONALITY</t>
  </si>
  <si>
    <t xml:space="preserve">Few studies have examined the epidemiology of respiratory viral infections in large tertiary centres over more than one season in the era of molecular diagnosis. Respiratory clinical specimens received between 1 January 2011 and 31 December 2012 were analysed. Respiratory virus testing was performed using a large panel of real-time PCR or RT-PCR. Results were analysed according to sample type (upper versus lower respiratory tract) and age group. In all, 2996 (2469 (82.4%) upper; 527 (17.6%) lower) specimens were analysed. Overall positivity rate was 47.4% and 23.7% for upper and lower respiratory samples, respectively. The highest positivity rate was observed in patients under 18years old (p&lt;0.001); picornaviruses were the most frequent viruses detected over the year. Influenza virus, respiratory syncytial virus, human metapneumovirus and coronaviruses showed a seasonal peak during the winter season, while picornaviruses and adenoviruses were less frequently detected in these periods. Multiple viral infections were identified in 12% of positive cases and were significantly more frequent in children (p&lt;0.001). In conclusion, we observed significant differences in viral infection rates and virus types among age groups, clinical sample types and seasons. Follow-up of viral detection over several seasons allows a better understanding of respiratory viral epidemiology.</t>
  </si>
  <si>
    <t xml:space="preserve">[Ambrosioni, J.; Wagner, G.; Mamin, A.; Kaiser, L.] Univ Hosp Geneva, Div Lab Med, Virol Lab, Geneva, Switzerland; [Ambrosioni, J.; Wagner, G.; Mamin, A.; Kaiser, L.] Univ Hosp Geneva, Div Infect Dis, Geneva, Switzerland; [Bridevaux, P. -O.] Univ Hosp Geneva, Div Resp Med, Geneva, Switzerland; [Kaiser, L.] Univ Geneva, Sch Med, CH-1211 Geneva, Switzerland</t>
  </si>
  <si>
    <t xml:space="preserve">Ambrosioni, J (corresponding author), 4 Rue Gabrielle Perret Gentil, CH-1211 Geneva 14, Switzerland.</t>
  </si>
  <si>
    <t xml:space="preserve">jambrosioni@intramed.net</t>
  </si>
  <si>
    <t xml:space="preserve">Bridevaux, Pierre-Olivier/AAN-8046-2021</t>
  </si>
  <si>
    <t xml:space="preserve">Bridevaux, Pierre-Olivier/0000-0002-8021-0950; Kaiser, Laurent/0000-0002-0857-2252</t>
  </si>
  <si>
    <t xml:space="preserve">Swiss National Science Foundation [32003B-1Z7160]</t>
  </si>
  <si>
    <t xml:space="preserve">Swiss National Science Foundation(Swiss National Science Foundation (SNSF))</t>
  </si>
  <si>
    <t xml:space="preserve">This study was supported by the Swiss National Science Foundation (grant 32003B-1Z7160 awarded to LK). No conflicts of interest.</t>
  </si>
  <si>
    <t xml:space="preserve">O578</t>
  </si>
  <si>
    <t xml:space="preserve">O584</t>
  </si>
  <si>
    <t xml:space="preserve">10.1111/1469-0691.12525</t>
  </si>
  <si>
    <t xml:space="preserve">AR8KR</t>
  </si>
  <si>
    <t xml:space="preserve">WOS:000343824500008</t>
  </si>
  <si>
    <t xml:space="preserve">Burns, JL; Emerson, J; Kuypers, J; Campbell, AP; Gibson, RL; McNamara, S; Worrell, K; Englund, JA</t>
  </si>
  <si>
    <t xml:space="preserve">Burns, Jane L.; Emerson, Julia; Kuypers, Jane; Campbell, Angela P.; Gibson, Ronald L.; McNamara, Sharon; Worrell, Kelly; Englund, Janet A.</t>
  </si>
  <si>
    <t xml:space="preserve">Respiratory viruses in children with cystic fibrosis: viral detection and clinical findings</t>
  </si>
  <si>
    <t xml:space="preserve">Adenovirus; coronavirus; cystic fibrosis; rhinovirus; sputum</t>
  </si>
  <si>
    <t xml:space="preserve">TIME RT-PCR; RHINOVIRUS INFECTIONS; TRANSPLANT RECIPIENTS; TRACT INFECTION; YOUNG-CHILDREN; INFANTS; SPECIMENS; COHORT; ASSAYS</t>
  </si>
  <si>
    <t xml:space="preserve">Background Viral detection from different respiratory sample types in children with cystic fibrosis (CF) is facilitated by available molecular methods, but optimum sampling strategies have not been identified. In addition, associations between viral detection and respiratory symptoms are not well described. Objectives Study goals were to compare molecular detection of viruses from concurrent upper airway and sputum samples in children with CF and to describe relative frequency of respiratory viral infections and identify potential clinical associations. Methods We conducted a 2-year prospective surveillance study in 44 children with CF aged 6-18 years. Upper airway and sputum samples were collected quarterly and during pulmonary exacerbations and tested for respiratory syncytial virus (RSV), influenza viruses, parainfluenza viruses types 1-4, human metapneumovirus, coronaviruses, rhinoviruses, and adenoviruses. Physical exams and symptom surveys were used to identify respiratory signs and symptoms. Results Upper airway samples were collected at 359 visits; concordance of PCR-based viral detection was examined in a subset of paired upper airway and sputum samples from 21 participants at 92 visits. Rhinovirus was the most commonly detected virus (23.1% overall), and rhinovirus detection was the same for both sample types (21.7% each). Sensitivity and specificity for the detection of rhinovirus in sputum relative to upper airway sampling were 70% and 91.7%, respectively. Respiratory symptoms associated with rhinovirus detection included increased cough, increased nasal congestion, increased sputum production, and wheezing. Conclusions A relatively high frequency of rhinovirus detection was observed by either upper airway or sputum samples, and clinical findings suggest a significant-associated symptom burden.</t>
  </si>
  <si>
    <t xml:space="preserve">[Burns, Jane L.; Campbell, Angela P.; Englund, Janet A.] Univ Washington, Dept Pediat, Div Infect Dis, Seattle, WA 98195 USA; [Burns, Jane L.; Emerson, Julia; Campbell, Angela P.; Gibson, Ronald L.; McNamara, Sharon; Worrell, Kelly; Englund, Janet A.] Seattle Childrens Hosp, Seattle, WA USA; [Emerson, Julia; Gibson, Ronald L.; McNamara, Sharon; Worrell, Kelly] Univ Washington, Dept Pediat, Div Pulm &amp; Sleep Med, Seattle, WA 98195 USA; [Kuypers, Jane] Fred Hutchinson Canc Res Ctr, Dept Lab Med, Seattle, WA USA</t>
  </si>
  <si>
    <t xml:space="preserve">University of Washington; University of Washington Seattle; Seattle Children's Hospital; University of Washington; University of Washington Seattle; Fred Hutchinson Cancer Center</t>
  </si>
  <si>
    <t xml:space="preserve">Burns, JL (corresponding author), Seattle Childrens Res Inst, 1900 9th Ave,C9S8, Seattle, WA 98101 USA.</t>
  </si>
  <si>
    <t xml:space="preserve">jane.burns@seattlechildrens.org</t>
  </si>
  <si>
    <t xml:space="preserve">Cystic Fibrosis Foundation</t>
  </si>
  <si>
    <t xml:space="preserve">Cystic Fibrosis Foundation(Italian Cystic Fibrosis Research Foundation)</t>
  </si>
  <si>
    <t xml:space="preserve">We thank Nancy Wright, Reggie Sampoleo, and Rohit Shankar for laboratory expertise and Marcella Blackledge for database management. This study was funded by a grant to Dr. Englund from the Cystic Fibrosis Foundation.</t>
  </si>
  <si>
    <t xml:space="preserve">10.1111/j.1750-2659.2011.00292.x</t>
  </si>
  <si>
    <t xml:space="preserve">924TW</t>
  </si>
  <si>
    <t xml:space="preserve">WOS:000302715200022</t>
  </si>
  <si>
    <t xml:space="preserve">Naghipour, M; Hart, CA; Dove, W; Leatherbarrow, AJH; Cuevas, LE</t>
  </si>
  <si>
    <t xml:space="preserve">Naghipour, Mohammadreza; Hart, C. Anthony; Dove, Winifred; Leatherbarrow, A. J. Howard; Cuevas, Luis E.</t>
  </si>
  <si>
    <t xml:space="preserve">Adenovirus Infections Within a Family Cohort in Iran</t>
  </si>
  <si>
    <t xml:space="preserve">adenovirus; cohort; Iran; acute respiratory infections; community</t>
  </si>
  <si>
    <t xml:space="preserve">RESPIRATORY-SYNCYTIAL-VIRUS; HUMAN METAPNEUMOVIRUS; DEVELOPING-COUNTRIES; TRACT INFECTIONS; CHILDREN; REEMERGENCE; BOCAVIRUS; INFANTS; TYPE-7; DNA</t>
  </si>
  <si>
    <t xml:space="preserve">Background: Adenovirus is one of the most frequent viruses associated with acute respiratory infections (ARI). There is limited information of its transmission within the community. Methods: Cohorts of 50 families with &gt;= two children were visited weekly for 2 months to ascertain the presence ARI in Rasht, Iran. Nasopharyngeal swabs were obtained from symptomatic participants and at 3-4-day intervals to assess the duration of adenovirus shedding. Adenoviruses were identified by PCR and adenovirus positive amplicons were subjected to DNA sequencing. Results: Thirty-three (35%) of 94 ARI episodes in children and 8 (27%) of 30 episodes in adults were due to adenovirus (not significant, NS). 25/50 (50%) families had adenovirus infections. Children had more infections than adults, were more likely to develop symptoms if there was a symptomatic case within the household and episodes had a longer duration (P &lt; 0.05). Adenoviruses were recovered for a median of 11 (interquartile range 5-26) days of follow up in children and 7 (2-20) days in adults (NS). Adenovirus-7 was the most frequent serotype (12 families), followed by adenovirus-6 (5 families), adenovirus-1 and 2 (4 families each), and adenovirus-5 (3 families). Both adenovirus-5 and 7 amplicons fell into two clusters. No mutations were observed during transmission within a family. Conclusion A substantial proportion of ARI in the community are due to adenovirus with further transmission within the family Children &gt;= 2 years experienced a higher proportion of infections than younger children and adults. Viral shedding was more prolonged in children and adenovirus-7 and 5 predominated with several clusters co-circulating in the same season. Pediatr Pulmonol. 2009; 44:749-753. (C) 2009 Wiley-Liss, Inc.</t>
  </si>
  <si>
    <t xml:space="preserve">[Naghipour, Mohammadreza; Cuevas, Luis E.] Univ Liverpool, Liverpool Sch Trop Med, Liverpool L3 5QA, Merseyside, England; [Naghipour, Mohammadreza] Guilan Univ Med Sci, Rasht, Iran; [Naghipour, Mohammadreza; Hart, C. Anthony; Dove, Winifred; Leatherbarrow, A. J. Howard] Univ Liverpool, Sch Infect &amp; Host Def, Liverpool L3 5QA, Merseyside, England</t>
  </si>
  <si>
    <t xml:space="preserve">Liverpool School of Tropical Medicine; University of Liverpool; Guilan University of Medical Sciences; University of Liverpool</t>
  </si>
  <si>
    <t xml:space="preserve">Cuevas, LE (corresponding author), Univ Liverpool, Liverpool Sch Trop Med, Pembroke Pl, Liverpool L3 5QA, Merseyside, England.</t>
  </si>
  <si>
    <t xml:space="preserve">Iranian Ministry of Health and Medical Education</t>
  </si>
  <si>
    <t xml:space="preserve">Iranian Ministry of Health and Medical Education(Ministry of Health &amp; Medical Education (MOHME))</t>
  </si>
  <si>
    <t xml:space="preserve">Grant sponsor: Iranian Ministry of Health and Medical Education.</t>
  </si>
  <si>
    <t xml:space="preserve">10.1002/ppul.20785</t>
  </si>
  <si>
    <t xml:space="preserve">480CM</t>
  </si>
  <si>
    <t xml:space="preserve">WOS:000268709500003</t>
  </si>
  <si>
    <t xml:space="preserve">Laguna-Torres, VA; Sánchez-Largaespada, JF; Lorenzana, I; Forshey, B; Aguilar, P; Jimenez, M; Parrales, E; Rodriguez, F; García, J; Jimenez, I; Rivera, M; Perez, J; Sovero, M; Rios, J; Gamero, ME; Halsey, ES; Kochel, TJ</t>
  </si>
  <si>
    <t xml:space="preserve">Laguna-Torres, Victor A.; Sanchez-Largaespada, Jose F.; Lorenzana, Ivette; Forshey, Brett; Aguilar, Patricia; Jimenez, Mirna; Parrales, Eduardo; Rodriguez, Francisco; Garcia, Josefina; Jimenez, Ileana; Rivera, Maribel; Perez, Juan; Sovero, Merly; Rios, Jane; Gamero, Maria E.; Halsey, Eric S.; Kochel, Tadeusz J.</t>
  </si>
  <si>
    <t xml:space="preserve">Influenza and other respiratory viruses in three Central American countries</t>
  </si>
  <si>
    <t xml:space="preserve">Adenovirus; Central America; enterovirus; influenza; respiratory viruses; surveillance</t>
  </si>
  <si>
    <t xml:space="preserve">PARAINFLUENZA VIRUS; SOUTH-AMERICA; INFECTIONS; CHILDREN; PREVALENCE; MEXICO</t>
  </si>
  <si>
    <t xml:space="preserve">Background Despite the disease burden imposed by respiratory diseases on children in Central America, there is a paucity of data describing the etiologic agents of the disease. Aims To analyze viral etiologic agents associated with influenza-like illness (ILI) in participants reporting to one outpatient health center, one pediatric hospital, and three general hospitals in El Salvador, Honduras, and Nicaragua Material &amp; Methods Between August 2006 and April 2009, pharyngeal swabs were collected from outpatients and inpatients. Patient specimens were inoculated onto cultured cell monolayers, and viral antigens were detected by indirect and direct immunofluorescence staining. Results A total of 1,756 patients were enrolled, of whom 1,195 (68.3%) were under the age of 5; and 183 (10.4%) required hospitalization. One or more viral agents were identified in 434 (24.7%) cases, of which 17 (3.9%) were dual infections. The most common viruses isolated were influenza A virus (130; 7.4% of cases), respiratory syncytial virus (122; 6.9%), adenoviruses (63; 3.6%), parainfluenza viruses (57; 3.2%), influenza B virus (47; 2.7% of cases), and herpes simplex virus 1 (22; 1.3%). In addition, human metapneumovirus and enteroviruses (coxsackie and echovirus) were isolated from patient specimens. Discussion When compared to the rest of the population, viruses were isolated from a significantly higher percentage of patients age 5 or younger. The prevalence of influenza A virus or influenza B virus infections was similar between the younger and older age groups. RSV was the most commonly detected pathogen in infants age 5 and younger and was significantly associated with pneumonia (p &lt; 0.0001) and hospitalization (p &lt; 0.0001). Conclusion Genetic analysis of influenza isolates identified A (H3N2), A (H1N1), and B viruses. It also showed that the mutation H274Y conferring resistance to oseltamivir was first detected in Honduran influenza A/H1N1 strains at the beginning of 2008. These data demonstrate that a diverse range of respiratory pathogens are associated with ILI in Honduras, El Salvador, and Nicaragua. RSV infection in particular appears to be associated with severe disease in infants in the region.</t>
  </si>
  <si>
    <t xml:space="preserve">[Laguna-Torres, Victor A.; Forshey, Brett; Aguilar, Patricia; Garcia, Josefina; Perez, Juan; Sovero, Merly; Rios, Jane; Gamero, Maria E.; Halsey, Eric S.; Kochel, Tadeusz J.] US Naval Med Res Ctr Detachment, Lima, Peru; [Sanchez-Largaespada, Jose F.; Jimenez, Ileana] Hosp Infantil Manuel Jesus Rivera La Mascota, Managua Minist Salud Nicaragua, Mascota, Mexico; [Lorenzana, Ivette] Univ Nacl Utonoma Honduras, Tegucigalpa, Honduras; [Jimenez, Mirna] Hosp Santa Ana, Metapan Minist Salud El Salvador, Santa Ana, El Salvador; [Rivera, Maribel] Inst Hondureno Seguridad Social, Tegucigalpa, Honduras</t>
  </si>
  <si>
    <t xml:space="preserve">Laguna-Torres, VA (corresponding author), USN, Med Res Ctr Detachment, 3230 Lima Pl, Washington, DC 20521 USA.</t>
  </si>
  <si>
    <t xml:space="preserve">alberto.laguna@med.navy.mil</t>
  </si>
  <si>
    <t xml:space="preserve">Rodriguez, Francisco/A-5934-2019; Halsey, Eric/AAC-8110-2022</t>
  </si>
  <si>
    <t xml:space="preserve">Lorenzana, Ivette/0000-0002-8128-8602; , Merly Sovero/0000-0002-4373-0295; LAGUNA-TORRES, VICTOR ALBERTO/0000-0002-9507-6301; Halsey, Eric/0000-0001-6291-8923; Sanchez, Jose Felix/0000-0002-5482-9258</t>
  </si>
  <si>
    <t xml:space="preserve">United States Department of Defense [847705.82000.25GB.B0016]</t>
  </si>
  <si>
    <t xml:space="preserve">United States Department of Defense(United States Department of Defense)</t>
  </si>
  <si>
    <t xml:space="preserve">This study was funded by the United States Department of Defense Global Emerging Infections Systems Research Program, WORK UNIT NUMBER: 847705.82000.25GB.B0016.</t>
  </si>
  <si>
    <t xml:space="preserve">10.1111/j.1750-2659.2010.00182.x</t>
  </si>
  <si>
    <t xml:space="preserve">WOS:000287196200009</t>
  </si>
  <si>
    <t xml:space="preserve">Siqueira, BA; Bredariol, KO; Boschiero, MN; Marson, FAL</t>
  </si>
  <si>
    <t xml:space="preserve">Siqueira, Bianca Aparecida; Bredariol, Ketlyn Oliveira; Boschiero, Matheus Negri; Marson, Fernando Augusto Lima</t>
  </si>
  <si>
    <t xml:space="preserve">Viral co-detection of influenza virus and other respiratory viruses in hospitalized Brazilian patients during the first three years of the coronavirus disease (COVID)-19 pandemic: an epidemiological profile</t>
  </si>
  <si>
    <t xml:space="preserve">adenovirus; bocavirus; influenza virus; metapneumovirus; parainfluenza virus; respiratory syncytial virus; severe acute respiratory syndrome coronavirus 2; rhinovirus</t>
  </si>
  <si>
    <t xml:space="preserve">SYNCYTIAL VIRUS; HUMAN METAPNEUMOVIRUS; INFECTIONS; CHILDREN; COINFECTION; SURVEILLANCE; SEASONALITY; DIAGNOSIS; SEVERITY; INFANTS</t>
  </si>
  <si>
    <t xml:space="preserve">Introduction In Brazil, few studies were performed regarding the co-detection of respiratory viruses in hospitalized patients. In this way, the study aimed to describe the epidemiological profile of hospitalized patients due to influenza virus infection that presented co-detection with another respiratory virus.Methods The epidemiological analysis was made by collecting data from Open-Data-SUS. The study comprised patients infected by the influenza A or B virus with positive co-detection of another respiratory virus, such as adenovirus, bocavirus, metapneumovirus, parainfluenza virus (types 1, 2, 3, and 4), rhinovirus, and respiratory syncytial virus (RSV). The markers [gender, age, clinical signs and symptoms, comorbidities, need for intensive care unit (ICU) treatment, and need for ventilatory support] were associated with the chance of death. The data was collected during the first three years of the coronavirus disease (COVID)-19 pandemic-from December 19, 2019, to April 06, 2023.Results A total of 477 patients were included, among them, the influenza A virus was detected in 400 (83.9%) cases. The co-detection occurred, respectively, for RSV (53.0%), rhinovirus (14.0%), adenovirus (13.4%), parainfluenza virus type 1 (10.7%), parainfluenza virus type 3 (5.2%), metapneumovirus (3.8%), parainfluenza virus type 2 (3.6%), bocavirus (3.4%), and parainfluenza virus type 4 (1.5%). The co-detection rate was higher in the male sex (50.7%), age between 0-12 years of age (65.8%), and white individuals (61.8%). The most common clinical symptoms were cough (90.6%), dyspnea (78.8%), and fever (78.6%). A total of 167 (35.0%) people had at least one comorbidity, mainly cardiopathy (14.3%), asthma (8.4%), and diabetes mellitus (7.3%). The need for ICU treatment occurred in 147 (30.8%) cases, with most of them needing ventilatory support (66.8%), mainly non-invasive ones (57.2%). A total of 33 (6.9%) patients died and the main predictors of death were bocavirus infection (OR = 14.78 [95%CI = 2.84-76.98]), metapneumovirus infection (OR = 8.50 [95%CI = 1.86-38.78]), race (other races vs. white people) (OR = 3.67 [95%CI = 1.39-9.74]), cardiopathy (OR = 3.48 [95%CI = 1.13-10.71]), and need for ICU treatment (OR = 7.64 [95%CI = 2.44-23.92]).Conclusion Co-detection between the influenza virus and other respiratory viruses occurred, mainly with RSV, rhinovirus, and adenovirus being more common in men, white people, and in the juvenile phase. Co-detection of influenza virus with bocavirus and metapneumovirus was associated with an increased chance of death. Other factors such as race, cardiopathy, and the need for an ICU were also associated with a higher chance of death.</t>
  </si>
  <si>
    <t xml:space="preserve">[Siqueira, Bianca Aparecida; Bredariol, Ketlyn Oliveira; Marson, Fernando Augusto Lima] Sao Francisco Univ, Lab Mol Biol &amp; Genet, Braganca Paulista, Brazil; [Siqueira, Bianca Aparecida; Bredariol, Ketlyn Oliveira; Marson, Fernando Augusto Lima] Sao Francisco Univ, Lab Clin &amp; Mol Microbiol, Braganca Paulista, Brazil; [Siqueira, Bianca Aparecida; Bredariol, Ketlyn Oliveira; Boschiero, Matheus Negri; Marson, Fernando Augusto Lima] Sao Francisco Univ, LunGuardian Res Grp Epidemiol Resp &amp; Infect Dis, Braganca Paulista, Brazil; [Boschiero, Matheus Negri] Univ Fed Sao Paulo, Med Resident Infect Dis, Sao Paulo, Brazil</t>
  </si>
  <si>
    <t xml:space="preserve">Marson, FAL (corresponding author), Sao Francisco Univ, Lab Mol Biol &amp; Genet, Braganca Paulista, Brazil.;Marson, FAL (corresponding author), Sao Francisco Univ, Lab Clin &amp; Mol Microbiol, Braganca Paulista, Brazil.;Marson, FAL (corresponding author), Sao Francisco Univ, LunGuardian Res Grp Epidemiol Resp &amp; Infect Dis, Braganca Paulista, Brazil.</t>
  </si>
  <si>
    <t xml:space="preserve">fernandolimamarson@hotmail.com</t>
  </si>
  <si>
    <t xml:space="preserve">Marson, Fernando/AAP-1589-2021; Marson, Fernando Augusto Lima/H-1641-2012</t>
  </si>
  <si>
    <t xml:space="preserve">Marson, Fernando Augusto Lima/0000-0003-4955-4234</t>
  </si>
  <si>
    <t xml:space="preserve">National Council for Scientific and Technological Development (Conselho Nacional de Desenvolvimento Cientifico e Tecnologico-CNPq) [88887.823897/2023-00, 122168/2023-2]</t>
  </si>
  <si>
    <t xml:space="preserve">National Council for Scientific and Technological Development (Conselho Nacional de Desenvolvimento Cientifico e Tecnologico-CNPq)(Conselho Nacional de Desenvolvimento Cientifico e Tecnologico (CNPQ))</t>
  </si>
  <si>
    <t xml:space="preserve">The author(s) declare that financial support was received for the research, authorship, and/or publication of this article. BS and KB received a grant from the National Council for Scientific and Technological Development (Conselho Nacional de Desenvolvimento Cientifico e Tecnologico-CNPq), respectively no. 88887.823897/2023-00 and no. 122168/2023-2. The Article Processing Fee for the publication of this research was paid by the Higher Education Improvement Coordination (Coordenacao de Aperfeicoamento de Pessoal de Nivel Superior-CAPES). For open-access purposes, the authors have assigned the Creative Commons CC BY license to any accepted version of the article.</t>
  </si>
  <si>
    <t xml:space="preserve">OCT 16</t>
  </si>
  <si>
    <t xml:space="preserve">10.3389/fmicb.2024.1462802</t>
  </si>
  <si>
    <t xml:space="preserve">K6H1F</t>
  </si>
  <si>
    <t xml:space="preserve">WOS:001344855200001</t>
  </si>
  <si>
    <t xml:space="preserve">Hashemi, SA; Safamanesh, S; Zadeh-moghaddam, HG; Ghafouri, M; Azimian, A</t>
  </si>
  <si>
    <t xml:space="preserve">Hashemi, Seyed A.; Safamanesh, Saghar; Zadeh-moghaddam, Hamed Ghasem; Ghafouri, Majid; Azimian, Amir</t>
  </si>
  <si>
    <t xml:space="preserve">High prevalence of SARS-CoV-2 and influenza A virus (H1N1) coinfection in dead patients in Northeastern Iran</t>
  </si>
  <si>
    <t xml:space="preserve">adenovirus; bocavirus; coinfection; human metapneumovirus; influenza virus; parainfluenza virus; respiratory syncytial virus; SARS-Cov-2</t>
  </si>
  <si>
    <t xml:space="preserve">MOLECULAR-DETECTION</t>
  </si>
  <si>
    <t xml:space="preserve">In the last months of 2019, an outbreak of fatal respiratory disease started in Wuhan, China, and quickly spread to other parts of the world. It was named COVID-19, and to date, thousands of cases of infection and death are reported worldwide. This disease is associated with a wide range of symptoms, which makes accurate diagnosis of it difficult. During previous severe acute respiratory syndrome (SARS) pandemic in 2003, researchers found that the patients with fever, cough, or sore throat had a 5% influenza virus-positive rate. This finding made us think that the wide range of symptoms and also relatively high prevalence of death in our patients may be due to the coinfection with other viruses. Thus, we evaluated the coinfection of severe acute respiratory syndrome coronavirus 2 (SARS-CoV-2) with other respiratory viruses in dead patients in North Khorasan. We evaluated the presence of influenza A/B virus, human metapneumovirus, bocavirus, adenovirus, respiratory syncytial virus (RSV), and parainfluenza viruses in 105 SARS-CoV-2 positive dead patients, using polymerase chain reaction (PCR) and reverse transcription PCR tests. We found coinfection with influenza virus in 22.3%, RSV, and bocavirus in 9.7%, parainfluenza viruses in 3.9%, human metapneumovirus in 2.9%, and finally adenovirus in 1.9% of SARS-CoV-2 positive dead cases. Our findings highlight a high prevalence of coinfection with influenza A virus and the monopoly of coinfection with Human metapneumovirus in children.</t>
  </si>
  <si>
    <t xml:space="preserve">[Hashemi, Seyed A.; Ghafouri, Majid] North Khorasan Univ Med Sci, Sch Med, Dept Infect Dis, Bojnurd, Iran; [Safamanesh, Saghar; Zadeh-moghaddam, Hamed Ghasem; Azimian, Amir] North Khorasan Univ Med Sci, Sch Med, Dept Pathobiol &amp; Lab Sci, Bojnurd 7487794149, Iran</t>
  </si>
  <si>
    <t xml:space="preserve">North Khorasan University of Medical Sciences; North Khorasan University of Medical Sciences</t>
  </si>
  <si>
    <t xml:space="preserve">Azimian, A (corresponding author), North Khorasan Univ Med Sci, Sch Med, Dept Pathobiol &amp; Lab Sci, Bojnurd 7487794149, Iran.</t>
  </si>
  <si>
    <t xml:space="preserve">amir_azimian2003@yahoo.com</t>
  </si>
  <si>
    <t xml:space="preserve">Ghasemzadeh-Moghaddam, Hamed/GWZ-9417-2022; Hashemi, Seyed-Ahmad/D-3230-2011; hashemi, seyyed ahmad/D-7902-2018</t>
  </si>
  <si>
    <t xml:space="preserve">hashemi, seyyed ahmad/0000-0001-5161-4289; Azimian, Amir/0000-0002-2532-8198; Ghasemzadeh-Moghaddam, Hamed/0000-0002-9862-8466</t>
  </si>
  <si>
    <t xml:space="preserve">North Khorasan University of Medical Sciences [980002]</t>
  </si>
  <si>
    <t xml:space="preserve">North Khorasan University of Medical Sciences</t>
  </si>
  <si>
    <t xml:space="preserve">North Khorasan University of Medical Sciences, Grant/Award Number: 980002</t>
  </si>
  <si>
    <t xml:space="preserve">10.1002/jmv.26364</t>
  </si>
  <si>
    <t xml:space="preserve">WOS:000558716100001</t>
  </si>
  <si>
    <t xml:space="preserve">Papan, C; Argentiero, A; Adams, O; Porwoll, M; Hakim, U; Farinelli, E; Testa, I; Pasticci, MB; Mezzetti, D; Perruccio, K; Simon, A; Liese, JG; Knuf, M; Stein, M; Yacobov, R; Bamberger, E; Schneider, S; Esposito, S; Tenenbaum, T</t>
  </si>
  <si>
    <t xml:space="preserve">Papan, Cihan; Argentiero, Alberto; Adams, Ortwin; Porwoll, Marian; Hakim, Ummaya; Farinelli, Edoardo; Testa, Ilaria; Pasticci, Maria B.; Mezzetti, Daniele; Perruccio, Katia; Simon, Arne; Liese, Johannes G.; Knuf, Markus; Stein, Michal; Yacobov, Renata; Bamberger, Ellen; Schneider, Sven; Esposito, Susanna; Tenenbaum, Tobias</t>
  </si>
  <si>
    <t xml:space="preserve">Association of viral load with TRAIL, IP-10, CRP biomarker signature and disease severity in children with respiratory tract infection or fever without source: A prospective, multicentre cohort study</t>
  </si>
  <si>
    <t xml:space="preserve">adenovirus; biomarkers; CRP; host response; host-protein signature; influenza; IP-10; rhinovirus; RSV; severity; TRAIL; viral load</t>
  </si>
  <si>
    <t xml:space="preserve">HUMAN RHINOVIRUS INFECTION; SYNCYTIAL VIRUS; HUMAN METAPNEUMOVIRUS; ADULTS; IMPACT</t>
  </si>
  <si>
    <t xml:space="preserve">Background To investigate the association of viral load (VL) with (i) tumor necrosis factor-related apoptosis-inducing ligand (TRAIL), interferon gamma-induced protein-10, C-reactive protein, and a combinatorial score (BV score), and (ii) clinical severity. Study Design In this prospective, multicentre cohort substudy, children with respiratory tract infection or fever without source were enrolled. VL for influenza virus, rhinovirus, respiratory syncytial virus, and adenovirus was measured from nasopharyngeal swabs. The reference standard diagnosis was established based on expert panel adjudication. Results Of 1140 recruited patients, 333 had a virus monodetection. VL for the aggregated data set correlated with TRAIL and IP-10 levels, with the length of oxygen therapy, and inversely with the BV score. At a single viral level, only the influenza VL yielded a correlation with TRAIL, IP-10 levels, and the BV score. Children with a viral reference standard diagnosis had significantly higher VL than those with bacterial infection (p = 0.0005). Low TRAIL (incidence rate ratio [IRR] 0.6, 95% confidence interval [CI] 0.39-0.91) and young age (IRR 0.62, 95% CI 0.49-0.79) were associated with a longer hospital stay, while young age (IRR 0.33, 95% CI 0.18-0.61), low TRAIL (IRR 0.25, 95% CI 0.08-0.76), and high VL (IRR 1.16, 95% CI 1.00-1.33) were predictive of longer oxygen therapy. Conclusion These findings indicate that VL correlates with biomarkers and may serve as a complementary tool pertaining to disease severity.</t>
  </si>
  <si>
    <t xml:space="preserve">[Papan, Cihan; Porwoll, Marian; Hakim, Ummaya; Tenenbaum, Tobias] Heidelberg Univ, Univ Childrens Hosp Mannheim, Dept Paediat, Paediat Infect Dis, Mannheim, Germany; [Papan, Cihan] Saarland Univ, Ctr Infect Dis, Inst Med Microbiol &amp; Hyg, Homburg, Germany; [Argentiero, Alberto; Farinelli, Edoardo; Testa, Ilaria; Pasticci, Maria B.; Mezzetti, Daniele; Perruccio, Katia] Univ Perugia, Santa Maria della Misericordia Hosp, Dept Surg &amp; Biomed Sci, Perugia, Italy; [Adams, Ortwin] Univ Hosp Dusseldorf, Inst Virol, Dusseldorf, Germany; [Simon, Arne] Saarland Univ Hosp, Dept Paediat Oncol &amp; Haematol, Homburg, Germany; [Liese, Johannes G.] Univ Wurzburg, Dept Paediat, Wurzburg, Germany; [Knuf, Markus] Helios Dr Horst Schmidt Klin, Dept Paediat, Childrens Hosp, Wiesbaden, Germany; [Knuf, Markus] Univ Med, Dept Paediat, Mainz, Germany; [Stein, Michal; Yacobov, Renata] Hillel Yaffe Med Ctr, Hadera, Israel; [Bamberger, Ellen] Technion Israel Inst Technol, Ruth &amp; Bruce Rappaport Fac Med, Haifa, Israel; [Bamberger, Ellen] Bnai Zion Med Ctr, Dept Paediat, Haifa, Israel; [Schneider, Sven] Heidelberg Univ, Inst Clin Chem, Mannheim, Germany; [Esposito, Susanna] Univ Parma, Pietro Barilla Childrens Hosp, Dept Med &amp; Surg, Pediat Clin, Parma, Italy; [Tenenbaum, Tobias] Charite, Clin Child &amp; Adolescent Med, Sana Klinikum Lichtenberg, Acad Teaching Hosp, Berlin, Germany</t>
  </si>
  <si>
    <t xml:space="preserve">Ruprecht Karls University Heidelberg; Universitatsklinikum des Saarlandes; University of Perugia; Hospital Santa Maria della Misericordia; Heinrich Heine University Dusseldorf; Heinrich Heine University Dusseldorf Hospital; Universitatsklinikum des Saarlandes; University of Wurzburg; Technion Israel Institute of Technology; Rappaport Faculty of Medicine; Bnai Zion Medical Center; Ruprecht Karls University Heidelberg; University of Parma; Berlin Institute of Health; Free University of Berlin; Humboldt University of Berlin; Charite Universitatsmedizin Berlin</t>
  </si>
  <si>
    <t xml:space="preserve">Papan, C (corresponding author), Saarland Univ, Ctr Infect Dis, Inst Med Microbiol &amp; Hyg, Homburg, Germany.</t>
  </si>
  <si>
    <t xml:space="preserve">cihan.papan@uks.eu</t>
  </si>
  <si>
    <t xml:space="preserve">Esposito, Susanna/AAA-8275-2022; Argentiero, Alberto/ACW-5026-2022; Papan, Cihan/ABE-4478-2020; Esposito, Susanna/K-3475-2016</t>
  </si>
  <si>
    <t xml:space="preserve">Esposito, Susanna/0000-0003-4103-2837; Mezzetti, Daniele/0000-0001-7612-4382; Papan, Cihan/0000-0001-7951-2567; ARGENTIERO, ALBERTO/0000-0002-6597-5461</t>
  </si>
  <si>
    <t xml:space="preserve">2018 Small Grant Award of the European Society for Paediatric Infectious Diseases; European Commission; Executive Agency for Small and Medium-sized Enterprises; Horizon2020-FTIPilot-2015-1 program [701088]; Projekt DEAL; H2020 Societal Challenges Programme [701088] Funding Source: H2020 Societal Challenges Programme</t>
  </si>
  <si>
    <t xml:space="preserve">2018 Small Grant Award of the European Society for Paediatric Infectious Diseases; European Commission(European Union (EU)European Commission Joint Research Centre); Executive Agency for Small and Medium-sized Enterprises; Horizon2020-FTIPilot-2015-1 program; Projekt DEAL; H2020 Societal Challenges Programme(Horizon 2020European Union (EU)H2020 Societal Challenges Programme)</t>
  </si>
  <si>
    <t xml:space="preserve">We thank all physicians and nurses at the University Children's Hospital Mannheim, Heidelberg University, and the Pediatric Clinic, Universita Degli Studi di Perugia, and Liat Etshtein, Niv Mastboim, Einat Moscoviz, Tahel Ilan-Bar, Asi Cohen, Einav Simon, Olga Boico, Liran Shani, Tanya M. Gottlieb, Roy Navon, Eran Barash, Kfir Oved, and Eran Eden from MeMed Diagnostics for their support. This study was supported by the 2018 Small Grant Award of the European Society for Paediatric Infectious Diseases awarded to Cihan Papan. The AutoPilot-Dx study was supported by the European Commission, Executive Agency for Small and Medium-sized Enterprises, Horizon2020-FTIPilot-2015-1 program (grant number 701088). The funding organization had no role in the design and conduct of the study; collection, management, analysis, and interpretation of the data; preparation, review, or approval of the manuscript; and decision to submit the manuscript for publication. Open Access funding enabled and organized by Projekt DEAL.</t>
  </si>
  <si>
    <t xml:space="preserve">10.1002/jmv.28113</t>
  </si>
  <si>
    <t xml:space="preserve">7T5DB</t>
  </si>
  <si>
    <t xml:space="preserve">WOS:000851498300001</t>
  </si>
  <si>
    <t xml:space="preserve">Monge, S; Duijster, J; Kommer, GJ; van de Kassteele, J; Krafft, T; Engelen, P; Valk, JP; de Waard, J; de Nooij, J; Riezebos-Brilman, A; van der Hoek, W; van Asten, L</t>
  </si>
  <si>
    <t xml:space="preserve">Monge, Susana; Duijster, Janneke; Kommer, Geert Jan; van de Kassteele, Jan; Krafft, Thomas; Engelen, Paul; Valk, Jens P.; de Waard, Jan; de Nooij, Jan; Riezebos-Brilman, Annelies; van der Hoek, Wim; van Asten, Liselotte</t>
  </si>
  <si>
    <t xml:space="preserve">Ambulance dispatch calls attributable to influenza A and other common respiratory viruses in the Netherlands (2014-2016)</t>
  </si>
  <si>
    <t xml:space="preserve">adenovirus; ambulance; coronavirus; influenza; respiratory syncytial virus; rhinovirus</t>
  </si>
  <si>
    <t xml:space="preserve">INTENSIVE-CARE UNITS; SYNDROMIC SURVEILLANCE; SEASONALITY; INFECTION</t>
  </si>
  <si>
    <t xml:space="preserve">Background Ambulance dispatches could be useful for syndromic surveillance of severe respiratory infections. We evaluated whether ambulance dispatch calls of highest urgency reflect the circulation of influenza A virus, influenza B virus, respiratory syncytial virus (RSV), rhinovirus, adenovirus, coronavirus, parainfluenzavirus and human metapneumovirus (hMPV). Methods We analysed calls from four ambulance call centres serving 25% of the population in the Netherlands (2014-2016). The chief symptom and urgency level is recorded during triage; we restricted our analysis to calls with the highest urgency and identified those compatible with a respiratory syndrome. We modelled the relation between respiratory syndrome calls (RSC) and respiratory virus trends using binomial regression with identity link function. Results We included 211 739 calls, of which 15 385 (7.3%) were RSC. Proportion of RSC showed periodicity with winter peaks and smaller interseasonal increases. Overall, 15% of RSC were attributable to respiratory viruses (20% in out-of-office hour calls). There was large variation by age group: in &lt;15 years, only RSV was associated and explained 11% of RSC; in 15-64 years, only influenza A (explained 3% of RSC); and in &gt;= 65 years adenovirus explained 9% of RSC, distributed throughout the year, and hMPV (4%) and influenza A (1%) mainly during the winter peaks. Additionally, rhinovirus was associated with total RSC. Conclusion High urgency ambulance dispatches reflect the burden of different respiratory viruses and might be useful to monitor the respiratory season overall. Influenza plays a smaller role than other viruses: RSV is important in children while adenovirus and hMPV are the biggest contributors to emergency calls in the elderly.</t>
  </si>
  <si>
    <t xml:space="preserve">[Monge, Susana; Duijster, Janneke; van de Kassteele, Jan; van der Hoek, Wim; van Asten, Liselotte] Natl Inst Publ Hlth &amp; Environm RIVM, Ctr Infect Dis Control Netherlands CIb, Bilthoven, Netherlands; [Monge, Susana] European Ctr Dis Prevent &amp; Control, ECDC, European Programme Intervent Epidemiol Training E, Stockholm, Sweden; [Kommer, Geert Jan] Natl Inst Publ Hlth &amp; Environm RIVM, Ctr Nutr Prevent &amp; Hlth Serv VPZ, Bilthoven, Netherlands; [Krafft, Thomas] Maastricht Univ, Fac Hlth Med &amp; Life Sci, Maastricht Ctr Global Hlth, Maastricht, Netherlands; [Engelen, Paul] Meldkamersupport, Utrecht, Netherlands; [Valk, Jens P.] Dispatch Ctr Reg Ambulance Serv Noord Nederland, Leiden, Netherlands; [Valk, Jens P.] Univ Groningen, Univ Med Ctr Groningen, Dept Anesthesiol, Groningen, Netherlands; [de Waard, Jan; de Nooij, Jan] Reg Ambulance Serv Hollands Midden, Leiden, Netherlands; [Riezebos-Brilman, Annelies] Univ Utrecht, Univ Med Ctr Utrecht, Dept Microbiol, Utrecht, Netherlands</t>
  </si>
  <si>
    <t xml:space="preserve">Netherlands National Institute for Public Health &amp; the Environment; European Centre for Disease Prevention &amp; Control; Netherlands National Institute for Public Health &amp; the Environment; Maastricht University; University of Groningen; Utrecht University; Utrecht University Medical Center</t>
  </si>
  <si>
    <t xml:space="preserve">van Asten, L (corresponding author), Natl Inst Publ Hlth &amp; Environm RIVM, Ctr Infect Dis Control Netherlands CIb, Bilthoven, Netherlands.</t>
  </si>
  <si>
    <t xml:space="preserve">liselotte.van.asten@rivm.nl</t>
  </si>
  <si>
    <t xml:space="preserve">van der Hoek, Wim/JEZ-9775-2023; Monge, Susana/H-9210-2017</t>
  </si>
  <si>
    <t xml:space="preserve">Monge, Susana/0000-0003-1412-3012</t>
  </si>
  <si>
    <t xml:space="preserve">Dutch Centre for Infectious Disease Control by the Ministry of Health, Welfare and Sport [V/150207]</t>
  </si>
  <si>
    <t xml:space="preserve">Dutch Centre for Infectious Disease Control by the Ministry of Health, Welfare and Sport</t>
  </si>
  <si>
    <t xml:space="preserve">This work was funded from the regular budget of the Dutch Centre for Infectious Disease Control, made available by the Ministry of Health, Welfare and Sport, project number V/150207.</t>
  </si>
  <si>
    <t xml:space="preserve">10.1111/irv.12731</t>
  </si>
  <si>
    <t xml:space="preserve">MJ4HY</t>
  </si>
  <si>
    <t xml:space="preserve">WOS:000532656300001</t>
  </si>
  <si>
    <t xml:space="preserve">Sayah, DM; Koff, JL; Leard, LE; Hays, SR; Golden, JA; Singer, JP</t>
  </si>
  <si>
    <t xml:space="preserve">Sayah, David M.; Koff, Jonathan L.; Leard, Lorriana E.; Hays, Steven R.; Golden, Jeffrey A.; Singer, Jonathan P.</t>
  </si>
  <si>
    <t xml:space="preserve">Rhinovirus and other respiratory viruses exert different effects on lung allograft function that are not mediated through acute rejection</t>
  </si>
  <si>
    <t xml:space="preserve">adenoviridae infections; graft rejection; influenza; lung transplantation; paramyxoviridae infections; picornaviridae infections</t>
  </si>
  <si>
    <t xml:space="preserve">TRANSPLANT RECIPIENTS; VIRAL-INFECTIONS; HUMAN METAPNEUMOVIRUS; BRONCHIOLITIS OBLITERANS; PULMONARY INFECTION; SYNCYTIAL VIRUS; TRACT; IMPACT</t>
  </si>
  <si>
    <t xml:space="preserve">Background Community acquired respiratory virus (CARV) infections in lung transplant recipients (LTR) have been associated with adverse outcomes, including acute rejection (AR) and decline in allograft function, in some but not in all studies. Methods Spirometry and transbronchial biopsy results of LTR diagnosed with CARV infection over a two-yr period were extracted from clinical records. Primary outcomes, studied at 12.5 months postinfection, were as follows: (i) incidence of biopsy-proven AR (grade &gt;A0) and (ii) allograft function, defined by forced expiratory volume in one s (FEV1). A reference group of biopsies (n = 526) collected during the study period established the baseline incidence of AR. Rhinovirus (RV) and non-rhinovirus (non-RV) infections were analyzed as subgroups. Results Eighty-seven cases of CARV infection were identified in 59 subjects. Incidences of AR were similar in the post-CARV and reference groups and did not differ significantly after RV vs. non-RV infection. Allograft function declined significantly after non-RV infection, but not after RV infection. Conclusions In LTR, CARV infections other than RV are associated with allograft dysfunction at 12.5 months after infection. However, CARVs do not appear associated with AR at this time point. The impact of specific CARVs on lung allografts, including the development of chronic allograft rejection, merits further study.</t>
  </si>
  <si>
    <t xml:space="preserve">[Sayah, David M.; Leard, Lorriana E.; Hays, Steven R.; Golden, Jeffrey A.; Singer, Jonathan P.] Univ Calif San Francisco, Dept Med, Div Pulm Crit Care Allergy &amp; Sleep Med, San Francisco, CA USA; [Sayah, David M.; Singer, Jonathan P.] Univ Calif San Francisco, Cardiovasc Res Inst, San Francisco, CA 94143 USA; [Koff, Jonathan L.] Yale Univ, Pulm &amp; Crit Care Med Sect, Dept Internal Med, New Haven, CT USA</t>
  </si>
  <si>
    <t xml:space="preserve">University of California System; University of California San Francisco; University of California System; University of California San Francisco; Yale University</t>
  </si>
  <si>
    <t xml:space="preserve">Sayah, DM (corresponding author), Univ Calif Los Angeles, Box 951690,37-131 CHS, Los Angeles, CA 90095 USA.</t>
  </si>
  <si>
    <t xml:space="preserve">dsayah@mednet.ucla.edu</t>
  </si>
  <si>
    <t xml:space="preserve">Singer, Jonathan/AAS-6581-2020; Leard, Lorriana/W-3492-2019</t>
  </si>
  <si>
    <t xml:space="preserve">Koff, Jonathan/0000-0003-3240-3173; Sayah, David/0000-0001-7021-8273; Singer, Jonathan/0000-0003-0224-7472; Leard, Lorriana/0000-0003-3417-2524</t>
  </si>
  <si>
    <t xml:space="preserve">National Heart, Lung, and Blood Institute/National Institutes of Health [T32HL007185, F32HL107003]; National Heart Lung and Blood Institute [T32HL007185] Funding Source: NIH RePORTER</t>
  </si>
  <si>
    <t xml:space="preserve">National Heart, Lung, and Blood Institute/National Institutes of Health(United States Department of Health &amp; Human ServicesNational Institutes of Health (NIH) - USANIH National Heart Lung &amp; Blood Institute (NHLBI)); National Heart Lung and Blood Institute(United States Department of Health &amp; Human ServicesNational Institutes of Health (NIH) - USANIH National Heart Lung &amp; Blood Institute (NHLBI))</t>
  </si>
  <si>
    <t xml:space="preserve">The authors thank the entire UCSF lung transplant team, in particular Millie Camba for her assistance with data extraction. This work was funded by National Heart, Lung, and Blood Institute/National Institutes of Health grants T32HL007185 (DMS) and F32HL107003 (JPS).</t>
  </si>
  <si>
    <t xml:space="preserve">E64</t>
  </si>
  <si>
    <t xml:space="preserve">E71</t>
  </si>
  <si>
    <t xml:space="preserve">10.1111/ctr.12054</t>
  </si>
  <si>
    <t xml:space="preserve">079YL</t>
  </si>
  <si>
    <t xml:space="preserve">WOS:000314208000018</t>
  </si>
  <si>
    <t xml:space="preserve">Proença-Módena, JL; Buzatto, GP; Paula, FE; Saturno, TH; Delcaro, LS; Prates, MC; Tamashiro, E; Valera, FCP; Arruda, E; Anselmo-Lima, WT</t>
  </si>
  <si>
    <t xml:space="preserve">Proenca-Modena, Jose Luiz; Buzatto, Guilherme P.; Paula, Flavia E.; Saturno, Tamara H.; Delcaro, Luana S.; Prates, Mirela C.; Tamashiro, Edwin; Valera, Fabiana C. P.; Arruda, Eurico; Anselmo-Lima, Wilma T.</t>
  </si>
  <si>
    <t xml:space="preserve">Respiratory viruses are continuously detected in children with chronic tonsillitis throughout the year</t>
  </si>
  <si>
    <t xml:space="preserve">Adenotonsillar hypertrophy; Adenotonsillectomy; Adenovirus; Bocavirus; Enterovirus; Rhinovirus; Respiratory syncytial virus; Viral seasonality</t>
  </si>
  <si>
    <t xml:space="preserve">SYNCYTIAL VIRUS; ASYMPTOMATIC CHILDREN; INFECTIONS; TONSILLECTOMY; SEASONALITY; PCR; ADENOVIRUSES; HYPERTROPHY; CENTERS; CLIMATE</t>
  </si>
  <si>
    <t xml:space="preserve">Objective: To evaluate the oscillations on the viral detection in adenotonsillar tissues from patients with chronic adenotonsillar diseases as an indicia of the presence of persistent viral infections or acute subclinical infections. Study design: Cross-sectional prospective study. Setting: Tertiary hospital. Methods: The fluctuations of respiratory virus detection were compared to the major climatic variables during a two-year period using adenoids and palatine tonsils from 172 children with adenotonsillar hypertrophy and clinical evidence of obstructive sleep apnoea syndrome or recurrent adenotonsillitis, without symptoms of acute respiratory infection (ARI), by TaqMan real-time PCR. Results: The rate of detection of at least one respiratory virus in adenotonsillar tissue was 87%. The most frequently detected viruses were human adenovirus in 52.8%, human enterovirus in 47.2%, human rhinovirus in 33.8%, human bocavirus in 31.1%, human metapneumovirus in 18.3% and human respiratory syncytial virus in 17.2%. Although increased detection of human enterovirus occurred in summer/autumn months, and there were summer nadirs of human respiratory syncytial virus in both years of the study, there was no obvious viral seasonality in contrast to reports with ARI patients in many regions of the world. Conclusion: Respiratory viruses are continuously highly detected during whole year, and without any clinical symptomatology, indicating that viral genome of some virus can persist in lymphoepithelial tissues of the upper respiratory tract. (C) 2014 Elsevier Ireland Ltd. All rights reserved.</t>
  </si>
  <si>
    <t xml:space="preserve">[Proenca-Modena, Jose Luiz; Paula, Flavia E.; Arruda, Eurico] Univ Sao Paulo, Sch Med Ribeirao Preto, Dept Cell Biol, BR-14049 Ribeirao Preto, Brazil; [Proenca-Modena, Jose Luiz; Paula, Flavia E.; Saturno, Tamara H.; Prates, Mirela C.; Arruda, Eurico] Univ Sao Paulo, Sch Med Ribeirao Preto, Virol Res Ctr, BR-14049 Ribeirao Preto, Brazil; [Buzatto, Guilherme P.; Saturno, Tamara H.; Prates, Mirela C.; Tamashiro, Edwin; Valera, Fabiana C. P.; Anselmo-Lima, Wilma T.] Univ Sao Paulo, Sch Med Ribeirao Preto, Dept Ophthalmol Otorhinolaryngol &amp; Head &amp; Neck Su, BR-14049 Ribeirao Preto, Brazil; [Delcaro, Luana S.] Univ Sao Paulo, Sch Med Ribeirao Preto, Dept Internal Med, BR-14049 Ribeirao Preto, Brazil; [Proenca-Modena, Jose Luiz] Univ Campinas UNICAMP, Inst Biol, Dept Genet Evolut &amp; Bioagents, Campinas, SP, Brazil</t>
  </si>
  <si>
    <t xml:space="preserve">Universidade de Sao Paulo; Universidade de Sao Paulo; Universidade de Sao Paulo; Universidade de Sao Paulo; Universidade de Sao Paulo; Universidade Estadual de Campinas</t>
  </si>
  <si>
    <t xml:space="preserve">Anselmo-Lima, WT (corresponding author), FMRP USP, Dept Oftalmol Otorrinolaringol &amp; Cirurgia Cabeca, Ave Bandeirantes 3900, BR-14049900 Ribeirao Preto, SP, Brazil.</t>
  </si>
  <si>
    <t xml:space="preserve">wtalima@fmrp.usp.br</t>
  </si>
  <si>
    <t xml:space="preserve">Proenca-Modena, Jose Luiz/C-8231-2014; Arruda, Eurico/E-4101-2012; Tamashiro, Edwin/C-5062-2012; Valera, Fabiana Cardoso Pereira/D-3787-2012</t>
  </si>
  <si>
    <t xml:space="preserve">Tamashiro, Edwin/0000-0002-3153-6292; Valera, Fabiana Cardoso Pereira/0000-0002-6605-5317; Proenca-Modena, Jose Luiz/0000-0002-4996-3153</t>
  </si>
  <si>
    <t xml:space="preserve">FAPESP (Fundacao de Amparo a Pesquisa do Estado de Sao Paulo) [2009/51818-8]; Fundacao de Amparo a Pesquisa do Estado de Sao Paulo (FAPESP) [09/51818-8] Funding Source: FAPESP</t>
  </si>
  <si>
    <t xml:space="preserve">FAPESP (Fundacao de Amparo a Pesquisa do Estado de Sao Paulo)(Fundacao de Amparo a Pesquisa do Estado de Sao Paulo (FAPESP)); Fundacao de Amparo a Pesquisa do Estado de Sao Paulo (FAPESP)(Fundacao de Amparo a Pesquisa do Estado de Sao Paulo (FAPESP))</t>
  </si>
  <si>
    <t xml:space="preserve">The authors thank Maria Cecilia Onofre and Helder G. de Souza for secretarial assistance; Lucia Lopes, Jamila Mendonca de Souza and Maria Lucia Silva for expert technical support. In addition, the authors thank FAPESP (Fundacao de Amparo a Pesquisa do Estado de Sao Paulo) for financial support (Grant number 2009/51818-8).</t>
  </si>
  <si>
    <t xml:space="preserve">1872-8464</t>
  </si>
  <si>
    <t xml:space="preserve">10.1016/j.ijporl.2014.07.015</t>
  </si>
  <si>
    <t xml:space="preserve">AQ5XF</t>
  </si>
  <si>
    <t xml:space="preserve">WOS:000342881200015</t>
  </si>
  <si>
    <t xml:space="preserve">Groen, K; van Nieuwkoop, S; Lamers, MM; Fouchier, RAM; van den Hoogen, BG</t>
  </si>
  <si>
    <t xml:space="preserve">Groen, K.; van Nieuwkoop, S.; Lamers, M. M.; Fouchier, R. A. M.; van den Hoogen, B. G.</t>
  </si>
  <si>
    <t xml:space="preserve">Evidence against the Human Metapneumovirus G, SH, and M2-2 Proteins as Bona Fide Interferon Antagonists</t>
  </si>
  <si>
    <t xml:space="preserve">ADAR; HMPV G protein; HMPV M2-2 protein; HMPV SH protein; human metapneumovirus; innate immunity; interferon antagonist</t>
  </si>
  <si>
    <t xml:space="preserve">RIG-I; RNA; ACTIVATION; INFECTION; CHILDREN; LGP2</t>
  </si>
  <si>
    <t xml:space="preserve">Understanding the interaction between viruses and the innate immune response is one of the barriers to the design of antiviral therapies. Here, we investigated the role of the G, SH, and M2-2 proteins of HMPV as type I IFN antagonists. The production of type I interferon (IFN) is the hallmark of the innate immune response. Most, if not all, mammalian viruses have a way to circumvent this response. Fundamental knowledge on viral evasion of innate immune responses may facilitate the design of novel antiviral therapies. To investigate how human metapneumovirus (HMPV) interacts with the innate immune response, recombinant viruses lacking G, short hydrophobic (SH), or M2-2 protein expression were assessed for IFN induction in A549 cells. HMPV lacking G or SH protein expression induced similarly low levels of IFN, compared to the wild-type virus, whereas HMPV lacking M2-2 expression induced significantly more IFN than the wild-type virus. However, sequence analysis of the genomes of M2-2 mutant viruses revealed large numbers of mutations throughout the genome. Over 70% of these nucleotide substitutions were A-to-G and T-to-C mutations, consistent with the properties of the adenosine deaminase acting on RNA (ADAR) protein family. Knockdown of ADAR1 by CRISPR interference confirmed the role of ADAR1 in the editing of M2-2 deletion mutant virus genomes. More importantly, Northern blot analyses revealed the presence of defective interfering RNAs (DIs) in M2-2 mutant viruses and not in the wild-type virus or G and SH deletion mutant viruses. DIs are known to be potent inducers of the IFN response. The presence of DIs in M2-2 mutant virus stocks and hypermutated virus genomes interfere with studies on HMPV and the innate immune response and should be addressed in future studies. IMPORTANCE Understanding the interaction between viruses and the innate immune response is one of the barriers to the design of antiviral therapies. Here, we investigated the role of the G, SH, and M2-2 proteins of HMPV as type I IFN antagonists. In contrast to other studies, no IFN-antagonistic functions could be observed for the G and SH proteins. HMPV with a deletion of the M2-2 protein did induce type I IFN production upon infection of airway epithelial cells. However, during generation of virus stocks, these viruses rapidly accumulated DIs, which are strong activators of the type I IFN response. Additionally, the genomes of these viruses were hypermutated, which was prevented by generating stocks in ADAR knockdown cells, confirming a role for ADAR in hypermutation of HMPV genomes or DIs. These data indicate that a role of the HMPV M2-2 protein as a bona fide IFN antagonist remains elusive.</t>
  </si>
  <si>
    <t xml:space="preserve">[Groen, K.; van Nieuwkoop, S.; Lamers, M. M.; Fouchier, R. A. M.; van den Hoogen, B. G.] Erasmus MC, Dept Virosci, Rotterdam, Netherlands</t>
  </si>
  <si>
    <t xml:space="preserve">van den Hoogen, BG (corresponding author), Erasmus MC, Dept Virosci, Rotterdam, Netherlands.</t>
  </si>
  <si>
    <t xml:space="preserve">Lamers, Mart M./JOZ-4481-2023; Fouchier, Ron/A-1911-2014</t>
  </si>
  <si>
    <t xml:space="preserve">Marie Sklodowska-Curie Actions 2020 Innovative Training Networks [H2020-MSCA-ITN-813343-INITIATE]</t>
  </si>
  <si>
    <t xml:space="preserve">Marie Sklodowska-Curie Actions 2020 Innovative Training Networks</t>
  </si>
  <si>
    <t xml:space="preserve">This study was supported by the Marie Sklodowska-Curie Actions 2020 Innovative Training Networks (grant H2020-MSCA-ITN-813343-INITIATE).</t>
  </si>
  <si>
    <t xml:space="preserve">10.1128/jvi.00723-22</t>
  </si>
  <si>
    <t xml:space="preserve">4P2BJ</t>
  </si>
  <si>
    <t xml:space="preserve">WOS:000842383100003</t>
  </si>
  <si>
    <t xml:space="preserve">Tedcastle, AB; Fenwick, F; Ingram, RE; King, BJ; Robinson, MJ; Toms, GL</t>
  </si>
  <si>
    <t xml:space="preserve">Tedcastle, Alison B.; Fenwick, Fiona; Ingram, Ruth E.; King, Barney J.; Robinson, Mark J.; Toms, Geoffrey L.</t>
  </si>
  <si>
    <t xml:space="preserve">The characterization of monoclonal antibodies to human metapneumovirus and the detection of multiple forms of the virus nucleoprotein and phosphoprotein</t>
  </si>
  <si>
    <t xml:space="preserve">adaptation to cell culture; proteome; internal initiation of protein synthesis</t>
  </si>
  <si>
    <t xml:space="preserve">RESPIRATORY SYNCYTIAL VIRUS; GENETIC-VARIABILITY; G-GLYCOPROTEIN; RNA-SYNTHESIS; IN-VITRO; EXPRESSION; PROTEINS; CHILDREN; IMMUNOFLUORESCENCE; DIAGNOSIS</t>
  </si>
  <si>
    <t xml:space="preserve">Little is known of the proteome of human metapneumovirus (HMPV). In this study a panel of monoclonal antibodies to the virus have been characterized and used to identify viral proteins present in infected cell lysates. Of thirteen anti-HMPV monoclonal antibodies four reacted with recombinant fusion glycoprotein and one with recombinant G glycoprotein by immunofuorescence but not in western blots suggesting that they recognize conformation dependent epitopes. The specificity of the remaining antibodies were determined by MALDI/TOF analysis of the proteins they immunoprecipitated from HMPV infected cell lysates and by western blotting. Five MAbs bound to the nucleoprotein and three to the phosphoprotein. In western blots of lysates of cells infected with low passage HMPV, the anti-nucleoprotein MAbs stained a single polypeptide corresponding in size to the full length nucleocapsid protein. On repeated passage of the virus in cell culture, however, a second, smaller band appeared which may result from internal initiation of translation within the nucleocapsid gene as described for avian metapneumovirus. Antibodies to the phosphoprotein, besides the full length form, also recognized multiple polypeptides in infected cell lysates, with patterns differing for the two subtypes A and B. The possibility that these too may derive by internal initiation of translation is discussed. J. Med. Virol. 84: 10611070, 2012. (C) 2012 Wiley Periodicals, Inc.</t>
  </si>
  <si>
    <t xml:space="preserve">[Tedcastle, Alison B.; Fenwick, Fiona; Ingram, Ruth E.; King, Barney J.; Robinson, Mark J.; Toms, Geoffrey L.] Newcastle Univ, Sch Med, Inst Cellular Med, Newcastle Upon Tyne NE2 4HH, Tyne &amp; Wear, England</t>
  </si>
  <si>
    <t xml:space="preserve">Toms, GL (corresponding author), Newcastle Univ, Sch Med, Inst Cellular Med, Framlington Pl, Newcastle Upon Tyne NE2 4HH, Tyne &amp; Wear, England.</t>
  </si>
  <si>
    <t xml:space="preserve">Viratom Ltd., Newcastle upon Tyne, UK; BioNEt Industrial Studentship</t>
  </si>
  <si>
    <t xml:space="preserve">This study was funded in part by a BioNEt Industrial Studentship and a grant from Viratom Ltd., Newcastle upon Tyne, UK.</t>
  </si>
  <si>
    <t xml:space="preserve">10.1002/jmv.23298</t>
  </si>
  <si>
    <t xml:space="preserve">WOS:000303994200010</t>
  </si>
  <si>
    <t xml:space="preserve">Cherry, CB; Griffin, MR; Edwards, KM; Williams, JV; Gil, AI; Verastegui, H; Lanata, CF; Grijalva, CG</t>
  </si>
  <si>
    <t xml:space="preserve">Cherry, Charlotte Buehler; Griffin, Marie R.; Edwards, Kathryn M.; Williams, John V.; Gil, Ana I.; Verastegui, Hector; Lanata, Claudio F.; Grijalva, Carlos G.</t>
  </si>
  <si>
    <t xml:space="preserve">Spatial and Temporal Spread of Acute Viral Respiratory Infections in Young Children Living in High-altitude Rural Communities A Prospective Household-based Study</t>
  </si>
  <si>
    <t xml:space="preserve">acute viral respiratory illness; children; geographic information systems; Peru</t>
  </si>
  <si>
    <t xml:space="preserve">COHORT</t>
  </si>
  <si>
    <t xml:space="preserve">Background: Few studies have described patterns of transmission of viral acute respiratory infections (ARI) in children in developing countries. We examined the spatial and temporal spread of viral ARI among young children in rural Peruvian highland communities. Previous studies have described intense social interactions in those communities, which could influence the transmission of viral infections. Methods: We enrolled and followed children &lt;3 years of age for detection of ARI during the 2009 to 2011 respiratory seasons in a rural setting with relatively wide geographic dispersion of households and communities. Viruses detected included influenza, respiratory syncytial virus (RSV), human metapneumovirus and parainfluenza 2 and 3 viruses (PIV2, PIV3). We used geospatial analyses to identify specific viral infection hot spots with high ARI incidence. We also explored the local spread of ARI from index cases using standard deviational ellipses. Results: Geospatial analyses revealed hot spots of high ARI incidence around the index cases of influenza outbreaks and RSV outbreak in 2010. Although PIV3 in 2009 and PIV2 in 2010 showed distinct spatial hot spots, clustering was not in proximity to their respective index cases. No significant aggregation around index cases was noted for other viruses. Standard deviational ellipse analyses suggested that influenza B and RSV in 2010, and human metapneumovirus in 2011 spread temporally in alignment with the major road network. Conclusions: Despite the geographic dispersion of communities in this rural setting, we observed a rapid spread of viral ARI among young children. Influenza strains and RSV in 2010 had distinctive outbreaks arising from their index cases.</t>
  </si>
  <si>
    <t xml:space="preserve">[Cherry, Charlotte Buehler] Vanderbilt Inst Global Hlth, Nashville, TN USA; [Griffin, Marie R.; Grijalva, Carlos G.] Vanderbilt Univ, Sch Med, Dept Hlth Policy, Nashville, TN 37212 USA; [Edwards, Kathryn M.; Lanata, Claudio F.] Vanderbilt Univ, Sch Med, Vanderbilt Vaccine Res Program, Div Infect Dis,Dept Pediat, Nashville, TN 37212 USA; [Williams, John V.] Univ Pittsburgh, Childrens Hosp Pittsburgh, Sch Med, Dept Pediat,Med Ctr, Pittsburgh, PA USA; [Williams, John V.] Inst Invest Nutr, Lima, Peru</t>
  </si>
  <si>
    <t xml:space="preserve">Vanderbilt University; Vanderbilt University; Vanderbilt University; Pennsylvania Commonwealth System of Higher Education (PCSHE); University of Pittsburgh</t>
  </si>
  <si>
    <t xml:space="preserve">Cherry, CB (corresponding author), Vanderbilt Inst Global Hlth, Dept Hlth Policy, 2525 West End Ave Suite 750, Nashville, TN 37203 USA.</t>
  </si>
  <si>
    <t xml:space="preserve">charlotte.cherry@-vanderbilt.edu</t>
  </si>
  <si>
    <t xml:space="preserve">Williams, John/ABE-3227-2020; Lanata, Claudio/N-7997-2018; Grijalva, Carlos/HRA-9217-2023</t>
  </si>
  <si>
    <t xml:space="preserve">Grijalva, Carlos/0000-0002-2329-7797</t>
  </si>
  <si>
    <t xml:space="preserve">MedImmune; Novartis; Vanderbilt University CTSA from National Institutes of Health [UL1 RR024975]; Pfizer [IIR WS1898786(0887X1-4492)]; Thrasher Research Fund [02832-9]</t>
  </si>
  <si>
    <t xml:space="preserve">MedImmune(AstraZenecaMedimmune); Novartis(Novartis); Vanderbilt University CTSA from National Institutes of Health; Pfizer(Pfizer); Thrasher Research Fund</t>
  </si>
  <si>
    <t xml:space="preserve">C.G.G. has served as consultant for Pfizer. C.F.L. is an advisor to Takeda Vaccines Division. J.V.W. serves on the Scientific Advisory Board of Quidel and an Independent Data Monitoring Committee for GlaxoSmithKline. M.R.G. has grant funding from MedImmune. K.M.E. has received research funding and serves on a Data Safety and Monitoring Board for Novartis. All other authors have no potential competing interests to report. This work was supported by the Vanderbilt University CTSA grant UL1 RR024975 from National Institutes of Health, an investigator initiated research grant from Pfizer (IIR WS1898786(0887X1-4492), http://www.pfizer.com and grant 02832-9 from the Thrasher Research Fund (www.thrasherresearch.org/default.aspx). The funders had no role in study design, data collection and analysis, decision to publish or preparation of the manuscript.</t>
  </si>
  <si>
    <t xml:space="preserve">10.1097/INF.0000000000001234</t>
  </si>
  <si>
    <t xml:space="preserve">DX1KG</t>
  </si>
  <si>
    <t xml:space="preserve">WOS:000384125600001</t>
  </si>
  <si>
    <t xml:space="preserve">Lee, YH; Jang, TS; Kim, JK</t>
  </si>
  <si>
    <t xml:space="preserve">Lee, Yonghee; Jang, Tae Su; Kim, Jae Kyung</t>
  </si>
  <si>
    <t xml:space="preserve">Effects of Coronavirus Disease 2019 on Prevalence of Acute Respiratory Viruses: Changes during the Pandemic</t>
  </si>
  <si>
    <t xml:space="preserve">JOURNAL OF GLOBAL INFECTIOUS DISEASES</t>
  </si>
  <si>
    <t xml:space="preserve">Acute viral infection; coronavirus disease 2019; influenza; prevalence rate; respiratory; seasonality; virus</t>
  </si>
  <si>
    <t xml:space="preserve">UNITED-STATES; INFLUENZA; EPIDEMIOLOGY; INFECTIONS; SEVERITY; SINGLE</t>
  </si>
  <si>
    <t xml:space="preserve">Introduction:The coronavirus disease 2019 (COVID-19) pandemic may have influenced the prevalence and seasonality of acute respiratory viral infections. The aim of the study was to investigate the prevalence of all viruses causing acute viral respiratory infections before and after social distancing measures were liftedMethods:Cross-sectional study where outpatients and inpatients at Kyunghee University Hospital were examined. From January 2021 to December 2022, respiratory samples were analyzed using multiplex reverse transcriptase real-time polymerase chain reactionResults:Of 3953 samples obtained, 412 (10.42%) were positive for acute respiratory viral infection, and 502 viruses were detected. The number of viral infections increased from 184 in 2021 to 318 in 2022. Human metapneumovirus was detected from August to November 2022. Human bocavirus (HBoV) was frequently detected from April to June 2021; however, in 2022, HBoV was frequently detected from July to October. Human parainfluenza virus 3 was rarely detected after its initial frequent detection from October to December 2021 but was continuously observed after frequent detection in September 2022. Co-infection occurred in 78 (18.9%) cases. The most common combination of simultaneous infections was human rhinovirus-HBoV (n = 30, 38.5%)Conclusions:During the COVID-19 pandemic, the incidence of acute respiratory viral infection decreased significantly but increased in 2022 when measures were lifted. The prevalence and seasonality of respiratory viral infections have changed since the pandemic. Our findings contribute to the prediction of an effective response to changes in the prevalence of respiratory viruses.</t>
  </si>
  <si>
    <t xml:space="preserve">[Lee, Yonghee; Kim, Jae Kyung] Dankook Univ, Coll Hlth &amp; Welf, Dept Biomed Lab Sci, Cheonan Si 31116, Chungnam, South Korea; [Jang, Tae Su] Dankook Univ, Coll Hlth Sci, Dept Hlth Adm, Cheonan Si, Chungnam, South Korea; [Kim, Jae Kyung] Dankook Univ, Dept Biomed Lab Sci, Coll Hlth &amp; Welf, 119,Dandaero, Cheonan Si 31116, Chungnam, South Korea</t>
  </si>
  <si>
    <t xml:space="preserve">Dankook University; Dankook University; Dankook University</t>
  </si>
  <si>
    <t xml:space="preserve">Kim, JK (corresponding author), Dankook Univ, Dept Biomed Lab Sci, Coll Hlth &amp; Welf, 119,Dandaero, Cheonan Si 31116, Chungnam, South Korea.</t>
  </si>
  <si>
    <t xml:space="preserve">nerowolf2@dankook.ac.kr</t>
  </si>
  <si>
    <t xml:space="preserve">0974-777X</t>
  </si>
  <si>
    <t xml:space="preserve">0974-8245</t>
  </si>
  <si>
    <t xml:space="preserve">J GLOB INFECT DIS</t>
  </si>
  <si>
    <t xml:space="preserve">J. Glob. Insect. Dis.</t>
  </si>
  <si>
    <t xml:space="preserve">10.4103/jgid.jgid_155_23</t>
  </si>
  <si>
    <t xml:space="preserve">LM3O1</t>
  </si>
  <si>
    <t xml:space="preserve">WOS:001187180100001</t>
  </si>
  <si>
    <t xml:space="preserve">Hong, S; Li, D; Wei, YL; Zheng, YL; Cai, JD; Zheng, HP; Zhang, X; Deng, YL; Han, DD; Wang, J; Chen, LL; Li, SJ; Qiu, WP; Ren, M; Zou, LN</t>
  </si>
  <si>
    <t xml:space="preserve">Hong, Shan; Li, Dan; Wei, Yanli; Zheng, Yilin; Cai, Jiading; Zheng, Heping; Zhang, Xuan; Deng, Yulin; Han, Dandan; Wang, Jia; Chen, Linlin; Li, Shujing; Qiu, Weiping; Ren, Min; Zou, Liangneng</t>
  </si>
  <si>
    <t xml:space="preserve">Epidemiology of respiratory pathogens in patients with acute respiratory tract infection in Xiamen, China: A retrospective survey from 2020 to 2022</t>
  </si>
  <si>
    <t xml:space="preserve">Acute respiratory tract infections; Upper respiratory tract infections; Lower inspiratory tract infections; Age-specific pattern; Season-specific pattern; Co-infectious rate</t>
  </si>
  <si>
    <t xml:space="preserve">SYNCYTIAL VIRUS; VIRAL-INFECTIONS; HUMAN METAPNEUMOVIRUS; INFLUENZA; ETIOLOGIES; SEVERITY; SYMPTOMS; CHILDREN; INFANTS; BURDEN</t>
  </si>
  <si>
    <t xml:space="preserve">Acute respiratory tract infections (ARTI) are caused by respiratory pathogens and range from asymptomatic infections to severe respiratory diseases. These diseases can be life threatening with high morbidity and mortality worldwide. Under the pandemic of coronavirus disease 2019 (COVID-19), little has been reported about the pathogen etiologies and epidemiology of patients suffering from ARTI of all age in Xiamen. Region-specific surveillance in individuals with ARTI of all ages was performed in Xiamen from January 2020 to October 2022. Here, we observed the epidemiological characteristics of thirteen pathogens within ARTI patients and further revealed the difference of that between upper respiratory tract infections (URTI) and lower respiratory tract infections (LRTI). In total 56.36 % (2358/4184) of the ARTI patients were positive for at least one respiratory pathogen. Rhinovirus (RVs, 29.22 %), influenza A (FluA, 19.59 %), respiratory syncytial virus (RSV, 18.36 %), metapneumovirus (MPV, 13.91 %), and adenovirus (ADV, 10.31 %) were the five leading respira-tory pathogens. Respiratory pathogens displayed age-and season-specific patterns, even between URTI and LRTI. Compared with other groups, a higher proportion of FluA (52.17 % and 68.75 %, respectively) infection was found in the adult group and the elder group, while the lower proportion of RVs (14.11 % and 11.11 %) infection was also observed in them. Although ARTI cases circulated throughout the year, RVs, FluB, and BoV peaked in autumn, and FluA circulated more in summer. Besides, the co-infectious rate was 8.7 % with the most common for RVs. Logistic regression analyses revealed the correlations between respiratory pathogens and disease types. These results are essential for replenishing epidemiological characteristics of common respiratory pathogens that caused ARTI in Xiamen during the epidemic of COVID-19, and a better understanding of it might optimize the local prevention and clinical control.</t>
  </si>
  <si>
    <t xml:space="preserve">[Hong, Shan; Zheng, Yilin; Deng, Yulin; Han, Dandan; Wang, Jia; Chen, Linlin; Li, Shujing; Ren, Min] Fifth Hosp Xiamen, Dept Gastroenterol, Xiamen, Fujian, Peoples R China; [Li, Dan; Zhang, Xuan] Dian Diagnost Grp Co Ltd, Key Lab Digital Technol Med Diagnost Zhejiang Prov, Hangzhou, Zhejiang, Peoples R China; [Wei, Yanli; Cai, Jiading; Qiu, Weiping; Zou, Liangneng] Fifth Hosp Xiamen, Dept Gen Practice, Xiamen, Fujian, Peoples R China; [Zheng, Heping] Fifth Hosp Xiamen, Dept Intens Care Unit, Xiamen, Fujian, Peoples R China</t>
  </si>
  <si>
    <t xml:space="preserve">Ren, M (corresponding author), Fifth Hosp Xiamen, Dept Gastroenterol, Xiamen, Fujian, Peoples R China.;Zou, LN (corresponding author), Fifth Hosp Xiamen, Dept Gen Practice, Xiamen, Fujian, Peoples R China.</t>
  </si>
  <si>
    <t xml:space="preserve">renmin@xmsdwyy.cn; zouliangneng@xmsdwyy.cn</t>
  </si>
  <si>
    <t xml:space="preserve">Deng, Yulin/KSM-0398-2024</t>
  </si>
  <si>
    <t xml:space="preserve">Fujian Science and Technology Plan Project, China [2022D032]; Xiamen Medical and Health Guiding Project, China [3502Z20209230]</t>
  </si>
  <si>
    <t xml:space="preserve">Fujian Science and Technology Plan Project, China; Xiamen Medical and Health Guiding Project, China</t>
  </si>
  <si>
    <t xml:space="preserve">Funding The study was funded by Fujian Science and Technology Plan Project, China (No.2022D032) and Xiamen Medical and Health Guiding Project, China (No.3502Z20209230) .</t>
  </si>
  <si>
    <t xml:space="preserve">NOV 13</t>
  </si>
  <si>
    <t xml:space="preserve">e22302</t>
  </si>
  <si>
    <t xml:space="preserve">10.1016/j.heliyon.2023.e22302</t>
  </si>
  <si>
    <t xml:space="preserve">AW8O8</t>
  </si>
  <si>
    <t xml:space="preserve">WOS:001121580700001</t>
  </si>
  <si>
    <t xml:space="preserve">Nicolai, A; Frassanito, A; Nenna, R; Cangiano, G; Petrarca, L; Papoff, P; Pierangeli, A; Scagnolari, C; Moretti, C; Midulla, F</t>
  </si>
  <si>
    <t xml:space="preserve">Nicolai, Ambra; Frassanito, Antonella; Nenna, Raffaella; Cangiano, Giulia; Petrarca, Laura; Papoff, Paola; Pierangeli, Alessandra; Scagnolari, Carolina; Moretti, Corrado; Midulla, Fabio</t>
  </si>
  <si>
    <t xml:space="preserve">Risk Factors for Virus-induced Acute Respiratory Tract Infections in Children Younger Than 3 Years and Recurrent Wheezing at 36 Months Follow-Up After Discharge</t>
  </si>
  <si>
    <t xml:space="preserve">acute respiratory tract infections; respiratory viruses; risk factors; wheezing</t>
  </si>
  <si>
    <t xml:space="preserve">SYNCYTIAL VIRUS; HUMAN METAPNEUMOVIRUS; HUMAN BOCAVIRUS; PNEUMONIA; BRONCHIOLITIS; CHINA</t>
  </si>
  <si>
    <t xml:space="preserve">Background: We sought to know more about how 14 common respiratory viruses manifest clinically, and to identify risk factors for specific virusinduced acute respiratory tract infections (ARTIs) in children younger than 3 years old and for wheezing at 36-month follow-up. Methods: We retrospectively studied the clinical records for 273 full-term children (median age, 2.9 months; range, 0.26-39; boys, 61.2%) hospitalized for ARTIs, whose nasopharyngeal specimen tested positive for a respiratory virus and 101 children with no history of respiratory diseases (median age, 8 months; range, 0.5-36.5; boys, 58.4%). At 12, 24 and 36 months after children's discharge, all parents were interviewed by telephone with a structured questionnaire on wheezing episodes. Results: The most frequently detected viruses were respiratory syncytial virus in bronchiolitis, human rhinovirus in pneumonia and human bocavirus in wheezing. Multivariate analysis identified, as risk factors for virusinduced ARTIs, the presence of siblings [odds ratio (OR): 3.0 (95% confidence interval [CI]: 1.8-5.2)], smoking cohabitants (OR: 2.3 (95% CI: 2-4.2)] and breastfeeding lasting less than 3 months [OR: 0.5 (95% CI: 0.3-0.9)]. The major risk factor for respiratory syncytial virus-induced ARTIs was exposure to tobacco smoke [OR: 1.8 (95% CI: 1.1-3.2)]. Risk factors for human rhinovirus-induced ARTIs were attending day-care [OR: 5.0 (95% CI: 2.3-10.6)] and high eosinophil blood counts [OR: 2.6 (95% CI: 1.2-5.7)]. The leading risk factor for recurrent wheezing was exposure to tobacco smoke [OR: 2.5 (95% CI: 1.1-15.6)]. Conclusions: Each respiratory virus leads to a specific clinical manifestation. Avoiding exposing children to tobacco smoke might restrict viral spread from sick parents and siblings to younger children, prevent severe respiratory diseases, and possibly limit sequelae.</t>
  </si>
  <si>
    <t xml:space="preserve">[Nicolai, Ambra; Frassanito, Antonella; Nenna, Raffaella; Cangiano, Giulia; Petrarca, Laura; Papoff, Paola; Moretti, Corrado; Midulla, Fabio] Sapienza Univ Rome, Dept Pediat &amp; Infantile Neuropsychiat, Rome, Italy; [Pierangeli, Alessandra; Scagnolari, Carolina] Sapienza Univ Rome, Dept Mol Med, Rome, Italy</t>
  </si>
  <si>
    <t xml:space="preserve">Midulla, Fabio/AAL-4391-2020; Petrarca, Laura/JKJ-2347-2023; Pierangeli, Alessandra/A-6368-2008; Nicolai, Ambra/AAD-6243-2020; SCAGNOLARI, CAROLINA/G-3837-2011</t>
  </si>
  <si>
    <t xml:space="preserve">Nicolai, Ambra/0000-0002-8583-9088; SCAGNOLARI, CAROLINA/0000-0003-1044-1478; Nenna, Raffaella/0000-0001-8880-3462; Moretti, Corrado/0000-0003-2005-7437; Midulla, Fabio/0000-0001-7476-5266</t>
  </si>
  <si>
    <t xml:space="preserve">10.1097/INF.0000000000001385</t>
  </si>
  <si>
    <t xml:space="preserve">EL1AI</t>
  </si>
  <si>
    <t xml:space="preserve">WOS:000394352500013</t>
  </si>
  <si>
    <t xml:space="preserve">De Conto, F; Conversano, F; Medici, MC; Ferraglia, F; Pinardi, F; Arcangeletti, MC; Chezzi, C; Calderaro, A</t>
  </si>
  <si>
    <t xml:space="preserve">De Conto, Flora; Conversano, Francesca; Medici, Maria Cristina; Ferraglia, Francesca; Pinardi, Federica; Arcangeletti, Maria Cristina; Chezzi, Carlo; Calderaro, Adriana</t>
  </si>
  <si>
    <t xml:space="preserve">Epidemiology of human respiratory viruses in children with acute respiratory tract infection in a 3-year hospital-based survey in Northern Italy</t>
  </si>
  <si>
    <t xml:space="preserve">Acute respiratory tract infections; Respiratory viruses; Molecular assays; Virus isolation in cell culture; Epidemiology; Laboratory diagnosis</t>
  </si>
  <si>
    <t xml:space="preserve">SERIOUS BACTERIAL-INFECTIONS; SYNCYTIAL VIRUS; YOUNG-CHILDREN; INFLUENZA SURVEILLANCE; HUMAN METAPNEUMOVIRUS; DISEASE SEVERITY; VIRAL LOAD; INFANTS; SEASONALITY; IDENTIFICATION</t>
  </si>
  <si>
    <t xml:space="preserve">Acute respiratory tract infections (ARTIs) are among the leading causes of morbidity and mortality in children. The viral etiology of ARTIs was investigated over 3 years (October 2012-September 2015) in 2575 children in Parma, Italy, using indirect immunofluorescent staining of respiratory samples for viral antigens, cell culture, and molecular assays. Respiratory viruses were detected in 1299 cases (50.44%); 1037 (79.83%) were single infections and 262 (20.17%) mixed infections. The highest infection incidence was in children aged &gt;6 months to &lt;= 3 years (57.36%). Human respiratory syncytial virus (27.12%) and human adenovirus (23.58%) were the most common viruses identified. The virus detection rate decreased significantly between the first and third epidemic season (53.9% vs. 43.05%, P &lt; 0.0001). The simultaneous use of different diagnostic tools allowed us to identify a putative viral etiology in half the children examined and to provide an estimate of the epidemiology and seasonality of respiratory viruses associated with ARTIs. (C) 2019 Elsevier Inc. All rights reserved.</t>
  </si>
  <si>
    <t xml:space="preserve">[De Conto, Flora; Conversano, Francesca; Medici, Maria Cristina; Ferraglia, Francesca; Pinardi, Federica; Arcangeletti, Maria Cristina; Chezzi, Carlo; Calderaro, Adriana] Univ Parma, Dept Med &amp; Surg, Viale A Gramsci 14, I-43126 Parma, Italy</t>
  </si>
  <si>
    <t xml:space="preserve">University of Parma</t>
  </si>
  <si>
    <t xml:space="preserve">De Conto, F (corresponding author), Univ Parma, Dept Med &amp; Surg, Viale A Gramsci 14, I-43126 Parma, Italy.</t>
  </si>
  <si>
    <t xml:space="preserve">flora.deconto@unipr.it</t>
  </si>
  <si>
    <t xml:space="preserve">Calderaro, Adriana/IXW-5296-2023; De Conto, Flora/H-9760-2019</t>
  </si>
  <si>
    <t xml:space="preserve">De Conto, Flora/0000-0002-0493-2353; CONVERSANO, FRANCESCA/0000-0002-4625-4642</t>
  </si>
  <si>
    <t xml:space="preserve">University of Parma (Fondi di Ateneo) [FIL 2014 - FIL2014_DECONTO_MCS]</t>
  </si>
  <si>
    <t xml:space="preserve">University of Parma (Fondi di Ateneo)</t>
  </si>
  <si>
    <t xml:space="preserve">This study was funded by grants from the University of Parma (Fondi di Ateneo FIL 2014 - FIL2014_DECONTO_MCS).</t>
  </si>
  <si>
    <t xml:space="preserve">10.1016/j.diagmicrobio.2019.01.008</t>
  </si>
  <si>
    <t xml:space="preserve">II9UT</t>
  </si>
  <si>
    <t xml:space="preserve">WOS:000475546200010</t>
  </si>
  <si>
    <t xml:space="preserve">Wang, ZB; Ren, L; Lu, QB; Zhang, XA; Miao, D; Hu, YY; Dai, K; Li, H; Luo, ZX; Fang, LQ; Liu, EM; Liu, W</t>
  </si>
  <si>
    <t xml:space="preserve">Wang, Zhi-Bo; Ren, Luo; Lu, Qing-Bin; Zhang, Xiao-Ai; Miao, Dong; Hu, Yuan-Yuan; Dai, Ke; Li, Hao; Luo, Zheng-Xiu; Fang, Li-Qun; Liu, En-Mei; Liu, Wei</t>
  </si>
  <si>
    <t xml:space="preserve">The Impact of Weather and Air Pollution on Viral Infection and Disease Outcome Among Pediatric Pneumonia Patients in Chongqing, China, from 2009 to 2018: A Prospective Observational Study</t>
  </si>
  <si>
    <t xml:space="preserve">acute respiratory tract infections; pediatric pneumonia; meteorology; air pollution; machine learning</t>
  </si>
  <si>
    <t xml:space="preserve">RESPIRATORY SYNCYTIAL VIRUS; INFLUENZA; ASSOCIATION; TEMPERATURE; MORTALITY; CHILDREN; SEASONALITY; EXPOSURE; ILLNESS; BURDEN</t>
  </si>
  <si>
    <t xml:space="preserve">Background. For pediatric pneumonia, the meteorological and air pollution indicators have been frequently investigated for their association with viral circulation but not for their impact on disease severity. Methods. We performed a 10-year prospective, observational study in 1 hospital in Chongqing, China, to recruit children with pneumonia. Eight commonly seen respiratory viruses were tested. Autoregressive distributed lag (ADL) and random forest (RF) models were used to fit monthly detection rates of each virus at the population level and to predict the possibility of severe pneumonia at the individual level, respectively. Results. Between 2009 and 2018, 6611 pediatric pneumonia patients were included, and 4846 (73.3%) tested positive for at least 1 respiratory virus. The patient median age was 9 months (interquartile range, 4-20). ADL models demonstrated a decent fitting of detection rates of R-2 &gt; 0.7 for respiratory syncytial virus, human rhinovirus, parainfluenza virus, and human metapneumovirus. Based on the RF models, the area under the curve for host-related factors alone was 0.88 (95% confidence interval [CI], .87-.89) and 0.86 (95% CI, .85-.88) for meteorological and air pollution indicators alone and 0.62 (95% CI, .60-.63) for viral infections alone. The final model indicated that 9 weather and air pollution indicators were important determinants of severe pneumonia, with a relative contribution of 62.53%, which is significantly higher than respiratory viral infections (7.36%). Conclusions. Meteorological and air pollution predictors contributed more to severe pneumonia in children than did respiratory viruses. These meteorological data could help predict times when children would be at increased risk for severe pneumonia and when interventions, such as reducing outdoor activities, may be warranted.</t>
  </si>
  <si>
    <t xml:space="preserve">[Wang, Zhi-Bo; Zhang, Xiao-Ai; Miao, Dong; Hu, Yuan-Yuan; Dai, Ke; Li, Hao; Fang, Li-Qun; Liu, Wei] Beijing Inst Microbiol &amp; Epidemiol, State Key Lab Pathogen &amp; Biosecur, 20 Dong Da St, Beijing 100071, Peoples R China; [Ren, Luo; Luo, Zheng-Xiu; Liu, En-Mei] Chongqing Med Univ, Childrens Hosp, Dept Resp Med, Chongqing 400014, Peoples R China; [Lu, Qing-Bin] Peking Univ, Sch Publ Hlth, Dept Laboratorial Sci &amp; Technol, Beijing, Peoples R China</t>
  </si>
  <si>
    <t xml:space="preserve">Beijing Institute of Microbiology &amp; Epidemiology; Chongqing Medical University; Peking University</t>
  </si>
  <si>
    <t xml:space="preserve">Fang, LQ; Liu, W (corresponding author), Beijing Inst Microbiol &amp; Epidemiol, State Key Lab Pathogen &amp; Biosecur, 20 Dong Da St, Beijing 100071, Peoples R China.;Liu, EM (corresponding author), Chongqing Med Univ, Childrens Hosp, Dept Resp Med, Chongqing 400014, Peoples R China.</t>
  </si>
  <si>
    <t xml:space="preserve">fang.lq@163.com; emliu186@hotmail.com; liuwei@bmi.ac.cn</t>
  </si>
  <si>
    <t xml:space="preserve">Fang, Li-Qun/GWD-0296-2022; Zhang, Xiao/D-9084-2019; Li, Liqiang/H-9094-2013; liu, li/HGC-0900-2022; Wang, Zhibo/GSD-3371-2022; hu, yuan/HTL-4197-2023</t>
  </si>
  <si>
    <t xml:space="preserve">Lu, Qing-Bin/0000-0002-2804-0827; Liu, Wei/0000-0002-9302-8170; Liu, Wei/0009-0001-6937-2430</t>
  </si>
  <si>
    <t xml:space="preserve">China Mega-Project for Infectious Diseases [2018ZX10713002, 2018ZX10101003, 2017ZX10103004]; Natural Science Foundation of China [81825019]; Fundamental Research Funds for the Central Universities &amp; Peking University Medicine Seed Fund for Interdisciplinary Research [BMU2018MX009]</t>
  </si>
  <si>
    <t xml:space="preserve">China Mega-Project for Infectious Diseases; Natural Science Foundation of China(National Natural Science Foundation of China (NSFC)); Fundamental Research Funds for the Central Universities &amp; Peking University Medicine Seed Fund for Interdisciplinary Research</t>
  </si>
  <si>
    <t xml:space="preserve">This work was supported by China Mega-Project for Infectious Diseases grants (2018ZX10713002, 2018ZX10101003, and 2017ZX10103004), the Natural Science Foundation of China (81825019), and Fundamental Research Funds for the Central Universities &amp; Peking University Medicine Seed Fund for Interdisciplinary Research (BMU2018MX009).</t>
  </si>
  <si>
    <t xml:space="preserve">E513</t>
  </si>
  <si>
    <t xml:space="preserve">E522</t>
  </si>
  <si>
    <t xml:space="preserve">10.1093/cid/ciaa997</t>
  </si>
  <si>
    <t xml:space="preserve">US4CG</t>
  </si>
  <si>
    <t xml:space="preserve">WOS:000697378800037</t>
  </si>
  <si>
    <t xml:space="preserve">Cong, SS; Wang, C; Wei, TL; Xie, ZP; Huang, YM; Tan, JJ; Chen, AJ; Ma, FL; Zheng, LS</t>
  </si>
  <si>
    <t xml:space="preserve">Cong, Shanshan; Wang, Chao; Wei, Tianli; Xie, Zhiping; Huang, Yiman; Tan, Jingjing; Chen, Aijun; Ma, Fenlian; Zheng, Lishu</t>
  </si>
  <si>
    <t xml:space="preserve">Human metapneumovirus in hospitalized children with acute respiratory tract infections in Beijing, China</t>
  </si>
  <si>
    <t xml:space="preserve">Acute respiratory tract infections; Human metapneumovirus; Epidemiology</t>
  </si>
  <si>
    <t xml:space="preserve">GENETIC DIVERSITY; HUMAN BOCAVIRUS; VIRAL LOAD; PCR; INFLUENZA; SEVERITY; ASSAY</t>
  </si>
  <si>
    <t xml:space="preserve">Background: This study aims to described the epidemiology and genotypic diversity of Human metapneumovirus (HMPV) and the impact of SARS-CoV-2 on the prevalence of HMPV in hospitalized children with Acute respiratory tract infections (ARTIs) in Beijing, China. Methods: From April 2018 to March 2019 and from September 2020 to August 2021, nasopharyngeal aspirates (NPAs) from hospitalized children with ARTIs in Beijing were collected and subjected to real-time polymerase chain reaction tests for HMPV. Then genotyping, detection of 15 common respiratory viruses and clinical characteristics were analyzed on HMPV positive samples. Results: 7.9% (124/1572) enrolled pediatric patients were identified as having HMPV infection, and the majority of children under the age of 5 (78.2%, 92/124), From April 2018 to March 2019. The detection rate of HMPV in spring and winter is significantly higher than that in summer and autumn. The co-infection rate were 37.1% (46/ 124), the most common co-infected virus were parainfluenza virus type 3 (HPIV-3). The main diagnosis of HMPV infection was pneumonia (92.7%,115/124), most patient have cough and fever. Of 78 HMPV-positive specimens, A2b (82.1%,64/78) were the main epidemic subtypes. Hospitalized children with HMPV genotype A infection had a higher viral load compared to genotype B. During the COVID-19 outbreak, Among 232 samples, only 4 cases were HMPV-positive. After statistical test, the detection rate of HMPV during the COVID-19 pandemic has decreased significantly compared with that before the epidemic (p - 0.001). Conclusions: HMPV is an important cause of ARTIs in children under 5 years old. The epidemic peak is generally in winter and spring, and the A2b subtype is the most common. However, under the prevention and control of the COVID-19 pandemic, the HMPV infection of hospitalized children with ARTIs has decreased significantly.</t>
  </si>
  <si>
    <t xml:space="preserve">[Cong, Shanshan; Wang, Chao; Xie, Zhiping; Huang, Yiman; Tan, Jingjing; Chen, Aijun; Ma, Fenlian; Zheng, Lishu] Natl Inst Viral Dis Control &amp; Prevent, NHC Key Lab Med Virol &amp; Viral Dis, Beijing, Peoples R China; [Cong, Shanshan; Tan, Jingjing] China Med Univ, Sch Publ Hlth, Dept Toxicol, Shenyang, Peoples R China; [Wei, Tianli] Capital Med Univ, Beijing Friendship Hosp, Dept Pediat, Beijing, Peoples R China; [Zheng, Lishu] Chinese Acad Sci, Ctr Biosafety Mega Sci, Beijing, Peoples R China</t>
  </si>
  <si>
    <t xml:space="preserve">Chinese Center for Disease Control &amp; Prevention; National Institute for Viral Disease Control &amp; Prevention, Chinese Center for Disease Control &amp; Prevention; China Medical University; Capital Medical University; Chinese Academy of Sciences</t>
  </si>
  <si>
    <t xml:space="preserve">Ma, FL; Zheng, LS (corresponding author), Natl Inst Viral Dis Control &amp; Prevent, 100 Ying Xin St, Beijing 100052, Peoples R China.</t>
  </si>
  <si>
    <t xml:space="preserve">mafl@ivdc.chinacdc.cn; zhengls@ivdc.chinacdc.cn</t>
  </si>
  <si>
    <t xml:space="preserve">Huang, Yiman/HZJ-2424-2023; Cong, Shanshan/IWU-3855-2023</t>
  </si>
  <si>
    <t xml:space="preserve">Key Technologies R&amp;D Program of the National Ministry of Science, China [2018ZX10713002]</t>
  </si>
  <si>
    <t xml:space="preserve">This work was supported by the Key Technologies R&amp;D Program of the National Ministry of Science, China (2018ZX10713002). The funding body played no role in the design of the study and collection, analysis, and interpretation of data and in writing the manuscript.</t>
  </si>
  <si>
    <t xml:space="preserve">10.1016/j.meegid.2022.105386</t>
  </si>
  <si>
    <t xml:space="preserve">D3OD9</t>
  </si>
  <si>
    <t xml:space="preserve">WOS:000967844800004</t>
  </si>
  <si>
    <t xml:space="preserve">Zuccotti, G; Dilillo, D; Zappa, A; Galli, E; Amendola, A; Martinelli, M; Pariani, E; Salvini, F; Tanzi, E; Riva, E; Giovannini, M</t>
  </si>
  <si>
    <t xml:space="preserve">Zuccotti, Gianvincenzo; Dilillo, Dario; Zappa, Alessandra; Galli, Erica; Amendola, Antonella; Martinelli, Marianna; Pariani, Elena; Salvini, Filippo; Tanzi, Elisabetta; Riva, Enrica; Giovannini, Marcello</t>
  </si>
  <si>
    <t xml:space="preserve">Epidemiological and clinical features of respiratory viral infections in hospitalized children during the circulation of influenza virus A(H1N1) 2009</t>
  </si>
  <si>
    <t xml:space="preserve">Acute respiratory tract infections; emerging viruses; influenza virus A(H1N1) 2009; pediatric hospitalizations; viral respiratory infections</t>
  </si>
  <si>
    <t xml:space="preserve">HUMAN BOCAVIRUS; SYNCYTIAL-VIRUS; HUMAN METAPNEUMOVIRUS; RISK-FACTORS; TRACT INFECTIONS; YOUNG-CHILDREN; A H1N1; DISEASE; INFANTS; IMPACT</t>
  </si>
  <si>
    <t xml:space="preserve">Background Seasonal influenza viruses and respiratory syncytial virus (RSV) are primary causes of acute respiratory tract infections (ARTIs) in children. New respiratory viruses including human metapneumovirus (hMPV), human bocavirus (hBoV), and influenza 2009 A(H1N1) virus have a strong impact on the pediatric population. Objectives To evaluate epidemiological and clinical features of ARTIs in hospitalized children. Methods From December 1, 2008, to December 31, 2009, all children under age fifteen (n = 575) hospitalized for ARTIs were investigated for influenza A (subtype H1N1, H3N2, and 2009 H1N1) and B, RSV A and B, hMPV, and hBoV by PCR. Results Fifty-one percent of samples were positive for these respiratory viruses. The frequencies of virus detection were RSV 34.1%, hBoV 6.8%, hMPV 5%, seasonal influenza A 5%, and seasonal influenza B 0%. From April 2009, 11.6% of collected samples were influenza 2009 A(H1N1) positive. Respiratory syncytial virus activity peaked in January, hBoV in February, and hMPV in April. Seasonal influenza A was detected only between January and April 2009, while influenza 2009 A(H1N1) peaked in November. Respiratory syncytial virus and hMPV were mainly associated with lower respiratory tract infections (LRTIs) and with necessity of O-2 administration. The 2009 pandemic influenza was more frequently detected in elder children (P &lt; 0 001) and was associated with higher, longer-lasting fevers compared with other viral infections (P &lt; 0 05). Conclusions All considered viruses were involved in LRTIs. The primary clinical relevance of RSV and a similar involvement of both seasonal influenza and emerging viruses investigated were observed on the pediatric population.</t>
  </si>
  <si>
    <t xml:space="preserve">[Zuccotti, Gianvincenzo; Dilillo, Dario; Galli, Erica] Univ Milan, Sacco Hosp, Dept Pediat, I-20157 Milan, Italy; [Zappa, Alessandra; Amendola, Antonella; Martinelli, Marianna; Pariani, Elena; Tanzi, Elisabetta] Univ Milan, Dept Publ Health Microbiol Virol, I-20157 Milan, Italy; [Amendola, Antonella; Salvini, Filippo; Tanzi, Elisabetta; Riva, Enrica; Giovannini, Marcello] Univ Milan, San Paolo Hosp, Dept Pediat, I-20157 Milan, Italy; [Amendola, Antonella; Tanzi, Elisabetta] Univ Genoa, Dept Hlth Sci, Genoa, Italy</t>
  </si>
  <si>
    <t xml:space="preserve">University of Milan; Luigi Sacco Hospital; University of Milan; University of Milan; San Paolo-Polo Universitaria Hospital; University of Genoa</t>
  </si>
  <si>
    <t xml:space="preserve">Zuccotti, G (corresponding author), Univ Milan, Sacco Hosp, Dept Pediat, Via GB Grassi 74, I-20157 Milan, Italy.</t>
  </si>
  <si>
    <t xml:space="preserve">riva, elisabetta/H-7729-2016; Martinelli, Marianna/AAD-5306-2019; Amendola, Antonella/M-8980-2016; PARIANI, ELENA/M-3491-2016; Tanzi, Elisabetta/M-9066-2016; Zuccotti, Gianvincenzo/H-8572-2017</t>
  </si>
  <si>
    <t xml:space="preserve">Amendola, Antonella/0000-0002-0499-8977; PARIANI, ELENA/0000-0001-5681-3455; Martinelli, Marianna/0000-0003-2273-6986; Tanzi, Elisabetta/0000-0002-4119-701X; Zuccotti, Gianvincenzo/0000-0002-2795-9874</t>
  </si>
  <si>
    <t xml:space="preserve">MIUR (Ministry of Education, University and Research) [2005067255_003, 2007 LPAF42_003]</t>
  </si>
  <si>
    <t xml:space="preserve">Funding: This research was supported by MIUR (Ministry of Education, University and Research); Grant numbers: 2005067255_003 and 2007 LPAF42_003. Competing interests: None declared. Ethical approval: Luigi Sacco Hospital Ethics Committee.</t>
  </si>
  <si>
    <t xml:space="preserve">R528</t>
  </si>
  <si>
    <t xml:space="preserve">R534</t>
  </si>
  <si>
    <t xml:space="preserve">10.1111/j.1750-2659.2011.00264.x</t>
  </si>
  <si>
    <t xml:space="preserve">836BA</t>
  </si>
  <si>
    <t xml:space="preserve">WOS:000296080300020</t>
  </si>
  <si>
    <t xml:space="preserve">Jennings, LC; Anderson, TP; Werno, AM; Beynon, KA; Murdoch, DR</t>
  </si>
  <si>
    <t xml:space="preserve">Viral etiology of acute respiratory tract infections in children presenting to hospital - Role of polymerase chain reaction and demonstration of multiple infections</t>
  </si>
  <si>
    <t xml:space="preserve">acute respiratory tract infections; children; polymerase chain reaction; multiple infections; respiratory syncytial virus</t>
  </si>
  <si>
    <t xml:space="preserve">SYNCYTIAL VIRUS; RT-PCR; HUMAN METAPNEUMOVIRUS; INFLUENZA-VIRUS; RHINOVIRUS; DISEASE; COMMUNITY; ADULTS; ADENOVIRUS; DIAGNOSIS</t>
  </si>
  <si>
    <t xml:space="preserve">Background: Viral lower respiratory tract infections are a leading cause of hospitalization for young children. Methods: We used polymerase chain reaction (PCR) and conventional methods of cell culture and antigen detection to establish the viral etiology of acute respiratory tract infections in 75 hospitalized children. Results: One or more viral pathogens were detected in 65 (87%) children, with respiratory syncytial virus being the most commonly identified virus (36 children). Other viruses identified included influenza virus types A and B, parainfluenzavirus type 3, adenovirus, enterovirus, rhinovirus, coronavirus and human metapneumovirus. PCR increased the diagnostic yield significantly compared with antigen detection and culture, with 39 (21%) diagnoses identified by this method. Multiple infections were identified in 20 (27%) children. Conclusions: PCR-based methodologies offer increased sensitivity for the detection of most respiratory viruses in young children. The inclusion of PCR into diagnostic testing strategies is needed to broaden our understanding of the natural ecology of respiratory viruses and the significance of multiple infections.</t>
  </si>
  <si>
    <t xml:space="preserve">Univ Otago, Canterbury Hlth Labs, Microbiol Unit, Christchurch, New Zealand; Univ Otago, Christchurch Sch Med &amp; Hlth Sci, Dept Pathol, Christchurch, New Zealand</t>
  </si>
  <si>
    <t xml:space="preserve">Canterbury Health Laboratories; University of Otago; University of Otago</t>
  </si>
  <si>
    <t xml:space="preserve">Jennings, LC (corresponding author), Univ Otago, Canterbury Hlth Labs, Microbiol Unit, Christchurch, New Zealand.</t>
  </si>
  <si>
    <t xml:space="preserve">10.1097/01.inf.0000143648.04673.6c</t>
  </si>
  <si>
    <t xml:space="preserve">872HD</t>
  </si>
  <si>
    <t xml:space="preserve">WOS:000225197400005</t>
  </si>
  <si>
    <t xml:space="preserve">Du, Y; Li, W; Guo, YJ; Li, L; Chen, Q; He, L; Shang, SQ</t>
  </si>
  <si>
    <t xml:space="preserve">Du, Yun; Li, Wei; Guo, Yajun; Li, Lin; Chen, Qiang; He, Lin; Shang, Shiqiang</t>
  </si>
  <si>
    <t xml:space="preserve">Epidemiology and genetic characterization of human metapneumovirus in pediatric patients from Hangzhou China</t>
  </si>
  <si>
    <t xml:space="preserve">acute respiratory tract infections; children; genotype; human metapneumovirus</t>
  </si>
  <si>
    <t xml:space="preserve">RESPIRATORY SYNCYTIAL VIRUS; YOUNG-CHILDREN; DIVERSITY; INFECTIONS; DISEASE; EVOLUTION; SEVERITY</t>
  </si>
  <si>
    <t xml:space="preserve">Human metapneumovirus (HMPV), which is distributed worldwide, is a significant viral respiratory pathogen responsible for causing acute respiratory tract infections (ARTIs) in children. The aim of the present study was to investigate the epidemiological and genetic characteristics of HMPV in pediatric patients in Hangzhou China following the peak of onset of coronavirus disease 2019 (COVID-19). A total of 1442 throat swabs were collected from the pediatric patients with a diagnosis of ARTI from November 2020 to March 2021. The following viruses were detected by real-time polymerase chain reaction analysis: HMPV, RSV, adenovirus, hPIV1-3, influenza A, and influenza B. A two-step method was used to amplify the F genes of the HMPV-positive samples. Following sequencing, phylogenetic analyses were conducted using the MEGA version 7 software package. Among the 1442 samples, 103 (7.14%) were positive for HMPV. No significant differences were observed in the gender distribution. The highest incidence of HMPV occurred in children older than 6 years and the lowest was noted in children younger than 6 months. Lower respiratory tract infections were diagnosed at a higher rate than upper respiratory tract infections in HMPV-infected children. Only 10 HMPV-infected children (5.41%) were inpatients compared with 93 outpatients (7.39%). Co-infection was observed in 31 HMPV-positive samples including 24 samples of double infection and seven samples of triple infection. A total of 61F gene fragments of HMPV, which were approximately 727 bp in length were successfully sequenced. All the HMPVs belonged to the genotype B and were clustered into subgenotypes B1 (1.6%, 1/61) and B2 (98.4%, 60/61). A total of four specific amino acid substitutions were noted as follows: aa280, aa296, aa392, and aa396. These substitutions were present between sequences derived from the subgenotypes B1 and B2 in the fusion open reading frame from position 244 to 429. In conclusion, the present study provided significant information regarding the epidemiological and genetic characteristics of HMPV in children living in Hangzhou. Following the first peak of the COVID-19 pandemic, HMPV was considered an important viral respiratory pathogen present in children with ARTI.</t>
  </si>
  <si>
    <t xml:space="preserve">[Du, Yun; Chen, Qiang] Jiangxi Prov Childrens Hosp, Dept Resp Med, Nanchang, Jiangxi, Peoples R China; [Li, Wei; Guo, Yajun; Li, Lin; He, Lin; Shang, Shiqiang] Zhejiang Univ, Natl Clin Res Ctr Child Hlth, Sch Med, Childrens Hosp,Dept Clin Lab, Hangzhou, Zhejiang, Peoples R China</t>
  </si>
  <si>
    <t xml:space="preserve">Shang, SQ (corresponding author), Zhejiang Univ, Natl Clin Res Ctr Child Hlth, Sch Med, Childrens Hosp,Dept Clin Lab, Hangzhou, Zhejiang, Peoples R China.</t>
  </si>
  <si>
    <t xml:space="preserve">shangsq@zju.edu.cn</t>
  </si>
  <si>
    <t xml:space="preserve">Guo, Yajun/AAF-8723-2021</t>
  </si>
  <si>
    <t xml:space="preserve">10.1002/jmv.28024</t>
  </si>
  <si>
    <t xml:space="preserve">WOS:000836385500001</t>
  </si>
  <si>
    <t xml:space="preserve">Li, HM; Yang, Y; Tao, R; Shang, SQ</t>
  </si>
  <si>
    <t xml:space="preserve">Li, Huamei; Yang, Ying; Tao, Ran; Shang, Shiqiang</t>
  </si>
  <si>
    <t xml:space="preserve">Analyzing infections caused by 11 respiratory pathogens in children: Pre- and post-COVID-19 pandemic trends in China</t>
  </si>
  <si>
    <t xml:space="preserve">acute respiratory tract infections; children; COVID-19; respiratory pathogens</t>
  </si>
  <si>
    <t xml:space="preserve">SYNCYTIAL VIRUS; BRONCHIOLITIS; PREVALENCE</t>
  </si>
  <si>
    <t xml:space="preserve">With the lifting of coronavirus disease 2019 (COVID-19) restrictions in December 2022 in China, the population was widely infected with COVID-19. We aim to analyzed changes in the epidemiological characteristics of other respiratory pathogens in children before and after the COVID-19 pandemic. We conducted a retrospective analysis of 44 704 children with acute respiratory infections who underwent 11 respiratory pathogen tests based on multiplex polymerase chain reaction between February and December in both 2022 and 2023. The total pathogen detection rate (24861, 74.80% vs. 6423, 56.01%; p = 0.000) and detection rates of coinfection (4059, 12.21% vs. 676, 5.89%; p = 0.000) in 2023 was significantly higher than that in 2022. The detection rates of influenza A (2567, 7.72% vs. 222, 1.94%; p = 0.000), influenza B (383, 1.15% vs. 37, 0.32%; p = 0.000), human parainfluenza virus (2175, 6.54% vs. 602, 5.25%; p = 0.000), human metapneumovirus (1354, 4.07% vs. 346, 3.01%; p = 0.000), respiratory syncytial virus (3148, 9.47% vs. 870, 7.59%; p = 0.000), and Mycoplasma pneumonia (MP; 9494, 28.56% vs. 1790, 15.61%; p = 0.000) in 2023 were significantly higher than those in 2022, whereas the detection rates of human adenovirus (1124, 3.38% vs. 489, 4.26%; p = 0.000) and human bocavirus (629, 1.89% vs. 375, 3.27%; p = 0.000) were significantly lower than those in 2022. Chlamydia, human rhinovirus, and human coronavirus showed similar detection rates between 2023 and 2022. In 2023, the influenza virus and human parainfluenza virus regained seasonal characteristic, an outbreak of MP infection occurred, the epidemic season of respiratory syncytial virus changed, and the proportion of children with acute respiratory infection aged 0-28 days and over 3 years old increased. Influenza B, metapneumovirus, and human bocavirus were detected in children aged 0-28 days in 2023, but not in 2022. After the COVID-19 pandemic, we should be alert to the increase of respiratory diseases and the change of epidemic season and susceptible age.</t>
  </si>
  <si>
    <t xml:space="preserve">[Li, Huamei; Tao, Ran; Shang, Shiqiang] Zhejiang Univ, Childrens Hosp, Natl Clin Res Ctr Child Hlth, Sch Med,Dept Clin Lab, Hangzhou, Peoples R China; [Yang, Ying] Zhejiang Univ, Childrens Hosp, Natl Clin Res Ctr Child Hlth, Sch Med,Dept Infect Dis, Hangzhou, Peoples R China</t>
  </si>
  <si>
    <t xml:space="preserve">Zhejiang University; Zhejiang University</t>
  </si>
  <si>
    <t xml:space="preserve">Shang, SQ (corresponding author), Zhejiang Univ, Childrens Hosp, Dept Ctr Lab, Sch Med, 3333 Binsheng Rd, Hangzhou 310052, Peoples R China.</t>
  </si>
  <si>
    <t xml:space="preserve">Zhejiang Provincial Natural Science Foundation of China; [LY21H040002]</t>
  </si>
  <si>
    <t xml:space="preserve">Zhejiang Provincial Natural Science Foundation of China(Natural Science Foundation of Zhejiang Province);</t>
  </si>
  <si>
    <t xml:space="preserve">This study was supported by Zhejiang Provincial Natural Science Foundation of China (grant number LY21H040002).</t>
  </si>
  <si>
    <t xml:space="preserve">e29929</t>
  </si>
  <si>
    <t xml:space="preserve">10.1002/jmv.29929</t>
  </si>
  <si>
    <t xml:space="preserve">H2I9S</t>
  </si>
  <si>
    <t xml:space="preserve">WOS:001321738800024</t>
  </si>
  <si>
    <t xml:space="preserve">Kamin, W; Adams, O; Kardos, P; Matthys, H; Meister, N; Strassburg, CP</t>
  </si>
  <si>
    <t xml:space="preserve">Kamin, Wolfgang; Adams, Ortwin; Kardos, Peter; Matthys, Heinrich; Meister, Norbert; Strassburg, Christian P.</t>
  </si>
  <si>
    <t xml:space="preserve">Liver Involvement in Acute Respiratory Infections in Children and Adolescents - Results of a Non-interventional Study</t>
  </si>
  <si>
    <t xml:space="preserve">acute respiratory tract infections; children; adolescents; liver involvement; non-interventional study</t>
  </si>
  <si>
    <t xml:space="preserve">TRACT INFECTION; INFLUENZA</t>
  </si>
  <si>
    <t xml:space="preserve">BackgroundIn children and adults with acute respiratory tract infections (ARTI), elevations of serum liver enzyme activities are frequently observed in clinical practice. However, epidemiological data particularly in the pediatric population are very limited. The aim of this study was to assess the incidence of hepatic involvement, to identify the viruses and to analyze risk factors in children and adolescents with ARTI in a real-world setting. MethodsWe report on a prospective, multicenter, non-interventional study with 1,010 consecutive patients aged 1-17 years with ARTI who consulted a physician within 5 days after onset of symptoms. Laboratory blood tests and PCR virus detection in nasopharyngeal lavage were performed at first presentation and after 3-7 days. Patients with elevated activities of serum liver enzymes (ASAT, ALAT, and gamma-GT) were determined in local laboratories and values were normalized by dividing by the individual upper limit of the normal range (ULN). The resulting index (&lt;1 means below ULN, &gt;1 means above ULN) allowed to compare results from laboratories with different reference ranges. ResultsLaboratory test results of 987 patients were available at first visit. 11.1% (95% CI: 9.2-13.3%) exhibited an elevation of ASAT, ALAT, and/or gamma-GT activities. Virus DNA or RNA was identified in nasopharyngeal lavages of 63% of the patients. 12.2% of patients with positive PCR and 9.7% of those with negative PCR (p = 0.25) had elevated serum liver enzyme activities. The highest rates were observed in patients with a positive result for influenza B virus (24.4%) followed by human metapneumovirus (14.6%), and human coronavirus (others than SARS-CoV-2) (13.6%). The rate of children and adolescents with ARTI and elevation of serum liver enzyme activities correlated with the virus species and with overweight of the patients but did not differ in patients with or without previous medication intake. ConclusionElevated enzyme activities are present in about 10% of children and adolescents with ARTI. In our cohort, these elevations were mild to moderate; probably resulting from an inflammation process with hepatic involvement.</t>
  </si>
  <si>
    <t xml:space="preserve">[Kamin, Wolfgang] Evangel Hosp, Childrens Hosp, Hamm, Germany; [Kamin, Wolfgang] Pomeranian Med Univ, Fac Med, Szczecin, Poland; [Adams, Ortwin] Heinrich Heine Univ, Inst Virol, Dusseldorf, Germany; [Kardos, Peter] Red Cross Maingau Hosp, Grp Practice, Frankfurt, Germany; [Kardos, Peter] Red Cross Maingau Hosp, Ctr Pneumol Allergy &amp; Sleep Med, Frankfurt, Germany; [Matthys, Heinrich] Univ Hosp, Dept Pneumol, Freiburg, Germany; [Strassburg, Christian P.] Univ Hosp, Dept Internal Med 1, Bonn, Germany</t>
  </si>
  <si>
    <t xml:space="preserve">Pomeranian Medical University; Heinrich Heine University Dusseldorf; University of Freiburg; University of Bonn</t>
  </si>
  <si>
    <t xml:space="preserve">Kamin, W (corresponding author), Evangel Hosp, Childrens Hosp, Hamm, Germany.;Kamin, W (corresponding author), Pomeranian Med Univ, Fac Med, Szczecin, Poland.</t>
  </si>
  <si>
    <t xml:space="preserve">paediatrie.hamm@valeo-kliniken.de</t>
  </si>
  <si>
    <t xml:space="preserve">MAR 29</t>
  </si>
  <si>
    <t xml:space="preserve">10.3389/fped.2022.840008</t>
  </si>
  <si>
    <t xml:space="preserve">0O7PN</t>
  </si>
  <si>
    <t xml:space="preserve">WOS:000783716600001</t>
  </si>
  <si>
    <t xml:space="preserve">Gamiño-Arroyo, AE; Moreno-Espinosa, S; Llamosas-Gallardo, B; Ortiz-Hernández, AA; Guerrero, ML; Galindo-Fraga, A; Galán-Herrera, JF; Prado-Galbarro, FJ; Beigel, JH; Ruiz-Palacios, GM; Noyola, DE</t>
  </si>
  <si>
    <t xml:space="preserve">Gamino-Arroyo, Ana E.; Moreno-Espinosa, Sarbelio; Llamosas-Gallardo, Beatriz; Ortiz-Hernandez, Ana A.; Lourdes Guerrero, M.; Galindo-Fraga, Arturo; Galan-Herrera, Juan F.; Prado-Galbarro, Francisco J.; Beigel, John H.; Ruiz-Palacios, Guillermo M.; Noyola, Daniel E.</t>
  </si>
  <si>
    <t xml:space="preserve">Mexico Emerging Infect Dis Clinica</t>
  </si>
  <si>
    <t xml:space="preserve">Epidemiology and clinical characteristics of respiratory syncytial virus infections among children and adults in Mexico</t>
  </si>
  <si>
    <t xml:space="preserve">acute respiratory tract infections; bronchiolitis; influenza-like illness; pneumonia; respiratory syncytial virus</t>
  </si>
  <si>
    <t xml:space="preserve">HUMAN METAPNEUMOVIRUS; OLDER-ADULTS; INFLUENZA; DISEASE; HOSPITALIZATIONS; METAANALYSIS; PNEUMONIA; SEVERITY; ILLNESS; BURDEN</t>
  </si>
  <si>
    <t xml:space="preserve">Background: Respiratory syncytial virus (RSV) is a leading etiological agent of acute respiratory tract infections and hospitalizations in children. However, little information is available regarding RSV infections in Latin American countries, particularly among adult patients. Objective: To describe the epidemiology of RSV infection and to analyze the factors associated with severe infections in children and adults in Mexico. Methods: Patients &gt;= 1 month old, who presented with an influenza-like illness (ILI) to six hospitals in Mexico, were eligible for participation in the study. Multiplex reverse-transcriptase polymerase chain reaction identified viral pathogens in nasal swabs from 5629 episodes of ILI. Patients in whom RSV was detected were included in this report. Results: Respiratory syncytial virus was detected in 399 children and 171 adults. RSV A was detected in 413 cases and RSV B in 163, including six patients who had coinfection with both subtypes; 414 (72.6%) patients required hospital admission, including 96 (16.8%) patients that required admission to the intensive care unit. Coinfection with one or more respiratory pathogens other than RSV was detected in 159 cases. Young age (in children) and older age (in adults) as well as the presence of some underlying conditions were associated with more severe disease. Conclusions: This study confirms that RSV is an important respiratory pathogen in children in Mexico. In addition, a substantial number of cases in adults were also detected highlighting the relevance of this virus in all ages. It is important to identify subjects at high risk of complications who may benefit from current or future preventive interventions.</t>
  </si>
  <si>
    <t xml:space="preserve">[Gamino-Arroyo, Ana E.; Moreno-Espinosa, Sarbelio] Hosp Infantil Mexico Dr Federico Gomez, Mexico City, DF, Mexico; [Llamosas-Gallardo, Beatriz; Ortiz-Hernandez, Ana A.] Inst Nacl Pediat, Mexico City, DF, Mexico; [Lourdes Guerrero, M.; Galindo-Fraga, Arturo; Ruiz-Palacios, Guillermo M.] Inst Nacl Ciencias Med &amp; Nutr Salvador Zubiran, Mexico City, DF, Mexico; [Galan-Herrera, Juan F.] Mexico Emerging Infect Dis Clin Res Network Coord, Mexico City, DF, Mexico; [Prado-Galbarro, Francisco J.] Inst Salud Carlos III, Agencia Evaluac Tecnol Sanitarias, Madrid, Spain; [Beigel, John H.] Leidos Biomed, Frederick, MD USA; [Noyola, Daniel E.] Univ Autonoma San Luis Potosi, San Luis Potosi, Mexico</t>
  </si>
  <si>
    <t xml:space="preserve">Hospital Infantil de Mexico Federico Gomez; Instituto Nacional de Ciencias Medicas y Nutricion Salvador Zubiran - Mexico; Instituto de Salud Carlos III; Agencia de Evaluacion de Tecnologias Sanitarias (AETS); National Institutes of Health (NIH) - USA; NIH National Cancer Institute (NCI); Frederick National Laboratory for Cancer Research; Universidad Autonoma de San Luis Potosi</t>
  </si>
  <si>
    <t xml:space="preserve">Noyola, DE (corresponding author), Univ Autonoma San Luis Potosi, Dept Microbiol, Fac Med, San Luis Potosi, Mexico.</t>
  </si>
  <si>
    <t xml:space="preserve">Noyola, Daniel/AAL-9773-2020; Guerrero, María/IQU-4757-2023; Beigel, John/AAQ-4289-2021; Ruiz-Palacios, Guillermo/GYQ-5462-2022</t>
  </si>
  <si>
    <t xml:space="preserve">Noyola, Daniel/0000-0002-4840-6742; Galindo-Fraga, Arturo/0000-0002-2818-1160; Beigel, John/0000-0002-4879-4941; Gamino-Arroyo, Ana Estela/0000-0002-4214-9239</t>
  </si>
  <si>
    <t xml:space="preserve">Mexico Ministry of Health; U.S. National Institute of Allergy and Infectious Diseases; CONACYT Fondo Sectorial SSA/IMSS/ISSSTE [71260, 127088]; National Institute of Allergy and Infectious Diseases, National Institutes of Health, through its Intramural Research Programs; Westat, Inc. [HHSN2722009000031, HHSN27200002]; National Institute of Allergy and Infectious Diseases, National Institutes of Health through National Cancer Institute, National Institutes of Health [HHSN261200800001E]; Academy of Finland (AKA) [127088] Funding Source: Academy of Finland (AKA)</t>
  </si>
  <si>
    <t xml:space="preserve">Mexico Ministry of Health; U.S. National Institute of Allergy and Infectious Diseases(United States Department of Health &amp; Human ServicesNational Institutes of Health (NIH) - USANIH National Institute of Allergy &amp; Infectious Diseases (NIAID)); CONACYT Fondo Sectorial SSA/IMSS/ISSSTE; National Institute of Allergy and Infectious Diseases, National Institutes of Health, through its Intramural Research Programs; Westat, Inc.; National Institute of Allergy and Infectious Diseases, National Institutes of Health through National Cancer Institute, National Institutes of Health; Academy of Finland (AKA)(Research Council of Finland)</t>
  </si>
  <si>
    <t xml:space="preserve">La Red is funded by the Mexico Ministry of Health and the U.S. National Institute of Allergy and Infectious Diseases. This project has been funded in part by funding provided by CONACYT Fondo Sectorial SSA/IMSS/ISSSTE, Projects No. 71260 and No. 127088); National Institute of Allergy and Infectious Diseases, National Institutes of Health, through its Intramural Research Programs and a contract with Westat, Inc., Contract Number: HHSN2722009000031, Task Order Number: HHSN27200002; and through the National Cancer Institute, National Institutes of Health, under Contract No. HHSN261200800001E. The content of this publication does not necessarily reflect the views or policies of the Department of Health and Human Services, or Westat, nor does mention of trade names, commercial products, or organizations imply endorsement by the US Government.</t>
  </si>
  <si>
    <t xml:space="preserve">10.1111/irv.12414</t>
  </si>
  <si>
    <t xml:space="preserve">EL9SG</t>
  </si>
  <si>
    <t xml:space="preserve">WOS:000394959800006</t>
  </si>
  <si>
    <t xml:space="preserve">Ren, L; Gonzalez, R; Wang, Z; Xiang, Z; Wang, Y; Zhou, H; Li, J; Xiao, Y; Yang, Q; Zhang, J; Chen, L; Wang, W; Li, Y; Li, T; Meng, X; Zhang, Y; Vernet, G; Paranhos-Baccalà, C; Chen, J; Jin, Q; Wang, J</t>
  </si>
  <si>
    <t xml:space="preserve">Ren, L.; Gonzalez, R.; Wang, Z.; Xiang, Z.; Wang, Y.; Zhou, H.; Li, J.; Xiao, Y.; Yang, Q.; Zhang, J.; Chen, L.; Wang, W.; Li, Y.; Li, T.; Meng, X.; Zhang, Y.; Vernet, G.; Paranhos-Baccala, C.; Chen, J.; Jin, Q.; Wang, J.</t>
  </si>
  <si>
    <t xml:space="preserve">Prevalence of human respiratory viruses in adults with acute respiratory tract infections in Beijing, 2005-2007</t>
  </si>
  <si>
    <t xml:space="preserve">Acute respiratory tract infections; adult; epidemiology; molecular detection; respiratory virus infection</t>
  </si>
  <si>
    <t xml:space="preserve">HUMAN CORONAVIRUS NL63; SYNCYTIAL-VIRUS; CHILDREN; RHINOVIRUS; IDENTIFICATION; PCR; IMPACT; METAPNEUMOVIRUS; POLYOMAVIRUS; SURVEILLANCE</t>
  </si>
  <si>
    <t xml:space="preserve">To determine the aetiological role and epidemiological profile of common respiratory viruses in adults with acute respiratory tract infections (ARTIs), a 2-year study was conducted in Beijing, China, from May 2005 to July 2007. Nose and throat swab samples from 5808 ARTI patients were analysed by PCR methods for common respiratory viruses, including influenza viruses (IFVs) A, B, and C, parainfluenza viruses (PIVs) 1-4, enteroviruses (EVs), human rhinoviruses (HRVs), respiratory syncytial virus (RSV), human metapneumovirus (HMPV), human coronaviruses (HCoVs) OC43, 229E, NL63, and HKUI, and adenoviruses (ADVs). Viral pathogens were detected in 34.6% of patient samples, and 1.6% of the patients tested positive for more than one virus. IFVs (19.3%) were the dominant agents detected, followed by HRVs (6.5%), PIVs (4.3%), EVs (3.2%), and HCoVs (1.1%). ADVs, RSV and HMPV were also detected (&lt;1%). The viral detection rates differed significantly between infections of the lower and upper respiratory tracts in the sample population: PIVs, the second most commonly detected viral agents in lower acute respiratory tract infections (LRTIs), were more prevalent than in upper acute respiratory tract infections, indicating that the pathogenic role of PIVs in LRTIs should be investigated. Currently, this study is the largest-scale investigation of respiratory virus infections in China with multiple agent detection, providing baseline data for further studies of respiratory virus infections in adults with ARTIs.</t>
  </si>
  <si>
    <t xml:space="preserve">[Ren, L.; Gonzalez, R.; Wang, Z.; Xiang, Z.; Wang, Y.; Zhou, H.; Li, J.; Xiao, Y.; Yang, Q.; Zhang, J.; Chen, L.; Wang, W.; Li, T.; Zhang, Y.; Jin, Q.; Wang, J.] Chinese Acad Med Sci, Fdn Merieux, IPB, Dr Christophe Merieux Lab, Beijing 100037, Peoples R China; [Ren, L.; Gonzalez, R.; Wang, Z.; Xiang, Z.; Wang, Y.; Zhou, H.; Li, J.; Xiao, Y.; Yang, Q.; Zhang, J.; Chen, L.; Wang, W.; Li, T.; Zhang, Y.; Jin, Q.; Wang, J.] Chinese Acad Med Sci, IPB, State Key Lab Mol Virol &amp; Genet Engn, Beijing 100037, Peoples R China; [Gonzalez, R.; Li, Y.; Vernet, G.; Paranhos-Baccala, C.] IRF 128 BioSci Lyon Gerland, Fdn Merieux, Emerging Pathogens Lab, Lyon, France; [Wang, Z.; Li, T.; Chen, J.] Chinese Acad Med Sci, Peking Union Med Coll Hosp, Beijing 100037, Peoples R China; [Meng, X.] bioMerieux SA, Marcy Letoile, Chemin De Lorme, France</t>
  </si>
  <si>
    <t xml:space="preserve">Chinese Academy of Medical Sciences - Peking Union Medical College; Institute of Pathogen Biology - CAMS; Chinese Academy of Medical Sciences - Peking Union Medical College; Institute of Pathogen Biology - CAMS; Chinese Academy of Medical Sciences - Peking Union Medical College; Peking Union Medical College Hospital; bioMerieux</t>
  </si>
  <si>
    <t xml:space="preserve">Wang, J (corresponding author), 9 Dong Dan San Tiao, Beijing 100730, Peoples R China.</t>
  </si>
  <si>
    <t xml:space="preserve">Jin, Qi/B-5379-2009; Wang, Jianwei/AAW-9499-2020</t>
  </si>
  <si>
    <t xml:space="preserve">vernet, guy/0000-0002-5120-1297; Wang, Jianwei/0000-0002-1116-4559</t>
  </si>
  <si>
    <t xml:space="preserve">IPB; CAMS [20071PBII]; Fondation Merieux</t>
  </si>
  <si>
    <t xml:space="preserve">IPB; CAMS; Fondation Merieux</t>
  </si>
  <si>
    <t xml:space="preserve">This paper is dedicated to the memory of C. Merieux, who established the joint Lab for New Emerging Pathogen Identification through collaborations between IPB, CAMS and bioMerieux. We thank the clinicians of PUMCH for their assistance in sample collection. and F. Komurian-Pradel for constructive advice and discussions. This study was supported by grants from the IPB, CAMS (20071PBII), and Fondation Merieux.</t>
  </si>
  <si>
    <t xml:space="preserve">10.1111/j.1469-0691.2009.02746.x</t>
  </si>
  <si>
    <t xml:space="preserve">519OQ</t>
  </si>
  <si>
    <t xml:space="preserve">WOS:000271776900014</t>
  </si>
  <si>
    <t xml:space="preserve">Ahmed, A; Alsenaidy, AM; Mobaireek, KF; AlSaadi, MM</t>
  </si>
  <si>
    <t xml:space="preserve">Ahmed, Anwar; Alsenaidy, Abdulrahman M.; Mobaireek, Khalid Fahad; AlSaadi, Muslim Mohammed</t>
  </si>
  <si>
    <t xml:space="preserve">Viral etiology of acute respiratory infections during 2014-16 in Riyadh, Saudi Arabia</t>
  </si>
  <si>
    <t xml:space="preserve">acute respiratory tract infections; adenovirus; coinfections; FLU-A; FLU-B; influenza; respiratory infection; respiratory viruses; RSV; viral etiology</t>
  </si>
  <si>
    <t xml:space="preserve">MULTIPLEX RT-PCR; HOSPITALIZED CHILDREN; HUMAN METAPNEUMOVIRUS; VIRUS-INFECTIONS; SYNCYTIAL VIRUS; TRACT INFECTIONS; HAJJ PILGRIMS; EPIDEMIOLOGY; CORONAVIRUS; DISEASE</t>
  </si>
  <si>
    <t xml:space="preserve">Aim: Viral etiology of respiratory infections is not well understood in Saudi Arabia. This study was conceptualized to understand viral etiology in children with acute respiratory tract infections (ARTI) from Riyadh. Patients and methods: Respiratory viruses were detected by real-time PCR in nasopharyngeal aspirates or swab from 580 children aged &lt;= 5 years. Results: Respiratory viruses were detected in 64% of the samples with 6% mixed viral infections. Respiratory syncytial virus, adenovirus, influenza, parainfluenza and human metapneumovirus infections accounted for 42, 20, 16, 12 and 10%, respectively. Maximum prevalence (37%) was among the lowest age group followed by 30% among the 7- to 12-month age group. Conclusion: The prevalence and determinants of viral etiology are in line with the previous report from the region. No major shift in the viral etiologies was observed in the 2-year study period.</t>
  </si>
  <si>
    <t xml:space="preserve">[Ahmed, Anwar] King Saud Univ, Coll Sci, Ctr Excellence Biotechnol Res, Riyadh 11451, Saudi Arabia; [Alsenaidy, Abdulrahman M.] King Saud Univ, Coll Sci, Dept Biochem, Riyadh 11451, Saudi Arabia; [Mobaireek, Khalid Fahad] King Fahad Med City, Pediat Emergency Dept, Childrens Hosp, Riyadh 12231, Saudi Arabia; [AlSaadi, Muslim Mohammed] King Saud Univ, King Khalid Univ Hosp, Coll Med, Dept Pediat, Riyadh 11533, Saudi Arabia</t>
  </si>
  <si>
    <t xml:space="preserve">King Saud University; King Saud University; King Fahad Medical City; King Saud University</t>
  </si>
  <si>
    <t xml:space="preserve">Ahmed, A (corresponding author), King Saud Univ, Coll Sci, Ctr Excellence Biotechnol Res, Riyadh 11451, Saudi Arabia.</t>
  </si>
  <si>
    <t xml:space="preserve">anahmed@ksu.edu.sa</t>
  </si>
  <si>
    <t xml:space="preserve">Ahmed, Anwar/ADH-1445-2022</t>
  </si>
  <si>
    <t xml:space="preserve">Ahmed, Anwar/0000-0001-8147-714X</t>
  </si>
  <si>
    <t xml:space="preserve">Deanship of Scientific Research at King Saud University, Riyadh [RG-1439-74]</t>
  </si>
  <si>
    <t xml:space="preserve">Deanship of Scientific Research at King Saud University, Riyadh</t>
  </si>
  <si>
    <t xml:space="preserve">The authors extend their appreciation to the Deanship of Scientific Research at King Saud University, Riyadh, for funding work through the Research Group Project No. RG-1439-74. The authors have no other relevant affiliations or financial involvement with any organization or entity with a financial interest in or financial conflict with the subject matter or materials discussed in the manuscript apart from those disclosed.</t>
  </si>
  <si>
    <t xml:space="preserve">10.2217/fvl-2020-0071</t>
  </si>
  <si>
    <t xml:space="preserve">1D1WY</t>
  </si>
  <si>
    <t xml:space="preserve">WOS:000776384300001</t>
  </si>
  <si>
    <t xml:space="preserve">del Valle-Mendoza, J; Orellana-Peralta, F; del Valle, LJ; Verne, E; Ugarte, C; Weilg, C; Silva-Caso, W; Valverde-Ezeta, J; Carrillo-Ng, H; Peña-Tuesta, I; Palomares-Reyes, C; Cornejo-Tapia, A; Aguilar-Luis, MA</t>
  </si>
  <si>
    <t xml:space="preserve">del Valle-Mendoza, Juana; Orellana-Peralta, Fiorella; del Valle, Luis J.; Verne, Eduardo; Ugarte, Claudia; Weilg, Claudia; Silva-Caso, Wilmer; Valverde-Ezeta, Jorge; Carrillo-Ng, Hugo; Pena-Tuesta, Isaac; Palomares-Reyes, Carlos; Cornejo-Tapia, Angela; Angel Aguilar-Luis, Miguel</t>
  </si>
  <si>
    <t xml:space="preserve">Detection of human Metapneumovirus infection in children under 18 years old hospitalized in Lima-Peru</t>
  </si>
  <si>
    <t xml:space="preserve">Acute respiratory tract infection; Pediatrics; Polymerase chain reaction; Acute obstructive bronchitis; Human metapneumovirus; Peru</t>
  </si>
  <si>
    <t xml:space="preserve">RESPIRATORY-TRACT INFECTIONS; GENETIC DIVERSITY; OUTBREAK; BRONCHIOLITIS; DISEASE; ASTHMA; YOUNG</t>
  </si>
  <si>
    <t xml:space="preserve">Background. Human Metapneumovirus (hMPV) is a negative single-stranded RNA virus. Infection by hMPV mainly affects the pediatric population and can cause upper or lower respiratory tract pathologies which can develop life threating complications. This study was carried out between 2009 and 2010 in a high complexity national hospital in Lima, Peru. The time frame corresponds to the pandemic of influenza A H1N1. Methods. A prospective study was performed between September 2009 and September 2010. Patients with a clinical diagnosis suggestive of an acute respiratory infection were included. RT-PCR was utilized to attain the amplification and identification of the hMPV. Results. A total of 539 samples were analyzed from patients with a clinical context suggestive of an acute respiratory tract infection. Of these samples 73, (13.54%) were positive for hMPV. Out of the positive cases, 63% were under one year old, and increased to nearly 80% when considering children younger than two years old. Cough was the most frequent symptom presented by our population with a number of 62 cases (84.93%). Viral seasonality was also established, noting its predominance during the months of summer in the southern hemisphere. The infection by hMPV has an important prevalence in Peru. It mainly affects children under one year old and should be considered an important differential diagnosis in a patient with an acute respiratory infection.</t>
  </si>
  <si>
    <t xml:space="preserve">[del Valle-Mendoza, Juana; Orellana-Peralta, Fiorella; Weilg, Claudia; Silva-Caso, Wilmer; Valverde-Ezeta, Jorge; Pena-Tuesta, Isaac; Palomares-Reyes, Carlos; Cornejo-Tapia, Angela; Angel Aguilar-Luis, Miguel] Univ Peruana Ciencias Aplicadas, Fac Hlth Sci, Sch Med, Res &amp; Innovat Ctr, Lima, Peru; [del Valle-Mendoza, Juana; Silva-Caso, Wilmer; Carrillo-Ng, Hugo; Angel Aguilar-Luis, Miguel] IIN, Lab Biol Mol, Lima, Peru; [del Valle, Luis J.] UPC, Barcelona Tech, Dept Engn Quim, Barcelona Res Ctr Multiscale Sci &amp; Engn,EEBE, Barcelona, Spain; [Verne, Eduardo; Ugarte, Claudia; Carrillo-Ng, Hugo] Univ Peruana Cayetano Heredia, Fac Med, Lima, Peru; [Verne, Eduardo; Ugarte, Claudia] Hosp Nacl Cayetano Heredia, Serv Pediat, Lima, Peru</t>
  </si>
  <si>
    <t xml:space="preserve">Universidad Peruana de Ciencias Aplicadas (UPC); Universitat Politecnica de Catalunya; Universidad Peruana Cayetano Heredia</t>
  </si>
  <si>
    <t xml:space="preserve">del Valle-Mendoza, J; Aguilar-Luis, MA (corresponding author), Univ Peruana Ciencias Aplicadas, Fac Hlth Sci, Sch Med, Res &amp; Innovat Ctr, Lima, Peru.;del Valle-Mendoza, J; Aguilar-Luis, MA (corresponding author), IIN, Lab Biol Mol, Lima, Peru.</t>
  </si>
  <si>
    <t xml:space="preserve">joana.del.valle@gmail.com; miguel.aguilar@upc.pe</t>
  </si>
  <si>
    <t xml:space="preserve">Tapia, Angela/AAA-9498-2020; Palomares Reyes, Carlos Cesar/Q-1255-2018; del Valle Mendoza, Juana/C-9805-2018; del Valle, Luis J./I-1342-2015; Silva Caso, Wilmer Gianfranco/D-2699-2018; Cornejo Tapia, Angela Irene/D-2700-2018; Aguilar-Luis, Miguel Angel/C-8686-2018</t>
  </si>
  <si>
    <t xml:space="preserve">Palomares Reyes, Carlos Cesar/0000-0002-7027-1952; del Valle Mendoza, Juana/0000-0002-6011-5040; del Valle, Luis J./0000-0001-9916-1741; Pena-Tuesta, Isaac Alberto/0000-0001-9505-1916; Carrillo-Ng, Hugo/0000-0001-7886-8895; Silva Caso, Wilmer Gianfranco/0000-0003-1086-8084; Cornejo Tapia, Angela Irene/0000-0001-7486-7959; Aguilar-Luis, Miguel Angel/0000-0001-7023-3190</t>
  </si>
  <si>
    <t xml:space="preserve">Incentive for Research of the Universidad Peruana de Ciencias Aplicadas, Lima, Peru [A-067-2019-UPC]</t>
  </si>
  <si>
    <t xml:space="preserve">Incentive for Research of the Universidad Peruana de Ciencias Aplicadas, Lima, Peru</t>
  </si>
  <si>
    <t xml:space="preserve">This work was supported by Incentive for Research of the Universidad Peruana de Ciencias Aplicadas (No A-067-2019-UPC), Lima, Peru. The funders had no role in study design, data collection and analysis, decision to publish, or preparation of the manuscript.</t>
  </si>
  <si>
    <t xml:space="preserve">e7266</t>
  </si>
  <si>
    <t xml:space="preserve">10.7717/peerj.7266</t>
  </si>
  <si>
    <t xml:space="preserve">IL0DX</t>
  </si>
  <si>
    <t xml:space="preserve">WOS:000476967400003</t>
  </si>
  <si>
    <t xml:space="preserve">Javadi, A; Adibi, P; Ataei, B; Nokhodian, Z; Yaran, M</t>
  </si>
  <si>
    <t xml:space="preserve">Javadi, Abbasali; Adibi, Peyman; Ataei, Behrooz; Nokhodian, Zary; Yaran, Majid</t>
  </si>
  <si>
    <t xml:space="preserve">Surveillance of acute respiratory infections among outpatients: A pilot study in Isfahan city</t>
  </si>
  <si>
    <t xml:space="preserve">JOURNAL OF RESEARCH IN MEDICAL SCIENCES</t>
  </si>
  <si>
    <t xml:space="preserve">Acute respiratory tract infection; multiplex polymerase chain reaction; surveillance</t>
  </si>
  <si>
    <t xml:space="preserve">REAL-TIME PCR; REVERSE TRANSCRIPTION-PCR; TRACT INFECTIONS; SYNCYTIAL-VIRUS; INFLUENZA-VIRUS; MULTIPLEX PCR; PICORNAVIRUS INFECTIONS; HUMAN METAPNEUMOVIRUS; VIRAL-INFECTIONS; KOREAN CHILDREN</t>
  </si>
  <si>
    <t xml:space="preserve">Background: Considering that there was not any regional survey in Isfahan, Iran regarding the epidemiology of acute respiratory tract infections (ARTI) in different age groups of general population, the aim of this study was to determine the epidemiologic feature of ARTIs in Isfahan using multiplex polymerase chain reaction (PCR) method. Materials and Methods: In this cross-sectional study, patients aged &lt; 80 years with symptoms of ARTI were studied, during 2009-2010 Nasopharyngeal and dry throat swab specimens were collected and pathogens of ARTI was determined using multiplex real-time PCR. Results: In this study, 455 cases with ARTI were studied. Mean age of studied population was 29.9 +/- 18.5 (range: 0.2-80). Symptoms such as sore throat (86.3%), coryza (68.0%) and dry cough (54.3%) were the most common symptoms in all studied groups, whereas fever was the most clinical presentation of younger patients (&lt; 15 years old) and headache and skeletal pain were the most common symptoms of older patients (&gt; 15 years old). Rhinovirus was the most common cause of ARTI in patients aged &lt; 5 years and those aged &gt; 50 years. Influenza virus B was the most common cause of ARTI in patients aged 5-50 years. Conclusion: Our study provides baseline information on the epidemiologic and clinical feature of outpatients with ARTIs in Isfahan city. Though our findings in this pilot study could be helpful in diagnosis, treatment, and prevention of ARTI, planning preventive interventional.</t>
  </si>
  <si>
    <t xml:space="preserve">[Javadi, Abbasali] Isfahan Univ Med Sci, Nosocomial Infect Res Ctr, Esfahan, Iran; [Adibi, Peyman] Isfahan Univ Med Sci, Integrat Funct Gastroenterol Res Ctr, Dept Gastroenterol, Esfahan, Iran; [Ataei, Behrooz; Nokhodian, Zary] Isfahan Univ Med Sci, Infect Dis &amp; Trop Med Res Ctr, Esfahan, Iran; [Yaran, Majid] Isfahan Univ Med Sci, Acquired Immunodeficiency Res Ctr, Esfahan, Iran</t>
  </si>
  <si>
    <t xml:space="preserve">Isfahan University of Medical Sciences; Isfahan University of Medical Sciences; Isfahan University of Medical Sciences; Isfahan University of Medical Sciences</t>
  </si>
  <si>
    <t xml:space="preserve">Ataei, B (corresponding author), Isfahan Univ Med Sci, Infect Dis &amp; Trop Med Res Ctr, Esfahan, Iran.</t>
  </si>
  <si>
    <t xml:space="preserve">ataei@med.mui.ac.ir</t>
  </si>
  <si>
    <t xml:space="preserve">javadi, abbasali/C-5663-2018; Adibi Sedeh, Peyman/AAJ-4582-2020</t>
  </si>
  <si>
    <t xml:space="preserve">javadi, abasali/0000-0002-2593-7604; Adibi Sedeh, Peyman/0000-0001-6411-5235</t>
  </si>
  <si>
    <t xml:space="preserve">Research Council of Isfahan University of Medical Sciences [188038]</t>
  </si>
  <si>
    <t xml:space="preserve">Research Council of Isfahan University of Medical Sciences(Isfahan University of Medical Sciences)</t>
  </si>
  <si>
    <t xml:space="preserve">The authors thank Research Council of Isfahan University of Medical Sciences for providing financial support for this study (Project Number: 188038). We wish to thank Dr. Afshar for his help.</t>
  </si>
  <si>
    <t xml:space="preserve">1735-1995</t>
  </si>
  <si>
    <t xml:space="preserve">1735-7136</t>
  </si>
  <si>
    <t xml:space="preserve">J RES MED SCI</t>
  </si>
  <si>
    <t xml:space="preserve">J. Res. Med. Sci.</t>
  </si>
  <si>
    <t xml:space="preserve">CL9AC</t>
  </si>
  <si>
    <t xml:space="preserve">WOS:000357265300002</t>
  </si>
  <si>
    <t xml:space="preserve">Bonroy, C; Vankeerberghen, A; Boel, A; De Beenhouwer, H</t>
  </si>
  <si>
    <t xml:space="preserve">Bonroy, C.; Vankeerberghen, A.; Boel, A.; De Beenhouwer, H.</t>
  </si>
  <si>
    <t xml:space="preserve">Use of a multiplex real-time PCR to study the incidence of human metapneumovirus and human respiratory syncytial virus infections during two winter seasons in a Belgian paediatric hospital</t>
  </si>
  <si>
    <t xml:space="preserve">acute respiratory tract infection; antigen testing; children; human metapneumovirus; human respiratory syncytial virus; real-time PCR</t>
  </si>
  <si>
    <t xml:space="preserve">REVERSE-TRANSCRIPTASE PCR; TRACT INFECTIONS; FRENCH CHILDREN; YOUNG-CHILDREN; SEROPREVALENCE; BRONCHIOLITIS; PNEUMONIA; INFANTS; DISEASE; AGE</t>
  </si>
  <si>
    <t xml:space="preserve">Viruses are an important cause of acute respiratory tract infection (ARTI) in children. This study aimed to develop and evaluate a rapid molecular diagnostic test (duplex real-time PCR) for human respiratory syncytial virus (hRSV) and human metapneumovirus (hMPV), and to determine the frequency of these two viruses as causative agents of ARTI in Belgium. Nasopharyngeal aspirates were collected over two winter and spring seasons (November 2003 to May 2004 and November 2004 to May 2005) from children aged &lt; 5 years with ARTI (n = 778). The duplex real-time PCR showed a linear range of 10(4)-10(10) copies/mL for both hMPV and hRSV. Analysis of the stability of the hRSV and hMPV genomes revealed that nasopharyngeal aspirates could be stored at room temperature for up to 1 month without significant loss of detection. hRSV was detected by antigen testing and by real-time PCR; hMPV was detected by real-time PCR only. The hRSV antigen test was less sensitive than PCR, and failed to detect one-third of the hRSV infections. Overall, 54 (6.9%) and 306 (39.3%) of the 778 samples were positive for hMPV and hRSV, respectively. Both viruses infected young infants, but the mean age of infants infected by hRSV was lower than that of infants infected by hMPV (12 months vs. 17 months, respectively).</t>
  </si>
  <si>
    <t xml:space="preserve">Onze Lieve Vrouw Hosp, Microbiol Lab, B-9300 Aalst, Belgium</t>
  </si>
  <si>
    <t xml:space="preserve">De Beenhouwer, H (corresponding author), Onze Lieve Vrouw Hosp, Microbiol Lab, Moorselbaan 164, B-9300 Aalst, Belgium.</t>
  </si>
  <si>
    <t xml:space="preserve">Hans.De.Beenhouwer@olvz-aalst.be</t>
  </si>
  <si>
    <t xml:space="preserve">Bonroy, Carolien/0000-0002-9170-4200</t>
  </si>
  <si>
    <t xml:space="preserve">10.1111/j.1469-0691.2007.01682.x</t>
  </si>
  <si>
    <t xml:space="preserve">152XT</t>
  </si>
  <si>
    <t xml:space="preserve">WOS:000245396300007</t>
  </si>
  <si>
    <t xml:space="preserve">Harada, Y; Kinoshita, F; Yoshida, LM; Minh, LN; Suzuki, M; Morimoto, K; Toku, Y; Tomimasu, K; Moriuchi, H; Ariyoshi, K</t>
  </si>
  <si>
    <t xml:space="preserve">Harada, Yoshitaka; Kinoshita, Fumiko; Yoshida, Lay Myint; Le Nhat Minh; Suzuki, Motoi; Morimoto, Konosuke; Toku, Yuichirou; Tomimasu, Kunio; Moriuchi, Hiroyuki; Ariyoshi, Koya</t>
  </si>
  <si>
    <t xml:space="preserve">Does Respiratory Virus Coinfection Increases the Clinical Severity of Acute Respiratory Infection Among Children Infected With Respiratory Syncytial Virus?</t>
  </si>
  <si>
    <t xml:space="preserve">acute respiratory infections; viral coinfection; respiratory virus; respiratory syncytial virus; reverse transcription-polymerase chain reaction</t>
  </si>
  <si>
    <t xml:space="preserve">HUMAN METAPNEUMOVIRUS; CORONAVIRUS INFECTIONS; HOSPITALIZED INFANTS; SEVERE BRONCHIOLITIS; DISEASE SEVERITY; YOUNG-CHILDREN; HONG-KONG; IMPACT; COMMUNITY; MULTIPLE</t>
  </si>
  <si>
    <t xml:space="preserve">Background: Respiratory syncytial virus (RSV) is a leading cause of acute lower respiratory infection in children less than 5 years of age. The impact of non-RSV respiratory virus coinfection on the severity of RSV disease is unknown. Methods: This hospital-based prospective study was conducted in Nagasaki, Japan, on all children less than 5 years of age with acute respiratory infection (ARI) who had undergone a rapid RSV diagnostic test between April 2009 and March 2010. Thirteen respiratory viruses were identified from nasopharyngeal swab samples using a multiplex polymerase chain reaction; polymerase chain reaction-positive samples were considered as confirmed respiratory virus infections. The cases were classified into 3 categories (pneumonia, moderate-to-severe nonpneumonic ARI and mild ARI) according to the findings of the chest radiograph and the hospitalization records. Results: Among 384 cases enrolled, 371 were eligible for analysis, of whom 85 (23%) were classified as pneumonia cases; 137 (37%) as moderate-to-severe nonpneumonic ARI cases and 162 (40%) as mild ARI cases. RSV was detected in 172 cases (61.6%), and 31 cases (18.0%) had double or triple infections with other respiratory viruses. RSV infection was more frequently observed in pneumonia cases (odds ratio [OR]: 2.3; 95% confidence interval [CI]: 1.31-3.9) and moderate-to-severe nonpneumonic ARI cases (OR: 2.95; 95% CI: 1.82-4.78) than in mild ARI cases. The association with moderate-to-severe nonpneumonic ARI cases was stronger with RSV/non-RSV respiratory virus coinfection (adjusted OR: 4.91; 95% CI: 1.9-12.7) than with RSV single infection (adjusted OR: 2.77; 95% CI: 1.64-4.7). Conclusions: Non-RSV respiratory virus coinfection is not uncommon in RSV-infected children and may increase the severity of RSV disease.</t>
  </si>
  <si>
    <t xml:space="preserve">[Harada, Yoshitaka; Yoshida, Lay Myint; Le Nhat Minh; Suzuki, Motoi; Morimoto, Konosuke; Ariyoshi, Koya] Nagasaki Univ, Dept Clin Med, Inst Trop Med, Sakamoto, Nagasaki, Japan; [Kinoshita, Fumiko; Toku, Yuichirou; Tomimasu, Kunio] Nagasaki Municipal Hosp, Dept Pediat, Shinchi, Nagasaki, Japan; [Moriuchi, Hiroyuki] Nagasaki Univ, Sch Med, Dept Pediat, Sakamoto, Nagasaki, Japan</t>
  </si>
  <si>
    <t xml:space="preserve">Nagasaki University; Nagasaki University</t>
  </si>
  <si>
    <t xml:space="preserve">Ariyoshi, K (corresponding author), Nagasaki Univ, Dept Clin Med, Inst Trop Med, Sakamoto 1-12-4, Nagasaki 8528523, Japan.</t>
  </si>
  <si>
    <t xml:space="preserve">kari@nagasaki-u.ac.jp</t>
  </si>
  <si>
    <t xml:space="preserve">YOSHIDA, LAYMYINT/0000-0002-7567-3248; Suzuki, Motoi/0000-0002-8340-0880</t>
  </si>
  <si>
    <t xml:space="preserve">Japan Science and Technology Agency; Japan Society for the Promotion of Science</t>
  </si>
  <si>
    <t xml:space="preserve">Japan Science and Technology Agency(Japan Science &amp; Technology Agency (JST)); Japan Society for the Promotion of Science(Ministry of Education, Culture, Sports, Science and Technology, Japan (MEXT)Japan Society for the Promotion of Science)</t>
  </si>
  <si>
    <t xml:space="preserve">This study was funded by the Japan Science and Technology Agency and the Grants-in-Aid for Scientific Research (Japan Society for the Promotion of Science). The funding sources did not have any role in conducting the study. The authors have no other funding or conflicts of interest to disclose.</t>
  </si>
  <si>
    <t xml:space="preserve">10.1097/INF.0b013e31828ba08c</t>
  </si>
  <si>
    <t xml:space="preserve">WOS:000318684400010</t>
  </si>
  <si>
    <t xml:space="preserve">Kim, JM; Jung, HD; Cheong, HM; Lee, A; Lee, NJ; Chu, H; Lee, JY; Kim, SS; Choi, JH</t>
  </si>
  <si>
    <t xml:space="preserve">Kim, Jeong-Min; Jung, Hee-Dong; Cheong, Hyang-Min; Lee, Anna; Lee, Nam-Joo; Chu, Hyuk; Lee, Joo-Yeon; Kim, Sung Soon; Choi, Jang-Hoon</t>
  </si>
  <si>
    <t xml:space="preserve">Nation-wide surveillance of human acute respiratory virus infections between 2013 and 2015 in Korea</t>
  </si>
  <si>
    <t xml:space="preserve">acute respiratory infections; respiratory viruses; surveillance</t>
  </si>
  <si>
    <t xml:space="preserve">HUMAN CORONAVIRUS NL63; TRACT INFECTIONS; HUMAN BOCAVIRUS; CHILDREN; IDENTIFICATION; RHINOVIRUS; PNEUMONIA; INFANTS</t>
  </si>
  <si>
    <t xml:space="preserve">The prevalence of eight respiratory viruses detected in patients with acute respiratory infections (ARIs) in Korea was investigated through analysis of data recorded by the Korea Influenza and Respiratory Viruses Surveillance System (KINRESS) from 2013 to 2015. Nasal aspirate and throat swabs specimens were collected from 36 915 patients with ARIs, and viral nucleic acids were detected by real-time (reverse-transcription) polymerase chain reaction for eight respiratory viruses, including human respiratory syncytial viruses (HRSVs), influenza viruses (IFVs), human parainfluenza viruses (HPIVs), human coronaviruses (HCoVs), human rhinovirus (HRV), human adenovirus (HAdV), human bocavirus (HBoV), and human metapneumovirus (HMPV). The overall positive rate of patient specimens was 49.4% (18 236/36 915), 5% of which carried two or more viruses simultaneously. HRV (15.6%) was the most predominantly detected virus, followed by IFVs (14.6%), HAdV (7.5%), HPIVs (5.8%), HCoVs (4.2%), HRSVs (3.6%), HBoV (1.9%), and HMPV (1.6%). Most of the ARIs were significantly correlated with clinical symptoms of fever, cough, and runny nose. Although HRV and HAdV were frequently detected throughout the year in patients, other respiratory viruses showed apparent seasonality. HRSVs and IFVs were the major causative agents of acute respiratory diseases in infants and young children. Overall, this study demonstrates a meaningful relationship between viral infection and typical manifestations of known clinical features as well as seasonality, age distribution, and co-infection among respiratory viruses. Therefore, these data could provide useful information for public health management and to enhance patient care for primary clinicians.</t>
  </si>
  <si>
    <t xml:space="preserve">[Kim, Jeong-Min; Lee, Joo-Yeon] Div Emerging Infect Dis &amp; Vector Res, Cheongju, South Korea; [Jung, Hee-Dong] Korea Ctr Dis Control &amp; Prevent, Korea Natl Inst Hlth, Div Res Planning, Cheongju, Chungcheongbuk, South Korea; [Lee, Anna; Lee, Nam-Joo] Korea Ctr Dis Control &amp; Prevent, Div Viral Dis, Ctr Lab Control Infect Dis, Cheongju, Chungcheongbuk, South Korea; [Choi, Jang-Hoon] Korea Ctr Dis Control &amp; Prevent, Korea Natl Inst Hlth, Ctr Infect Dis Res, Viral Dis Res, 187 Osongsaengmyeong2 I Ro, Cheongju 28159, Chungcheongbuk, South Korea</t>
  </si>
  <si>
    <t xml:space="preserve">Korea Disease Control &amp; Prevention Agency (KDCA); Korea National Institute of Health (KNIH); Korea Disease Control &amp; Prevention Agency (KDCA); Korea Disease Control &amp; Prevention Agency (KDCA); Korea National Institute of Health (KNIH)</t>
  </si>
  <si>
    <t xml:space="preserve">Choi, JH (corresponding author), Korea Ctr Dis Control &amp; Prevent, Korea Natl Inst Hlth, Ctr Infect Dis Res, Viral Dis Res, 187 Osongsaengmyeong2 I Ro, Cheongju 28159, Chungcheongbuk, South Korea.</t>
  </si>
  <si>
    <t xml:space="preserve">jhchoi@nih.go.kr</t>
  </si>
  <si>
    <t xml:space="preserve">KIM, JONG-IL/D-1019-2011; Kim, Jong Wook/HTP-6808-2023; KIM, JUSANG/AAB-3748-2019</t>
  </si>
  <si>
    <t xml:space="preserve">Korea Centers for Disease Control Prevention [4851-304-210-13]</t>
  </si>
  <si>
    <t xml:space="preserve">Korea Centers for Disease Control Prevention</t>
  </si>
  <si>
    <t xml:space="preserve">Korea Centers for Disease Control &amp; Prevention, Grant number: 4851-304-210-13</t>
  </si>
  <si>
    <t xml:space="preserve">10.1002/jmv.25069</t>
  </si>
  <si>
    <t xml:space="preserve">GH6VX</t>
  </si>
  <si>
    <t xml:space="preserve">WOS:000433583300001</t>
  </si>
  <si>
    <t xml:space="preserve">Díaz-Chiguer, DL; Tirado-Mendoza, R; Márquez-Navarro, A; Ambrosio-Hernandez, JR; Ruiz-Fraga, I; Aguilar-Vargas, RE; Lira-Martínez, JM; López-Valdés, JC</t>
  </si>
  <si>
    <t xml:space="preserve">Lucia Diaz-Chiguer, Dylan; Tirado-Mendoza, Rocio; Marquez-Navarro, Adrian; Rolando Ambrosio-Hernandez, Javier; Ruiz-Fraga, Ismael; Ezequiel Aguilar-Vargas, Ricardo; Manuel Lira-Martinez, Jose; Cesar Lopez-Valdes, Julio</t>
  </si>
  <si>
    <t xml:space="preserve">Detection and molecular characterization of respiratory viruses that cause acute respiratory infection in the adult population</t>
  </si>
  <si>
    <t xml:space="preserve">Acute respiratory infections; Respiratory viruses; Molecular diagnosis</t>
  </si>
  <si>
    <t xml:space="preserve">Introduction: Acute respiratory infections are one of the main causes of morbidity and mortality in older adults and patients with chronic diseases. Among the responsible etiological agents are human respiratory viruses, such as: respiratory syncytial virus, parainfluenza virus and metapneumovirus. Objective: To carry out a differential diagnostic study of respiratory viruses circulating and co-circulating in an adult population. Methods: A pilot study was conducted in patients older than 18 years, who presented signs and symptoms suggestive of acute respiratory infection and whose clinical picture did not exceed 15 days of evolution; end-point polymerase chain reaction assays were performed with the use of specific oligonucleotides for molecular diagnosis. Results: 72 specimens of patients with an age of 51.33 +/- 19.33 years, with a predominance of females (4.5:1); original inhabitants of Mexico City; only 22 were positive for respiratory viruses, being mostly metapneumovirus infections. Conclusions: The knowledge of the circulating viral strains in the population will allow to determine changes that can declare an epidemiological alert leading to the best decision making for the benefit of the patients.</t>
  </si>
  <si>
    <t xml:space="preserve">[Lucia Diaz-Chiguer, Dylan; Ruiz-Fraga, Ismael; Ezequiel Aguilar-Vargas, Ricardo] Inst Seguridad &amp; Serv Sociales Trabajadores Estad, Med Directorate, Mexico City, DF, Mexico; [Tirado-Mendoza, Rocio; Rolando Ambrosio-Hernandez, Javier; Manuel Lira-Martinez, Jose] UNAM Med, Dept Microbiol &amp; Parasitol, Mexico City, DF, Mexico; [Marquez-Navarro, Adrian] Comis Fed Protecc Riesgos Sanit, Dept New &amp; Gener Drugs, Mexico City, DF, Mexico; [Cesar Lopez-Valdes, Julio] Univ Autonoma Tamaulipas Dr Alberto Romo Caballer, Fac Med Tamp, Tampico, Tamaulipas, Mexico</t>
  </si>
  <si>
    <t xml:space="preserve">Díaz-Chiguer, DL (corresponding author), Inst Seguridad &amp; Serv Sociales Trabajadores Estad, Med Directorate, Mexico City, DF, Mexico.</t>
  </si>
  <si>
    <t xml:space="preserve">dra.dylandiaz@outlook.com</t>
  </si>
  <si>
    <t xml:space="preserve">López-Valdés, Julio/AAN-8476-2020</t>
  </si>
  <si>
    <t xml:space="preserve">Lopez-Valdes, Julio Cesar/0000-0001-6238-0027; MARQUEZ NAVARRO, Dr. en C. ADRIAN/0000-0003-1276-4553</t>
  </si>
  <si>
    <t xml:space="preserve">Health Research and Technological Development program [ISSSTE E015]; DGAPA-UNAM [IN224316, PE211115]</t>
  </si>
  <si>
    <t xml:space="preserve">Health Research and Technological Development program; DGAPA-UNAM(Universidad Nacional Autonoma de Mexico)</t>
  </si>
  <si>
    <t xml:space="preserve">The present research work was supported by the ISSSTE E015 Health Research and Technological Development program and DGAPA-UNAM IN224316 and PE211115. The authors thank Dr. Jose Vicente Rosas Barrientos for his scientific advice, as well as B. Pharm. Karla Zarate Conde, Maria Jose Chavez Barajas, Daniel Alejandro Perez Ayala and Ilse Joana Camacho Aguilar for their technical support.</t>
  </si>
  <si>
    <t xml:space="preserve">S7</t>
  </si>
  <si>
    <t xml:space="preserve">S12</t>
  </si>
  <si>
    <t xml:space="preserve">10.24875/GMM.M19000282</t>
  </si>
  <si>
    <t xml:space="preserve">JU6KT</t>
  </si>
  <si>
    <t xml:space="preserve">WOS:000501784100003</t>
  </si>
  <si>
    <t xml:space="preserve">Carvalho, LM; de Paula, FE; Silvestre, RVD; Roberti, LR; Arruda, E; Mello, WA; Ferriani, VPL</t>
  </si>
  <si>
    <t xml:space="preserve">Carvalho, Luciana M.; de Paula, Flavia E.; Silvestre, Rodrigo V. D.; Roberti, Luciana R.; Arruda, Eurico; Mello, Wyller A.; Ferriani, Virginia P. L.</t>
  </si>
  <si>
    <t xml:space="preserve">Prospective surveillance study of acute respiratory infections, influenza-like illness and seasonal influenza vaccine in a cohort of juvenile idiopathic arthritis patients</t>
  </si>
  <si>
    <t xml:space="preserve">PEDIATRIC RHEUMATOLOGY</t>
  </si>
  <si>
    <t xml:space="preserve">Acute respiratory infections; Respiratory viruses; Influenza-like illness; Influenza vaccine; Juvenile idiopathic arthritis</t>
  </si>
  <si>
    <t xml:space="preserve">REAL-TIME PCR; PRELIMINARY DEFINITION; HUMAN METAPNEUMOVIRUS; VIRAL-INFECTIONS; VIRUS-INFECTIONS; YOUNG-CHILDREN; DIAGNOSIS; EPIDEMIOLOGY; IMMUNIZATION; DISEASE</t>
  </si>
  <si>
    <t xml:space="preserve">Background: Acute respiratory infections (ARI) are frequent in children and complications can occur in patients with chronic diseases. We evaluated the frequency and impact of ARI and influenza-like illness (ILI) episodes on disease activity, and the immunogenicity and safety of influenza vaccine in a cohort of juvenile idiopathic arthritis (JIA) patients. Methods: Surveillance of respiratory viruses was conducted in JIA patients during ARI season (March to August) in two consecutive years: 2007 (61 patients) and 2008 (63 patients). Patients with ARI or ILI had respiratory samples collected for virus detection by real time PCR. In 2008, 44 patients were immunized with influenza vaccine. JIA activity index (ACRPed30) was assessed during both surveillance periods. Influenza hemagglutination inhibition antibody titers were measured before and 30-40 days after vaccination. Results: During the study period 105 ARI episodes were reported and 26.6% of them were ILI. Of 33 samples collected, 60% were positive for at least one virus. Influenza and rhinovirus were the most frequently detected, in 30% of the samples. Of the 50 JIA flares observed, 20% were temporally associated to ARI. Influenza seroprotection rates were higher than 70% (91-100%) for all strains, and seroconversion rates exceeded 40% (74-93%). In general, response to influenza vaccine was not influenced by therapy or disease activity, but patients using anti-TNF alpha drugs presented lower seroconversion to H1N1 strain. No significant differences were found in ACRPed30 after vaccination and no patient reported ILI for 6 months after vaccination. Conclusion: ARI episodes are relatively frequent in JIA patients and may have a role triggering JIA flares. Trivalent split influenza vaccine seems to be immunogenic and safe in JIA patients.</t>
  </si>
  <si>
    <t xml:space="preserve">[Carvalho, Luciana M.; Roberti, Luciana R.; Ferriani, Virginia P. L.] Univ Sao Paulo, Sch Med Ribeirao Preto, Dept Pediat, BR-14049900 Ribeirao Preto, Brazil; [de Paula, Flavia E.; Arruda, Eurico] Univ Sao Paulo, Sch Med Ribeirao Preto, Dept Cell Biol, BR-14049900 Ribeirao Preto, Brazil; [Silvestre, Rodrigo V. D.; Mello, Wyller A.] WHO Natl Influenza Ctr, Evandro Chagas Inst, BR-67030000 Ananindeua, Brazil</t>
  </si>
  <si>
    <t xml:space="preserve">Universidade de Sao Paulo; Universidade Federal de Sao Paulo (UNIFESP); Universidade de Sao Paulo; Instituto Evandro Chagas</t>
  </si>
  <si>
    <t xml:space="preserve">Carvalho, LM (corresponding author), Univ Sao Paulo, Sch Med Ribeirao Preto, Dept Pediat, Ave Bandeirantes 3900,S-N Campus Univ Vila Monte, BR-14049900 Ribeirao Preto, Brazil.</t>
  </si>
  <si>
    <t xml:space="preserve">lucianamc@netsite.com.br</t>
  </si>
  <si>
    <t xml:space="preserve">Ferriani, Virginia/E-2209-2012; Arruda, Eurico/E-4101-2012; Carvalho, Luciana/AAP-4730-2020</t>
  </si>
  <si>
    <t xml:space="preserve">Carvalho, Luciana/0000-0002-0114-2735</t>
  </si>
  <si>
    <t xml:space="preserve">Conselho Nacional de Desenvolvimento Cientifico e Tecnologico [CNPQ 308101/2003]; Coordenacao de Aperfeicoamento de Pessoal de Nivel Superior [CAPES 56/2007-5]; Fundacao de Apoio ao Ensino, Pesquisa e Assistencia do Hospital das Clinicas da Faculdade de Medicina de Ribeirao Preto da Universidade de Sao Paulo [FAEPA 2534/2008]</t>
  </si>
  <si>
    <t xml:space="preserve">Conselho Nacional de Desenvolvimento Cientifico e Tecnologico(Conselho Nacional de Desenvolvimento Cientifico e Tecnologico (CNPQ)); Coordenacao de Aperfeicoamento de Pessoal de Nivel Superior(Coordenacao de Aperfeicoamento de Pessoal de Nivel Superior (CAPES)); Fundacao de Apoio ao Ensino, Pesquisa e Assistencia do Hospital das Clinicas da Faculdade de Medicina de Ribeirao Preto da Universidade de Sao Paulo</t>
  </si>
  <si>
    <t xml:space="preserve">This work was supported by grants from Conselho Nacional de Desenvolvimento Cientifico e Tecnologico (CNPQ 308101/2003 to Dr. Ferriani), Coordenacao de Aperfeicoamento de Pessoal de Nivel Superior (CAPES 56/2007-5 to Dr Carvalho) and Fundacao de Apoio ao Ensino, Pesquisa e Assistencia do Hospital das Clinicas da Faculdade de Medicina de Ribeirao Preto da Universidade de Sao Paulo (FAEPA 2534/2008 to Dr Carvalho).</t>
  </si>
  <si>
    <t xml:space="preserve">1546-0096</t>
  </si>
  <si>
    <t xml:space="preserve">PEDIATR RHEUMATOL</t>
  </si>
  <si>
    <t xml:space="preserve">Pediatr. Rheumatol.</t>
  </si>
  <si>
    <t xml:space="preserve">MAR 7</t>
  </si>
  <si>
    <t xml:space="preserve">10.1186/1546-0096-11-10</t>
  </si>
  <si>
    <t xml:space="preserve">Pediatrics; Rheumatology</t>
  </si>
  <si>
    <t xml:space="preserve">109FR</t>
  </si>
  <si>
    <t xml:space="preserve">WOS:000316352300001</t>
  </si>
  <si>
    <t xml:space="preserve">Kaplan, NM; Dove, W; Abd-Eldayem, SA; Abu-Zeid, AF; Shamoon, HE; Hart, CA</t>
  </si>
  <si>
    <t xml:space="preserve">Kaplan, Nasser M.; Dove, Winifred; Abd-Eldayem, Sawsan A.; Abu-Zeid, Ahmad F.; Shamoon, Hiyani E.; Hart, C. Anthony</t>
  </si>
  <si>
    <t xml:space="preserve">Molecular epidemiology and disease severity of respiratory syncytial virus in relation to other potential pathogens in children hospitalized with acute respiratory infection in Jordan</t>
  </si>
  <si>
    <t xml:space="preserve">acute respiratory infections; respiratory syncytial virus; molecular epidemiology; disease severity; children; Jordan</t>
  </si>
  <si>
    <t xml:space="preserve">HUMAN METAPNEUMOVIRUS; TRACT INFECTIONS; HUMAN BOCAVIRUS; SUBGROUP-A; CLINICAL CHARACTERISTICS; RAPID IDENTIFICATION; CIRCULATION PATTERNS; BRONCHIOLITIS; ASSOCIATION; INFANTS</t>
  </si>
  <si>
    <t xml:space="preserve">Human respiratory syncytial virus (HRSV) is the major viral cause of acute lower respiratory tract infections in children. Few data about the molecular epidemiology of respiratory syncytial virus in developing countries, such as Jordan, are available. The frequency and severity of infections caused by HRSV were assessed in hospitalized Jordanian children &lt; 5 years of age compared with other potential etiological agents. Overall a potential pathogen was detected in 78% (254/326) of the children. HRSV was detected in 43% (140/326) of the nasopharyngeal aspirates. HRSV was found more frequently during the winter (January/February), being less frequent or negligible by spring (March/April). Analysis of 135 HRSV-positive strains using restriction fragment length polymorphism showed that 94 (70%) belonged to subgroup A, and 41 (30%) to subgroup B. There were also two cases of mixed genotypic infection. Only four of the six previously described N genotypes were detected with NP4 predominating. There were no associations between subgroup or N-genogroup and disease severity. HRSV was significantly associated with more severe acute respiratory infection and the median age of children with HRSV was lower than for those without. Next in order of frequency were adenovirus (116/312: 37%), human bocavirus (57/312:18%), rhinovirus (36/325: 11%), Chlamydia spp. (14/312: 4.5%), human metapneumovirus (8/326: 2.5%), human coronavirus NL63 (4/325:1.2%), and influenza A virus (2/323: 0.6%). Influenza B; parainfluenza viruses 1-4, human coronavirus HKU1 and Mycoplasma pneumoniae were not detected.</t>
  </si>
  <si>
    <t xml:space="preserve">Dept Med Microbiol, Liverpool L69 3GA, Merseyside, England; King Hussein Med Ctr, Dept Microbiol, Amman, Jordan; Univ Liverpool, Dept Med Microbiol, Liverpool L69 3BX, Merseyside, England; King Hussein Med Ctr, Dept Pediat, Amman, Jordan</t>
  </si>
  <si>
    <t xml:space="preserve">University of Liverpool</t>
  </si>
  <si>
    <t xml:space="preserve">Dove, W (corresponding author), Dept Med Microbiol, 8th Floor,Duncan Bldg,Daulby St, Liverpool L69 3GA, Merseyside, England.</t>
  </si>
  <si>
    <t xml:space="preserve">h.c.kelly@liverpool.ac.uk</t>
  </si>
  <si>
    <t xml:space="preserve">10.1002/jmv.21067</t>
  </si>
  <si>
    <t xml:space="preserve">WOS:000251335900022</t>
  </si>
  <si>
    <t xml:space="preserve">Halaji, M; Hashempour, T; Moayedi, J; Pouladfar, GR; Khansarinejad, B; Khashei, R; Moattari, A; Musavi, Z; Ghassabi, F; Pirbonyeh, N</t>
  </si>
  <si>
    <t xml:space="preserve">Halaji, Mehrdad; Hashempour, Tayebeh; Moayedi, Javad; Pouladfar, Gholam Reza; Khansarinejad, Behzad; Khashei, Reza; Moattari, Afagh; Musavi, Zahra; Ghassabi, Farzaneh; Pirbonyeh, Neda</t>
  </si>
  <si>
    <t xml:space="preserve">Viral etiology of acute respiratory infections in children in Southern Iran</t>
  </si>
  <si>
    <t xml:space="preserve">Acute respiratory infections; Respiratory syncytial virus; Influenza A virus; Human metapneumovirus; Real-time polymerase chain reaction</t>
  </si>
  <si>
    <t xml:space="preserve">SYNCYTIAL VIRUS; HUMAN METAPNEUMOVIRUS; TRACT INFECTIONS</t>
  </si>
  <si>
    <t xml:space="preserve">Introduction: Prevalence of influenza A virus (Flu-A), respiratory syncytial virus (RSV), and human metapneumovirus (hMPV) w as assessed in children with acute respiratory infections (ARIs). Methods: Nasopharyngeal aspirates and throat swabs were subjected to real-time polymerase chain reaction (PCR) to detect RSV and Flu-A and to conventional PCR to detect hMPV. Results: Of the 156 children assessed, 93 (59.6%) carried at least one virus, with 35.9% positive for RSV. 14.1% for hMPV, and 9.6% for Flu-A. The prevalence of co-infections was 2.6%. Conclusions: The high detection rate may reflect increased sensitivity of real-time PCR compared to traditional PCR and viral culture.</t>
  </si>
  <si>
    <t xml:space="preserve">[Halaji, Mehrdad; Hashempour, Tayebeh; Moayedi, Javad; Pouladfar, Gholam Reza; Musavi, Zahra; Ghassabi, Farzaneh] Shiraz Univ Med Sci, Nemazee Teaching Hosp, Clin Microbiol Res Ctr, Shiraz, Iran; [Khansarinejad, Behzad] Arak Univ Med Sci, Dept Microbiol &amp; Immunol, Arak, Iran; [Khashei, Reza; Moattari, Afagh; Pirbonyeh, Neda] Shiraz Univ Med Sci, Sch Med, Dept Bacteriol &amp; Virol, Shiraz, Iran</t>
  </si>
  <si>
    <t xml:space="preserve">Hashempour, T (corresponding author), Shiraz Univ Med Sci, Nemazee Teaching Hosp, Clin Microbiol Res Ctr, Shiraz, Iran.</t>
  </si>
  <si>
    <t xml:space="preserve">thashem@sums.ac.ir</t>
  </si>
  <si>
    <t xml:space="preserve">Moattari, Afagh/U-8143-2017; Khashei, Reza/U-6891-2017; Halaji, Mehrdad/AAW-5605-2020; Pouladfar, Gholamreza/Q-4347-2017; Hashempour, Ava/U-4040-2017</t>
  </si>
  <si>
    <t xml:space="preserve">Moattari, Afagh/0000-0003-4394-9622; Pouladfar, Gholamreza/0000-0001-8676-4607; Hashempour, Ava/0000-0002-5249-209X; Pirbonyeh, Neda/0000-0001-5700-3913; Khashei, Reza/0000-0003-2413-2078</t>
  </si>
  <si>
    <t xml:space="preserve">Clinical Microbiology Research Center [93-4]</t>
  </si>
  <si>
    <t xml:space="preserve">Clinical Microbiology Research Center</t>
  </si>
  <si>
    <t xml:space="preserve">This study was supported by the Clinical Microbiology Research Center (Grant No. 93-4).</t>
  </si>
  <si>
    <t xml:space="preserve">UNSP e20180249</t>
  </si>
  <si>
    <t xml:space="preserve">10.1590/0037-8682-0249-2018</t>
  </si>
  <si>
    <t xml:space="preserve">IM5SL</t>
  </si>
  <si>
    <t xml:space="preserve">WOS:000478053500001</t>
  </si>
  <si>
    <t xml:space="preserve">Zhang, GQ; Zhang, Y; Ba, LM; Liu, LP; Su, T; Sun, Y; Dian, Z</t>
  </si>
  <si>
    <t xml:space="preserve">Zhang, Guiqian; Zhang, Yu; Ba, Limei; Liu, Luping; Su, Ting; Sun, Yi; Dian, Ziqin</t>
  </si>
  <si>
    <t xml:space="preserve">Epidemiological changes in respiratory pathogen transmission among children with acute respiratory infections during the COVID-19 pandemic in Kunming, China</t>
  </si>
  <si>
    <t xml:space="preserve">Acute respiratory infections; Respiratory pathogens; Children; Epidemiological change; COVID-19 pandemic</t>
  </si>
  <si>
    <t xml:space="preserve">MYCOPLASMA-PNEUMONIAE; VIRAL-INFECTIONS; INFLUENZA</t>
  </si>
  <si>
    <t xml:space="preserve">Background Acute respiratory infections are a leading cause of morbidity and mortality in children. However, studies on the prevalence of respiratory viruses among children with acute respiratory infections in Kunming, China, are lacking. Therefore, we aimed to investigate the epidemiological characteristics of respiratory pathogens among children with acute respiratory infections in Kunming during the coronavirus disease 2019 pandemic. Methods Nasopharyngeal swab samples were collected from 4956 children with acute respiratory infections at Yunnan Provincial First People's Hospital between January 2020 and December 2022, patients with COVID-19 were excluded from the study. Multiplex reverse transcription polymerase chain reaction was used to detect respiratory pathogens. Results The frequency of respiratory pathogens among children was significantly lower in 2020 than in 2021 and 2022. The following pathogens had the highest prevalence rates (in descending order) from 2020 to 2022: HRV &gt; RSV &gt; PIV &gt; ADV &gt; MP; HRV &gt; RSV &gt; HADV &gt; PIV &gt; MP and HRV &gt; Mp &gt; HADV &gt; H3N2 &gt; HMPV. The overall frequency of respiratory pathogens exhibited an inverted U-shape with increasing age among the children. Human bocavirus, human parainfluenza virus, and human respiratory syncytial virus were the dominant respiratory viruses in children aged &lt;= 3 years, whereas Mycoplasma pneumoniae was the dominant respiratory pathogen in children aged &gt; 3 years. HRV has the highest prevalence and is the main pathogen of mixed infection. The prevalence of the influenza A virus has decreased significantly, whereas HRSV and Mp are found to be seasonal. Conclusions Our findings offer an objective evaluation of transmission dynamics and epidemiological shifts in respiratory pathogens during the coronavirus disease 2019 pandemic in Kunming, serving as a basis for informed decision-making, prevention, and treatment strategies.</t>
  </si>
  <si>
    <t xml:space="preserve">[Zhang, Guiqian; Zhang, Yu; Ba, Limei; Liu, Luping; Su, Ting; Sun, Yi; Dian, Ziqin] Kunming Univ Sci &amp; Technol, Peoples Hosp Yunnan Prov 1, Dept Clin Lab, Affiliated Hosp, Kunming, Peoples R China; [Zhang, Guiqian] First Peoples Hosp Yunnan Prov, Yunnan Prov Key Lab Clin Virol, Kunming, Peoples R China</t>
  </si>
  <si>
    <t xml:space="preserve">Kunming University of Science &amp; Technology</t>
  </si>
  <si>
    <t xml:space="preserve">Dian, Z (corresponding author), Kunming Univ Sci &amp; Technol, Peoples Hosp Yunnan Prov 1, Dept Clin Lab, Affiliated Hosp, Kunming, Peoples R China.</t>
  </si>
  <si>
    <t xml:space="preserve">13888253522@139.com</t>
  </si>
  <si>
    <t xml:space="preserve">National Natural Science Foundation of China [82260395]; Yunnan Provincial Department of Science and Technology-Kunming Medical University Applied Fundamental Research Joint Special Fund [202201AY070001-245]; Yunnan Provincial Key Laboratory of Clinical Virology [2023A4010403-05]</t>
  </si>
  <si>
    <t xml:space="preserve">National Natural Science Foundation of China(National Natural Science Foundation of China (NSFC)); Yunnan Provincial Department of Science and Technology-Kunming Medical University Applied Fundamental Research Joint Special Fund; Yunnan Provincial Key Laboratory of Clinical Virology</t>
  </si>
  <si>
    <t xml:space="preserve">This work was supported by the National Natural Science Foundation of China (grant number 82260395); Yunnan Provincial Department of Science and Technology-Kunming Medical University Applied Fundamental Research Joint Special Fund (grant number 202201AY070001-245); Yunnan Provincial Key Laboratory of Clinical Virology (grant number 2023A4010403-05)</t>
  </si>
  <si>
    <t xml:space="preserve">10.1186/s12879-024-09733-y</t>
  </si>
  <si>
    <t xml:space="preserve">C8F5N</t>
  </si>
  <si>
    <t xml:space="preserve">WOS:001291673300001</t>
  </si>
  <si>
    <t xml:space="preserve">Sabharwal, S; Datta, S; Wattal, C; Sachdeva, A</t>
  </si>
  <si>
    <t xml:space="preserve">Sabharwal, Sukriti; Datta, Sanghamitra; Wattal, Chand; Sachdeva, Anil</t>
  </si>
  <si>
    <t xml:space="preserve">A prospective study of prevalence of respiratory viruses causing acute respiratory infection in pediatric in-patients during pre- COVID times</t>
  </si>
  <si>
    <t xml:space="preserve">Acute respiratory infections; Prevalence; Respiratory viruses; Multiplex PCR; Pediatric in-patients</t>
  </si>
  <si>
    <t xml:space="preserve">TRACT INFECTIONS; CHILDREN; PATHOGENS; RAJASTHAN; ETIOLOGY</t>
  </si>
  <si>
    <t xml:space="preserve">Purpose: To find out the prevalence of respiratory viruses causing Acute Respiratory Infection in pediatric inpatients during Pre-COVID times. Methods: Nasal swabs were collected from children in the age group of 1 month -16 years who were admitted at our hospital with Acute Respiratory Infection. Samples were subjected to nucleic acid extraction and Real time polymerase chain reaction to detect 16 RNA viruses and 2 DNA viruses. The results were interpreted in context of most prevalent viruses detected, their seasonal distribution, co-infecting viruses, co-morbidities in patients with effect thereof and use and effect of antibiotics in those positive for viral etiology. Results: Of the 250 children recruited in the study, viral pathogen was detected in 74% cases. RSV was the most common virus detected with 36.2% positivity (92/254) followed by rhino/entero (19.2%, 49/254), PIV 1,2,3,4 (9.4%, 24/254), Influenza A,B,C (8.2%, 21/254), adenovirus &amp; HBoV (6.2%, 16/254), coronavirus HKU1, NL63, OC43, 229E (4.3%, 11/254), H1N1 (4.7%, 12/254) and hMPV (0.7%, 2/254). Co-infection with 2 or more viruses was seen in 34% cases. Among the cases on whom antibiotics were started, they were withdrawn following test results in 42.3% of the cases. Conclusion: The prevalence of viral etiology is high amongst children especially &lt;= 2 years. RSV, rhino/enterovirus, PIV 1,2,3,4 and Influenza virus were more prevalent than others. Rapid, early detection of virus with multiplex PCR will help in early cohorting of the patients thus reducing nosocomial spread of these viruses and prevent injudicious use of antibiotics.</t>
  </si>
  <si>
    <t xml:space="preserve">[Sabharwal, Sukriti; Datta, Sanghamitra; Wattal, Chand] Sir Ganga Ram Hosp, Dept Clin Microbiol, New Delhi, India; [Sachdeva, Anil] Sir Ganga Ram Hosp, Dept Pediat, New Delhi, India</t>
  </si>
  <si>
    <t xml:space="preserve">Wattal, C (corresponding author), Sir Ganga Ram Hosp, New Delhi 110060, India.</t>
  </si>
  <si>
    <t xml:space="preserve">chandwattal@gmail.com</t>
  </si>
  <si>
    <t xml:space="preserve">, Sukriti/0009-0005-4437-1051</t>
  </si>
  <si>
    <t xml:space="preserve">10.1016/j.ijmmb.2021.09.003</t>
  </si>
  <si>
    <t xml:space="preserve">WW0CY</t>
  </si>
  <si>
    <t xml:space="preserve">WOS:000717596200008</t>
  </si>
  <si>
    <t xml:space="preserve">Jroundi, Imane; Mahraoui, Chafiq; Benmessaoud, Rachid; Moraleda, Cinta; Tligui, Houssain; Seffar, Myriam; El Kettani, Salma Ech-Cherif; Benjelloun, Badr Sououd; Chaacho, Saad; Munoz-Almagro, Carmen; Ruiz, Joaquim; Alonso, Pedro L.; Bassat, Quique</t>
  </si>
  <si>
    <t xml:space="preserve">Risk factors for a poor outcome among children admitted with clinically severe pneumonia to a university hospital in Rabat, Morocco</t>
  </si>
  <si>
    <t xml:space="preserve">Acute respiratory infections; Pneumonia; Paediatrics; Risk factors; Prognosis; Morocco</t>
  </si>
  <si>
    <t xml:space="preserve">COMMUNITY-ACQUIRED PNEUMONIA; DEVELOPING-COUNTRIES; SYSTEMATIC ANALYSIS; STREPTOCOCCUS-PNEUMONIAE; RESPIRATORY-INFECTIONS; NATIONAL CAUSES; YOUNG-CHILDREN; MORTALITY; ETIOLOGY; DISEASE</t>
  </si>
  <si>
    <t xml:space="preserve">Objectives: Data on prognostic factors among children with severe pneumonia are scarce in middle-income countries. We investigated prognostic factors for an adverse outcome among children admitted to the Hopital d'Enfants de Rabat, Morocco with World Health Organization-defined clinically severe pneumonia (CSP). Methods: Children aged 2-59 months admitted to the hospital and fulfilling the CSP definition were recruited into this 13-month prospective study. A poor prognosis was defined as death, a need for intensive care, or a Respiratory Index of Severity in Children (RISC) score &gt;= 3. Multivariate logistic regression was performed to ascertain independent predictive factors for a poor prognosis. Results: Of the 689 children included in this analysis, 55 (8.0%) required intensive care and 28 died (4.0%). Five hundred and two (72.8%) children were classified as having a good prognosis and 187 (27.2%) as having a poor prognosis. A history of prematurity (odds ratio (OR) 2.50, 95% confidence interval (CI) 1.24-5.04), of fever (OR 2.25, 95% CI 1.32-3.83), living in a house with smokers (OR 1.79, 95% CI 1.18-2.72), impaired consciousness (OR 10.96, 95% CI 2.88-41.73), cyanosis (OR 2.09, 95% CI 1.05-4.15), pallor (OR 2.27, 95% CI 1.34-3.84), having rhonchi on auscultation (OR 2.45, 95% CI 1.58-3.79), and human metapneumovirus infection (OR 2.13, 95% CI 1.13-4.02) were all independent risk factors for an adverse outcome, whereas a history of asthma (OR 0.46, 95% CI 0.25-0.84) was the only independent risk factor for a positive outcome. Conclusions: The early identification of factors associated with a poor prognosis could improve management strategies and the likelihood of survival of Moroccan children with severe pneumonia. (C) 2014 The Authors. Published by Elsevier Ltd on behalf of International Society for Infectious Diseases. This is an open access article under the CC BY-NC-SA license.</t>
  </si>
  <si>
    <t xml:space="preserve">[Jroundi, Imane; Benmessaoud, Rachid; Moraleda, Cinta; Chaacho, Saad; Ruiz, Joaquim; Alonso, Pedro L.; Bassat, Quique] Univ Barcelona, Hosp Clin, CRESIB, Barcelona Ctr Int Hlth Res, E-08036 Barcelona, Spain; [Jroundi, Imane] ENSP, Rabat, Morocco; [Mahraoui, Chafiq; Tligui, Houssain; Seffar, Myriam; El Kettani, Salma Ech-Cherif; Benjelloun, Badr Sououd] Univ Ibn Sina, Ctr Hosp, HER, Rabat, Morocco; [Mahraoui, Chafiq; Tligui, Houssain; El Kettani, Salma Ech-Cherif; Benjelloun, Badr Sououd] Fac Med &amp; Pharm Rabat, Rabat, Morocco; [Chaacho, Saad] CHU, Rabat, Morocco; [Munoz-Almagro, Carmen] Univ Hosp St Joan Deu, Barcelona, Spain</t>
  </si>
  <si>
    <t xml:space="preserve">ISGlobal; CRESIB; University of Barcelona; Hospital Clinic de Barcelona; Mohammed V University in Rabat; Ibn sina University Hospital Center of Rabat; Mohammed V University in Rabat; Ibn sina University Hospital Center of Rabat; Mohammed V University in Rabat; Ibn sina University Hospital Center of Rabat</t>
  </si>
  <si>
    <t xml:space="preserve">Bassat, Q (corresponding author), Univ Barcelona, Hosp Clin, CRESIB, Barcelona Ctr Int Hlth Res, Carrer Rossello 132,5e 2a, E-08036 Barcelona, Spain.</t>
  </si>
  <si>
    <t xml:space="preserve">; Bassat, Quique/P-2341-2016; Alonso, Pedro Luis/AAZ-3645-2020; Munoz-Almagro, Carmen/N-7248-2015; Ruiz, Joaquim/D-2704-2013</t>
  </si>
  <si>
    <t xml:space="preserve">SEFFAR, MYRIAM/0000-0003-0383-4150; Bassat, Quique/0000-0003-0875-7596; Alonso, Pedro Luis/0000-0003-3292-3443; Munoz-Almagro, Carmen/0000-0001-5586-404X; Ruiz, Joaquim/0000-0002-4431-2036; Moraleda, Cinta/0000-0002-8335-903X</t>
  </si>
  <si>
    <t xml:space="preserve">Spanish Agency of International Cooperation for Development (AECID) [07-CO1-021]; program I3, of the ISCIII [CES11/012]; program Miguel Servet of the ISCIII [CP11/00269]</t>
  </si>
  <si>
    <t xml:space="preserve">Spanish Agency of International Cooperation for Development (AECID); program I3, of the ISCIII; program Miguel Servet of the ISCIII</t>
  </si>
  <si>
    <t xml:space="preserve">Spanish Agency of International Cooperation for Development (AECID) through grant 07-CO1-021 awarded to Fundacio Clinic per a la Recerca Biomedica (Convenio de Fortalecimiento del sistema nacional de salud, con especial atencion a la salud materno-infantil, Marruecos, 2008-2012). JR has a fellowship from the program I3, of the ISCIII (grant number CES11/012). QB has a fellowship from the program Miguel Servet of the ISCIII (grant number CP11/00269).</t>
  </si>
  <si>
    <t xml:space="preserve">10.1016/j.ijid.2014.07.027</t>
  </si>
  <si>
    <t xml:space="preserve">AZ1UN</t>
  </si>
  <si>
    <t xml:space="preserve">WOS:000348023300028</t>
  </si>
  <si>
    <t xml:space="preserve">Korsun, N; Angelova, S; Trifonova, I; Georgieva, I; Voleva, S</t>
  </si>
  <si>
    <t xml:space="preserve">Korsun, Neli; Angelova, Svetla; Trifonova, Ivelina; Georgieva, Irina; Voleva, Silvia</t>
  </si>
  <si>
    <t xml:space="preserve">VIRAL RESPIRATORY PATHOGENS ASSOCIATED WITH MEDICALLY ATTENDED ACUTE RESPIRATORY ILLNESSES IN OLDER ADULTS IN BULGARIA</t>
  </si>
  <si>
    <t xml:space="preserve">COMPTES RENDUS DE L ACADEMIE BULGARE DES SCIENCES</t>
  </si>
  <si>
    <t xml:space="preserve">acute respiratory infections; older adults; pneumonia</t>
  </si>
  <si>
    <t xml:space="preserve">SYNCYTIAL VIRUS; HUMAN METAPNEUMOVIRUS; INFECTIONS; MORTALITY</t>
  </si>
  <si>
    <t xml:space="preserve">Acute respiratory infections (ARIs) are a major cause of morbidity and mortality among older adults. This study aimed to determine the viral etiology of these infections in patients aged &gt;= 65 years during two successive epidemic seasons in Bulgaria. Nasal and throat specimens were collected from the enrolled patients during the 2015/2016 and 2016/2017 seasons. The viral etiology was determined by individual Real Time PCR assays against 15 respiratory viruses. Of the 160 adults examined, 74 (46.3%) were positive for at least one respiratory virus. Co-infections with two and three viruses were found in 14 (18.9%) of the infected patients. Influenza A(H3N2) (15.6%) and A(H1N1)pdm09 (13.1%) viruses were the predominant pathogens, followed by adenoviruses (5.6%); respiratory-syncytial virus (3.8%); metapneumovirus (3.1%); rhinoviruses (2.5%); coronaviruses - NL63 (2.5%), OC43 (1.9%), HKU1 (1.9%) and 229E (1.3%); influenza type B (1.9%); bocaviruses (1.3%) and parainfluenza viruses 1/2/3 (1.3%). At least one respiratory virus was identified in 50% and 32.3% of the patients with acute lower respiratory tract illnesses and neurological complications, respectively. Respiratory viruses, especially influenza A viruses, are major pathogens of ARIs in persons aged &gt;= 65 years. Diagnostic testing for respiratory viruses using molecular methods can help in clinical decision making and may assist in measures to prevent health careassociated infections.</t>
  </si>
  <si>
    <t xml:space="preserve">[Korsun, Neli; Angelova, Svetla; Trifonova, Ivelina; Georgieva, Irina; Voleva, Silvia] Natl Ctr Infect &amp; Parasit Dis, Natl Reference Lab Influenza &amp; ARD, 44A Stoletov Blvd, Sofia 1233, Bulgaria</t>
  </si>
  <si>
    <t xml:space="preserve">Korsun, N (corresponding author), Natl Ctr Infect &amp; Parasit Dis, Natl Reference Lab Influenza &amp; ARD, 44A Stoletov Blvd, Sofia 1233, Bulgaria.</t>
  </si>
  <si>
    <t xml:space="preserve">neli_korsun@abv.bg; svetla_georgieva@abv.bg; trifonova.ivelina@abv.bg; georgieva@irrito.com; svoeva@abv.bg</t>
  </si>
  <si>
    <t xml:space="preserve">Tifonova, Ivelina/JTV-1761-2023; Georgieva, Irina/JOZ-2656-2023</t>
  </si>
  <si>
    <t xml:space="preserve">ANGELOVA, SVETLA/0000-0002-9119-6373; Tifonova, Ivelina/0000-0002-4543-6831; Georgieva, Irina/0000-0002-4814-4922</t>
  </si>
  <si>
    <t xml:space="preserve">Bulgarian National Science Fund [DH 1315/20.12.2017]</t>
  </si>
  <si>
    <t xml:space="preserve">Bulgarian National Science Fund(National Science Fund of Bulgaria)</t>
  </si>
  <si>
    <t xml:space="preserve">This work was supported by the Bulgarian National Science Fund (Project No DH 1315/20.12.2017).</t>
  </si>
  <si>
    <t xml:space="preserve">PUBL HOUSE BULGARIAN ACAD SCI</t>
  </si>
  <si>
    <t xml:space="preserve">SOFIA</t>
  </si>
  <si>
    <t xml:space="preserve">ACADEMICIAN G BONCEV ST, 1113 SOFIA, BULGARIA</t>
  </si>
  <si>
    <t xml:space="preserve">1310-1331</t>
  </si>
  <si>
    <t xml:space="preserve">CR ACAD BULG SCI</t>
  </si>
  <si>
    <t xml:space="preserve">C. R. Acad. Bulg. Sci.</t>
  </si>
  <si>
    <t xml:space="preserve">10.7546/CRABS.2020.04.07</t>
  </si>
  <si>
    <t xml:space="preserve">LU4CT</t>
  </si>
  <si>
    <t xml:space="preserve">WOS:000537705800005</t>
  </si>
  <si>
    <t xml:space="preserve">Zhang, Y; Cao, L; Xu, Z; Zhu, PT; Huang, B; Li, KB; Xu, Y; Zhang, ZB; Wu, Y; Di, B</t>
  </si>
  <si>
    <t xml:space="preserve">Zhang, Ying; Cao, Lan; Xu, Zhi; Zhu, Pingting; Huang, Bing; Li, Kuibiao; Xu, Yang; Zhang, Zhoubin; Wu, Yong; Di, Biao</t>
  </si>
  <si>
    <t xml:space="preserve">Evaluation of a multiplex PCR assay for detection of respiratory viruses and Mycoplasma pneumoniae in oropharyngeal swab samples from outpatients</t>
  </si>
  <si>
    <t xml:space="preserve">acute respiratory infections; influenza virus A; multiplex PCR; oropharyngeal swab; respiratory virus</t>
  </si>
  <si>
    <t xml:space="preserve">IMPACT; EPIDEMIOLOGY; PATHOGENS; H5N6</t>
  </si>
  <si>
    <t xml:space="preserve">Background Respiratory viruses, such as influenza viruses, initially infect the upper airways but can manifest as severe lower respiratory tract infections in high-risk patients with significant morbidity and mortality. For syndromic diagnosis, several multiplex nucleic acid amplification tests have been developed for clinics, of which SureX 13 Respiratory Pathogen Multiplex Kit (ResP) can simultaneously detect 13 pathogens directly from airway secretion specimens. The organisms identified are influenza virus A, influenza virus A pdmH1N1 (2009), influenza virus A H3N2, influenza virus B, adenovirus, boca virus, rhinovirus, parainfluenza virus, coronavirus, respiratory syncytial virus, human metapneumovirus, Mycoplasma pneumoniae, and Chlamydia. Methods This study provides performance evaluation data of this assay by comparing with pathogen-specific PCRs from oropharyngeal swab samples. Results Ten pathogens were detected in this assay, of which rhinovirus, adenovirus, and influenza virus A pdmH1N1 (2009) were the most common. The overall agreement between the ResP and the comparator tests was 93.8%. The ResP demonstrated 86.5% agreement for positive results and 97.8% agreement for negative results. Conclusion The ResP assay demonstrated a highly concordant performance comparing with pathogen-specific PCRs for detection of respiratory pathogens in oropharyngeal swabs from outpatients and could aid in the diagnosis of respiratory infections in a variety of clinical scenarios.</t>
  </si>
  <si>
    <t xml:space="preserve">[Zhang, Ying; Cao, Lan; Zhu, Pingting; Huang, Bing; Li, Kuibiao; Xu, Yang; Zhang, Zhoubin; Di, Biao] Guangzhou Ctr Dis Control &amp; Prevent, 1 Qide Rd, Guangzhou 510440, Guangdong, Peoples R China; [Xu, Zhi; Wu, Yong] Ningbo Hlth Gene Technol Co Ltd, Ningbo, Zhejiang, Peoples R China</t>
  </si>
  <si>
    <t xml:space="preserve">Di, B (corresponding author), Guangzhou Ctr Dis Control &amp; Prevent, 1 Qide Rd, Guangzhou 510440, Guangdong, Peoples R China.</t>
  </si>
  <si>
    <t xml:space="preserve">biao65di@yahoo.com</t>
  </si>
  <si>
    <t xml:space="preserve">National Science and Technology Major Project of the Ministry of Science and Technology of China [2017ZX10103011]; Key Medicine Discipline Construction of Guangzhou Municipality [2017-2019-07]; Science and Technology Program of Guangdong Health Department [A2017489]; Science and Technology Program of Guangzhou Health Department [20181A011052]</t>
  </si>
  <si>
    <t xml:space="preserve">National Science and Technology Major Project of the Ministry of Science and Technology of China; Key Medicine Discipline Construction of Guangzhou Municipality; Science and Technology Program of Guangdong Health Department; Science and Technology Program of Guangzhou Health Department</t>
  </si>
  <si>
    <t xml:space="preserve">National Science and Technology Major Project of the Ministry of Science and Technology of China, Grant/Award Number: 2017ZX10103011; Key Medicine Discipline Construction of Guangzhou Municipality, Grant/Award Number: 2017-2019-07; Science and Technology Program of Guangdong Health Department, Grant/Award Number: A2017489; Science and Technology Program of Guangzhou Health Department, Grant/Award Number: 20181A011052</t>
  </si>
  <si>
    <t xml:space="preserve">e23032</t>
  </si>
  <si>
    <t xml:space="preserve">10.1002/jcla.23032</t>
  </si>
  <si>
    <t xml:space="preserve">OCT 2019</t>
  </si>
  <si>
    <t xml:space="preserve">KF0IS</t>
  </si>
  <si>
    <t xml:space="preserve">WOS:000491424600001</t>
  </si>
  <si>
    <t xml:space="preserve">Meza, UC; Lara, NP; Gómez, LC; Rodríguez, MS; Hernández, JRA; Mendoza, RT</t>
  </si>
  <si>
    <t xml:space="preserve">Cruz Meza, Uriel; Perezbusta Lara, Norvell; Chavez Gomez, Laura; Solis Rodriguez, Marcela; Ambrosio Hernandez, Javier R.; Tirado Mendoza, Rocio</t>
  </si>
  <si>
    <t xml:space="preserve">The HRA2pl fusion peptide exerts in vitro antiviral activity against human respiratory paramyxoviruses and pneumoviruses</t>
  </si>
  <si>
    <t xml:space="preserve">acute respiratory infections; human respiratory virus; paramyxovirus; pneumovirus; fusion peptide; syncytium size</t>
  </si>
  <si>
    <t xml:space="preserve">SYNCYTIAL VIRUS; IDENTIFICATION; INHIBITOR; INFANTS</t>
  </si>
  <si>
    <t xml:space="preserve">Acute respiratory infections are a group of diseases caused by viruses, bacteria, and parasites that mainly affect children until the age of 5 and immunocompromised senior adults. In Mexico, these infections are the main cause of morbidity in children, with more than 26 million cases of respiratory infections reported by the Secretariat of Health, in 2019. The human respiratory syncytial virus (hRSV), the human metapneumovirus (hMPV), and the human parainfluenza-2 (hPIV-2) are responsible for many respiratory infections. Currently, palivizumab, a monoclonal antibody against the fusion protein F, is the treatment of choice against hRSV infections. This protein is being studied for the design of antiviral peptides that act by inhibiting the fusion of the virus and the host cell. Therefore, we examined the antiviral activity of the HRA2pl peptide, which competes the heptad repeat A domain of the F protein of hMPV. The recombinant peptide was obtained using a viral transient expression system. The effect of the fusion peptide was evaluated with an in vitro entry assay. Moreover, the effectiveness of HRA2pl was examined in viral isolates from clinical samples obtained from patients with infections caused by hRSV, hMPV, or hPIV-2, by evaluating the viral titer and the syncytium size. The HRA2pl peptide affected the viruses' capacity of entry, resulting in a 4-log decrease in the viral titer compared to the untreated viral strains. Additionally, a 50% reduction in the size of the syncytium was found. These results demonstrate the antiviral potential of HRA2pl in clinical samples, paving the way toward clinical trials.</t>
  </si>
  <si>
    <t xml:space="preserve">[Cruz Meza, Uriel; Perezbusta Lara, Norvell; Chavez Gomez, Laura; Ambrosio Hernandez, Javier R.; Tirado Mendoza, Rocio] Univ Nacl Autonoma Mexico, Fac Med, Dept Microbiol &amp; Parasitol, Mexico City, Mexico; [Solis Rodriguez, Marcela] Univ Kansas, Pharmaceut Chem Dept, Douglas, KS USA</t>
  </si>
  <si>
    <t xml:space="preserve">Universidad Nacional Autonoma de Mexico</t>
  </si>
  <si>
    <t xml:space="preserve">Mendoza, RT (corresponding author), Univ Nacl Autonoma Mexico, Fac Med, Dept Microbiol &amp; Parasitol, Mexico City, Mexico.</t>
  </si>
  <si>
    <t xml:space="preserve">rtirado@facmed.unam.mx</t>
  </si>
  <si>
    <t xml:space="preserve">Santacruz-Rodriguez, Marisol/GRF-0670-2022</t>
  </si>
  <si>
    <t xml:space="preserve">APR 20</t>
  </si>
  <si>
    <t xml:space="preserve">10.3389/fcimb.2023.1125135</t>
  </si>
  <si>
    <t xml:space="preserve">F1FV8</t>
  </si>
  <si>
    <t xml:space="preserve">WOS:000979883800001</t>
  </si>
  <si>
    <t xml:space="preserve">Nandhini, G; Sujatha, S; Jain, N; Dhodapkar, R; Tamilarasu, K; Krishnamurthy, S; Biswal, N</t>
  </si>
  <si>
    <t xml:space="preserve">Nandhini, G.; Sujatha, S.; Jain, N.; Dhodapkar, R.; Tamilarasu, K.; Krishnamurthy, S.; Biswal, N.</t>
  </si>
  <si>
    <t xml:space="preserve">Prevalence of Human metapneumovirus infection among patients with influenza-like illness: Report from a Tertiary Care Centre, Southern India</t>
  </si>
  <si>
    <t xml:space="preserve">Acute respiratory infections; Human metapneumovirus; India; influenza-like illness; real-time polymerase chain reaction</t>
  </si>
  <si>
    <t xml:space="preserve">RESPIRATORY SYNCYTIAL VIRUS; YOUNG-CHILDREN; TRACT INFECTIONS; PCR</t>
  </si>
  <si>
    <t xml:space="preserve">Background: Human metapneumovirus (HMPV), discovered in the 21st century, has emerged as an important cause of influenza-like illness in children and adults causing mild upper respiratory tract infection to severe bronchiolitis and community-associated pneumonia. The aim of this study was to determine the prevalence of HMPV in the Union Territory of Puducherry, India, as part of National Influenza Surveillance Programme. Materials and Methods: From November 2011 to December 2013, a total of 447 nasopharyngeal samples were collected from patients with acute respiratory infections and tested for HMPV RNA by real-time polymerase chain reaction. Results: HMPV was identified in 23/447 (5%) samples with 11/23 in the age group of 14-30 years. Most of the HMPV infections were mild with no fatalities. Two patients were co-infected with the respiratory syncytial virus and one with influenza B virus. The seasonal distribution showed increasing HMPV infection cases in rainy months except for a peak in summer of 2012. Phylogenetic analysis based on the sequences of the nucleoprotein gene of one HMPV strain showed a high degree of sequence identity with Indian strains obtained during 2006 and 2011. Conclusion: This study shows that HMPV infection is more common in adults than in children. Sequence homology suggests the circulation of closely related HMPV strains within the country.</t>
  </si>
  <si>
    <t xml:space="preserve">[Nandhini, G.; Sujatha, S.; Jain, N.; Dhodapkar, R.] Jawaharlal Inst Postgrad Med Educ &amp; Res, Dept Microbiol, Pondicherry, India; [Tamilarasu, K.] Jawaharlal Inst Postgrad Med Educ &amp; Res, Dept Med, Pondicherry, India; [Krishnamurthy, S.; Biswal, N.] Jawaharlal Inst Postgrad Med Educ &amp; Res, Dept Pediat, Pondicherry, India</t>
  </si>
  <si>
    <t xml:space="preserve">Jawaharlal Institute of Postgraduate Medical Education &amp; Research; Jawaharlal Institute of Postgraduate Medical Education &amp; Research; Jawaharlal Institute of Postgraduate Medical Education &amp; Research</t>
  </si>
  <si>
    <t xml:space="preserve">Sujatha, S (corresponding author), Jawaharlal Inst Postgrad Med Educ &amp; Res, Dept Microbiol, Pondicherry, India.</t>
  </si>
  <si>
    <t xml:space="preserve">sujathasistla@gmail.com</t>
  </si>
  <si>
    <t xml:space="preserve">Sistla, Sujatha/IUQ-0168-2023; Krishnamurthy, Sriram/AAU-4725-2020; Dhodapkar, Rahul/AAV-8811-2020</t>
  </si>
  <si>
    <t xml:space="preserve">Dhodapkar, Rahul/0000-0002-8984-3332</t>
  </si>
  <si>
    <t xml:space="preserve">Integrated Disease surveillance programme (IDSP); National centre for Disease control (NCDC), New Delhi, India</t>
  </si>
  <si>
    <t xml:space="preserve">Integrated Disease surveillance programme (IDSP) and National centre for Disease control (NCDC), New Delhi, India.</t>
  </si>
  <si>
    <t xml:space="preserve">10.4103/0255-0857.174117</t>
  </si>
  <si>
    <t xml:space="preserve">DC7XI</t>
  </si>
  <si>
    <t xml:space="preserve">WOS:000369433700007</t>
  </si>
  <si>
    <t xml:space="preserve">Kenmoe, S; Vernet, MA; Beng, VP; Vabret, A; Njouom, R</t>
  </si>
  <si>
    <t xml:space="preserve">Kenmoe, Sebastien; Vernet, Marie-Astrid; Beng, Veronique Penlap; Vabret, Astrid; Njouom, Richard</t>
  </si>
  <si>
    <t xml:space="preserve">Phylogenetic variability of Human Metapneumovirus in patients with acute respiratory infections in Cameroon, 2011-2014</t>
  </si>
  <si>
    <t xml:space="preserve">Acute respiratory infections; Human Metapneumovirus; Genetic variability; Sub-Saharan Africa; Cameroon</t>
  </si>
  <si>
    <t xml:space="preserve">GENETIC-VARIABILITY; HOSPITALIZED CHILDREN; YOUNG-CHILDREN; VIRAL ETIOLOGY; STRAINS; SEQUENCE; DIVERSITY; GENOTYPE; FUSION</t>
  </si>
  <si>
    <t xml:space="preserve">Background: Identified in 2001, Human Metapneumovirus (HMPV) is a Pneumovirus associated with acute lower and upper respiratory infections in all age groups and especially in newborns, elderly and immunocompromised subjects. Data are still limited in sub-Saharan African countries genetic characterization of this respiratory virus. This study reports the genetic variability of HMPV strains in Cameroonian children for 3 consecutive epidemic seasons (September 2011 -October 2014). Methods: A prospective surveillance was conducted to identify inpatient and outpatient children less than 15 years with respiratory symptoms &lt;5 days. The nasopharyngeal samples were tested for HMPV using a multiplex polymerase chain reaction. Viral distribution and demographic data were analyzed statistically. Positive samples for HMPV were amplified by semi -nested polymerize chain reaction and then partially sequenced at the G gene. Phylogenetic analyzes were performed on the partial nucleotide and protein sequences of the G gene. Results: From September 2011 to October 2014, 822 children under 15 years were enrolled in the study. HMPV was identified in each of 3.9% (32/822) of children. HMPV were detected throughout the year. HMPV-A (73.3%; 11/15) was predominant compared to HMPV-B (26.7; 4/15). Cameroonian HMPV strains are grouped among the members of genotype Alb (for HMPV-A), B1 and B2 (for HMPV-B). Conclusion: This study suggests that about 4% of ARI recorded in children in Cameroon are caused by HMPV. The present study is also the first report on the genetic variability of the G gene of HMPV strains in the region. Although this work partially fills gaps for some information, additional studies are required to clarify the molecular epidemiology and evolutionary pattern of HMPV in sub-Saharan Africa in general and more particularly in Cameroon. (C) 2019 The Authors. Published by Elsevier Limited on behalf of King Saud Bin Abdulaziz University for Health Sciences.</t>
  </si>
  <si>
    <t xml:space="preserve">[Kenmoe, Sebastien; Vernet, Marie-Astrid; Njouom, Richard] Ctr Pasteur Cameroun, Virol Dept, POB 1274, Yaounde, Cameroon; [Kenmoe, Sebastien; Beng, Veronique Penlap] Univ Yaounde I, Dept Biochim, BP 812, Yaounde, Cameroon; [Kenmoe, Sebastien; Vabret, Astrid] Normandie Univ, F-14032 Caen, France; [Kenmoe, Sebastien; Vabret, Astrid] GRAM, UNIROUEN, UNICAEN, F-14000 Caen, France; [Kenmoe, Sebastien; Vabret, Astrid] Univ Hosp Caen, Dept Virol, F-14000 Caen, France</t>
  </si>
  <si>
    <t xml:space="preserve">Centre Pasteur du Cameroun; University of Yaounde I; Universite de Rouen Normandie; Universite de Caen Normandie; Universite de Caen Normandie; CHU de Caen NORMANDIE</t>
  </si>
  <si>
    <t xml:space="preserve">Njouom, R (corresponding author), Ctr Pasteur Cameroun, Virol Dept, POB 1274, Yaounde, Cameroon.</t>
  </si>
  <si>
    <t xml:space="preserve">ken_sebas@yahoo.fr; marie.vernet@pasteur-yaounde.org; v.penlap@yahoo.fr; a-vabret@chu-caen.fr; njouom@pasteur-yaounde.org</t>
  </si>
  <si>
    <t xml:space="preserve">U.S. Department of Health and Human Services (DHHS) via the International Network of Pasteur Institutes [6 DESP060001-01-01]; 'Institut de Microbiologie et de Maladies Infectieuses' (IMMI) in France</t>
  </si>
  <si>
    <t xml:space="preserve">U.S. Department of Health and Human Services (DHHS) via the International Network of Pasteur Institutes; 'Institut de Microbiologie et de Maladies Infectieuses' (IMMI) in France</t>
  </si>
  <si>
    <t xml:space="preserve">This work was funded by the U.S. Department of Health and Human Services (DHHS) grant number 6 DESP060001-01-01 via the International Network of Pasteur Institutes and the 'Institut de Microbiologie et de Maladies Infectieuses' (IMMI) in France.</t>
  </si>
  <si>
    <t xml:space="preserve">10.1016/j.jiph.2019.08.018</t>
  </si>
  <si>
    <t xml:space="preserve">LB9VM</t>
  </si>
  <si>
    <t xml:space="preserve">WOS:000524979400023</t>
  </si>
  <si>
    <t xml:space="preserve">Broor, S; Bharaj, P; Chahar, HS</t>
  </si>
  <si>
    <t xml:space="preserve">Broor, S.; Bharaj, P.; Chahar, H. S.</t>
  </si>
  <si>
    <t xml:space="preserve">Human metapneumovirus: a new respiratory pathogen</t>
  </si>
  <si>
    <t xml:space="preserve">JOURNAL OF BIOSCIENCES</t>
  </si>
  <si>
    <t xml:space="preserve">Acute respiratory infections; human metapneumovirus</t>
  </si>
  <si>
    <t xml:space="preserve">LINKED-IMMUNOSORBENT-ASSAY; REVERSE TRANSCRIPTION-PCR; SYNCYTIAL VIRUS; TRACT INFECTIONS; GENETIC-VARIABILITY; YOUNG-CHILDREN; GLYCOPROTEIN-G; P-GENE; PROTEIN; SEQUENCE</t>
  </si>
  <si>
    <t xml:space="preserve">Human metapneumovirus is a recently recognized pathogen of acute respiratory tract infection (ARI) in children as well as elderly and immunocompromised adults. The virus belongs to the family Paramyxoviridae, sub family Pneumovirinae and genus Metapneumovirus. Through genetic analysis it has been characterized into two groups A and B which are further divided into four sub-lineages. The virus is difficult to grow in tissue culture and hence reverse transcriptase-polymerase chain reaction (RT-PCR) for N and L gene is the method of choice for diagnosis. The virus has been seen in all countries with seasonal distribution in winter months for temperate and spring/summer for tropical countries. F gene is the most conserved among different lineages and efforts are underway to design recombination vaccine using F gene.</t>
  </si>
  <si>
    <t xml:space="preserve">[Broor, S.; Bharaj, P.; Chahar, H. S.] All India Inst Med Sci, Dept Microbiol, New Delhi 110029, India</t>
  </si>
  <si>
    <t xml:space="preserve">All India Institute of Medical Sciences (AIIMS) New Delhi</t>
  </si>
  <si>
    <t xml:space="preserve">Bharaj, Preeti/AAX-7394-2020; Broor, Shobha/AAX-4163-2021</t>
  </si>
  <si>
    <t xml:space="preserve">Bharaj, Preeti/0000-0002-9411-9373</t>
  </si>
  <si>
    <t xml:space="preserve">INDIAN ACAD SCIENCES</t>
  </si>
  <si>
    <t xml:space="preserve">BANGALORE</t>
  </si>
  <si>
    <t xml:space="preserve">C V RAMAN AVENUE, SADASHIVANAGAR, P B #8005, BANGALORE 560 080, INDIA</t>
  </si>
  <si>
    <t xml:space="preserve">0250-5991</t>
  </si>
  <si>
    <t xml:space="preserve">0973-7138</t>
  </si>
  <si>
    <t xml:space="preserve">J BIOSCIENCES</t>
  </si>
  <si>
    <t xml:space="preserve">J. Biosci.</t>
  </si>
  <si>
    <t xml:space="preserve">10.1007/s12038-008-0067-y</t>
  </si>
  <si>
    <t xml:space="preserve">387RN</t>
  </si>
  <si>
    <t xml:space="preserve">WOS:000261969400007</t>
  </si>
  <si>
    <t xml:space="preserve">Rowlinson, E; Dueger, E; Mansour, A; Azzazy, N; Mansour, H; Peters, L; Rosenstock, S; Hamid, S; Said, MM; Geneidy, M; Abd Allah, M; Kandeel, A</t>
  </si>
  <si>
    <t xml:space="preserve">Rowlinson, Emily; Dueger, Erica; Mansour, Adel; Azzazy, Nahed; Mansour, Hoda; Peters, Lisa; Rosenstock, Summer; Hamid, Sarah; Said, Mayar M.; Geneidy, Mohamed; Abd Allah, Monier; Kandeel, Amr</t>
  </si>
  <si>
    <t xml:space="preserve">Incidence and etiology of hospitalized acute respiratory infections in the Egyptian Delta</t>
  </si>
  <si>
    <t xml:space="preserve">acute respiratory infections; hospitalization; influenza; population surveillance; respiratory syncytial viruses; viral respiratory pathogens</t>
  </si>
  <si>
    <t xml:space="preserve">SYNCYTIAL VIRUS-INFECTION; HUMAN-METAPNEUMOVIRUS; TRACT INFECTIONS; INFLUENZA-A; SURVEILLANCE; CHILDREN; BURDEN; EPIDEMIOLOGY; PNEUMONIA; DIAGNOSIS</t>
  </si>
  <si>
    <t xml:space="preserve">Introduction: Acute Respiratory Infections (ARI) are responsible for nearly two million childhood deaths worldwide. A limited number of studies have been published on the epidemiology of viral respiratory pathogens in Egypt. Methods: A total of 6113 hospitalized patients &gt;1 month of age with suspected ARI were enrolled between June 23, 2009 and December 31, 2013. Naso- and oropharyngeal specimens were collected and tested for influenza A and B, respiratory syncytial virus, human metapneumovirus, adenovirus, and parainfluenza viruses 1-3. Blood specimens from children 1-11 months were cultured and bacterial growth was identified by polymerase chain reaction. Results from a healthcare utilization survey on the proportion of persons seeking care for ARI was used to calculate adjusted ARI incidence rates in the surveillance population. Results: The proportion of patients with a viral pathogen detected decreased with age from 67% in patients age 1-11 months to 19% in patients &gt;= 65 years of age. Influenza was the dominant viral pathogen detected in patients &gt;= 1 year of age (13.9%). The highest incidence rates for hospitalized ARI were observed in children 1-11 months (1757.9-5537.5/100 000 population) and RSV was the most commonly detected pathogen in this age group. Conclusion: In this study population, influenza is the largest viral contributor to hospitalized ARIs and children 1-11 months of age experience a high rate of ARI hospitalizations. This study highlights a need for surveillance of additional viral pathogens and alternative detection methods for bacterial pathogens, which may reveal a substantial proportion of as yet unidentified etiologies in adults.</t>
  </si>
  <si>
    <t xml:space="preserve">[Rowlinson, Emily; Peters, Lisa; Rosenstock, Summer; Hamid, Sarah; Said, Mayar M.] US Naval Med Res Unit 3, Global Dis Detect &amp; Response Program, Cairo, Egypt; [Dueger, Erica] US Ctr Dis Control &amp; Prevent, Atlanta, GA USA; [Dueger, Erica; Mansour, Adel; Mansour, Hoda] US Naval Med Res Unit 3, Cairo, Egypt; [Azzazy, Nahed; Geneidy, Mohamed; Abd Allah, Monier; Kandeel, Amr] Minist Hlth &amp; Populat, Prevent Sect, Cairo, Egypt</t>
  </si>
  <si>
    <t xml:space="preserve">Naval Medical Research Center (NMRC); Naval Medical Research Unit - No. 3 (NAMRU-3); Centers for Disease Control &amp; Prevention - USA; Naval Medical Research Center (NMRC); Naval Medical Research Unit - No. 3 (NAMRU-3); Egyptian Knowledge Bank (EKB); Ministry of Health &amp; Population - Egypt</t>
  </si>
  <si>
    <t xml:space="preserve">Rowlinson, E (corresponding author), US Naval Med Res Unit 3, Cairo, Egypt.</t>
  </si>
  <si>
    <t xml:space="preserve">Emily.Rowlinson@gmail.com</t>
  </si>
  <si>
    <t xml:space="preserve">Mansour, Hoda/IZP-8476-2023</t>
  </si>
  <si>
    <t xml:space="preserve">Rosenstock, Summer/0000-0001-6710-4689; Hamid, Sarah/0000-0001-8164-0656</t>
  </si>
  <si>
    <t xml:space="preserve">10.1111/irv.12409</t>
  </si>
  <si>
    <t xml:space="preserve">WOS:000394959800003</t>
  </si>
  <si>
    <t xml:space="preserve">Furuse, Y; Tamaki, R; Suzuki, A; Kamigaki, T; Okamoto, M; Saito-Obata, M; Nakagawa, E; Saito, M; Segubre-Mercado, E; Tallo, V; Lupisan, S; Oshitani, H</t>
  </si>
  <si>
    <t xml:space="preserve">Furuse, Yuki; Tamaki, Raita; Suzuki, Akira; Kamigaki, Taro; Okamoto, Michiko; Saito-Obata, Mariko; Nakagawa, Emiko; Saito, Mayuko; Segubre-Mercado, Edelwisa; Tallo, Veronica; Lupisan, Socorro; Oshitani, Hitoshi</t>
  </si>
  <si>
    <t xml:space="preserve">Epidemiological and clinical characteristics of children with acute respiratory viral infections in the Philippines: a prospective cohort study</t>
  </si>
  <si>
    <t xml:space="preserve">Acute respiratory infections; Epidemiology; Philippines; Respiratory syncytial virus; Rhinovirus; Viral infections</t>
  </si>
  <si>
    <t xml:space="preserve">Objectives: Viral acute respiratory infection (ARI) remains a major global health problem, especially among children in low- and middle-income countries. The study was conducted to reveal aetiological significance of respiratory viruses among both non-hospitalized and hospitalized children. Methods: A cohort study of children with ARI at the household, primary healthcare facility, and hospital levels was conducted alongside a hospital-based study including non-cohort children from 2014 to 2016 in the Philippines. The ARI cases were recorded at households and healthcare facilities, and a clinical investigation was performed. Nasopharyngeal swabs were collected from the symptomatic children and tested for respiratory viruses via polymerase chain reaction. Then, the association between healthcare facility utilization and viral detection was investigated. Results: Overall, 18,514 ARI cases were enrolled in the cohort study, and samples were collected from 4735 of these cases. The hospital-based study detected 648 ARI cases, all of which were sampled. Rhinovirus (22.2%; 1052/4735) was most frequently detected followed by respiratory syncytial virus (12.0%; 566/4735). Enterovirus (adjusted odds ratio, 1.8; 95% confidence interval, 1.1 -2.8), human metapneumovirus (2.1, 1.4-3.2), rhinovirus (2.1, 1.8-2.6), and respiratory syncytial virus (1.6, 1.2-1.9) were significantly more prevalent in the ARI cases at healthcare facilities than in those in households. Of all ARI cases, 0.6% required hospitalization while 1.8% were hospitalized among the respiratory syncytial viruspositive cases (3.8, 3.0-4.9). Conclusions: We determined the prevalence of respiratory viruses among children with ARIs at the household, primary healthcare facility, and hospital levels and the association with clinical characteristics. In particular, we discovered a significant disease burden and impact of respiratory syncytial virus infections as well as a considerable aetiological implication of rhinovirus infections. (C) 2020 The Authors. Published by Elsevier Ltd on behalf of European Society of Clinical Microbiology and Infectious Diseases.</t>
  </si>
  <si>
    <t xml:space="preserve">[Furuse, Yuki] Kyoto Univ, Inst Frontier Life &amp; Med Sci, Kyoto, Japan; [Furuse, Yuki] Kyoto Univ, Hakubi Ctr Adv Res, Kyoto, Japan; [Tamaki, Raita; Suzuki, Akira; Kamigaki, Taro; Okamoto, Michiko; Saito, Mayuko; Oshitani, Hitoshi] Tohoku Univ, Dept Virol, Grad Sch Med, Sendai, Miyagi, Japan; [Saito-Obata, Mariko; Nakagawa, Emiko] RITM Tohoku Collaborating Res Ctr Emerging &amp; Reem, Muntinlupa, Philippines; [Segubre-Mercado, Edelwisa; Tallo, Veronica; Lupisan, Socorro] Res Inst Trop Med, Muntinlupa, Philippines</t>
  </si>
  <si>
    <t xml:space="preserve">Kyoto University; Kyoto University; Tohoku University; Research Institute for Tropical Medicine - Philippines</t>
  </si>
  <si>
    <t xml:space="preserve">Furuse, Y (corresponding author), Kyoto Univ, Inst Frontier Life &amp; Med Sci, Sakyo Ku, 53 Shogoin Kawaharacho, Kyoto 6068507, Japan.</t>
  </si>
  <si>
    <t xml:space="preserve">furusey.kyoto@gmail.com</t>
  </si>
  <si>
    <t xml:space="preserve">Saito, Mayuko/J-4508-2018; Oshitani, Hitoshi/AAE-4349-2019</t>
  </si>
  <si>
    <t xml:space="preserve">Saito, Mayuko/0000-0003-4622-7027; Suzuki, Akira/0000-0002-8223-0314</t>
  </si>
  <si>
    <t xml:space="preserve">Science and Technology Research Partnership for Sustainable Development from the Japan International Cooperation Agency [JP16jm0110001]; Japan Agency for Medical Research and Development (AMED); Japan Initiative for Global Research Network on Infectious Diseases from the Ministry of Education, Culture, Sports, Science &amp; Technology in Japan (MEXT) [JP19fm0108013]; AMED; Research Program on Emerging and Re-emerging Infectious Diseases from the AMED [JP19fk0108108h0001]; MEXT [JP16H02642, JP19H01072, JP19KK0204]; Japan Society for the Promotion of Science (JSPS); Leading Initiative for Excellent Young Researchers from the MEXT [16809810]</t>
  </si>
  <si>
    <t xml:space="preserve">Science and Technology Research Partnership for Sustainable Development from the Japan International Cooperation Agency; Japan Agency for Medical Research and Development (AMED)(Japan Agency for Medical Research and Development (AMED)); Japan Initiative for Global Research Network on Infectious Diseases from the Ministry of Education, Culture, Sports, Science &amp; Technology in Japan (MEXT); AMED; Research Program on Emerging and Re-emerging Infectious Diseases from the AMED; MEXT(Ministry of Education, Culture, Sports, Science and Technology, Japan (MEXT)); Japan Society for the Promotion of Science (JSPS)(Ministry of Education, Culture, Sports, Science and Technology, Japan (MEXT)Japan Society for the Promotion of Science); Leading Initiative for Excellent Young Researchers from the MEXT</t>
  </si>
  <si>
    <t xml:space="preserve">The authors declare no competing interest related to the study. This work was supported by Science and Technology Research Partnership for Sustainable Development [grant number, JP16jm0110001] from the Japan International Cooperation Agency and the Japan Agency for Medical Research and Development (AMED); the Japan Initiative for Global Research Network on Infectious Diseases [JP19fm0108013] from the Ministry of Education, Culture, Sports, Science &amp; Technology in Japan (MEXT) and the AMED; Research Program on Emerging and Re-emerging Infectious Diseases [JP19fk0108108h0001] from the AMED; Grants-in-Aid for Scientific Research [JP16H02642, JP19H01072, JP19KK0204] from the MEXT and Japan Society for the Promotion of Science (JSPS); and the Leading Initiative for Excellent Young Researchers [16809810] from the MEXT. The funders had no role in the design of the study, the collection and analysis of the data, or the preparation of the manuscript.</t>
  </si>
  <si>
    <t xml:space="preserve">10.1016/j.cmi.2020.09.017</t>
  </si>
  <si>
    <t xml:space="preserve">US0IG</t>
  </si>
  <si>
    <t xml:space="preserve">WOS:000697120500020</t>
  </si>
  <si>
    <t xml:space="preserve">Li, XC; Li, JS; Meng, L; Zhu, WQ; Liu, XF; Yang, M; Yu, DS; Niu, LX; Shen, XP</t>
  </si>
  <si>
    <t xml:space="preserve">Li, Xuechao; Li, Juansheng; Meng, Lei; Zhu, Wanqi; Liu, Xinfeng; Yang, Mei; Yu, Deshan; Niu, Lixia; Shen, Xiping</t>
  </si>
  <si>
    <t xml:space="preserve">Viral etiologies and epidemiology of patients with acute respiratory infections based on sentinel hospitals in Gansu Province, Northwest China, 2011-2015</t>
  </si>
  <si>
    <t xml:space="preserve">acute respiratory infections; epidemiology; molecular detection; respiratory virus</t>
  </si>
  <si>
    <t xml:space="preserve">SYNCYTIAL-VIRUS; HUMAN CORONAVIRUSES; INFLUENZA VACCINE; CHILDREN YOUNGER; TRACT INFECTIONS; PCR ASSAYS; HONG-KONG; ADULTS; PNEUMONIA; PREVALENCE</t>
  </si>
  <si>
    <t xml:space="preserve">Understanding etiological role and epidemiological profile is needed to improve clinical management and prevention of acute respiratory infections (ARIs). A 5-year prospective study about active surveillance for outpatients and inpatients with ARIs was conducted in Gansu province, China, from January 2011 to November 2015. Respiratory specimens were collected from patients and tested for eight respiratory viruses using polymerase chain reaction (PCR) or reverse transcription polymerase chain reaction (RT-PCR). In this study, 2768 eligible patients with median age of 43 years were enrolled including pneumonia (1368, 49.2%), bronchitis (435, 15.7%), upper respiratory tract infection or URTI (250, 9.0%), and unclassified ARI (715, 25.8%). Overall, 29.2% (808/2768) were positive for any one of eight viruses, of whom 130 cases were identified with two or more viruses. Human rhinovirus (HRV) showed the highest detection rate (8.6%), followed by influenza virus (Flu, 7.3%), respiratory syncytial virus (RSV, 6.1%), human coronavirus (hCoV, 4.3%), human parainfluenza (PIV, 4.0%), adenovirus (ADV, 2.1%), human metapneumovirus (hMPV, 1.6%), and human bocavirus (hBoV, 0.7%). Compared with URTI, RSV was more likely identified in pneumonia ((2)=12.720, P&lt;0.001) and hCoV was more commonly associated with bronchitis than pneumonia ((2)=15.019, P&lt;0.001). In patients aged less than 5 years, RSV showed the highest detection rate and hCoV was the most frequent virus detected in adults and elderly. The clear epidemical seasons were observed in HRV, Flu, and hCoV infections. These findings could serve as a reference for local health authorities in drawing up further plans to prevent and control ARIs associated with viral etiologies.</t>
  </si>
  <si>
    <t xml:space="preserve">[Li, Xuechao; Li, Juansheng; Zhu, Wanqi; Yang, Mei; Niu, Lixia; Shen, Xiping] Lanzhou Univ, Sch Publ Hlth, Inst Epidemiol &amp; Hlth Stat, Donggang East Rd 199, Lanzhou, Gansu, Peoples R China; [Meng, Lei; Liu, Xinfeng; Yu, Deshan] Ctr Dis Control &amp; Prevent, Donggang East Rd 230, Lanzhou, Gansu, Argentina</t>
  </si>
  <si>
    <t xml:space="preserve">Lanzhou University</t>
  </si>
  <si>
    <t xml:space="preserve">Li, JS (corresponding author), Lanzhou Univ, Sch Publ Hlth, Inst Epidemiol &amp; Hlth Stat, Donggang East Rd 199, Lanzhou, Gansu, Peoples R China.;Meng, L (corresponding author), Ctr Dis Control &amp; Prevent, Donggang East Rd 230, Lanzhou, Gansu, Argentina.</t>
  </si>
  <si>
    <t xml:space="preserve">lijsh16@163.com; mleicdc@163.com</t>
  </si>
  <si>
    <t xml:space="preserve">wang, wei/JYP-7819-2024; Li, Xuechao/AAV-2810-2021</t>
  </si>
  <si>
    <t xml:space="preserve">li, xuechao/0000-0002-7088-3764</t>
  </si>
  <si>
    <t xml:space="preserve">National Science and Technology Major Project of China [2012ZX10004-208]</t>
  </si>
  <si>
    <t xml:space="preserve">National Science and Technology Major Project of China</t>
  </si>
  <si>
    <t xml:space="preserve">National Science and Technology Major Project of China, Grant number: 2012ZX10004-208</t>
  </si>
  <si>
    <t xml:space="preserve">10.1002/jmv.25040</t>
  </si>
  <si>
    <t xml:space="preserve">FZ0JJ</t>
  </si>
  <si>
    <t xml:space="preserve">WOS:000427254600007</t>
  </si>
  <si>
    <t xml:space="preserve">Naghipour, M; Hart, CA; Cuevas, LE</t>
  </si>
  <si>
    <t xml:space="preserve">Naghipour, Mohammadreza; Hart, C. Anthony; Cuevas, Luis E.</t>
  </si>
  <si>
    <t xml:space="preserve">Infections with the novel human bocavirus</t>
  </si>
  <si>
    <t xml:space="preserve">acute respiratory infections; diarrhoea; human bocavirus; review</t>
  </si>
  <si>
    <t xml:space="preserve">RESPIRATORY SYNCYTIAL VIRUS; REAL-TIME PCR; YOUNG-CHILDREN; EPIDEMIOLOGIC PROFILE; HOSPITALIZED CHILDREN; HUMAN METAPNEUMOVIRUS; PREVALENCE; PARVOVIRUS; DNA</t>
  </si>
  <si>
    <t xml:space="preserve">Human bocavirus is a newly described pathogen associated with acute respiratory infections and perhaps diarrhoeal disease. The majority of infections are reported in young children and often in the presence of other respiratory pathogens. Case series have increasingly been reported worldwide, suggesting that the virus may have a high frequency in children and that other clinical presentations beyond the respiratory tract may have to be considered. This review summarizes the worldwide distribution, epidemiological characteristics and clinical presentations of human bocavirus and discusses the evidence of it's pathogenic role during infection. (c) 2007 Lippincott Williams &amp; Wilkins.</t>
  </si>
  <si>
    <t xml:space="preserve">Univ Liverpool, Sch Infect &amp; Host Def, Liverpool L69 3BX, Merseyside, England; Guilan Univ Med Sci, Rasht, Iran; Univ Liverpool Liverpool Sch Trop Med, Liverpool, Merseyside, England</t>
  </si>
  <si>
    <t xml:space="preserve">University of Liverpool; Guilan University of Medical Sciences; Liverpool School of Tropical Medicine</t>
  </si>
  <si>
    <t xml:space="preserve">Cuevas, LE (corresponding author), Univ Liverpool, Sch Infect &amp; Host Def, Liverpool L69 3BX, Merseyside, England.</t>
  </si>
  <si>
    <t xml:space="preserve">Cuevas, Luis E./0000-0002-6581-0587; Naghipour, Mohammadreza/0000-0002-9142-1147</t>
  </si>
  <si>
    <t xml:space="preserve">10.1097/MRM.0b013e3282e1c680</t>
  </si>
  <si>
    <t xml:space="preserve">210LK</t>
  </si>
  <si>
    <t xml:space="preserve">WOS:000249457500002</t>
  </si>
  <si>
    <t xml:space="preserve">Madewell, ZJ; Wang, LP; Dean, NE; Zhang, HY; Wang, YF; Zhang, XA; Liu, W; Yang, WZ; Longini, IM; Gao, GF; Li, ZJ; Fang, LQ; Yang, Y</t>
  </si>
  <si>
    <t xml:space="preserve">Madewell, Zachary J.; Wang, Li-Ping; Dean, Natalie E.; Zhang, Hai-Yang; Wang, Yi-Fei; Zhang, Xiao-Ai; Liu, Wei; Yang, Wei-Zhong; Longini, Ira M.; Gao, George F.; Li, Zhong-Jie; Fang, Li-Qun; Yang, Yang</t>
  </si>
  <si>
    <t xml:space="preserve">Chinese Ctr Dis Control</t>
  </si>
  <si>
    <t xml:space="preserve">Interactions among acute respiratory viruses in Beijing, Chongqing, Guangzhou, and Shanghai, China, 2009-2019</t>
  </si>
  <si>
    <t xml:space="preserve">acute respiratory infections; co-infection; pathogen interactions; viral interference; viral synergism</t>
  </si>
  <si>
    <t xml:space="preserve">INFLUENZA; RHINOVIRUS</t>
  </si>
  <si>
    <t xml:space="preserve">BackgroundA viral infection can modify the risk to subsequent viral infections via cross-protective immunity, increased immunopathology, or disease-driven behavioral change. There is limited understanding of virus-virus interactions due to lack of long-term population-level data.MethodsOur study leverages passive surveillance data of 10 human acute respiratory viruses from Beijing, Chongqing, Guangzhou, and Shanghai collected during 2009 to 2019: influenza A and B viruses; respiratory syncytial virus A and B; human parainfluenza virus (HPIV), adenovirus, metapneumovirus (HMPV), coronavirus, bocavirus (HBoV), and rhinovirus (HRV). We used a multivariate Bayesian hierarchical model to evaluate correlations in monthly prevalence of test-positive samples between virus pairs, adjusting for potential confounders.ResultsOf 101,643 lab-tested patients, 33,650 tested positive for any acute respiratory virus, and 4,113 were co-infected with multiple viruses. After adjusting for intrinsic seasonality, long-term trends and multiple comparisons, Bayesian multivariate modeling found positive correlations for HPIV/HRV in all cities and for HBoV/HRV and HBoV/HMPV in three cities. Models restricted to children further revealed statistically significant associations for another ten pairs in three of the four cities. In contrast, no consistent correlation across cities was found among adults. Most virus-virus interactions exhibited substantial spatial heterogeneity.ConclusionsThere was strong evidence for interactions among common respiratory viruses in highly populated urban settings. Consistent positive interactions across multiple cities were observed in viruses known to typically infect children. Future intervention programs such as development of combination vaccines may consider spatially consistent virus-virus interactions for more effective control.</t>
  </si>
  <si>
    <t xml:space="preserve">[Madewell, Zachary J.; Longini, Ira M.] Univ Florida, Coll Publ Hlth, Dept Biostat, Gainesville, FL USA; [Madewell, Zachary J.; Longini, Ira M.] Univ Florida, Hlth Profess &amp; Emerging Pathogens Inst, Gainesville, FL USA; [Wang, Li-Ping; Yang, Wei-Zhong; Gao, George F.; Li, Zhong-Jie] Chinese Ctr Dis Control &amp; Prevent, Div Infect Dis, Key Lab Surveillance &amp; Early Warning Infect Dis, Beijing, Peoples R China; [Dean, Natalie E.] Emory Univ, Dept Biostat &amp; Bioinformat, Atlanta, GA 30322 USA; [Zhang, Hai-Yang; Wang, Yi-Fei; Zhang, Xiao-Ai; Liu, Wei; Fang, Li-Qun] Beijing Inst Microbiol &amp; Epidemiol, State Key Lab Pathogen &amp; Biosecur, Beijing, Peoples R China; [Yang, Yang] Univ Georgia, Franklin Coll Arts &amp; Sci, Dept Stat, Athens, GA 30602 USA</t>
  </si>
  <si>
    <t xml:space="preserve">State University System of Florida; University of Florida; State University System of Florida; University of Florida; Chinese Center for Disease Control &amp; Prevention; Emory University; Beijing Institute of Microbiology &amp; Epidemiology; University System of Georgia; University of Georgia</t>
  </si>
  <si>
    <t xml:space="preserve">Fang, LQ (corresponding author), Beijing Inst Microbiol &amp; Epidemiol, State Key Lab Pathogen &amp; Biosecur, Beijing, Peoples R China.;Yang, Y (corresponding author), Univ Georgia, Franklin Coll Arts &amp; Sci, Dept Stat, Athens, GA 30602 USA.</t>
  </si>
  <si>
    <t xml:space="preserve">fang_lq@163.com; yang.yang4@uga.edu</t>
  </si>
  <si>
    <r>
      <rPr>
        <sz val="10"/>
        <rFont val="Arial"/>
        <family val="0"/>
        <charset val="1"/>
      </rPr>
      <t xml:space="preserve">liu, li/HGC-0900-2022; Gao, George/ABD-5229-2021; </t>
    </r>
    <r>
      <rPr>
        <sz val="10"/>
        <rFont val="Noto Sans CJK SC"/>
        <family val="2"/>
        <charset val="1"/>
      </rPr>
      <t xml:space="preserve">王</t>
    </r>
    <r>
      <rPr>
        <sz val="10"/>
        <rFont val="Arial"/>
        <family val="0"/>
        <charset val="1"/>
      </rPr>
      <t xml:space="preserve">, </t>
    </r>
    <r>
      <rPr>
        <sz val="10"/>
        <rFont val="Noto Sans CJK SC"/>
        <family val="2"/>
        <charset val="1"/>
      </rPr>
      <t xml:space="preserve">立平</t>
    </r>
    <r>
      <rPr>
        <sz val="10"/>
        <rFont val="Arial"/>
        <family val="0"/>
        <charset val="1"/>
      </rPr>
      <t xml:space="preserve">/ABF-6317-2020; Madewell, Zachary/AAM-4921-2020; Zhang, Xiao/D-9084-2019; Fang, Li-Qun/GWD-0296-2022; Li, Zhongjie/J-1474-2018; Zhang, Hai-Yang/AAU-3845-2021; Wang, Yifei/ITT-8631-2023</t>
    </r>
  </si>
  <si>
    <t xml:space="preserve">Madewell, Zachary/0000-0002-5667-9660; Zhang, Xiao-Ai/0000-0002-9505-1307; Liu, Wei/0009-0001-6937-2430</t>
  </si>
  <si>
    <t xml:space="preserve">National Natural Science Funds [91846302]; China Mega-Project on Infectious Disease Prevention [2018ZX10713001]; National Institutes of Health [AI148284]</t>
  </si>
  <si>
    <t xml:space="preserve">National Natural Science Funds(National Natural Science Foundation of China (NSFC)); China Mega-Project on Infectious Disease Prevention; National Institutes of Health(United States Department of Health &amp; Human ServicesNational Institutes of Health (NIH) - USA)</t>
  </si>
  <si>
    <t xml:space="preserve">This work was supported by the National Natural Science Funds grant 91846302 (L. Q. F. and L. W.), the China Mega-Project on Infectious Disease Prevention grant 2018ZX10713001 (L. Q. F., L. P. W., W. Z. Y., G. F. G., and Z. J. L.), and the National Institutes of Health R56 AI148284 (Y. Y., I. L., and N. E. D.).</t>
  </si>
  <si>
    <t xml:space="preserve">e13212</t>
  </si>
  <si>
    <t xml:space="preserve">10.1111/irv.13212</t>
  </si>
  <si>
    <t xml:space="preserve">X8NK1</t>
  </si>
  <si>
    <t xml:space="preserve">WOS:001100948800001</t>
  </si>
  <si>
    <t xml:space="preserve">Naghipour, M; Cuevas, LE; Bakhshinejad, T; Mansour-Ghanaei, F; Noursalehi, S; Alavy, A; Dove, W; Hart, CA</t>
  </si>
  <si>
    <t xml:space="preserve">Naghipour, Mohammadreza; Cuevas, Luis E.; Bakhshinejad, Tahereh; Mansour-Ghanaei, Fariborz; Noursalehi, Smaeil; Alavy, Ali; Dove, Winifred; Hart, Charles Anthony</t>
  </si>
  <si>
    <t xml:space="preserve">Contribution of viruses, Chlamydia spp. and Mycoplasma pneumoniae to acute respiratory infections in Iranian children</t>
  </si>
  <si>
    <t xml:space="preserve">acute respiratory infections; children; Iran; viruses; Chlamydia spp.; Mycoplasma pneumoniae</t>
  </si>
  <si>
    <t xml:space="preserve">SYNCYTIAL-VIRUS; HUMAN METAPNEUMOVIRUS; SUBGROUP-A</t>
  </si>
  <si>
    <t xml:space="preserve">The study reports the frequency and clinical presentation of respiratory syncytial virus (RSV), human metapneumovirus, influenza (Inf V), parainfluenza, adenovirus (Adv), Chlamydia spp. and Mycoplasma pneumoniae in children with acute respiratory infections (ARI) in Rasht, Iran. Nasopharyngeal aspirates and swabs were collected from 261 children in 2003 and 2004. Pathogens were detected using polymerase chain reaction (PCR) and reverse transcription-PCR (RT-PCR), confirmed with sequence analysis. Ninety-three pathogens were detected in 83 children. RSV was present in 39 (15%), Adv in 37 (14%), Inf A in 11 (4%), C. trachomatis in 4 (2%) and M. pneumoniae, in 2 (1%) children. Neither parainfluenza nor metapneumovirus were detected. RSV, Inf A and C. trachomatis were more frequent in children with lower respiratory infections. Adv presented more frequently as upper respiratory infection. All pathogens, except M. pneumoniae, were detected in children with severe pneumonia. Viruses play a significant role in Iranian children with community-acquired ARI.</t>
  </si>
  <si>
    <t xml:space="preserve">Univ Liverpool, Liverpool Sch Trop Med, Liverpool L3 5QA, Merseyside, England; Guilan Univ Med Sci, Rasht, Iran; Univ Liverpool, Dept Med Microbiol, Liverpool L69 3BX, Merseyside, England</t>
  </si>
  <si>
    <t xml:space="preserve">University of Liverpool; Liverpool School of Tropical Medicine; Guilan University of Medical Sciences; University of Liverpool</t>
  </si>
  <si>
    <t xml:space="preserve">lcuevas@liverpool.ac.uk</t>
  </si>
  <si>
    <t xml:space="preserve">Naghipour, Mohammadreza/X-4861-2018; Mansour-Ghaanei, Fariborz/P-7240-2016; Foumani, Ali/H-9828-2017; Cuevas, Luis E./I-3697-2015</t>
  </si>
  <si>
    <t xml:space="preserve">Alavifoumani, Ali/0000-0003-4347-8824; Naghipour, Mohammadreza/0000-0002-9142-1147; Cuevas, Luis E./0000-0002-6581-0587; mansour-ghanaei, fariborz/0000-0002-6264-0025</t>
  </si>
  <si>
    <t xml:space="preserve">10.1093/tropej/fml089</t>
  </si>
  <si>
    <t xml:space="preserve">181GW</t>
  </si>
  <si>
    <t xml:space="preserve">WOS:000247426200007</t>
  </si>
  <si>
    <t xml:space="preserve">Al-Sonboli, N; Hart, CA; Al-Aeryani, A; Banajeh, SM; Al-Aghbari, N; Dove, W; Cuevas, LE</t>
  </si>
  <si>
    <t xml:space="preserve">Respiratory syncytial virus and human metapneumovirus in children with acute respiratory infections in Yemen</t>
  </si>
  <si>
    <t xml:space="preserve">acute respiratory infections; children; human metapneumovirus; respiratory syncytial virus; Yemen</t>
  </si>
  <si>
    <t xml:space="preserve">HOSPITALIZED CHILDREN; YOUNG-CHILDREN; SUBGROUP-A; SEROPREVALENCE; DISEASE</t>
  </si>
  <si>
    <t xml:space="preserve">A survey of 604 Yemeni children younger than 2 years with acute respiratory infections identified respiratory syncytial virus (RSV) in 244 (40%), human metapneumovirus (HMPV) in 41 (7%) and RSV/HMPV coinfection in 25 (4%) children. RSV infections occurred in younger children and were associated with more severe hypoxia than observed with HMPV. Both viruses are important causes of severe acute respiratory infection in Yemen.</t>
  </si>
  <si>
    <t xml:space="preserve">Univ Liverpool Liverpool Sch Trop Med, Liverpool L3 5QA, Merseyside, England; Univ Liverpool, Dept Med Microbiol, Liverpool L69 3BX, Merseyside, England</t>
  </si>
  <si>
    <t xml:space="preserve">Liverpool School of Tropical Medicine; University of Liverpool</t>
  </si>
  <si>
    <t xml:space="preserve">Al-Sonboli, N (corresponding author), Univ Liverpool Liverpool Sch Trop Med, Liverpool L3 5QA, Merseyside, England.</t>
  </si>
  <si>
    <t xml:space="preserve">Cuevas, Luis E./I-3697-2015</t>
  </si>
  <si>
    <t xml:space="preserve">Cuevas, Luis E./0000-0002-6581-0587</t>
  </si>
  <si>
    <t xml:space="preserve">10.1097/01.inf.0000172937.80719.7f</t>
  </si>
  <si>
    <t xml:space="preserve">958EQ</t>
  </si>
  <si>
    <t xml:space="preserve">WOS:000231427900017</t>
  </si>
  <si>
    <t xml:space="preserve">Snoeck, CJ; Evdokimov, K; Xaydalasouk, K; Mongkhoune, S; Sausy, A; Vilivong, K; Pauly, M; Hübschen, JM; Billamay, S; Muller, CP; Black, AP</t>
  </si>
  <si>
    <t xml:space="preserve">Snoeck, Chantal J.; Evdokimov, Konstantin; Xaydalasouk, Kinnaly; Mongkhoune, Sodaly; Sausy, Aurelie; Vilivong, Keoudomphone; Pauly, Maude; Hubschen, Judith M.; Billamay, Somxay; Muller, Claude P.; Black, Antony P.</t>
  </si>
  <si>
    <t xml:space="preserve">Epidemiology of acute respiratory viral infections in children in Vientiane, Lao People's Democratic Republic</t>
  </si>
  <si>
    <t xml:space="preserve">acute respiratory infections; children; human metapneumovirus; influenza virus; Lao PDR; respiratory syncytial virus</t>
  </si>
  <si>
    <t xml:space="preserve">GENETIC-VARIABILITY; INFLUENZA; GENOTYPES; VIRUSES; ADULTS</t>
  </si>
  <si>
    <t xml:space="preserve">Respiratory infections are one of the most frequent reasons for medical consultations in children. In low resource settings such as in Lao People's Democratic Republic, knowledge gaps and the dearth of laboratory capacity to support differential diagnosis may contribute to antibiotic overuse. We studied the etiology, temporal trends, and genetic diversity of viral respiratory infections in children to provide evidence for prevention and treatment guidelines. From September 2014 to October 2015, throat swabs and nasopharyngeal aspirates from 445 children under 10 years old with symptoms of acute respiratory infection were collected at the Children Hospital in Vientiane. Rapid antigen tests were performed for influenza A and B and respiratory syncytial virus. Real-time reverse-transcription polymerase chain reactions (RT-PCRs) were performed to detect 16 viruses. Influenza infections were detected with a higher sensitivity using PCR than with the rapid antigen test. By RT-PCR screening, at least one pathogen could be identified for 71.7% of cases. Human rhinoviruses were most frequently detected (29.9%), followed by influenza A and B viruses combined (15.9%). We identify and discuss the seasonality of some of the infections. Altogether these data provide a detailed characterization of respiratory pathogens in Lao children and we provide recommendations for vaccination and further studies.</t>
  </si>
  <si>
    <t xml:space="preserve">[Snoeck, Chantal J.; Evdokimov, Konstantin; Sausy, Aurelie; Pauly, Maude; Hubschen, Judith M.; Muller, Claude P.] Luxembourg Inst Hlth, Dept Infect &amp; Immun, 29 Rue Henri Koch, L-4354 Esch Sur Alzette, Luxembourg; [Xaydalasouk, Kinnaly; Vilivong, Keoudomphone; Black, Antony P.] Inst Pasteur Laos, Viangchan, Laos; [Mongkhoune, Sodaly; Billamay, Somxay] Children Hosp, Viangchan, Laos; [Vilivong, Keoudomphone] Lao Oxford Mahosot Hosp, Wellcome Trust Res Unit, Viangchan, Laos</t>
  </si>
  <si>
    <t xml:space="preserve">Luxembourg Institute of Health</t>
  </si>
  <si>
    <t xml:space="preserve">Snoeck, CJ (corresponding author), Luxembourg Inst Hlth, Dept Infect &amp; Immun, 29 Rue Henri Koch, L-4354 Esch Sur Alzette, Luxembourg.</t>
  </si>
  <si>
    <t xml:space="preserve">chantal.snoeck@lih.lu</t>
  </si>
  <si>
    <t xml:space="preserve">MULLER, Christian/F-8399-2010; Hübschen, Judith/AAF-5113-2020</t>
  </si>
  <si>
    <t xml:space="preserve">Evdokimov, Konstantin/0000-0003-1343-1355; Snoeck, Chantal/0000-0002-0000-1850; Black, Antony/0000-0003-0579-0702; Muller, Claude P/0000-0002-2937-153X; Hubschen, Judith/0000-0002-5001-2128; Sausy, Aurelie/0000-0003-2090-7198</t>
  </si>
  <si>
    <t xml:space="preserve">Luxembourg Institute of Health; Ministry of Foreign and European Affairs, Luxembourg</t>
  </si>
  <si>
    <t xml:space="preserve">Luxembourg Institute of Health; Ministry of Foreign and European Affairs, Luxembourg, Grant/Award Number: PaReCIDS II</t>
  </si>
  <si>
    <t xml:space="preserve">10.1002/jmv.27004</t>
  </si>
  <si>
    <t xml:space="preserve">MAY 2021</t>
  </si>
  <si>
    <t xml:space="preserve">WOS:000649579000001</t>
  </si>
  <si>
    <t xml:space="preserve">Núñez-Samudio, V; Landires, I</t>
  </si>
  <si>
    <t xml:space="preserve">Nunez-Samudio, Virginia; Landires, Ivan</t>
  </si>
  <si>
    <t xml:space="preserve">Epidemiology of viral respiratory infections in a pediatric reference hospital in Central Panama</t>
  </si>
  <si>
    <t xml:space="preserve">Acute respiratory infections; Central America; Epidemiology; Panama; Pediatrics; Surveillance; Viruses</t>
  </si>
  <si>
    <t xml:space="preserve">COMMUNITY-ACQUIRED PNEUMONIA; SYNCYTIAL VIRUS; HUMAN METAPNEUMOVIRUS; YOUNG-CHILDREN; ETIOLOGY</t>
  </si>
  <si>
    <t xml:space="preserve">BackgroundAcute respiratory infections (ARIs) are a worldwide public health problem. It is estimated that up to 80% of cases of ARIs are caused by viruses. In Central America, however, we identified few epidemiologic studies on the main ARI-related viruses in hospitalized children.MethodsThis study retrospectively analyzed the clinical charts of patients ages 29days to 14years admitted with diagnoses of ARIs in a pediatric reference hospital in central Panama during 2016. The variables analyzed were age, sex, signs, symptoms, and diagnosis at admission. Samples of patients to whom a viral panel was indicated were analyzed via quantitative polymerase chain reaction, qPCR.ResultsThe most common virus was respiratory syncytial virus (RSV; 25.9%), followed by influenza A virus (10.6%), rhinovirus (10.6%), parainfluenza type 3 (PIV-3; 8.2%) and adenovirus (5.9%). However, virus detection varied with patient age and season. RSV and Influenza virus were respectively identified mainly during July-November and May-July. All cases of viral co-infection occurred in children &lt;5-years-old. Both influenza A (H1N1) pdm09 and rhinovirus were detected in all pediatric ages analyzed in this study, unlike RSV and PIV-3, which were only present in children &lt;5-years-old.ConclusionsThis study analyzed the epidemiological patterns of different respiratory viruses in pediatric patients with ARI from central Panama and found that the prevalence of the specific respiratory viruses identified varied with season and age. The most common viruses were RSV, influenza A, and rhinovirus. There were no reports of human metapneumovirus associated with ARI, which may be explained by the time and geographic location of the study. Knowledge of the local epidemiology of respiratory viruses in tropical countries is helpful in forecasting the peaks of hospitalizations due to ARIs and may help improve prevention efforts aiming at respiratory disease control in these settings.</t>
  </si>
  <si>
    <t xml:space="preserve">[Nunez-Samudio, Virginia; Landires, Ivan] Inst Ciencias Med, POB 0710-00043, Las Tablas, Los Santos, Panama; [Nunez-Samudio, Virginia] Minist Hlth, Dept Salud Publ, Secc Epidemiol, Reg Salud Herrera, Chitre, Panama; [Landires, Ivan] Univ Panama, Ctr Reg Univ Azuero CRUA, Chitre, Herrera, Panama; [Landires, Ivan] Hosp Joaquin Pablo Franco Sayas, Minist Hlth, Reg Salud Los Santos, Las Tablas, Panama</t>
  </si>
  <si>
    <t xml:space="preserve">Ministerio de Salud de la Republica de Panama; Universidad de Panama; Ministerio de Salud de la Republica de Panama</t>
  </si>
  <si>
    <t xml:space="preserve">Landires, I (corresponding author), Inst Ciencias Med, POB 0710-00043, Las Tablas, Los Santos, Panama.;Landires, I (corresponding author), Univ Panama, Ctr Reg Univ Azuero CRUA, Chitre, Herrera, Panama.</t>
  </si>
  <si>
    <t xml:space="preserve">ilandires@institutodecienciasmedicas.org</t>
  </si>
  <si>
    <t xml:space="preserve">Landires, Iván/IAM-2321-2023</t>
  </si>
  <si>
    <t xml:space="preserve">Landires, Ivan/0000-0001-6323-1170; Nunez Samudio, Virginia/0000-0002-9625-1415</t>
  </si>
  <si>
    <t xml:space="preserve">Secretaria Nacional de Ciencia, Tecnologia e Innovacion (SENACYT), Panama</t>
  </si>
  <si>
    <t xml:space="preserve">The authors would like to acknowledge Humberto Lopez Castillo, MD, PhD, CPH, CMI, for his review of the manuscript. The authors are particularly grateful for the assistance given by Jose Armando Nunez, BSc. Dr. Ivan Landires is member of the Sistema Nacional de Investigacion (SNI), which is supported by the Secretaria Nacional de Ciencia, Tecnologia e Innovacion (SENACYT), Panama.</t>
  </si>
  <si>
    <t xml:space="preserve">10.1186/s12879-020-05720-1</t>
  </si>
  <si>
    <t xml:space="preserve">PU6TT</t>
  </si>
  <si>
    <t xml:space="preserve">WOS:000609434800005</t>
  </si>
  <si>
    <t xml:space="preserve">Reina, J; Taboada, C; Vidal, J; Riera, M; Murillas, J; Ayestarán, JI</t>
  </si>
  <si>
    <t xml:space="preserve">Reina, Jordi; Taboada, Cristina; Vidal, Joan; Riera, Melchor; Murillas, Javier; Ignacio Ayestaran, Jose</t>
  </si>
  <si>
    <t xml:space="preserve">Analysis of the origin and evolution of acute respiratory infections of viral etiology in the adult population, 2015-2016 season</t>
  </si>
  <si>
    <t xml:space="preserve">MEDICINA BALEAR</t>
  </si>
  <si>
    <t xml:space="preserve">acute respiratory infections; adults; influenza viruses; rhinovirus</t>
  </si>
  <si>
    <t xml:space="preserve">SYNCYTIAL VIRUS; HUMAN METAPNEUMOVIRUS; CLINICAL-FEATURES; INFLUENZA; HOSPITALIZATIONS; RHINOVIRUS; OUTCOMES; BURDEN; UPDATE</t>
  </si>
  <si>
    <t xml:space="preserve">Introduction: It is important to know the origin and evolution of acute respiratory infections (ARI) in the adult population and to establish as soon as possible the viral etiologic diagnosis of the same, in order to determine areas of work overload. Patients and method: We prospectively studied the origin and the evolution of all adult patients with clinically suspected IRA during the period from November 1, 2015 and March 31, 2016. The hospital has been divided into three basic areas: emergency hospitalization and intensive care unit (ICU). Viral detection was performed using a technique of molecular genomic amplification type RT- PCR. Results: We analyzed 1265 respiratory specimens; 726 (57.4%) were considered negative and 539 (42.6%) positive. In the month of November 97 samples (7.6%) in December 123 (9.7%) in January 265 (20.9%) in February 347 (27.4%) and in March 433 (34.2%) were processed. The patients studied were distributed at the end of the study as follows: 457 (36.1%) emergency, 721 (56.9%) hospitalized and 87 (6.8%) were in the ICU. Influenza A and B virus globally accounted for 47.6% of all viruses detected (33.5% 14.1% influenza A and influenza B); It was also the main virus detected in each of the areas, 60.6% in the emergency department, 36.9% and 45.9% hospitalized in the ICU. Rhinovirus was the second highest percentage of virus detection (21.5% of all cases). The third virus was respiratory syncytial virus (RSV) with 69 cases (12.8%) (8.3% for type A and 4.4% for type B). Conclusions: We observed a progressive and significant increase in the number of respiratory samples analyzed from the beginning of winter. Most patients with ARI are diagnosed in the emergency room and the main influenza virus are involved and rhinovirus.</t>
  </si>
  <si>
    <t xml:space="preserve">[Reina, Jordi; Taboada, Cristina] Hosp Univ Son Espases, Microbiol Serv, Unidad Virol, Carretera Valldemossa 79, Palma De Mallorca 07010, Spain; [Vidal, Joan] Hosp Univ Son Espases, Serv Urgencias, Palma De Mallorca, Spain; [Riera, Melchor; Murillas, Javier] Hosp Univ Son Espases, Secc Enfermedades Infecciosas, Palma De Mallorca, Spain; [Ignacio Ayestaran, Jose] Hosp Univ Son Espases, Unidad Cuidados Intens, Palma De Mallorca, Spain</t>
  </si>
  <si>
    <t xml:space="preserve">Hospital Universitari Son Espases; Hospital Universitari Son Espases; Hospital Universitari Son Espases; Hospital Universitari Son Espases</t>
  </si>
  <si>
    <t xml:space="preserve">Reina, J (corresponding author), Hosp Univ Son Espases, Microbiol Serv, Unidad Virol, Carretera Valldemossa 79, Palma De Mallorca 07010, Spain.</t>
  </si>
  <si>
    <t xml:space="preserve">jorge.reina@ssib.es</t>
  </si>
  <si>
    <t xml:space="preserve">Reina, Jordi/L-9386-2017; Riera, Melchor/AEU-0584-2022</t>
  </si>
  <si>
    <t xml:space="preserve">REIAL ACAD MEDICINA ILLES BALEARS</t>
  </si>
  <si>
    <t xml:space="preserve">PALMA DE MALLORCA</t>
  </si>
  <si>
    <t xml:space="preserve">CALLE COMPANER 4, PALMA DE MALLORCA, 07003, SPAIN</t>
  </si>
  <si>
    <t xml:space="preserve">1579-5853</t>
  </si>
  <si>
    <t xml:space="preserve">2255-0569</t>
  </si>
  <si>
    <t xml:space="preserve">MED BALEAR</t>
  </si>
  <si>
    <t xml:space="preserve">Med. Balear</t>
  </si>
  <si>
    <t xml:space="preserve">JAN-APR</t>
  </si>
  <si>
    <t xml:space="preserve">10.3306/MEDICINABALEAR.32.01.20</t>
  </si>
  <si>
    <t xml:space="preserve">EL7MV</t>
  </si>
  <si>
    <t xml:space="preserve">WOS:000394805900003</t>
  </si>
  <si>
    <t xml:space="preserve">Chen, X; Zhang, PA; Ma, YL</t>
  </si>
  <si>
    <t xml:space="preserve">Chen, Xi; Zhang, Pingan; Ma, Yanliang</t>
  </si>
  <si>
    <t xml:space="preserve">Prevalence of acute infection in adults with asthma exacerbation: A systematic review and meta-analysis</t>
  </si>
  <si>
    <t xml:space="preserve">ANNALS OF THORACIC MEDICINE</t>
  </si>
  <si>
    <t xml:space="preserve">Acute respiratory infections; adults; asthma exacerbation</t>
  </si>
  <si>
    <t xml:space="preserve">MYCOPLASMA-PNEUMONIAE INFECTIONS; VIRUS-INDUCED EXACERBATIONS; CHLAMYDIA-PNEUMONIAE; RESPIRATORY-TRACT; VIRAL-INFECTIONS; REQUIRING HOSPITALIZATION; HUMAN METAPNEUMOVIRUS; CLINICAL SEVERITY; RHINOVIRUS; SPUTUM</t>
  </si>
  <si>
    <t xml:space="preserve">BACKGROUND: Acute respiratory infections are a major trigger of asthma exacerbations. This study sought to estimate the overall proportion of viruses, atypical pathogens, and bacteria detected in adults with asthma exacerbations.METHODS: PubMed, EMBASE, and Cochrane Library databases and all related studies from the reviews and references were searched from inception to February 13, 2020. Two authors independently performed study selection, data extraction, as well as quality evaluation. Subsequently, meta-analysis, between-study heterogeneity, and publication bias assessment were conducted on RStudio.RESULTS: Forty-three eligible studies comprising 3511 adults were included, of which 21 publications mentioned multiple infections during acute asthma attacks. Meta-analysis showed an acute infection prevalence of 40.19% (95% confidence interval [CI] 34.53%-45.99%). Viruses, atypical pathogens, and bacteria were detected in 38.76% (95% CI 32.02%-45.71%), 8.29% (95% CI 2.64%-16.27%), and 7.05% (95% CI 3.34%-11.81%) of asthmatics during exacerbations, respectively. Rhinovirus infections are always the dominant trigger for exacerbations with a proportion of 20.02% (95% CI 14.84%-25.73%). Substantial heterogeneity across studies (Cochran Q test: 479.43, P &lt; 0.0001, I-2 = 91.2%) was explained by subgroup analysis, indicating that year, region, population, respiratory secretion, detection method, pathogen, and study quality were all influencing factors.CONCLUSION: This meta-analysis provided the first quantitative epidemiological data for adults, and in the future, more research and health-care supports are necessary in this area.</t>
  </si>
  <si>
    <t xml:space="preserve">[Chen, Xi; Zhang, Pingan; Ma, Yanliang] Peking Univ Peoples Hosp, Dept Resp &amp; Crit Care Med, Beijing, Peoples R China; [Ma, Yanliang] Peking Univ, Peoples Hosp, Dept Resp &amp; Crit Care Med, Beijing 100044, Peoples R China</t>
  </si>
  <si>
    <t xml:space="preserve">Peking University; Peking University</t>
  </si>
  <si>
    <t xml:space="preserve">Ma, YL (corresponding author), Peking Univ, Peoples Hosp, Dept Resp &amp; Crit Care Med, Beijing 100044, Peoples R China.</t>
  </si>
  <si>
    <t xml:space="preserve">helloyl1979@126.com</t>
  </si>
  <si>
    <t xml:space="preserve">1817-1737</t>
  </si>
  <si>
    <t xml:space="preserve">1998-3557</t>
  </si>
  <si>
    <t xml:space="preserve">ANN THORAC MED</t>
  </si>
  <si>
    <t xml:space="preserve">Ann. Thorac. Med.</t>
  </si>
  <si>
    <t xml:space="preserve">10.4103/atm.atm_422_22</t>
  </si>
  <si>
    <t xml:space="preserve">O5RB6</t>
  </si>
  <si>
    <t xml:space="preserve">WOS:001044369200004</t>
  </si>
  <si>
    <t xml:space="preserve">Fadugba, OO; Haddadin, Z; Muhimpundu, S; Faouri, S; Shehabi, A; Rahman, H; Williams, JV; Miller, EK; Khuri-Bulos, N; Halasa, NB</t>
  </si>
  <si>
    <t xml:space="preserve">Fadugba, Olajumoke O.; Haddadin, Zaid; Muhimpundu, Sylvie; Faouri, Samir; Shehabi, Asem; Rahman, Herdi; Williams, John, V; Miller, E. Kathryn; Khuri-Bulos, Najwa; Halasa, Natasha B.</t>
  </si>
  <si>
    <t xml:space="preserve">Respiratory Viruses Associated With Acute Wheezing in Hospitalized Young Children in Jordan</t>
  </si>
  <si>
    <t xml:space="preserve">acute respiratory infections; acute wheezing; human metapneumovirus; Jordan; respiratory syncytial virus</t>
  </si>
  <si>
    <t xml:space="preserve">PEDIATRIC-PATIENTS</t>
  </si>
  <si>
    <t xml:space="preserve">A cross-sectional viral surveillance study of hospitalized children less than 2 years of old in Amman, Jordan, noted that respiratory syncytial virus and human metapneumovirus, but not human rhinovirus, were associated with higher odds of acute wheezing. Future longitudinal studies are needed to evaluate the association between early childhood viral acute respiratory infections and recurrent wheezing later in childhood.</t>
  </si>
  <si>
    <t xml:space="preserve">[Fadugba, Olajumoke O.] Univ Penn, Dept Med, Perelman Sch Med, Div Allergy &amp; Immunol, Philadelphia, PA 19104 USA; [Haddadin, Zaid; Muhimpundu, Sylvie; Rahman, Herdi; Miller, E. Kathryn; Halasa, Natasha B.] Vanderbilt Univ, Med Ctr, Dept Pediat, Nashville, TN 37232 USA; [Faouri, Samir] Al Bashir Hosp, Dept Pediat, Amman, Jordan; [Faouri, Samir; Shehabi, Asem] Univ Jordan, Dept Pathol Microbiol, Amman, Jordan; [Williams, John, V] Univ Pittsburgh, Dept Pediat, Pittsburgh, PA 15260 USA; [Khuri-Bulos, Najwa] Univ Jordan, Dept Pediat, Amman, Jordan</t>
  </si>
  <si>
    <t xml:space="preserve">University of Pennsylvania; Vanderbilt University; University of Jordan; Pennsylvania Commonwealth System of Higher Education (PCSHE); University of Pittsburgh; University of Jordan</t>
  </si>
  <si>
    <t xml:space="preserve">Haddadin, Z (corresponding author), Vanderbilt Univ, Med Ctr, Div Pediat Infect Dis, 1161 21st Ave South,Med Ctr North D7232, Nashville, TN 37232 USA.</t>
  </si>
  <si>
    <t xml:space="preserve">zaid.haddadin@vumc.org</t>
  </si>
  <si>
    <t xml:space="preserve">Haddadin, Zaid/0000-0001-6863-6185</t>
  </si>
  <si>
    <t xml:space="preserve">This work was supported by the UBS Optimus Foundation, National Institutes of Health, and the CTSA award (UL1TR000445) from the National Center for Advancing Translational Sciences. Its contents are solely the responsibility of the authors and do not necessarily represent official views of the National Center for Advancing Translational Sciences or the National Institutes of Health.</t>
  </si>
  <si>
    <t xml:space="preserve">10.1093/jpids/piaa143</t>
  </si>
  <si>
    <t xml:space="preserve">WOS:000683384400019</t>
  </si>
  <si>
    <t xml:space="preserve">Abrego, LE; Mirazo, S; Delfraro, A; Franco, D; Castillo, M; Gaitán, M; Castillo, J; Moreno, B; Pascale, JM; Arbiza, J</t>
  </si>
  <si>
    <t xml:space="preserve">Abrego, Leyda E.; Mirazo, Santiago; Delfraro, Adriana; Franco, Danilo; Castillo, Marlene; Gaitan, Melissa; Castillo, Juan; Moreno, Brechla; Pascale, Juan M.; Arbiza, Juan</t>
  </si>
  <si>
    <t xml:space="preserve">Genotypes of human metapneumovirus circulating during 2010-2012 in children from Panama</t>
  </si>
  <si>
    <t xml:space="preserve">acute respiratory infections (ARI); genotype; human metapneumovirus; nucleoprotein</t>
  </si>
  <si>
    <t xml:space="preserve">Human metapneumovirus (HMPV) is a common causative agent of severe respiratory tract infections in children under 5 years old, the elderly and immunocompromised patients, being responsible for 5-15% of all viral respiratory infections requiring hospitalization. Though HMPV was included in the surveillance program for respiratory viruses in 2010, its genotype distribution remains unknown. Herein, 45 positive samples to HMPV from children 5 years old were characterized by phylogenetic analysis based on N gene sequence. Results showed the co-circulation of four sub-lineages: A2a (8.8%), A2b (55.5%), B1 (15.6%), and B2 (20%), demonstrating the genetic heterogeneity of HMPV circulating in Panama.</t>
  </si>
  <si>
    <t xml:space="preserve">[Abrego, Leyda E.; Franco, Danilo; Castillo, Marlene; Gaitan, Melissa; Moreno, Brechla] Gorgas Mem Inst Hlth Studies, Deparment Res Virol &amp; Biotechnol, Panama City, Panama; [Mirazo, Santiago; Delfraro, Adriana; Arbiza, Juan] Univ Republica, Sch Sci, Virol Sect, Montevideo, Uruguay; [Franco, Danilo; Pascale, Juan M.] Univ Panama, Sch Med, Panama City, Panama; [Castillo, Juan; Pascale, Juan M.] Gorgas Mem Inst Hlth Studies, Dept Genom &amp; Prote, Panama City, Panama</t>
  </si>
  <si>
    <t xml:space="preserve">Instituto Conmemorativo Gorgas de Estudios de la Salud; Universidad de la Republica, Uruguay; Universidad de Panama; Instituto Conmemorativo Gorgas de Estudios de la Salud</t>
  </si>
  <si>
    <t xml:space="preserve">Arbiza, J (corresponding author), Univ Republica, Secc Virol, Fac Ciencias, Igua 4225, Montevideo 11400, Uruguay.</t>
  </si>
  <si>
    <t xml:space="preserve">Delfraro, Adriana/D-4518-2013; Abrego, Leyda/AGZ-6362-2022</t>
  </si>
  <si>
    <t xml:space="preserve">Abrego, Leyda/0000-0002-2708-4668; Delfraro, Adriana/0000-0003-3701-9621; Mirazo, Santiago/0000-0003-0121-5268</t>
  </si>
  <si>
    <t xml:space="preserve">Secretaria Nacional de Ciencia, Tecnologia e Innovacion Grant [CAP10-001]</t>
  </si>
  <si>
    <t xml:space="preserve">Secretaria Nacional de Ciencia, Tecnologia e Innovacion Grant</t>
  </si>
  <si>
    <t xml:space="preserve">Secretaria Nacional de Ciencia, Tecnologia e Innovacion, Grant number: CAP10-001</t>
  </si>
  <si>
    <t xml:space="preserve">10.1002/jmv.24969</t>
  </si>
  <si>
    <t xml:space="preserve">WOS:000419510600029</t>
  </si>
  <si>
    <t xml:space="preserve">Xiang, WQ; Li, L; Guo, YJ; Lin, J; Li, W</t>
  </si>
  <si>
    <t xml:space="preserve">Xiang, Wen-qing; Li, Lin; Guo, Ya-jun; Lin, Jian; Li, Wei</t>
  </si>
  <si>
    <t xml:space="preserve">The Impact of COVID-19 Public Health Measures on Detection of Other Respiratory Viruses in Children during the Winter of 2020-2021 in Hangzhou, China</t>
  </si>
  <si>
    <t xml:space="preserve">acute respiratory infection; virus; children; COVID-19</t>
  </si>
  <si>
    <t xml:space="preserve">INFLUENZA; INFECTIONS</t>
  </si>
  <si>
    <t xml:space="preserve">Objective Acute respiratory tract infection (ARTI) is one of the main diseases in childhood. This study aimed to monitor the distribution of respiratory tract viruses in children with ARTI in the impact of coronavirus disease 2019 (COVID-19). Methods We conducted surveillance of 2019 novel coronavirus, human metapneumovirus, respiratory syncytial virus, human adenovirus, human parainfluenza virus 1-3, and influenza A and B virus by using quantitative real-time polymerase chain reaction. Results During the winter of 2020 to 2021, among the 1,442 throat swabs we collected, 937 (64.98%, 937/1,442) were positive for respiratory viruses. Respiratory syncytial virus was the most frequently detected respiratory virus (34.12%, 492/1,442) and 2019 novel coronavirus and influenza A and B virus were not detected in the study period. Coinfection was observed in 156 positive samples including 149 samples of double infection and 7 of triple infection. The positive rate of viral respiratory tract infection in infants less than 6 months was the highest (72.95%) in the study period. Conclusion There are some differences in the distribution of respiratory viruses in children after the outbreak of COVID-19 in Hangzhou, China.</t>
  </si>
  <si>
    <t xml:space="preserve">[Xiang, Wen-qing; Li, Lin; Guo, Ya-jun; Lin, Jian; Li, Wei] Zhejiang Univ, Childrens Hosp, Natl Clin Res Ctr Child Hlth, Dept Clin Lab,Sch Med, 3333 Binsheng Rd, Hangzhou 310052, Peoples R China</t>
  </si>
  <si>
    <t xml:space="preserve">Li, W (corresponding author), Zhejiang Univ, Childrens Hosp, Natl Clin Res Ctr Child Hlth, Dept Clin Lab,Sch Med, 3333 Binsheng Rd, Hangzhou 310052, Peoples R China.</t>
  </si>
  <si>
    <t xml:space="preserve">Li, Wenjing/JMP-8310-2023</t>
  </si>
  <si>
    <t xml:space="preserve">science and technology projects in Zhejiang Province [LGC21H200004, 2019C03037]; National Nature Science Foundation of China [81671495, 81701535]</t>
  </si>
  <si>
    <t xml:space="preserve">science and technology projects in Zhejiang Province; National Nature Science Foundation of China(National Natural Science Foundation of China (NSFC))</t>
  </si>
  <si>
    <t xml:space="preserve">This study was funded by science and technology projects in Zhejiang Province (LGC21H200004 and 2019C03037) and the National Nature Science Foundation of China (81671495 and 81701535).</t>
  </si>
  <si>
    <t xml:space="preserve">10.1055/s-0042-1756712</t>
  </si>
  <si>
    <t xml:space="preserve">5E3JG</t>
  </si>
  <si>
    <t xml:space="preserve">WOS:000857959300001</t>
  </si>
  <si>
    <t xml:space="preserve">Wang, W; Cavailler, P; Ren, PJ; Zhang, J; Dong, W; Yan, HJ; Mardy, S; Cailhol, J; Buchy, P; Sheng, J; Fontanet, A; Deubel, V</t>
  </si>
  <si>
    <t xml:space="preserve">Wang, Wei; Cavailler, Philippe; Ren, Peijun; Zhang, Jing; Dong, Wei; Yan, Huajie; Mardy, Sek; Cailhol, Johann; Buchy, Philippe; Sheng, Jun; Fontanet, Arnaud; Deubel, Vincent</t>
  </si>
  <si>
    <t xml:space="preserve">Molecular monitoring of causative viruses in child acute respiratory infection in endemo-epidemic situations in Shanghai</t>
  </si>
  <si>
    <t xml:space="preserve">Acute respiratory infection; Respiratory viruses; Genotypes; Co-infection; Pediatric</t>
  </si>
  <si>
    <t xml:space="preserve">HUMAN METAPNEUMOVIRUS INFECTION; HUMAN BOCAVIRUS; HOSPITALIZED CHILDREN; HUMAN RHINOVIRUSES; TRACT INFECTIONS; PCR ASSAYS; CORONAVIRUS; PARVOVIRUS; PATHOGENS; FEATURES</t>
  </si>
  <si>
    <t xml:space="preserve">Background: Numerous viruses are responsible for respiratory infections; however, both their distribution and genetic diversity, in a limited area and a population subgroup, have been studied only rarely during a sustained period of time. Methods: A 2-year surveillance program of children presenting with acute respiratory infections (ARIs) was carried out to characterize the viral etiology and to assess whether using gene amplification and sequencing could be a reliable approach to monitor virus introduction and spread in a population subgroup. Results: Using multiplex RT-PCR, 15 different respiratory viruses were detected within the 486 nasopharyngeal positive samples collected among 817 children aged &lt;9-year old who presented with ARI during October 2006 to September 2008. A single virus was detected in 373 patients (45.7%), and two to four viruses in 113 patients (13.8%). The most frequent causative viruses were respiratory syncytial virus (RSV) (24.7%), human bocavirus (24.5%), and human rhinovirus (HRV) (15%). RSV was more prevalent in winter and among young infants. Cases of seasonal influenza A and B viruses were reported mainly in January and August. An increase in adenovirus infection was observed during the spring of the second year of the study. Sequence analyses showed multiple introductions of different virus subtypes and identified a high prevalence of the newly defined HRV-C species. A higher viral incidence was observed during the winter of 2008, which was unusually cold. Conclusions: This study supports the usefulness of multiplex RT-PCR for virus detection and co-infection, and for implementation of a molecular monitoring system for endemic and epidemic viral respiratory infections. (C) 2010 Elsevier B. V. All rights reserved.</t>
  </si>
  <si>
    <t xml:space="preserve">[Deubel, Vincent] Chinese Acad Sci, Shanghai Inst Biol Sci, Key Lab Mol Virol &amp; Immunol, Inst Pasteur Shanghai,Unit Emerging Viruses, Shanghai 20025, Peoples R China; [Cavailler, Philippe; Mardy, Sek; Buchy, Philippe; Deubel, Vincent] Inst Pasteur Cambodia, Virol Unit, Phnom Penh, Cambodia; [Dong, Wei; Yan, Huajie; Sheng, Jun] Shanghai Nanxiang Hosp, Dept Pediat, Shanghai, Peoples R China; [Cailhol, Johann; Fontanet, Arnaud] Inst Pasteur, Unit Epidemiol Emerging Dis, Paris, France</t>
  </si>
  <si>
    <t xml:space="preserve">Chinese Academy of Sciences; Pasteur Network; Institut Pasteur Cambodia; Pasteur Network; Universite Paris Cite; Institut Pasteur Paris</t>
  </si>
  <si>
    <t xml:space="preserve">Deubel, V (corresponding author), Chinese Acad Sci, Shanghai Inst Biol Sci, Key Lab Mol Virol &amp; Immunol, Inst Pasteur Shanghai,Unit Emerging Viruses, 411 Hefei Rd, Shanghai 20025, Peoples R China.</t>
  </si>
  <si>
    <t xml:space="preserve">Cailhol, Johann/AGL-9501-2022; Buchy, Philippe/JNS-0960-2023; Cavailler, Philippe/G-4138-2017; Fekkar, Arnaud/P-2803-2017</t>
  </si>
  <si>
    <t xml:space="preserve">REN, peijun/0000-0001-6082-945X; BUCHY, Philippe/0000-0003-1372-3008; , arnaud/0000-0002-5239-6110</t>
  </si>
  <si>
    <t xml:space="preserve">Li Ka-Shing Foundation (RESPARI network); French Agency for the Development for Surveillance and Investigation of Epidemic Situations in Southeast Asia; Chinese Ministry of Health [2009ZX10004-105]; AREVA Foundation</t>
  </si>
  <si>
    <t xml:space="preserve">Li Ka-Shing Foundation (RESPARI network); French Agency for the Development for Surveillance and Investigation of Epidemic Situations in Southeast Asia; Chinese Ministry of Health; AREVA Foundation</t>
  </si>
  <si>
    <t xml:space="preserve">The study was supported by the Li Ka-Shing Foundation (RESPARI network) for discovery of new emerging viruses, the French Agency for the Development for Surveillance and Investigation of Epidemic Situations in Southeast Asia (SISEA project), the National Science and Technology Major Project (2009ZX10004-105) of the Chinese Ministry of Health for the establishment of pathogen and immuno-response detection platforms for respiratory and central nervous system viral infections, the AREVA Foundation which supports the salary of Dr. Wei Wang. We thank Drs. Francois Freymuth (Virology Laboratory, CHU Caen, France) and Sylvie van der Werf (National Reference Center for Influenza virus in Northern France, Institut Pasteur Paris), and Dr. Jean-Claude Manuguerra (Urgent Response to Biological Threats) for having facilitated this work. We also thank Y.M. Zheng for manuscript preparation.</t>
  </si>
  <si>
    <t xml:space="preserve">10.1016/j.jcv.2010.08.005</t>
  </si>
  <si>
    <t xml:space="preserve">660WG</t>
  </si>
  <si>
    <t xml:space="preserve">WOS:000282676600012</t>
  </si>
  <si>
    <t xml:space="preserve">O'Callaghan-Gordo, C; Díez-Padrisa, N; Abacassamo, F; Pérez-Breña, P; Casas, I; Alonso, PL; Roca, A</t>
  </si>
  <si>
    <t xml:space="preserve">O'Callaghan-Gordo, Cristina; Diez-Padrisa, Nuria; Abacassamo, Fatima; Perez-Brena, Pilar; Casas, Inmaculada; Alonso, Pedro L.; Roca, Anna</t>
  </si>
  <si>
    <t xml:space="preserve">Viral acute respiratory infections among infants visited in a rural hospital of southern Mozambique</t>
  </si>
  <si>
    <t xml:space="preserve">acute respiratory infection; respiratory viruses; epidemiology; developing countries</t>
  </si>
  <si>
    <t xml:space="preserve">TRACT INFECTIONS; HUMAN METAPNEUMOVIRUS; SYNCYTIAL VIRUS; REGIONAL BURDEN; RISK-FACTORS; CHILDREN; EPIDEMIOLOGY; ETIOLOGY; MALARIA; TRANSMISSION</t>
  </si>
  <si>
    <t xml:space="preserve">OBJECTIVES To determine the epidemiology and clinical presentation of virus-associated acute respiratory infections (ARI) in Mozambican infants. METHODS A systematic selection of nasopharyngeal aspirates (n = 333), collected from infants younger than 12 months who visited Manhica District Hospital (southern Mozambique) with ARI during a 12 months respiratory syncitial virus surveillance, were tested for other common respiratory viruses. Four different polymerase chain reactions were used to diagnose rhinovirus (RV), influenza (Flu; A and B), adenovirus (ADV), human metapneumovirus (hMPV), parainfluenza (PIV; 1, 2, 3 and 4AB) and enterovirus (EV). RESULTS At least one study virus was identified in more than half of the samples tested (185/333). Overall, 231 viruses were detected among 185 infants, listed in the order of prevalence: RV (26%), Flu (15%), ADV (14%), hMPV (7%), PIV (5%) and EV (3%). Acute respiratory infections (ARI) cases and viral episodes were seasonal and concentrate during the warm and the rainy season. Clinical features were similar among all study children regardless of the detection of virus, with the exception of ear discharge, which was more frequent among viral cases [6% (11/183) vs. 1% (2/144); P = 0.034]. Children with multiple viral infections had higher odds of severity such as nasal flaring and indrawing (OR = 2.7, P = 0.028 and OR = 3.8, P = 0.007, respectively) and higher odds of hospitalisation (OR = 4.42, P = 0.001, adjusted by age and sex). CONCLUSIONS Viral ARI are frequent among infants visited in MHD. Strategies to prevent mild respiratory infections, and specially their complications, might alleviate health systems of source-limited settings.</t>
  </si>
  <si>
    <t xml:space="preserve">[O'Callaghan-Gordo, Cristina; Diez-Padrisa, Nuria; Alonso, Pedro L.; Roca, Anna] Univ Barcelona, IDIBAPS Hosp Clin, Barcelona Ctr Int Hlth Res CRESIB, E-08036 Barcelona, Spain; [O'Callaghan-Gordo, Cristina; Abacassamo, Fatima; Alonso, Pedro L.; Roca, Anna] CISM, Maputo, Mozambique; [Perez-Brena, Pilar; Casas, Inmaculada] Inst Hlth Carlos III, Natl Ctr Microbiol, Madrid, Spain</t>
  </si>
  <si>
    <t xml:space="preserve">University of Barcelona; Hospital Clinic de Barcelona; IDIBAPS; ISGlobal; CRESIB; Centro de Investigacao em Saude de Manhica; Instituto de Salud Carlos III; Centro Nacional de Microbiologia (CNM)</t>
  </si>
  <si>
    <t xml:space="preserve">Roca, A (corresponding author), Univ Barcelona, IDIBAPS Hosp Clin, Barcelona Ctr Int Hlth Res CRESIB, C Rossello 132,4th Floor, E-08036 Barcelona, Spain.</t>
  </si>
  <si>
    <t xml:space="preserve">Diez-Padrisa, Nuria/AAE-1000-2020; Casas, Inmaculada/H-9442-2015; O'Callaghan-Gordo, Cristina/JXL-5368-2024; Alonso, Pedro Luis/AAZ-3645-2020</t>
  </si>
  <si>
    <t xml:space="preserve">Casas, Inmaculada/0000-0003-1840-1198; O'Callaghan-Gordo, Cristina/0000-0002-4229-2991; Alonso, Pedro Luis/0000-0003-3292-3443</t>
  </si>
  <si>
    <t xml:space="preserve">Health Research Found of the Spanish Ministry of Science and Innovation; Spanish Agency of International Cooperation; Spanish Ministry of Science and Innovation (Ramon y Cajal) [RYC-2008-02777]</t>
  </si>
  <si>
    <t xml:space="preserve">Health Research Found of the Spanish Ministry of Science and Innovation(Ministry of Science and Innovation, Spain (MICINN)); Spanish Agency of International Cooperation(Spanish Government); Spanish Ministry of Science and Innovation (Ramon y Cajal)(Ministry of Science and Innovation, Spain (MICINN)Spanish Government)</t>
  </si>
  <si>
    <t xml:space="preserve">We thank Ll. Quinto and Dr. A. B. Ibarz for their comments and inputs in the advanced versions of the manuscript. The study was supported by a grant from the Health Research Found of the Spanish Ministry of Science and Innovation. The Centro de Investigacao em Saude da Manhica receives major core funding from the Spanish Agency of International Cooperation. A. Roca received support from a grant of the Spanish Ministry of Science and Innovation (Ramon y Cajal: RYC-2008-02777).</t>
  </si>
  <si>
    <t xml:space="preserve">10.1111/j.1365-3156.2011.02811.x</t>
  </si>
  <si>
    <t xml:space="preserve">804MY</t>
  </si>
  <si>
    <t xml:space="preserve">WOS:000293659100002</t>
  </si>
  <si>
    <t xml:space="preserve">Kim, DJ; Hwang, N; Ham, JY; Song, KE; Lee, NY</t>
  </si>
  <si>
    <t xml:space="preserve">Kim, Dong Ja; Hwang, Narae; Ham, Ji Yeon; Song, Kyung Eun; Lee, Nan Young</t>
  </si>
  <si>
    <t xml:space="preserve">Changes in the Distribution of Respiratory Microorganisms before and during the COVID-19 Pandemic, Daegu, Korea</t>
  </si>
  <si>
    <t xml:space="preserve">acute respiratory infection; respiratory microorganisms; COVID-19; distribution</t>
  </si>
  <si>
    <t xml:space="preserve">DISEASE 2019 COVID-19; IMPACT</t>
  </si>
  <si>
    <t xml:space="preserve">Background: Acute respiratory infection (ARI) is the most common infectious disease in all ages and genders worldwide. Respiratory microorganisms such as respiratory viruses, are commonly responsible for causing ARI. COVID-19 is still prevalent in Korea. The implementation of lockdown and strict control measures, the mandatory wearing of masks, and social distancing are critical steps for controlling the risk of COVID-19 spread. This study was conducted to find out how these changes in daily lives impacted the distribution of respiratory microorganisms. Methods: A retrospective study was conducted to identify the incidence and distribution patterns of ARI-causing respiratory microorganisms before (Period.) and during the COVID-19 pandemic (Period.) in terms of detection method, age, month, and season. In particular, data in Periods. and. were compared for eight major kinds of respiratory microorganisms: adenovirus (AdV), human metapneumovirus (HMPV), human rhinovirus/enterovirus (Rhino/Entero), influenza virus (Flu) A, Flu B, human parainfluenza virus (HPIV) 3, respiratory syncytial virus, and Mycoplasma pneumoniae. Results: A total of 27,191 respiratory specimens were tested, of which 5,513 were obtained from children and adolescents (age groups 1. 5) and 21,678 from adults (age group 6). The overall positive rates for at least one respiratory microorganism in Periods. and. were 23.1% (1,199/5,193) and 4.9% (1,070/21,998), respectively (p &lt; 0.001). The overall positive rates in male and female patients were significantly different (8.7% vs. 7.9%; p = 0.016). On the FilmArray (TM) RP assay, positive rates in all age groups decreased significantly in Period. compared with Period.. AdV, Rhino/Entero, and Flu A were detected in all four seasons, but HMPV and HPIV3 were not detected. The overall positive rates on FilmArray and the Flu antigen test in Period. were significantly decreased. In the COVID-19 test, the positive rates were high in March and April 2020, and decreased thereafter, but these increased again in the winter of 2020/2021. Conclusions: Life changes due to COVID-19 pandemic have had a significant impact on the distribution of respiratory microorganisms; our study results might provide useful information on respiratory virus epidemiology.</t>
  </si>
  <si>
    <t xml:space="preserve">[Kim, Dong Ja] Kyungpook Natl Univ, Sch Med, Dept Forens Med, Daegu, South Korea; [Hwang, Narae; Ham, Ji Yeon; Song, Kyung Eun; Lee, Nan Young] Kyungpook Natl Univ, Dept Lab Med, Chilgok Hosp, 807 Hoguk Ro, Daegu 41404, South Korea; [Ham, Ji Yeon; Song, Kyung Eun; Lee, Nan Young] Kyungpook Natl Univ, Sch Med, Dept Clin Pathol, Daegu, South Korea</t>
  </si>
  <si>
    <t xml:space="preserve">Kyungpook National University (KNU); Kyungpook National University (KNU); Kyungpook National University (KNU)</t>
  </si>
  <si>
    <t xml:space="preserve">lee, nan/HZM-0321-2023</t>
  </si>
  <si>
    <t xml:space="preserve">10.7754/Clin.Lab.2021.210636</t>
  </si>
  <si>
    <t xml:space="preserve">YY3FK</t>
  </si>
  <si>
    <t xml:space="preserve">WOS:000754676600020</t>
  </si>
  <si>
    <t xml:space="preserve">Neisi, N; Abbasi, S; Makvandi, M; Salmanzadeh, S; Biparva, S; Nahidsamiei, R; Ghandali, MV; Rasti, M; Angali, KA</t>
  </si>
  <si>
    <t xml:space="preserve">Neisi, Niloofar; Abbasi, Samaneh; Makvandi, Manoochehr; Salmanzadeh, Shokrollah; Biparva, Somayeh; Nahidsamiei, Rahil; Ghandali, Mehran Varnaseri; Rasti, Mojtaba; Angali, Kambiz Ahmadi</t>
  </si>
  <si>
    <t xml:space="preserve">Detection of Common Respiratory Viruses in Patients with Acute Respiratory Infections Using Multiplex Real-Time RT-PCR</t>
  </si>
  <si>
    <t xml:space="preserve">Acute Respiratory Infection; Real-Time Polymerase Chain Reaction; Genotype</t>
  </si>
  <si>
    <t xml:space="preserve">SYNCYTIAL VIRUS; HUMAN-METAPNEUMOVIRUS; MOLECULAR EPIDEMIOLOGY; PARAINFLUENZA VIRUS; COINFECTION; CHILDREN; UPDATE; YOUNG; 229E; IRAN</t>
  </si>
  <si>
    <t xml:space="preserve">Background: Acute respiratory infection (ARI) is caused by human metapneumovirus (HMPV), respiratory syncytial virus type A and B (RSV-A, RSV-B), human parainfluenza viruses 1, 2, and 3 (HPIV 1, HPIV-2, and HPIV-3), influenza viruses A and B (IfV-A, IfV-B), and human coronaviruses (OC43/HKU1, NL63, 229E) worldwide. Objectives: This study was conducted to assess the causative agents of viral ARI among hospitalized adults by real-time PCR. Methods: Clinical nasopharyngeal swabs of 112 patients including 55 (49.1%) males and 57 (50.89%) females with ARI were analyzed using multiplex real-time RT-PCR. Results: Out of 112 specimens, 61(54.46%)were positive including 10 (8.9%) for influenza H3N2, one (0.89%) for influenza B, 28 (25%) for RSV A,18 (16.07%) for HMPV-A, two (1.78%) for HPIV-1, and three (2.67%) for HPIV-3. Two (1.78%) specimens were positive for two agents, RSV-A/FIMPV-A and RSV-A/HPIV-3. The distribution of viral infections was 30 among males (26.78%) and 31(27.67%) among females (P = 0.862). High frequency of RSV-A infection (25%) and the low frequency of influenza B virus infection (0.89%) were detected among patients. The remaining 51(45.53%) samples were negative for RSV-B, HMPV-B, IfV-A, HPIV2-4A-4B, and HCoVs (OC43/HKU1, NL63, 229E). Conclusions: The role of other viruses such as human adenoviruses rhinovirus/enterovirus (RV/EV), human bocavirus (HBoV), and human parechovirus (HpeV) was not investigated. Multiplex PCR can be used as a rapid test for the diagnosis of viruses causing acute respiratory infection, which results in decreased length of hospitalization.</t>
  </si>
  <si>
    <t xml:space="preserve">[Neisi, Niloofar; Makvandi, Manoochehr; Salmanzadeh, Shokrollah; Nahidsamiei, Rahil; Rasti, Mojtaba] Ahvaz Jundishapur Univ Med Sci, Infect &amp; Trop Dis Res Ctr, Hlth Res Inst, Ahvaz, Iran; [Neisi, Niloofar; Makvandi, Manoochehr; Nahidsamiei, Rahil; Rasti, Mojtaba] Ahvaz Jundishapur Univ Med Sci, Sch Med, Virol Dept, Ahvaz, Iran; [Abbasi, Samaneh] Abadan Fac Med Sci, Abadan, Iran; [Biparva, Somayeh] Ahvaz Jundishapur Univ Med Sci, Sch Med, Dept Gen Courses, Ahvaz, Iran; [Ghandali, Mehran Varnaseri] Ahvaz Jundishapur Univ Med Sci, Hlth, Ahvaz, Iran; [Angali, Kambiz Ahmadi] Ahvaz Jundishapur Univ Med Sci, Sch Hlth, Biostat Dept, Ahvaz, Iran</t>
  </si>
  <si>
    <t xml:space="preserve">Ahvaz Jundishapur University of Medical Sciences (AJUMS); Ahvaz Jundishapur University of Medical Sciences (AJUMS); Ahvaz Jundishapur University of Medical Sciences (AJUMS); Ahvaz Jundishapur University of Medical Sciences (AJUMS); Ahvaz Jundishapur University of Medical Sciences (AJUMS)</t>
  </si>
  <si>
    <t xml:space="preserve">Makvandi, M (corresponding author), Ahvaz Jundishapur Univ Med Sci, Infect &amp; Trop Dis Res Ctr, Hlth Res Inst, Ahvaz, Iran.</t>
  </si>
  <si>
    <t xml:space="preserve">manoochehrmakvandi29@yahoo.com</t>
  </si>
  <si>
    <t xml:space="preserve">Abbasi, Samaneh/ABH-8827-2020; Neisi, Niloofar/AAD-5213-2019; angali, kambiz/S-7360-2017; makvandi, manoochehr/V-3740-2017; Salmanzadeh, Shokrollah/R-7800-2019; Rasti, Mojtaba/V-7231-2019</t>
  </si>
  <si>
    <t xml:space="preserve">ahmadi angali, kambiz/0000-0002-1530-2349; Rasti, Mojtaba/0000-0002-9622-4839; ahmadi angali, kambiz/0000-0002-6816-4517; Abbasi, Samaneh/0000-0002-5441-5119</t>
  </si>
  <si>
    <t xml:space="preserve">Infectious and Tropical Diseases Research Center, Health Research Institute, Ahvaz Jundishapur University of Medical Sciences, Ahvaz, Iran</t>
  </si>
  <si>
    <t xml:space="preserve">This project, with registration number 92105, was financially supported by the Infectious and Tropical Diseases Research Center, Health Research Institute, Ahvaz Jundishapur University of Medical Sciences, Ahvaz, Iran.</t>
  </si>
  <si>
    <t xml:space="preserve">e96513</t>
  </si>
  <si>
    <t xml:space="preserve">10.5812/jjm.96513</t>
  </si>
  <si>
    <t xml:space="preserve">KD6DW</t>
  </si>
  <si>
    <t xml:space="preserve">WOS:000507955800005</t>
  </si>
  <si>
    <t xml:space="preserve">Talbot, HKB; Crowe, JE; Edwards, KM; Griffin, MR; Zhu, YW; Weinberg, GA; Szilagyi, PG; Hall, CB; Podsiad, AB; Iwane, M; Williams, JV</t>
  </si>
  <si>
    <t xml:space="preserve">Talbot, H. Keipp B.; Crowe, James E., Jr.; Edwards, Kathryn M.; Griffin, Marie R.; Zhu, Yuwei; Weinberg, Geoffrey A.; Szilagyi, Peter G.; Hall, Caroline B.; Podsiad, Amy B.; Iwane, Marika; Williams, John V.</t>
  </si>
  <si>
    <t xml:space="preserve">Coronavirus Infection and Hospitalizations for Acute Respiratory Illness in Young Children</t>
  </si>
  <si>
    <t xml:space="preserve">acute respiratory infection; OC43; 229E; HCoV-NL63; HCoV-HKU</t>
  </si>
  <si>
    <t xml:space="preserve">POLYMERASE-CHAIN-REACTION; INTENSIVE-CARE UNIT; HUMAN METAPNEUMOVIRUS; NL63 INFECTION; HONG-KONG; DISEASE; INFLUENZA; INFANTS; VIRUS; TRACT</t>
  </si>
  <si>
    <t xml:space="preserve">There is only limited knowledge on the burden of disease clue to both new (HCoV-NL63 and HKU-1) and previously discovered coronaviruses (OC43 and 229E) in children. Respiratory specimens and clinical data were prospectively collected in an active, population-based surveillance study over a 2-year period from children aged &lt;5 years hospitalized with acute respiratory symptoms or fever. These samples were retrospectively tested by real-time RT-PCR for HCoV-NL63, HKU1, OC43, and 229E. Human coronaviruses (HCoVs) were identified in 2.2% of study children &lt;2 years of age. Rates of HCoV-associated hospitalization per 10,000 were 10.2 (95% Cl 4.3, 17.6), 4.2 (95% Cl 1.9, 6.9), and 0 (95% Cl 0, 3.7) in children aged &lt;6 months, 6-23 months, and 24-59 months, respectively. Coronaviruses were identified in a modest number of hospitalized children. J. Med. Viral. 81:853-856,2009. (C) 2009 Wiley-Liss, Inc.</t>
  </si>
  <si>
    <t xml:space="preserve">[Talbot, H. Keipp B.; Griffin, Marie R.] Vanderbilt Univ, Med Ctr, Dept Med, Nashville, TN USA; [Crowe, James E., Jr.; Edwards, Kathryn M.; Podsiad, Amy B.; Williams, John V.] Vanderbilt Univ, Med Ctr, Dept Pediat, Nashville, TN 37232 USA; [Crowe, James E., Jr.; Williams, John V.] Vanderbilt Univ, Med Ctr, Dept Microbiol, Nashville, TN 37232 USA; [Crowe, James E., Jr.; Williams, John V.] Vanderbilt Univ, Med Ctr, Dept Immunol, Nashville, TN 37232 USA; [Griffin, Marie R.] Vanderbilt Univ, Med Ctr, Dept Prevent Med, Nashville, TN 37232 USA; [Zhu, Yuwei] Vanderbilt Univ, Med Ctr, Dept Biostat, Nashville, TN 37232 USA; [Weinberg, Geoffrey A.; Szilagyi, Peter G.; Hall, Caroline B.] Univ Rochester, Sch Med &amp; Dent, Dept Pediat, Rochester, NY 14642 USA; [Iwane, Marika] Ctr Dis Control &amp; Prevent, Natl Ctr Infect Dis, Atlanta, GA USA</t>
  </si>
  <si>
    <t xml:space="preserve">Vanderbilt University; Vanderbilt University; Vanderbilt University; Vanderbilt University; Vanderbilt University; Vanderbilt University; University of Rochester; Centers for Disease Control &amp; Prevention - USA</t>
  </si>
  <si>
    <t xml:space="preserve">Talbot, HKB (corresponding author), A2200 MCN,1161 21st Ave S, Nashville, TN 37232 USA.</t>
  </si>
  <si>
    <t xml:space="preserve">Talbot, Helen/KLY-2181-2024; Williams, John/ABE-3227-2020; Weinberg, Geoffrey/W-7510-2019; Williams, John/F-6962-2010; Crowe, James/B-5549-2009</t>
  </si>
  <si>
    <t xml:space="preserve">Talbot, H. Keipp/0000-0003-0141-1760; Weinberg, Geoffrey/0000-0002-3900-379X; Williams, John/0000-0001-8377-5175; Crowe, James/0000-0002-0049-1079</t>
  </si>
  <si>
    <t xml:space="preserve">NIH/VTEU [N01 AI-25462]; Vanderbilt University [U38/CCU417958, U01/IP000022]; University of Rochester [U38/CCU217969, U01/IP000017]; NIH/NIAID [5K23AI074863-02]; NIH/NCRR [5 K12 RR017697-05]</t>
  </si>
  <si>
    <t xml:space="preserve">NIH/VTEU(United States Department of Health &amp; Human ServicesNational Institutes of Health (NIH) - USA); Vanderbilt University; University of Rochester; NIH/NIAID(United States Department of Health &amp; Human ServicesNational Institutes of Health (NIH) - USANIH National Institute of Allergy &amp; Infectious Diseases (NIAID)); NIH/NCRR(United States Department of Health &amp; Human ServicesNational Institutes of Health (NIH) - USANIH National Center for Research Resources (NCRR))</t>
  </si>
  <si>
    <t xml:space="preserve">Cooperative Agreements with the Centers for Disease Control and Prevention (partial support); Grant sponsor: NIH/VTEU; Grant number: N01 AI-25462; Grant sponsor: CDC cooperative agreement (Vanderbilt University); Grant numbers: U38/CCU417958, U01/IP000022; Grant sponsor: CDC cooperative agreement (University of Rochester); Grant numbers: U38/CCU217969, U01/IP000017; Grant sponsor: NIH/NIAID (to H.K.B.T.); Grant number: 5K23AI074863-02; Grant sponsor: NIH/NCRR; Grant number: 5 K12 RR017697-05.</t>
  </si>
  <si>
    <t xml:space="preserve">10.1002/jmv.21443</t>
  </si>
  <si>
    <t xml:space="preserve">429FR</t>
  </si>
  <si>
    <t xml:space="preserve">WOS:000264906800012</t>
  </si>
  <si>
    <t xml:space="preserve">Nascimento-Carvalho, CM; Cardoso, MRA; Ruuskanen, O; Lappalainen, M</t>
  </si>
  <si>
    <t xml:space="preserve">Nascimento-Carvalho, Cristiana M.; Cardoso, Maria-Regina A.; Ruuskanen, Olli; Lappalainen, Maija</t>
  </si>
  <si>
    <t xml:space="preserve">Sole infection by human metapneumovirus among children with radiographically diagnosed community-acquired pneumonia in a tropical region</t>
  </si>
  <si>
    <t xml:space="preserve">Acute respiratory infection; lower tract respiratory infection; new respiratory virus; respiratory viral infection</t>
  </si>
  <si>
    <t xml:space="preserve">VIRUSES; OLD</t>
  </si>
  <si>
    <t xml:space="preserve">Background Limited information is available on the role of human metapneumovirus (HMPV) as the unique pathogen among children hospitalized for community-acquired pneumonia (CAP) in a tropical region. Objective We aimed to describe HMPV infection among children with CAP investigating bacterial and viral co-infections. Patients and methods A prospective study was carried out in Salvador, North-East Brazil. Overall, 268 children aged &lt;5 years hospitalized for CAP were enrolled. Human metapneumovirus RNA was detected in nasopharyngeal aspirates (NPA) by reverse transcription polymerase chain reaction. Sixteen other bacterial and viral pathogens were investigated by an expanded panel of laboratory methods. Chest X-ray taken on admission was read by an independent paediatric radiologist unaware of clinical information or the established aetiology. Results Human metapneumovirus RNA was detected in NPAs of 11 (4.1%) children, of which 4 (36%) had sole HMPV infection. The disease was significantly shorter among patients with sole HMPV infection in comparison with patients with mixed infection (4 +/- 1 versus 7 +/- 2 days, P = 0.03). Three of those four patients had alveolar infiltrates. Conclusion Sole HMPV infection was detected in children with CAP in Salvador, North-East Brazil. HMPV may play a role in the childhood CAP burden.</t>
  </si>
  <si>
    <t xml:space="preserve">[Nascimento-Carvalho, Cristiana M.] Univ Fed Bahia, Sch Med, Dept Paediat, BR-40210630 Salvador, BA, Brazil; [Cardoso, Maria-Regina A.] Univ Sao Paulo, Fac Publ Hlth, Sao Paulo, Brazil; [Ruuskanen, Olli] Univ Turku, Dept Paediat, Turku, Finland; [Lappalainen, Maija] Univ Cent Hosp Lab Div, Dept Virol, Helsinki, Finland</t>
  </si>
  <si>
    <t xml:space="preserve">Universidade Federal da Bahia; Universidade de Sao Paulo; University of Turku; University of Helsinki; Helsinki University Central Hospital</t>
  </si>
  <si>
    <t xml:space="preserve">Nascimento-Carvalho, CM (corresponding author), Univ Fed Bahia, Sch Med, Dept Paediat, Rua Prof Aristides Novis,105-1201B, BR-40210630 Salvador, BA, Brazil.</t>
  </si>
  <si>
    <t xml:space="preserve">nascimentocarvalho@hotmail.com</t>
  </si>
  <si>
    <t xml:space="preserve">Cardoso, Maria/J-7280-2012</t>
  </si>
  <si>
    <t xml:space="preserve">Fundacao de Amparo a Pesquisa no Estado da Bahia (FAPESB), Salvador, Brazil; Helsinki University Central Hospital, Helsinki, Finland; Abbott; Roche Diagnostics</t>
  </si>
  <si>
    <t xml:space="preserve">Fundacao de Amparo a Pesquisa no Estado da Bahia (FAPESB), Salvador, Brazil; Helsinki University Central Hospital, Helsinki, Finland; Abbott(Abbott Laboratories); Roche Diagnostics</t>
  </si>
  <si>
    <t xml:space="preserve">This study was supported by the Fundacao de Amparo a Pesquisa no Estado da Bahia (FAPESB), Salvador, Brazil and the Helsinki University Central Hospital Research and Development fund, Helsinki, Finland. C M Nascimento-Carvalho and M-R A Cardoso are investigators of Brazilian Council for Science and Technology Development (CNPq).M Lappalainen has received reimbursement for attending a symposium organized by Abbott and Roche Diagnostics, and also received a fee for speaking from Abbott and Roche Diagnostics.</t>
  </si>
  <si>
    <t xml:space="preserve">10.1111/j.1750-2659.2011.00206.x</t>
  </si>
  <si>
    <t xml:space="preserve">789EU</t>
  </si>
  <si>
    <t xml:space="preserve">WOS:000292497700010</t>
  </si>
  <si>
    <t xml:space="preserve">Nascimento-Carvalho, AC; Ruuskanen, O; Nascimento-Carvalho, CM</t>
  </si>
  <si>
    <t xml:space="preserve">Nascimento-Carvalho, Amanda C.; Ruuskanen, Olli; Nascimento-Carvalho, Cristiana M.</t>
  </si>
  <si>
    <t xml:space="preserve">Comparison of the frequency of bacterial and viral infections among children with community-acquired pneumonia hospitalized across distinct severity categories: a prospective cross-sectional study</t>
  </si>
  <si>
    <t xml:space="preserve">Acute respiratory infection; Lower respiratory tract infection; Lung disease; Respiratory viruses; Severity assessment</t>
  </si>
  <si>
    <t xml:space="preserve">HUMAN BOCAVIRUS INFECTION; CHILDHOOD PNEUMONIA; STREPTOCOCCUS-PNEUMONIAE; HUMAN METAPNEUMOVIRUS; SIMKANIA-NEGEVENSIS; TROPICAL REGION; DIAGNOSIS; ETIOLOGY; ANTIBODIES; OUTCOMES</t>
  </si>
  <si>
    <t xml:space="preserve">Background: The comparison of the frequencies of bacterial and viral infections among children with community-acquired pneumonia (CAP) admitted in distinct severity categories, in an original study, is lacking in literature to-date. We aimed to achieve this goal. Methods: Children aged 2-59-months-old hospitalized with CAP were included in this prospective study in Salvador, Brazil. Clinical data and biological samples were collected to investigate 11 viruses and 8 bacteria. Severity was assessed by using the World Health Organization criteria. Results: One hundred eighty-one patients were classified as non-severe (n = 53; 29.3 %), severe (n = 111; 61.3 %), or very severe (n = 17; 9.4 %) CAP. Overall, aetiology was detected among 156 (86.2 %) cases; viral (n = 84; 46.4 %), bacterial (n = 26; 14.4 %) and viral-bacterial (n = 46; 25.4 %) infections were identified. Viral infection frequency was similar in severe/very severe and non-severe cases (46.1 % vs. 47.2 %; p = 0.9). Pneumococcal infection increased across non-severe (13.2 %), severe (23.4 %), and very severe (35.3 %) cases (qui-squared test for trend p = 0.04). Among patients with detected aetiology, after excluding cases with co-infection, the frequency of sole bacterial infection was different (p = 0.04) among the categories; non-severe (12.5 %), severe (29.3 %) or very severe (55.6 %). Among these patients, sole bacterial infection was independently associated with severity (OR = 4.4 [95 % CI:1.1-17. 6]; p = 0.04) in a model controlled for age (OR = 0.7 [95 % CI:0.5-1.1]; p = 0.1). Conclusions: A substantial proportion of cases in distinct severity subgroups had respiratory viral infections, which did not differ between severity categories. Bacterial infection, particularly pneumococcal infection, was more likely among severe/very severe cases.</t>
  </si>
  <si>
    <t xml:space="preserve">[Nascimento-Carvalho, Amanda C.] Bahiana Fdn Sci Dev, Bahiana Sch Med, Salvador, BA, Brazil; [Ruuskanen, Olli] Turku Univ, Dept Paediat, Turku, Finland; [Ruuskanen, Olli] Turku Univ Hosp, Turku, Finland; [Nascimento-Carvalho, Cristiana M.] Univ Fed Bahia, Dept Paediat, Sch Med, Salvador, BA, Brazil</t>
  </si>
  <si>
    <t xml:space="preserve">University of Turku; University of Turku; Universidade Federal da Bahia</t>
  </si>
  <si>
    <t xml:space="preserve">Nascimento-Carvalho, CM (corresponding author), Univ Fed Bahia, Dept Paediat, Sch Med, Salvador, BA, Brazil.</t>
  </si>
  <si>
    <t xml:space="preserve">Bahia State Agency for Research Funding (FAPESB) [52/2004]; Brazilian Council for Scientific and Technological Development (CNPq) [303551/2011-9]</t>
  </si>
  <si>
    <t xml:space="preserve">Bahia State Agency for Research Funding (FAPESB); Brazilian Council for Scientific and Technological Development (CNPq)(Conselho Nacional de Desenvolvimento Cientifico e Tecnologico (CNPQ))</t>
  </si>
  <si>
    <t xml:space="preserve">This study was supported by the Bahia State Agency for Research Funding (FAPESB) [grant number 52/2004] and the Brazilian Council for Scientific and Technological Development (CNPq) [grant number 303551/2011-9]. CMN-C is an investigator at CNPq. The funding agencies had no role in the design of the study and collection, analysis and interpretation of data and in writing the manuscript.</t>
  </si>
  <si>
    <t xml:space="preserve">JUL 22</t>
  </si>
  <si>
    <t xml:space="preserve">10.1186/s12887-016-0645-3</t>
  </si>
  <si>
    <t xml:space="preserve">DR9US</t>
  </si>
  <si>
    <t xml:space="preserve">WOS:000380242200002</t>
  </si>
  <si>
    <t xml:space="preserve">Chavan, RD; Kothari, ST; Zunjarrao, K; Chowdhary, AS</t>
  </si>
  <si>
    <t xml:space="preserve">Chavan, R. D.; Kothari, S. T.; Zunjarrao, K.; Chowdhary, A. S.</t>
  </si>
  <si>
    <t xml:space="preserve">Surveillance of Acute Respiratory Infections in Mumbai during 2011-12</t>
  </si>
  <si>
    <t xml:space="preserve">Acute respiratory infection; influenza-like illness; pandemic influenza A H1N1; respiratory syncytial virus; viral-bacterial co-infection</t>
  </si>
  <si>
    <t xml:space="preserve">MULTIPLEX PCR; HUMAN METAPNEUMOVIRUS; VIRAL-INFECTIONS; INFLUENZA-VIRUS; CHILDREN; PATTERNS; DISEASE; PNEUMONIAE; DIAGNOSIS; ASSAY</t>
  </si>
  <si>
    <t xml:space="preserve">Purpose: Acute respiratory infections (ARIs) are a leading cause of morbidity and mortality in individuals aged less than 5 years. ARI often leads to hospitalisation, and it has been indicated that causative viral and bacterial infections go undetermined and results in the occurrence of resistant strains. The objective of the study was to assess the prevalence of various viral and bacterial infections in patients with ARIs. Materials and Methods: Two hundred samples were collected from July 2011 to July 2012 with patients suffering from ARI. Viral and bacterial infections were determined by real time reverse transcriptase polymerase chain reaction. Results: Influenza-like illness (ILI) consisted of 109 patients and ARI consisted of 91 patients. Pandemic influenza A H1N1 was the major viral infection with 21 (19.2%) patients in ILI as compared with 16 (17.4%) patients in ARI. Respiratory syncytial virus (RSV) was found to be 1 (0.9%) in ILI and ARI. Viral co-infections were 16 (14.4%) in ILI and 4 (4.37%) in ARI where pandemic influenza A H1N1 and influenza type B were major contributors. In bacterial infections, Streptococcus pneumoniae with 11 (10.9%) cases were predominant in both the groups. Bacterial co-infection accounted for only 1 (1.09%) case in both the groups but the most significant finding was the viral-bacterial co-infection in which Haemophilus influenzae was the major co-infecting bacteria with the influenza viruses with 4 (4.36%) cases as compared with Streptotoccus pneumoniae. Conclusion: This data indicate the need to undertake continued surveillance that will help to better define the circulation of respiratory viruses along with the bacterial infections.</t>
  </si>
  <si>
    <t xml:space="preserve">[Chavan, R. D.; Kothari, S. T.; Zunjarrao, K.; Chowdhary, A. S.] Haffkine Inst Training Res &amp; Testing, Dept Virol, Mumbai, Maharashtra, India; [Chavan, R. D.; Kothari, S. T.; Zunjarrao, K.; Chowdhary, A. S.] Haffkine Inst Training Res &amp; Testing, Dept Immunol, Mumbai, Maharashtra, India</t>
  </si>
  <si>
    <t xml:space="preserve">Chavan, RD (corresponding author), Haffkine Inst Training Res &amp; Testing, Dept Virol, Mumbai, Maharashtra, India.</t>
  </si>
  <si>
    <t xml:space="preserve">raulchavan@gmail.com</t>
  </si>
  <si>
    <t xml:space="preserve">Chavan, Rahul/0000-0002-9021-0567</t>
  </si>
  <si>
    <t xml:space="preserve">Haffkine Institute for Training, Research and Testing, Mumbai</t>
  </si>
  <si>
    <t xml:space="preserve">Source of Support: The complete research was financially supported by Haffkine Institute for Training, Research and Testing, Mumbai, Conflict of Interest: In reference to the above, I as a corresponding author, submit the manuscript for publication in the Indian Journal of Medical Microbiology. This manuscript has not been published or considered for publication by any other journal or elsewhere. I declare no conflict of interest between the authors and accept all the terms and conditions displayed in http://www.ijmm.org/contributors.asp to the best of my knowledge.</t>
  </si>
  <si>
    <t xml:space="preserve">10.4103/0255-0857.148376</t>
  </si>
  <si>
    <t xml:space="preserve">CE8IT</t>
  </si>
  <si>
    <t xml:space="preserve">WOS:000352086300008</t>
  </si>
  <si>
    <t xml:space="preserve">McCracken, JP; Arvelo, W; Ortíz, J; Reyes, L; Gray, J; Estevez, A; Castañeda, O; Langley, G; Lindblade, KA</t>
  </si>
  <si>
    <t xml:space="preserve">McCracken, John P.; Arvelo, Wences; Ortiz, Jose; Reyes, Lissette; Gray, Jennifer; Estevez, Alejandra; Castaneda, Oscar; Langley, Gayle; Lindblade, Kim A.</t>
  </si>
  <si>
    <t xml:space="preserve">Comparative epidemiology of human metapneumovirus- and respiratory syncytial virus-associated hospitalizations in Guatemala</t>
  </si>
  <si>
    <t xml:space="preserve">Acute respiratory infection; human metapneumovirus; pneumonia; respiratory syncytial virus; surveillance</t>
  </si>
  <si>
    <t xml:space="preserve">YOUNG-CHILDREN; INFLUENZA-VIRUS; TRACT DISEASE; INFECTIONS; SURVEILLANCE; PNEUMONIA; INFANTS</t>
  </si>
  <si>
    <t xml:space="preserve">Background Human metapneumovirus (HMPV) is an important cause of acute respiratory infections (ARI), but little is known about how it compares with respiratory syncytial virus (RSV) in Central America. Objectives In this study, we describe hospitalized cases of HMPV- and RSV-ARI in Guatemala. Methods We conducted surveillance at three hospitals (November 2007-December 2012) and tested nasopharyngeal and oropharyngeal swab specimens for HMPV and RSV using real-time reverse transcription-polymerase chain reaction. We calculated incidence rates, and compared the epidemiology and outcomes of HMPV-positive versus RSV-positive and RSV-HMPV-negative cases. Results We enrolled and tested specimens from 6288 ARI cases; 596 (9%) were HMPV-positive and 1485 (24%) were RSV-positive. We observed a seasonal pattern of RSV but not HMPV. The proportion HMPV-positive was low (3%) and RSV-positive high (41%) for age &lt;1month, whereas these proportions were similar (similar to 20%) by age 2years. The annual incidence of hospitalized HMPV-ARI was 102/100000 children aged &lt;5years [95% confidence interval (CI): 75-178], 2 center dot 6/100000 persons aged 5-17years (95%CI: 1 center dot 2-5 center dot 0), and 2 center dot 6/100000 persons aged 18years (95%CI: 1 center dot 5-4 center dot 9). Among children aged &lt;5years, HMPV-positive cases were less severe than HMPV-RSV-negative cases after adjustment for confounders [odds ratio (OR) for intensive care=0 center dot 63, 95% CI 0 center dot 47-0 center dot 84]; OR for death=0 center dot 46, 95% CI 0 center dot 23-0 center dot 92). Conclusions Human metapneumovirus is a substantial contributor to ARI hospitalization in Guatemala, but HMPV hospitalizations are less frequent than RSV and, in young children, less severe than other etiologies. Preventive interventions should take into account the wide variation in incidence by age and unpredictable timing of incidence peaks.</t>
  </si>
  <si>
    <t xml:space="preserve">[McCracken, John P.; Gray, Jennifer; Estevez, Alejandra] Univ Valle Guatemala, Ctr Hlth Studies, Guatemala City, Guatemala; [Arvelo, Wences; Lindblade, Kim A.] Ctr Dis Control &amp; Prevent, Div Global Dis Detect &amp; Emergency Response, Ctr Global Hlth, Atlanta, GA USA; [Ortiz, Jose; Castaneda, Oscar] Guatemalan Social Secur Inst, Guatemala City, Guatemala; [Reyes, Lissette] Minist Publ Hlth &amp; Social Welf, Cuilapa, Santa Rosa, Guatemala; [Langley, Gayle] Ctr Dis Control &amp; Prevent, Div Viral Dis, Natl Ctr Immunizat &amp; Resp Dis, Atlanta, GA USA</t>
  </si>
  <si>
    <t xml:space="preserve">Universidad del Valle de Guatemala; Centers for Disease Control &amp; Prevention - USA; Centers for Disease Control &amp; Prevention - USA</t>
  </si>
  <si>
    <t xml:space="preserve">McCracken, JP (corresponding author), Univ Valle Guatemala, Ctr Hlth Studies, 18 Ave 11-95,Zona 15,VH 3, Guatemala City, Guatemala.</t>
  </si>
  <si>
    <t xml:space="preserve">jmccracken@ces.uvg.edu.gt</t>
  </si>
  <si>
    <t xml:space="preserve">Estevez, Alejandra/IAR-7016-2023</t>
  </si>
  <si>
    <t xml:space="preserve">Lindblade, Kim/0000-0002-5593-0470</t>
  </si>
  <si>
    <t xml:space="preserve">US Centers for Disease Control and Prevention (CDC) [UO1 GH000028-02]</t>
  </si>
  <si>
    <t xml:space="preserve">US Centers for Disease Control and Prevention (CDC)(United States Department of Health &amp; Human ServicesCenters for Disease Control &amp; Prevention - USA)</t>
  </si>
  <si>
    <t xml:space="preserve">This publication was supported by Cooperative Agreement Number UO1 GH000028-02 from the US Centers for Disease Control and Prevention (CDC). We are grateful to Dr. Juan Carlos Moir, epidemiologist from the Guatemala Ministry of Health who supported the implementation of the surveillance system, to Maria Renee Lopez for performing PCR tests and reviewing the manuscript, and to Dean Erdman for assisting with the description of laboratory methods.</t>
  </si>
  <si>
    <t xml:space="preserve">10.1111/irv.12251</t>
  </si>
  <si>
    <t xml:space="preserve">WOS:000337608700004</t>
  </si>
  <si>
    <t xml:space="preserve">Ikematsu, H; Takeuchi, Y; Rosenlund, M; Kawai, N; Shimamura, R; Hirata, M; Iwaki, N</t>
  </si>
  <si>
    <t xml:space="preserve">Ikematsu, Hideyuki; Takeuchi, Yuriko; Rosenlund, Mats; Kawai, Naoki; Shimamura, Ryuji; Hirata, Miki; Iwaki, Norio</t>
  </si>
  <si>
    <t xml:space="preserve">The post-infection outcomes of influenza and acute respiratory infection in patients above 50 years of age in Japan: an observational study</t>
  </si>
  <si>
    <t xml:space="preserve">Acute respiratory infection; human metapneumovirus; influenza; influenza-like illness; post-infection outcomes; respiratory syncytial virus; test-negative case-control; vaccine effectiveness</t>
  </si>
  <si>
    <t xml:space="preserve">VACCINE EFFECTIVENESS; ELDERLY-PEOPLE; ILLNESS; PCR; POPULATION; COMMUNITY; EFFICACY; SEROLOGY; HISTORY; BURDEN</t>
  </si>
  <si>
    <t xml:space="preserve">Objectives Influenza can be a serious illness, especially for older people, and reducing the impact of influenza in elderly is important. The objective of this study was to estimate the prevalence and postinfection outcomes of influenza among the over-50 population in Japan. Design An observational study was designed to ascertain the proportion of influenza cases in a population aged 50 years with acute respiratory infection (ARI) and to determine the postinfection outcomes of their illness during the 2008-09 influenza season in Japan. Respiratory specimens obtained from a total of 401 patients were tested by PCR for influenza viruses, respiratory syncytial virus (RSV) and human metapneumovirus (hMPV). The effectiveness of the seasonal trivalent influenza vaccine was estimated by a test-negative case control analysis. Setting Seventeen outpatient clinics located in four separate areas of Japan. Sample Respiratory swab specimens from the ARI patients aged 50 years. Main outcome measures Laboratory confirmed influenza in patients presenting with ARI. Results In all, 89 (22.2%) of the patients were positive for one of the tested viruses; 70 (78.7%) with influenza, 17 (19.1%) with RSV, and 2 (2.2%) with hMPV. Cough (95.7% vs 73.4%), loss of appetite (67.1% vs 35.5%), absence from work (50.0% vs 23.0%), impact on daily activity (90.0% vs 62.5%), and caregiver absence from work (5.7% vs 0.6%) were observed higher in influenza patients. The duration of feeling weakness (6.3 +/- 5.4 vs 3.6 +/- 1.9 days) and average days of reduced activity (5.2 vs 3.6 days) were longer for influenza patients. Vaccine effectiveness was estimated to be 32.1% (95% CI:) 14.9, 59.9%). Conclusions Influenza was the dominant ARI-causing virus and the clinical and socio-economic outcomes imposed on patients over 50 years of age was high for influenza.</t>
  </si>
  <si>
    <t xml:space="preserve">[Ikematsu, Hideyuki] Kyushu Univ, Dept Clin Trials, Ctr Adv Med Innovat, Higashi Ku, Fukuoka 8128582, Japan; [Ikematsu, Hideyuki; Kawai, Naoki; Shimamura, Ryuji; Hirata, Miki; Iwaki, Norio] Japan Phys Assoc, Tokyo, Japan; [Takeuchi, Yuriko; Rosenlund, Mats] GlaxoSmithKline Biol, Wavre, Belgium</t>
  </si>
  <si>
    <t xml:space="preserve">Kyushu University; GlaxoSmithKline</t>
  </si>
  <si>
    <t xml:space="preserve">Ikematsu, H (corresponding author), Kyushu Univ, Dept Clin Trials, Ctr Adv Med Innovat, Higashi Ku, 3-1-1 Maidashi, Fukuoka 8128582, Japan.</t>
  </si>
  <si>
    <t xml:space="preserve">hikematsu@camiku.kyushu-u.ac.jp</t>
  </si>
  <si>
    <t xml:space="preserve">rosenlund, mats/0000-0003-3273-9443</t>
  </si>
  <si>
    <t xml:space="preserve">Daiichi Sankyo; Toyama Chemical; GSK; Taisho Toyama Pharmaceutical Company; Chugai Pharmaceutical Company; GSK Biologicals</t>
  </si>
  <si>
    <t xml:space="preserve">Daiichi Sankyo(Daiichi Sankyo Company Limited); Toyama Chemical; GSK(GlaxoSmithKline); Taisho Toyama Pharmaceutical Company; Chugai Pharmaceutical Company; GSK Biologicals(GlaxoSmithKline)</t>
  </si>
  <si>
    <t xml:space="preserve">HI has received funding from Daiichi Sankyo, Toyama Chemical, GSK, Taisho Toyama Pharmaceutical Company, Chugai Pharmaceutical Company for his scientific researches, expert testimony, lectures and travel for academic presentation. Authors YT and MR are employed by GlaxoSmithKline. YT owns stock in GSK.This study is sponsored and funded by GSK Biologicals.</t>
  </si>
  <si>
    <t xml:space="preserve">10.1111/j.1750-2659.2011.00296.x</t>
  </si>
  <si>
    <t xml:space="preserve">WOS:000302715200021</t>
  </si>
  <si>
    <t xml:space="preserve">Cui, AL; Xie, ZB; Xu, J; Hu, KX; Zhu, RN; Li, Z; Li, Y; Sun, LW; Xiang, XY; Xu, BP; Zhang, RB; Gao, ZG; Zhang, Y; Xu, WB</t>
  </si>
  <si>
    <t xml:space="preserve">Cui, Aili; Xie, Zhibo; Xu, Jing; Hu, Kongxin; Zhu, Runan; Li, Zhong; Li, Yan; Sun, Liwei; Xiang, Xingyu; Xu, Baoping; Zhang, Rongbo; Gao, Zhenguo; Zhang, Yan; Xu, Wenbo</t>
  </si>
  <si>
    <t xml:space="preserve">Comparative analysis of the clinical and epidemiological characteristics of human influenza virus versus human respiratory syncytial virus versus human metapneumovirus infection in nine provinces of China during 2009-2021</t>
  </si>
  <si>
    <t xml:space="preserve">acute respiratory infection; human influenza; human metapneumovirus; human respiratory syncytial virus</t>
  </si>
  <si>
    <t xml:space="preserve">UNITED-STATES; CHILDREN; HOSPITALIZATIONS</t>
  </si>
  <si>
    <t xml:space="preserve">A comparative analysis of confirmed cases of human influenza virus (HIFV), human respiratory syncytial virus (HRSV), and human metapneumovirus (HMPV) was conducted to describe their clinical and epidemiological characteristics. During 2009-2021, active surveillance of acute respiratory infections (ARIs) was performed in nine provinces of China. Clinical and epidemiological information and laboratory testing results of HIFV, HRSV, and HMPV were analyzed. Among 11591 ARI patients, the single-infection rates of HIFV, HRSV, and HMPV were 15.00%, 9.59%, and 2.24%, respectively; the coinfection rate of these three viruses was 0.64%. HIFV infection was mainly in adults aged 15-59 years, accounting for 39.10%. HRSV and HMPV infections were mainly in children under 5 years old, accounting for 87.13% and 83.46%, respectively. Patients with HRSV infection were younger than HMPV. HRSV and HMPV had high similarities in clinical manifestations, presenting with lower respiratory symptoms. HIFV mainly presented with an upper respiratory infection. The epidemic peak of HRSV was earlier than that of HIFV, and that of HMPV was later than those of HRSV and HFIV. A total of 85.14% of coinfection cases were children under 5 years old. Coinfection might increase the risk of pneumonia in HIFV cases. During 2020-2021, the positive rates and seasonal patterns of these three viruses changed due to the impact of the COVID-19 pandemic. Certain clinical and epidemiological features were observed in HIFV, HRSV, and HMPV infections, which could be beneficial for guiding clinical diagnosis, treatment, and prevention of these three viruses in China.</t>
  </si>
  <si>
    <t xml:space="preserve">[Cui, Aili; Xie, Zhibo; Zhang, Yan; Xu, Wenbo] Natl Inst Viral Dis Control &amp; Prevent, Chinese Ctr Dis Control &amp; Prevent, NHC Key Lab Med Virol &amp; Viral Dis, Beijing 102206, Peoples R China; [Xu, Jing] Shaanxi Ctr Dis Control &amp; Prevent, Viral Dis Dept, Xian, Peoples R China; [Hu, Kongxin] Chinese Acad Inspect &amp; Quarantine, Inst Hlth Inspect &amp; Quarantine, Beijing, Peoples R China; [Zhu, Runan] Capital Inst Pediat, Dept Virol, Beijing Key Lab Pediat Virol, Beijing, Peoples R China; [Li, Zhong] Shandong Ctr Dis Control &amp; Prevent, Inst Communicable Dis Control &amp; Prevent, Dept Viral Dis, Jinan, Peoples R China; [Li, Yan] Hebei Ctr Dis Control &amp; Prevent, Inst Prevent &amp; Control Viral Dis, Shijiazhuang, Hebei, Peoples R China; [Sun, Liwei] Childrens Hosp Changchun, Precis Med Res Ctr, Changchun, Peoples R China; [Xiang, Xingyu] Hunan Ctr Dis Control &amp; Prevent, Microbiol Examinat Dept, Changsha, Peoples R China; [Xu, Baoping] Capital Med Univ, China Natl Clin Res Ctr Resp Dis, Natl Ctr Childrens Hlth,Res Unit Crit Infect Chil, Beijing Childrens Hosp,Chinese Acad Med Sci,Resp, Beijing, Peoples R China; [Zhang, Rongbo] Anhui Univ Sci &amp; Technol, Sch Med, Dept Immunol, Huainan, Peoples R China; [Gao, Zhenguo] Inst Infect Dis Prevent &amp; Treatment, Xinjiang Uyghur Autonomous Reg Ctr Dis Control &amp;, Urumqi, Peoples R China</t>
  </si>
  <si>
    <t xml:space="preserve">Chinese Center for Disease Control &amp; Prevention; National Institute for Viral Disease Control &amp; Prevention, Chinese Center for Disease Control &amp; Prevention; Chinese Academy of Inspection &amp; Quarantine; Capital Institute of Pediatrics (CIP); Capital Medical University; Chinese Academy of Medical Sciences - Peking Union Medical College; Anhui University of Science &amp; Technology</t>
  </si>
  <si>
    <t xml:space="preserve">Zhang, Y; Xu, WB (corresponding author), Natl Inst Viral Dis Control &amp; Prevent, Chinese Ctr Dis Control &amp; Prevent, NHC Key Lab Med Virol &amp; Viral Dis, Beijing 102206, Peoples R China.</t>
  </si>
  <si>
    <t xml:space="preserve">zhangyan@ivdc.chinacdc.cn; xuwb@ivdc.chinacdc.cn</t>
  </si>
  <si>
    <t xml:space="preserve">Xie, Zhibo/0000-0002-3327-453X; Cui, Aili/0000-0003-3288-6291</t>
  </si>
  <si>
    <t xml:space="preserve">Key Technologies Research and Development Program of the National Ministry of Science</t>
  </si>
  <si>
    <t xml:space="preserve">10.1002/jmv.28073</t>
  </si>
  <si>
    <t xml:space="preserve">WOS:000847114300001</t>
  </si>
  <si>
    <t xml:space="preserve">Gregianini, TS; Seadi, CF; Neto, LDZ; Martins, LG; Muller, GC; Straliotto, SM; da Veiga, ABG</t>
  </si>
  <si>
    <t xml:space="preserve">Gregianini, Tatiana Schaffer; Seadi, Claudete Farina; Zavarize Neto, Luiz Domingos; Martins, Leticia Garay; Muller, Guilherme Cerutti; Straliotto, Selir Maria; Gorini da Veiga, Ana Beatriz</t>
  </si>
  <si>
    <t xml:space="preserve">A 28-year study of human parainfluenza in Rio Grande do Sul, Southern Brazil</t>
  </si>
  <si>
    <t xml:space="preserve">acute respiratory infection; hPIV infection; respiratory virus; severe acute respiratory infection</t>
  </si>
  <si>
    <t xml:space="preserve">RESPIRATORY-SYNCYTIAL-VIRUS; INFLUENZA-A VIRUS; VIRAL-INFECTIONS; HUMAN METAPNEUMOVIRUS; TRACT INFECTIONS; UNITED-STATES; CHILDREN; SURVEILLANCE; HOSPITALIZATIONS; DIAGNOSIS</t>
  </si>
  <si>
    <t xml:space="preserve">Problem Human parainfluenza virus (hPIV) is an important pathogen in respiratory infections, however the health burden of hPIV is underestimated. This study describes the infections by hPIV1-3 in Rio Grande do Sul, Brazil, from 1990 to 2017, providing data of the frequency and seasonality of cases and associated clinical symptoms. Method of study Nasopharyngeal samples of patients with respiratory infection were collected, clinical data were analyzed, and immunofluorescence was used to detect hPIV. Results Respiratory viruses were detected in 33.63% of respiratory infections. In a total of 11 606 cases of viral respiratory infection, 781 were positive for hPIV; hPIV prevalence ranged from 2.14% to 27% of viral respiratory infections. hPIV1 circulates mainly during fall; hPIV3 circulation, in turn, starts in fall and peaks during spring; and cases of hPIV2 are reported along the year, with peaks in fall and early spring. The most affected age group was children, with hPIV prevalence of 74.23% in patients for less than 1 year. A higher proportion of girls were infected than boys, however, no difference by sex was observed considering all age groups. The most frequent type was hPIV3, especially in hospitalized patients. Both hPIV1 and 3 were associated with dyspnea, while hPIV2 caused mild symptoms mainly in nonhospitalized patients. Nineteen fatalities occurred, 89.5% of them associated with risk factors (prematurity; chronic diseases; age, 60 years). Conclusion hPIV causes a high number of respiratory infections, leading to hospitalization especially in children; epidemiological and surveillance studies are important for the control and management of respiratory infections.</t>
  </si>
  <si>
    <t xml:space="preserve">[Gregianini, Tatiana Schaffer; Seadi, Claudete Farina; Straliotto, Selir Maria] Secretaria Saude Estado Rio Grande do Sul LACEN S, Lab Cent Saude Publ, Porto Alegre, RS, Brazil; [Zavarize Neto, Luiz Domingos; Gorini da Veiga, Ana Beatriz] UFCSPA, Lab Biol Mol, Dept Ciencias Basicas Saude, Porto Alegre, RS, Brazil; [Zavarize Neto, Luiz Domingos; Muller, Guilherme Cerutti] Univ Vale Rio Sinos UNISINOS, Escola Saude, Sao Leopoldo, Rio Grande Do S, Brazil; [Martins, Leticia Garay] Secretaria Saude Estado Rio Grande do Sul CEVS SE, Ctr Estadual Vigilancia Saude, Porto Alegre, RS, Brazil</t>
  </si>
  <si>
    <t xml:space="preserve">Universidade Federal de Ciencias da Saude de Porto Alegre; Universidade do Vale do Rio dos Sinos (Unisinos)</t>
  </si>
  <si>
    <t xml:space="preserve">anabgv@ufcspa.edu.br</t>
  </si>
  <si>
    <t xml:space="preserve">10.1002/jmv.25459</t>
  </si>
  <si>
    <t xml:space="preserve">WOS:000473215200009</t>
  </si>
  <si>
    <t xml:space="preserve">Ortiz-Hernández, AA; Nishimura, KK; Noyola, DE; Moreno-Espinosa, S; Gamiño, A; Galindo-Fraga, A; Vázquez, RV; Aquino, MM; Ramirez-Venegas, A; Salgado, RV; Andrade-Platas, D; Estevez-Jimenéz, J; Ruiz-Palacios, GM; Guerrero, ML; Beigel, J; Smolskis, MC; Hunsberger, S; Freimanis-Hence, L; Llamosas-Gallardo, B</t>
  </si>
  <si>
    <t xml:space="preserve">Ortiz-Hernandez, Ana A.; Nishimura, Katherine K.; Noyola, Daniel E.; Moreno-Espinosa, Sarbelio; Gamino, Ana; Galindo-Fraga, Arturo; Valdez Vazquez, Rafael; Magana Aquino, Martin; Ramirez-Venegas, Alejandra; Valdes Salgado, Raydel; Andrade-Platas, Diana; Estevez-Jimenez, Juliana; Ruiz-Palacios, Guillermo M.; Lourdes Guerrero, Maria; Beigel, John; Smolskis, Mary C.; Hunsberger, Sally; Freimanis-Hence, Laura; Llamosas-Gallardo, Beatriz</t>
  </si>
  <si>
    <t xml:space="preserve">Mexico Emerging Infect Dis</t>
  </si>
  <si>
    <t xml:space="preserve">Differential risk of hospitalization among single virus infections causing influenza-like illnesses</t>
  </si>
  <si>
    <t xml:space="preserve">acute respiratory infection; hospitalization; influenza-like illness; single virus</t>
  </si>
  <si>
    <t xml:space="preserve">HUMAN METAPNEUMOVIRUS INFECTIONS; HUMAN BOCAVIRUS; RESPIRATORY-INFECTIONS; CLINICAL CHARACTERISTICS; SYSTEMATIC ANALYSIS; CHILDREN YOUNGER; DISEASE; MORTALITY; MEXICO; EPIDEMIOLOGY</t>
  </si>
  <si>
    <t xml:space="preserve">Background Acute respiratory infections are a major cause of morbidity in children and are often caused by viruses. However, the relative severity of illness associated with different viruses is unclear. The objective of this study was to evaluate the risk of hospitalization from different viruses in children presenting with an influenza-like illness (ILI). Methods Data from children 5 years old or younger participating in an ILI natural history study from April 2010 to March 2014 was analyzed. The adjusted odds ratio for hospitalization was estimated in children with infections caused by respiratory syncytial virus (RSV), metapneumovirus, bocavirus, parainfluenza viruses, rhinovirus/enterovirus, coronavirus, adenovirus, and influenza. Results A total of 1486 children (408 outpatients and 1078 inpatients) were included in this analysis. At least one virus was detected in 1227 (82.6%) patients. The most frequent viruses detected as single pathogens were RSV (n = 286), rhinovirus/enterovirus (n = 251), parainfluenza viruses (n = 104), and influenza A or B (n = 99). After controlling for potential confounders (age, sex, recruitment site, days from symptom onset to enrollment, and underlying illnesses), children with RSV and metapneumovirus infections showed a greater likelihood of hospitalization than those infected by parainfluenza viruses (OR 2.7 and 1.9, respectively), rhinovirus/enterovirus (OR 3.1 and 2.1, respectively), coronaviruses (OR 4.9 and 3.4, respectively), adenovirus (OR 4.6 and 3.2, respectively), and influenza (OR 6.3 and 4.4, respectively). Conclusions Children presenting with ILI caused by RSV and metapneumovirus were at greatest risk for hospitalization, while children with rhinovirus/enterovirus, parainfluenza, coronavirus, adenovirus, and influenza were at lower risk of hospitalization.</t>
  </si>
  <si>
    <t xml:space="preserve">[Ortiz-Hernandez, Ana A.; Andrade-Platas, Diana; Estevez-Jimenez, Juliana; Llamosas-Gallardo, Beatriz] Inst Nacl Pediat, Mexico City, DF, Mexico; [Nishimura, Katherine K.; Smolskis, Mary C.; Hunsberger, Sally] NIAID, NIH, 9000 Rockville Pike, Bethesda, MD 20892 USA; [Noyola, Daniel E.] Univ Autonoma San Luis Potosi, San Luis Potosi, Mexico; [Moreno-Espinosa, Sarbelio; Gamino, Ana] Hosp Infantil Mexico Dr Federico Gomez, Mexico City, DF, Mexico; [Galindo-Fraga, Arturo; Ruiz-Palacios, Guillermo M.; Lourdes Guerrero, Maria] Inst Nacl Ciencias Med &amp; Nutr Salvador Zubiran, Mexico City, DF, Mexico; [Valdez Vazquez, Rafael] Hosp Gen Dr Manuel Gea Gonzalez, Mexico City, DF, Mexico; [Magana Aquino, Martin] Hosp Reg Dr Ignacio Morones Prieto, San Luis Potosi, Mexico; [Ramirez-Venegas, Alejandra] Inst Nacl Enfermedades Resp, Mexico City, DF, Mexico; [Valdes Salgado, Raydel; Freimanis-Hence, Laura] Westat Corp, Rockville, MD USA; [Beigel, John] Leidos Biomed Res Inc, Frederick Natl Lab Canc Res, Frederick, MD USA</t>
  </si>
  <si>
    <t xml:space="preserve">National Institutes of Health (NIH) - USA; NIH National Institute of Allergy &amp; Infectious Diseases (NIAID); Universidad Autonoma de San Luis Potosi; Hospital Infantil de Mexico Federico Gomez; Instituto Nacional de Ciencias Medicas y Nutricion Salvador Zubiran - Mexico; Westat; National Institutes of Health (NIH) - USA; NIH National Cancer Institute (NCI); Frederick National Laboratory for Cancer Research</t>
  </si>
  <si>
    <t xml:space="preserve">Llamosas-Gallardo, B (corresponding author), Inst Nacl Pediat, Mexico City, DF, Mexico.</t>
  </si>
  <si>
    <t xml:space="preserve">bllamosas@yahoo.com.mx</t>
  </si>
  <si>
    <t xml:space="preserve">Noyola, Daniel/AAL-9773-2020; Ruiz-Palacios, Guillermo/GYQ-5462-2022; Beigel, John/AAQ-4289-2021; Guerrero, María/IQU-4757-2023</t>
  </si>
  <si>
    <t xml:space="preserve">Beigel, John/0000-0002-4879-4941; Galindo-Fraga, Arturo/0000-0002-2818-1160; Nishimura, Katherine/0000-0003-3950-4495; Ortiz-Hernandez, Ana Alejandra/0000-0001-6505-0066; Noyola, Daniel/0000-0002-4840-6742</t>
  </si>
  <si>
    <t xml:space="preserve">Mexico Ministry of Health; U.S. National Institute of Allergy and Infectious Diseases; CONACYT (Fondo Sectorial SSA/IMSS/ISSSTE) [71260, 127088]; Secretaria de Educacion Publica [P/PFCE-2016-24MSU0011E-12]; National Institute of Allergy and Infectious Diseases, National Institutes of Health, through its Intramural Research Programs; Westat, Inc. [HHSN2722009000031, HHSN27200002]; National Cancer Institute, National Institutes of Health [HHSN261200800001E]; Academy of Finland (AKA) [127088] Funding Source: Academy of Finland (AKA)</t>
  </si>
  <si>
    <t xml:space="preserve">Mexico Ministry of Health; U.S. National Institute of Allergy and Infectious Diseases(United States Department of Health &amp; Human ServicesNational Institutes of Health (NIH) - USANIH National Institute of Allergy &amp; Infectious Diseases (NIAID)); CONACYT (Fondo Sectorial SSA/IMSS/ISSSTE); Secretaria de Educacion Publica; National Institute of Allergy and Infectious Diseases, National Institutes of Health, through its Intramural Research Programs; Westat, Inc.; National Cancer Institute, National Institutes of Health(United States Department of Health &amp; Human ServicesNational Institutes of Health (NIH) - USANIH National Cancer Institute (NCI)); Academy of Finland (AKA)(Research Council of Finland)</t>
  </si>
  <si>
    <t xml:space="preserve">La Red is funded by the Mexico Ministry of Health and the U.S. National Institute of Allergy and Infectious Diseases. This study has been funded in part by CONACYT (Fondo Sectorial SSA/IMSS/ISSSTE, Projects No. 71260 and No. 127088); Secretaria de Educacion Publica (P/PFCE-2016-24MSU0011E-12); National Institute of Allergy and Infectious Diseases, National Institutes of Health, through its Intramural Research Programs and a contract with Westat, Inc., Contract Number: HHSN2722009000031, Task Order Number: HHSN27200002; and through the National Cancer Institute, National Institutes of Health, under Contract No. HHSN261200800001E. The content of this publication does not necessarily reflect the views or policies of the Department of Health and Human Services, or Westat, nor does mention of trade names, commercial products, or organizations imply endorsement by the US Government.</t>
  </si>
  <si>
    <t xml:space="preserve">10.1111/irv.12606</t>
  </si>
  <si>
    <t xml:space="preserve">HF3PZ</t>
  </si>
  <si>
    <t xml:space="preserve">WOS:000454148300005</t>
  </si>
  <si>
    <t xml:space="preserve">Minodier, L; Masse, S; Capai, L; Blanchon, T; Ceccaldi, PE; van der Werf, S; Hanslik, T; Charrel, R; Falchi, A</t>
  </si>
  <si>
    <t xml:space="preserve">Minodier, Laetitia; Masse, Shirley; Capai, Lisandru; Blanchon, Thierry; Ceccaldi, Pierre-Emmanuel; van der Werf, Sylvie; Hanslik, Thomas; Charrel, Remi; Falchi, Alessandra</t>
  </si>
  <si>
    <t xml:space="preserve">Clinical and virological factors associated with gastrointestinal symptoms in patients with acute respiratory infection: a two-year prospective study in general practice medicine</t>
  </si>
  <si>
    <t xml:space="preserve">Acute respiratory infection; Gastrointestinal symptoms; Enteric pathogens; Influenza virus; General practitioner</t>
  </si>
  <si>
    <t xml:space="preserve">HUMAN CORONAVIRUS INFECTIONS; HOSPITALIZED CHILDREN; SYNCYTIAL VIRUS; INFLUENZA-VIRUS; HUMAN METAPNEUMOVIRUS; ACUTE DIARRHEA; RISK-FACTORS; RHINOVIRUS; MANAGEMENT; OUTBREAK</t>
  </si>
  <si>
    <t xml:space="preserve">Background: Gastrointestinal (GI) symptoms, such as diarrhea, vomiting, abdominal pain and nausea are not an uncommon manifestation of an acute respiratory infection (ARI). We therefore evaluated clinical and microbiological factors associated with the presence of GI symptoms in patients consulting a general practitioner (GP) for ARI. Methods: Nasopharyngeal swabs, stool specimens and clinical data from patients presenting to GPs with an ARI were prospectively collected during two winter seasons (2014-2016). Samples were tested by quantitative real-time PCR for 12 respiratory pathogen groups and for 12 enteric pathogens. Results: Two hundred and four of 331 included patients (61.6%) were positive for at least one respiratory pathogen. Sixty-nine stools (20.8%) were positive for at least one pathogen (respiratory and/or enteric). GI symptoms were more likely declared in case of laboratory confirmed-enteric infection (adjusted odds ratio (aOR) = 3.2; 95% confidence interval [CI] [1.2-9.9]; p = 0.02) or human coronavirus (HCoV) infection (aOR = 2.7; [1.2-6.8]; p = 0.02). Consumption of antipyretic medication before the consultation seemed to reduce the risk of developing GI symptoms for patients with laboratory-confirmed influenza (aOR = 0.3; [0.1-0.6]; p = 0.002). Conclusions: The presence of GI symptoms in ARI patients could not be explained by the detection of respiratory pathogens in stools. However, the detection of enteric pathogens in stool samples could explained by the presence of GI symptoms in some of ARI cases. The biological mechanisms explaining the association between the presence of HCoVs in nasopharynx and GI symptoms need to be explored.</t>
  </si>
  <si>
    <t xml:space="preserve">[Minodier, Laetitia; Masse, Shirley; Capai, Lisandru; Falchi, Alessandra] Univ Corse, Lab Virol, EA7310, INSERM, F-20250 Corte, France; [Blanchon, Thierry] UPMC Univ Paris 06, Sorbonne Univ, Inst Pierre Louis Epidemiol &amp; Sante Publ, UMR S 1136, 56 Blvd Vincent Auriol, F-813937564 Paris, France; [Blanchon, Thierry] INSERM, Inst Pierre Louis Epidemiol &amp; Sante Publ, UMR S 1136, 56 Blvd Vincent Auriol, F-813937564 Paris, France; [Ceccaldi, Pierre-Emmanuel] Pasteur Inst, Virol Dept, Epidemiol &amp; Physiopathol Oncogen Viruses Unit, F-75015 Paris, France; [Ceccaldi, Pierre-Emmanuel; van der Werf, Sylvie] UMR CNRS 3569, F-75015 Paris, France; [Ceccaldi, Pierre-Emmanuel] Univ Paris Diderot, Inst Pasteur, Sorbonne Paris Cite, Cellule Pasteur, F-75015 Paris, France; [van der Werf, Sylvie] Pasteur Inst, Virol Dept, Mol Genet RNA Viruses Unit, F-75015 Paris, France; [van der Werf, Sylvie] Univ Paris Diderot, Sorbonne Paris Cite, Unite Genet Mol Virus ARN, EA302, F-75015 Paris, France; [Hanslik, Thomas] UPMC Univ Paris 06, Sorbonne Univ, IPLESP, UMRS 1136, Paris, France; [Hanslik, Thomas] Hop Ambroise Pare, Serv Med Interne, Boulogne, France; [Hanslik, Thomas] Univ Versailles St Quentin En Yvelines, UFR Sci Sante Simone Veil, Versailles, France; [Charrel, Remi] Aix Marseille Univ, EPV, UMR Emergence Pathol Virales, Inserm 1207,EHESP,IRD 190, Marseille, France; [Charrel, Remi] Publ Hosp Marseille, AP HM, Fdn IHU Mediterranee Infect, Marseille, France</t>
  </si>
  <si>
    <t xml:space="preserve">Institut National de la Sante et de la Recherche Medicale (Inserm); Sorbonne Universite; Sorbonne Universite; Institut National de la Sante et de la Recherche Medicale (Inserm); Pasteur Network; Universite Paris Cite; Institut Pasteur Paris; Centre National de la Recherche Scientifique (CNRS); Pasteur Network; Universite Paris Cite; Institut Pasteur Paris; Pasteur Network; Universite Paris Cite; Institut Pasteur Paris; Universite Paris Cite; Sorbonne Universite; Assistance Publique Hopitaux Paris (APHP); Hopital Universitaire Ambroise-Pare - APHP; Universite Paris Saclay; Institut de Recherche pour le Developpement (IRD); Ecole des Hautes Etudes en Sante Publique (EHESP); Institut National de la Sante et de la Recherche Medicale (Inserm); Aix-Marseille Universite; Aix-Marseille Universite; Assistance Publique-Hopitaux de Marseille</t>
  </si>
  <si>
    <t xml:space="preserve">Falchi, A (corresponding author), Univ Corse, Lab Virol, EA7310, INSERM, F-20250 Corte, France.</t>
  </si>
  <si>
    <t xml:space="preserve">CECCALDI, Pierre-Emmanuel/J-6628-2017; van der Velden, J./H-8101-2014; BLANCHON, Thierry/AAK-6254-2020; Charrel, Remi/B-7234-2015; FALCHI, Alessandra/AAQ-8039-2020</t>
  </si>
  <si>
    <t xml:space="preserve">Alessandra, FALCHI/0000-0003-0799-1460; BLANCHON, Thierry/0000-0001-9623-3906; van der WERF, Sylvie/0000-0002-1148-4456; Capai, Lisandru/0000-0002-3618-1582</t>
  </si>
  <si>
    <t xml:space="preserve">NOV 22</t>
  </si>
  <si>
    <t xml:space="preserve">10.1186/s12879-017-2823-9</t>
  </si>
  <si>
    <t xml:space="preserve">FN5NX</t>
  </si>
  <si>
    <t xml:space="preserve">WOS:000416056000001</t>
  </si>
  <si>
    <t xml:space="preserve">Zhang, LL; Xiao, Y; Xiang, ZC; Chen, L; Wang, Y; Wang, XM; Dong, XJ; Ren, LL; Wang, JW</t>
  </si>
  <si>
    <t xml:space="preserve">Zhang, Lulu; Xiao, Yan; Xiang, Zichun; Chen, Lan; Wang, Ying; Wang, Xinming; Dong, Xiaojing; Ren, Lili; Wang, Jianwei</t>
  </si>
  <si>
    <t xml:space="preserve">Statistical Analysis of Common Respiratory Viruses Reveals the Binary of Virus-Virus Interaction</t>
  </si>
  <si>
    <t xml:space="preserve">acute respiratory infection; etiology; epidemiology; surveillance; statistic model; virus-virus interaction</t>
  </si>
  <si>
    <t xml:space="preserve">COMMUNITY-ACQUIRED PNEUMONIA; VIRAL INTERFERENCE; IMMUNITY; DISEASE</t>
  </si>
  <si>
    <t xml:space="preserve">Respiratory viruses may interfere with each other and affect the epidemic trend of the virus. However, the understanding of the interactions between respiratory viruses at the population level is still very limited. We here conducted a prospective laboratory-based etiological study by enrolling 14,426 patients suffered from acute respiratory infection (ARI) in Beijing, China during 2005 to 2015. All 18 respiratory viruses were simultaneously tested for each nasal and throat swabs collected from enrolled patients using molecular tests. The virus correlations were quantitatively evaluated, and the respiratory viruses could be divided into two panels according to the positive and negative correlations. One included influenza viruses (IFVs) A, B, and respiratory syncytial virus (RSV), while the other included human parainfluenza viruses (HPIVs) 1/3, 2/4, adenovirus (Adv), human metapneumovirus (hMPV), and enterovirus (including rhinovirus, named picoRNA), &amp; alpha; and &amp; beta; human coronaviruses (HCoVs). The viruses were positive-correlated in each panel, while negative-correlated between panels. After adjusting the confounding factors by vector autoregressive model, positive interaction between IFV-A and RSV and negative interaction between IFV-A and picoRNA are still be observed. The asynchronous interference of IFV-A significantly delayed the peak of &amp; beta; human coronaviruses epidemic. The binary property of the respiratory virus interactions provides new insights into the viral epidemic dynamics in human population, facilitating the development of infectious disease control and prevention strategies.IMPORTANCE Systematic quantitative assessment of the interactions between different respiratory viruses is pivotal for the prevention of infectious diseases and the development of vaccine strategies. Our data showed stable interactions among respiratory viruses at human population level, which are season irrelevant. Respiratory viruses could be divided into two panels according to their positive and negative correlations. One included influenza virus and respiratory syncytial virus, while the other included other common respiratory viruses. It showed negative correlations between the two panels. The asynchronous interference between influenza virus and &amp; beta; human coronaviruses significantly delayed the peak of &amp; beta; human coronaviruses epidemic. The binary property of the viruses indicated transient immunity induced by one kind of virus would play role on subsequent infection, which provides important data for the development of epidemic surveillance strategies. Systematic quantitative assessment of the interactions between different respiratory viruses is pivotal for the prevention of infectious diseases and the development of vaccine strategies. Our data showed stable interactions among respiratory viruses at human population level, which are season irrelevant.</t>
  </si>
  <si>
    <t xml:space="preserve">[Zhang, Lulu; Xiao, Yan; Xiang, Zichun; Chen, Lan; Wang, Ying; Wang, Xinming; Ren, Lili; Wang, Jianwei] Chinese Acad Med Sci &amp; Peking Union Med Coll, Inst Pathogen Biol, Beijing, Peoples R China; [Xiao, Yan; Ren, Lili; Wang, Jianwei] Chinese Acad Med Sci &amp; Peking Union Med Coll, Key Lab Resp Dis Pathogen, Beijing, Peoples R China; [Dong, Xiaojing] Santa Clara Univ, Santa Clara, CA 95053 USA</t>
  </si>
  <si>
    <t xml:space="preserve">Chinese Academy of Medical Sciences - Peking Union Medical College; Peking Union Medical College; Institute of Pathogen Biology - CAMS; Chinese Academy of Medical Sciences - Peking Union Medical College; Peking Union Medical College; Santa Clara University</t>
  </si>
  <si>
    <t xml:space="preserve">Ren, LL; Wang, JW (corresponding author), Chinese Acad Med Sci &amp; Peking Union Med Coll, Inst Pathogen Biol, Beijing, Peoples R China.;Ren, LL; Wang, JW (corresponding author), Chinese Acad Med Sci &amp; Peking Union Med Coll, Key Lab Resp Dis Pathogen, Beijing, Peoples R China.;Dong, XJ (corresponding author), Santa Clara Univ, Santa Clara, CA 95053 USA.</t>
  </si>
  <si>
    <t xml:space="preserve">xdong1@scu.edu; renliliipb@163.com; wangjw28@163.com</t>
  </si>
  <si>
    <t xml:space="preserve">Wang, Jianwei/W-5916-2019; Chen, Liang/AED-1722-2022; Zhang, Lu/GLU-9890-2022; REN, LILI/JMR-0483-2023</t>
  </si>
  <si>
    <t xml:space="preserve">zhang, lulu/0000-0003-1865-5024</t>
  </si>
  <si>
    <t xml:space="preserve">National Major Science amp; Technology Project for Control and Prevention of Major Infectious Diseases in China [2017ZX10103004]; Chinese Academy of Medical Sciences (CAMS) Innovation Fund for Medical Sciences (CIFMS) [2021-I2M-1-038]; Fundamental Research Funds for the Central Universities [3332021092]; Nonprofit Central Research Institute Fund of Chinese Academy of Medical Sciences [2019PT310029]; Science Fund for Creative Research Groups of the National Natural Science Foundation of China [82221004]; National Natural Science Foundation of China [81930063]; Fondation Merieux</t>
  </si>
  <si>
    <t xml:space="preserve">National Major Science amp; Technology Project for Control and Prevention of Major Infectious Diseases in China; Chinese Academy of Medical Sciences (CAMS) Innovation Fund for Medical Sciences (CIFMS); Fundamental Research Funds for the Central Universities(Fundamental Research Funds for the Central Universities); Nonprofit Central Research Institute Fund of Chinese Academy of Medical Sciences; Science Fund for Creative Research Groups of the National Natural Science Foundation of China(National Natural Science Foundation of China (NSFC)); National Natural Science Foundation of China(National Natural Science Foundation of China (NSFC)); Fondation Merieux</t>
  </si>
  <si>
    <t xml:space="preserve">This study was funded in part by National Major Science &amp; Technology Project for Control and Prevention of Major Infectious Diseases in China (2017ZX10103004), Chinese Academy of Medical Sciences (CAMS) Innovation Fund for Medical Sciences (CIFMS) (2021-I2M-1-038), Fundamental Research Funds for the Central Universities (3332021092), the Nonprofit Central Research Institute Fund of Chinese Academy of Medical Sciences (2019PT310029), Science Fund for Creative Research Groups of the National Natural Science Foundation of China (82221004), the National Natural Science Foundation of China (81930063) and Fondation Merieux.</t>
  </si>
  <si>
    <t xml:space="preserve">AUG 17</t>
  </si>
  <si>
    <t xml:space="preserve">10.1128/spectrum.00019-23</t>
  </si>
  <si>
    <t xml:space="preserve">W8TH0</t>
  </si>
  <si>
    <t xml:space="preserve">WOS:001018029400001</t>
  </si>
  <si>
    <t xml:space="preserve">Babaei, A; Malekshahi, SS; Pirbonyeh, N; Sarvari, J; Moattari, A</t>
  </si>
  <si>
    <t xml:space="preserve">Babaei, Abouzar; Malekshahi, Somayeh Shatizadeh; Pirbonyeh, Neda; Sarvari, Jamal; Moattari, Afagh</t>
  </si>
  <si>
    <t xml:space="preserve">Phylogenetic analysis and circulation pattern of human metapneumovirus strains in children with acute respiratory infection in Iran, 2014-2015</t>
  </si>
  <si>
    <t xml:space="preserve">acute respiratory infection; epidemiology; human metapneumovirus; Iran; phylogenetic analysis</t>
  </si>
  <si>
    <t xml:space="preserve">TRACT INFECTIONS; GENETIC DIVERSITY; SYNCYTIAL VIRUS; HOSPITALIZED CHILDREN; HUMAN BOCAVIRUS; YOUNG-CHILDREN; PREVALENCE; DISEASE; VARIABILITY; SEVERITY</t>
  </si>
  <si>
    <t xml:space="preserve">Aim:The aim of the present study was to investigate the prevalence and genetic variation of the human metapneumovirus (HMPV)Ggene in children less than 8 years old with acute respiratory tract infections in Iran during 2014-2015.Materials &amp; methods:To this end, 110 nasal swabs were tested for HMPVFgene. All positive samples were tested for the full length of HMPVGgene, then sequenced and analyzed for phylogenetic grouping.Results:Six (5.45%) out of 110 samples were positive for HMPV gene. Our HMPV sequences clustered into two main clusters: A2b (five isolates) and B1 (one isolate). The dN/dS ratio showed the presence of negative selective pressure.Conclusion:A2b was the predominant genotype during the study period in southwest of Iran.</t>
  </si>
  <si>
    <t xml:space="preserve">[Babaei, Abouzar; Pirbonyeh, Neda; Sarvari, Jamal; Moattari, Afagh] Shiraz Univ Med Sci, Dept Bacteriol &amp; Virol, Shiraz, Iran; [Malekshahi, Somayeh Shatizadeh] Tarbiat Modares Univ, Dept Virol, Fac Med Sci, Tehran, Iran</t>
  </si>
  <si>
    <t xml:space="preserve">Shiraz University of Medical Science; Tarbiat Modares University</t>
  </si>
  <si>
    <t xml:space="preserve">Moattari, A (corresponding author), Shiraz Univ Med Sci, Dept Bacteriol &amp; Virol, Shiraz, Iran.</t>
  </si>
  <si>
    <t xml:space="preserve">malekshahi, Somayeh/N-1987-2019; Moattari, Afagh/U-8143-2017; sarvari, Jamal/I-2346-2015</t>
  </si>
  <si>
    <t xml:space="preserve">Moattari, Afagh/0000-0003-4394-9622; Pirbonyeh, Neda/0000-0001-5700-3913; sarvari, Jamal/0000-0002-2259-0836</t>
  </si>
  <si>
    <t xml:space="preserve">Shiraz University of Medical Sciences [93-7453]</t>
  </si>
  <si>
    <t xml:space="preserve">This study was funded and supported by Shiraz University of Medical Sciences (Grant No. 93-7453). The authors have no other relevant affiliations or financial involvement with any organization or entity with a financial interest in or financial conflict with the subject matter or materials discussed in the manuscript apart from those disclosed.</t>
  </si>
  <si>
    <t xml:space="preserve">10.2217/fvl-2020-0013</t>
  </si>
  <si>
    <t xml:space="preserve">NC2WK</t>
  </si>
  <si>
    <t xml:space="preserve">WOS:000558083200001</t>
  </si>
  <si>
    <t xml:space="preserve">Mizuta, K; Abiko, C; Aoki, Y; Ikeda, T; Itagaki, T; Katsushima, N; Matsuzaki, Y; Hongo, S; Noda, M; Kimura, H; Ahiko, T</t>
  </si>
  <si>
    <t xml:space="preserve">Mizuta, Katsumi; Abiko, Chieko; Aoki, Yoko; Ikeda, Tatsuya; Itagaki, Tsutomu; Katsushima, Noriko; Matsuzaki, Yoko; Hongo, Seiji; Noda, Masahiro; Kimura, Hirokazu; Ahiko, Tadayuki</t>
  </si>
  <si>
    <t xml:space="preserve">Endemicity of human metapneumovirus subgenogroups A2 and B2 in Yamagata, Japan, between 2004 and 2009</t>
  </si>
  <si>
    <t xml:space="preserve">acute respiratory infection; endemicity; human metapneumovirus; subgenogroup</t>
  </si>
  <si>
    <t xml:space="preserve">GENETIC-VARIABILITY; EPIDEMIOLOGY; INFECTIONS; DIVERSITY; CHILDREN</t>
  </si>
  <si>
    <t xml:space="preserve">To clarify a longitudinal epidemiology, we isolated 280 hMPV strains from patients with acute respiratory infections in Yamagata, Japan, between 2004 and 2009. We observed that the high season for hMPV was from winter to spring (between January and May) and the low season was in the fall (around September and October). A further molecular analysis revealed that subgenogroup A2 (A2) strains were the most commonly isolated (151/280; 53.9%), followed by B2 (108/280; 38.6%) and B1 (19/280; 6.8%). Our results suggested that A2 and B2 have been endemically in circulation as the major types almost every year, whereas other subgenogroups have appeared less frequently.</t>
  </si>
  <si>
    <t xml:space="preserve">[Mizuta, Katsumi; Abiko, Chieko; Aoki, Yoko; Ikeda, Tatsuya; Ahiko, Tadayuki] Yamagata Prefectural Inst Publ Hlth, Dept Microbiol, Yamagata 9900031, Japan; [Ikeda, Tatsuya] Yamanobe Pediat Clin, Yamagata 9900301, Japan; [Katsushima, Noriko] Katsushima Pediat Clin, Yamagata 9902461, Japan; [Noda, Masahiro] Natl Inst Infect Dis, Dept Virol 3, Tokyo 2080011, Japan; [Kimura, Hirokazu] Natl Inst Infect Dis, Infect Dis Surveillance Ctr, Tokyo 2080011, Japan</t>
  </si>
  <si>
    <t xml:space="preserve">National Institute of Infectious Diseases (NIID); National Institute of Infectious Diseases (NIID)</t>
  </si>
  <si>
    <t xml:space="preserve">Mizuta, K (corresponding author), Yamagata Prefectural Inst Publ Hlth, Dept Microbiol, 1-6-6 Tokamachi, Yamagata 9900031, Japan.</t>
  </si>
  <si>
    <t xml:space="preserve">mizutak@pref.yamagata.jp</t>
  </si>
  <si>
    <t xml:space="preserve">Ministry of Health, Labour and Welfare, Japan</t>
  </si>
  <si>
    <t xml:space="preserve">Ministry of Health, Labour and Welfare, Japan(Ministry of Health, Labour and Welfare, Japan)</t>
  </si>
  <si>
    <t xml:space="preserve">This work was supported by Research on Emerging and Re-emerging infectious Diseases from the Ministry of Health, Labour and Welfare, Japan. We thank the doctors, nurses, and people of Yamagata Prefecture for their assistance and collaboration in the surveillance of viral infectious diseases.</t>
  </si>
  <si>
    <t xml:space="preserve">10.1111/j.1348-0421.2010.00253.x</t>
  </si>
  <si>
    <t xml:space="preserve">654QL</t>
  </si>
  <si>
    <t xml:space="preserve">WOS:000282183000008</t>
  </si>
  <si>
    <t xml:space="preserve">Chorazy, ML; Lebeck, MG; McCarthy, TA; Richter, SS; Torner, JC; Gray, GC</t>
  </si>
  <si>
    <t xml:space="preserve">Chorazy, Margaret L.; Lebeck, Mark G.; McCarthy, Troy A.; Richter, Sandra S.; Torner, James C.; Gray, Gregory C.</t>
  </si>
  <si>
    <t xml:space="preserve">Polymicrobial Acute Respiratory Infections in a Hospital-based Pediatric Population</t>
  </si>
  <si>
    <t xml:space="preserve">acute respiratory infection; coinfection; epidemiology; polymicrobial infection</t>
  </si>
  <si>
    <t xml:space="preserve">COMMUNITY-ACQUIRED PNEUMONIA; TRACT INFECTIONS; VIRAL-INFECTIONS; HUMAN BOCAVIRUS; MULTIPLEX PCR; CHILDREN; PATHOGENS; VIRUSES; EPIDEMIOLOGY; INFANTS</t>
  </si>
  <si>
    <t xml:space="preserve">Background: The clinical impact of polymicrobial respiratory infections remains uncertain. Previous reports are contradictory regarding an association with severe disease. Methods: Three hundred forty-six specimens from children with acute respiratory illness identified at the University of Iowa Hospitals and Clinics Clinical Microbiology Laboratory were evaluated by direct immunofluorescent assay and/or viral culture by Clinical Microbiology Laboratory and later by molecular study for the presence of influenza, parainfluenza, respiratory syncytial virus, adenovirus, human metapneumovirus, rhinovirus and human bocavirus. Demographic and clinical data were abstracted from medical records. Results: Multiple viruses were detected in 46 (21.7%) of 212 virus-positive specimens with the most frequent virus-virus combinations being HRV-respiratory syncytial virus (n = 12), HRV-human bocavirus (n = 6) and HRV-parainfluenza virus 3 (n = 4). Risk factors for coinfection included male gender (OR [odds ratio]: 1.70, 95% confidence interval [CI]: 0.83-3.46), 6 months to 1 year age (OR: 2.15, 95% CI: 0.75-6.19) and history of immunosuppression (OR: 2.05, 95% CI: 0.99-4.23). Children with viral coinfections were less likely than children with single virus infections to be admitted to an intensive care unit (OR: 0.32, 95% CI: 0.08-1.27); however, this may be explained by undetected viral-bacterial coinfections. Conclusions: HRV, respiratory syncytial virus, human bocavirus, and polymicrobial infections were prevalent in this study. Although the cross-sectional design could not easily examine polymicrobial infection and disease severity, prospective, population-based research regarding the clinical impact of such infections is warranted.</t>
  </si>
  <si>
    <t xml:space="preserve">[Chorazy, Margaret L.; Torner, James C.] Univ Iowa, Coll Publ Hlth, Dept Epidemiol, Iowa City, IA 52242 USA; [Lebeck, Mark G.] Univ Iowa, Coll Publ Hlth, Dept Occupat &amp; Environm Hlth, Iowa City, IA 52242 USA; [McCarthy, Troy A.] Univ Iowa, Coll Med, Ctr Biocatalysis &amp; Bioproc, Iowa City, IA 52242 USA; [Richter, Sandra S.] Cleveland Clin, Dept Clin Pathol, Cleveland, OH 44106 USA; [Gray, Gregory C.] Univ Florida, Coll Publ Hlth &amp; Hlth Profess, Dept Environm &amp; Global Hlth, Gainesville, FL USA</t>
  </si>
  <si>
    <t xml:space="preserve">University of Iowa; University of Iowa; University of Iowa; Cleveland Clinic Foundation; State University System of Florida; University of Florida</t>
  </si>
  <si>
    <t xml:space="preserve">Chorazy, ML (corresponding author), Univ Iowa, Coll Publ Hlth, Dept Epidemiol, 105 River St,S449 CPHB, Iowa City, IA 52242 USA.</t>
  </si>
  <si>
    <t xml:space="preserve">margaret-chorazy@uiowa.edu</t>
  </si>
  <si>
    <t xml:space="preserve">Gray, Gregory/0000-0002-4628-5908</t>
  </si>
  <si>
    <t xml:space="preserve">US Armed Forces Health Surveillance Center-Global Emerging Infections Surveillance Operations; National Institute of Allergy and Infectious Diseases [R01 AI053034]</t>
  </si>
  <si>
    <t xml:space="preserve">US Armed Forces Health Surveillance Center-Global Emerging Infections Surveillance Operations; National Institute of Allergy and Infectious Diseases(United States Department of Health &amp; Human ServicesNational Institutes of Health (NIH) - USANIH National Institute of Allergy &amp; Infectious Diseases (NIAID))</t>
  </si>
  <si>
    <t xml:space="preserve">This work was supported by the US Armed Forces Health Surveillance Center-Global Emerging Infections Surveillance Operations (grants to G.C.G.) and the National Institute of Allergy and Infectious Diseases (R01 AI053034 to G.C.G.). Dr. Dean D. Erdman from the Centers for Disease Control and Prevention, Atlanta, GA, provided the HBoV plasmid, which served as a positive PCR control. The authors have no other funding or conflicts of interest to disclose.</t>
  </si>
  <si>
    <t xml:space="preserve">10.1097/INF.0b013e31828683ce</t>
  </si>
  <si>
    <t xml:space="preserve">WOS:000318684400013</t>
  </si>
  <si>
    <t xml:space="preserve">Awad, S; Khader, Y; Mansi, M; Yusef, D; Alawadin, S; Qudah, W; Khasawneh, R</t>
  </si>
  <si>
    <t xml:space="preserve">Awad, Samah; Khader, Yousef; Mansi, Moa'th; Yusef, Dawood; Alawadin, Salah; Qudah, Walaa; Khasawneh, Ruba</t>
  </si>
  <si>
    <t xml:space="preserve">Viral Surveillance of Children with Acute Respiratory Infection in Two Main Hospitals in Northern Jordan, Irbid, during Winter of 2016</t>
  </si>
  <si>
    <t xml:space="preserve">acute respiratory infection; children; Jordan; respiratory syncytial virus; RT-PCR</t>
  </si>
  <si>
    <t xml:space="preserve">SYNCYTIAL VIRUS-INFECTION; RISK-FACTORS; HUMAN-METAPNEUMOVIRUS; YOUNG-CHILDREN; PREMATURE-INFANTS; DISEASE SEVERITY; EPIDEMIOLOGY; BURDEN; HOSPITALIZATIONS; BRONCHIOLITIS</t>
  </si>
  <si>
    <t xml:space="preserve">Acute lower respiratory infection (ALRI) is a major cause of morbidity and mortality worldwide. Data regarding the etiology of acute respiratory infection (ARI) is scarce in developing countries. The aim of this study was to identify the viral etiology of ARI/ALRI in hospitalized children and factors associated with increased length of stay (LoS) and severe disease presentation in Northern Jordan. This was a prospective viral surveillance study using real-time reverse transcriptase-polymerase chain reaction in children younger than 5 years admitted with ARI to two main hospitals in Northern Jordan during the winter of 2016. Nasopharyngeal swabs were obtained and tested for respiratory syncytial virus (RSV) and other viruses. Demographic and clinical characteristics of RSV-positive patients were compared with those of RSV-negative patients. There were 479 patients hospitalized with ARI. Their mean age (standard deviation) was 10.4 (11.6) months. 53.9% tested positive for at least one virus, with RSV being the most commonly detected virus (34%). Compared with RSV-negative patients, RSV-positive patients were younger, more likely to have chronic lung disease, and more likely to present with cough, rhinorrhea, difficulty in breathing, retraction, flaring, grunting, wheezing, and a higher respiratory rate. Prematurity, presence of a chronic illness, oxygen saturation &lt; 90%, and atelectasis and consolidation on chest X-rays were significantly associated with an increased mean LoS. Patients with a history of prematurity had higher risk of severe disease (odds ratio = 2.6; 95% confidence interval: 1.5, 4.7; p = 0.001). Compared with patients 6 months old and younger, patients aged 6.1 to 12 months were less likely to have severe disease. Human metapneumovirus (HMPV)-positive ALRI was associated with increased odds of severe disease. Viruses are recognized as etiological agent of ARI/ALRI-associated morbidity in developing countries that need more attention and implementation of targeted strategies for prevention and detection. HMPV can be a cause of severe ALRI.</t>
  </si>
  <si>
    <t xml:space="preserve">[Awad, Samah; Mansi, Moa'th; Yusef, Dawood; Alawadin, Salah; Qudah, Walaa] Jordan Univ Sci &amp; Technol, King Abdullah Univ Hosp, Fac Med, Dept Pediat &amp; Neonatol, POB 3030, Irbid 22110, Jordan; [Khader, Yousef] Jordan Univ Sci &amp; Technol, Fac Med, Dept Publ Hlth &amp; Community Med, Irbid, Jordan; [Khasawneh, Ruba] Jordan Univ Sci &amp; Technol, King Abdullah Univ Hosp, Fac Med, Dept Diagnost Radiol &amp; Nucl Med, Irbid, Jordan</t>
  </si>
  <si>
    <t xml:space="preserve">Jordan University of Science &amp; Technology; King Abdullah University Hospital; Jordan University of Science &amp; Technology; Jordan University of Science &amp; Technology; King Abdullah University Hospital</t>
  </si>
  <si>
    <t xml:space="preserve">Awad, S (corresponding author), Jordan Univ Sci &amp; Technol, King Abdullah Univ Hosp, Fac Med, Dept Pediat &amp; Neonatol, POB 3030, Irbid 22110, Jordan.</t>
  </si>
  <si>
    <t xml:space="preserve">smawad@just.edu.jo</t>
  </si>
  <si>
    <t xml:space="preserve">khader, yousef/AAE-9620-2019</t>
  </si>
  <si>
    <t xml:space="preserve">khader, yousef/0000-0002-7830-6857</t>
  </si>
  <si>
    <t xml:space="preserve">Deanship of Research at Jordan University of Science and Technology [20150367]</t>
  </si>
  <si>
    <t xml:space="preserve">Deanship of Research at Jordan University of Science and Technology(Jordan University of Science &amp; Technology)</t>
  </si>
  <si>
    <t xml:space="preserve">This work was supported by the Deanship of Research at Jordan University of Science and Technology under grant number: 20150367.</t>
  </si>
  <si>
    <t xml:space="preserve">10.1055/s-0039-1692972</t>
  </si>
  <si>
    <t xml:space="preserve">JZ3WB</t>
  </si>
  <si>
    <t xml:space="preserve">WOS:000505031000001</t>
  </si>
  <si>
    <t xml:space="preserve">Lee, CY; Chang, YF; Lee, CL; Wu, MC; Ho, CL; Chang, YC; Chan, YJ</t>
  </si>
  <si>
    <t xml:space="preserve">Lee, Chun-Yi; Chang, Yu-Fen; Lee, Chia-Lin; Wu, Meng-Che; Ho, Chi-Lin; Chang, Yu-Chuan; Chan, Yu-Jiun</t>
  </si>
  <si>
    <t xml:space="preserve">Molecular viral epidemiology and clinical characterization of acute febrile respiratory infections in hospitalized children in Taiwan</t>
  </si>
  <si>
    <t xml:space="preserve">acute respiratory infection; children; epidemiology; respiratory viruses; xTAG RVP fast assay</t>
  </si>
  <si>
    <t xml:space="preserve">TRACT INFECTIONS; MULTIPLEX PCR; VIRUS-INFECTIONS; ETIOLOGY; INFANTS; ASSAYS</t>
  </si>
  <si>
    <t xml:space="preserve">Acute respiratory infection (ARI) is a leading cause of morbidity and hospitalization in children. To profile the viruses causing ARI in children admitted to a community-based hospital in central Taiwan, a cross-sectional study was conducted on children under 14 years of age that were hospitalized with febrile ARI. Viral etiology was determined using conventional cell culture and a commercial respiratory virus panel fast assay (xTAG RVP), capable of detecting 19 different respiratory viruses and subtype targets. Demographic, clinical, and laboratory data were recorded and analyzed. The RVP fast assay identified at least one respiratory virus in 130 of the 216 specimens examined (60.2%) and rose to 137 (63.4%) by combining the results of cell culture and RVP fast assay. In order of frequency, the etiological agents identified were, rhinovirus/enterovirus (24.6%), respiratory syncytial virus (13.8%), adenovirus (11.5%), parainfluenza virus (9.2%), influenza B (8.4%), influenza A (5.4%), human metapneumovirus (4.6%), human coronavirus (2%), and human bocavirus (2%). Co-infection did not result in an increase in clinical severity. The RVP assay detected more positive specimens, but failed to detect 6 viruses identified by culture. The viral detection rate for the RVP assay was affected by how many days after admission the samples were taken (P=0.03). In conclusion, Rhinovirus/enterovirus, respiratory syncytial virus, and adenovirus were prevalent in this study by adopting RVP assay. The viral detection rate is influenced by sampling time, especially if the tests are performed during the first three days of hospitalization. J. Med. Virol. 87:1860-1866, 2015. (c) 2015 Wiley Periodicals, Inc.</t>
  </si>
  <si>
    <t xml:space="preserve">[Lee, Chun-Yi; Wu, Meng-Che; Ho, Chi-Lin; Chang, Yu-Chuan] Chang Bing Show Chwan Mem Hosp, Dept Pediat, Changhua, Taiwan; [Chang, Yu-Fen] Chang Bing Show Chwan Mem Hosp, Dept Clin Lab, Changhua, Taiwan; [Lee, Chia-Lin; Chan, Yu-Jiun] Taipei Vet Gen Hosp, Dept Pathol &amp; Lab Med, Div Microbiol, Taipei 11217, Taiwan; [Chan, Yu-Jiun] Taipei Vet Gen Hosp, Dept Med, Div Infect Dis, Taipei, Taiwan; [Chan, Yu-Jiun] Natl Yang Ming Univ, Inst Publ Hlth, Taipei 112, Taiwan</t>
  </si>
  <si>
    <t xml:space="preserve">Chang Bing Show Chwan Memorial Hospital; Chang Bing Show Chwan Memorial Hospital; Taipei Veterans General Hospital; Taipei Veterans General Hospital; National Yang Ming Chiao Tung University</t>
  </si>
  <si>
    <t xml:space="preserve">Chan, YJ (corresponding author), Taipei Vet Gen Hosp, Dept Pathol &amp; Lab Med, Div Microbiol, 201,Sec 2,Shipai Rd Beitou Dist, Taipei 11217, Taiwan.</t>
  </si>
  <si>
    <t xml:space="preserve">yjchan@vghtpe.gov.tw</t>
  </si>
  <si>
    <t xml:space="preserve">Chung, Chi-Hsiang/AAY-3386-2021</t>
  </si>
  <si>
    <t xml:space="preserve">Chang, Yu Chuan/0000-0002-1464-9228</t>
  </si>
  <si>
    <t xml:space="preserve">Chang Bing Show Chwan Memorial Hospital [CBSH10010019]</t>
  </si>
  <si>
    <t xml:space="preserve">Chang Bing Show Chwan Memorial Hospital</t>
  </si>
  <si>
    <t xml:space="preserve">Grant sponsor: Chang Bing Show Chwan Memorial Hospital; Grant number: CBSH10010019.</t>
  </si>
  <si>
    <t xml:space="preserve">10.1002/jmv.24258</t>
  </si>
  <si>
    <t xml:space="preserve">WOS:000360726600008</t>
  </si>
  <si>
    <t xml:space="preserve">Köker, SA; Demirag, B; Tahta, N; Bayram, N; Oymak, Y; Karapinar, TH; Gözmen, S; Düzgöl, M; Bozyer, HE; Vergin, C; Devrim, I</t>
  </si>
  <si>
    <t xml:space="preserve">Koker, Sultan Aydin; Demirag, Bengu; Tahta, Neryal; Bayram, Nuri; Oymak, Yesim; Karapinar, Tuba H.; Gozmen, Salih; Duzgol, Mine; Bozyer, Hazer Ercan; Vergin, Canan; Devrim, Ilker</t>
  </si>
  <si>
    <t xml:space="preserve">A 3-Year Retrospective Study of the Epidemiology of Acute Respiratory Viral Infections in Pediatric Patients With Cancer Undergoing Chemotherapy</t>
  </si>
  <si>
    <t xml:space="preserve">acute respiratory infection; children with cancer; viruses</t>
  </si>
  <si>
    <t xml:space="preserve">INFLUENZA; CHILDREN</t>
  </si>
  <si>
    <t xml:space="preserve">Background: Acute viral respiratory infections are common causes of febrile episodes in children. There are still limited data about distribution of acute viral respiratory infections in children with cancer. Objective: The first aim of this study was to evaluate the viral etiology and seasonality of acute viral respiratory infection in pediatric patients with cancer in a 3-year study. Our second aim was to evaluate the impact of viral infections on delaying the patients' chemotherapy or radiotherapy. Materials and Methods: This cross-sectional study was conducted from January 2014 to July 2017. Nasopharyngeal aspirates were analyzed in patients younger than 21 years with acute respiratory infections. Patients were treated in the Pediatric Hematology and Oncology Department of Dr. Behcet Uz Children's Hospital with real-time multiplex polymerase chain reaction. Data were analyzed to determine the frequency and seasonality of infections. The chi(2) or the Fisher exact tests were used. Results: A total of 219 samples of nasopharyngeal aspirates and blood were analyzed. The mean patient age was 76.8 +/- 59.3 months, with 46.3% female and 53.7% male children in a total of 108 patients. Of this total, 55% (60/108 cases) had multiple acute respiratory infections. Acute lymphoblastic leukemia (48.1%) was the most prevalent disease. The 3 most prevalent viruses were human rhinovirus (HRV) (33.1%), parainfluenza (PI) (18.7%), and coronavirus (CoV) (14.8%). In terms of the seasonal distribution of viruses, PI was most common in winter 2014, HRV in spring 2014, HRV in fall 2014, PI in winter 2015 and summer 2015, CoV in spring 2015, HRV in fall 2015, both influenza and HRV in winter 2016, both human metapneumovirus and bocavirus in spring 2016, HRV in summer 2016, both HRV and PI in fall 2016, both respiratory syncytial virus and influenza in winter 2017, HRV in spring 2017, and both HRV and adenovirus in summer 2017. The mean duration of neutropenia for patients with viral respiratory infection was 17.1 +/- 13.8 (range: 2 to 90) days. The mean duration of symptoms of viral respiratory infection was 6.8 +/- 4.2 (range: 2 to 31) days. A delay in chemotherapy treatment owing to viral respiratory infection was detected in 73 (33.3%) patients. The mean duration of delay in chemotherapy treatment was 9.6 +/- 5.4 (range: 3 to 31) days. Conclusions: In conclusion, we report our 3-year experience about the frequency and seasonality of respiratory viruses in children with cancer.</t>
  </si>
  <si>
    <t xml:space="preserve">[Koker, Sultan Aydin; Demirag, Bengu; Tahta, Neryal; Oymak, Yesim; Karapinar, Tuba H.; Gozmen, Salih; Vergin, Canan] Dr Behcet Uz Childrens Hosp, Dept Pediat Hematol &amp; Oncol, TR-35350 Izmir, Turkey; [Bayram, Nuri; Duzgol, Mine; Devrim, Ilker] Dr Behcet Uz Childrens Hosp, Dept Pediat Infect, Izmir, Turkey; [Bozyer, Hazer Ercan] Dr Behcet Uz Childrens Hosp, Dept Pediat, Izmir, Turkey</t>
  </si>
  <si>
    <t xml:space="preserve">Izmir Dr Behcet Uz Children's Disease &amp; Surgery Training &amp; Research Hospital; Izmir Dr Behcet Uz Children's Disease &amp; Surgery Training &amp; Research Hospital; Izmir Dr Behcet Uz Children's Disease &amp; Surgery Training &amp; Research Hospital</t>
  </si>
  <si>
    <t xml:space="preserve">Köker, SA (corresponding author), Dr Behcet Uz Childrens Hosp, Dept Pediat Hematol &amp; Oncol, TR-35350 Izmir, Turkey.</t>
  </si>
  <si>
    <t xml:space="preserve">drsultanaydin@hotmail.com</t>
  </si>
  <si>
    <t xml:space="preserve">gözmen, salih/HMO-7415-2023; oymak, yesim/ABH-2255-2021; Aydın, Sultan/AAN-9164-2020; Bayram, Nuri/HJP-3189-2023</t>
  </si>
  <si>
    <t xml:space="preserve">Bayram, Nuri/0000-0003-1802-2518; Aydin, Sultan/0000-0002-8801-7776</t>
  </si>
  <si>
    <t xml:space="preserve">E242</t>
  </si>
  <si>
    <t xml:space="preserve">E246</t>
  </si>
  <si>
    <t xml:space="preserve">10.1097/MPH.0000000000001418</t>
  </si>
  <si>
    <t xml:space="preserve">HV5NG</t>
  </si>
  <si>
    <t xml:space="preserve">WOS:000466030000010</t>
  </si>
  <si>
    <t xml:space="preserve">Góes, LGB; Zerbinati, RM; Tateno, AF; de Souza, AV; Ebach, F; Corman, VM; Moreira, CA; Durigon, EL; da Silva, LVRF; Drexler, JF</t>
  </si>
  <si>
    <t xml:space="preserve">Goes, Luiz Gustavo Bentim; Zerbinati, Rodrigo Melim; Tateno, Adriana Fumie; de Souza, Andrea Vieira; Ebach, Fabian; Corman, Victor M.; Moreira-Filho, Carlos Alberto; Durigon, Edison Luiz; Ferreira da Silva Filho, Luiz Vicente Ribeiro; Drexler, Jan Felix</t>
  </si>
  <si>
    <t xml:space="preserve">Typical epidemiology of respiratory virus infections in a Brazilian slum</t>
  </si>
  <si>
    <t xml:space="preserve">acute respiratory infection; Brazil; epidemiology; real-time polymerase chain reaction; respiratory tract infections; slum; viruses</t>
  </si>
  <si>
    <t xml:space="preserve">HUMAN METAPNEUMOVIRUS; PEDIATRIC-PATIENTS; SYNCYTIAL VIRUS; CHILDREN; SEASONALITY; INFLUENZA; DISEASE; SAMPLES</t>
  </si>
  <si>
    <t xml:space="preserve">Host population size, density, immune status, age structure, and contact rates are critical elements of virus epidemiology. Slum populations stand out from other settings and may present differences in the epidemiology of acute viral infections. We collected nasopharyngeal specimens from 282 children aged &lt;= 5 years with acute respiratory tract infection (ARI) during 2005 to 2006 in one of the largest Brazilian slums. We conducted real-time reverse transcription-polymerase chain reaction (RT-PCR) for 16 respiratory viruses, nested RT-PCR-based typing of rhinoviruses (HRVs), and collected clinical symptoms. Viruses were common causes of respiratory disease; with &gt;= 1 virus being detected in 65.2% of patients. We detected 15 different viruses during 1 year with a predomidnance of HRV (33.0%) and human respiratory syncytial virus (hRSV, 12.1%) infections, and a high rate of viral coinfections (28.3%). We observed seasonality of hRSV, HRV and human coronavirus infections, more severe symptoms in hRSV and influenza virus (FLU) infections and prolonged circulation of seven HRV clusters likely representing distinct serotypes according to genomic sequence distances. Potentially unusual findings included the absence of human metapneumovirus detections and lack of typical FLU seasonal patterns, which may be linked to the population size and density of the slum. Nonetheless, most epidemiological patterns were similar to other studies globally, suggesting surprising similarities of virus-associated ARI across highly diverse settings and a complex impact of population characteristics on respiratory virus epidemiology.</t>
  </si>
  <si>
    <t xml:space="preserve">[Goes, Luiz Gustavo Bentim; Corman, Victor M.; Drexler, Jan Felix] Charite Univ Med Berlin, Inst Virol, Berlin, Germany; [Goes, Luiz Gustavo Bentim; Corman, Victor M.; Drexler, Jan Felix] Free Univ Berlin, Berlin, Germany; [Goes, Luiz Gustavo Bentim; Corman, Victor M.; Drexler, Jan Felix] Humboldt Univ, Berlin, Germany; [Goes, Luiz Gustavo Bentim; Corman, Victor M.; Drexler, Jan Felix] Berlin Inst Hlth, Berlin, Germany; [Goes, Luiz Gustavo Bentim; Durigon, Edison Luiz] Univ Sao Paulo, Dept Microbiol ICB 2, Lab Virol Clin &amp; Mol, Sao Paulo, SP, Brazil; [Zerbinati, Rodrigo Melim; Tateno, Adriana Fumie; Ebach, Fabian] Univ Bonn, Inst Virol, Med Ctr, Bonn, Germany; [de Souza, Andrea Vieira; Ferreira da Silva Filho, Luiz Vicente Ribeiro] Hosp Israelita Albert Einstein, Inst Ensino &amp; Pesquisa, Sao Paulo, SP, Brazil; [Corman, Victor M.; Drexler, Jan Felix] German Ctr Infect Res DZIF, Associated Partner Site Charite, Berlin, Germany; [Moreira-Filho, Carlos Alberto] Univ Sao Paulo, Fac Med, Dept Pediat, Sao Paulo, SP, Brazil; [Ferreira da Silva Filho, Luiz Vicente Ribeiro] Hosp Clin FMUSP, Inst Crianca, Sao Paulo, SP, Brazil; [Drexler, Jan Felix] Sechenov Univ, Martsinovsky Inst Med Parasitol Trop &amp; Vector Bor, Moscow, Russia</t>
  </si>
  <si>
    <t xml:space="preserve">Berlin Institute of Health; Free University of Berlin; Humboldt University of Berlin; Charite Universitatsmedizin Berlin; Free University of Berlin; Humboldt University of Berlin; Berlin Institute of Health; Universidade de Sao Paulo; University of Bonn; Hospital Israelita Albert Einstein; German Center for Infection Research; Universidade Federal de Sao Paulo (UNIFESP); Universidade de Sao Paulo; Universidade de Sao Paulo; Sechenov First Moscow State Medical University</t>
  </si>
  <si>
    <t xml:space="preserve">Drexler, JF (corresponding author), Campus Charite Mitte, Inst Virol, Helmut Ruska Haus,Charitepl 1, D-10098 Berlin, Germany.</t>
  </si>
  <si>
    <t xml:space="preserve">felix.drexler@charite.de</t>
  </si>
  <si>
    <t xml:space="preserve">Drexler, Jan Felix/GMW-5098-2022; Zerbinati, Rodrigo/AAV-2681-2021; Silva Filho, Luiz Vicente/A-6957-2011; Corman, Victor Max/K-1319-2019; Bentim Goes, Luiz Gustavo/KJL-0080-2024; moreira-filho, carlos alberto/J-2551-2014</t>
  </si>
  <si>
    <t xml:space="preserve">Melim Zerbinati, Rodrigo/0000-0001-9936-9139; Corman, Victor Max/0000-0002-3605-0136; Bentim Goes, Luiz Gustavo/0000-0002-5919-3308; Drexler, Jan Felix/0000-0002-3509-0232; moreira-filho, carlos alberto/0000-0003-3433-4714</t>
  </si>
  <si>
    <t xml:space="preserve">Fundacao de Amparo a Pesquisa do Estado de Sao Paulo (FAPESP) [02/08460-6]; European Union's Horizon 2020 program through the ZIKAlliance project [734548]; Fundacao de Amparo a Pesquisa do Estado de Sao Paulo (FAPESP) [02/08460-6] Funding Source: FAPESP</t>
  </si>
  <si>
    <t xml:space="preserve">Fundacao de Amparo a Pesquisa do Estado de Sao Paulo (FAPESP)(Fundacao de Amparo a Pesquisa do Estado de Sao Paulo (FAPESP)); European Union's Horizon 2020 program through the ZIKAlliance project; Fundacao de Amparo a Pesquisa do Estado de Sao Paulo (FAPESP)(Fundacao de Amparo a Pesquisa do Estado de Sao Paulo (FAPESP))</t>
  </si>
  <si>
    <t xml:space="preserve">Fundacao de Amparo a Pesquisa do Estado de Sao Paulo (FAPESP), Grant/Award Number: 02/08460-6; European Union's Horizon 2020 program through the ZIKAlliance project, Grant/Award Number: 734548</t>
  </si>
  <si>
    <t xml:space="preserve">10.1002/jmv.25636</t>
  </si>
  <si>
    <t xml:space="preserve">DEC 2019</t>
  </si>
  <si>
    <t xml:space="preserve">ML5GX</t>
  </si>
  <si>
    <t xml:space="preserve">WOS:000501415100001</t>
  </si>
  <si>
    <t xml:space="preserve">Yousafzai, MT; Ibrahim, R; Thobani, R; Aziz, F; Ali, A</t>
  </si>
  <si>
    <t xml:space="preserve">Yousafzai, Mohammad T.; Ibrahim, Romesa; Thobani, Rozina; Aziz, Fatima; Ali, Asad</t>
  </si>
  <si>
    <t xml:space="preserve">Human metapneumovirus in hospitalized children less than 5 years of age in Pakistan</t>
  </si>
  <si>
    <t xml:space="preserve">acute respiratory infection; ARI; hMPV; human metapneumovirus; pakistan</t>
  </si>
  <si>
    <t xml:space="preserve">YOUNG-CHILDREN; INFECTION; IMPACT</t>
  </si>
  <si>
    <t xml:space="preserve">Acute respiratory infection (ARI) is the second leading cause of death in children less than 5 years of age worldwide. Human Metapneumovirus (hMPV) is associated with around 5-7% of the total pneumonia admissions in children. The aim of this study was to determine the magnitude of hMPV associated hospitalizations among children, in Karachi, Pakistan. A 3 years prospective study was conducted at the Aga Khan University Hospital (AKUH), from August 2009 to June 2012. Children less than 5 years of age, admitted with ARIs, were enrolled. Throat swabs were collected and tested for hMPV using real-time PCR. Multivariable log binomial regression analysis was performed. Out of 1150 children enrolled, hMPV was detected among 84/1150 (7%). About 87% of the enrolled children presented with cough, followed by fever (73%), nasal congestion (69%) and shortness of breath (68%). Of the hMPV positive subjects, most (56/84, 67%) were less than 12 months of age. The most common diagnosis in hMPV positive infants was pneumonia, followed by asthma and bronchiolitis. HMPV was identified year round, with peaks during February and August. Sore throat was found to be significantly associated with the hMPV infection (Adjusted RR 2.23; 95%CI 1.42-3.52). The proportion of hMPV was higher among hospitalized infants with ARI. Pneumonia was the primary discharge diagnoses of patients who tested positive for hMPV. hMPV could be a target for future vaccine to further decrease the burden of ARI morbidity and possibly mortality in developing countries.</t>
  </si>
  <si>
    <t xml:space="preserve">[Yousafzai, Mohammad T.; Ibrahim, Romesa; Thobani, Rozina; Aziz, Fatima; Ali, Asad] Aga Khan Univ, Dept Pediat &amp; Child Hlth, Stadium Rd,POB 3500, Karachi 74800, Pakistan</t>
  </si>
  <si>
    <t xml:space="preserve">Aga Khan University</t>
  </si>
  <si>
    <t xml:space="preserve">Ali, A (corresponding author), Aga Khan Univ, Dept Pediat &amp; Child Hlth, Stadium Rd,POB 3500, Karachi 74800, Pakistan.</t>
  </si>
  <si>
    <t xml:space="preserve">asad.ali@aku.edu</t>
  </si>
  <si>
    <t xml:space="preserve">Aziz, Fatima/O-9104-2018; Yousafzai, Dr. Mohammad Tahir/Q-1304-2015</t>
  </si>
  <si>
    <t xml:space="preserve">Yousafzai, Dr. Mohammad Tahir/0000-0001-8840-8323; Aziz, Fatima/0000-0002-9836-9142; Ali, Syed Asad/0000-0001-5274-7665</t>
  </si>
  <si>
    <t xml:space="preserve">10.1002/jmv.25044</t>
  </si>
  <si>
    <t xml:space="preserve">GB9VH</t>
  </si>
  <si>
    <t xml:space="preserve">WOS:000429421700004</t>
  </si>
  <si>
    <t xml:space="preserve">Rodríguez-Martínez, CE; Rodríguez, DA; Nino, G</t>
  </si>
  <si>
    <t xml:space="preserve">Rodriguez-Martinez, Carlos E.; Andres Rodriguez, Diego; Nino, Gustavo</t>
  </si>
  <si>
    <t xml:space="preserve">Respiratory Syncytial Virus, Adenoviruses, and Mixed Acute Lower Respiratory Infections in Children in a Developing Country</t>
  </si>
  <si>
    <t xml:space="preserve">acute respiratory infection; adenovirus infections; co-infection; pediatrics; respiratory syncytial virus</t>
  </si>
  <si>
    <t xml:space="preserve">TRACT INFECTIONS; HUMAN METAPNEUMOVIRUS; SEVERITY; INFANTS; DISEASE; EPIDEMIOLOGY; OLD</t>
  </si>
  <si>
    <t xml:space="preserve">There is growing evidence suggesting greater severity and worse outcomes in children with mixed as compared to single respiratory virus infections. However, studies that assess the risk factors that may predispose a child to a mixture of respiratory syncytial virus (RSV) and adenoviral infections, are scarce. In a retrospective cohort study, the study investigated the epidemiology of RSV and adenovirus infections and predictors of mixed RSV-adenoviral infections in young children hospitalized with acute lower respiratory infection in Bogota, Colombia, South America, over a 2-year period 2009-2011. Of a total of 5,539 children admitted with a diagnosis of acute lower respiratory infection, 2,267 (40.9%) who were positive for RSV and/or adenovirus were selected. Out the total number of cases, 1,416 (62.5%) infections occurred during the 3-month period from March to May, the first rainy season of Bogota, Colombia. After controlling for gender, month when the nasopharyngeal sample was taken, and other pre-existing conditions, it was found that an age greater than 6 months (OR:1.74; CI 95%:1.05-2.89; P=0.030) and malnutrition as a comorbidity (OR:9.92; CI 95%:1.01-100.9; P=0.049) were independent predictors of mixed RSV-adenoviral infections in the sample of patients. In conclusion, RSV and adenovirus are significant causes of acute lower respiratory infection in infants and young children in Bogota, Colombia, especially during the first rainy season. The identified predictors of mixed RSV-adenoviral infections should be taken into account when planning intervention, in order to reduce the burden of acute lower respiratory infection in young children living in the country. J. Med. Virol. 87:774-781, 2015. (c) 2015 Wiley Periodicals, Inc.</t>
  </si>
  <si>
    <t xml:space="preserve">[Rodriguez-Martinez, Carlos E.] Univ Nacl Colombia, Sch Med, Dept Pediat, Bogota, Colombia; [Rodriguez-Martinez, Carlos E.] Mil Hosp Colombia, Res Unit, Bogota, Colombia; [Rodriguez-Martinez, Carlos E.] Univ El Bosque, Sch Med, Dept Pediat Pulmonol &amp; Pediat Crit Care Med, Bogota, Colombia; [Andres Rodriguez, Diego] Fdn Hosp La Misericordia, Bogota, Colombia; [Nino, Gustavo] George Washington Univ, Childrens Natl Med Ctr, Ctr Genet Res, Div Pediat Pulm Sleep Med &amp; Integrat Syst Biol, Washington, DC USA</t>
  </si>
  <si>
    <t xml:space="preserve">Universidad Nacional de Colombia; Universidad El Bosque; George Washington University; Children's National Health System</t>
  </si>
  <si>
    <t xml:space="preserve">Rodríguez-Martínez, CE (corresponding author), Ave Calle 127 20-78, Bogota, Colombia.</t>
  </si>
  <si>
    <t xml:space="preserve">carerodriguezmar@unal.edu.co</t>
  </si>
  <si>
    <t xml:space="preserve">National Institutes of Health (NIH) Career Development Award [K12HL090020, K12HD001399-13]</t>
  </si>
  <si>
    <t xml:space="preserve">National Institutes of Health (NIH) Career Development Award(United States Department of Health &amp; Human ServicesNational Institutes of Health (NIH) - USAOffice of the Administrator (NIH))</t>
  </si>
  <si>
    <t xml:space="preserve">Grant sponsor: National Institutes of Health (NIH) Career Development Award; Grant numbers: K12HL090020; K12HD001399-13.</t>
  </si>
  <si>
    <t xml:space="preserve">10.1002/jmv.24139</t>
  </si>
  <si>
    <t xml:space="preserve">CE0AW</t>
  </si>
  <si>
    <t xml:space="preserve">WOS:000351465000007</t>
  </si>
  <si>
    <t xml:space="preserve">Monto, AS; Malosh, RE; Petrie, JG; Thompson, MG; Ohmit, SE</t>
  </si>
  <si>
    <t xml:space="preserve">Monto, Arnold S.; Malosh, Ryan E.; Petrie, Joshua G.; Thompson, Mark G.; Ohmit, Suzanne E.</t>
  </si>
  <si>
    <t xml:space="preserve">Frequency of Acute Respiratory Illnesses and Circulation of Respiratory Viruses in Households With Children Over 3 Surveillance Seasons</t>
  </si>
  <si>
    <t xml:space="preserve">acute respiratory illnesses; influenza; respiratory viruses; households with children; surveillance</t>
  </si>
  <si>
    <t xml:space="preserve">INFLUENZA VACCINE EFFECTIVENESS; RHINOVIRUS INFECTIONS; INDUSTRIAL-POPULATION; HUMAN METAPNEUMOVIRUS; VIRAL-INFECTIONS; YOUNG-CHILDREN; COMMUNITY; TECUMSEH; EPIDEMIOLOGY; CORONAVIRUS</t>
  </si>
  <si>
    <t xml:space="preserve">Background. The household has traditionally been the site for studying acute respiratory illnesses (ARIs). Most studies were conducted many years ago, and more broadly sensitive laboratory methods to determine ARI etiology are now available. Methods. We recruited and followed households with children over 3 annual surveillance periods and collected respiratory tract specimens from subjects with reported ARI. Virus etiology was determined by real-time reverse-transcription polymerase chain reaction (RT-PCR) analysis. Results. Individuals in larger households (defined as households with &gt; 4 members) and those in households with children aged &lt; 5 years had significantly higher ARI frequencies than others. ARI frequency generally declined with increasing age. Virus etiology was most likely to be determined in young children, who were also most likely to have virus coinfection. Overall, 16% of ARIs with 1 virus identified had a parts per thousand yen1 coinfecting virus. Rhinoviruses and coronaviruses were the most frequently identified agents of ARI in all age categories. Influenza virus and adenovirus were less frequently identified but were most likely to cause ARI that required medical attention. Conclusions. Longitudinal studies in families remain a valuable way to study respiratory infections. RT-PCR has increased the sensitivity of virus detection, including coinfecting viruses, and expanded our ability to detect viruses now known to cause ARI.</t>
  </si>
  <si>
    <t xml:space="preserve">[Monto, Arnold S.; Malosh, Ryan E.; Petrie, Joshua G.; Ohmit, Suzanne E.] Univ Michigan, Sch Publ Hlth, Dept Epidemiol, Ann Arbor, MI 48109 USA; [Thompson, Mark G.] Ctr Dis Control &amp; Prevent, Influenza Div, Atlanta, GA USA</t>
  </si>
  <si>
    <t xml:space="preserve">University of Michigan System; University of Michigan; Centers for Disease Control &amp; Prevention - USA</t>
  </si>
  <si>
    <t xml:space="preserve">Ohmit, SE (corresponding author), Univ Michigan, Sch Publ Hlth, 1415 Washington Hts, Ann Arbor, MI 48109 USA.</t>
  </si>
  <si>
    <t xml:space="preserve">sohmit@umich.edu</t>
  </si>
  <si>
    <t xml:space="preserve">National Institute of Allergy and Infectious Diseases [R01 AI097150]; Centers for Disease Control and Prevention [U01 IP000474]</t>
  </si>
  <si>
    <t xml:space="preserve">National Institute of Allergy and Infectious Diseases(United States Department of Health &amp; Human ServicesNational Institutes of Health (NIH) - USANIH National Institute of Allergy &amp; Infectious Diseases (NIAID)); Centers for Disease Control and Prevention(United States Department of Health &amp; Human ServicesCenters for Disease Control &amp; Prevention - USA)</t>
  </si>
  <si>
    <t xml:space="preserve">This work was supported by the National Institute of Allergy and Infectious Diseases (grant R01 AI097150) and the Centers for Disease Control and Prevention (grant U01 IP000474).</t>
  </si>
  <si>
    <t xml:space="preserve">10.1093/infdis/jiu327</t>
  </si>
  <si>
    <t xml:space="preserve">AU7HI</t>
  </si>
  <si>
    <t xml:space="preserve">WOS:000345771000013</t>
  </si>
  <si>
    <t xml:space="preserve">Szilagyi, PG; Blumkin, A; Treanor, JJ; Gallivan, S; Albertin, C; Lofthus, GK; Schnabel, KC; Donahue, JG; Thompson, MG; Shay, DK</t>
  </si>
  <si>
    <t xml:space="preserve">Szilagyi, P. G.; Blumkin, A.; Treanor, J. J.; Gallivan, S.; Albertin, C.; Lofthus, G. K.; Schnabel, K. C.; Donahue, J. G.; Thompson, M. G.; Shay, D. K.</t>
  </si>
  <si>
    <t xml:space="preserve">Incidence and viral aetiologies of acute respiratory illnesses (ARIs) in the United States: a population-based study</t>
  </si>
  <si>
    <t xml:space="preserve">Acute respiratory illnesses (ARIs); influenza; respiratory syncytial virus (RSV)</t>
  </si>
  <si>
    <t xml:space="preserve">SYNCYTIAL VIRUS-INFECTION; YOUNG-CHILDREN; INFLUENZA VACCINES; SEASONAL INFLUENZA; HOSPITALIZATIONS; BURDEN; PARAINFLUENZA; SURVEILLANCE; WATCH; RECOMMENDATIONS</t>
  </si>
  <si>
    <t xml:space="preserve">We conducted prospective, community-wide surveillance for acute respiratory illnesses (ARIs) in Rochester, NY and Marshfield, WI during a 3-month period in winter 2011. We estimated the incidence of ARIs in each community, tested for viruses, and determined the proportion of ARIs associated with healthcare visits. We used a rolling cross-sectional design to sample participants, conducted telephone interviews to assess ARI symptoms (defined as a current illness with feverishness or cough within the past 7 days), collected nasal/throat swabs to identify viruses, and extracted healthcare utilization from outpatient/inpatient records. Of 6492 individuals, 321 reported an ARI within 7 days (4.9% total, 5.7% in Rochester, 4.4% in Marshfield); swabs were collected from 208 subjects. The cumulative ARI incidence for the entire 3-month period was 52% in Rochester [95% confidence interval (CI) 42-63] and 35% in Marshfield (95% CI 28-42). A specific virus was identified in 39% of specimens: human coronavirus (13% of samples), rhinovirus (12%), RSV (7%), influenza virus (4%), human metapneumovirus (4%), and adenovirus (1%). Only 39/200 (20%) had a healthcare visit (2/9 individuals with influenza). ARI incidence was similar to 5% per week during winter.</t>
  </si>
  <si>
    <t xml:space="preserve">[Szilagyi, P. G.] Univ Calif Los Angeles, Dept Pediat, Mattel Childrens Hosp, Los Angeles, CA 90024 USA; [Blumkin, A.; Albertin, C.; Lofthus, G. K.; Schnabel, K. C.] Univ Rochester, Sch Med &amp; Dent, Dept Pediat, New York, NY USA; [Treanor, J. J.] Univ Rochester, Sch Med &amp; Dent, Dept Internal Med, New York, NY USA; [Gallivan, S.] Univ Rochester, Sch Med &amp; Dent, Dept Social Work, New York, NY USA; [Donahue, J. G.] Marshfield Clin Res Fdn, Marshfield, WI USA; [Thompson, M. G.; Shay, D. K.] Ctr Dis Control &amp; Prevent, Atlanta, GA USA</t>
  </si>
  <si>
    <t xml:space="preserve">University of California System; University of California Los Angeles; University of Rochester; University of Rochester; University of Rochester; Centers for Disease Control &amp; Prevention - USA</t>
  </si>
  <si>
    <t xml:space="preserve">Szilagyi, PG (corresponding author), Univ Calif Los Angeles, Dept Pediat, Clin Res, 10833 LeConte,MC 175217, Los Angeles, CA 90095 USA.</t>
  </si>
  <si>
    <t xml:space="preserve">pszilagyi@mednet.ucla.edu</t>
  </si>
  <si>
    <t xml:space="preserve">Centers for Disease Control and Prevention; Marshfield Clinic Research Foundation [U01 IP000183]; University of Rochester [U01 IP000172]</t>
  </si>
  <si>
    <t xml:space="preserve">Centers for Disease Control and Prevention(United States Department of Health &amp; Human ServicesCenters for Disease Control &amp; Prevention - USA); Marshfield Clinic Research Foundation; University of Rochester</t>
  </si>
  <si>
    <t xml:space="preserve">This study was funded by the Centers for Disease Control and Prevention through cooperative agreements with the University of Rochester (U01 IP000172) and Marshfield Clinic Research Foundation (U01 IP000183). The findings and conclusions in this report are those of the authors and do not necessarily represent the views of the Centers for Disease Control and Prevention.</t>
  </si>
  <si>
    <t xml:space="preserve">10.1017/S0950268816000315</t>
  </si>
  <si>
    <t xml:space="preserve">DR3EO</t>
  </si>
  <si>
    <t xml:space="preserve">WOS:000379785600007</t>
  </si>
  <si>
    <t xml:space="preserve">Howard, LM; Edwards, KM; Zhu, YW; Griffin, MR; Weinberg, GA; Szilagyi, PG; Staat, MA; Payne, DC; Williams, JV</t>
  </si>
  <si>
    <t xml:space="preserve">Howard, Leigh M.; Edwards, Kathryn M.; Zhu, Yuwei; Griffin, Marie R.; Weinberg, Geoffrey A.; Szilagyi, Peter G.; Staat, Mary A.; Payne, Daniel C.; Williams, John V.</t>
  </si>
  <si>
    <t xml:space="preserve">Clinical Features of Human Metapneumovirus Infection in Ambulatory Children Aged 5-13 Years</t>
  </si>
  <si>
    <t xml:space="preserve">acute respiratory illness; human metapneumovirus; older children</t>
  </si>
  <si>
    <t xml:space="preserve">RESPIRATORY SYNCYTIAL VIRUS; YOUNG-CHILDREN; BURDEN; HOSPITALIZATIONS; INFLUENZA; ADULTS</t>
  </si>
  <si>
    <t xml:space="preserve">We detected human metapneumovirus (HMPV) in 54 (5%) of 1055 children aged 5 to 13 years with acute respiratory illness (ARI) identified by outpatient and emergency department surveillance between November and May 2003-2009. Its clinical features were similar to those of HMPV-negative ARI, except a diagnosis of pneumonia was more likely (13% vs 4%, respectively; P = .005) and a diagnosis of pharyngitis (7% vs 24%, respectively; P = .005) was less likely in patients with HMPV-positive ARI than those with HMPV-negative ARI.</t>
  </si>
  <si>
    <t xml:space="preserve">[Howard, Leigh M.; Edwards, Kathryn M.; Zhu, Yuwei; Griffin, Marie R.] Vanderbilt Univ, Med Ctr, Nashville, TN USA; [Weinberg, Geoffrey A.] Univ Rochester, Sch Med &amp; Dent, New York, NY USA; [Szilagyi, Peter G.] Univ Calif Los Angeles, Mattel Childrens Hosp, Los Angeles, CA 90024 USA; [Staat, Mary A.] Cincinnati Childrens Hosp Med Ctr, Cincinnati, OH 45229 USA; [Payne, Daniel C.] Emory Univ, Atlanta, GA 30322 USA; [Payne, Daniel C.] Ctr Dis Control &amp; Prevent, Natl Ctr Immunizat &amp; Resp Dis, Atlanta, GA USA; [Williams, John V.] Univ Pittsburgh, Childrens Hosp Pittsburgh, Sch Med, UPMC, Pittsburgh, PA 15260 USA</t>
  </si>
  <si>
    <t xml:space="preserve">Vanderbilt University; University of Rochester; University of California System; University of California Los Angeles; Cincinnati Children's Hospital Medical Center; Emory University; Centers for Disease Control &amp; Prevention - USA; Pennsylvania Commonwealth System of Higher Education (PCSHE); University of Pittsburgh</t>
  </si>
  <si>
    <t xml:space="preserve">Williams, John/ABE-3227-2020; Weinberg, Geoffrey/W-7510-2019</t>
  </si>
  <si>
    <t xml:space="preserve">Weinberg, Geoffrey/0000-0002-3900-379X; Payne, Daniel C./0000-0002-5871-911X</t>
  </si>
  <si>
    <t xml:space="preserve">CDC [U38/CCU417958, U01/IP000022, U38/CCU217969, U01/IP000017, U38/CCU522352, U01/IP000147]; National Institutes of Health [AI-82417, AI-085062]; Vanderbilt University Medical Center Department of Pediatrics Turner-Hazinski Award</t>
  </si>
  <si>
    <t xml:space="preserve">CDC(Centre National de la Recherche Scientifique (CNRS)United States Department of Health &amp; Human ServicesCenters for Disease Control &amp; Prevention - USA); National Institutes of Health(United States Department of Health &amp; Human ServicesNational Institutes of Health (NIH) - USA); Vanderbilt University Medical Center Department of Pediatrics Turner-Hazinski Award</t>
  </si>
  <si>
    <t xml:space="preserve">This work was supported by cooperative agreements with the CDC (U38/CCU417958 and U01/IP000022 to Vanderbilt University, U38/CCU217969 and U01/IP000017 to the University of Rochester, and U38/CCU522352 and U01/IP000147 to Cincinnati Children's Hospital Medical Center), grants from the National Institutes of Health (AI-82417 and AI-085062 to J. V. W.), and the Vanderbilt University Medical Center Department of Pediatrics Turner-Hazinski Award (to L. M. H.).</t>
  </si>
  <si>
    <t xml:space="preserve">10.1093/jpids/pix012</t>
  </si>
  <si>
    <t xml:space="preserve">GH7YB</t>
  </si>
  <si>
    <t xml:space="preserve">WOS:000433878000024</t>
  </si>
  <si>
    <t xml:space="preserve">Howard, LM; Johnson, M; Williams, JV; Zhu, YW; Gil, AI; Edwards, KM; Griffin, MR; Lanata, CF; Grijalva, CG</t>
  </si>
  <si>
    <t xml:space="preserve">Howard, Leigh M.; Johnson, Monika; Williams, John V.; Zhu, Yuwei; Gil, Ana I.; Edwards, Kathryn M.; Griffin, Marie R.; Lanata, Claudio F.; Grijalva, Carlos G.</t>
  </si>
  <si>
    <t xml:space="preserve">Respiratory Viral Detections During Symptomatic and Asymptomatic Periods in Young Andean Children</t>
  </si>
  <si>
    <t xml:space="preserve">acute respiratory illness; children; Peru; respiratory virus</t>
  </si>
  <si>
    <t xml:space="preserve">SYNCYTIAL VIRUS-INFECTION; REAL-TIME PCR; HUMAN RHINOVIRUS; HUMAN METAPNEUMOVIRUS; OTITIS-MEDIA; NASOPHARYNGEAL MICROBIOTA; DISEASE SEVERITY; TRACT INFECTION; 1ST YEAR; COMMUNITY</t>
  </si>
  <si>
    <t xml:space="preserve">Background: Viruses are commonly detected in children with acute respiratory illnesses (ARIs) and in asymptomatic children. Longitudinal studies of viral detections during asymptomatic periods surrounding ARI could facilitate interpretation of viral detections but are currently scant. Methods: We used reverse transcription polymerase chain reaction to analyze respiratory samples from young Andean children for viruses during asymptomatic periods within 8-120 days of index ARI (cough or fever). We compared viral detections over time within children and explored reverse transcription polymerase chain reaction cycle thresholds (CTs) as surrogates for viral loads. Results: At least 1 respiratory virus was detected in 367 (43%) of 859 samples collected during asymptomatic periods, with more frequent detections in periods with rhinorrhea (49%) than those without (34%, P &lt; 0.001). Relative to index ARI with human rhinovirus (HRV), adenovirus (AdV), respiratory syncytial virus (RSV) and parainfluenza virus detected, the same viruses were also detected during 32, 22, 10 and 3% of asymptomatic periods, respectively. RSV was only detected 8-30 days after index RSV ARI, whereas HRV and AdV were detected throughout asymptomatic periods. Human metapneumovirus and influenza were rarely detected during asymptomatic periods (&lt; 3%). No significant differences were observed in the CT for HRV or AdV during asymptomatic periods relative to ARI. For RSV, CTs were significantly lower during ARI relative to the asymptomatic period (P = 0.03). Conclusions: These findings indicate that influenza, human metapneumovirus, parainfluenza virus and RSV detections in children with an ARI usually indicate a causal relationship. When HRV or AdV is detected during ARI, the causal relationship is less certain.</t>
  </si>
  <si>
    <t xml:space="preserve">[Howard, Leigh M.; Johnson, Monika; Williams, John V.; Edwards, Kathryn M.] Vanderbilt Univ, Dept Pediat, Div Infect Dis, Nashville, TN 37235 USA; [Howard, Leigh M.; Edwards, Kathryn M.] Vanderbilt Vaccine Res Program, Nashville, TN USA; [Williams, John V.] Vanderbilt Univ, Dept Pathol Microbiol &amp; Immunol, Nashville, TN 37235 USA; [Zhu, Yuwei] Vanderbilt Univ, Dept Biostat, Nashville, TN 37235 USA; [Gil, Ana I.; Lanata, Claudio F.] Inst Invest Nutr, Lima, Peru; [Griffin, Marie R.; Grijalva, Carlos G.] Vanderbilt Univ, Dept Hlth Policy, Nashville, TN 37235 USA</t>
  </si>
  <si>
    <t xml:space="preserve">Howard, LM (corresponding author), 1161 21st Ave South,MCN S2323, Nashville, TN 37232 USA.</t>
  </si>
  <si>
    <t xml:space="preserve">leigh.howard@vander-bilt.edu; carlos.grijalva@vanderbilt.edu</t>
  </si>
  <si>
    <t xml:space="preserve">Vanderbilt University CTSA grant from NIH [UL1 RR024975-01]; Pfizer [IIR WS1898786(0887X1-4492)]; Thrasher Research Fund [02832-9]; Fogarty International Center from National Institutes of Health through Vanderbilt University [R25TW009337]</t>
  </si>
  <si>
    <t xml:space="preserve">Vanderbilt University CTSA grant from NIH; Pfizer(Pfizer); Thrasher Research Fund; Fogarty International Center from National Institutes of Health through Vanderbilt University</t>
  </si>
  <si>
    <t xml:space="preserve">This work was supported by the Vanderbilt University CTSA grant UL1 RR024975-01 from NIH, an investigator initiated grant from Pfizer (IIR WS1898786(0887X1-4492)) and a research grant from the Thrasher Research Fund (02832-9). L.M.H was supported by Fogarty International Center Grant R25TW009337 from National Institutes of Health through Vanderbilt University. The authors have no conflicts of interest to disclose.</t>
  </si>
  <si>
    <t xml:space="preserve">10.1097/INF.0000000000000812</t>
  </si>
  <si>
    <t xml:space="preserve">WOS:000369587000014</t>
  </si>
  <si>
    <t xml:space="preserve">Miyaji, Y; Kobayashi, M; Sugai, K; Tsukagoshi, H; Niwa, S; Fujitsuka-Nozawa, A; Noda, M; Kozawa, K; Yamazaki, F; Mori, M; Yokota, S; Kimura, H</t>
  </si>
  <si>
    <t xml:space="preserve">Miyaji, Yumiko; Kobayashi, Miho; Sugai, Kazuko; Tsukagoshi, Hiroyuki; Niwa, Shoichi; Fujitsuka-Nozawa, Asako; Noda, Masahiro; Kozawa, Kunihisa; Yamazaki, Fusae; Mori, Masaaki; Yokota, Shumpei; Kimura, Hirokazu</t>
  </si>
  <si>
    <t xml:space="preserve">Severity of respiratory signs and symptoms and virus profiles in Japanese children with acute respiratory illness</t>
  </si>
  <si>
    <t xml:space="preserve">acute respiratory illness; child; severity score; virus</t>
  </si>
  <si>
    <t xml:space="preserve">SYNCYTIAL VIRUS; HUMAN METAPNEUMOVIRUS; TYPE-4 INFECTIONS; TRACT INFECTIONS; ASTHMA; RHINOVIRUS; DIAGNOSIS; YAMAGATA; INFANTS; SCORE</t>
  </si>
  <si>
    <t xml:space="preserve">Associations between the severity of respiratory signs and symptoms and the respiratory viruses identified in 214 Japanese children with acute respiratory illness (ARI) enrolled between January and December 2012 were studied. Respiratory rate, wheezing, cyanosis, and the use of accessory muscles were used as indices of respiratory severity and phylogenetic analysis of the viruses identified in these children was performed. Respiratory viruses such as respiratory syncytial virus (RSV), human rhinovirus (HRV), human parainfluenza virus (HPIV), and human metapneumovirus (HMPV) were prevalent, being detected in approximately 70% of the patients (151/214 patients). Co-detection of viruses occurred in about 9% of patients. RSV was identified more frequently in cases scored as moderate/severe than in those scored as mild (P&lt;0.05). Severity scores of patients with RSV were significantly higher than those of cases with HPIV. Moreover, severity scores in patients with mild disease and co-detections were higher than in those in whom only HPIV or adenovirus was detected. Phylogenetic analysis showed that many genotypes of HRV-A and -C with wide genetic divergence were associated with acute respiratory illness (ARI). On the other hand, only a limited number of genotypes of RSV were associated with ARI. HPIV and HMPV were associated with ARI at similar frequencies. These results suggest that different respiratory viruses with unique genetic characteristics can be found in patients with mild to severe ARI.</t>
  </si>
  <si>
    <t xml:space="preserve">[Miyaji, Yumiko; Sugai, Kazuko] Natl Hosp Org Yokohama Med Ctr, Dept Pediat, Totsuka Ku, Yokohama, Kanagawa 2458575, Japan; [Miyaji, Yumiko; Fujitsuka-Nozawa, Asako; Mori, Masaaki; Yokota, Shumpei] Yokohama City Univ, Grad Sch Med, Dept Pediat, Kanazawa Ku, Yokohama, Kanagawa 2360004, Japan; [Kobayashi, Miho; Tsukagoshi, Hiroyuki; Niwa, Shoichi; Kozawa, Kunihisa] Gunma Prefectural Inst Publ Hlth &amp; Environm Sci, Dept Hlth Sci, Maebashi, Gunma 3710052, Japan; [Noda, Masahiro; Kimura, Hirokazu] Natl Inst Infect Dis, Infect Dis Surveillance Ctr, Tokyo 2080011, Japan; [Yamazaki, Fusae] Uchida Y Childrens Clin, Totsuka Ku, Yokohama, Kanagawa 2440003, Japan</t>
  </si>
  <si>
    <t xml:space="preserve">Yokohama City University; National Institute of Infectious Diseases (NIID)</t>
  </si>
  <si>
    <t xml:space="preserve">Kimura, H (corresponding author), Natl Inst Infect Dis, Infect Dis Surveillance Ctr, 4-7-1 Gakuen, Tokyo 2080011, Japan.</t>
  </si>
  <si>
    <t xml:space="preserve">kimhiro@nih.go.jp</t>
  </si>
  <si>
    <t xml:space="preserve">SUGAI, Kazuko/0000-0002-1037-5063</t>
  </si>
  <si>
    <t xml:space="preserve">Japan Society for Promotion of Science; Ministry of Health, Labor and Welfare</t>
  </si>
  <si>
    <t xml:space="preserve">Japan Society for Promotion of Science(Ministry of Education, Culture, Sports, Science and Technology, Japan (MEXT)Japan Society for the Promotion of Science); Ministry of Health, Labor and Welfare(Ministry of Health, Labour and Welfare, Japan)</t>
  </si>
  <si>
    <t xml:space="preserve">This work was supported by a Grant-in-Aid from the Japan Society for Promotion of Science and for Research on Emerging and Reemerging Infectious Diseases from the Ministry of Health, Labor and Welfare. We thank the medical staff of the Department of Pediatrics, National Hospital Organization Medical Center and the technical support of Gunma Prefectural Institute of Public Health and Environmental Sciences.</t>
  </si>
  <si>
    <t xml:space="preserve">10.1111/1348-0421.12102</t>
  </si>
  <si>
    <t xml:space="preserve">268GC</t>
  </si>
  <si>
    <t xml:space="preserve">WOS:000328157200003</t>
  </si>
  <si>
    <t xml:space="preserve">Schuster, JE; Selvarangan, R; Hassan, F; Briggs, KB; Hays, L; Miller, JO; Pahud, B; Puls, HT; Queen, MA; Thompson, MT; Weddle, G; Jackson, MA</t>
  </si>
  <si>
    <t xml:space="preserve">Schuster, Jennifer E.; Selvarangan, Rangaraj; Hassan, Ferdaus; Briggs, Kayla B.; Hays, Lindsay; Miller, Jenna O.; Pahud, Barbara; Puls, Henry T.; Queen, Mary Ann; Thompson, Marita T.; Weddle, Gina; Jackson, Mary Anne</t>
  </si>
  <si>
    <t xml:space="preserve">Clinical Course of Enterovirus D68 in Hospitalized Children</t>
  </si>
  <si>
    <t xml:space="preserve">acute respiratory illness; asthma; enterovirus D68; outbreak; wheeze</t>
  </si>
  <si>
    <t xml:space="preserve">RESPIRATORY-TRACT INFECTIONS; YOUNG-CHILDREN; HUMAN METAPNEUMOVIRUS; ILLNESS; OUTBREAK; BURDEN; USA; SEVERITY; DISEASE</t>
  </si>
  <si>
    <t xml:space="preserve">Background: Enterovirus D68 (EV-D68) has been sporadically reported as a cause of respiratory tract infections. In 2014, an international outbreak of EV-D68 occurred and caused severe respiratory disease in the pediatric population. Methods: A retrospective chart review was performed of children admitted to Children's Mercy Hospital from August 1, 2014, to September 15, 2014, with positive multiplex polymerase chain reaction testing for EV/rhinovirus (RV). Specimens were subsequently tested for EV-D68, and clinical data were obtained from the medical records. Patients with EV-D68 were compared with children presenting simultaneously with other EV/RV. Results: Of 542 eligible specimens, children with EV-D68 were significantly older than children with other EV/RV (4.6 vs. 2.2 years, P &lt; 0.001). Children with EV-D68 were more likely to have a history of asthma (38.6% vs. 30.0%, P - 0.04) or recurrent wheezing (22.1% vs. 14.8%, P - 0.04). EV-D68-positive children more commonly received supplemental oxygen (86.7% vs. 65.0%, P &lt; 0.001), albuterol (91.2% vs. 65.5%, P &lt; 0.001) and corticosteroids (82.9% vs. 58.6%, P &lt; 0.001). Age &gt;= 5 years was an independent risk factor for intensive care unit management in EV-D68-infected children. Children with a history of asthma or recurrent wheezing and EV-D68 received supplemental oxygen (92.7% vs. 82.4%, P - 0.007) and magnesium (42.7% vs. 29.7%, P = 0.03) at higher rates and more continuous albuterol (3 vs. 2 hours, P - 0.03) than those with other EV/RV. Conclusions: EV-D68 causes severe disease in the pediatric population, particularly in children with a history of asthma or recurrent wheezing. EV-D68-positive children are more likely to require therapy for refractory bronchospasm and may need intensive care unit-level care.</t>
  </si>
  <si>
    <t xml:space="preserve">[Schuster, Jennifer E.; Selvarangan, Rangaraj; Miller, Jenna O.; Pahud, Barbara; Puls, Henry T.; Queen, Mary Ann; Thompson, Marita T.; Weddle, Gina; Jackson, Mary Anne] Childrens Mercy Hosp, Dept Pediat, Kansas City, MO 64108 USA; [Selvarangan, Rangaraj; Hassan, Ferdaus; Hays, Lindsay] Childrens Mercy Hosp, Dept Pathol &amp; Lab Med, Kansas City, MO 64108 USA; [Briggs, Kayla B.] Univ Missouri, Sch Med, Kansas City, MO 64108 USA</t>
  </si>
  <si>
    <t xml:space="preserve">Children's Mercy Hospital; Children's Mercy Hospital; University of Missouri System; University of Missouri Kansas City</t>
  </si>
  <si>
    <t xml:space="preserve">Schuster, JE (corresponding author), Childrens Mercy Hosp, Div Pediat Infect Dis, 2401 Gillham Rd, Kansas City, MO USA.</t>
  </si>
  <si>
    <t xml:space="preserve">jeschuster@cmh.edu</t>
  </si>
  <si>
    <t xml:space="preserve">Selvarangan, Rangaraj/0000-0003-3275-6657; Pahud, Barbara/0000-0001-5379-7605</t>
  </si>
  <si>
    <t xml:space="preserve">10.1097/INF.0000000000001421</t>
  </si>
  <si>
    <t xml:space="preserve">EL1CE</t>
  </si>
  <si>
    <t xml:space="preserve">WOS:000394357300013</t>
  </si>
  <si>
    <t xml:space="preserve">Probst, V; Spieker, AJ; Stopczynski, T; Stewart, LS; Haddadin, Z; Selvarangan, R; Harrison, CJ; Schuster, JE; Staat, MA; McNeal, M; Weinberg, GA; Szilagyi, PG; Boom, JA; Sahni, LC; Piedra, PA; Englund, JA; Klein, EJ; Michaels, MG; Williams, JV; Campbell, AP; Patel, M; Gerber, SI; Halasa, NB</t>
  </si>
  <si>
    <t xml:space="preserve">Probst, Varvara; Spieker, Andrew J.; Stopczynski, Tess; Stewart, Laura S.; Haddadin, Zaid; Selvarangan, Rangaraj; Harrison, Christopher J.; Schuster, Jennifer E.; Staat, Mary A.; McNeal, Monica; Weinberg, Geoffrey A.; Szilagyi, Peter G.; Boom, Julie A.; Sahni, Leila C.; Piedra, Pedro A.; Englund, Janet A.; Klein, Eileen J.; Michaels, Marian G.; Williams, John, V; Campbell, Angela P.; Patel, Manish; Gerber, Susan, I; Halasa, Natasha B.</t>
  </si>
  <si>
    <t xml:space="preserve">Clinical Presentation and Severity of Adenovirus Detection Alone vs Adenovirus Co-detection With Other Respiratory Viruses in US Children With Acute Respiratory Illness from 2016 to 2018</t>
  </si>
  <si>
    <t xml:space="preserve">acute respiratory illness; adenovirus; co-detection; respiratory viruses</t>
  </si>
  <si>
    <t xml:space="preserve">INFECTIONS; EPIDEMIOLOGY; DISEASE</t>
  </si>
  <si>
    <t xml:space="preserve">Background Human adenovirus (HAdV) is commonly associated with acute respiratory illnesses (ARI) in children and is also frequently co-detected with other viral pathogens. We compared clinical presentation and outcomes in young children with HAdV detected alone vs co-detected with other respiratory viruses. Methods We used data from a multicenter, prospective, viral surveillance study of children seen in the emergency department and inpatient pediatric settings at seven US sites. Children less than 18 years old with fever and/or respiratory symptoms were enrolled between 12/1/16 and 10/31/18 and tested by molecular methods for HAdV, human rhinovirus/enterovirus (HRV/EV), respiratory syncytial virus (RSV), parainfluenza (PIV, types 1-4), influenza (flu, types A-C), and human metapneumovirus (HMPV). Our primary measure of illness severity was hospitalization; among hospitalized children, secondary severity outcomes included oxygen support and length of stay (LOS). Results Of the 18,603 children enrolled, HAdV was detected in 1,136 (6.1%), among whom 646 (56.9%) had co-detection with at least one other respiratory virus. HRV/EV (n = 293, 45.3%) and RSV (n = 123, 19.0%) were the most frequent co-detections. Children with HRV/EV (aOR = 1.61; 95% CI = [1.11-2.34]), RSV (aOR = 4.48; 95% CI = [2.81-7.14]), HMPV (aOR = 3.39; 95% CI = [1.69-6.77]), or &gt;= 2 co-detections (aOR = 1.95; 95% CI = [1.14-3.36]) had higher odds of hospitalization compared to children with HAdV alone. Among hospitalized children, HAdV co-detection with RSV or HMPV was each associated with higher odds of oxygen support, while co-detection with PIV or influenza viruses was each associated with higher mean LOS. Conclusions HAdV co-detection with other respiratory viruses was associated with greater disease severity among children with ARI compared to HAdV detection alone. Co-detection of human adenovirus (HAdV) with other common respiratory viruses in children with acute respiratory illness is associated with more severe illness (e.g., hospitalization and oxygen support) compared with detection of HAdV alone.</t>
  </si>
  <si>
    <t xml:space="preserve">[Probst, Varvara; Stewart, Laura S.; Haddadin, Zaid; Halasa, Natasha B.] Vanderbilt Univ, Med Ctr, Dept Pediat, Div Pediat Infect Dis, Nashville, TN 37203 USA; [Spieker, Andrew J.; Stopczynski, Tess] Vanderbilt Univ, Med Ctr, Dept Biostat, 2525 West End Ave,Suite 1100, Nashville, TN 37203 USA; [Selvarangan, Rangaraj; Harrison, Christopher J.] Univ Missouri, Dept Pathol &amp; Lab Med, Kansas City, MO 64110 USA; [Selvarangan, Rangaraj; Harrison, Christopher J.] Childrens Mercy Hosp, Kansas City, MO 64108 USA; [Schuster, Jennifer E.] Univ Missouri, Dept Pediat, Kansas City, MO 64110 USA; [Schuster, Jennifer E.] Childrens Mercy Kansas City, Kansas City, MO USA; [Staat, Mary A.; McNeal, Monica] Univ Cincinnati, Coll Med, Dept Pediat, Cincinnati, OH USA; [Staat, Mary A.; McNeal, Monica] Cincinnati Childrens Hosp, Div Infect Dis, Cincinnati, OH USA; [Weinberg, Geoffrey A.; Szilagyi, Peter G.] Univ Rochester, Sch Med &amp; Dent, Dept Pediat, Rochester, NY 14642 USA; [Szilagyi, Peter G.] Univ Calif Los Angeles, Dept Pediat, Mattel Childrens Hosp, Los Angeles, CA 90024 USA; [Szilagyi, Peter G.] Univ Calif Los Angeles, Los Angeles, CA USA; [Boom, Julie A.; Sahni, Leila C.; Piedra, Pedro A.] Baylor Coll Med, Dept Pediat, Houston, TX 77030 USA; [Boom, Julie A.; Sahni, Leila C.; Piedra, Pedro A.] Texas Childrens Hosp, Houston, TX 77030 USA; [Piedra, Pedro A.] Baylor Coll Med, Dept Mol Virol &amp; Microbiol, Houston, TX 77030 USA; [Englund, Janet A.; Klein, Eileen J.] Univ Washington, Sch Med, Dept Pediat, Seattle, WA 98195 USA; [Englund, Janet A.; Klein, Eileen J.] Seattle Childrens Hosp, Seattle, WA USA; [Michaels, Marian G.; Williams, John, V] Univ Pittsburgh, Sch Med, Dept Pediat, Pittsburgh, PA 15261 USA; [Michaels, Marian G.; Williams, John, V] Univ Pittsburgh, Childrens Hosp Pittsburgh, Med Ctr, Pittsburgh, PA 15213 USA; [Campbell, Angela P.; Patel, Manish; Gerber, Susan, I] Ctr Dis Control &amp; Prevent, Div Viral Dis, Atlanta, GA USA</t>
  </si>
  <si>
    <t xml:space="preserve">Vanderbilt University; Vanderbilt University; University of Missouri System; University of Missouri Kansas City; Children's Mercy Hospital; University of Missouri System; University of Missouri Kansas City; Children's Mercy Hospital; University System of Ohio; University of Cincinnati; University System of Ohio; University of Cincinnati; Cincinnati Children's Hospital Medical Center; University of Rochester; University of California System; University of California Los Angeles; University of California System; University of California Los Angeles; Baylor College of Medicine; Baylor College of Medicine; Baylor College Medical Hospital; Baylor College of Medicine; University of Washington; University of Washington Seattle; Seattle Children's Hospital; Pennsylvania Commonwealth System of Higher Education (PCSHE); University of Pittsburgh; Pennsylvania Commonwealth System of Higher Education (PCSHE); University of Pittsburgh; Centers for Disease Control &amp; Prevention - USA</t>
  </si>
  <si>
    <t xml:space="preserve">Spieker, AJ (corresponding author), Vanderbilt Univ, Med Ctr, Dept Biostat, 2525 West End Ave,Suite 1100, Nashville, TN 37203 USA.</t>
  </si>
  <si>
    <t xml:space="preserve">andrew.spieker@vumc.org</t>
  </si>
  <si>
    <t xml:space="preserve">Williams, John/ABE-3227-2020; Englund, Janet/ABV-6379-2022; Patel, Manish/KIB-0533-2024; Weinberg, Geoffrey/W-7510-2019; Harrison, Christopher/Q-6670-2019</t>
  </si>
  <si>
    <t xml:space="preserve">Selvarangan, Rangaraj/0000-0003-3275-6657; Haddadin, Zaid/0000-0001-6863-6185</t>
  </si>
  <si>
    <t xml:space="preserve">US Centers for Disease Control and Prevention [CDCRFA-IP16-004, UL1 TR000445]; National Center for Advancing Translational Sciences; National Institutes of Health</t>
  </si>
  <si>
    <t xml:space="preserve">US Centers for Disease Control and Prevention(United States Department of Health &amp; Human ServicesCenters for Disease Control &amp; Prevention - USA); National Center for Advancing Translational Sciences(United States Department of Health &amp; Human ServicesNational Institutes of Health (NIH) - USANIH National Center for Advancing Translational Sciences (NCATS)); National Institutes of Health(United States Department of Health &amp; Human ServicesNational Institutes of Health (NIH) - USA)</t>
  </si>
  <si>
    <t xml:space="preserve">This work was supported by the US Centers for Disease Control and Prevention (cooperative agreement number CDCRFA-IP16-004) and UL1 TR000445 from the National Center for Advancing Translational Sciences and the National Institutes of Health.</t>
  </si>
  <si>
    <t xml:space="preserve">10.1093/jpids/piac066</t>
  </si>
  <si>
    <t xml:space="preserve">5N3FJ</t>
  </si>
  <si>
    <t xml:space="preserve">WOS:000826624400001</t>
  </si>
  <si>
    <t xml:space="preserve">Kim, YY; Lew, JF; Keith, B; Telisma, T; Nelson, EJ; Brantly, AC; Chavannes, S; Anilis, G; Yang, Y; Liu, MJ; Alam, MT; Rashid, MH; Morris, JG; De Rochars, VEMB</t>
  </si>
  <si>
    <t xml:space="preserve">Kim, Yong Yean; Lew, Judy F.; Keith, Bahareh; Telisma, Taina; Nelson, Eric J.; Brantly, Alexis C.; Chavannes, Sonese; Anilis, Gina; Yang, Yang; Liu, Mingjin; Alam, Meer Taifur; Rashid, Mohammed H.; Morris, John Glenn, Jr.; De Rochars, Valery E. Madsen Beau</t>
  </si>
  <si>
    <t xml:space="preserve">Acute Respiratory Illness in Rural Haiti</t>
  </si>
  <si>
    <t xml:space="preserve">Acute Respiratory Illness (ARI); Haiti; Children; Outpatient; Rural</t>
  </si>
  <si>
    <t xml:space="preserve">INFLUENZAE TYPE-B; NASOPHARYNGEAL CARRIAGE; HUMAN METAPNEUMOVIRUS; SYNCYTIAL VIRUS; STREPTOCOCCUS-PNEUMONIAE; CONJUGATE VACCINE; CHILDREN; EPIDEMIOLOGY; INFECTIONS; ETIOLOGY</t>
  </si>
  <si>
    <t xml:space="preserve">Objectives: Acute Respiratory Infection (ARI) is the most common cause of childhood morbidity and mortality in developing countries, including Haiti. Our objective was to detect pathogens found in children with ARI in rural Haiti to help develop evidence-based guidelines for treatment and prevention. Methods: Retrospective study of students with ARI at four schools in rural Haiti. Viral and/or bacterial pathogens were identified by qPCR in 177 nasal swabs collected from April 2013 through November 2015. Results: Most common viruses detected were Rhinovirus (36%), Influenza A (16%) and Adenovirus (7%), and bacteriawere Streptococcuspneumoniae(58%) and Staphylococcus aureus (28%). Comparedtoolder children, children aged 3-5 years had more Influenza A (28% vs. 9%, p = 0.002) and Adenovirus detected (14% vs. 3%, p = 0.01). Similarly, S. pneumoniae was greatest in children 3-5 years old (71% 3-5yrs; 58% 6-15 years; 25% 16-20 years; p = 0.008). Children 3-10 years old presented with fever more than children 11-20 years old (22% vs 7%; p = 0.02) and were more often diagnosed with pneumonia (28% vs 4%, p &lt; 0.001). Conclusions: Younger children had increased fever, pneumonia, and detection of Influenza A and S. pneumoniae. These data support the need for influenza and pneumococcus vaccination in early childhood in Haiti. (C) 2019 The Authors. Published by Elsevier Ltd on behalf of International Society for Infectious Diseases.</t>
  </si>
  <si>
    <t xml:space="preserve">[Kim, Yong Yean; Lew, Judy F.; Keith, Bahareh; Nelson, Eric J.] Univ Florida, Dept Pediat, Gainesville, FL USA; [Kim, Yong Yean] Childrens Natl Med Ctr, Dept Hematol Oncol, 111 Michigan Ave NW, Washington, DC 20010 USA; [Keith, Bahareh] Randall Childrens Hosp Legacy Hlth, Pediat Hosp Med, Portland, OR USA; [Telisma, Taina; Nelson, Eric J.; Chavannes, Sonese; Anilis, Gina; Alam, Meer Taifur; Rashid, Mohammed H.; Morris, John Glenn, Jr.; De Rochars, Valery E. Madsen Beau] Univ Florida, Emerging Pathogens Inst, Gainesville, FL USA; [Telisma, Taina; Chavannes, Sonese; Anilis, Gina] Christianville Fdn Sch, Gressier, Haiti; [Brantly, Alexis C.] Univ Florida, Coll Agr &amp; Life Sci, Gainesville, FL USA; [Yang, Yang; Liu, Mingjin] Univ Florida, Coll Publ Hlth &amp; Hlth &amp; Hlth Profess, Dept Biostat, Gainesville, FL USA; [Yang, Yang; Liu, Mingjin] Univ Florida, Coll Publ Hlth &amp; Hlth &amp; Hlth Profess, Emerging Pathogens Inst, Gainesville, FL USA; [Alam, Meer Taifur] Univ Florida, Coll Publ Hlth &amp; Hlth Profess, Dept Environm &amp; Global Hlth, Gainesville, FL USA; [Morris, John Glenn, Jr.] Univ Florida, Dept Med, Gainesville, FL USA; [De Rochars, Valery E. Madsen Beau] Univ Florida, Coll Publ Hlth &amp; Hlth Profess, Dept Hlth Serv Res Management &amp; Policy, Gainesville, FL USA</t>
  </si>
  <si>
    <t xml:space="preserve">State University System of Florida; University of Florida; Children's National Health System; State University System of Florida; University of Florida; State University System of Florida; University of Florida; State University System of Florida; University of Florida; State University System of Florida; University of Florida; State University System of Florida; University of Florida; State University System of Florida; University of Florida; State University System of Florida; University of Florida</t>
  </si>
  <si>
    <t xml:space="preserve">Kim, YY (corresponding author), Childrens Natl Med Ctr, Dept Hematol Oncol, 111 Michigan Ave NW, Washington, DC 20010 USA.</t>
  </si>
  <si>
    <t xml:space="preserve">ykim2@childrensnational.org</t>
  </si>
  <si>
    <t xml:space="preserve">alam, Meer/AAQ-1435-2020; Liu, Jinyao/M-3607-2019; Rashid, Harun/L-5996-2015</t>
  </si>
  <si>
    <t xml:space="preserve">Alam, Meer Taifur/0000-0002-0703-740X</t>
  </si>
  <si>
    <t xml:space="preserve">University of Florida Foundation, Inc. through the Emerging Pathogens Institute at University of Florida; University of Florida Department of Pediatrics, Pediatrics Medical Education</t>
  </si>
  <si>
    <t xml:space="preserve">This work was supported by The University of Florida Foundation, Inc. through the Emerging Pathogens Institute at University of Florida; and The University of Florida Department of Pediatrics, Pediatrics Medical Education.</t>
  </si>
  <si>
    <t xml:space="preserve">10.1016/j.ijid.2019.02.003</t>
  </si>
  <si>
    <t xml:space="preserve">HS5DB</t>
  </si>
  <si>
    <t xml:space="preserve">WOS:000463889700033</t>
  </si>
  <si>
    <t xml:space="preserve">Maillard, A; Le Goff, J; Barry, M; Lemiale, V; Mercier-Delarue, S; Demoule, A; Feghoul, L; Jaber, S; Klouche, K; Kouatchet, A; Argaud, L; Barbier, F; Bigé, N; Moreau, AS; Canet, E; Pène, F; Salmona, M; Mokart, D; Azoulay, E</t>
  </si>
  <si>
    <t xml:space="preserve">Maillard, Alexis; Le Goff, Jerome; Barry, Mariame; Lemiale, Virginie; Mercier-Delarue, Severine; Demoule, Alexandre; Feghoul, Linda; Jaber, Samir; Klouche, Kada; Kouatchet, Achille; Argaud, Laurent; Barbier, Francois; Bige, Naike; Moreau, Anne-Sophie; Canet, Emmanuel; Pane, Frederic; Salmona, Maud; Mokart, Djamel; Azoulay, Elie</t>
  </si>
  <si>
    <t xml:space="preserve">Multiplex Polymerase Chain Reaction Assay to Detect Nasopharyngeal Viruses in Immunocompromised Patients With Acute Respiratory Failure</t>
  </si>
  <si>
    <t xml:space="preserve">acute respiratory failures; critical care; immunocompromised; respiratory viruses</t>
  </si>
  <si>
    <t xml:space="preserve">INFECTIONS; OUTCOMES; RECIPIENTS</t>
  </si>
  <si>
    <t xml:space="preserve">BACKGROUND: In immunocompromised patients with acute respiratory failure (ARF), the clinical significance of respiratory virus detection in the nasopharynx remains uncertain.RESEARCH QUESTION: Is viral detection in nasopharyngeal swabs associated with causes and outcomes of ARF in immunocompromised patients?STUDY DESIGN AND METHODS: This preplanned post hoc analysis of a randomized controlled trial enrolled immunocompromised patients admitted to 32 ICUs for ARF between May 2016 and December 2017. Nasopharyngeal swabs sampled at inclusion were assessed for 23 respiratory pathogens using multiplex polymerase chain reaction (PCR) assay. Causes of ARF were established by managing physicians and were reviewed by three expert investigators masked to the multiplex PCR assay results. Associations between virus detection in nasopharyngeal swabs, causes of ARF, and composite outcome of day 28 mortality, invasive mechanical ventilation (IMV), or both were assessed.RESULTS: Among the 510 sampled patients, the multiplex PCR assay results were positive in 103 patients (20.2%), and a virus was detected in 102 samples: rhinoviruses or enteroviruses in 35.5%, coronaviruses in 10.9%, and flu-like viruses (influenza virus, parainfluenza virus, respiratory syncytial virus, human metapneumovirus) in 52.7%. The cause of ARF varied significantly according to the results of the multiplex PCR assay, especially the proportion of viral pneumonia: 50.0% with flu-like viruses, 14.0% with other viruses, and 3.6% when no virus was detected (P &lt; .001). No difference was found in the composite outcome of day 28 mortality, IMV, or both according to positive assay findings (54.9% vs 54.7%; P 1/4 .965). In a pre-established subgroup analysis, flu-like virus detection was associated with a higher rate of day 28 mortality, IMV, or both among recipients of allogeneic hematopoietic stem cell transplantation compared with those without detected virus.INTERPRETATION: In immunocompromised patients with ARF, the results of nasopharyngeal multiplex PCR assays are not associated with IMV or mortality. A final diagnosis of viral pneumonia is retained in one-third of patients with positive assay results and in one-half of the patients with a flu-like virus.</t>
  </si>
  <si>
    <t xml:space="preserve">[Maillard, Alexis; Lemiale, Virginie; Demoule, Alexandre; Bige, Naike; Azoulay, Elie] Hop St Louis, Assistance Publ Hop Paris, Serv Medecine Intens &amp; Reanimat, Paris, France; [Le Goff, Jerome; Barry, Mariame; Mercier-Delarue, Severine; Feghoul, Linda] Hop St Louis, Assistance Publ Hop Paris, Serv Virol, Paris, France; [Jaber, Samir] Ctr Hosp Univ Montpellier, Hop St Eloi, Dept Anesthesie et Reanimat B, Montpellier, France; [Klouche, Kada] Hop Lapeyronie, Dept Medecine Intens &amp; Reanimat, Montpellier, France; [Kouatchet, Achille] CHU Angers, Med Intens &amp; Reanimat, Angers, France; [Argaud, Laurent] Hosp Civils Lyon, Hop Edouard Herriot, Medecine Intens Reanimat, Lyon, France; [Barbier, Francois] Ctr Hosp Reg Orleans, Source Hosp, Un Soins Intens Medicaux, Orleans, France; [Moreau, Anne-Sophie] CHU Lille, Hop Roger Salengro, Pole Medecine Intens Reanimat, Lille, France; [Canet, Emmanuel] Ctr Hosp Univ Hotel Dieu, Serv Med Intens Reanimat, Nantes, France; [Pane, Frederic] Hop Cochin, Assistance Publ Hop Paris, Serv Medecine Intens Reanimat, Paris, France; [Salmona, Maud] Hop St Louis, Assistance Publ Hop Paris, Lab Virol, Paris, France; [Mokart, Djamel] Inst Paoli Calmette, Dept Anesthesie Reanimat, Marseille, France</t>
  </si>
  <si>
    <t xml:space="preserve">Assistance Publique Hopitaux Paris (APHP); Universite Paris Cite; Hopital Universitaire Saint-Louis - APHP; Universite Paris Cite; Assistance Publique Hopitaux Paris (APHP); Hopital Universitaire Saint-Louis - APHP; Universite de Montpellier; CHU de Montpellier; Universite de Montpellier; CHU de Montpellier; Universite d'Angers; Centre Hospitalier Universitaire d'Angers; CHU Lyon; Centre Hospitalier Regional d'Orleans; Universite de Lille; CHU Lille; Nantes Universite; CHU de Nantes; Assistance Publique Hopitaux Paris (APHP); Universite Paris Cite; Hopital Universitaire Cochin - APHP; Hopital Universitaire Saint-Louis - APHP; Universite Paris Cite; Assistance Publique Hopitaux Paris (APHP); Hopital Universitaire Saint-Louis - APHP; UNICANCER; Institut Paoli-Calmette (IPC)</t>
  </si>
  <si>
    <t xml:space="preserve">Azoulay, E (corresponding author), Hop St Louis, Assistance Publ Hop Paris, Serv Medecine Intens &amp; Reanimat, Paris, France.</t>
  </si>
  <si>
    <t xml:space="preserve">elie.azoulay@aphp.fr</t>
  </si>
  <si>
    <t xml:space="preserve">Azoulay, Elie/HLG-3693-2023; Bigé, Naïke/KEI-5279-2024; LeGoff, jerome/AAP-7880-2021; Demoule, Alexandre/ABG-4915-2021; salmona, mario/AAA-7116-2020</t>
  </si>
  <si>
    <t xml:space="preserve">Maillard, Alexis/0000-0002-7165-4103; JABER, Samir/0000-0002-7257-8069</t>
  </si>
  <si>
    <t xml:space="preserve">French Ministry of Health and French Intensive Care Society [P150912 HIGH]</t>
  </si>
  <si>
    <t xml:space="preserve">French Ministry of Health and French Intensive Care Society</t>
  </si>
  <si>
    <t xml:space="preserve">Funded by the French Ministry of Health and French Intensive Care Society [Grant P150912 HIGH]. QIAGEN donated of all QIAstat-Dx Respiratory SARS-CoV-2 Panel cartridges and a QIAstat-Dx Rise instrument.</t>
  </si>
  <si>
    <t xml:space="preserve">10.1016/j.chest.2023.07.4222</t>
  </si>
  <si>
    <t xml:space="preserve">DZ2W3</t>
  </si>
  <si>
    <t xml:space="preserve">WOS:001135859100001</t>
  </si>
  <si>
    <t xml:space="preserve">Shah, RD; Wunderink, RG</t>
  </si>
  <si>
    <t xml:space="preserve">Shah, Raj D.; Wunderink, Richard G.</t>
  </si>
  <si>
    <t xml:space="preserve">Viral Pneumonia and Acute Respiratory Distress Syndrome</t>
  </si>
  <si>
    <t xml:space="preserve">Acute respiratory distress syndrome; Respiratory virus; Community-acquired pneumonia</t>
  </si>
  <si>
    <t xml:space="preserve">COMMUNITY-ACQUIRED PNEUMONIA; SYNCYTIAL VIRUS-INFECTION; INFLUENZA-A H1N1; CRITICALLY-ILL PATIENTS; EXTRACORPOREAL MEMBRANE-OXYGENATION; HUMAN METAPNEUMOVIRUS INFECTION; INTENSIVE-CARE-UNIT; ACUTE LUNG INJURY; SYNDROME CORONAVIRUS INFECTION; CELL TRANSPLANT RECIPIENTS</t>
  </si>
  <si>
    <t xml:space="preserve">Respiratory viruses are a common cause of severe pneumonia and acute respiratory distress syndrome (ARDS) in adults. The advent of new diagnostic technologies, particularly multiplex reverse transcription polymerase chain reaction, have increased the recognition of viral respiratory infections in critically ill adults. Supportive care for adults with ARDS caused by respiratory viruses is similar to the care of patients with ARDS from other causes. Although antiviral therapy is available for some respiratory viral infections, further research is needed to determine which groups of patients would benefit.</t>
  </si>
  <si>
    <t xml:space="preserve">[Shah, Raj D.; Wunderink, Richard G.] Northwestern Univ, Feinberg Sch Med, Div Pulm &amp; Crit Care Med, 676 North St Clair St,Arkes 14-045, Chicago, IL 60611 USA</t>
  </si>
  <si>
    <t xml:space="preserve">Wunderink, RG (corresponding author), Northwestern Univ, Feinberg Sch Med, Div Pulm &amp; Crit Care Med, 676 North St Clair St,Arkes 14-045, Chicago, IL 60611 USA.</t>
  </si>
  <si>
    <t xml:space="preserve">10.1016/j.ccm.2016.11.013</t>
  </si>
  <si>
    <t xml:space="preserve">WOS:000396387100012</t>
  </si>
  <si>
    <t xml:space="preserve">Kurai, D; Natori, M; Yamada, M; Zheng, RC; Saito, Y; Takahashi, H</t>
  </si>
  <si>
    <t xml:space="preserve">Kurai, Daisuke; Natori, Makiko; Yamada, Maho; Zheng, Richuan; Saito, Yuki; Takahashi, Hiroshi</t>
  </si>
  <si>
    <t xml:space="preserve">Occurrence and disease burden of respiratory syncytial virus and other respiratory pathogens in adults aged ≥65 years in community: A prospective cohort study in Japan</t>
  </si>
  <si>
    <t xml:space="preserve">acute respiratory disease; community; Japanese older adults; respiratory infection intensity questionnaire (RiiQ (TM)); respiratory pathogens; respiratory syncytial virus</t>
  </si>
  <si>
    <t xml:space="preserve">RISK-FACTORS; INFECTION</t>
  </si>
  <si>
    <t xml:space="preserve">Background: The frequency and clinical profile of respiratory syncytial virus (RSV)-acute respiratory disease (ARD) in older adults in Japan has not been well-characterized. Methods: This was a multicenter prospective observational cohort study to evaluate the occurrence rate of ARD in 1000 older adult participants (&gt;= 65 years) for 52 weeks during the 2019 to 2020 season. A multiplex polymerase chain reaction panel was used for pathogen detection in nasopharyngeal swab from participants diagnosed with ARD. Symptoms and impact of ARD was assessed using the Respiratory Infection Intensity and Impact Questionnaire (RiiQ (TM)). The study was registered at UMIN (https://www.umin.ac.jp/ctr/): UMIN000037891. Results: RSV-ARD was detected in 24/1000 (2.4%) participants and RSV-lower respiratory tract disease in 8/1000 (0.8%) participants. The median duration of RSV-ARD was 18 days. All 24 participants had utilized the medical services of outpatient visits and only 1 (4.2%) participant was hospitalized for RSV-ARD. The most common viruses other than RSV that caused ARD (detected in &gt;10 participants) were human rhinovirus/enterovirus, parainfluenza 3, coronavirus OC43, human metapneumovirus, and influenza A/H1. The most frequent symptoms of RSV-ARD were cough, sore throat, nasal congestion, and expectoration. Conclusions: RSV was reported as a major pathogen for respiratory infections in older adults in Japan.</t>
  </si>
  <si>
    <t xml:space="preserve">[Kurai, Daisuke] Kyorin Univ, Dept Gen Med, Sch Med, Tokyo, Japan; [Natori, Makiko; Yamada, Maho; Zheng, Richuan; Saito, Yuki] Janssen Pharmaceut KK, Div Res &amp; Dev, Tokyo, Japan; [Takahashi, Hiroshi] Saka Gen Hosp, Dept Resp, Shiogama, Miyagi, Japan</t>
  </si>
  <si>
    <t xml:space="preserve">Kyorin University; Johnson &amp; Johnson; Janssen Pharmaceuticals</t>
  </si>
  <si>
    <t xml:space="preserve">Kurai, D (corresponding author), Kyorin Univ, Sch Med, 6-20-2 Shinkawa, Mitaka, Tokyo 1818611, Japan.</t>
  </si>
  <si>
    <t xml:space="preserve">kurai@ks.kyorin-u.ac.jp</t>
  </si>
  <si>
    <t xml:space="preserve">Kurai, Daisuke/0000-0001-9492-8798</t>
  </si>
  <si>
    <t xml:space="preserve">Janssen Pharmaceutical K.K</t>
  </si>
  <si>
    <t xml:space="preserve">The authors appreciate the study participants, and also appreciate the investigators and study coordinators for their contributions to this study. The RiiQ (TM) was used under license provision by Measured Solutions for Health P/L, Australia.This work was supported by Janssen Pharmaceutical K.K.The writing support for manuscript was provided by SivaNagiReddy Tiyyagura, Vivek Rane, Kiran Chawla, Rajesh KS, and Pavithran Purushothaman from Kinapse (a Syneos Health (R) Company).</t>
  </si>
  <si>
    <t xml:space="preserve">10.1111/irv.12928</t>
  </si>
  <si>
    <t xml:space="preserve">WOS:000714091100001</t>
  </si>
  <si>
    <t xml:space="preserve">Vu, DL; Bridevaux, PO; Aubert, JD; Soccal, PM; Kaiser, L</t>
  </si>
  <si>
    <t xml:space="preserve">Vu, D. -L.; Bridevaux, P. -O.; Aubert, J. -D.; Soccal, P. M.; Kaiser, L.</t>
  </si>
  <si>
    <t xml:space="preserve">Respiratory Viruses in Lung Transplant Recipients: A Critical Review and Pooled Analysis of Clinical Studies</t>
  </si>
  <si>
    <t xml:space="preserve">Acute rejection; bronchiolitis obliterans; influenza; lung transplantation; viral infection</t>
  </si>
  <si>
    <t xml:space="preserve">HUMAN METAPNEUMOVIRUS INFECTION; BRONCHIOLITIS-OBLITERANS-SYNDROME; POLYMERASE-CHAIN-REACTION; VIRAL-INFECTIONS; TRACT INFECTIONS; INFLUENZA; DIAGNOSIS; PARAINFLUENZA; REJECTION; FEATURES</t>
  </si>
  <si>
    <t xml:space="preserve">Lung transplant recipients present an increased risk for severe complications associated with respiratory infections. We conducted a review of the literature examining the clinical relationship between viral respiratory infection and graft complications. Thirty-four studies describing the clinical impact of influenza, respiratory syncytial virus, parainfluenza, human metapneumovirus, rhinovirus, enterovirus, coronavirus, bocavirus or adenovirus were identified. The detection rate of respiratory viral infection ranged from 1.4% to 60%. Viruses were detected five times more frequently when respiratory symptoms were present [odds ratio (OR) = 4.97; 95% Cl = 2.11-11.68]. Based on available observations, we could not observe an association between respiratory viral infection and acute rejection (OR = 1.35; 95% Cl = 0.41-4.43). We found a pooled incidence of 18% (9/50) of bronchiolitis obliterans syndrome (BOS) in virus-positive cases compared to 11.6% (37/319) in virus-negative cases; however, limited number of BOS events did not allow to confirm the association. Our review confirms a causal relationship between respiratory viruses and respiratory symptoms, but cannot confirm a link between respiratory viruses and acute lung rejection. This is related in part to the heterogeneity and limitations of available studies. The link with BOS needs also to be reassessed in appropriate prospective studies.</t>
  </si>
  <si>
    <t xml:space="preserve">[Vu, D. -L.; Kaiser, L.] Univ Geneva, Div Infect Dis, Virol Lab, Geneva, Switzerland; [Vu, D. -L.; Kaiser, L.] Univ Geneva, Univ Hosp Geneva, Div Lab Med, Geneva, Switzerland; [Vu, D. -L.; Kaiser, L.] Univ Geneva, Sch Med, CH-1211 Geneva, Switzerland; [Bridevaux, P. -O.; Aubert, J. -D.; Soccal, P. M.] Univ Hosp Geneva, Div Pulm Med, Geneva, Switzerland; [Aubert, J. -D.] Univ Lausanne Hosp, Div Pulm Med, Lausanne, Switzerland; [Soccal, P. M.] Univ Hosp Geneva, Clin Thorac Surg, Geneva, Switzerland</t>
  </si>
  <si>
    <t xml:space="preserve">University of Geneva; University of Geneva; University of Geneva; University of Geneva; University of Lausanne; Centre Hospitalier Universitaire Vaudois (CHUV); University of Geneva</t>
  </si>
  <si>
    <t xml:space="preserve">Vu, DL (corresponding author), Univ Geneva, Div Infect Dis, Virol Lab, Geneva, Switzerland.</t>
  </si>
  <si>
    <t xml:space="preserve">vudiemlan@gmail.com</t>
  </si>
  <si>
    <t xml:space="preserve">Aubert, John-David/H-5561-2019; Bridevaux, Pierre-Olivier/AAN-8046-2021</t>
  </si>
  <si>
    <t xml:space="preserve">Bridevaux, Pierre-Olivier/0000-0002-8021-0950; Aubert, John-David/0000-0001-8856-4000; Kaiser, Laurent/0000-0002-0857-2252; Vu Cantero, Diem-Lan/0000-0002-3823-3585</t>
  </si>
  <si>
    <t xml:space="preserve">Swiss National Science Foundation [3200B-101670]</t>
  </si>
  <si>
    <t xml:space="preserve">This work was supported by a grant of the Swiss National Science Foundation attributed to L. Kaiser (3200B-101670).</t>
  </si>
  <si>
    <t xml:space="preserve">10.1111/j.1600-6143.2011.03490.x</t>
  </si>
  <si>
    <t xml:space="preserve">754ZS</t>
  </si>
  <si>
    <t xml:space="preserve">WOS:000289897000030</t>
  </si>
  <si>
    <t xml:space="preserve">Suzumoto, M; Hotomi, M; Billal, DS; Fujihara, K; Harabuchi, Y; Yamanaka, N</t>
  </si>
  <si>
    <t xml:space="preserve">Suzumoto, Masaki; Hotomi, Muneki; Billal, Dewan S.; Fujihara, Keiji; Harabuchi, Yasuaki; Yamanaka, Noboru</t>
  </si>
  <si>
    <t xml:space="preserve">A scoring system for management of acute pharyngo-tonsillitis in adults</t>
  </si>
  <si>
    <t xml:space="preserve">AURIS NASUS LARYNX</t>
  </si>
  <si>
    <t xml:space="preserve">Acute pharyngo-tonsillitis; Clinical score; Streptococcus pyogenes; CRP; WBC</t>
  </si>
  <si>
    <t xml:space="preserve">APPROPRIATE ANTIBIOTIC USE; BETA-HEMOLYTIC STREPTOCOCCI; RANDOMIZED CONTROLLED-TRIAL; GROUP-A STREPTOCOCCI; SORE THROAT; PRESCRIBING STRATEGIES; GENERAL-PRACTICE; STREP THROAT; PRIMARY-CARE; DIAGNOSIS</t>
  </si>
  <si>
    <t xml:space="preserve">Objectives: The aim of this study was to develop and evaluate a scoring system for the management of acute pharyngo-tonsillitis. Methods: We conducted a prospective study between May 2004 and June 2005. Patients with acute pharyngo-tonsillitis were evaluated for causative pathogens and were assessed clinical symptoms and pharyngo-tonsillar finding by a clinical scoring system. Results: A total 214 adult patients were enrolled in this study. Streptococcus pyogenes were identified at 13.6%. Thirty-one viruses were also identified by PCR. They were adenovirus (4.8%), influenza virus (1.0%), RS virus (6.3%), and human metapneumovirus (2.9%). Numbers of total white blood cells and levels of C-reactive protein showed a significant positive correlation with clinical scores (p &lt; 0.001) and were also higher in cases with S. pyogenes. The clinical scores rapidly improved after the antimicrobial treatments in moderate cases and severe cases. Conclusion: The current study strongly suggested that the clinical scoring system reflected disease severity well and would be very useful for evaluating clinical course and decision making for the antimicrobial treatment of acute pharyngo-tonisllitis. (C) 2008 Elsevier Ireland Ltd. All rights reserved.</t>
  </si>
  <si>
    <t xml:space="preserve">[Suzumoto, Masaki; Hotomi, Muneki; Billal, Dewan S.; Fujihara, Keiji; Yamanaka, Noboru] Wakayama Med Univ, Dept Otolaryngol Head &amp; Neck Surg, Wakayama 6418510, Japan; [Harabuchi, Yasuaki] Asahikawa Med Univ, Dept Otolaryngol Head &amp; Neck Surg, Asahikawa, Hokkaido 0788510, Japan</t>
  </si>
  <si>
    <t xml:space="preserve">Wakayama Medical University; Asahikawa Medical College</t>
  </si>
  <si>
    <t xml:space="preserve">Yamanaka, N (corresponding author), Wakayama Med Univ, Dept Otolaryngol Head &amp; Neck Surg, 811-1 Wakayama Shi, Wakayama 6418510, Japan.</t>
  </si>
  <si>
    <t xml:space="preserve">ynobi@wakayama-med.ac.jp</t>
  </si>
  <si>
    <t xml:space="preserve">Daiichi Pharmaceutical Co., Ltd.</t>
  </si>
  <si>
    <t xml:space="preserve">Daiichi Pharmaceutical Co., Ltd.(Daiichi Sankyo Company Limited)</t>
  </si>
  <si>
    <t xml:space="preserve">We greatly thank to Prof. Edward L. Kaplan, M.D. (Department of Pediatrics, the University of Minneapolis, USA) for his suggestion to this paper. These works were organized by a nationwide surveillance group for adult acute pharyngo-tonisllitis (Pharyngo-Tonsillitis Study Group: PhaTONS). We greatly thank to all members of PhaTONS. We also express our hearty thanks to Miss Yuki Tatsumi for her technical assistances. This study was supported for funding by Daiichi Pharmaceutical Co., Ltd. (presently Daiichi-Sankyo, post-merger).</t>
  </si>
  <si>
    <t xml:space="preserve">0385-8146</t>
  </si>
  <si>
    <t xml:space="preserve">1879-1476</t>
  </si>
  <si>
    <t xml:space="preserve">Auris Nasus Larynx</t>
  </si>
  <si>
    <t xml:space="preserve">10.1016/j.anl.2008.07.001</t>
  </si>
  <si>
    <t xml:space="preserve">445XB</t>
  </si>
  <si>
    <t xml:space="preserve">WOS:000266083700011</t>
  </si>
  <si>
    <t xml:space="preserve">Mihyawi, N; Fath, AR; Findakly, D; Forlemu, A; Roy, RR</t>
  </si>
  <si>
    <t xml:space="preserve">Mihyawi, Nawfal; Fath, Ayman R.; Findakly, Dawood; Forlemu, Arnold; Roy, Raina R.</t>
  </si>
  <si>
    <t xml:space="preserve">Pericardial Effusion and Tamponade Complicating Acute Pericarditis in a Human Metapneumovirus-Infected Adult: A Unique Case Report</t>
  </si>
  <si>
    <t xml:space="preserve">acute pericarditis; human metapneumovirus; leukocytosis; pericardial effusion; cardiac tamponade</t>
  </si>
  <si>
    <t xml:space="preserve">Acute pericarditis (AP), or pericardial sac inflammation, is a self-limited condition in healthy individuals. Viruses, including adenoviruses, enteroviruses, cytomegalovirus, and influenza virus, have been well documented to cause AP. In contrast, human metapneumovirus (hMPV), a relatively newer virus, has been described in a few cases to cause serious cardiac complications. Here we report a patient who developed an imminent cardiac tamponade associated with hMVP respiratory infection.</t>
  </si>
  <si>
    <t xml:space="preserve">[Mihyawi, Nawfal; Fath, Ayman R.; Findakly, Dawood; Forlemu, Arnold] Creighton Univ Arizona Hlth Educ Alliance, Internal Med, Valleywise Hlth Med Ctr, Phoenix, AZ 85003 USA; [Roy, Raina R.] Creighton Univ Arizona Hlth Educ Alliance, Cardiol, Valleywise Hlth Med Ctr, Phoenix, AZ USA</t>
  </si>
  <si>
    <t xml:space="preserve">Findakly, D (corresponding author), Creighton Univ Arizona Hlth Educ Alliance, Internal Med, Valleywise Hlth Med Ctr, Phoenix, AZ 85003 USA.</t>
  </si>
  <si>
    <t xml:space="preserve">dawood_findakly@yahoo.com</t>
  </si>
  <si>
    <t xml:space="preserve">Findakly, Dawood/AAE-7488-2022</t>
  </si>
  <si>
    <t xml:space="preserve">Findakly, Dawood/0000-0001-5586-7072</t>
  </si>
  <si>
    <t xml:space="preserve">e8454</t>
  </si>
  <si>
    <t xml:space="preserve">10.7759/cureus.8454</t>
  </si>
  <si>
    <t xml:space="preserve">LV3WR</t>
  </si>
  <si>
    <t xml:space="preserve">WOS:000538370300006</t>
  </si>
  <si>
    <t xml:space="preserve">Fan, Y; Li, DD; Wang, P; Ren, LL; Chen, XW</t>
  </si>
  <si>
    <t xml:space="preserve">Fan, Yue; Li, Dongdong; Wang, Pu; Ren, Lili; Chen, Xiaowei</t>
  </si>
  <si>
    <t xml:space="preserve">Case-control study of relationship of infection by respiratory viruses with acute otitis media in Chinese children</t>
  </si>
  <si>
    <t xml:space="preserve">Acute otitis media; Upper respiratory infection; Virus; Respiratory syncytial virus</t>
  </si>
  <si>
    <t xml:space="preserve">MIDDLE-EAR; SEASONALITY; NASOPHARYNX; BACTERIAL</t>
  </si>
  <si>
    <t xml:space="preserve">Background: Acute otitis media (AOM) may occur as a complication of viral upper respiratory infection (URI) in children. Our objective was to examine children with URI + AOM or URI alone to determine the association of infection by different common respiratory viruses with AOM. Methods: Nasopharyngeal swabs were collected from March 2014 to February 2015. Quantitative PCR was then used to identify the following 10 common respiratory viruses: respiratory syncytial virus (RSV); parainfluenza viruses 1-4 (PIVs); influenza virus type A (IFVA); influenza virus type B; human rhinovirus (HRV); enterovirus; human metapneumovirus; human coronavirus OC43, 229E, NL63, and HKU1; adenovirus; and human bocavirus. Results: We examined 255 children with URIs (mean age: 32.9 +/- 18.7 months), and 164 (64.1%) of them tested positive for at least one respiratory virus. The most common viruses were RSV (44, 24.3%), PIVs (28, 15.5%), and IFVA (25, 13.8%). Positivity for RSV was significantly greater in the URI + AOM group than in the URI group, but these groups did not differ in infection rates for the other 9 viruses. There were also significant seasonal differences in positivity for RSV, IFVA, HRV,HBoV, PIVs and EV. Conclusion: Our results indicated a relationship between infection by common respiratory viruses and AOM in children from Beijing. A URI with RSV significantly increased the risk of AOM in these children.</t>
  </si>
  <si>
    <t xml:space="preserve">[Fan, Yue; Chen, Xiaowei] Chinese Acad Med Sci &amp; Peking Union Med Coll, Peking Union Med Coll Hosp, Dept Otolaryngol Head &amp; Neck Surg, 1 Shuaifuyuan, Beijing 100730, Peoples R China; [Li, Dongdong] Xin Jiang Karamay Cent Hosp, Dept Otolaryngol Head &amp; Neck Surg, Karamay 834000, Peoples R China; [Wang, Pu] Capital Med Univ, Beijing Tiantan Hosp, Dept Otolaryngol Head &amp; Neck Surg, Beijing 100070, Peoples R China; [Ren, Lili] Chinese Acad Med Sci &amp; Peking Union Med Coll, Natl Hlth Commiss, Peoples Republ China Key Lab Syst Biol Pathogens, Beijing, Peoples R China; [Ren, Lili] Chinese Acad Med Sci &amp; Peking Union Med Coll, Inst Pathogen Biol, Christophe Merieux Lab, Beijing, Peoples R China; [Ren, Lili] Chinese Acad Med Sci &amp; Peking Union Med Coll, Key Lab Resp Dis Pathogen, Beijing, Peoples R China</t>
  </si>
  <si>
    <t xml:space="preserve">Chinese Academy of Medical Sciences - Peking Union Medical College; Peking Union Medical College Hospital; Peking Union Medical College; Capital Medical University; Chinese Academy of Medical Sciences - Peking Union Medical College; Peking Union Medical College; Chinese Academy of Medical Sciences - Peking Union Medical College; Institute of Pathogen Biology - CAMS; Peking Union Medical College; Chinese Academy of Medical Sciences - Peking Union Medical College; Peking Union Medical College</t>
  </si>
  <si>
    <t xml:space="preserve">Chen, XW (corresponding author), Chinese Acad Med Sci &amp; Peking Union Med Coll, Peking Union Med Coll Hosp, Dept Otolaryngol Head &amp; Neck Surg, 1 Shuaifuyuan, Beijing 100730, Peoples R China.;Ren, LL (corresponding author), Chinese Acad Med Sci &amp; Peking Union Med Coll, Key Lab Resp Dis Pathogen, Beijing, Peoples R China.</t>
  </si>
  <si>
    <t xml:space="preserve">renliliipb@163.com; chenxw_pumch@163.com</t>
  </si>
  <si>
    <t xml:space="preserve">Liu, Ai-Lin/F-3321-2015; Li, Dongdong/T-1730-2018</t>
  </si>
  <si>
    <t xml:space="preserve">Young Scientists Fund (CN) [81700924]; National High Level Hospital Clinical Research Funding [2022-PUMCH-B-095]</t>
  </si>
  <si>
    <t xml:space="preserve">Young Scientists Fund (CN); National High Level Hospital Clinical Research Funding</t>
  </si>
  <si>
    <t xml:space="preserve">Dr. Yue Fan was supported by Young Scientists Fund (CN) [81700924] . Xiaowei Chen was supported by National High Level Hospital Clinical Research Funding [2022-PUMCH-B-095] .</t>
  </si>
  <si>
    <t xml:space="preserve">e14422</t>
  </si>
  <si>
    <t xml:space="preserve">10.1016/j.heliyon.2023.e14422</t>
  </si>
  <si>
    <t xml:space="preserve">D7CC4</t>
  </si>
  <si>
    <t xml:space="preserve">WOS:000970259000001</t>
  </si>
  <si>
    <t xml:space="preserve">Chonmaitree, T; Alvarez-Fernandez, P; Jennings, K; Trujillo, R; Marom, T; Loeffelholz, MJ; Miller, AL; McCormick, DP; Patel, JA; Pyles, RB</t>
  </si>
  <si>
    <t xml:space="preserve">Chonmaitree, Tasnee; Alvarez-Fernandez, Pedro; Jennings, Kristofer; Trujillo, Rocio; Marom, Tal; Loeffelholz, Michael J.; Miller, Aaron L.; McCormick, David P.; Patel, Janak A.; Pyles, Richard B.</t>
  </si>
  <si>
    <t xml:space="preserve">Symptomatic and Asymptomatic Respiratory Viral Infections in the First Year of Life: Association With Acute Otitis Media Development</t>
  </si>
  <si>
    <t xml:space="preserve">acute otitis media; common cold; asymptomatic infection; respiratory viruses; rhinovirus</t>
  </si>
  <si>
    <t xml:space="preserve">CYTOKINE GENE POLYMORPHISMS; ATTENDING DAY-CARE; REAL-TIME PCR; TRACT INFECTION; YOUNG-CHILDREN; HUMAN METAPNEUMOVIRUS; SYNCYTIAL VIRUS; LOAD; COLONIZATION; EPIDEMIOLOGY</t>
  </si>
  <si>
    <t xml:space="preserve">Background. Sensitive diagnostic assays have increased the detection of viruses in asymptomatic individuals. The clinical significance of asymptomatic respiratory viral infection in infants is unknown. Methods. High-throughput, quantitative polymerase chain reaction assays were used to detect 13 common respiratory viruses from nasopharyngeal specimens collected during 2028 visits from 362 infants followed from near birth up to 12 months of age. Specimens were collected at monthly interval (months 1-6 and month 9) and during upper respiratory tract infection (URTI) episodes. Subjects were followed closely for acute otitis media (AOM) development. Results. Viruses were detected in 76% of 394 URTI specimens and 27% of asymptomatic monthly specimens. Rhinovirus was detected most often; multiple viruses were detected in 29% of the specimens. Generalized mixed-model analyses associated symptoms with increasing age and female sex; detection of respiratory syncytial virus (RSV), influenza, rhinovirus, metapneumovirus, and adenovirus was highly associated with symptoms. Increasing age was also associated with multiple virus detection. Overall, 403 asymptomatic viral infections in 237 infants were identified. Viral load was significantly higher in URTI specimens than asymptomatic specimens but did not differentiate cases of URTI with and without AOM complication. The rate of AOM complicating URTI was 27%; no AOM occurred following asymptomatic viral infections. AOM development was associated with increasing age and infection with RSV, rhinovirus, enterovirus, adenovirus, and bocavirus. Conclusions. Compared to symptomatic infection, asymptomatic viral infection in infants is associated with young age, male sex, low viral load, specific viruses, and single virus detection. Asymptomatic viral infection did not result in AOM.</t>
  </si>
  <si>
    <t xml:space="preserve">[Chonmaitree, Tasnee; Alvarez-Fernandez, Pedro; Trujillo, Rocio; Marom, Tal; Miller, Aaron L.; McCormick, David P.; Patel, Janak A.; Pyles, Richard B.] Univ Texas Med Branch, Dept Pediat, Galveston, TX 77555 USA; [Chonmaitree, Tasnee; Loeffelholz, Michael J.] Univ Texas Med Branch, Dept Pathol, Galveston, TX 77555 USA; [Jennings, Kristofer] Univ Texas Med Branch, Dept Prevent Med &amp; Community Hlth, Galveston, TX 77555 USA; [Pyles, Richard B.] Univ Texas Med Branch, Dept Microbiol &amp; Immunol, Galveston, TX 77555 USA</t>
  </si>
  <si>
    <t xml:space="preserve">Marom, Tal/P-7146-2015</t>
  </si>
  <si>
    <t xml:space="preserve">Jennings, Kristofer/0000-0002-5442-9326</t>
  </si>
  <si>
    <t xml:space="preserve">National Institutes of Health [R01DC005841, R01DC005841-10S1, UL1TR000071]</t>
  </si>
  <si>
    <t xml:space="preserve">This work was supported by the National Institutes of Health (research grants R01DC005841, R01DC005841-10S1, and UL1TR000071).</t>
  </si>
  <si>
    <t xml:space="preserve">10.1093/cid/ciu714</t>
  </si>
  <si>
    <t xml:space="preserve">CB5LJ</t>
  </si>
  <si>
    <t xml:space="preserve">WOS:000349668300002</t>
  </si>
  <si>
    <t xml:space="preserve">Hasuwa, T; Kinoshita, F; Harada, S; Nakashima, K; Yoshihara, K; Toku, Y; Moriuchi, H; Yoshida, LM</t>
  </si>
  <si>
    <t xml:space="preserve">Hasuwa, Tomoyuki; Kinoshita, Fumiko; Harada, Sadatomo; Nakashima, Kazuhisa; Yoshihara, Keisuke; Toku, Yuichirou; Moriuchi, Hiroyuki; Yoshida, Lay Myint</t>
  </si>
  <si>
    <t xml:space="preserve">Viral Etiology of Acute Lower Respiratory Tract Infections in Hospitalized Children in Nagasaki, a Regional City of Japan in 2013-2015</t>
  </si>
  <si>
    <t xml:space="preserve">acute lower respiratory tract infections; respiratory pathogens; epidemiology; multiplex polymerase chain reaction; enterovirus D68</t>
  </si>
  <si>
    <t xml:space="preserve">SYNCYTIAL VIRUS-INFECTION; ACUTE FLACCID MYELITIS; ENTEROVIRUS D68; HUMAN RHINOVIRUS; YOUNG-CHILDREN; ILLNESS; MORTALITY; PATHOGENS; OUTBREAK; PCR</t>
  </si>
  <si>
    <t xml:space="preserve">Background: Acute lower respiratory tract infections (ALRIs) are the most common disease for hospitalized children in Japan. The aim of this study was to identify viruses in children hospitalized for ALRIs and to demonstrate epidemiologic and clinical characteristics in Japan. Methods: During a 2-year period from February 2013 to January 2015, we collected nasopharyngeal swab specimens from almost all hospitalized children with ALRIs in Nagasaki, a regional city of Japan, and its environs. Viruses were detected by multiplex polymerase chain reaction from these samples. Results: We detected one or more viruses from 259 (69%) of 374 patients, 227 of whom were infected with a single virus, 30 with 2, and 2 with 3 viruses. Detected viruses in this study were rhinovirus (46.4%), respiratory syncytial virus (29.7%), human metapneumovirus (6.8%), parainfluenza virus (5.5%), enterovirus D68 (3.4%), influenza virus (2.7%), adenovirus (2.4%), bocavirus (2.0%) and Coxsackie virus (1.0%). We detected a seasonal shift in respiratory syncytial virus outbreaks from the 2013-2014 to the 2014-2015 seasons. There was no significant difference in clinical course and severity among those viruses. Patients with a history of asthma or underlying diseases were older and more frequently required oxygen therapy than previously healthy patients. Conclusions: Viral etiology in hospitalized children with ALRIs in Nagasaki, Japan, was similar to that in many other countries. Enterovirus D68, which was recently recognized as a causative agent of severe ALRIs, was also identified in this study area. Severity of ALRIs may depend on underlying disease rather than type of etiologic virus.</t>
  </si>
  <si>
    <t xml:space="preserve">[Hasuwa, Tomoyuki; Moriuchi, Hiroyuki] Nagasaki Univ, Grad Sch Biomed Sci, Dept Pediat, 1-7-1 Sakamoto, Nagasaki 8528501, Japan; [Kinoshita, Fumiko; Harada, Sadatomo; Nakashima, Kazuhisa; Toku, Yuichirou] Nagasaki Harbor Med Ctr, Dept Pediat, Nagasaki, Japan; [Yoshihara, Keisuke; Yoshida, Lay Myint] Nagasaki Univ, Inst Trop Med, Dept Pediat Infect Dis, Nagasaki, Japan</t>
  </si>
  <si>
    <t xml:space="preserve">Moriuchi, H (corresponding author), Nagasaki Univ, Grad Sch Biomed Sci, Dept Pediat, 1-7-1 Sakamoto, Nagasaki 8528501, Japan.</t>
  </si>
  <si>
    <t xml:space="preserve">hiromori@nagasaki-u.ac.jp</t>
  </si>
  <si>
    <t xml:space="preserve">Yoshihara, Keisuke/I-2474-2019</t>
  </si>
  <si>
    <t xml:space="preserve">YOSHIDA, LAYMYINT/0000-0002-7567-3248</t>
  </si>
  <si>
    <t xml:space="preserve">10.1097/INF.0000000000002668</t>
  </si>
  <si>
    <t xml:space="preserve">WOS:000561886700021</t>
  </si>
  <si>
    <t xml:space="preserve">Xin, C; Yong, ZZ; Yan, L; Dong, ZX</t>
  </si>
  <si>
    <t xml:space="preserve">Xin, Chen; Yong, Zhang Zhi; Yan, Li; Dong, Zhao Xiao</t>
  </si>
  <si>
    <t xml:space="preserve">Human coronavirus NL63 in hospitalized children with respiratory infection: A 2-year study from Chongqing, China</t>
  </si>
  <si>
    <t xml:space="preserve">INDIAN PEDIATRICS</t>
  </si>
  <si>
    <t xml:space="preserve">Acute lower respiratory tract infections; Epidemiology; HCoV-NL63; Respiratory tract virus</t>
  </si>
  <si>
    <t xml:space="preserve">HUMAN METAPNEUMOVIRUS; TRACT INFECTIONS; DISEASE; INFANTS</t>
  </si>
  <si>
    <t xml:space="preserve">Human coronavirus (HCoV) NL63, a newly discovered coronavirus, has been associated with acute lower respiratory tract infections (ALRTI). We detected HCoV-NL63 via reverse transcriptional PCR (RT-PCR) in eight out of 878 respiratory specimens freshly collected from hospitalized children with ALRTI between April 2006 and March 2008 in Children's Hospital of Chongqing Medical University. Peak of HCoV-NL63 activity often appeared during the summer and autumn in Chongqing area. All children with HCoV-NL63 infection were &lt; 1 year of age. The diagnosis included bronchial pneumonia, bronchitis, interstitial pneumonia and bronchiolitis. All children recovered.</t>
  </si>
  <si>
    <t xml:space="preserve">[Xin, Chen; Yong, Zhang Zhi; Dong, Zhao Xiao] Chongqing Med Univ, Childrens Hosp, Div Nephrol &amp; Immunol, Chongqing 400014, Peoples R China; [Yan, Li] Publ Hlth Agcy Canada, Natl Microbiol Lab, Winnipeg, MB, Canada</t>
  </si>
  <si>
    <t xml:space="preserve">Chongqing Medical University; Public Health Agency of Canada</t>
  </si>
  <si>
    <t xml:space="preserve">Dong, ZX (corresponding author), Chongqing Med Univ, Childrens Hosp, Div Nephrol &amp; Immunol, Chongqing 400014, Peoples R China.</t>
  </si>
  <si>
    <t xml:space="preserve">National Natural Science Foundation of China [30730098]; Natural Science Foundation Project of CQ CSTC [cstc2011jjA10083]</t>
  </si>
  <si>
    <t xml:space="preserve">National Natural Science Foundation of China(National Natural Science Foundation of China (NSFC)); Natural Science Foundation Project of CQ CSTC(Natural Science Foundation Project of CQ CSTC)</t>
  </si>
  <si>
    <t xml:space="preserve">The National Natural Science Foundation of China (No. 30730098) and Natural Science Foundation Project of CQ CSTC (No. cstc2011jjA10083).</t>
  </si>
  <si>
    <t xml:space="preserve">0019-6061</t>
  </si>
  <si>
    <t xml:space="preserve">0974-7559</t>
  </si>
  <si>
    <t xml:space="preserve">INDIAN PEDIATR</t>
  </si>
  <si>
    <t xml:space="preserve">Indian Pediatrics</t>
  </si>
  <si>
    <t xml:space="preserve">10.1007/s13312-012-0194-1</t>
  </si>
  <si>
    <t xml:space="preserve">027AN</t>
  </si>
  <si>
    <t xml:space="preserve">WOS:000310324300009</t>
  </si>
  <si>
    <t xml:space="preserve">Duyu, M; Karakaya, Z</t>
  </si>
  <si>
    <t xml:space="preserve">Duyu, M.; Karakaya, Z.</t>
  </si>
  <si>
    <t xml:space="preserve">Viral etiology and outcome of severe lower respiratory tract infections among critically ill children admitted to the PICU</t>
  </si>
  <si>
    <t xml:space="preserve">MEDICINA INTENSIVA</t>
  </si>
  <si>
    <t xml:space="preserve">Acute lower respiratory tract infections; Children; Viral etiology; Mechanical ventilation; Pediatric intensive care unit</t>
  </si>
  <si>
    <t xml:space="preserve">SYNCYTIAL VIRUS-INFECTION; HUMAN BOCAVIRUS; CLINICAL CHARACTERISTICS; HOSPITALIZED CHILDREN; HUMAN METAPNEUMOVIRUS; YOUNG-CHILDREN; BRONCHIOLITIS; EPIDEMIOLOGY; INFANTS; DISEASE</t>
  </si>
  <si>
    <t xml:space="preserve">Objective: To determine the viral etiology of severe lower respiratory tract infections (LRTIs), their clinical significance and prognosis among critically ill children. Design: A prospective descriptive study was carried out. Setting: Pediatric Intensive Care Unit (PICU) of Istanbul Medeniyet University, Goztepe Training and Research Hospital, Istanbul, Turkey. Patients: A total of 115 patients hospitalized in the PICU were evaluated for inclusion in the study. Children with underlying comorbidities and those who did not require mechanical ventilation were excluded. Main variables of interest: Demographic, clinical, laboratory test and radiographic data were recorded. Results: A total of 63 patients were eligible for the study. The most common diagnosis was bronchiolitis (57.1%). Respiratory syncytial virus (RSV) was the most frequent causal virus (36.5%). The most common complication was acute respiratory distress syndrome (ARDS) (28.6%). Multiple viral infection was identified in 20.6% of the patients, the most common in this subgroup being rhinovirus. Patients with bocavirus infection had a higher likelihood of needing invasive mechanical ventilation (IMV) at presentation. Children who died were likely to be &lt;12 months old, have ARDS, hepatitis, pneumomediastinum, multiple viral infection, and required IMV support with an increased duration of MV. Additionally, they were found to have a high Pediatric Risk of Mortality III score, Predicted Death Rate and increased need for inotropic support at admission. Conclusions: Our study showed critically ill children with LRTI without known risk factors to have high mortality when aged &lt;12 months, in the presence of multiple agents and when certain complications (ARDS, hepatitis) and X-ray findings were identified. (C) 2020 Elsevier Espana, S.L.U. y SEMICYUC. All rights reserved.</t>
  </si>
  <si>
    <t xml:space="preserve">[Duyu, M.] Istanbul Medeniyet Univ, Goztepe Training &amp; Res Hosp, Pediat Intens Care Unit, Istanbul, Turkey; [Karakaya, Z.] Istanbul Medeniyet Univ, Goztepe Training &amp; Res Hosp, Dept Pediat, Istanbul, Turkey</t>
  </si>
  <si>
    <t xml:space="preserve">Istanbul Medeniyet University; Istanbul Goztepe Training &amp; Research Hospital; Istanbul Medeniyet University; Istanbul Goztepe Training &amp; Research Hospital</t>
  </si>
  <si>
    <t xml:space="preserve">Duyu, M (corresponding author), Istanbul Medeniyet Univ, Goztepe Training &amp; Res Hosp, Pediat Intens Care Unit, Istanbul, Turkey.</t>
  </si>
  <si>
    <t xml:space="preserve">drmuhteremduyu@gmail.com</t>
  </si>
  <si>
    <t xml:space="preserve">Duyu, Muhterem/M-8366-2018</t>
  </si>
  <si>
    <t xml:space="preserve">DUYU, MUHTEREM/0000-0001-7892-2927</t>
  </si>
  <si>
    <t xml:space="preserve">0210-5691</t>
  </si>
  <si>
    <t xml:space="preserve">1578-6749</t>
  </si>
  <si>
    <t xml:space="preserve">MED INTENSIVA</t>
  </si>
  <si>
    <t xml:space="preserve">Med. Intensiv.</t>
  </si>
  <si>
    <t xml:space="preserve">10.1016/j.medin.2020.04.023</t>
  </si>
  <si>
    <t xml:space="preserve">WO4JO</t>
  </si>
  <si>
    <t xml:space="preserve">WOS:000712422600009</t>
  </si>
  <si>
    <t xml:space="preserve">Meligy, B; Sayed, A; Ismail, DK; Kamal, D; Abdel-Latif, W; Erfan, DM</t>
  </si>
  <si>
    <t xml:space="preserve">Meligy, Bassant; Sayed, Amal; Ismail, Dalia Kadry; Kamal, Dina; Abdel-Latif, Walaa; Erfan, Dina M.</t>
  </si>
  <si>
    <t xml:space="preserve">Detection of viral acute lower respiratory tract infection in hospitalized infants using real-time PCR</t>
  </si>
  <si>
    <t xml:space="preserve">Acute lower respiratory tract infection; Viral; Infants; PCR</t>
  </si>
  <si>
    <t xml:space="preserve">CLINICAL SYMPTOMS; SEEPLEX RV15; CHILDREN; ETIOLOGY; DIAGNOSIS; VIRUS</t>
  </si>
  <si>
    <t xml:space="preserve">Introduction: Acute lower respiratory tract infection in children causes significant morbidity in the developing countries. Documentation of virus infection using PCR and clinical characteristics of patients affected with viral pneumonia are reviewed in this study. Methods: 51 children less than three years admitted to the Pediatric Hospital, Cairo University with viral pneumonia were included. All patients had undergone nasopharyngeal aspirate for PCR viral detection. Results: A total of 51 cases were enrolled in the study, of which 7 cases were negative while 44 children were positive for viruses. The most common respiratory virus was Rhinovirus in 32 patients (72.2%), then parainfluenza virus (PIV) in 12 (27.3%), of which subtypes PIV1 were 2 (4.5%), PIV3 were 5 (11.4%) and PIV4 were 5 (11.4%) cases. The third common viruses were respiratory syncytial virus (RSV) in 9 (20.5%) cases of which 3 (6.8%) were RSVA and 6 (13.6%) were RSVB and adenovirus in 9 cases (20.5%). Boca virus was found in 8 (18.2%) patients, corona virus 2 (4.5%) patients, H1N1 2 (4.5%) patients, enterovirus 2 patients (4.5%) and human metapneumovirus in one case (2.3%). Influenza B and PIV2 were not detected. Coinfection was found in 28 (63.7%). Mortality occurred in 12 (23.5%). There was no significant relation between virus type or coinfection with disease severity. Conclusions: RV was the most commonly detected virus in children under 3 years admitted with acute lower respiratory tract infections. Coinfection was present in the majority of our patients; however it was not related significantly to parameters of disease severity. (C) 2015 The Authors. Production and hosting by Elsevier B.V. on behalf of The Egyptian Pediatric Association.</t>
  </si>
  <si>
    <t xml:space="preserve">[Meligy, Bassant; Kamal, Dina] Cairo Univ, Fac Med, Dept Pediat, Cairo, Egypt; [Sayed, Amal; Ismail, Dalia Kadry] Cairo Univ, Fac Med, Clin &amp; Chem Pathol Dept, Cairo, Egypt; [Abdel-Latif, Walaa; Erfan, Dina M.] Ain Shams Univ, Med Microbiol &amp; Immunol Dept, Fac Med, Cairo, Egypt</t>
  </si>
  <si>
    <t xml:space="preserve">Egyptian Knowledge Bank (EKB); Cairo University; Egyptian Knowledge Bank (EKB); Cairo University; Egyptian Knowledge Bank (EKB); Ain Shams University</t>
  </si>
  <si>
    <t xml:space="preserve">Meligy, B (corresponding author), Cairo Univ, Fac Med, Cairo, Egypt.</t>
  </si>
  <si>
    <t xml:space="preserve">basantsalah@cu.edu.eg; imaging_70@yahoo.com; hoelwan@yahoo.com; dinakamal_2009@yahoo.com; loula_latif@yahoo.com; drdime03@yahoo.com</t>
  </si>
  <si>
    <t xml:space="preserve">Erfan, Dina/GRJ-5260-2022</t>
  </si>
  <si>
    <t xml:space="preserve">10.1016/j.epag.2015.11.005</t>
  </si>
  <si>
    <t xml:space="preserve">DV0AR</t>
  </si>
  <si>
    <t xml:space="preserve">WOS:000382580200003</t>
  </si>
  <si>
    <t xml:space="preserve">Singh, AK; Jain, A; Jain, B; Singh, KP; Dangi, T; Mohan, M; Dwivedi, M; Kumar, R; Kushwaha, RAS; Singh, JV; Mishra, AC; Chhaddha, MS</t>
  </si>
  <si>
    <t xml:space="preserve">Singh, A. K.; Jain, A.; Jain, B.; Singh, K. P.; Dangi, T.; Mohan, M.; Dwivedi, M.; Kumar, R.; Kushwaha, R. A. S.; Singh, J. V.; Mishra, A. C.; Chhaddha, M. S.</t>
  </si>
  <si>
    <t xml:space="preserve">Viral aetiology of acute lower respiratory tract illness in hospitalised paediatric patients of a tertiary hospital: One year prospective study</t>
  </si>
  <si>
    <t xml:space="preserve">Acute lower respiratory tract infection; respiratory syncytial virus; real-time polymerase chain reaction; respiratory viruses</t>
  </si>
  <si>
    <t xml:space="preserve">REAL-TIME PCR; SYNCYTIAL-VIRUS; INFECTIONS; INFLUENZA; EPIDEMIOLOGY; DIAGNOSIS; VIROLOGY; CHILDREN; ASSAYS</t>
  </si>
  <si>
    <t xml:space="preserve">Context: Acute lower respiratory tract infections (ALRI), ranked as the second leading cause of death are the primary cause of hospitalisation in children. Viruses are the most important causative agents of ALRI. Aim: To study the viral aetiology of ALRI in children at a tertiary care hospital. Setting and Design: One year prospective observational study in a tertiary care hospital of King George's Medical University, Lucknow. Material and Methods: Nasopharyngeal aspirate (NPA) was collected from children admitted with signs and symptoms of ALRI who were aged 0-14 years. Samples were transported to the laboratory at 4 degrees C in viral transport media and processed for detection of respiratory syncytial virus (RSV) A and B, influenza virus A and B, adenovirus (ADV), human Boca virus (HBoV), human metapneumo virus (hMPV) and parainfluenzavirus 1, 2, 3 and 4 using mono/multiplex real-time polymerase chain reaction (RT-PCR). STATA was used for statistical analysis. Results: In one year, 188 NPAs were screened for respiratory viruses, of which 45.7% tested positive. RSV was most commonly detected with 21.3% positivity followed by measles virus (8.5%), infl uenza A virus (7.4%), ADV (5.3%), infl uenza B virus (1.6%), hMPV (1.1%) and HBoV (0.5%). Month wise maximum positivity was seen in December and January. Positivity rate of RSV was highest in children aged &lt; 1 year, which decreased with increase in age, while positive rate of infl uenza virus increased with increasing age. Conclusion: The occurrence of viral predominance in ALRI is highlighted.</t>
  </si>
  <si>
    <t xml:space="preserve">[Singh, A. K.; Jain, A.; Jain, B.; Singh, K. P.; Dangi, T.; Mohan, M.; Dwivedi, M.] King Georges Med Univ, Influenza Div, NIV, Dept Microbiol, Lucknow, Uttar Pradesh, India; [Kumar, R.] King Georges Med Univ, Influenza Div, NIV, Dept Pediat, Lucknow, Uttar Pradesh, India; [Kushwaha, R. A. S.] King Georges Med Univ, Influenza Div, NIV, Dept Pulm Med, Lucknow, Uttar Pradesh, India; [Singh, J. V.] King Georges Med Univ, Influenza Div, NIV, Dept Community Med, Lucknow, Uttar Pradesh, India; [Mishra, A. C.] NIV, Pune, Maharashtra, India; [Chhaddha, M. S.] NIV, Influenza Div, Pune, Maharashtra, India</t>
  </si>
  <si>
    <t xml:space="preserve">King George's Medical University; King George's Medical University; King George's Medical University; King George's Medical University; Indian Council of Medical Research (ICMR); ICMR - National Institute of Virology (NIV); Indian Council of Medical Research (ICMR); ICMR - National Institute of Virology (NIV)</t>
  </si>
  <si>
    <t xml:space="preserve">Jain, A (corresponding author), King Georges Med Univ, Influenza Div, NIV, Dept Microbiol, Lucknow, Uttar Pradesh, India.</t>
  </si>
  <si>
    <t xml:space="preserve">jain, amita/ABA-9223-2020; Dangi, Tanushree/ABB-7975-2020</t>
  </si>
  <si>
    <t xml:space="preserve">Dangi, Tanushree/0000-0003-1698-8087; Kushwaha, Ram Awadh Singh/0009-0009-2532-1648</t>
  </si>
  <si>
    <t xml:space="preserve">Indian Council of Medical Research, New Delhi [5/8/7/14/2009-ECD-1(Vol. II)]</t>
  </si>
  <si>
    <t xml:space="preserve">Indian Council of Medical Research, New Delhi(Indian Council of Medical Research (ICMR))</t>
  </si>
  <si>
    <t xml:space="preserve">Dr. Shashi Krishna, Ms. Preeti Sharma, staff of influenza project and VDL staff for support in lab work and collection of samples. Indian Council of Medical Research, New Delhi for financial support [5/8/7/14/2009-ECD-1(Vol. II)].</t>
  </si>
  <si>
    <t xml:space="preserve">10.4103/0255-0857.124288</t>
  </si>
  <si>
    <t xml:space="preserve">AB3NA</t>
  </si>
  <si>
    <t xml:space="preserve">WOS:000331696300004</t>
  </si>
  <si>
    <t xml:space="preserve">Jin, Y; Zhang, RF; Xie, ZP; Yan, KL; Gao, HC; Song, JR; Yuan, XH; Cheng, WX; Hou, YD; Duan, ZJ</t>
  </si>
  <si>
    <t xml:space="preserve">Jin, Y.; Zhang, R. -F.; Xie, Z. -P.; Yan, K. -L.; Gao, H. -C.; Song, J. -R.; Yuan, X. -H.; Cheng, W. -X.; Hou, Y. -D.; Duan, Z. -J.</t>
  </si>
  <si>
    <t xml:space="preserve">Newly identified respiratory viruses associated with acute lower respiratory tract infections in children in Lanzou, China, from 2006 to 2009</t>
  </si>
  <si>
    <t xml:space="preserve">Acute lower respiratory tract infection; child; China; respiratory viruses</t>
  </si>
  <si>
    <t xml:space="preserve">HUMAN BOCAVIRUS INFECTION; HOSPITALIZED CHILDREN; HUMAN CORONAVIRUS; KOREAN CHILDREN; HUMAN METAPNEUMOVIRUS; YOUNG-CHILDREN; EPIDEMIOLOGY; ETIOLOGY; RHINOVIRUS; PARVOVIRUS</t>
  </si>
  <si>
    <t xml:space="preserve">Nasopharyngeal aspirates were collected from 813 children =14 years old with acute lower respiratory tract infections in Lanzhou, China, from December 2006 to November 2009. PCR or RT-PCR was used to screen for the presence of 10 respiratory viruses. Viral agents were identified in 73.92% (601/813) of specimens, including RSV in 40.71%, hMPV in 6.15%, IFVA in 7.13%, IFVB in 0.98%, PIV1-3 in 7.87%, HCoV-HKU1 in 2.21%, HCoV-NL63 in 3.81%, HRV in 19.93%, AdV in 7.50% and HBoV in 11.56%. Two or more viruses were detected in 34.44% (280/813) of cases. The newly identified respiratory viruses, HBoV, hMPV, HCoV-HKU1 and HCoV-NL63, accounted for 22.01% of the detected viral pathogens. RSV and HRV were frequently detected in patients with bronchiolitis, and hMPV was frequently associated with pneumonia. HCoV-NL63 was found to be one of the causative agents of acute respiratory wheezing in young children. No seasonal variation was found in the incidence of detection of HCoV-HKU1, HCoV-NL63 or HBoV. This 3-year study demonstrated that viral pathogens play an important role in children with ALRTIs, and more attention should be paid to these newly identified viral agents.</t>
  </si>
  <si>
    <t xml:space="preserve">[Duan, Z. -J.] CDC China, Dept Viral Diarrhoea, Natl Inst Viral Dis Control &amp; Prevent, State Key Lab Mol Virol &amp; Genet Engn, Beijing 100052, Peoples R China; [Jin, Y.; Yan, K. -L.] Nanjing Childrens Hosp, Nanjing, Jiangsu, Peoples R China; [Jin, Y.] Nanjing Univ, Sch Med, Nanjing, Jiangsu, Peoples R China; [Zhang, R. -F.; Song, J. -R.; Yuan, X. -H.; Cheng, W. -X.] Lanzhou Univ, Hosp 1, Beijing, Peoples R China</t>
  </si>
  <si>
    <t xml:space="preserve">Chinese Center for Disease Control &amp; Prevention; National Institute for Viral Disease Control &amp; Prevention, Chinese Center for Disease Control &amp; Prevention; Nanjing University; Lanzhou University</t>
  </si>
  <si>
    <t xml:space="preserve">Duan, ZJ (corresponding author), CDC China, Dept Viral Diarrhoea, Natl Inst Viral Dis Control &amp; Prevent, State Key Lab Mol Virol &amp; Genet Engn, 100 Ying Xin St, Beijing 100052, Peoples R China.</t>
  </si>
  <si>
    <t xml:space="preserve">ZHANG, RUNFAN/AAN-5648-2020</t>
  </si>
  <si>
    <t xml:space="preserve">'973' National Key Basic Research Program of China [2007CB310500]; China Mega-Project for Infectious Disease [2009ZX10004-001, 2009ZX10004-101]</t>
  </si>
  <si>
    <t xml:space="preserve">'973' National Key Basic Research Program of China(National Basic Research Program of China); China Mega-Project for Infectious Disease</t>
  </si>
  <si>
    <t xml:space="preserve">This work was partly supported by the '973' National Key Basic Research Program of China (Grant No.2007CB310500) and China Mega-Project for Infectious Disease (2009ZX10004-001 and 2009ZX10004-101).</t>
  </si>
  <si>
    <t xml:space="preserve">10.1111/j.1469-0691.2011.03541.x</t>
  </si>
  <si>
    <t xml:space="preserve">862AF</t>
  </si>
  <si>
    <t xml:space="preserve">WOS:000298061500016</t>
  </si>
  <si>
    <t xml:space="preserve">Korsun, N; Angelova, S; Trifonova, I; Georgieva, I; Voleva, S; Tzotcheva, I; Mileva, S; Ivanov, I; Tcherveniakova, T; Perenovska, P</t>
  </si>
  <si>
    <t xml:space="preserve">Korsun, Neli; Angelova, Svetla; Trifonova, Ivelina; Georgieva, Irina; Voleva, Silvia; Tzotcheva, Iren; Mileva, Sirma; Ivanov, Ivan; Tcherveniakova, Tatiana; Perenovska, Penka</t>
  </si>
  <si>
    <t xml:space="preserve">Viral pathogens associated with acute lower respiratory tract infections in children younger than 5 years of age in Bulgaria</t>
  </si>
  <si>
    <t xml:space="preserve">Acute lower respiratory infections; Bronchiolitis; Pneumonia; Viral infection</t>
  </si>
  <si>
    <t xml:space="preserve">COMMUNITY-ACQUIRED PNEUMONIA; SYNCYTIAL VIRUS; HUMAN METAPNEUMOVIRUS; HOSPITALIZED CHILDREN; HUMAN BOCAVIRUS; PREVALENCE; INFANTS; DISEASE; SEVERITY; CHANGSHA</t>
  </si>
  <si>
    <t xml:space="preserve">Acute lower respiratory infections (ALRIs) are a leading cause of morbidity and hospital admissions in children. This study aimed to determine the viral etiology of these infections in children aged &lt;5 years during three successive epidemic seasons in Bulgaria. Nasopharyngeal and throat specimens were collected from children with bronchiolitis and pneumonia during the 2015/2016, 2016/2017, and 2017/2018 seasons. The viral etiology was determined by individual real-time PCR assays against 11 respiratory viruses. Of the 515 children examined, 402 (78.1%) were positive for at least one virus. Co-infections with two and three viruses were found in 64 (15.9%) of the infected children. Respiratory syncytial virus (RSV) was the predominant pathogen (37.5%), followed by rhinoviruses (13.8%), metapneumovirus (9.1%), adenoviruses (7%), bocaviruses (7%), influenza A(H1N1)pdm09 (4.9%), A(H3N2) (4.3%), type B (4.1%), and parainfluenza viruses 1/2/3 (2.9%). RSV-B were more prevalent than RSV-A during the three seasons. At least one respiratory virus was identified in 82.6% and 70.1% of the children with bronchiolitis and pneumonia, respectively. Respiratory viruses, especially RSV, are principal pathogens of ALRIs in children aged &lt;5 years. Diagnostic testing for respiratory viruses using molecular methods may lead to the reduced use of antibiotics and may assist in measures to control infection.</t>
  </si>
  <si>
    <t xml:space="preserve">[Korsun, Neli; Angelova, Svetla; Trifonova, Ivelina; Georgieva, Irina; Voleva, Silvia; Mileva, Sirma] Natl Ctr Infect &amp; Parasit Dis, Natl Lab Influenza &amp; ARD, 44A Stoletov Blvd, Sofia 1233, Bulgaria; [Tzotcheva, Iren; Mileva, Sirma; Perenovska, Penka] Med Univ, Univ Hosp Alexandrovska, Pediat Clin, 1 St Georgi Sofiiski, Sofia 1431, Bulgaria; [Ivanov, Ivan; Tcherveniakova, Tatiana] Infect Hosp Prof Ivan Kirov, 17 Akad Ivan E Geshov, Sofia 1431, Bulgaria</t>
  </si>
  <si>
    <t xml:space="preserve">Korsun, N (corresponding author), Natl Ctr Infect &amp; Parasit Dis, Natl Lab Influenza &amp; ARD, 44A Stoletov Blvd, Sofia 1233, Bulgaria.</t>
  </si>
  <si>
    <t xml:space="preserve">Georgieva, Irina/JOZ-2656-2023; Tifonova, Ivelina/JTV-1761-2023; Ivanov, Ivan/JCP-1393-2023; Mileva, Sirma/HNP-5506-2023</t>
  </si>
  <si>
    <t xml:space="preserve">Mileva, Sirma/0000-0002-5576-5225; Georgieva, Irina/0000-0002-4814-4922; Tifonova, Ivelina/0000-0002-4543-6831; ANGELOVA, SVETLA/0000-0002-9119-6373; Korsun, Neli/0000-0002-3188-2283; Ivanov, Ivan/0000-0003-3320-5697</t>
  </si>
  <si>
    <t xml:space="preserve">National Science Fund [DH 13-15/20.12.2017]; Ministry of Health (National Plan of Republic of Bulgaria for Pandemic Influenza Preparedness)</t>
  </si>
  <si>
    <t xml:space="preserve">National Science Fund; Ministry of Health (National Plan of Republic of Bulgaria for Pandemic Influenza Preparedness)</t>
  </si>
  <si>
    <t xml:space="preserve">This work was financially supported by the National Science Fund (Project No DH 13-15/20.12.2017) and the Ministry of Health (National Plan of Republic of Bulgaria for Pandemic Influenza Preparedness).</t>
  </si>
  <si>
    <t xml:space="preserve">10.1007/s42770-018-0033-2</t>
  </si>
  <si>
    <t xml:space="preserve">WOS:000466778000012</t>
  </si>
  <si>
    <t xml:space="preserve">Kamata, K; Thein, KN; Di Ja, L; Win, NC; Win, SMK; Suzuki, Y; Ito, A; Osada, H; Chon, I; Phyu, WW; Aizawa, Y; Ikuse, T; Ota, T; Kyaw, Y; Tin, HH; Shobugawa, Y; Watanabe, H; Saito, R; Saitoh, A</t>
  </si>
  <si>
    <t xml:space="preserve">Kamata, Kazuhiro; Thein, Khin Nyo; Di Ja, Lasham; Win, Nay Chi; Win, Su Mon Kyaw; Suzuki, Yuko; Ito, Ai; Osada, Hidekazu; Chon, Irina; Phyu, Wint Wint; Aizawa, Yuta; Ikuse, Tatsuki; Ota, Tomomi; Kyaw, Yadanar; Tin, Htay Htay; Shobugawa, Yugo; Watanabe, Hisami; Saito, Reiko; Saitoh, Akihiko</t>
  </si>
  <si>
    <t xml:space="preserve">Clinical manifestations and outcome of viral acute lower respiratory infection in hospitalised children in Myanmar</t>
  </si>
  <si>
    <t xml:space="preserve">Acute lower respiratory infection; Virus; Children; Respiratory syncytial virus; Influenza; Myanmar</t>
  </si>
  <si>
    <t xml:space="preserve">REVERSE-TRANSCRIPTASE-PCR; REAL-TIME PCR; COMMUNITY-ACQUIRED PNEUMONIA; SYNCYTIAL VIRUS-INFECTION; HUMAN METAPNEUMOVIRUS; TRACT INFECTIONS; HUMAN BOCAVIRUS; INFLUENZA-VIRUS; UNITED-STATES; STAPHYLOCOCCUS-AUREUS</t>
  </si>
  <si>
    <t xml:space="preserve">Background Acute lower respiratory infection (ALRI) remains the leading cause of death in children worldwide, and viruses have been the major cause of ALRI. In Myanmar, ALRI is associated with high morbidity and mortality in children, and detailed information on ALRI is currently lacking. Methods This prospective study investigated the viral aetiologies, clinical manifestations, and outcomes of ALRI in hospitalised children aged 1 month to 12 years at the Yankin Children Hospital, Yangon, Myanmar from May 2017 to April 2019. The sample size was set to 300 patients for each year. Two nasopharyngeal swabs were obtained for the patients with suspected viral ALRI; one for rapid tests for influenza and respiratory syncytial virus (RSV), and the other for real-time PCR for the 16 ALRI-causing viruses. Pneumococcal colonization rates were also investigated using real-time PCR. Clinical information was extracted from the medical records, and enrolled patients were categorised by age and severity for comparison. Results Among the 5463 patients admitted with a diagnosis of ALRI, 570 (10.4%) were enrolled in this study. The median age of the patients was 8 months (interquartile range, 4-15 months). The most common symptoms were cough (93%) and difficulty in breathing (73%), while the most common signs of ALRI were tachypnoea (78%) and chest indrawing (67%). A total of 16 viruses were detected in 502 of 570 patients' samples (88%), with RSV B (36%) and rhinovirus (28%) being the most commonly detected. Multiple viruses were detected in 221 of 570 samples (37%) collected from 570 patients. Severe ALRI was diagnosed in 107 of 570 patients (19%), and RSV B and human rhinovirus were commonly detected. The mortality rate was 5%; influenza virus A (29%) and RSV B (21%) were commonly detected, and stunting and lack of immunization were frequently observed in such cases. Additionally, 45% (259/570) of the patients had pneumococcal colonization. Conclusions Viral ALRI in hospitalised children with a median of 8 months has significant morbidity and mortality rates in Myanmar. RSV and rhinovirus were the most commonly detected from nasopharyngeal swabs, while influenza virus and RSV were the most frequently associated with fatal cases.</t>
  </si>
  <si>
    <t xml:space="preserve">[Kamata, Kazuhiro; Di Ja, Lasham; Win, Nay Chi; Win, Su Mon Kyaw; Osada, Hidekazu; Ota, Tomomi; Watanabe, Hisami] Niigata Univ Myanmar, Infect Dis Res Ctr, Yangon, Myanmar; [Kamata, Kazuhiro; Suzuki, Yuko; Ito, Ai; Aizawa, Yuta; Ikuse, Tatsuki; Saitoh, Akihiko] Niigata Univ, Grad Sch Med &amp; Dent Sci, Chuo Ku, Dept Pediat, 1-757 Asahimachi Dori, Niigata, Niigata 9518510, Japan; [Thein, Khin Nyo] Yankin Children Hosp, Yangon, Myanmar; [Osada, Hidekazu; Chon, Irina; Phyu, Wint Wint; Shobugawa, Yugo; Saito, Reiko] Niigata Univ, Grad Sch Med &amp; Dent Sci, Div Int Hlth, Niigata, Japan; [Kyaw, Yadanar] Thingangyun Sanpya Gen Hosp, Resp Med Dept, Yangon, Myanmar; [Tin, Htay Htay] Minist Hlth &amp; Sports, Natl Hlth Lab, Dept Med Serv, Yangon, Myanmar</t>
  </si>
  <si>
    <t xml:space="preserve">Saitoh, A (corresponding author), Niigata Univ, Grad Sch Med &amp; Dent Sci, Chuo Ku, Dept Pediat, 1-757 Asahimachi Dori, Niigata, Niigata 9518510, Japan.</t>
  </si>
  <si>
    <t xml:space="preserve">asaitoh@med.niigata-u.ac.jp</t>
  </si>
  <si>
    <t xml:space="preserve">Aizawa, Yuta/AAD-2310-2022; Ikuse, Tatsuki/LDF-7833-2024</t>
  </si>
  <si>
    <t xml:space="preserve">Ikuse, Tatsuki/0000-0002-0417-6797; Chon, Irina/0000-0003-1829-0686</t>
  </si>
  <si>
    <t xml:space="preserve">International Development Strategy Program for Infectious Diseases Research (J-GRID) of AMED (Japan Medical Research and Development Organization) [15fm0108009h0001-19fm0108009h0005]</t>
  </si>
  <si>
    <t xml:space="preserve">International Development Strategy Program for Infectious Diseases Research (J-GRID) of AMED (Japan Medical Research and Development Organization)</t>
  </si>
  <si>
    <t xml:space="preserve">This work was supported by the International Development Strategy Program for Infectious Diseases Research (J-GRID) of AMED (Japan Medical Research and Development Organization) (15fm0108009h0001-19fm0108009h0005), Japan.</t>
  </si>
  <si>
    <t xml:space="preserve">10.1186/s12879-022-07342-1</t>
  </si>
  <si>
    <t xml:space="preserve">0I7JK</t>
  </si>
  <si>
    <t xml:space="preserve">WOS:000779592300001</t>
  </si>
  <si>
    <t xml:space="preserve">Sentilhes, AC; Choumlivong, K; Celhay, O; Sisouk, T; Phonekeo, D; Vongphrachanh, P; Brey, P; Buchy, P</t>
  </si>
  <si>
    <t xml:space="preserve">Sentilhes, Anne-Charlotte; Choumlivong, Khamla; Celhay, Olivier; Sisouk, Thongchanh; Phonekeo, Darouny; Vongphrachanh, Phengta; Brey, Paul; Buchy, Philippe</t>
  </si>
  <si>
    <t xml:space="preserve">Respiratory virus infections in hospitalized children and adults in Lao PDR</t>
  </si>
  <si>
    <t xml:space="preserve">Acute lower respiratory infection; Lao People's Democratic Republic; respiratory viruses; South-East Asia</t>
  </si>
  <si>
    <t xml:space="preserve">RT-PCR ASSAYS; TRACT INFECTIONS; SYNCYTIAL VIRUS; YOUNG-CHILDREN; HUMAN METAPNEUMOVIRUS; PEDIATRIC-PATIENTS; VIRAL-INFECTIONS; GENETIC-VARIABILITY; RNA VIRUSES; RHINOVIRUS</t>
  </si>
  <si>
    <t xml:space="preserve">Background Acute respiratory infections are an important cause of morbidity and mortality worldwide, with a major burden of disease in developing countries. The relative contribution of viruses in acute lower respiratory infections (ALRI) is, however, poorly documented in Lao PDR. Objective The objective of this study is to investigate the etiology of ALRI in patients of all ages in two hospitals of Laos. Methods Multiplex PCR/RT-PCR methods were used to target 18 major common respiratory viruses. Between August 2009 and October 2010, samples from 292 patients presenting with ALRI were collected. Results and conclusion Viruses were detected in 162 (55%) samples. In 48% (140/292) of the total ALRI cases, a single virus was detected while coinfections were observed in 8% (22/292) of the samples. The most frequent viruses were rhinovirus/enterovirus (35%), human respiratory syncytial virus (26%), and influenza viruses (13%). Parainfluenza viruses were detected in 9%, adenovirus in 6%, human metapneumovirus in 4%, coronaviruses (229E, NL63, OC43, HKU1) in 4%, and bocavirus in 3% of ALRI specimens. Most viral infections occurred in patients below 5 years of age. The distribution of viruses varied according to age-groups. No significant correlation was observed between the severity of the disease and the age of patients or the virus species. This study provides the description of viral etiology among patients presenting with ALRI in Lao PDR. Additional investigations are required to better understand the clinical role of the different viruses and their seasonality in Laos.</t>
  </si>
  <si>
    <t xml:space="preserve">[Sentilhes, Anne-Charlotte; Celhay, Olivier; Sisouk, Thongchanh; Phonekeo, Darouny; Vongphrachanh, Phengta] Natl Ctr Lab &amp; Epidemiol, Viangchan, Laos; [Sentilhes, Anne-Charlotte; Buchy, Philippe] Reseau Int Inst Pasteur, Inst Pasteur Cambodia, Virol Unit, Phnom Penh, Cambodia; [Sentilhes, Anne-Charlotte; Brey, Paul] Reseau Int Inst Pasteur, Inst Pasteur Laos, Viangchan, Laos; [Choumlivong, Khamla] Setthathirath Hosp, Dept Internal Med, Viangchan, Laos</t>
  </si>
  <si>
    <t xml:space="preserve">Celhay, Olivier/0000-0002-2971-9110; BUCHY, Philippe/0000-0003-1372-3008</t>
  </si>
  <si>
    <t xml:space="preserve">Surveillance and Investigation of Epidemic Situations in South-East Asia (SISEA) project; French Agency for Development (AFD)</t>
  </si>
  <si>
    <t xml:space="preserve">Surveillance and Investigation of Epidemic Situations in South-East Asia (SISEA) project; French Agency for Development (AFD)(Agence Nationale de la Recherche (ANR))</t>
  </si>
  <si>
    <t xml:space="preserve">This study was supported by Surveillance and Investigation of Epidemic Situations in South-East Asia (SISEA) project, a grant from the French Agency for Development (AFD). We gratefully thank Dr Anne Mornand for her precious expertise in pediatric pulmonology and review of the clinical data and Dr Jean-Jacques Bernatas for the coordination of the project. We thank the team of the Virology Unit at Institut Pasteur in Cambodia for their assistance in implementing the multiplex PCR/RT-PCR techniques in Lao PDR.</t>
  </si>
  <si>
    <t xml:space="preserve">10.1111/irv.12135</t>
  </si>
  <si>
    <t xml:space="preserve">WOS:000331001400029</t>
  </si>
  <si>
    <t xml:space="preserve">Xiao, NG; Zhang, B; Xie, ZP; Zhou, QH; Zhang, RF; Zhong, LL; Ding, XF; Li, J; Song, JR; Gao, HC; Hou, YD; Duan, ZJ</t>
  </si>
  <si>
    <t xml:space="preserve">Xiao, Ni-guang; Zhang, Bing; Xie, Zhi-ping; Zhou, Qiong-hua; Zhang, Rong-fang; Zhong, Li-li; Ding, Xiao-fang; Li, Jia; Song, Jing-rong; Gao, Han-chun; Hou, Yun-de; Duan, Zhao-jun</t>
  </si>
  <si>
    <t xml:space="preserve">Prevalence of human metapneumovirus in children with acute lower respiratory infection in Changsha, China</t>
  </si>
  <si>
    <t xml:space="preserve">acute lower respiratory infection; children; hMPV; reverse transcription-polymerase chain reaction</t>
  </si>
  <si>
    <t xml:space="preserve">SYNCYTIAL VIRUS; YOUNG-CHILDREN; TRACT INFECTIONS; DISEASE; ADENOVIRUS; SEVERITY; GENOTYPE; FEATURES; INFANTS</t>
  </si>
  <si>
    <t xml:space="preserve">Human metapneumovirus (hMPV) causes acute respiratory infections in children. The prevalence and clinical characteristics of hMPV were determined in nasopharyngeal aspirates of children in Changsha, China. Reverse transcription-polymerase chain reaction (RT-PCR) or PCR was employed to screen for both hMPV and other common respiratory viruses in 1,165 nasopharyngeal aspirate specimens collected from children with lower respiratory tract infections from September 2007 to August 2008. All PCR products were sequenced, and demographic and clinical data were collected from all patients. Seventy-six of 1,165 (6.5%) specimens were positive for hMPV, of which 85.5% (65/76) occurred in the winter and spring seasons. The hMPV coinfection rate was 57.9% (44/76), and human bocavirus was the most common virus detected in conjunction with hMPV. Phylogenetic analysis revealed that 94.7% of the hMPV detected were of subgroup A2, 5.3% were subgroup B2, and none belonged to either the A1 or B1 subgroups. No significant differences were found in terms of the frequency of diagnosis and clinical signs between either the co- and mono-infection groups, or between patients with and without underlying diseases. It was concluded that hMPV is an important viral pathogen in pediatric patients with lower respiratory tract infections in Changsha. Only hMPV genotypes A2 and B2 were co-circulating in this locality; human bocavirus was the most common coinfecting virus, and coinfection did not affect disease severity. J. Med. Virol. 85:546553, 2013. (c) 2013 Wiley Periodicals, Inc.</t>
  </si>
  <si>
    <t xml:space="preserve">[Xiao, Ni-guang; Zhang, Bing; Zhou, Qiong-hua; Zhong, Li-li; Ding, Xiao-fang; Li, Jia] Peoples Hosp Hunan Prov, Changsha, Hunan, Peoples R China; [Xiao, Ni-guang; Xie, Zhi-ping; Zhang, Rong-fang; Song, Jing-rong; Gao, Han-chun; Hou, Yun-de; Duan, Zhao-jun] China CDC, Natl Inst Viral Dis Control &amp; Prevent, Beijing 100052, Peoples R China; [Zhang, Rong-fang; Song, Jing-rong] Lanzhou Univ, Hosp 1, Lanzhou 730000, Peoples R China</t>
  </si>
  <si>
    <t xml:space="preserve">Duan, ZJ (corresponding author), China CDC, Natl Inst Viral Dis Control &amp; Prevent, 100 Ying Xin St, Beijing 100052, Peoples R China.</t>
  </si>
  <si>
    <t xml:space="preserve">Grant sponsor: Hunan Provincial Natural Science Foundation of China (partial support); Grant number: 07JJ5055.</t>
  </si>
  <si>
    <t xml:space="preserve">10.1002/jmv.23501</t>
  </si>
  <si>
    <t xml:space="preserve">WOS:000313946600024</t>
  </si>
  <si>
    <t xml:space="preserve">Liu, GS; Niu, PH; Zhao, SC; Lu, RJ; Tan, WJ</t>
  </si>
  <si>
    <t xml:space="preserve">Liu, Gao-Shan; Niu, Pei-Hua; Zhao, Sheng-Cang; Lu, Rou-Jian; Tan, Wen-Jie</t>
  </si>
  <si>
    <t xml:space="preserve">Detection of six common human paramyxoviruses in patients with acute febrile respiratory symptoms using a novel multiplex real-time RT-PCR assay</t>
  </si>
  <si>
    <t xml:space="preserve">acute febrile respiratory syndrome; detection; human paramyxoviruses; real-time reverse-transcription polymerase chain reaction</t>
  </si>
  <si>
    <t xml:space="preserve">HUMAN METAPNEUMOVIRUS; SYNCYTIAL VIRUS; TRACT INFECTIONS</t>
  </si>
  <si>
    <t xml:space="preserve">Human metapneumovirus (hMPV), respiratory syncytial virus type A (RSV-A), RSV-B, and human parainfluenza viruses 1, 2, and 3 (HPIV-1, HPIV-2, and HPIV-3) are common respiratory paramyxoviruses. Here, we developed a two-tube triplex one-step real-time reverse-transcription polymerase chain reaction (real-time RT-PCR) and evaluated its performance using clinical samples. The data showed that this novel assay was 100% consistent with the monoplex real-time RT-PCR assay (in-house), which was superior to the commercial routine multiplex-ligation-NAT-based assay. Meanwhile, the clinical nasopharyngeal swabs of 471 patients with the acute febrile respiratory syndrome (AFRS) were analyzed using the established method. The results showed that 52 (11.7%) cases were positive for paramyxovirus. Among them, HPIVs and RSV-A had the highest detection rate. The age and seasonal distribution of human paramyxovirus infection were analyzed. In conclusion, we developed a novel multiplex real-time RT-PCR assay for the rapid detection of six common human paramyxoviruses, which were dominant in patients with AFRS in Qinghai.</t>
  </si>
  <si>
    <t xml:space="preserve">[Liu, Gao-Shan; Niu, Pei-Hua; Lu, Rou-Jian; Tan, Wen-Jie] Chinese Ctr Dis Control &amp; Prevent, Natl Inst Viral Dis Control &amp; Prevent, Biotech Ctr Viral Dis Emergency, Key Lab Med Virol, 155 Changbai Rd, Beijing 102206, Peoples R China; [Zhao, Sheng-Cang] Ctr Dis Control &amp; Prevent Qinghai Prov, Dept Virus Detect, Xining, Qinghai, Peoples R China</t>
  </si>
  <si>
    <t xml:space="preserve">Tan, WJ (corresponding author), Chinese Ctr Dis Control &amp; Prevent, Natl Inst Viral Dis Control &amp; Prevent, Biotech Ctr Viral Dis Emergency, Key Lab Med Virol, 155 Changbai Rd, Beijing 102206, Peoples R China.</t>
  </si>
  <si>
    <t xml:space="preserve">tanwj@ivdc.chinacdc.cn</t>
  </si>
  <si>
    <t xml:space="preserve">Control and Prevention of Major Infectious Disease of China [2014ZX10004001-002, 2017ZX10104001-002-003]; National Key Research and Development Program of China [2016YFD0500301, 2016YFC1200200]</t>
  </si>
  <si>
    <t xml:space="preserve">Control and Prevention of Major Infectious Disease of China; National Key Research and Development Program of China(National Key Research &amp; Development Program of China)</t>
  </si>
  <si>
    <t xml:space="preserve">Control and Prevention of Major Infectious Disease of China, Grant/Award Numbers: 2014ZX10004001-002, 2017ZX10104001-002-003; National Key Research and Development Program of China, Grant/Award Numbers: 2016YFD0500301, 2016YFC1200200</t>
  </si>
  <si>
    <t xml:space="preserve">10.1002/jmv.25350</t>
  </si>
  <si>
    <t xml:space="preserve">WOS:000458577200007</t>
  </si>
  <si>
    <t xml:space="preserve">Sandrock, C; Stollenwerk, N</t>
  </si>
  <si>
    <t xml:space="preserve">Sandrock, Christian; Stollenwerk, Nicholas</t>
  </si>
  <si>
    <t xml:space="preserve">Acute febrile respiratory illness in the ICU - Reducing disease transmission</t>
  </si>
  <si>
    <t xml:space="preserve">acute febrile respiratory illness; ARDS; infection control; respiratory failure; respiratory protection; viral pneumonia</t>
  </si>
  <si>
    <t xml:space="preserve">INFLUENZA-A H5N1; HANTAVIRUS PULMONARY SYNDROME; SYNCYTIAL VIRUS-INFECTION; OPEN-LUNG-BIOPSY; VARICELLA PNEUMONIA; HUMAN METAPNEUMOVIRUS; DISTRESS-SYNDROME; INTRAVENOUS IMMUNOGLOBULIN; CLINICAL-FEATURES; ADULTS</t>
  </si>
  <si>
    <t xml:space="preserve">Acute febrile respiratory illness (FRI) leading to respiratory failure is a common reason for admission to the ICU. Viral pneumonia constitutes a portion of these cases, and often the viral etiology goes undiagnosed. Emerging viral infectious diseases such as severe acute respiratory syndrome and avian influenza present with acute FRIs progressing to respiratory failure and ARDS. Therefore, early recognition of a viral cause of acute FRI leading to ARDS becomes important for protection of health-care workers (HCWs), lessening spread to other patients, and notification of public health officials. These patients often have longer courses of viral shedding and undergo higher-risk procedures that may potentially generate aerosols, such as intubation, bronchoscopy, bag-valve mask ventilation, noninvasive positive pressure ventilation, and medication nebulization, further illustrating the importance of early detection and isolation. A small number of viral agents lead to acute FRI, respiratory failure, and ARDS: seasonal influenza, avian influenza, coronavirus associated with severe ARDS, respiratory syncytial virus, adenovirus, varicella, human metapneumovirus, and hantavirus. A systematic approach to early isolation, testing for these agents, and public health involvement becomes important in dealing with acute FRI. Ultimately, this approach will lead to improved HCW protection, reduction of transmission to other patients, and prevention of transmission in the community.</t>
  </si>
  <si>
    <t xml:space="preserve">[Stollenwerk, Nicholas] Univ Calif Davis, Sch Med, Div Pulm &amp; Crit Care Med, Sacramento, CA 95817 USA; [Sandrock, Christian] Univ Calif Davis, Sch Med, Div Infect Dis, Sacramento, CA 95817 USA</t>
  </si>
  <si>
    <t xml:space="preserve">University of California System; University of California Davis; University of California System; University of California Davis</t>
  </si>
  <si>
    <t xml:space="preserve">Sandrock, C (corresponding author), 4150 V St,3400, Sacramento, CA 95817 USA.</t>
  </si>
  <si>
    <t xml:space="preserve">cesandrock@ucdavis.edu</t>
  </si>
  <si>
    <t xml:space="preserve">10.1378/chest.07-0778</t>
  </si>
  <si>
    <t xml:space="preserve">300ER</t>
  </si>
  <si>
    <t xml:space="preserve">WOS:000255807600032</t>
  </si>
  <si>
    <t xml:space="preserve">Ko, FWS; Chan, PKS; Chan, MCH; To, KW; Ng, SSS; Chau, SSL; Tang, JW; Hui, DSC</t>
  </si>
  <si>
    <t xml:space="preserve">Ko, Fanny W. S.; Chan, Paul K. S.; Chan, Michael C. H.; To, Kin-Wang; Ng, Susanna S. S.; Chau, Shirley S. L.; Tang, Julian W.; Hui, David S. C.</t>
  </si>
  <si>
    <t xml:space="preserve">Viral etiology of acute exacerbations of COPD in Hong kong</t>
  </si>
  <si>
    <t xml:space="preserve">acute exacerbation; COPD; viruses</t>
  </si>
  <si>
    <t xml:space="preserve">OBSTRUCTIVE PULMONARY-DISEASE; RESPIRATORY-SYNCYTIAL-VIRUS; REAL-TIME PCR; INFLUENZA VACCINATION; HUMAN METAPNEUMOVIRUS; HOSPITAL ADMISSIONS; AIR-POLLUTION; LUNG-FUNCTION; INFECTIONS; IDENTIFICATION</t>
  </si>
  <si>
    <t xml:space="preserve">Introduction: Viral respiratory infections may precipitate acute exacerbations of COPD (AECOPD). However, little is known about viral etiology related to AECOPD in Asia. We aimed to study the viral etiology of AECOPD in Hong Kong. Methods: Patients admitted to an acute hospital in Hong Kong with AECOPD were recruited prospectively from May 1, 2004, to April 30, 2005. Nasopharyngeal aspirate was collected and assessed by polymerase chain reaction (PCR) and viral culture. Spirometry was performed in the stable phase at 2 to 3 months after hospital discharge. Results: There were 262 episodes of AECOPD among 196 patients (mean age, 75.7 +/- 7.7 years [+/- SD]; 160 men). Mean FEVI was 39.6 +/- 18.9% of predicted normal, and FEVI/FVC ratio was 58.0 +/- 15.2%. Fifty-eight episodes (22.1%) yielded positive viral PCR results. The viruses identified were influenza A (7.3%), coronavirus OC43 (4.6%), rhinovirus (3.1%), influenza B (2.7%), and respiratory syncytial virus (2.3%). The diagnostic yield of viral identification by PCR was 2.7 times higher than that based on conventional viral culture. The rates of identifying a positive viral etiology by PCR were similar among the subjects with FEVI &gt;= 50%, &gt;= 30 to 50%, and &lt; 30% of predicted normal. Viral infection appeared to have no effect on subsequent readmissions or mortality rate over a study period of 1 year Conclusion: Influenza A and two less-attended viruses, coronavirus OC43 and rhinovirus, were the common etiologic agents in patients. hospitalized with AECOPD in Hong Kong. These should be considered in developing diagnostic and intervening strategies pertaining to AECOPD.</t>
  </si>
  <si>
    <t xml:space="preserve">Chinese Univ Hong Kong, Dept Med &amp; Therapeut, Prince Wales Hosp, Shatin, Hong Kong, Peoples R China; Chinese Univ Hong Kong, Dept Microbiol, Shatin, Hong Kong, Peoples R China</t>
  </si>
  <si>
    <t xml:space="preserve">Chinese University of Hong Kong; Prince of Wales Hospital; Chinese University of Hong Kong</t>
  </si>
  <si>
    <t xml:space="preserve">Hui, DSC (corresponding author), Chinese Univ Hong Kong, Dept Med &amp; Therapeut, Prince Wales Hosp, 30-32 Ngan Shing St, Shatin, Hong Kong, Peoples R China.</t>
  </si>
  <si>
    <t xml:space="preserve">dschui@cuhk.edu.hk</t>
  </si>
  <si>
    <t xml:space="preserve">Hui, David/O-2754-2015; Chan, Martin/B-3588-2009; Ng, Susanna/ABI-4965-2020; , Julian W Tang/H-2348-2014; Chan, Paul/J-9360-2013; Ng, Susanna/G-7431-2017; Ko, Fanny Wai San/B-8958-2016; Chan, Michael Chi Wai/C-4212-2009</t>
  </si>
  <si>
    <t xml:space="preserve">Tang, Julian/0000-0002-4963-1028; Chan, Paul/0000-0002-6360-4608; Ng, Susanna/0000-0002-4554-7312; Ko, Fanny Wai San/0000-0001-8454-0087; Chan, Michael Chi Wai/0000-0001-8174-8405; Hui, David/0000-0003-4382-2445</t>
  </si>
  <si>
    <t xml:space="preserve">10.1378/chest.07-0530</t>
  </si>
  <si>
    <t xml:space="preserve">214MN</t>
  </si>
  <si>
    <t xml:space="preserve">WOS:000249742100029</t>
  </si>
  <si>
    <t xml:space="preserve">Donoso, AF; León, JA; Camacho, JF; Cruces, PI; Ferrés, M</t>
  </si>
  <si>
    <t xml:space="preserve">Donoso, Alejandro F.; Leon, Jose A.; Camacho, Jorge F.; Cruces, Pablo I.; Ferres, Marcela</t>
  </si>
  <si>
    <t xml:space="preserve">Fatal hemorrhagic pneumonia caused by human metapneumovirus in an immunocompetent child</t>
  </si>
  <si>
    <t xml:space="preserve">acute distress respiratory syndrome; human metapneumovirus; immunocompetent; pneumonia; post-mortem necropsy</t>
  </si>
  <si>
    <t xml:space="preserve">[Donoso, Alejandro F.; Leon, Jose A.; Camacho, Jorge F.; Cruces, Pablo I.] Padre Hurtado Hosp, Pediat Intens Care Unit, San Ramon, CA USA; [Ferres, Marcela] Catholic Univ Clin Hosp, Santiago, Chile</t>
  </si>
  <si>
    <t xml:space="preserve">Pontificia Universidad Catolica de Chile</t>
  </si>
  <si>
    <t xml:space="preserve">Donoso, AF (corresponding author), Esperanza 2150, Santiago, Chile.</t>
  </si>
  <si>
    <t xml:space="preserve">adonoso@hurtadohosp.cl</t>
  </si>
  <si>
    <t xml:space="preserve">Cruces, Pablo/AAD-4041-2019; Ferres, Marcela/LFU-5739-2024</t>
  </si>
  <si>
    <t xml:space="preserve">Ferres, Marcela/0000-0001-9415-4657; Cruces, Pablo/0000-0001-9337-1254</t>
  </si>
  <si>
    <t xml:space="preserve">10.1111/j.1442-200X.2008.02673.x</t>
  </si>
  <si>
    <t xml:space="preserve">341RK</t>
  </si>
  <si>
    <t xml:space="preserve">WOS:000258732300037</t>
  </si>
  <si>
    <t xml:space="preserve">Morikawa, Y; Miura, M; Furuhata, MY; Morino, S; Omori, T; Otsuka, M; Chiga, M; Obonai, T; Hataya, H; Kaneko, T; Ishikura, K; Honda, M; Hasegawa, Y</t>
  </si>
  <si>
    <t xml:space="preserve">Morikawa, Yoshihiko; Miura, Masaru; Furuhata, Megumi Y.; Morino, Saeko; Omori, Tae; Otsuka, Masahiro; Chiga, Michiko; Obonai, Toshimasa; Hataya, Hiroshi; Kaneko, Tetsuji; Ishikura, Kenji; Honda, Masataka; Hasegawa, Yukihiro</t>
  </si>
  <si>
    <t xml:space="preserve">Tokyo Pediat Clin Res Network</t>
  </si>
  <si>
    <t xml:space="preserve">Nebulized hypertonic saline in infants hospitalized with moderately severe bronchiolitis due to RSV infection: A multicenter randomized controlled trial</t>
  </si>
  <si>
    <t xml:space="preserve">acute bronchiolitis; hypertonic saline nebulization; respiratory syncytial virus</t>
  </si>
  <si>
    <t xml:space="preserve">RESPIRATORY-SYNCYTIAL-VIRUS; ACUTE VIRAL BRONCHIOLITIS; LENGTH-OF-STAY; HUMAN-METAPNEUMOVIRUS; CHILDREN; 3-PERCENT; ETIOLOGY; TEMPERATURE</t>
  </si>
  <si>
    <t xml:space="preserve">IntroductionThe efficacy of nebulized hypertonic saline (HS) therapy for shortening hospital length of stay (LOS) or improving bronchiolitic symptoms remains controversial. Most studies enrolled small numbers of subjects and did not consider the role of respiratory syncytial virus (RSV), the most common cause of acute bronchiolitis. Our aim was to evaluate the efficacy and safety of nebulized HS therapy for acute bronchiolitis due to RSV in moderately ill hospitalized infants. Materials and MethodsThis was an open-label, multicenter, randomized controlled trial comparing a nebulized HS treatment group with a normal saline (NS) group. The subjects, 128 infants with bronchiolitis due to RSV, were admitted to five hospitals in Tokyo, Japan. Three-percent HS or NS was administered via bronchodilator four times daily post-admission. The primary outcome was LOS, defined as the time until the patients fulfilled the discharge criteria, namely, absence of fever, no need for supplemental oxygen, and adequate feeding. Survival analysis was conducted in accordance with the intention-to-treat principle. ResultsThe baseline characteristics were similar between the two groups. There was no significant overall difference in LOS between the groups (4.812.14 days in HS vs 4.61 +/- 2.18 days in NS; P=0.60). Survival analysis by log-rank test also showed no significance (P=0.62). Multivariate adjustment did not significantly alter the results. The treatment was well-tolerated, with no adverse effects attributable to the use of HS. ConclusionsNebulized HS therapy did not significantly reduce LOS among infants with bronchiolitis due to RSV.</t>
  </si>
  <si>
    <t xml:space="preserve">[Morikawa, Yoshihiko; Miura, Masaru; Kaneko, Tetsuji; Ishikura, Kenji] Tokyo Metropolitan Childrens Med Ctr, Clin Res Support Ctr, 2-8-29 Musashidai, Fuchu, Tokyo 1838561, Japan; [Miura, Masaru] Tokyo Metropolitan Childrens Med Ctr, Dept Pediat Cardiol, Fuchu, Tokyo, Japan; [Furuhata, Megumi Y.] Saku Cent Hosp, Dept Pediat, Nagano, Japan; [Morino, Saeko] Tokyo Metropolitan Childrens Med Ctr, Dept Infect Dis, Fuchu, Tokyo, Japan; [Omori, Tae; Otsuka, Masahiro] Tokyo Metropolitan Bokutoh Hosp, Dept Pediat, Tokyo, Japan; [Chiga, Michiko] Tokyo Metropolitan Otsuka Hosp, Dept Pediat, Tokyo, Japan; [Obonai, Toshimasa] Tokyo Metropolitan Hlth &amp; Med Treatment Corp, Dept Pediat, Tama Hokubu Med Ctr, Tokyo, Japan; [Hataya, Hiroshi; Hasegawa, Yukihiro] Tokyo Metropolitan Childrens Med Ctr, Dept Gen Pediat, Fuchu, Tokyo, Japan; [Hataya, Hiroshi; Ishikura, Kenji; Honda, Masataka] Tokyo Metropolitan Childrens Med Ctr, Dept Nephrol, Fuchu, Tokyo, Japan; [Ishikura, Kenji] Natl Ctr Child Hlth &amp; Dev, Div Nephrol &amp; Rheumatol, Tokyo, Japan; [Hasegawa, Yukihiro] Tokyo Metropolitan Childrens Med Ctr, Dept Endocrinol &amp; Metab, Fuchu, Tokyo, Japan</t>
  </si>
  <si>
    <t xml:space="preserve">Tokyo Metropolitan Children's Medical Center; Tokyo Metropolitan Children's Medical Center; Tokyo Metropolitan Children's Medical Center; Tokyo Metropolitan Health &amp; Medical Treatment Corporation; Tokyo Metropolitan Children's Medical Center; Tokyo Metropolitan Children's Medical Center; National Center for Child Health &amp; Development - Japan; Tokyo Metropolitan Children's Medical Center</t>
  </si>
  <si>
    <t xml:space="preserve">Morikawa, Y (corresponding author), Tokyo Metropolitan Childrens Med Ctr, Clin Res Support Ctr, 2-8-29 Musashidai, Fuchu, Tokyo 1838561, Japan.</t>
  </si>
  <si>
    <t xml:space="preserve">morikawa@2005.jukuin.keio.ac.jp</t>
  </si>
  <si>
    <t xml:space="preserve">Kaneko, Tetsuji/GPF-6130-2022; Morikawa, Yoshihiko/AGJ-8322-2022</t>
  </si>
  <si>
    <t xml:space="preserve">Morikawa, Yoshihiko/0000-0002-1437-0374; Kaneko, Tetsuji/0000-0001-6041-1731</t>
  </si>
  <si>
    <t xml:space="preserve">10.1002/ppul.23945</t>
  </si>
  <si>
    <t xml:space="preserve">FW6TA</t>
  </si>
  <si>
    <t xml:space="preserve">WOS:000425450000016</t>
  </si>
  <si>
    <t xml:space="preserve">Azkur, D; Özaydin, E; Dibek-Misirlioglu, E; Vezir, E; Tombuloglu, D; Köse, G; Kocabas, CN</t>
  </si>
  <si>
    <t xml:space="preserve">Azkur, Dilek; Ozaydin, Eda; Dibek-Misirlioglu, Emine; Vezir, Emine; Tombuloglu, Duygu; Kose, Gulsen; Kocabas, Can N.</t>
  </si>
  <si>
    <t xml:space="preserve">Viral etiology in infants hospitalized for acute bronchiolitis</t>
  </si>
  <si>
    <t xml:space="preserve">acute bronchiolitis; human metapneumovirus; infant; polymerase chain reaction; rhinovirus; respiratory virus; respiratory syncytial virus</t>
  </si>
  <si>
    <t xml:space="preserve">RESPIRATORY SYNCYTIAL VIRUS; HUMAN METAPNEUMOVIRUS INFECTIONS; TRACT INFECTIONS; CHILDREN; DIAGNOSIS; SPAIN</t>
  </si>
  <si>
    <t xml:space="preserve">Acute bronchiolitis is predominantly a viral disease. Respiratory syncytial virus is the most common agent, but other newly identified viruses have also been considered as causes. The aim of the present study is to determine the respiratory viruses causing acute bronchiolitis in hospitalized infants. Infants younger than 2 years of age who were hospitalized for acute viral bronchiolitis in a children's hospital between November 2011 and May 2012 were evaluated for the presence of viruses as etiologic agents using a real-time polymerase chain reaction method. A total of 55 infants were included in this study. The mean age of the children was 6.98 +/- 5.53 months, and 63.6% were male. In the 55 children, 63 viruses were detected. A single viral pathogen was detected in 47 (85.5%) patients, and two viruses were co-detected in 8 (14.6%) patients. Respiratory syncytial virus was the most common virus identified, accounting for 25 (45.5%) cases, followed by rhinovirus (n=9, 16.4%), and human metapneumovirus (n = 8, 14.5%). Although respiratory syncytial virus remains the major viral pathogen in infants hospitalized for acute broncholitis, more than half of bronchiolitis cases are associated with other respiratory viruses.</t>
  </si>
  <si>
    <t xml:space="preserve">[Azkur, Dilek; Dibek-Misirlioglu, Emine; Vezir, Emine] Ankara Childrens Hematol Oncol Training &amp; Res Hos, Div Pediat Allergy &amp; Immunol, Ankara, Turkey; [Ozaydin, Eda; Tombuloglu, Duygu; Kose, Gulsen] Ankara Childrens Hematol Oncol Training &amp; Res Hos, Dept Pediat, Ankara, Turkey; [Kocabas, Can N.] Mugla Sitki Kocman Univ, Dept Pediat, Div Pediat Allergy &amp; Immunol, Fac Med, Mugla, Turkey</t>
  </si>
  <si>
    <t xml:space="preserve">Ankara Children's Hematology Oncology Training &amp; Research Hospital; Ankara Children's Hematology Oncology Training &amp; Research Hospital; Mugla Sitki Kocman University</t>
  </si>
  <si>
    <t xml:space="preserve">Azkur, D (corresponding author), Ankara Childrens Hematol Oncol Training &amp; Res Hos, Div Pediat Allergy &amp; Immunol, Ankara, Turkey.</t>
  </si>
  <si>
    <t xml:space="preserve">cankocabas@yahoo.com</t>
  </si>
  <si>
    <t xml:space="preserve">kose, gulsen/AAS-6559-2020; VEZIR, EMINE/IQV-0166-2023; AZKUR, DILEK/AAA-2161-2020</t>
  </si>
  <si>
    <t xml:space="preserve">AZKUR, DILEK/0000-0002-4396-9087; Vezir, Emine/0000-0002-0639-7358</t>
  </si>
  <si>
    <t xml:space="preserve">CW9XY</t>
  </si>
  <si>
    <t xml:space="preserve">WOS:000365352700003</t>
  </si>
  <si>
    <t xml:space="preserve">AlMatar, M; Batool, T; Makky, EA</t>
  </si>
  <si>
    <t xml:space="preserve">AlMatar, Manaf; Batool, Tahira; Makky, Essam A.</t>
  </si>
  <si>
    <t xml:space="preserve">Therapeutic Potential of N-Acetylcysteine for Wound Healing, Acute Bronchiolitis, and Congenital Heart Defects</t>
  </si>
  <si>
    <t xml:space="preserve">CURRENT DRUG METABOLISM</t>
  </si>
  <si>
    <t xml:space="preserve">Acute bronchiolitis; congenital heart defects; mechanism; N-acetylcysteine; therapy; wound healing</t>
  </si>
  <si>
    <t xml:space="preserve">INDUCED LUNG INJURY; DEPENDENT ANTIOXIDANT SYSTEM; 3-PERCENT HYPERTONIC SALINE; RADICAL SCAVENGING ENZYMES; CEES-INDUCED LUNG; ACETYL-L-CYSTEINE; SULFUR MUSTARD; CARDIOVASCULAR-DISEASE; SCIENTIFIC STATEMENT; VIRAL BRONCHIOLITIS</t>
  </si>
  <si>
    <t xml:space="preserve">Background: Wound healing is a composite and vital process in which devitalized tissue layers and cellular structures repair themselves. Bronchiolitis is generally prompted by respiratory syncytial virus or human metapneumovirus; this condition is an acute inflammatory injury of bronchioles. Heart problems that develop before birth are known as congenital heart defects (CHDs), and pregestational diabetes is considered a major predisposing factor of CHDs. N-Acetylcysteine (NAC) is a transformed kind of amino acid cysteine which restores the intracellular levels of the natural antioxidant glutathione when taken internally, thereby assisting the cells' ability to diminish the damaging effects of reactive oxygen species (ROS). Objective: In the present communication, NAC's therapeutic potential for wound healing, acute bronchiolitis, and congenital heart defects (CHDs) is critically analyzed by reviewing its effect on the various targets of these diseases. The multifunctional nature of NAC is outlined in a review of evidence from in vitro and in vivo studies. Conclusion: In conclusion, NAC could be used as a therapeutic agent in the treatment of wound healing, acute bronchiolitis and congenital heart defects (CHDs). The focus of future research should be the following; (1) to examine NAC clinically to be considered in the treatment of wound healing; (2) to investigate whether NAC could be used alone or with insulin to prevent CHDs in infants with pregestational diabetes; (3) to evaluate the application of NAC as a potential agent for PAH treatment.</t>
  </si>
  <si>
    <t xml:space="preserve">[AlMatar, Manaf] Cukurova Univ, Dept Biotechnol, Inst Nat &amp; Appl Sci Fen Bilimleri Enstitusu, TR-01330 Adana, Turkey; [Batool, Tahira; Makky, Essam A.] Univ Malaysia Pahang, Fac Ind Sci &amp; Technol, Kuantan 26300, Pahang, Malaysia; [Makky, Essam A.] Univ Malaysia Pahang, Ctr Excellence Adv Res Fluid Flow CARIFF, Kuantan 26300, Pahang, Malaysia</t>
  </si>
  <si>
    <t xml:space="preserve">Cukurova University; Universiti Malaysia Pahang Al-Sultan Abdullah (UMPSA); Universiti Malaysia Pahang Al-Sultan Abdullah (UMPSA)</t>
  </si>
  <si>
    <t xml:space="preserve">AlMatar, M (corresponding author), Cukurova Univ, Dept Biotechnol, Inst Nat &amp; Appl Sci Fen Bilimleri Enstitusu, TR-01330 Adana, Turkey.</t>
  </si>
  <si>
    <t xml:space="preserve">manafmatar19@gmail.com</t>
  </si>
  <si>
    <t xml:space="preserve">MAKKY, ESSAM/I-2138-2014; AlMatar, Manaf/AAG-9123-2020; Batool, Tahira/G-1410-2014</t>
  </si>
  <si>
    <t xml:space="preserve">MAKKY, ESSAM/0000-0001-6352-933X</t>
  </si>
  <si>
    <t xml:space="preserve">1389-2002</t>
  </si>
  <si>
    <t xml:space="preserve">1875-5453</t>
  </si>
  <si>
    <t xml:space="preserve">CURR DRUG METAB</t>
  </si>
  <si>
    <t xml:space="preserve">Curr. Drug Metab.</t>
  </si>
  <si>
    <t xml:space="preserve">10.2174/1389200217666151210124713</t>
  </si>
  <si>
    <t xml:space="preserve">Biochemistry &amp; Molecular Biology; Pharmacology &amp; Pharmacy</t>
  </si>
  <si>
    <t xml:space="preserve">DG5JJ</t>
  </si>
  <si>
    <t xml:space="preserve">WOS:000372113700007</t>
  </si>
  <si>
    <t xml:space="preserve">Chen, ZR; Ji, W; Wang, YQ; Yan, YD; Shao, XJ; Zhang, XL; Xu, J</t>
  </si>
  <si>
    <t xml:space="preserve">Chen, Zheng-Rong; Ji, Wei; Wang, Yu-Qing; Yan, Yong-Dong; Shao, Xue-Jun; Zhang, Xue-Lan; Xu, Jun</t>
  </si>
  <si>
    <t xml:space="preserve">Etiology of acute bronchiolitis and the relationship with meteorological conditions in hospitalized infants in China</t>
  </si>
  <si>
    <t xml:space="preserve">acute bronchiolitis; China; climate; etiology; infant</t>
  </si>
  <si>
    <t xml:space="preserve">RESPIRATORY SYNCYTIAL VIRUS; MYCOPLASMA-PNEUMONIAE; HUMAN METAPNEUMOVIRUS; DISEASE SEVERITY; TRACT INFECTIONS; MULTIPLEX PCR; HONG-KONG; CHILDREN; EPIDEMIOLOGY; PATHOGENS</t>
  </si>
  <si>
    <t xml:space="preserve">Background/Purpose: To investigate the prevalence of common viruses and Mycoplasma pneumoniae (MP) in hospitalized infants with acute bronchiolitis and study the relationship between bronchiolitis and meteorological conditions. Methods: A 2-year prospective study was conducted on infants with a first episode of bronchiolitis admitted to Respiratory Department of Suzhou Children's Hospital. Demographic and clinical characteristics and meteorological conditions were obtained and analyzed. Results: Pathogens were identified in 59.6% of 998 cases analyzed. The most frequent pathogen identified was respiratory syncytial virus (28.7%), followed by human bocavirus (11.6%), MP (9.0%), human parainfluenza virus-3 (7.8%), human metapneumovirus (6.6%), influenza A (3.5%), adenovirus (1.0%), and human parainfluenza virus-1 (0.3%). The clinical scores in children with MP or human metapneumovirus single infections, based on the assessment of severity of acute bronchiolitis, were significantly lower than in children with respiratory syncytial virus single infections. Respiratory syncytial virus had the strongest inverse correlation with mean temperature, followed by influenza A and human metapneumovirus. In addition, MP and human parainfluenza virus-3 showed positive correlations with mean temperature. Conclusion: Although respiratory syncytial virus was the most frequent pathogen in patients in whom bronchiolitis was diagnosed, other pathogens, including newly identified viruses and MP, also play important roles in infants with bronchiolitis. Different respiratory pathogens have different traits in response to certain meteorological conditions. Copyright (C) 2013, Elsevier Taiwan LLC &amp; Formosan Medical Association. All rights reserved.</t>
  </si>
  <si>
    <t xml:space="preserve">[Chen, Zheng-Rong; Ji, Wei; Wang, Yu-Qing; Yan, Yong-Dong] Soochow Univ, Childrens Hosp, Dept Resp Dis, Suzhou 215003, Jiangsu, Peoples R China; [Shao, Xue-Jun; Zhang, Xue-Lan; Xu, Jun] Soochow Univ, Childrens Hosp, Mol Biol Lab, Suzhou 215003, Jiangsu, Peoples R China</t>
  </si>
  <si>
    <t xml:space="preserve">Ji, W (corresponding author), Soochow Univ, Childrens Hosp, Dept Resp Dis, 303 Jingde Rd, Suzhou 215003, Jiangsu, Peoples R China.</t>
  </si>
  <si>
    <t xml:space="preserve">szdxjiwei@163.com</t>
  </si>
  <si>
    <t xml:space="preserve">Social Development, Science and Technology Projects of Suzhou [SS0702]; Science and Technology Projects [KJQND2011005]</t>
  </si>
  <si>
    <t xml:space="preserve">Social Development, Science and Technology Projects of Suzhou; Science and Technology Projects</t>
  </si>
  <si>
    <t xml:space="preserve">The authors thank Dr Ai-Li Zhang, Department of Respiratory Disease, Municipal Hospital, Suzhou, for data collection. Also, the authors are grateful to Mr Yan Zhu, Weather Bureau, Suzhou, China, for providing meteorological conditions data and Jing Zhou, for her help with language editing. This work was supported by Social Development, Science and Technology Projects of Suzhou (grant number SS0702 to Wei Ji) and Science and Technology Projects for the youth of Suzhou (grant number KJQND2011005 to Zheng-Rong Chen).</t>
  </si>
  <si>
    <t xml:space="preserve">1876-0821</t>
  </si>
  <si>
    <t xml:space="preserve">10.1016/j.jfma.2012.12.013</t>
  </si>
  <si>
    <t xml:space="preserve">AL4FJ</t>
  </si>
  <si>
    <t xml:space="preserve">WOS:000339088000011</t>
  </si>
  <si>
    <t xml:space="preserve">Angurana, SK; Takia, L; Sarkar, S; Jangra, I; Bora, I; Ratho, RK; Jayashree, M</t>
  </si>
  <si>
    <t xml:space="preserve">Angurana, Suresh K.; Takia, Lalit; Sarkar, Subhabrata; Jangra, Isheeta; Bora, Ishani; Ratho, Radha Kanta; Jayashree, Muralidharan</t>
  </si>
  <si>
    <t xml:space="preserve">Clinico-virological Profile, Intensive Care Needs and Outcome of Infants with Acute Viral Bronchiolitis: A Prospective Observational Study</t>
  </si>
  <si>
    <t xml:space="preserve">Acute bronchiolitis; Bronchiolitis; Intensive care; Mechanical ventilation; Respiratory syncytial virus</t>
  </si>
  <si>
    <t xml:space="preserve">RESPIRATORY SYNCYTIAL VIRUS; POSITIVE AIRWAY PRESSURE; FLOW NASAL CANNULA; NONINVASIVE VENTILATION; UNITED-STATES; CHILDREN; MANAGEMENT; ETIOLOGY; HOSPITALIZATIONS; APPROPRIATENESS</t>
  </si>
  <si>
    <t xml:space="preserve">Objectives: The objective of the study was to describe the clinico-virological profile, treatment details, intensive care needs, and outcome of infants with acute viral bronchiolitis (AVB). Methodology: In this prospective observational study, 173 infants with AVB admitted to the pediatric emergency room and pediatric intensive care unit (PICU) of a tertiary care teaching hospital in North India during November 2019 to February 2020 were enrolled. The data collection included clinical features, viruses detected [respiratory syncytial virus (RSV), rhinovirus, influenza A virus, parainfluenza (PIV) 2 and 3, and human metapneumovirus (hMPV)], complications, intensive care needs, treatment, and outcomes. Multivariate analysis was performed to determine independent predictors for PICU admission. Results: Most common symptoms were rapid breathing (98.8%), cough (98.3%), and fever (74%). On examination, tachypnea (98.8%), chest retractions (93.6%), respiratory failure (84.4%), wheezing (49.7%), and crepitations (23.1%) were observed. RSV and rhinovirus were the predominant isolates. Complications were noted in 25% of cases as encephalopathy (17.3%), transaminitis (14.3%), shock (13.9%), acute kidney injury (AKI) (7.5%), myocarditis (6.4%), multiple organ dysfunction syndrome (MODS) (5.8%), and acute respiratory distress syndrome (ARDS) (4.6%). More than one-third of cases required PICU admission. The treatment details included nasal cannula oxygen (11%), continuous positive airway pressure (51.4%), high-flow nasal cannula (14.5%), mechanical ventilation (23.1%), nebulization (74%), antibiotics (35.9%), and vasoactive drugs (13.9%). The mortality was 8.1%. Underlying comorbidity, chest retractions, respiratory failure at admission, presence of shock, and need for mechanical ventilation were independent predictors of PICU admission. Isolation of virus or coinfection was not associated with disease severity, intensive care needs, and outcomes. Conclusion: Among infants with AVB, RSV and rhinovirus were predominant. One-third infants with AVB needed PICU admission. The presence of comorbidity, chest retractions, respiratory failure, shock, and need for mechanical ventilation independently predicted PICU admission.</t>
  </si>
  <si>
    <t xml:space="preserve">[Angurana, Suresh K.; Takia, Lalit; Jayashree, Muralidharan] PGIMER, Dept Pediat, Chandigarh, India; [Sarkar, Subhabrata; Jangra, Isheeta; Bora, Ishani; Ratho, Radha Kanta] PGIMER, Dept Virol, Chandigarh, India</t>
  </si>
  <si>
    <t xml:space="preserve">Post Graduate Institute of Medical Education &amp; Research (PGIMER), Chandigarh; Post Graduate Institute of Medical Education &amp; Research (PGIMER), Chandigarh</t>
  </si>
  <si>
    <t xml:space="preserve">Angurana, SK (corresponding author), PGIMER, Dept Pediat, Chandigarh, India.</t>
  </si>
  <si>
    <t xml:space="preserve">sureshangurana@gmail.com</t>
  </si>
  <si>
    <t xml:space="preserve">Takia, Lalit/HSG-2046-2023; Jayashree, M./U-4570-2019</t>
  </si>
  <si>
    <t xml:space="preserve">SARKAR, SUBHABRATA/0000-0001-8880-8458; takia, lalit/0000-0002-3027-7006</t>
  </si>
  <si>
    <t xml:space="preserve">Regional Virus Research and Diagnostic Laboratory (RVRDL), Department of Health Research (DHR), Ministry of Health and Family Welfare (MoHFW), Government of India (GoI)</t>
  </si>
  <si>
    <t xml:space="preserve">Authors thank the Regional Virus Research and Diagnostic Laboratory (RVRDL), Department of Health Research (DHR), Ministry of Health and Family Welfare (MoHFW), Government of India (GoI) for funding the study.</t>
  </si>
  <si>
    <t xml:space="preserve">10.5005/jp-journals-10071-24016</t>
  </si>
  <si>
    <t xml:space="preserve">WW5MC</t>
  </si>
  <si>
    <t xml:space="preserve">WOS:000717959500017</t>
  </si>
  <si>
    <t xml:space="preserve">Li, ZH; Meng, S; Zheng, QL; Wu, T</t>
  </si>
  <si>
    <t xml:space="preserve">Li, Zhihui; Meng, Shuo; Zheng, Qinlong; Wu, Tong</t>
  </si>
  <si>
    <t xml:space="preserve">Complicated pulmonary human coronavirus-NL63 infection after a second allogeneic hematopoietic stem cell transplantation for acute B-lymphocytic leukemia A case report</t>
  </si>
  <si>
    <t xml:space="preserve">acute B-lymphocytic leukemia; complications; high-throughput sequencing of infectious pathogen macrogenome; human coronavirus NL63; post-second allogeneic hematopoietic stem cell transplantation</t>
  </si>
  <si>
    <t xml:space="preserve">RESPIRATORY-TRACT INFECTIONS; NL63 INFECTION; HUMAN METAPNEUMOVIRUS; SYNCYTIAL VIRUS; YOUNG-CHILDREN; MANAGEMENT; INFANTS</t>
  </si>
  <si>
    <t xml:space="preserve">Rationale: Viruses are the most common pathogens that can cause infection-related non-recurrent death after transplantation, occurring mostly from the early stages of hematopoietic stem cell transplantation (HSCT) to within 1 year after transplantation. Human coronavirus (HCoV)-NL63 is a coronavirus that could cause mortality among patients with underlying disease complications. Serological tests are of limited diagnostic value in immunocompromised hosts and cases of latent infection reactivation. In contrast, macro-genomic high-throughput (DNA and RNA) sequencing allows for rapid and accurate diagnosis of infecting pathogens for targeted treatment. Patient concerns: In this report, we describe a patient who exhibited acute B-lymphocytic leukemia and developed complicated pulmonary HCoV-NL63 infection after a second allogeneic HSCT (allo-HSCT). Six months after the second allo-HSCT, he developed sudden-onset hyperthermia and cough with decreased oxygen saturation. Chest computed tomography (CT) suggested bilateral multiple rounded ground-glass opacities with the pulmonary lobules as units. Diagnoses: HCoV-NL63 was detected by metagenomic next-generation sequencing (NGS), and HCoV-NL63 viral pneumonia was diagnosed. Interventions: The treatment was mainly based on the use of antiviral therapy, hormone administration, and gamma-globulin. Outcomes: After the therapy, the body temperature returned to normal, the chest CT findings had improved on review, and the viral copy number eventually became negative. Lessons: The latest NGS is an effective method for early infection diagnosis. The HCoV-NL63 virus can cause inflammatory factor storm and alter the neutrophil-to-lymphocyte ratio (NLR). This case suggests that the patient's NLR and cytokine levels could be monitored during the clinical treatment to assess the disease and its treatment outcome in a timely manner.</t>
  </si>
  <si>
    <t xml:space="preserve">[Li, Zhihui; Meng, Shuo; Wu, Tong] Beijing Boren Hosp, Dept Bone Marrow Transplantat, Beijing 100070, Peoples R China; [Zheng, Qinlong] Beijing Boren Hosp, Lab Mol Diagnost, Beijing, Peoples R China</t>
  </si>
  <si>
    <t xml:space="preserve">Wu, T (corresponding author), Beijing Boren Hosp, Dept Bone Marrow Transplantat, Beijing 100070, Peoples R China.</t>
  </si>
  <si>
    <t xml:space="preserve">wutong0105@126.com</t>
  </si>
  <si>
    <t xml:space="preserve">Meng, Shuo/ISV-1822-2023; wu, tong/ITV-6896-2023</t>
  </si>
  <si>
    <t xml:space="preserve">10.1097/MD.0000000000026446</t>
  </si>
  <si>
    <t xml:space="preserve">SW7CZ</t>
  </si>
  <si>
    <t xml:space="preserve">WOS:000664672200061</t>
  </si>
  <si>
    <t xml:space="preserve">Soto-Quiros, M; Avila, L; Platts-Mills, TAE; Hunt, JF; Erdman, DD; Carper, H; Murphy, DD; Odio, S; James, HR; Patrie, JT; Hunt, W; O'Rourke, AK; Davis, MD; Steinke, JW; Lu, XY; Kennedy, J; Heymann, PW</t>
  </si>
  <si>
    <t xml:space="preserve">Soto-Quiros, Manuel; Avila, Lydiana; Platts-Mills, Thomas A. E.; Hunt, John F.; Erdman, Dean D.; Carper, Holliday; Murphy, Deborah D.; Odio, Silvia; James, Hayley R.; Patrie, James T.; Hunt, William; O'Rourke, Ashli K.; Davis, Michael D.; Steinke, John W.; Lu, Xiaoyan; Kennedy, Joshua; Heymann, Peter W.</t>
  </si>
  <si>
    <t xml:space="preserve">High titers of IgE antibody to dust mite allergen and risk for wheezing among asthmatic children infected with rhinovirus</t>
  </si>
  <si>
    <t xml:space="preserve">Acute asthma; dust mite-specific IgE; emergency department visits; viral respiratory tract infections; rhinovirus strain C; total serum IgE; inhaled allergens; exhaled nitric oxide</t>
  </si>
  <si>
    <t xml:space="preserve">HUMAN METAPNEUMOVIRUS INFECTION; EXHALED NITRIC-OXIDE; CHILDHOOD ASTHMA; RESPIRATORY VIRUSES; VIRAL-INFECTIONS; COSTA-RICA; EXACERBATIONS; SENSITIZATION; PREVALENCE; ADMISSION</t>
  </si>
  <si>
    <t xml:space="preserve">Background: The relevance of allergic sensitization, as judged by titers of serum IgE antibodies, to the risk of an asthma exacerbation caused by rhinovirus is unclear. Objective: We sought to examine the prevalence of rhinovirus infections in relation to the atopic status of children treated for wheezing in Costa Rica, a country with an increased asthma burden. Methods: The children enrolled (n = 287) were 7 through 12 years old. They included 96 with acute wheezing, 65 with stable asthma, and 126 nonasthmatic control subjects. PCR methods, including gene sequencing to identify rhinovirus strains, were used to identify viral pathogens in nasal washes. Results were examined in relation to wheezing, IgE, allergen-specific IgE antibody, and fraction of exhaled nitric oxide levels. Results: Sixty-four percent of wheezing children compared with 13% of children with stable asthma and 13% of nonasthmatic control subjects had positive test results for rhinovirus (P &lt; .001 for both comparisons). Among wheezing subjects, 75% of the rhinoviruses detected were group C strains. High titers of IgE antibodies to dust mite allergen (especially Dermatophagoides species) were common and correlated significantly with total IgE and fraction of exhaled nitric oxide levels. The greatest risk for wheezing was observed among children with titers of IgE antibodies to dust mite of 17.5 IU/mL or greater who tested positive for rhinovirus (odds ratio for wheezing, 31.5; 95% CI, 8.3-108; P &lt; .001). Conclusions: High titers of IgE antibody to dust mite allergen were common and significantly increased the risk for acute wheezing provoked by rhinovirus among asthmatic children. (J Allergy Clin Immunol 2012;129:1499-505.)</t>
  </si>
  <si>
    <t xml:space="preserve">[Hunt, John F.; Carper, Holliday; Murphy, Deborah D.; Davis, Michael D.; Heymann, Peter W.] Univ Virginia, Sch Med, Dept Pediat, Charlottesville, VA 22908 USA; [Platts-Mills, Thomas A. E.; Hunt, John F.; Carper, Holliday; Murphy, Deborah D.; James, Hayley R.; Patrie, James T.; Hunt, William; O'Rourke, Ashli K.; Davis, Michael D.; Steinke, John W.; Kennedy, Joshua; Heymann, Peter W.] Univ Virginia, Sch Med, Asthma &amp; Allerg Dis Ctr, Charlottesville, VA 22908 USA; [Erdman, Dean D.; Lu, Xiaoyan] Ctr Dis Control &amp; Prevent, Atlanta, GA USA; [Soto-Quiros, Manuel; Avila, Lydiana; Odio, Silvia] Hosp Nacl Ninos Dr Carlos Saenz Herrera, San Jose, Costa Rica</t>
  </si>
  <si>
    <t xml:space="preserve">University of Virginia; University of Virginia; Centers for Disease Control &amp; Prevention - USA</t>
  </si>
  <si>
    <t xml:space="preserve">Heymann, PW (corresponding author), Univ Virginia, Sch Med, Dept Pediat, POB 800386, Charlottesville, VA 22908 USA.</t>
  </si>
  <si>
    <t xml:space="preserve">PWH5A@virginia.edu</t>
  </si>
  <si>
    <t xml:space="preserve">Kennedy, Joshua/P-1869-2019; Avila, Lydiana/D-5638-2015</t>
  </si>
  <si>
    <t xml:space="preserve">Platts-Mills, Thomas/0000-0002-1263-329X; Kennedy, Joshua/0000-0002-1919-9051; Avila, Lydiana/0000-0002-9579-1591</t>
  </si>
  <si>
    <t xml:space="preserve">Cove Point Foundation; National Institutes of Health [R01 AI020565, U19 AI070364]; University of Virginia Children's Hospital; Phadia/Thermo Fisher; Medtronic; University of Virginia</t>
  </si>
  <si>
    <t xml:space="preserve">Cove Point Foundation; National Institutes of Health(United States Department of Health &amp; Human ServicesNational Institutes of Health (NIH) - USA); University of Virginia Children's Hospital; Phadia/Thermo Fisher; Medtronic(Medtronic); University of Virginia</t>
  </si>
  <si>
    <t xml:space="preserve">Supported by the Cove Point Foundation, National Institutes of Health grants R01 AI020565 and U19 AI070364, and the University of Virginia Children's Hospital Research Fund.T. A. E. Platts-Mills has consultant arrangements with IBT/Viracor Labs and has received research support and honorarium from Phadia/Thermo Fisher. J. W. Steinke has received payment as a Board Review Course Speaker for the American Academy of Allergy, Asthma &amp; Immunology; has received research support from the National Institutes of Health and Medtronic; and is the AIR Committee Chair for the American Academy of Allergy, Asthma &amp; Immunology. J. Kennedy has received research support from the National Institutes of Health and the University of Virginia. P. W. Heymann has received research support from the National Institutes of Health, the Cove Point Foundation, and the University of Virginia Children's Hospital. The rest of the authors declare that they have no relevant conflicts of interest.</t>
  </si>
  <si>
    <t xml:space="preserve">10.1016/j.jaci.2012.03.040</t>
  </si>
  <si>
    <t xml:space="preserve">952BL</t>
  </si>
  <si>
    <t xml:space="preserve">WOS:000304764600009</t>
  </si>
  <si>
    <t xml:space="preserve">Boluk, SÖ; Taskirdi, I; Akcal, O; Kaya, MS; Haci, IA; Soyoz, O; Celik, FC; Karkiner, CS; Ayhan, FY; Gülez, N; Genel, F; Can, D</t>
  </si>
  <si>
    <t xml:space="preserve">Boluk, Selime Ozen; Taskirdi, Ilke; Akcal, Omer; Kaya, Mehmet Sirin; Haci, Idil Akay; Soyoz, Ozgen; Celik, Figen Celebi; Karkiner, Canan Sule; Ayhan, Fahri Yuce; Gulez, Nesrin; Genel, Ferah; Can, Demet</t>
  </si>
  <si>
    <t xml:space="preserve">Prevalence of Viruses in Acute Asthma Exacerbations in Childhood in a Hospital in West Part of Turkey</t>
  </si>
  <si>
    <t xml:space="preserve">Acute asthma exacerbations; Polymerase chain reaction; Viruses</t>
  </si>
  <si>
    <t xml:space="preserve">RESPIRATORY VIRUSES</t>
  </si>
  <si>
    <t xml:space="preserve">Acute asthma exacerbations (AAE) are episodes characterized by potentially life-threatening and rapidly deteriorating asthma symptoms. Viral respiratory infections are one of the major triggers in the pathophysiology of childhood asthma exacerbations. In this study, we aimed to determine the distribution of viral agents among pediatric AAE patients. One hundred and three AAE patients, aged 5 or older, hospitalized between from February 2017 through February 2020 at Pediatric Immunology and Allergic Diseases Unit were included in this study. Fifty patients (48.5%) were female, and the mean age of the patients was 108.2 months. Viruses were detected in 58 (%56.3) of the patients, in 5 of whom more than one virus type was detected. The most commonly detected virus was human rhinovirus (n=43, 67.1%). Other types included respiratory syncytial virus (n=8; 12.5%), influenza (n=6; 9.3%), human metapneumovirus (n=4; 6.2%), adenovirus (n=1; 1.5%), enterovirus (n=1; 1.5%), and parainfluenza (n=1; 1.5%). Viral agents were detected in 29 out of the 47 patients with allergic asthma, with human rhinoviruses comprising the majority (18 patients). The mean length of hospital stay was 7.89 days. Human rhinovirus is the most common virus that triggers AAE, with similar distributions in allergic and non-allergic asthma. We found no correlation between virus type and the length of hospital stay.</t>
  </si>
  <si>
    <t xml:space="preserve">[Boluk, Selime Ozen; Taskirdi, Ilke; Kaya, Mehmet Sirin; Haci, Idil Akay; Soyoz, Ozgen; Celik, Figen Celebi; Karkiner, Canan Sule; Gulez, Nesrin; Genel, Ferah] Univ Hlth Sci Izmir, Dr Behcet Uz Childrens Educ &amp; Res Hosp, Dept Pediat, Div Allergy &amp; Immunol, Izmir, Turkey; [Akcal, Omer] Gaziantep Cengiz Gokcek Matern &amp; Childrens Hosp, Dept Pediat, Div Allergy &amp; Immunol, Gaziantep, Turkey; [Ayhan, Fahri Yuce] Univ Hlth Sci Izmir, Dr Behcet Uz Childrens Educ &amp; Res Hosp, Dept Microbiol, Izmir, Turkey; [Can, Demet] Balikesir Univ, Fac Med, Dept Pediat, Balikesir, Turkey</t>
  </si>
  <si>
    <t xml:space="preserve">Izmir Dr Behcet Uz Children's Disease &amp; Surgery Training &amp; Research Hospital; Izmir Dr Behcet Uz Children's Disease &amp; Surgery Training &amp; Research Hospital; Balikesir University</t>
  </si>
  <si>
    <t xml:space="preserve">Boluk, SÖ (corresponding author), Univ Hlth Sci Izmir, Dr Behcet Uz Childrens Educ &amp; Res Hosp, Dept Pediat, Div Allergy &amp; Immunol, Izmir, Turkey.</t>
  </si>
  <si>
    <t xml:space="preserve">yarenseli85@hotmail.com</t>
  </si>
  <si>
    <t xml:space="preserve">Gulez, Nesrin/AFF-7478-2022; TAŞKIRDI, İLKE/IZP-6562-2023; Akay Hacı, İdil/JWO-2146-2024; Ayhan, Fahri Yüce/AGV-8707-2022; Özen Bölük, Selime/IZE-5530-2023; akçal, ömer/GMW-9663-2022</t>
  </si>
  <si>
    <t xml:space="preserve">Gulez, Nesrin/0000-0002-3343-6949; TASKIRDI, ILKE/0000-0001-9326-2541</t>
  </si>
  <si>
    <t xml:space="preserve">TEHRAN UNIV MEDICAL SCIENCES</t>
  </si>
  <si>
    <t xml:space="preserve">CTR ELECTR RES PROVISION &amp; J IMPROVEMENT, #7, POURSINA AVE, QODS AVE, PO 1417653911, TEHRAN, 11498, IRAN</t>
  </si>
  <si>
    <t xml:space="preserve">1735-5249</t>
  </si>
  <si>
    <t xml:space="preserve">10.18502/ijaai.v21i2.9219</t>
  </si>
  <si>
    <t xml:space="preserve">1A5XR</t>
  </si>
  <si>
    <t xml:space="preserve">WOS:000791830000002</t>
  </si>
  <si>
    <t xml:space="preserve">Taylor, S; Lopez, P; Weckx, L; Borja-Tabora, C; Ulloa-Gutierrez, R; Lazcano-Ponce, E; Kerdpanich, A; Weber, MAR; de Los Santos, AM; Tinoco, JC; Safadi, MAP; Lim, FS; Hernandez-de Mezerville, M; Faingezicht, I; Cruz-Valdez, A; Feng, Y; Li, P; Durviaux, S; Haars, G; Roy-Ghanta, S; Vaughn, DW; Nolan, T</t>
  </si>
  <si>
    <t xml:space="preserve">Taylor, Sylvia; Lopez, Pio; Weckx, Lily; Borja-Tabora, Charissa; Ulloa-Gutierrez, Rolando; Lazcano-Ponce, Eduardo; Kerdpanich, Angkool; Rodriguez Weber, Miguel Angel; Mascarenas de Los Santos, Abiel; Tinoco, Juan-Carlos; Safadi, Marco Aurelio P.; Lim, Fong Seng; Hernandez-de Mezerville, Marcela; Faingezicht, Idis; Cruz-Valdez, Aurelio; Feng, Yang; Li, Ping; Durviaux, Serge; Haars, Gerco; Roy-Ghanta, Sumita; Vaughn, David W.; Nolan, Terry</t>
  </si>
  <si>
    <t xml:space="preserve">Respiratory viruses and influenza-like illness: Epidemiology and outcomes in children aged 6 months to 10 years in a multi-country population sample</t>
  </si>
  <si>
    <t xml:space="preserve">Active surveillance; Influenza-like illness; Healthy children; Respiratory viruses; Prevalence; Incidence</t>
  </si>
  <si>
    <t xml:space="preserve">VIRAL-INFECTIONS; SYNCYTIAL VIRUS; DIAGNOSIS; COINFECTIONS; CONFIDENCE; PNEUMONIA; VACCINE; TRIAL</t>
  </si>
  <si>
    <t xml:space="preserve">Background: Better population data on respiratory viruses in children in tropical and southern hemisphere countries is needed. Methods: The epidemiology of respiratory viruses among healthy children (6 months to &lt; 10 years) with influenza-like illness (ILI) was determined in a population sample derived from an influenza vaccine trial (NCT01051661) in 17 centers in eight countries (Australia, South East Asia and Latin America). Active surveillance for ILI was conducted for approximately 1 year (between February 2010 and August 2011), with PCR analysis of nasal and throat swabs. Results: 6266 children were included, of whom 2421 experienced 3717 ILI episodes. Rhinovirus/enterovirus had the highest prevalence (41.5%), followed by influenza (15.8%), adenovirus (9.8%), parainfluenza and respiratory syncytial virus (RSV) (both 9.7%), coronavirus (5.6%), human metapneumovirus (5.5%) and human bocavirus (HBov) (2.0%). Corresponding incidence per 100 person-years was 29.78, 11.34, 7.03, 6.96, 6.94, 4.00, 3.98 and 1.41. Except for influenza, respiratory virus prevalence declined with age. The incidence of medicallyattended ILI associated with viral infection ranged from 1.03 (HBov) to 23.69 (rhinovirus/ enterovirus). The percentage of children missing school or daycare ranged from 21.4% (HBov) to 52.1% (influenza). Conclusions: Active surveillance of healthy children provided evidence of respiratory illness burden associated with several viruses, with a substantial burden in older children. (C) 2016 Published by Elsevier Ltd on behalf of The British Infection Association.</t>
  </si>
  <si>
    <t xml:space="preserve">[Taylor, Sylvia; Feng, Yang; Durviaux, Serge; Haars, Gerco] GSK Vaccines, 20 Ave Fleming, B-1330 Wavre, Belgium; [Lopez, Pio] Ctr Estudios Infectol Pediat, Cali, Colombia; [Weckx, Lily] Univ Fed Sao Paulo, Dept Pediat, Pediat Infect Dis, Sao Paulo, Brazil; [Borja-Tabora, Charissa] Res Inst Trop Med, Dept Hlth, Muntinlupa, Philippines; [Ulloa-Gutierrez, Rolando; Hernandez-de Mezerville, Marcela; Faingezicht, Idis] Inst Costarricense Invest Clin, San Jose, Costa Rica; [Lazcano-Ponce, Eduardo; Cruz-Valdez, Aurelio] Natl Inst Publ Hlth Mexico, Cuernavaca, Morelos, Mexico; [Kerdpanich, Angkool] Phramongkutklao Hosp, Dept Pediat, Infect Dis Unit, Bangkok, Thailand; [Rodriguez Weber, Miguel Angel] Inst Nacl Pediat Mexico, Mexico City, DF, Mexico; [Mascarenas de Los Santos, Abiel] Univ Autonoma Nuevo Leon, Med Serv, Monterrey, Mexico; [Tinoco, Juan-Carlos] Hosp Gen Durango, Durango, Mexico; [Safadi, Marco Aurelio P.] Fac Ciencias Med Santa Casa Sao Paulo, Sao Paulo, Brazil; [Safadi, Marco Aurelio P.] Assoc Fundo Incent Pesquisa, Dept Pediat, Sao Paulo, Brazil; [Lim, Fong Seng] Natl Univ Singapore, Natl Healthcare Grp Polyclin, Singapore, Singapore; [Li, Ping; Roy-Ghanta, Sumita; Vaughn, David W.] GSK Vaccines, King Of Prussia, PA USA; [Nolan, Terry] Univ Melbourne, Murdoch Childrens Res Inst, Carlton, Vic, Australia; [Nolan, Terry] Univ Melbourne, Melbourne Sch Populat &amp; Global Hlth, Carlton, Vic, Australia</t>
  </si>
  <si>
    <t xml:space="preserve">GlaxoSmithKline; Universidade Federal de Sao Paulo (UNIFESP); Philippine Department Health; Research Institute for Tropical Medicine - Philippines; Instituto Nacional de Salud Publica; Phramongkutklao Hospital; Universidad Autonoma de Nuevo Leon; Faculdade de Ciencias Medicas Santa Casa de Sao Paulo; Universidade Federal de Sao Paulo (UNIFESP); National University of Singapore; GlaxoSmithKline; University of Melbourne; Murdoch Children's Research Institute; University of Melbourne</t>
  </si>
  <si>
    <t xml:space="preserve">Taylor, S (corresponding author), GSK Vaccines, 20 Ave Fleming, B-1330 Wavre, Belgium.</t>
  </si>
  <si>
    <t xml:space="preserve">sylvia.m.taylor@GSK.com</t>
  </si>
  <si>
    <t xml:space="preserve">Nolan, Terry/A-2236-2008; Ulloa-Gutierrez, Rolando/U-3513-2019; Weckx, Lily/IUP-6885-2023; Feng, Yang/D-3329-2015; safadi, marco/B-7157-2015</t>
  </si>
  <si>
    <t xml:space="preserve">WECKX, LILY/0000-0003-4949-3582; Rodriguez Weber, Miguel Angel/0000-0002-9778-5697; Lopez Lopez, Pio/0000-0001-5230-6595; RODRIGUEZ-WEBER, MIGUEL ANGEL/0000-0002-5415-3884; Ulloa-Gutierrez, Rolando/0000-0002-9157-9227; Cruz-Valdez, Aurelio/0000-0003-0656-7166; safadi, marco/0000-0002-4401-9446; MASCARENAS DE LOS SANTOS, ABIEL HOMERO/0000-0002-4057-9526</t>
  </si>
  <si>
    <t xml:space="preserve">GlaxoSmithKline Biologicals S.A</t>
  </si>
  <si>
    <t xml:space="preserve">GlaxoSmithKline Biologicals S.A(GlaxoSmithKline)</t>
  </si>
  <si>
    <t xml:space="preserve">This work was supported by GlaxoSmithKline Biologicals S.A. who was the sponsor of the study and was involved in all stages of study conduct, including analysis of the data, and in addition paid the costs related to the development of the publication of this manuscript.</t>
  </si>
  <si>
    <t xml:space="preserve">10.1016/j.jinf.2016.09.003</t>
  </si>
  <si>
    <t xml:space="preserve">EO0CX</t>
  </si>
  <si>
    <t xml:space="preserve">WOS:000396367000004</t>
  </si>
  <si>
    <t xml:space="preserve">Minney-Smith, CA; Selvey, LA; Levy, A; Smith, DW</t>
  </si>
  <si>
    <t xml:space="preserve">Minney-Smith, C. A.; Selvey, L. A.; Levy, A.; Smith, D. W.</t>
  </si>
  <si>
    <t xml:space="preserve">Post-pandemic influenza A/H1N1pdm09 is associated with more severe outcomes than A/H3N2 and other respiratory viruses in adult hospitalisations</t>
  </si>
  <si>
    <t xml:space="preserve">A/H1N1pdm09; A/H3N2; hospitalisation; influenza; respiratory viruses</t>
  </si>
  <si>
    <t xml:space="preserve">COMMUNITY-ACQUIRED PNEUMONIA; SENTINEL AUSTRALIAN HOSPITALS; REAL-TIME PCR; SYNCYTIAL VIRUS; 2009 H1N1; REQUIRING HOSPITALIZATION; VACCINE DEVELOPMENT; SEASONAL INFLUENZA; VIRAL-INFECTIONS; COMPLICATIONS</t>
  </si>
  <si>
    <t xml:space="preserve">This study compares the frequency and severity of influenza A/H1N1pdm09 (A/H1), influenza A/H3N2 (A/H3) and other respiratory virus infections in hospitalised patients. Data from 17 332 adult hospitalised patients admitted to Sir Charles Gairdner Hospital, Perth, Western Australia, with a respiratory illness between 2012 and 2015 were linked with data containing reverse transcription polymerase chain reaction results for respiratory viruses including A/H1, A/H3, influenza B, human metapneumovirus, respiratory syncytial virus and parainfluenza. Of these, 1753 (10.1%) had test results. Multivariable regression analyses were conducted to compare the viruses for clinical outcomes including ICU admission, ventilation, pneumonia, length of stay and death. Patients with A/H1 were more likely to experience severe outcomes such as ICU admission (OR 2.5, 95% CI 1.2-5.5, P = 0.016), pneumonia (OR 3.0, 95% CI 1.6-5.7, P &lt; 0.001) and lower risk of discharge from hospital (indicating longer lengths of hospitalisation; HR 0.64 95% CI 0.47-0.88, P = 0.005), than patients with A/H3. Patients with a non-influenza respiratory virus were less likely to experience severe clinical outcomes than patients with A/H1, however, had similar likelihood when compared to patients with A/H3. Patients hospitalised with A/H1 had higher odds of severe outcomes than patients with A/H3 or other respiratory viruses. Knowledge of circulating influenza strains is important for healthcare preparedness.</t>
  </si>
  <si>
    <t xml:space="preserve">[Minney-Smith, C. A.] Curtin Univ, Sch Publ Hlth, Bentley, WA, Australia; [Minney-Smith, C. A.; Levy, A.; Smith, D. W.] PathWest Lab Med WA, Nedlands, WA, Australia; [Selvey, L. A.] Univ Queensland, Sch Publ Hlth, Herston, Qld, Australia; [Levy, A.; Smith, D. W.] Univ Western Australia, Sch Biomed Sci, Nedlands, WA, Australia</t>
  </si>
  <si>
    <t xml:space="preserve">Curtin University; University of Queensland; University of Western Australia</t>
  </si>
  <si>
    <t xml:space="preserve">Minney-Smith, CA (corresponding author), Curtin Univ, Sch Publ Hlth, Bentley, WA, Australia.;Minney-Smith, CA (corresponding author), PathWest Lab Med WA, Nedlands, WA, Australia.</t>
  </si>
  <si>
    <t xml:space="preserve">cara.minney-smith@health.wa.gov.au</t>
  </si>
  <si>
    <t xml:space="preserve">; Selvey, Linda/B-8473-2017</t>
  </si>
  <si>
    <t xml:space="preserve">Minney-Smith, Cara/0000-0003-4445-826X; Smith, David/0000-0002-3107-5182; Levy, Avram/0000-0002-0934-2387; Selvey, Linda/0000-0001-8493-0974</t>
  </si>
  <si>
    <t xml:space="preserve">e310</t>
  </si>
  <si>
    <t xml:space="preserve">10.1017/S095026881900195X</t>
  </si>
  <si>
    <t xml:space="preserve">VM1PW</t>
  </si>
  <si>
    <t xml:space="preserve">WOS:000967126200001</t>
  </si>
  <si>
    <t xml:space="preserve">Meningher, T; Hindiyeh, M; Regev, L; Sherbany, H; Mendelson, E; Mandelboim, M</t>
  </si>
  <si>
    <t xml:space="preserve">Meningher, Tal; Hindiyeh, Musa; Regev, Liora; Sherbany, Hilda; Mendelson, Ella; Mandelboim, Michal</t>
  </si>
  <si>
    <t xml:space="preserve">Relationships between A(H1N1)pdm09 influenza infection and infections with other respiratory viruses</t>
  </si>
  <si>
    <t xml:space="preserve">A(H1N1)pdm09 virus; human metapneumo virus; respiratory syncytial virus; respiratory viruses; seasonal influenza viruses</t>
  </si>
  <si>
    <t xml:space="preserve">REAL-TIME PCR; CLINICAL CHARACTERISTICS; H1N1 2009; A VIRUS; CHILDREN; IMPACT; REGION; ISRAEL; ADULTS</t>
  </si>
  <si>
    <t xml:space="preserve">Background A(H1N1)pdm09, a new influenza pandemic virus emerged in 2009. The A(H1N1)pdm09 infection had several unique characteristics which included rapid transmissibility and high morbidity in obese individuals, pregnant women and individuals suffering from chronic diseases. Objectives To study the relationships between A(H1N1)pdm09 influenza infection and infections with other respiratory viruses such as respiratory syncytial virus (RSV), human metapneumo virus (hMPV), adenovirus and seasonal influenza. Methods Samples (nasopharyngeal swabs or aspirates) collected between 2007 until 2012 from patients of various ages that were hospitalized due to respiratory virus infections were analyzed for the presence of various respiratory viruses, using qRT-PCR. Results In 2009-2010, when the pandemic influenza A(H1N1)pdm09 first appeared, two major infection peaks were noted and individuals of various ages were infected. Following the decline of the A(H1N1)pdm09 virus infection, the percentages of patients infected with adenovirus and hMPV increased, while infection frequency with RSV B and with seasonal influenza virus decreased. Furthermore, RSV infections were delayed and very few percentages of patients were co-infected with more than one virus. Interestingly, the A(H1N1)pdm09 virus lost its dominancy when it reappeared in the winter of 2010-2011, and at this time, only the incidence of RSV infections was affected by the A(H1N1)pdm09 virus. Conclusions The A(H1N1)pdm09 virus had distinct effects on other respiratory viruses when it first appeared versus later, when it evolved from being a pandemic to a seasonal virus.</t>
  </si>
  <si>
    <t xml:space="preserve">[Meningher, Tal; Hindiyeh, Musa; Regev, Liora; Sherbany, Hilda; Mendelson, Ella; Mandelboim, Michal] Chaim Sheba Med Ctr, Cent Virol Lab, Minist Hlth, IL-52621 Ramat Gan, Israel; [Meningher, Tal] Bar Ilan Univ, Mina &amp; Everard Goodman Fac Life Sci, Ramat Gan, Israel; [Mendelson, Ella] Tel Aviv Univ, Sackler Fac Med, Dept Epidemiol &amp; Prevent Med, Sch Publ Hlth, IL-69978 Tel Aviv, Israel</t>
  </si>
  <si>
    <t xml:space="preserve">Chaim Sheba Medical Center; Bar Ilan University; Tel Aviv University</t>
  </si>
  <si>
    <t xml:space="preserve">Mandelboim, M (corresponding author), Chaim Sheba Med Ctr, Cent Virol Lab, Minist Hlth, IL-52621 Ramat Gan, Israel.</t>
  </si>
  <si>
    <t xml:space="preserve">10.1111/irv.12249</t>
  </si>
  <si>
    <t xml:space="preserve">WOS:000337608700005</t>
  </si>
  <si>
    <t xml:space="preserve">Rezapour, M; Walker, SJ; Ornelles, DA; Mcnutt, PM; Atala, A; Gurcan, MN</t>
  </si>
  <si>
    <t xml:space="preserve">Rezapour, Mostafa; Walker, Stephen J.; Ornelles, David A.; Mcnutt, Patrick M.; Atala, Anthony; Gurcan, Metin Nafi</t>
  </si>
  <si>
    <t xml:space="preserve">Analysis of gene expression dynamics and differential expression in viral infections using generalized linear models and quasi-likelihood methods</t>
  </si>
  <si>
    <t xml:space="preserve">3D airway organ tissue equivalent (OTEs); RNA-seq data; generalized linear models; quasi-likelihood F-test; differentially expressed genes</t>
  </si>
  <si>
    <t xml:space="preserve">ORGANOIDS</t>
  </si>
  <si>
    <t xml:space="preserve">Introduction Our study undertakes a detailed exploration of gene expression dynamics within human lung organ tissue equivalents (OTEs) in response to Influenza A virus (IAV), Human metapneumovirus (MPV), and Parainfluenza virus type 3 (PIV3) infections. Through the analysis of RNA-Seq data from 19,671 genes, we aim to identify differentially expressed genes under various infection conditions, elucidating the complexities of virus-host interactions. Methods We employ Generalized Linear Models (GLMs) with Quasi-Likelihood (QL) F-tests (GLMQL) and introduce the novel Magnitude-Altitude Score (MAS) and Relaxed Magnitude-Altitude Score (RMAS) algorithms to navigate the intricate landscape of RNA-Seq data. This approach facilitates the precise identification of potential biomarkers, highlighting the host's reliance on innate immune mechanisms. Our comprehensive methodological framework includes RNA extraction, library preparation, sequencing, and Gene Ontology (GO) enrichment analysis to interpret the biological significance of our findings. Results The differential expression analysis unveils significant changes in gene expression triggered by IAV, MPV, and PIV3 infections. The MAS and RMAS algorithms enable focused identification of biomarkers, revealing a consistent activation of interferon-stimulated genes (e.g., IFIT1, IFIT2, IFIT3, OAS1) across all viruses. Our GO analysis provides deep insights into the host's defense mechanisms and viral strategies exploiting host cellular functions. Notably, changes in cellular structures, such as cilium assembly and mitochondrial ribosome assembly, indicate a strategic shift in cellular priorities. The precision of our methodology is validated by a 92% mean accuracy in classifying respiratory virus infections using multinomial logistic regression, demonstrating the superior efficacy of our approach over traditional methods. Discussion This study highlights the intricate interplay between viral infections and host gene expression, underscoring the need for targeted therapeutic interventions. The stability and reliability of the MAS/RMAS ranking method, even under stringent statistical corrections, and the critical importance of adequate sample size for biomarker reliability are significant findings. Our comprehensive analysis not only advances our understanding of the host's response to viral infections but also sets a new benchmark for the identification of biomarkers, paving the way for the development of effective diagnostic and therapeutic strategies.</t>
  </si>
  <si>
    <t xml:space="preserve">[Rezapour, Mostafa; Gurcan, Metin Nafi] Wake Forest Univ, Ctr Artificial Intelligence Res, Sch Med, Winston Salem, NC 27101 USA; [Walker, Stephen J.; Mcnutt, Patrick M.; Atala, Anthony] Wake Forest Univ, Sch Med, Wake Forest Inst Regenerat Med, Winston Salem, NC 27157 USA; [Ornelles, David A.] Wake Forest Univ, Microbiol &amp; Immunol, Sch Med, Winston Salem, NC USA</t>
  </si>
  <si>
    <t xml:space="preserve">Rezapour, M (corresponding author), Wake Forest Univ, Ctr Artificial Intelligence Res, Sch Med, Winston Salem, NC 27101 USA.</t>
  </si>
  <si>
    <t xml:space="preserve">U.S. Government [W15QKN-16-9-1002]</t>
  </si>
  <si>
    <t xml:space="preserve">U.S. Government</t>
  </si>
  <si>
    <t xml:space="preserve">APR 9</t>
  </si>
  <si>
    <t xml:space="preserve">10.3389/fmicb.2024.1342328</t>
  </si>
  <si>
    <t xml:space="preserve">OH9C5</t>
  </si>
  <si>
    <t xml:space="preserve">WOS:001206489300001</t>
  </si>
  <si>
    <t xml:space="preserve">Pászti-Gere, E; Czimmermann, E; Ujhelyi, G; Balla, P; Maiwald, A; Steinmetzer, T</t>
  </si>
  <si>
    <t xml:space="preserve">Paszti-Gere, Erzsebet; Czimmermann, Eszter; Ujhelyi, Gabriella; Balla, Peter; Maiwald, Alexander; Steinmetzer, Torsten</t>
  </si>
  <si>
    <t xml:space="preserve">In vitro characterization of TMPRSS2 inhibition in IPEC-J2 cells</t>
  </si>
  <si>
    <t xml:space="preserve">JOURNAL OF ENZYME INHIBITION AND MEDICINAL CHEMISTRY</t>
  </si>
  <si>
    <t xml:space="preserve">3-Amidinophenylalanine; extracellular H2O2; fluorogenic AMC substrate; IPEC-J2 cells; TMPRSS2; trypsin-like serine protease</t>
  </si>
  <si>
    <t xml:space="preserve">TRANSMEMBRANE SERINE PROTEASES; INFLUENZA-A VIRUS; HUMAN METAPNEUMOVIRUS; PROSTATE; IDENTIFICATION; DISEASE; LOCALIZATION; CLEAVAGE; MICE</t>
  </si>
  <si>
    <t xml:space="preserve">The transmembrane serine protease, TMPRSS2 is an important target in the treatment of seasonal influenza infections and contributes to prostate carcinogenesis and metastasis. In this study, the effect of the synthetic TMPRSS2 inhibitor I-432 on jejunal IPEC-J2 cell monolayers cultured on membrane inserts was characterized. Using a fluorogenic substrate, it was found that the apical addition of I-432 could suppress trypsin-like activity in the supernatants of IPEC-J2 cells. The inhibition of TMPRSS2 did not affect physiologically produced hydrogen peroxide levels in the apical and in basolateral compartments. Loss of expression of the TMPRSS2 serine protease domain (28kDa) was also observed when cells were pre-exposed to I-432. Partial decrease in immunofluorescent signal intensities derived from the altered distribution pattern of TMPRSS2 was detected after a 48h long incubation of IPEC-J2 cells with the inhibitor indicating the efficacy of TMPRSS2 inhibition via I-432 administration in vitro.</t>
  </si>
  <si>
    <t xml:space="preserve">[Paszti-Gere, Erzsebet; Czimmermann, Eszter] Szent Istvan Univ, Dept Pharmacol &amp; Toxicol, Fac Vet Sci, Istvan U 2, H-1078 Budapest, Hungary; [Ujhelyi, Gabriella] Semmelweis Univ, Fac Pharm, Budapest, Hungary; [Balla, Peter] Semmelweis Univ, Dept Pathol &amp; Expt Canc Res 1, Budapest, Hungary; [Maiwald, Alexander; Steinmetzer, Torsten] Philipps Univ Marburg, Inst Pharmaceut Chem, Fac Pharm, Marburg, Germany</t>
  </si>
  <si>
    <t xml:space="preserve">Hungarian University of Agriculture &amp; Life Sciences; Semmelweis University; Semmelweis University; Philipps University Marburg</t>
  </si>
  <si>
    <t xml:space="preserve">Pászti-Gere, E (corresponding author), Szent Istvan Univ, Dept Pharmacol &amp; Toxicol, Fac Vet Sci, Istvan U 2, H-1078 Budapest, Hungary.</t>
  </si>
  <si>
    <t xml:space="preserve">Gere.Erzsebet@aotk.szie.hu</t>
  </si>
  <si>
    <t xml:space="preserve">Janos Bolyai Research Scholarship of the Hungarian Academy of Sciences; Hungarian Scientific Research Fund [115685]; Academy of Finland (AKA) [115685] Funding Source: Academy of Finland (AKA)</t>
  </si>
  <si>
    <t xml:space="preserve">Janos Bolyai Research Scholarship of the Hungarian Academy of Sciences(Hungarian Academy of Sciences); Hungarian Scientific Research Fund(Orszagos Tudomanyos Kutatasi Alapprogramok (OTKA)); Academy of Finland (AKA)(Research Council of Finland)</t>
  </si>
  <si>
    <t xml:space="preserve">We are indebted to Dr. Jody Gookin and Dr. Stephen Stauffer, Department of Clinical Sciences, College of Veterinary Medicine, North Carolina State University, Raleigh, NC, USA for providing IPEC-J2 cells and for the valuable advice on handling them and to Dr. Nora Meggyeshazi, Semmelweis University, 1st Department of Pathology and Experimental Cancer Research for contributing to taking fluorescent images of the IPEC-J2 samples. This project was supported by the Janos Bolyai Research Scholarship of the Hungarian Academy of Sciences and by the Hungarian Scientific Research Fund [grant number 115685].</t>
  </si>
  <si>
    <t xml:space="preserve">1475-6366</t>
  </si>
  <si>
    <t xml:space="preserve">1475-6374</t>
  </si>
  <si>
    <t xml:space="preserve">J ENZYM INHIB MED CH</t>
  </si>
  <si>
    <t xml:space="preserve">J. Enzym. Inhib. Med. Chem.</t>
  </si>
  <si>
    <t xml:space="preserve">10.1080/14756366.2016.1193732</t>
  </si>
  <si>
    <t xml:space="preserve">Biochemistry &amp; Molecular Biology; Chemistry, Medicinal</t>
  </si>
  <si>
    <t xml:space="preserve">EF6AE</t>
  </si>
  <si>
    <t xml:space="preserve">WOS:000390410800015</t>
  </si>
  <si>
    <t xml:space="preserve">Prabhakar, SKM; Ramaswamy, S; Basavarajachar, V; Chakraborty, A; Shivananjiah, A; Chikkavenkatappa, N</t>
  </si>
  <si>
    <t xml:space="preserve">Prabhakar, Swathi Karanth Marsur; Ramaswamy, Swapna; Basavarajachar, Vanitha; Chakraborty, Anushree; Shivananjiah, Akshata; Chikkavenkatappa, Nagaraja</t>
  </si>
  <si>
    <t xml:space="preserve">Can Some Viral Respiratory Infections Observed Before the Pandemic Announcement Be Related to SARS-CoV-2?</t>
  </si>
  <si>
    <t xml:space="preserve">THORACIC RESEARCH AND PRACTICE</t>
  </si>
  <si>
    <t xml:space="preserve">2019 novel coronavirus disease; polymerase chain reaction; non-severe acute respiratory syndrome; pandemic; severe acute respiratory syndrome coronavirus 2</t>
  </si>
  <si>
    <t xml:space="preserve">OBJECTIVE: There have been doubts that SARS-CoV-2 has been circulating before the first case was announced. The aim of this study was to evaluate the possibility of COVID-19 in some cases diagnosed to be viral respiratory tract infection in the pre-pandemic period in our center.MATERIAL AND METHODS: Patients who were admitted to our hospital's pulmonary diseases, infectious diseases, and intensive care clinics with the diagnosis of viral respiratory system infection within a 6-month period between October 2019 and March 12, 2020, were screened. Around 248 archived respiratory samples from these patients were analyzed for SARS-CoV-2 ribonucleic acid by real-time-quantitative polymerase chain reaction. The clinical, laboratory, and radiological data of the patients were evaluated. RESULTS: The mean age of the study group was 47.5 (18-89 years); 103 (41.5%) were female and 145 (58.4%) were male. The most com-mon presenting symptoms were cough in 51.6% (n = 128), fever in 42.7% (n = 106), and sputum in 27.0% (n = 67). Sixty-nine percent (n = 172) of the patients were pre-diagnosed to have upper respiratory tract infection and 22.0% (n = 55) had pneumonia, one-third of the patients (n = 84, 33.8%) were followed in the service. Respiratory viruses other than SARS-CoV-2 were detected in 123 (49.6%) patients. Influenza virus (31.9%), rhinovirus (10.5%), and human metapneumovirus (6.5%) were the most common pathogens, while none of the samples were positive for SARS-CoV-2 RNA. Findings that could be significant for COVID-19 pneumonia were detected in the thorax computed tomography of 7 cases. CONCLUSION: The negative SARS-CoV-2 real-time-quantitative polymerase chain reaction results in the respiratory samples of the cases followed up in our hospital for viral pneumonia during the pre-pandemic period support that there was no COVID-19 among our cases during the period in question. However, if clinical suspicion arises, both SARS and non-SARS respiratory viral pathogens should be considered for differential diagnosis.</t>
  </si>
  <si>
    <t xml:space="preserve">[Prabhakar, Swathi Karanth Marsur; Ramaswamy, Swapna; Chakraborty, Anushree; Shivananjiah, Akshata] Rajiv Gandhi Inst Chest Dis, Shanthabai Devarao Shivaram TB Res Ctr, Dept Pulm Med, Bangalore, Karnataka, India; [Basavarajachar, Vanitha] Swami Vivekananda Youth Movement, Global Fund Fight AIDS TB &amp; Malaria GFATM Projects, Bangalore, Karnataka, India; [Chikkavenkatappa, Nagaraja] Rajiv Gandhi Inst Chest Dis, Shanthabai Devarao Shivaram TB Res Ctr, Bangalore, Karnataka, India</t>
  </si>
  <si>
    <t xml:space="preserve">Ramaswamy, S (corresponding author), Rajiv Gandhi Inst Chest Dis, Shanthabai Devarao Shivaram TB Res Ctr, Dept Pulm Med, Bangalore, Karnataka, India.</t>
  </si>
  <si>
    <t xml:space="preserve">swapnar1209@gmail.com</t>
  </si>
  <si>
    <t xml:space="preserve">AVES</t>
  </si>
  <si>
    <t xml:space="preserve">SISLI</t>
  </si>
  <si>
    <t xml:space="preserve">BUYUKDERE CAD 105-9, MECIDIYEKOY, SISLI, ISTANBUL 34394, TURKEY</t>
  </si>
  <si>
    <t xml:space="preserve">2979-9139</t>
  </si>
  <si>
    <t xml:space="preserve">THORAC RES PRACT</t>
  </si>
  <si>
    <t xml:space="preserve">Thorac. Res. Pract.</t>
  </si>
  <si>
    <t xml:space="preserve">10.5152/ThoracResPract.2023.22187</t>
  </si>
  <si>
    <t xml:space="preserve">J7AJ9</t>
  </si>
  <si>
    <t xml:space="preserve">WOS:001011106100006</t>
  </si>
  <si>
    <t xml:space="preserve">Huijts, SM; Coenjaerts, FEJ; Bolkenbaas, M; van Werkhoven, CH; Grobbee, DE; Bonten, MJM</t>
  </si>
  <si>
    <t xml:space="preserve">Huijts, S. M.; Coenjaerts, F. E. J.; Bolkenbaas, M.; van Werkhoven, C. H.; Grobbee, D. E.; Bonten, M. J. M.</t>
  </si>
  <si>
    <t xml:space="preserve">CAPiTA Study Team</t>
  </si>
  <si>
    <t xml:space="preserve">The impact of 13-valent pneumococcal conjugate vaccination on virus-associated community-acquired pneumonia in elderly Exploratory analysis of the CAPiTA trial</t>
  </si>
  <si>
    <t xml:space="preserve">13-valent pneumococcal conjugate vaccine; Community-acquired pneumonia; Influenza virus; Viral community-acquired pneumonia; Viral pneumonia</t>
  </si>
  <si>
    <t xml:space="preserve">STREPTOCOCCUS-PNEUMONIAE; RESPIRATORY VIRUSES; INFLUENZA-VIRUS; DISEASE; ADULTS</t>
  </si>
  <si>
    <t xml:space="preserve">Objectives: Our objective was to evaluate whether vaccination with the 13-valent pneumococcal conjugate vaccine (PCV13) prevents the incidence of community-acquired pneumonia (CAP) caused by influenza (influenza-associated CAP, IA-CAP) or other respiratory viruses in the elderly. Methods: This analysis was part of the Community-Acquired Pneumonia immunization Trial in Adults (CAPiTA); a double blind, randomized, placebo-controlled trial in 84 496 immunocompetent individuals aged &gt;= 65 years. CAP was defined by clinical and radiological criteria, and oropharyngeal swabs were collected from all individuals referred to a sentinel centre with a clinical suspicion of pneumonia. Presence of influenza A and B, parainfluenza 1, 2, 3 and 4, human adeno-, boca-, corona-, metapneumo-, rhino-and respiratory syncytial viruses was determined by real-time PCR. Results: Of 3209 episodes of suspected pneumonia, viral aetiology was tested in 2917 and proportions with influenza virus, human metapneumovirus and respiratory syncytial virus were 4.6%, 2.5% and 3.1%, respectively. There were 1653 oropharyngeal swabs for PCR testing available from 1814 episodes that fulfilled criteria for CAP, yielding 23 first episodes of IA-CAP in the PCV13 and 35 in the in placebo group-vaccine efficacy for IA-CAP of 34.4% (95% CI -11.1% to 61.2%; p 0.117). Annual influenza vaccination was received by 672 (87.2%) in the PCV13 group and 719 (87.7%) in the placebo group of the confirmed CAP cases. Conclusion: In a randomized study of 84 496 elderly individuals with a high uptake of influenza vaccination, PCV13 was not associated with a statistically significant reduction of influenza or virus-associated CAP. Overall incidence of non-influenza viral pneumonia was low. (c) 2017 The Authors. Published by Elsevier Ltd on behalf of European Society of Clinical Microbiology and Infectious Diseases.</t>
  </si>
  <si>
    <t xml:space="preserve">[Huijts, S. M.] UMC Utrecht, Dept Resp Med, Utrecht, Netherlands; [Huijts, S. M.; Bolkenbaas, M.; van Werkhoven, C. H.; Grobbee, D. E.; Bonten, M. J. M.] UMC Utrecht, Julius Ctr Hlth Sci &amp; Primary Care, Utrecht, Netherlands; [Coenjaerts, F. E. J.; Bonten, M. J. M.] UMC Utrecht, Dept Med Microbiol, Utrecht, Netherlands; [Grobbee, D. E.] Julius Clin, Zeist, Netherlands</t>
  </si>
  <si>
    <t xml:space="preserve">Utrecht University; Utrecht University Medical Center; Utrecht University; Utrecht University Medical Center; Utrecht University; Utrecht University Medical Center</t>
  </si>
  <si>
    <t xml:space="preserve">Huijts, SM (corresponding author), Univ Med Ctr Utrecht, Dept Resp Med, Internal Post E-03-511,POB 85500, NL-3508 GA Utrecht, Netherlands.</t>
  </si>
  <si>
    <t xml:space="preserve">s.m.huijts@umcutrecht.nl</t>
  </si>
  <si>
    <t xml:space="preserve">van Werkhoven, Henri/F-7915-2013; Grobbee, Diederick/C-7651-2014</t>
  </si>
  <si>
    <t xml:space="preserve">The Community-Acquired Pneumonia immunization Trial in Adults (CAPiTA) was sponsored by Pfizer.</t>
  </si>
  <si>
    <t xml:space="preserve">10.1016/j.cmi.2017.10.006</t>
  </si>
  <si>
    <t xml:space="preserve">GL0FM</t>
  </si>
  <si>
    <t xml:space="preserve">WOS:000436640800018</t>
  </si>
  <si>
    <t xml:space="preserve">Human metapneumovirus pneumonia in adults: Results of a prospective study</t>
  </si>
  <si>
    <t xml:space="preserve">Human metapneumovirus; Medicine; Metapneumovirus; Pneumonia</t>
  </si>
  <si>
    <t xml:space="preserve">COMMUNITY-ACQUIRED PNEUMONIA; RESPIRATORY-TRACT INFECTIONS; TERM-CARE FACILITY; OUTBREAK; DISEASE; YOUNG</t>
  </si>
  <si>
    <t xml:space="preserve">We prospectively collected clinical, laboratory, and radiographic data regarding community-acquired human metapneumovirus (hMPV) infection in consecutive adults hospitalized with pneumonia. hMPV infection was diagnosed using highly accurate reverse-transcription-polymerase chain reaction analysis of nasopharyngeal samples. Eight (4%) of 193 patients had hMPV RNA present, all detected during influenza season. hMPV is an important cause of pneumonia in adults.</t>
  </si>
  <si>
    <t xml:space="preserve">[Johnstone, Jennie; Majumdar, Sumit R.; Marrie, Thomas J.] Univ Alberta Hosp, Fac Med Dent, Div Infect Dis, Dept Med, Edmonton, AB T6G 2R7, Canada; [Fox, Julie D.] Univ Calgary, Provincial Lab Publ Hlth Microbiol, Calgary, AB, Canada</t>
  </si>
  <si>
    <t xml:space="preserve">University of Alberta; University of Calgary</t>
  </si>
  <si>
    <t xml:space="preserve">Marrie, TJ (corresponding author), Univ Alberta Hosp, Fac Med Dent, Div Infect Dis, Dept Med, 8440 112th St,2J2 00 WC Mackenzie Hlth Sci Ctr, Edmonton, AB T6G 2R7, Canada.</t>
  </si>
  <si>
    <t xml:space="preserve">UNIV CHICAGO PRESS</t>
  </si>
  <si>
    <t xml:space="preserve">1427 E 60TH ST, CHICAGO, IL 60637-2954 USA</t>
  </si>
  <si>
    <t xml:space="preserve">10.1086/526776</t>
  </si>
  <si>
    <t xml:space="preserve">254WB</t>
  </si>
  <si>
    <t xml:space="preserve">WOS:000252617600015</t>
  </si>
  <si>
    <t xml:space="preserve">Taniguchi, A; Kawada, J; Go, K; Fujishiro, N; Hosokawa, Y; Maki, Y; Sugiyama, Y; Suzuki, M; Tsuji, T; Hoshino, S; Muramatsu, H; Kidokoro, H; Kinoshita, F; Hirakawa, A; Takahashi, Y; Sato, Y; Natsume, J; Yamakawa, K; Okumura, A; Kato, T; Nagai, N; Moriyama, M; Miyajima, Y; Yamamori, K; Shibata, M; Hasegawa, M; Shinohara, O; Nishimura, N; Aoshima, T; Morishita, M; Nomura, Y; Kuraishi, K</t>
  </si>
  <si>
    <t xml:space="preserve">Taniguchi, Akinobu; Kawada, Jun-ichi; Go, Kiyotaka; Fujishiro, Naozumi; Hosokawa, Yosuke; Maki, Yuki; Sugiyama, Yuichiro; Suzuki, Michio; Tsuji, Takeshi; Hoshino, Shin; Muramatsu, Hideki; Kidokoro, Hiroyuki; Kinoshita, Fumie; Hirakawa, Akihiro; Takahashi, Yoshiyuki; Sato, Yoshiaki; Natsume, Jun; Yamakawa, Kiyoshi; Okumura, Akihisa; Kato, Toru; Nagai, Noriko; Moriyama, Miyako; Miyajima, Yuji; Yamamori, Kazuki; Shibata, Motohiro; Hasegawa, Masayuki; Shinohara, Osamu; Nishimura, Naoko; Aoshima, Tsutomu; Morishita, Masashi; Nomura, Yoji; Kuraishi, Kenji</t>
  </si>
  <si>
    <t xml:space="preserve">Nagoya Collaborative Clinical Res</t>
  </si>
  <si>
    <t xml:space="preserve">Comparison of Clinical Characteristics of Human Metapneumovirus and Respiratory Syncytial Virus Infections in Hospitalized Young Children</t>
  </si>
  <si>
    <t xml:space="preserve">JAPANESE JOURNAL OF INFECTIOUS DISEASES</t>
  </si>
  <si>
    <t xml:space="preserve">Human metapneumovirus; Medicine; Pneumonia; Bronchiolitis; Respiratory system; Lower respiratory tract infection</t>
  </si>
  <si>
    <t xml:space="preserve">TRACT INFECTIONS; DISEASE; PCR</t>
  </si>
  <si>
    <t xml:space="preserve">Human metapneumovirus (HMPV) and respiratory syncytial virus (RSV) are the leading causes of acute respiratory tract infection in children, and clinical manifestations of these virus infections are considered similar. To investigate the differences in clinical characteristics between HMPV and RSV infections in young children, we prospectively enrolled children &lt; 3 years old who required hospitalization with acute respiratory tract infection due to HMPV or RSV at 10 hospitals in Japan. We enrolled 48 children with HMPV infection and 141 with RSV infection. Patients with HMPV infection were older than those with RSV infection. High-grade fever was more frequently observed in patients with HMPV infection, whereas no significant differences in respiratory symptoms were apparent. Abnormal serum lactate dehydrogenase values and consolidation shadows on chest X-ray were more frequently observed in patients with HMPV infection. During hospitalization, nasal mucus suction was more frequently required in patients with RSV infection. On the other hand, beta 2-adrenergic agonists, corticosteroids, and leukotriene receptor antagonists were more frequently used in patients with HMPV infection. These findings suggest that HMPV and RSV infections show similar respiratory symptoms, but HMPV infection is more likely to lead to the development of pneumonia, at least among hospitalized young children.</t>
  </si>
  <si>
    <t xml:space="preserve">[Taniguchi, Akinobu; Kawada, Jun-ichi; Go, Kiyotaka; Fujishiro, Naozumi; Hosokawa, Yosuke; Maki, Yuki; Sugiyama, Yuichiro; Muramatsu, Hideki; Kidokoro, Hiroyuki; Takahashi, Yoshiyuki; Sato, Yoshiaki; Natsume, Jun] Nagoya Univ, Grad Sch Med, Dept Pediat, Nagoya, Aichi 4668550, Japan; [Natsume, Jun] Nagoya Univ, Dept Dev Disabil Med, Grad Sch Med, Nagoya, Aichi 4668550, Japan; [Taniguchi, Akinobu] Ogaki Municipal Hosp, Dept Neonatol, Ogaki 5038502, Japan; [Suzuki, Michio] Nagoya Mem Hosp, Dept Pediat, Nagoya, Aichi 4680011, Japan; [Tsuji, Takeshi] Okazaki City Hosp, Dept Pediat, Okazaki, Aichi 4448553, Japan; [Hoshino, Shin] Kasugai City Hosp, Dept Pediat, Kasugai, Aichi 4868510, Japan; [Kinoshita, Fumie; Hirakawa, Akihiro] Nagoya Univ Hosp, Ctr Adv Med &amp; Clin Res, Nagoya, Aichi 4668550, Japan; [Sato, Yoshiaki] Nagoya Univ Hosp, Div Neonatol, Ctr Maternal Neonatal Care, Nagoya, Aichi 4668550, Japan; [Hirakawa, Akihiro] Univ Tokyo, Dept Biostat &amp; Bioinformat, Grad Sch Med, Tokyo 1138655, Japan; [Yamakawa, Kiyoshi; Okumura, Akihisa] Aichi Med Univ Hosp, Nagakute, Aichi, Japan; [Kato, Toru; Nagai, Noriko] Okazaki City Hosp, Okazaki, Aichi, Japan; [Moriyama, Miyako; Miyajima, Yuji] Anjo Kosei Hosp, Anjo, Aichi, Japan; [Yamamori, Kazuki; Shibata, Motohiro] Chukyo Hosp, Nagoya, Aichi, Japan; [Hasegawa, Masayuki] Nagoya Ekisaikai Hosp, Nagoya, Aichi, Japan; [Shinohara, Osamu] Handa City Hosp, Handa, Aichi, Japan; [Nishimura, Naoko] Konan Kosei Hosp, Konan, Aichi, Japan; [Aoshima, Tsutomu] Nishichita Gen Hosp, Tokai, Aichi, Japan; [Morishita, Masashi] Tosei Gen Hosp, Seto, Aichi, Japan; [Nomura, Yoji; Kuraishi, Kenji] Ogaki Municipal Hosp, Ogaki, Gifu, Japan</t>
  </si>
  <si>
    <t xml:space="preserve">Nagoya University; Nagoya University; Ogaki Municipal Hospital; Nagoya University; Nagoya University; University of Tokyo; Aichi Medical University; Tosei General Hospital; Ogaki Municipal Hospital</t>
  </si>
  <si>
    <t xml:space="preserve">Kawada, J (corresponding author), Nagoya Univ, Grad Sch Med, Dept Pediat, Showa Ku, 65 Tsurumai Cho, Nagoya, Aichi 4668550, Japan.</t>
  </si>
  <si>
    <t xml:space="preserve">kawadaj@med.nagoya-u.ac.jp</t>
  </si>
  <si>
    <t xml:space="preserve">Hirakawa, Akihiro/HSE-0043-2023; Sugiyama, Yuichiro/ACL-4288-2022; Kinoshita, Fumie/A-3506-2016; Muramatsu, Hideki/ABA-3376-2021; Sato, Yoshiaki/I-7414-2014; Kidokoro, Hiroyuki/AGN-1205-2022; Kawada, Jun-ichi/I-7322-2014</t>
  </si>
  <si>
    <t xml:space="preserve">Muramatsu, Hideki/0000-0002-8801-0021; Sugiyama, Yuichiro/0000-0001-5825-0991; Sato, Yoshiaki/0000-0001-6320-9176; Kawada, Jun-ichi/0000-0003-1553-2539</t>
  </si>
  <si>
    <t xml:space="preserve">NATL INST INFECTIOUS DISEASES</t>
  </si>
  <si>
    <t xml:space="preserve">JPN J INFECT DIS ED OFF NATL INST INFECTIOUS DISEASES TOYAMA 1-23-1, SHINJUKU-KU, TOKYO, 162-8640, JAPAN</t>
  </si>
  <si>
    <t xml:space="preserve">1344-6304</t>
  </si>
  <si>
    <t xml:space="preserve">1884-2836</t>
  </si>
  <si>
    <t xml:space="preserve">JPN J INFECT DIS</t>
  </si>
  <si>
    <t xml:space="preserve">Jpn. J. Infect. Dis.</t>
  </si>
  <si>
    <t xml:space="preserve">10.7883/yoken.JJID.2018.480</t>
  </si>
  <si>
    <t xml:space="preserve">IP9LA</t>
  </si>
  <si>
    <t xml:space="preserve">WOS:000480370400005</t>
  </si>
  <si>
    <t xml:space="preserve">Edwards, KM; Zhu, YW; Griffin, MR; Weinberg, GA; Hall, CB; Szilagyi, PG; Staat, MA; Iwane, M; Prill, MM; Williams, JV</t>
  </si>
  <si>
    <t xml:space="preserve">Edwards, Kathryn M.; Zhu, Yuwei; Griffin, Marie R.; Weinberg, Geoffrey A.; Hall, Caroline B.; Szilagyi, Peter G.; Staat, Mary A.; Iwane, Marika; Prill, Mila M.; Williams, John V.</t>
  </si>
  <si>
    <t xml:space="preserve">Burden of Human Metapneumovirus Infection in Young Children</t>
  </si>
  <si>
    <t xml:space="preserve">NEW ENGLAND JOURNAL OF MEDICINE</t>
  </si>
  <si>
    <t xml:space="preserve">Medicine; Emergency department; Human metapneumovirus; Pediatrics; Population; Asymptomatic; Pneumonia; Outpatient clinic; Asthma</t>
  </si>
  <si>
    <t xml:space="preserve">RESPIRATORY SYNCYTIAL VIRUS; OBSTRUCTIVE PULMONARY-DISEASE; LUNG-TRANSPLANT RECIPIENTS; POLYMERASE-CHAIN-REACTION; TERM-CARE FACILITY; HOSPITALIZED CHILDREN; TRACT INFECTIONS; HEMATOLOGIC MALIGNANCIES; INFLUENZA-VIRUS; VIRAL LOAD</t>
  </si>
  <si>
    <t xml:space="preserve">BACKGROUND The inpatient and outpatient burden of human metapneumovirus (HMPV) infection among young children has not been well established. METHODS We conducted prospective, population-based surveillance for acute respiratory illness or fever among inpatient and outpatient children less than 5 years of age in three U.S. counties from 2003 through 2009. Clinical and demographic data were obtained from parents and medical records, HMPV was detected by means of a reverse-transcriptase polymerase-chain-reaction assay, and population-based rates of hospitalization and estimated rates of outpatient visits associated with HMPV infection were determined. RESULTS HMPV was detected in 200 of 3490 hospitalized children (6%), 222 of 3257 children in outpatient clinics (7%), 224 of 3001 children in the emergency department (7%), and 10 of 770 asymptomatic controls (1%). Overall annual rates of hospitalization associated with HMPV infection were 1 per 1000 children less than 5 years of age, 3 per 1000 infants less than 6 months of age, and 2 per 1000 children 6 to 11 months of age. Children hospitalized with HMPV infection, as compared with those hospitalized without HMPV infection, were older and more likely to receive a diagnosis of pneumonia or asthma, to require supplemental oxygen, and to have a longer stay in the intensive care unit. The estimated annual burden of outpatient visits associated with HMPV infection was 55 clinic visits and 13 emergency department visits per 1000 children. The majority of HMPV-positive inpatient and outpatient children had no underlying medical conditions, although premature birth and asthma were more frequent among hospitalized children with HMPV infection than among those without HMPV infection. CONCLUSIONS HMPV infection is associated with a substantial burden of hospitalizations and outpatient visits among children throughout the first 5 years of life, especially during the first year. Most children with HMPV infection were previously healthy.</t>
  </si>
  <si>
    <t xml:space="preserve">[Edwards, Kathryn M.; Williams, John V.] Vanderbilt Univ, Sch Med, Dept Pediat, Nashville, TN 37232 USA; [Zhu, Yuwei] Vanderbilt Univ, Sch Med, Dept Biostat, Nashville, TN 37232 USA; [Griffin, Marie R.] Vanderbilt Univ, Sch Med, Dept Prevent Med, Nashville, TN 37232 USA; [Williams, John V.] Vanderbilt Univ, Sch Med, Dept Pathol Microbiol &amp; Immunol, Nashville, TN 37232 USA; [Weinberg, Geoffrey A.; Hall, Caroline B.; Szilagyi, Peter G.] Univ Rochester, Sch Med &amp; Dent, Dept Pediat, Rochester, NY 14642 USA; [Hall, Caroline B.] Univ Rochester, Sch Med &amp; Dent, Dept Med, Rochester, NY 14642 USA; [Staat, Mary A.] Cincinnati Childrens Hosp, Dept Pediat, Cincinnati, OH USA; [Iwane, Marika; Prill, Mila M.] Ctr Dis Control &amp; Prevent, Natl Ctr Immunizat &amp; Resp Dis, Atlanta, GA USA</t>
  </si>
  <si>
    <t xml:space="preserve">Vanderbilt University; Vanderbilt University; Vanderbilt University; Vanderbilt University; University of Rochester; University of Rochester; Cincinnati Children's Hospital Medical Center; Centers for Disease Control &amp; Prevention - USA</t>
  </si>
  <si>
    <t xml:space="preserve">Williams, JV (corresponding author), Vanderbilt Univ, Med Ctr, D-7235 Med Ctr N,1161 21st Ave S, Nashville, TN 37232 USA.</t>
  </si>
  <si>
    <t xml:space="preserve">Centers for Disease Control and Prevention; National Institutes of Health</t>
  </si>
  <si>
    <t xml:space="preserve">Centers for Disease Control and Prevention(United States Department of Health &amp; Human ServicesCenters for Disease Control &amp; Prevention - USA); National Institutes of Health(United States Department of Health &amp; Human ServicesNational Institutes of Health (NIH) - USA)</t>
  </si>
  <si>
    <t xml:space="preserve">Funded by the Centers for Disease Control and Prevention and the National Institutes of Health.)</t>
  </si>
  <si>
    <t xml:space="preserve">MASSACHUSETTS MEDICAL SOC</t>
  </si>
  <si>
    <t xml:space="preserve">WALTHAM</t>
  </si>
  <si>
    <t xml:space="preserve">WALTHAM WOODS CENTER, 860 WINTER ST,, WALTHAM, MA 02451-1413 USA</t>
  </si>
  <si>
    <t xml:space="preserve">0028-4793</t>
  </si>
  <si>
    <t xml:space="preserve">NEW ENGL J MED</t>
  </si>
  <si>
    <t xml:space="preserve">N. Engl. J. Med.</t>
  </si>
  <si>
    <t xml:space="preserve">10.1056/NEJMoa1204630</t>
  </si>
  <si>
    <t xml:space="preserve">194VA</t>
  </si>
  <si>
    <t xml:space="preserve">WOS:000322659600008</t>
  </si>
  <si>
    <t xml:space="preserve">Chakraborty, K; Zhou, ZH; Wakamatsu, N; Guerrero-Plata, A</t>
  </si>
  <si>
    <t xml:space="preserve">Chakraborty, Krishnendu; Zhou, Zehua; Wakamatsu, Nobuko; Guerrero-Plata, Antonieta</t>
  </si>
  <si>
    <t xml:space="preserve">Interleukin-12p40 Modulates Human Metapneumovirus-Induced Pulmonary Disease in an Acute Mouse Model of Infection</t>
  </si>
  <si>
    <t xml:space="preserve">PLOS ONE</t>
  </si>
  <si>
    <t xml:space="preserve">Human metapneumovirus; Immune system; Immunology; Metapneumovirus; Cytokine; Biology</t>
  </si>
  <si>
    <t xml:space="preserve">RESPIRATORY SYNCYTIAL VIRUS; IL-12 P40 HOMODIMER; IN-VITRO; GENE-EXPRESSION; IFN-GAMMA; AIRWAY HYPERRESPONSIVENESS; MYCOBACTERIUM-TUBERCULOSIS; MONOCYTIC CELLS; INTERFERON; CHILDREN</t>
  </si>
  <si>
    <t xml:space="preserve">The mechanisms that regulate the host immune response induced by human metapneumovirus (hMPV), a newly-recognized member of the Paramyxoviridae family, are largely unknown. Cytokines play an important role in modulating inflammatory responses during viral infections. IL-12p40, a known important mediator in limiting lung inflammation, is induced by hMPV and its production is sustained after the resolution phase of infection suggesting that this cytokine plays a role in the immune response against hMPV. In this work, we demonstrated that in mice deficient in IL-12p40, hMPV infection induced an exacerbated pulmonary inflammatory response and mucus production, altered cytokine response, and decreased lung function. However, hMPV infection in these mice does not have an effect on viral replication. These results identify an important regulatory role of IL-12p40 in hMPV infection.</t>
  </si>
  <si>
    <t xml:space="preserve">[Chakraborty, Krishnendu; Zhou, Zehua; Wakamatsu, Nobuko; Guerrero-Plata, Antonieta] Louisiana State Univ, Dept Pathobiol Sci, Baton Rouge, LA 70803 USA; [Guerrero-Plata, Antonieta] Louisiana State Univ, Ctr Expt Infect Dis Res, Baton Rouge, LA 70803 USA</t>
  </si>
  <si>
    <t xml:space="preserve">Chakraborty, K (corresponding author), Louisiana State Univ, Dept Pathobiol Sci, Baton Rouge, LA 70803 USA.</t>
  </si>
  <si>
    <t xml:space="preserve">National Institute of Allergy and Infectious Diseases [1R03AI08117]; National Center for Research Resources [5P20RR020159-09]; National Institute of General Medical Sciences from the National Institutes of Health [8 P20 GM103458-09]; Louisiana State University-Competitive Research Program [LAV-3016]</t>
  </si>
  <si>
    <t xml:space="preserve">National Institute of Allergy and Infectious Diseases(United States Department of Health &amp; Human ServicesNational Institutes of Health (NIH) - USANIH National Institute of Allergy &amp; Infectious Diseases (NIAID)); National Center for Research Resources(United States Department of Health &amp; Human ServicesNational Institutes of Health (NIH) - USANIH National Center for Research Resources (NCRR)); National Institute of General Medical Sciences from the National Institutes of Health; Louisiana State University-Competitive Research Program</t>
  </si>
  <si>
    <t xml:space="preserve">This research work was supported by Grants from the National Institute of Allergy and Infectious Diseases 1R03AI08117, the National Center for Research Resources 5P20RR020159-09, and the National Institute of General Medical Sciences 8 P20 GM103458-09 from the National Institutes of Health and the Louisiana State University-Competitive Research Program Award LAV-3016 (AG-P). The funders had no role in study design, data collection and analysis, decision to publish, or preparation of the manuscript.</t>
  </si>
  <si>
    <t xml:space="preserve">PUBLIC LIBRARY SCIENCE</t>
  </si>
  <si>
    <t xml:space="preserve">SAN FRANCISCO</t>
  </si>
  <si>
    <t xml:space="preserve">1160 BATTERY STREET, STE 100, SAN FRANCISCO, CA 94111 USA</t>
  </si>
  <si>
    <t xml:space="preserve">1932-6203</t>
  </si>
  <si>
    <t xml:space="preserve">PLoS One</t>
  </si>
  <si>
    <t xml:space="preserve">e37173</t>
  </si>
  <si>
    <t xml:space="preserve">10.1371/journal.pone.0037173</t>
  </si>
  <si>
    <t xml:space="preserve">959UF</t>
  </si>
  <si>
    <t xml:space="preserve">WOS:000305339400075</t>
  </si>
  <si>
    <t xml:space="preserve">Williams, JV; Crowe, JE; Enriquez, R; Minton, P; Peebles, RS; Hamilton, RG; Higgins, S; Griffin, M; Hartert, TV</t>
  </si>
  <si>
    <t xml:space="preserve">Human metapneumovirus infection plays an etiologic role in acute asthma exacerbations requiring hospitalization in adults</t>
  </si>
  <si>
    <t xml:space="preserve">Human metapneumovirus; Medicine; Asthma; Odds ratio; Exacerbation; Confidence interval; Metapneumovirus</t>
  </si>
  <si>
    <t xml:space="preserve">CHILDREN; RHINOVIRUS; VIRUSES; DISEASE</t>
  </si>
  <si>
    <t xml:space="preserve">We determined the prevalence of human metapneumovirus (hMPV) infection in adults with asthma who were prospectively enrolled after hospitalization for an acute asthma exacerbation. Nasal wash specimens collected at admission and 3 months after discharge were tested for hMPV by real-time reverse-transcription polymerase chain reaction assays. hMPV was detected in 7 (6.9%) of 101 subjects at hospitalization and in 1 (1.3%) of 75 subjects at follow-up ( odds ratio, 7 [95% confidence interval, 0.9-312]; P = 0.3). None of the patients with hMPV infection at hospitalization tested positive at follow-up, strongly suggesting that hMPV plays a direct etiologic role in acute asthma exacerbations.</t>
  </si>
  <si>
    <t xml:space="preserve">Vanderbilt Univ, Med Ctr, Dept Med, Div Allergy Pulm &amp; Crit Care Med,Ctr Hlth Serv Re, Nashville, TN 37232 USA; Vanderbilt Univ, Med Ctr, Dept Pediat, Nashville, TN 37232 USA; Vanderbilt Univ, Med Ctr, Dept Microbiol &amp; Immunol, Nashville, TN 37232 USA; Vanderbilt Univ, Med Ctr, Dept Prevent Med, Nashville, TN 37232 USA; Johns Hopkins Univ, Sch Med, Div Clin Immunol, Baltimore, MD USA</t>
  </si>
  <si>
    <t xml:space="preserve">Vanderbilt University; Vanderbilt University; Vanderbilt University; Vanderbilt University; Johns Hopkins University</t>
  </si>
  <si>
    <t xml:space="preserve">Vanderbilt Univ, Med Ctr, Dept Med, Div Allergy Pulm &amp; Crit Care Med,Ctr Hlth Serv Re, Ste 6100 MCE, Nashville, TN 37232 USA.</t>
  </si>
  <si>
    <t xml:space="preserve">Hamilton, robert/HJH-2563-2023; Williams, John/ABE-3227-2020; Crowe, James/B-5549-2009; Williams, John/F-6962-2010</t>
  </si>
  <si>
    <t xml:space="preserve">Crowe, James/0000-0002-0049-1079; Williams, John/0000-0001-8377-5175</t>
  </si>
  <si>
    <t xml:space="preserve">NCRR NIH HHS [M01 RR000095, M01 RR 00095] Funding Source: Medline; NIAID NIH HHS [R03 AI 54790, K08 AI 001582, R03 AI054790] Funding Source: Medline</t>
  </si>
  <si>
    <t xml:space="preserve">10.1086/444392</t>
  </si>
  <si>
    <t xml:space="preserve">960WK</t>
  </si>
  <si>
    <t xml:space="preserve">WOS:000231623700004</t>
  </si>
  <si>
    <t xml:space="preserve">Samuel, S; Nanjappa, S; Cooper, CD; Greene, JN</t>
  </si>
  <si>
    <t xml:space="preserve">Samuel, Sharmeen; Nanjappa, Sowmya; Cooper, Christopher D.; Greene, John N.</t>
  </si>
  <si>
    <t xml:space="preserve">Human Metapneumovirus Infection in Immunocompromised Patients</t>
  </si>
  <si>
    <t xml:space="preserve">CANCER CONTROL</t>
  </si>
  <si>
    <t xml:space="preserve">Human metapneumovirus; Medicine; Metapneumovirus; Pneumovirinae; Virology</t>
  </si>
  <si>
    <t xml:space="preserve">RESPIRATORY-TRACT INFECTIONS; YOUNG-CHILDREN; PNEUMONIA; EPIDEMIOLOGY; RHINOVIRUS; RIBAVIRIN; DISEASE</t>
  </si>
  <si>
    <t xml:space="preserve">Human metapneumovirus (HMPV) is a pathogen associated with respiratory tract infection and is related to avian pneumovirus. Typically, children, the elderly, and those who are immunocompromised are the most susceptible to HMPV infection; however, the virus can infect persons of all ages. In otherwise healthy individuals, HMPV infection is generally self-limiting, but immunocompromised individuals can develop fatal complications. We present a case series of 3 severely immunocompromised patients who were infected with HMPV and describe their clinical course. All 3 patients had acute myeloid leukemia, histories of neutropenic fever, and prolonged hospitalization stays. This case series highlights the severe sequelae observed in individuals infected with HMPV, particularly among those who are immunocompromised.</t>
  </si>
  <si>
    <t xml:space="preserve">[Samuel, Sharmeen; Nanjappa, Sowmya] H Lee Moffitt Canc Ctr &amp; Res Inst, Dept Internal Med, Tampa, FL USA; [Greene, John N.] H Lee Moffitt Canc Ctr &amp; Res Inst, Dept Infect Dis, Tampa, FL USA; [Cooper, Christopher D.] Florida Hosp, Dept Infect Dis, Altamonte Springs, FL USA</t>
  </si>
  <si>
    <t xml:space="preserve">H Lee Moffitt Cancer Center &amp; Research Institute; H Lee Moffitt Cancer Center &amp; Research Institute; Adventist Health Services; AdventHealth; (AdventHealth) Central Florida Division; Central Florida Hospital - South; AdventHealth Altamonte Springs</t>
  </si>
  <si>
    <t xml:space="preserve">Greene, JN (corresponding author), H Lee Moffitt Canc Ctr &amp; Res Inst, Dept Infect Dis, 12902 Magnolia Dr,FOB-3 BMT PROG, Tampa, FL 33612 USA.</t>
  </si>
  <si>
    <t xml:space="preserve">John.Greene@Moffitt.org</t>
  </si>
  <si>
    <t xml:space="preserve">Cooper, Christopher/G-9982-2014</t>
  </si>
  <si>
    <t xml:space="preserve">1073-2748</t>
  </si>
  <si>
    <t xml:space="preserve">Cancer Control</t>
  </si>
  <si>
    <t xml:space="preserve">10.1177/107327481602300416</t>
  </si>
  <si>
    <t xml:space="preserve">EA8IY</t>
  </si>
  <si>
    <t xml:space="preserve">WOS:000386879700015</t>
  </si>
  <si>
    <t xml:space="preserve">Mullins, JA; Erdman, DD; Weinberg, GA; Edwards, K; Hall, CB; Walker, FJ; Iwane, M; Anderson, LJ</t>
  </si>
  <si>
    <t xml:space="preserve">Human metapneumovirus infection among children hospitalized with acute respiratory illness</t>
  </si>
  <si>
    <t xml:space="preserve">EMERGING INFECTIOUS DISEASES</t>
  </si>
  <si>
    <t xml:space="preserve">Human metapneumovirus; Medicine; Metapneumovirus</t>
  </si>
  <si>
    <t xml:space="preserve">TRACT INFECTIONS; DISEASE; YOUNG; AGE</t>
  </si>
  <si>
    <t xml:space="preserve">Recent studies have associated human metapneumovirus (HMPV) infection in children with respiratory disease of similar severity as respiratory syncytial virus (RSV) infection. We studied 668 banked swab specimens (one per admission) collected from a population-based, prospective study of acute respiratory illness among inpatient children from two U.S. cities. Specimens were tested for HMPV, RSV, influenza, and parainfluenza viruses by reverse transcription-polymerase chain reaction assays. Twenty-six (3.9%) were positive for HMPV; 125 (18.7%) for RSV; 45 (6.7%) for parainfluenza 1, 2, or 3; and 23 (3.4%) for influenza. HIMPV-positive children were significantly older than RSV-positive children. HMPV-positive children required medical intensive care and received supplemental oxygen in similar frequencies to RSV-positive children. Among children hospitalized with respiratory illness, the incidence of HMPV infection was less than RSV, but clinical disease severity mirrored that of RSV infection. Further investigations to better characterize HMPV infection and its clinical effect are needed.</t>
  </si>
  <si>
    <t xml:space="preserve">Ctr Dis Control &amp; Prevent, Atlanta, GA 30333 USA; Univ Rochester, Sch Med &amp; Dent, Rochester, NY 14627 USA; Vanderbilt Univ, Nashville, TN USA</t>
  </si>
  <si>
    <t xml:space="preserve">Centers for Disease Control &amp; Prevention - USA; University of Rochester; Vanderbilt University</t>
  </si>
  <si>
    <t xml:space="preserve">Ctr Dis Control &amp; Prevent, 1600 Clifton Rd,Maistop R34, Atlanta, GA 30333 USA.</t>
  </si>
  <si>
    <t xml:space="preserve">LAnderson@cdc.gov</t>
  </si>
  <si>
    <t xml:space="preserve">Weinberg, Geoffrey/W-7510-2019</t>
  </si>
  <si>
    <t xml:space="preserve">Weinberg, Geoffrey/0000-0002-3900-379X</t>
  </si>
  <si>
    <t xml:space="preserve">ODCDC CDC HHS [U38/CCU417958, U38/CCU217969] Funding Source: Medline</t>
  </si>
  <si>
    <t xml:space="preserve">ODCDC CDC HHS</t>
  </si>
  <si>
    <t xml:space="preserve">CENTERS DISEASE CONTROL &amp; PREVENTION</t>
  </si>
  <si>
    <t xml:space="preserve">ATLANTA</t>
  </si>
  <si>
    <t xml:space="preserve">1600 CLIFTON RD, ATLANTA, GA 30333 USA</t>
  </si>
  <si>
    <t xml:space="preserve">1080-6040</t>
  </si>
  <si>
    <t xml:space="preserve">1080-6059</t>
  </si>
  <si>
    <t xml:space="preserve">EMERG INFECT DIS</t>
  </si>
  <si>
    <t xml:space="preserve">Emerg. Infect. Dis</t>
  </si>
  <si>
    <t xml:space="preserve">10.3201/eid1004.030555</t>
  </si>
  <si>
    <t xml:space="preserve">808OO</t>
  </si>
  <si>
    <t xml:space="preserve">WOS:000220578600022</t>
  </si>
  <si>
    <t xml:space="preserve">Ji, W; Wang, YQ; Chen, ZR; Shao, XJ; Ji, ZH; Xu, J</t>
  </si>
  <si>
    <t xml:space="preserve">Ji, Wei; Wang, Yuqing; Chen, Zhengrong; Shao, Xuejun; Ji, Zhenghua; Xu, Jun</t>
  </si>
  <si>
    <t xml:space="preserve">Human metapneumovirus in children with acute respiratory tract infections in Suzhou, China 2005-2006</t>
  </si>
  <si>
    <t xml:space="preserve">Human metapneumovirus; Respiratory tract infections; Medicine; Metapneumovirus; Respiratory tract</t>
  </si>
  <si>
    <t xml:space="preserve">INFANTS; DISEASE; YOUNG</t>
  </si>
  <si>
    <t xml:space="preserve">This study was conducted to determine the seasonal distribution of human metapneumovirus (hMPV) infection in the Suzhou area of China, to discuss the epidemiological and clinical features of the disease, and to examine the genetic variation of the virus in China. From November 2005 to October 2006, a total of 1932 children with acute respiratory infections, admitted to the Children's Hospital Affiliated to Soochow University, were tested for the presence of hMPV using a reverse-transcription polymerase chain reaction. Of the 1932 collected samples, 128 (6.6%) tested positive for hMPV. Most hMPV-positive cases occurred during November 2005 to March 2006, with sporadic activity through the whole season. The main reported clinical manifestations in the children with hMPV infection were fever, cough, rhinorrhoea, and wheezing. Clinical diagnoses included upper respiratory tract infection (1.6%), laryngitis (3.3%), bronchiolitis (41.5%), pneumonia (47.1%), and asthma exacerbation (6.5%). Sequence analysis of the hMPV N genes showed 99-100% homology with the registered sequence in GenBank. hMPV circulates in the Suzhou area of China y-round, peaking in the period of lowest temperature. Clinical characteristics and diagnoses associated with hMPV infection are similar to other respiratory viral infections. The gene sequence of hMPV in China is highly homologous to those reported in GenBank.</t>
  </si>
  <si>
    <t xml:space="preserve">[Ji, Wei; Wang, Yuqing; Chen, Zhengrong] Soochow Univ, Dept Resp Med, Childrens Hosp, Suzhou 215003, Peoples R China; [Shao, Xuejun; Ji, Zhenghua; Xu, Jun] Soochow Univ, Clin Lab, Childrens Hosp, Suzhou 215003, Peoples R China</t>
  </si>
  <si>
    <t xml:space="preserve">Ji, W (corresponding author), Soochow Univ, Dept Resp Med, Childrens Hosp, 303 JingDe Rd, Suzhou 215003, Peoples R China.</t>
  </si>
  <si>
    <t xml:space="preserve">szdxjiwei@gmail.com</t>
  </si>
  <si>
    <t xml:space="preserve">Wang, yuqing/HIR-1604-2022; Chen, Zhengrong/LSL-5975-2024</t>
  </si>
  <si>
    <t xml:space="preserve">Social Development, Science and Technology Projects of Suzhou [SS0702]</t>
  </si>
  <si>
    <t xml:space="preserve">Social Development, Science and Technology Projects of Suzhou</t>
  </si>
  <si>
    <t xml:space="preserve">This work was supported by Social Development, Science and Technology Projects of Suzhou (Grant No. SS0702).</t>
  </si>
  <si>
    <t xml:space="preserve">10.1080/00365540903148264</t>
  </si>
  <si>
    <t xml:space="preserve">515KL</t>
  </si>
  <si>
    <t xml:space="preserve">WOS:000271468600005</t>
  </si>
  <si>
    <t xml:space="preserve">Herd, KA; Nissen, MD; Hopkins, PM; Sloots, TP; Tindle, RW</t>
  </si>
  <si>
    <t xml:space="preserve">Herd, Karen A.; Nissen, Michael D.; Hopkins, Peter M.; Sloots, Theo P.; Tindle, Robert W.</t>
  </si>
  <si>
    <t xml:space="preserve">Major histocompatibility complex class I cytotoxic T lymphocyte immunity to human metapneumovirus (hMPV) in individuals with previous hMPV infection and respiratory disease</t>
  </si>
  <si>
    <t xml:space="preserve">Human metapneumovirus; Immunology; CTL*; Virology; Biology; Cytotoxic T cell; Epitope; Major histocompatibility complex</t>
  </si>
  <si>
    <t xml:space="preserve">VIRUS FUSION PROTEIN; SYNCYTIAL VIRUS; TRANSPLANT RECIPIENTS; CELL RESPONSES; YOUNG-CHILDREN; BALB/C MICE; EPITOPE; IDENTIFICATION; TRACT; POLYMORPHISM</t>
  </si>
  <si>
    <t xml:space="preserve">Recently identified human metapneumovirus (hMPV) is an important respiratory pathogen in children and adults worldwide. Little is known about cytotoxic T lymphocyte (CTL) responses that may control hMPV infection in humans. To address this, we evaluated major histocompatibility complex (MHC) class I T cell immunity in 7 patients with previous hMPV respiratory disease. CTL responses were evident in most patients and to most proteins of hMPV. Individual patients had responses to at least 2 hMPV proteins (particularly the M protein) and had multiallele responses. In addition, we identified 9 CTL epitopes that are presented by human leukocyte antigen alleles of the most common MHC supertypes. Many of these CTL epitopes are conserved across hMPV types, and there is epitope similarity between hMPV and human respiratory syncytial virus. This study provides the first report of MHC class I T cell immunity to hMPV in humans. These findings have significance for understanding cellular immunity to hMPV infection and for future vaccine development.</t>
  </si>
  <si>
    <t xml:space="preserve">[Herd, Karen A.; Nissen, Michael D.; Sloots, Theo P.; Tindle, Robert W.] Univ Queensland, Royal Childrens Hosp, Sir Albert Sakzewski Virus Res Ctr, Herston, Qld 4029, Australia; [Herd, Karen A.; Nissen, Michael D.; Sloots, Theo P.; Tindle, Robert W.] Univ Queensland, Clin Med Virol Ctr, Herston, Qld 4029, Australia; [Nissen, Michael D.] Royal Childrens Hosp, Dept Infect Dis, Herston, Qld, Australia; [Hopkins, Peter M.] Prince Charles Hosp, Brisbane, Qld 4032, Australia</t>
  </si>
  <si>
    <t xml:space="preserve">University of Queensland; Royal Children's Hospital Brisbane; University of Queensland; Royal Children's Hospital Brisbane; Prince Charles Hospital</t>
  </si>
  <si>
    <t xml:space="preserve">Tindle, RW (corresponding author), Univ Queensland, Royal Childrens Hosp, Sir Albert Sakzewski Virus Res Ctr, Herston Rd, Herston, Qld 4029, Australia.</t>
  </si>
  <si>
    <t xml:space="preserve">r.tindle@.uq.edu.au</t>
  </si>
  <si>
    <t xml:space="preserve">Hopkins, Peter/B-1329-2011; Sloots, Theo/E-6118-2011; Nissen, Michael/M-6823-2013</t>
  </si>
  <si>
    <t xml:space="preserve">Nissen, Michael/0000-0003-1686-3313</t>
  </si>
  <si>
    <t xml:space="preserve">10.1086/526536</t>
  </si>
  <si>
    <t xml:space="preserve">263BC</t>
  </si>
  <si>
    <t xml:space="preserve">WOS:000253191600014</t>
  </si>
  <si>
    <t xml:space="preserve">Wang, YQ; Chen, ZR; Yan, YD; Guo, HB; Chu, C; Liu, J; Ding, YF; Shao, XJ; Xu, J; Ji, W</t>
  </si>
  <si>
    <t xml:space="preserve">Wang, Yuqing; Chen, Zhengrong; Yan, Yong Dong; Guo, Hongbo; Chu, Chu; Liu, Jing; Ding, Yunfang; Shao, Xuejun; Xu, Jun; Ji, Wei</t>
  </si>
  <si>
    <t xml:space="preserve">Seasonal distribution and epidemiological characteristics of human metapneumovirus infections in pediatric inpatients in Southeast China</t>
  </si>
  <si>
    <t xml:space="preserve">Human metapneumovirus; Incidence (geometry); Metapneumovirus; Epidemiology; Biology; Respiratory tract infections</t>
  </si>
  <si>
    <t xml:space="preserve">RESPIRATORY-TRACT INFECTIONS; SYNCYTIAL VIRUS; YOUNG-CHILDREN; PREVALENCE</t>
  </si>
  <si>
    <t xml:space="preserve">Human metapneumovirus (hMPV) is an important respiratory pathogen in young children whose seasonal activity varies substantially from year to year among different populations. This study was conducted to investigate if there was a seasonal variation in the incidence of hMPV infection in young children and possible associations between hMPV infection and local meteorological parameters in Suzhou, China. A total of 6,655 children with acute respiratory tract infection (ARTI) admitted to the Children's Hospital affiliated to Soochow University, Suzhou, were tested from January 2006 to December 2009 for the presence of hMPV using reverse-transcription polymerase chain reaction. The relationship between the presence of the virus and regional meteorological conditions was analyzed by linear and multivariate regression analysis. The overall hMPV infection incidence over the four-year study was 8.2 %, 8.1 %, 12.7 % and 7.4 % per year, respectively. Four hundred eighty-eight hMPV-positive children (78.2 %) were younger than 3 years of age. hMPV infections appear to have a seasonal distribution in Suzhou. In 2006, 2007 and 2009, the peak seasons were in December to January, while in 2008, the peak of hMPV activity occurred in May. The incidence of hMPV infection was negatively correlated with the average monthly temperature and rainfall. hMPV was one of the most common viral pathogens after respiratory syncytial virus that was associated with acute respiratory tract infection in children in Suzhou. hMPV infection occurred throughout the year with peaks during late winter and early spring. Climatic factors, especially monthly average temperature, may affect the prevalence of hMPV in Suzhou.</t>
  </si>
  <si>
    <t xml:space="preserve">[Wang, Yuqing; Chen, Zhengrong; Yan, Yong Dong; Guo, Hongbo; Chu, Chu; Liu, Jing; Ji, Wei] Soochow Univ, Dept Resp Med, Childrens Hosp, Suzhou 215003, Peoples R China; [Ding, Yunfang; Shao, Xuejun; Xu, Jun] Soochow Univ, Dept Clin Lab, Childrens Hosp, Suzhou 215003, Peoples R China</t>
  </si>
  <si>
    <t xml:space="preserve">Ji, W (corresponding author), Soochow Univ, Dept Resp Med, Childrens Hosp, 303 Jing De Rd, Suzhou 215003, Peoples R China.</t>
  </si>
  <si>
    <t xml:space="preserve">Wang, yuqing/HIR-1604-2022; ding, yun/HSB-4834-2023; Chen, Zhengrong/LSL-5975-2024</t>
  </si>
  <si>
    <t xml:space="preserve">10.1007/s00705-012-1492-7</t>
  </si>
  <si>
    <t xml:space="preserve">077NY</t>
  </si>
  <si>
    <t xml:space="preserve">WOS:000314035600011</t>
  </si>
  <si>
    <t xml:space="preserve">Banos-Lara, MD; Ghosh, A; Guerrero-Plata, A</t>
  </si>
  <si>
    <t xml:space="preserve">Banos-Lara, M. Del Rocio; Ghosh, Arpita; Guerrero-Plata, Antonieta</t>
  </si>
  <si>
    <t xml:space="preserve">Critical Role of MDA5 in the Interferon Response Induced by Human Metapneumovirus Infection in Dendritic Cells and In Vivo</t>
  </si>
  <si>
    <t xml:space="preserve">Biology; Virology; Human metapneumovirus; Metapneumovirus; In vivo; MDA5; Interferon</t>
  </si>
  <si>
    <t xml:space="preserve">RESPIRATORY SYNCYTIAL VIRUS; INDUCIBLE GENE-I; RIG-I; INFLAMMATORY CYTOKINES; TRANSCRIPTION FACTORS; ANTIVIRAL IMMUNITY; POSITIVE FEEDBACK; ALPHA-INTERFERON; VIRAL-INFECTION; INNATE IMMUNITY</t>
  </si>
  <si>
    <t xml:space="preserve">Human metapneumovirus (hMPV) is a respiratory paramyxovirus of global clinical relevance. Despite the substantial knowledge generated during the last 10 years about hMPV infection, information regarding the activation of the immune response against this virus remains largely unknown. In this study, we demonstrated that the helicase melanoma differentiation-associated gene 5 (MDA5) is essential to induce the interferon response after hMPV infection in human and mouse dendritic cells as well as in an experimental mouse model of infection. Our findings in vitro and in vivo showed that MDA5 is required for the expression and activation of interferon (IFN) regulatory factors (IRFs). hMPV infection induces activation of IRF-3, and it regulates the expression of IRF-7. However, both IRF-3 and IRF-7 are critical for the production of type I and type III IFNs. In addition, our in vivo studies in hMPV-infected mice indicated that MDA5 alters viral clearance, enhances disease severity and pulmonary inflammation, and regulates the production of cytokines and chemokines in response to hMPV. These findings are relevant for a better understanding of the pathogenesis of hMPV infection.</t>
  </si>
  <si>
    <t xml:space="preserve">[Banos-Lara, M. Del Rocio; Ghosh, Arpita; Guerrero-Plata, Antonieta] Louisiana State Univ, Dept Pathobiol Sci, Baton Rouge, LA 70803 USA; [Guerrero-Plata, Antonieta] Louisiana State Univ, Ctr Expt Infect Dis Res, Baton Rouge, LA 70803 USA</t>
  </si>
  <si>
    <t xml:space="preserve">Guerrero-Plata, A (corresponding author), Louisiana State Univ, Dept Pathobiol Sci, Baton Rouge, LA 70803 USA.</t>
  </si>
  <si>
    <t xml:space="preserve">Guerrero-Plata, Antonieta/0000-0002-0424-2563; Banos Lara, Ma. del Rocio/0000-0002-8455-8671</t>
  </si>
  <si>
    <t xml:space="preserve">National Institute of Allergy and Infectious Diseases [R03AI081171]; National Center for Research Resources [P20RR020159-09]; National Institute of General Medical Sciences from the National Institutes of Health [P20GM103458-09]; Flight Attendant Medical Research Institute YCSA grant</t>
  </si>
  <si>
    <t xml:space="preserve">National Institute of Allergy and Infectious Diseases(United States Department of Health &amp; Human ServicesNational Institutes of Health (NIH) - USANIH National Institute of Allergy &amp; Infectious Diseases (NIAID)); National Center for Research Resources(United States Department of Health &amp; Human ServicesNational Institutes of Health (NIH) - USANIH National Center for Research Resources (NCRR)); National Institute of General Medical Sciences from the National Institutes of Health; Flight Attendant Medical Research Institute YCSA grant</t>
  </si>
  <si>
    <t xml:space="preserve">This research work was supported by grants from the National Institute of Allergy and Infectious Diseases (R03AI081171), the National Center for Research Resources (P20RR020159-09), and the National Institute of General Medical Sciences (P20GM103458-09) from the National Institutes of Health and by a Flight Attendant Medical Research Institute YCSA grant to A.G.-P.</t>
  </si>
  <si>
    <t xml:space="preserve">10.1128/JVI.01213-12</t>
  </si>
  <si>
    <t xml:space="preserve">062QF</t>
  </si>
  <si>
    <t xml:space="preserve">WOS:000312934400050</t>
  </si>
  <si>
    <t xml:space="preserve">Gu, WJ; Wang, YQ; Hao, CL; Zhang, XX; Yan, YD; Chen, ZR; Jiang, WJ; Shao, XJ; Ji, W</t>
  </si>
  <si>
    <t xml:space="preserve">Gu, Wenjing; Wang, Yuqing; Hao, Chuangli; Zhang, Xinxing; Yan, Yongdong; Chen, Zhengrong; Jiang, Wujun; Shao, Xuejun; Ji, Wei</t>
  </si>
  <si>
    <t xml:space="preserve">Elevated Serum Levels of Thymic Stromal Lymphopoietin in Wheezing Children Infected with Human Metapneumovirus</t>
  </si>
  <si>
    <t xml:space="preserve">Human metapneumovirus; Thymic stromal lymphopoietin; Medicine; Metapneumovirus; Immunology</t>
  </si>
  <si>
    <t xml:space="preserve">RESPIRATORY SYNCYTIAL VIRUS; ALLERGIC INFLAMMATION; T-CELL; TSLP; MICE; ASTHMA; DISEASE; CHINA; YOUNG</t>
  </si>
  <si>
    <t xml:space="preserve">Our aim was to study the epidemiology and clinical manifestations of human meta-pneumovirus (hMPV) infection in children in the Suzhou area, China, and to investigate the effect of thymic stromal lymphopoietin (TSLP) on wheezing in hMPV-infected children. The study included 13,533 children with respiratory tract infections who were admitted to the Children's Hospital of Soochow University between January 2009 and December 2014. Clinical data were recorded. Plasma levels of TSLP, interleukin (IL)-4, and IL-2 were compared among 35 wheezing children with single hMPV infection, 15 non-wheezing children with hMPV infection, and 35 wheezing children with other viral infections. The annual rates of hMPV infection from 2009 to 2014 were 2.33%, 6.41%, 3.29%, 3.52%, 0.23%, and 0.64%, respectively, peaking in 2010. The number of CD3 /CD16 + /CD56 + cells was significantly lower in inpatients with hMPV infection than that in patients with other viral infections. Serum levels of TSLP and IL-4 in wheezing children with hMPV infection were significantly higher than the levels in the other 2 groups. hMPV is a common viral pathogen that causes respiratory infections in children in Suzhou, but annual rates have declined since 2010. Infection with hMPV may affect cell-mediated immunity. Serum TSLP levels were elevated after hMPV infection.</t>
  </si>
  <si>
    <t xml:space="preserve">[Gu, Wenjing; Wang, Yuqing; Hao, Chuangli; Zhang, Xinxing; Yan, Yongdong; Chen, Zhengrong; Jiang, Wujun; Ji, Wei] Soochow Univ, Childrens Hosp, Dept Resp Med, 303 Jing De Rd, Suzhou 215003, Peoples R China; [Shao, Xuejun] Soochow Univ, Childrens Hosp, Dept Clin Lab, Suzhou, Peoples R China</t>
  </si>
  <si>
    <t xml:space="preserve">Wang, yuqing/HIR-1604-2022; Jiang, Wujun/AAC-3111-2019; Li, Changwei/JWQ-0219-2024; Chen, Zhengrong/LSL-5975-2024</t>
  </si>
  <si>
    <t xml:space="preserve">Health Department project in Jiangsu Province [H201315]; National Natural Science Foundation of China [81570016]; Social Development project in Jiangsu Province [BE2012652]</t>
  </si>
  <si>
    <t xml:space="preserve">Health Department project in Jiangsu Province; National Natural Science Foundation of China(National Natural Science Foundation of China (NSFC)); Social Development project in Jiangsu Province</t>
  </si>
  <si>
    <t xml:space="preserve">This study was supported by Health Department project in Jiangsu Province (Grant No. H201315), the National Natural Science Foundation of China (Grant No. 81570016), and Social Development project in Jiangsu Province (Grant No. BE2012652).</t>
  </si>
  <si>
    <t xml:space="preserve">10.7883/yoken.JJID.2016.047</t>
  </si>
  <si>
    <t xml:space="preserve">EQ8KX</t>
  </si>
  <si>
    <t xml:space="preserve">WOS:000398335400007</t>
  </si>
  <si>
    <t xml:space="preserve">Deng, JF; Chen, Y; Liu, GL; Ren, JP; Go, CL; Lyanciuc, T; Deepthi, K; Casola, A; Garofalo, RP; Bao, XY</t>
  </si>
  <si>
    <t xml:space="preserve">Deng, Junfang; Chen, Yu; Liu, Guangliang; Ren, Junping; Go, Caroline; Lyanciuc, Teodora; Deepthi, Kolli; Casola, Antonella; Garofalo, Roberto P.; Bao, Xiaoyong</t>
  </si>
  <si>
    <t xml:space="preserve">Mitochondrial antiviral-signalling protein plays an essential role in host immunity against human metapneumovirus</t>
  </si>
  <si>
    <t xml:space="preserve">Human metapneumovirus; Biology; Immune system; Immunology; Virology</t>
  </si>
  <si>
    <t xml:space="preserve">RESPIRATORY SYNCYTIAL VIRUS; T-LYMPHOCYTE EPITOPE; INDUCIBLE GENE-I; DENDRITIC CELLS; AIRWAY HYPERRESPONSIVENESS; TRACT DISEASE; INFECTION; MICE; RESPONSES; INNATE</t>
  </si>
  <si>
    <t xml:space="preserve">Human metapneumovirus (hMPV) is a common cause of respiratory tract infection in the paediatrics population. Recently, we and others have shown that retinoic acid-inducible gene 1 (RIG-I)-like receptors (RLRs) are essential for hMPV-induced cellular antiviral signalling. However, the contribution of those receptors to host immunity against pulmonary hMPV infection is largely unexplored. In this study, mice deficient in mitochondrial antiviral-signalling protein (MAVS), an adaptor of RLRs, were used to investigate the role(s) of these receptors in pulmonary immune responses to hMPV infection. MAVS deletion significantly impaired the induction of antiviral and pro-inflammatory cytokines and the recruitment of immune cells to the bronchoalveolar lavage fluid by hMPV. Compared with WT mice, mice lacking MAVS demonstrated decreased abilities to activate pulmonary dendritic cells (DCs) and abnormal primary T-cell responses to hMPV infection. In addition, mice deficient in MAVS had a higher peak of viral load at day 5 post-infection (p.i.) than WT mice, but were able to clear hMPV by day 7 p.i. similarly to WT mice. Taken together, our data indicate a role of MAVS-mediated pathways in the pulmonary immune responses to hMPV infection and the early control of hMPV replication.</t>
  </si>
  <si>
    <t xml:space="preserve">[Deng, Junfang; Chen, Yu; Liu, Guangliang; Ren, Junping; Go, Caroline; Lyanciuc, Teodora; Deepthi, Kolli; Casola, Antonella; Garofalo, Roberto P.; Bao, Xiaoyong] Univ Texas Med Branch, Dept Pediat, Galveston, TX 77555 USA; [Deng, Junfang] Zhejiang Univ, Coll Med, Affiliated Hosp 1, Dept Hepatobiliary Surg, Hangzhou, Zhejiang, Peoples R China; [Chen, Yu] Huazhong Univ Sci &amp; Technol, TongJi Hosp, Dept Pediat, Hangzhou, Zhejiang, Peoples R China; [Liu, Guangliang] Sun Yat Sen Univ, Affiliated Hosp 6, Dept Otorhinolaryngol, Guangzhou, Guangdong, Peoples R China; [Bao, Xiaoyong] Univ Texas Med Branch, Inst Human Infect &amp; Immun, Galveston, TX 77555 USA; [Bao, Xiaoyong] Univ Texas Med Branch, Inst Translat Sci, Galveston, TX 77555 USA</t>
  </si>
  <si>
    <t xml:space="preserve">University of Texas System; University of Texas Medical Branch Galveston; Zhejiang University; Huazhong University of Science &amp; Technology; Sun Yat Sen University; University of Texas System; University of Texas Medical Branch Galveston; University of Texas System; University of Texas Medical Branch Galveston</t>
  </si>
  <si>
    <t xml:space="preserve">Bao, XY (corresponding author), Univ Texas Med Branch, Dept Pediat, Galveston, TX 77555 USA.</t>
  </si>
  <si>
    <t xml:space="preserve">ren, jun/KHG-7717-2024; Garofalo, Roberto/ABL-2322-2022</t>
  </si>
  <si>
    <t xml:space="preserve">National Institutes of Health-National Institute of Allergy and Infectious Diseases [R56 AI107033-01A1]; John Sealy Memorial Foundation; UTMB; American Lung Association [RG232529N]; American Heart Association [12BGIA12060008]; TongJi Hospital, TongJi Medical College, Huazhong University of Science and Technology, China; National Institute of Environmental Health Sciences [5P30ES006676]; NIH [UL1TR000071]; American Heart Association (AHA) [12BGIA12060008] Funding Source: American Heart Association (AHA)</t>
  </si>
  <si>
    <t xml:space="preserve">National Institutes of Health-National Institute of Allergy and Infectious Diseases(United States Department of Health &amp; Human ServicesNational Institutes of Health (NIH) - USANIH National Institute of Allergy &amp; Infectious Diseases (NIAID)); John Sealy Memorial Foundation; UTMB; American Lung Association; American Heart Association(American Heart Association); TongJi Hospital, TongJi Medical College, Huazhong University of Science and Technology, China; National Institute of Environmental Health Sciences(United States Department of Health &amp; Human ServicesNational Institutes of Health (NIH) - USANIH National Institute of Environmental Health Sciences (NIEHS)); NIH(United States Department of Health &amp; Human ServicesNational Institutes of Health (NIH) - USA); American Heart Association (AHA)(American Heart Association)</t>
  </si>
  <si>
    <t xml:space="preserve">All authors concur that there are no conflicts of interest in this work. This work was supported by grants from the National Institutes of Health-National Institute of Allergy and Infectious Diseases (R56 AI107033-01A1), Research Pilot Grant from John Sealy Memorial Foundation, UTMB, the American Lung Association (RG232529N), and American Heart Association (12BGIA12060008) to X. B. Y. C. is partially supported by an Overseas Training Grant of TongJi Hospital, TongJi Medical College, Huazhong University of Science and Technology, China. The work was also partially supported by the National Institute of Environmental Health Sciences (5P30ES006676) and a NIH Clinical and Translational Science Award (CTSA) (UL1TR000071).</t>
  </si>
  <si>
    <t xml:space="preserve">10.1099/vir.0.000178</t>
  </si>
  <si>
    <t xml:space="preserve">CS7CZ</t>
  </si>
  <si>
    <t xml:space="preserve">WOS:000362243000014</t>
  </si>
  <si>
    <t xml:space="preserve">Chang, A; Masante, C; Buchholz, UJ; Dutch, RE</t>
  </si>
  <si>
    <t xml:space="preserve">Chang, Andres; Masante, Cyril; Buchholz, Ursula J.; Dutch, Rebecca Ellis</t>
  </si>
  <si>
    <t xml:space="preserve">Human Metapneumovirus (HMPV) Binding and Infection Are Mediated by Interactions between the HMPV Fusion Protein and Heparan Sulfate</t>
  </si>
  <si>
    <t xml:space="preserve">Human metapneumovirus; Metapneumovirus; Biology; Heparan sulfate; Virology</t>
  </si>
  <si>
    <t xml:space="preserve">RESPIRATORY SYNCYTIAL VIRUS; HERPES-SIMPLEX-VIRUS; REPLICATION IN-VITRO; SMALL HYDROPHOBIC SH; F-PROTEIN; G-GLYCOPROTEIN; CELL MUTANTS; MEMBRANE-FUSION; TISSUE-CULTURE; ENTRY</t>
  </si>
  <si>
    <t xml:space="preserve">Human metapneumovirus (HMPV) is a major worldwide respiratory pathogen that causes acute upper and lower respiratory tract disease. The mechanism by which this virus recognizes and gains access to its target cell is still largely unknown. In this study, we addressed the initial steps in virus binding and infection and found that the first binding partner for HMPV is heparan sulfate (HS). While wild-type CHO-K1 cells are permissive to HMPV infection, mutant cell lines lacking the ability to synthesize glycosaminoglycans (GAGs), specifically, heparan sulfate proteoglycans (HSPGs), were resistant to binding and infection by HMPV. The permissiveness to HMPV infection was also abolished when CHO-K1 cells were treated with heparinases. Importantly, using recombinant HMPV lacking both the G and small hydrophobic (SH) proteins, we report that this first virus-cell binding interaction is driven primarily by the fusion protein (HMPV F) and that this interaction is needed to establish a productive infection. Finally, HMPV binding to cells did not require beta 1 integrin expression, and RGD-mediated interactions were not essential in promoting HMPV F-mediated cell-to-cell membrane fusion. Cells lacking beta 1 integrin, however, were less permissive to HMPV infection, indicating that while beta 1 integrins play an important role in promoting HMPV infection, the interaction between integrins and HMPV occurs after the initial binding of HMPV F to heparan sulfate proteoglycans.</t>
  </si>
  <si>
    <t xml:space="preserve">[Chang, Andres; Masante, Cyril; Dutch, Rebecca Ellis] Univ Kentucky, Dept Mol &amp; Cellular Biochem, Lexington, KY 40536 USA; [Buchholz, Ursula J.] NIAID, Infect Dis Lab, Bethesda, MD 20892 USA</t>
  </si>
  <si>
    <t xml:space="preserve">University of Kentucky; National Institutes of Health (NIH) - USA; NIH National Institute of Allergy &amp; Infectious Diseases (NIAID)</t>
  </si>
  <si>
    <t xml:space="preserve">Dutch, RE (corresponding author), Univ Kentucky, Dept Mol &amp; Cellular Biochem, Lexington, KY 40536 USA.</t>
  </si>
  <si>
    <t xml:space="preserve">Buchholz, Ursula/AAA-4547-2022; Chang, Andres/V-8887-2019</t>
  </si>
  <si>
    <t xml:space="preserve">Chang, Andres/0000-0001-6679-9060</t>
  </si>
  <si>
    <t xml:space="preserve">NIH [R01AI051517]; NIH from National Center for Research Resources [2P20 RR020171]; AHA [10PRE4230022]; NIAID Division of Intramural Research; American Heart Association (AHA) [10PRE4230022] Funding Source: American Heart Association (AHA)</t>
  </si>
  <si>
    <t xml:space="preserve">NIH(United States Department of Health &amp; Human ServicesNational Institutes of Health (NIH) - USA); NIH from National Center for Research Resources(United States Department of Health &amp; Human ServicesNational Institutes of Health (NIH) - USANIH National Center for Research Resources (NCRR)); AHA(American Heart Association); NIAID Division of Intramural Research(United States Department of Health &amp; Human ServicesNational Institutes of Health (NIH) - USANIH National Institute of Allergy &amp; Infectious Diseases (NIAID)); American Heart Association (AHA)(American Heart Association)</t>
  </si>
  <si>
    <t xml:space="preserve">This work was supported by NIH grant R01AI051517 and NIH grant 2P20 RR020171 from the National Center for Research Resources to R.E.D., by AHA Great Rivers Affiliate predoctoral fellowship 10PRE4230022 to A.C., and with funds from the NIAID Division of Intramural Research to U.J.B.</t>
  </si>
  <si>
    <t xml:space="preserve">10.1128/JVI.06706-11</t>
  </si>
  <si>
    <t xml:space="preserve">897GC</t>
  </si>
  <si>
    <t xml:space="preserve">WOS:000300634100031</t>
  </si>
  <si>
    <t xml:space="preserve">Niizuma, T; Okumura, A; Kinoshita, K; Shimizu, T</t>
  </si>
  <si>
    <t xml:space="preserve">Niizuma, Takahiro; Okumura, Akihisa; Kinoshita, Keiji; Shimizu, Toshiaki</t>
  </si>
  <si>
    <t xml:space="preserve">Acute Encephalopathy Associated with Human Metapneumovirus Infection</t>
  </si>
  <si>
    <t xml:space="preserve">Medicine; Pleocytosis; Human metapneumovirus; Status epilepticus; Encephalopathy; Cerebrospinal fluid; Encephalitis; Dexamethasone; Coma (optics)</t>
  </si>
  <si>
    <t xml:space="preserve">CEREBROSPINAL-FLUID; TISSUE INHIBITORS; CHILDREN; MATRIX-METALLOPROTEINASE-9; METALLOPROTEINASES-1; ENCEPHALITIS; PATIENT</t>
  </si>
  <si>
    <t xml:space="preserve">We encountered a 3.5-year-old girl with acute encephalopathy associated with human metapneumovirus (hMPV) infection. She had pyrexia and status epilepticus, followed by a coma. Cerebrospinal fluid analysis showed no pleocytosis or elevation of protein levels. hMPV RNA was detected in tracheal aspirate. Acute encephalopathy in the patient was probably related to the hMPV infection. Serum levels of interleukin-6 and matrix metalloproteinase-9 were elevated on admission, and these factors were presumed to be related to acute encephalopathy, associated with her viral infection, or due to status epilepticus. She was treated with dexamethasone pulse therapy, intravenous immunoglobulin, and continuous thiopental infusion. She recovered without neurological sequelae.</t>
  </si>
  <si>
    <t xml:space="preserve">[Niizuma, Takahiro] Tokyo Rinkai Hosp, Dept Pediat, Tokyo 1340086, Japan; [Okumura, Akihisa; Shimizu, Toshiaki] Juntendo Univ, Fac Med, Dept Pediat, Tokyo 1138421, Japan; [Niizuma, Takahiro; Kinoshita, Keiji] Koshigaya Municipal Hosp, Dept Pediat, Saitama 3430023, Japan</t>
  </si>
  <si>
    <t xml:space="preserve">Juntendo University</t>
  </si>
  <si>
    <t xml:space="preserve">Okumura, A (corresponding author), Juntendo Univ, Fac Med, Dept Pediat, Bunkyo Ku, 2-1-1 Hongo, Tokyo 1138421, Japan.</t>
  </si>
  <si>
    <t xml:space="preserve">okumura@juntendo.ac.jp</t>
  </si>
  <si>
    <t xml:space="preserve">Ministry of Health, Labour and Welfare of Japan [H24-Shinkou-Ippan-002, H25-Nanji-Ippan-009]; Ministry of Education, Culture, Sports, Science and Technology [23591518]; Grants-in-Aid for Scientific Research [23591518] Funding Source: KAKEN</t>
  </si>
  <si>
    <t xml:space="preserve">Ministry of Health, Labour and Welfare of Japan(Ministry of Health, Labour and Welfare, Japan); Ministry of Education, Culture, Sports, Science and Technology(Ministry of Education, Culture, Sports, Science and Technology, Japan (MEXT)); Grants-in-Aid for Scientific Research(Ministry of Education, Culture, Sports, Science and Technology, Japan (MEXT)Japan Society for the Promotion of ScienceGrants-in-Aid for Scientific Research (KAKENHI))</t>
  </si>
  <si>
    <t xml:space="preserve">This study is supported by the grants from the Ministry of Health, Labour and Welfare of Japan (H24-Shinkou-Ippan-002 and H25-Nanji-Ippan-009), and the grant from the Ministry of Education, Culture, Sports, Science and Technology (23591518).</t>
  </si>
  <si>
    <t xml:space="preserve">10.7883/yoken.67.213</t>
  </si>
  <si>
    <t xml:space="preserve">AI4FS</t>
  </si>
  <si>
    <t xml:space="preserve">WOS:000336821700011</t>
  </si>
  <si>
    <t xml:space="preserve">Alvarez, R; Tripp, RA</t>
  </si>
  <si>
    <t xml:space="preserve">The immune response to human metapneurnovirus is associated with aberrant immunity and impaired virus clearance in BALB/c mice</t>
  </si>
  <si>
    <t xml:space="preserve">Biology; Human metapneumovirus; Virology; Immunity; Immune system; Immunology; Virus; Metapneumovirus</t>
  </si>
  <si>
    <t xml:space="preserve">RESPIRATORY SYNCYTIAL VIRUS; EPSTEIN-BARR-VIRUS; HUMAN METAPNEUMOVIRUS INFECTIONS; G-GLYCOPROTEIN; CHILDHOOD ASTHMA; TRACT INFECTIONS; YOUNG-CHILDREN; RSV INFECTION; T-CELLS; BRONCHIOLITIS</t>
  </si>
  <si>
    <t xml:space="preserve">Human metapneumovirus (HMPV), recently identified in isolates from children hospitalized with acute respiratory tract illness, is associated with clinical diagnosis of pneumonia, asthma exacerbation, and acute bronchiolitis in young children. HMPV has been shown to cocirculate with respiratory syncytial virus (RSV) and mediate clinical disease features similarly to RSV. Little is known regarding the pathophysiology or immune response associated with HMPV infection; thus, animal models are needed to better understand the mechanisms of immunity and disease pathogenesis associated with infection. In this study, we examine features of the innate and adaptive immune response to HMPV infection in a BALB/c mouse model. Primary HMPV infection elicits weak innate and aberrant adaptive immune responses characterized by induction of a Th2-type cytokine response at later stages of infection that coincides with increased interleukin-10 expression and persistent virus replication in the lung. Examination of the cytotoxic T lymphocyte and antibody response to HMPV infection revealed a delayed response, but passive transfer of HMPV-specific antibodies provided considerable protection. These features are consistent with virus persistence and indicate that the immune response to HMPV is unique compared to the immune response to RSV.</t>
  </si>
  <si>
    <t xml:space="preserve">Univ Georgia, Dept Infect Dis, Coll Vet Med, Athens, GA 30602 USA</t>
  </si>
  <si>
    <t xml:space="preserve">University System of Georgia; University of Georgia</t>
  </si>
  <si>
    <t xml:space="preserve">Univ Georgia, Dept Infect Dis, Coll Vet Med, Athens, GA 30602 USA.</t>
  </si>
  <si>
    <t xml:space="preserve">ratripp@uga.edu</t>
  </si>
  <si>
    <t xml:space="preserve">10.1128/JVI.79.10.5971-5978.2005</t>
  </si>
  <si>
    <t xml:space="preserve">922CV</t>
  </si>
  <si>
    <t xml:space="preserve">WOS:000228814400010</t>
  </si>
  <si>
    <t xml:space="preserve">Kim, S; Sung, H; Im, HJ; Hong, SJ; Kim, MN</t>
  </si>
  <si>
    <t xml:space="preserve">Kim, Sollip; Sung, Heungsup; Im, Ho Joon; Hong, Soo-Jong; Kim, Mi-Na</t>
  </si>
  <si>
    <t xml:space="preserve">Molecular Epidemiological Investigation of a Nosocomial Outbreak of Human Metapneumovirus Infection in a Pediatric Hemato-Oncology Patient Population</t>
  </si>
  <si>
    <t xml:space="preserve">Human metapneumovirus; Epidemiology; Medicine; Outbreak; Metapneumovirus</t>
  </si>
  <si>
    <t xml:space="preserve">RESPIRATORY-TRACT INFECTIONS; TERM-CARE FACILITY; CHILDREN; INPATIENTS; VIRUSES</t>
  </si>
  <si>
    <t xml:space="preserve">We report the first nosocomial outbreak of human metapneumovirus (hMPV) infection in a pediatric patient population. Among 15 pediatric hMPV infections from March to May 2007, there was a nosocomial outbreak involving two patients sharing a room in a hemato-oncology ward with a patient with a community-acquired case of hMPV infection. The estimated incubation period was 7 to 9 days for a symptomatic nosocomial case. Sequencing of fusion genes of 15 isolates revealed two clusters belonging to subgroup A2 and one cluster belonging to subgroup B2. Three isolates from the outbreak had sequences identical to those of samples in the A2 cluster. There was also a separate nosocomial case represented by the B2 cluster.</t>
  </si>
  <si>
    <t xml:space="preserve">[Kim, Sollip; Sung, Heungsup; Kim, Mi-Na] Univ Ulsan, Coll Med, Dept Lab Med, Seoul 138736, South Korea; [Im, Ho Joon; Hong, Soo-Jong] Univ Ulsan, Coll Med, Dept Pediat, Seoul 138736, South Korea; Asan Med Ctr, Seoul, South Korea</t>
  </si>
  <si>
    <t xml:space="preserve">University of Ulsan; University of Ulsan</t>
  </si>
  <si>
    <t xml:space="preserve">Kim, MN (corresponding author), Univ Ulsan, Coll Med, Dept Lab Med, Asanbyeongwon Gil 86, Seoul 138736, South Korea.</t>
  </si>
  <si>
    <t xml:space="preserve">mnkim@amc.seoul.kr</t>
  </si>
  <si>
    <t xml:space="preserve">Kim, Sollip/E-8546-2011; Hong, Soo-Jong/AAR-1788-2020</t>
  </si>
  <si>
    <t xml:space="preserve">Kim, Sollip/0000-0003-0474-5897</t>
  </si>
  <si>
    <t xml:space="preserve">10.1128/JCM.01959-08</t>
  </si>
  <si>
    <t xml:space="preserve">427RS</t>
  </si>
  <si>
    <t xml:space="preserve">WOS:000264797000053</t>
  </si>
  <si>
    <t xml:space="preserve">Regev, L; Meningher, T; Hindiyeh, M; Mendelson, E; Mandelboim, M</t>
  </si>
  <si>
    <t xml:space="preserve">Regev, Liora; Meningher, Tal; Hindiyeh, Musa; Mendelson, Ella; Mandelboim, Michal</t>
  </si>
  <si>
    <t xml:space="preserve">Increase Human Metapneumovirus Mediated Morbidity following Pandemic Influenza Infection</t>
  </si>
  <si>
    <t xml:space="preserve">Human metapneumovirus; Virology; Pandemic; Virus; Metapneumovirus</t>
  </si>
  <si>
    <t xml:space="preserve">RESPIRATORY SYNCYTIAL VIRUS; GENETIC-VARIABILITY; TRACT INFECTIONS; CHILDREN; IMPACT</t>
  </si>
  <si>
    <t xml:space="preserve">Human metapneumovirus (hMPV) is a recently discovered respiratory pathogen, infecting mainly young children. The infected patients suffer from influenza like symptoms (ILS). In Israel the virus is mainly circulating in February to March. Here we report on an increased rate of hMPV infection in the winter season of 2009-10. The 2009-10 infection had several unique characteristics when compared to previous seasons; it started around January and a large number of infants were infected by the virus. Genetic analysis based on the viral L and F genes of hMPV showed that only subtypes A2 and B2 circulated in Israel. Additionally, we have identified a novel variant of hMPV within subgroup A2b, which subdivide it into A2b1 and A2b2. Finally, we showed that the hMPV infection was detected in the country soon after the infection with the pandemic influenza virus had declined, that infection with the pandemic influenza virus was dominant and that it interfered with the infection of other respiratory viruses. Thus, we suggest that the unusual increase in hMPV infection observed in 2009-10 was due to the appearance of the pandemic influenza virus in the winter season prior to 2009-10.</t>
  </si>
  <si>
    <t xml:space="preserve">[Regev, Liora; Meningher, Tal; Hindiyeh, Musa; Mendelson, Ella; Mandelboim, Michal] Chaim Sheba Med Ctr, Minist Hlth, Cent Virol Lab, Ramat Gan, Israel; [Meningher, Tal] Bar Ilan Univ, Fac Life Sci, Ramat Gan, Israel; [Mendelson, Ella] Tel Aviv Univ, Sackler Fac Med, Sch Publ Hlth, Dept Epidemiol &amp; Prevent Med, IL-69978 Tel Aviv, Israel</t>
  </si>
  <si>
    <t xml:space="preserve">Regev, L (corresponding author), Chaim Sheba Med Ctr, Minist Hlth, Cent Virol Lab, Ramat Gan, Israel.</t>
  </si>
  <si>
    <t xml:space="preserve">APR 4</t>
  </si>
  <si>
    <t xml:space="preserve">e34750</t>
  </si>
  <si>
    <t xml:space="preserve">10.1371/journal.pone.0034750</t>
  </si>
  <si>
    <t xml:space="preserve">953GO</t>
  </si>
  <si>
    <t xml:space="preserve">WOS:000304855200076</t>
  </si>
  <si>
    <t xml:space="preserve">Klimyte, EM; Smith, SE; Oreste, P; Lembo, D; Dutch, RE</t>
  </si>
  <si>
    <t xml:space="preserve">Klimyte, Edita M.; Smith, Stacy E.; Oreste, Pasqua; Lembo, David; Dutch, Rebecca Ellis</t>
  </si>
  <si>
    <t xml:space="preserve">Inhibition of Human Metapneumovirus Binding to Heparan Sulfate Blocks Infection in Human Lung Cells and Airway Tissues</t>
  </si>
  <si>
    <t xml:space="preserve">Human metapneumovirus; Heparan sulfate; Biology; Sulfation</t>
  </si>
  <si>
    <t xml:space="preserve">HERPES-SIMPLEX-VIRUS; CARRAGEENAN NASAL SPRAY; IOTA-CARRAGEENAN; HIV-1 INFECTION; FUSION PROTEIN; DOUBLE-BLIND; ATTACHMENT; POLYSACCHARIDE; GLYCOPROTEIN; CHILDREN</t>
  </si>
  <si>
    <t xml:space="preserve">Human metapneumovirus (HMPV), a recently discovered paramyxovirus, infects nearly 100% of the world population and causes severe respiratory disease in infants, the elderly, and immunocompromised patients. We previously showed that HMPV binds heparan sulfate proteoglycans (HSPGs) and that HMPV binding requires only the viral fusion (F) protein. To characterize the features of this interaction critical for HMPV binding and the role of this interaction in infection in relevant models, we utilized sulfated polysaccharides, heparan sulfate mimetics, and occluding compounds. Iota-carrageenan demonstrated potent anti- HMPV activity by inhibiting binding to lung cells mediated by the F protein. Furthermore, analysis of a minilibrary of variably sulfated derivatives of Escherichia coli K5 polysaccharide mimicking the HS structure revealed that the highly O-sulfated K5 polysaccharides inhibited HMPV infection, identifying a potential feature of HS critical for HMPV binding. The peptide dendrimer SB105-A10, which binds HS, reduced binding and infection in an F-dependent manner, suggesting that occlusion of HS at the target cell surface is sufficient to prevent infection. HMPV infection was also inhibited by these compounds during apical infection of polarized airway tissues, suggesting that these interactions take place during HMPV infection in a physiologically relevant model. These results reveal key features of the interaction between HMPV and HS, supporting the hypothesis that apical HS in the airway serves as a binding factor during infection, and HS modulating compounds may serve as a platform for potential antiviral development. IMPORTANCE Human metapneumovirus (HMPV) is a paramyxovirus that causes respiratory disease worldwide. It has been previously shown that HMPV requires binding to heparan sulfate on the surfaces of target cells for attachment and infection. In this study, we characterize the key features of this binding interaction using heparan sulfate mimetics, identify an important sulfate modification, and demonstrate that these interactions occur at the apical surface of polarized airway tissues. These findings provide insights into the initial binding step of HMPV infection that has potential for antiviral development.</t>
  </si>
  <si>
    <t xml:space="preserve">[Klimyte, Edita M.; Smith, Stacy E.; Dutch, Rebecca Ellis] Univ Kentucky, Dept Mol &amp; Cellular Biochem, Lexington, KY 40506 USA; [Oreste, Pasqua] Glycores 2000 Srl, Milan, Italy; [Lembo, David] Univ Turin, S Luigi Gonzaga Hosp, Dept Clin &amp; Biol Sci, Turin, Italy</t>
  </si>
  <si>
    <t xml:space="preserve">University of Kentucky; University of Turin</t>
  </si>
  <si>
    <t xml:space="preserve">Smith, stacy/HNS-1781-2023</t>
  </si>
  <si>
    <t xml:space="preserve">HHS \ National Institutes of Health (NIH) [F30AI114194, TL1TR000115, R01AI051517, 2P20 RR020171]</t>
  </si>
  <si>
    <t xml:space="preserve">HHS \ National Institutes of Health (NIH)(United States Department of Health &amp; Human ServicesNational Institutes of Health (NIH) - USAOffice of the Administrator (NIH))</t>
  </si>
  <si>
    <t xml:space="preserve">This work, including the efforts of Edita Klimyte, was funded by HHS vertical bar National Institutes of Health (NIH) (F30AI114194 and TL1TR000115). This work, including the efforts of Rebecca Ellis Dutch, was funded by HHS vertical bar National Institutes of Health (NIH) (R01AI051517 and 2P20 RR020171).</t>
  </si>
  <si>
    <t xml:space="preserve">10.1128/JVI.01362-16</t>
  </si>
  <si>
    <t xml:space="preserve">DX7NO</t>
  </si>
  <si>
    <t xml:space="preserve">WOS:000384574900010</t>
  </si>
  <si>
    <t xml:space="preserve">Williams, JV; Edwards, KM; Weinberg, GA; Griffin, MR; Hall, CB; Zhu, YW; Szilagyi, PG; Wang, CYK; Yang, CF; Silva, D; Ye, D; Spaete, RR; Crowe, JE</t>
  </si>
  <si>
    <t xml:space="preserve">Williams, John V.; Edwards, Kathryn M.; Weinberg, Geoffrey A.; Griffin, Marie R.; Hall, Caroline B.; Zhu, Yuwei; Szilagyi, Peter G.; Wang, Chiaoyin K.; Yang, Chin-Fen; Silva, David; Ye, Dan; Spaete, Richard R.; Crowe, James E., Jr.</t>
  </si>
  <si>
    <t xml:space="preserve">Population-Based Incidence of Human Metapneumovirus Infection among Hospitalized Children</t>
  </si>
  <si>
    <t xml:space="preserve">Human metapneumovirus; Medicine; Bronchiolitis; Population; Incidence (geometry); Metapneumovirus; Pediatrics; Pneumonia</t>
  </si>
  <si>
    <t xml:space="preserve">RESPIRATORY SYNCYTIAL VIRUS; GENETIC-VARIABILITY; CLINICAL SYMPTOMS; TRACT INFECTIONS; YOUNG-CHILDREN; SEROPREVALENCE; RHINOVIRUS; GENOTYPE; IMPACT; ADULTS</t>
  </si>
  <si>
    <t xml:space="preserve">Background. Human metapneumovirus (HMPV) is a leading cause of acute respiratory illness (ARI) in children. Population-based incidence rates and comprehensive clinical characterizations of disease have not been established. Methods. We conducted population-based prospective surveillance for 2 years in 2 US counties of HMPV infection among children &lt;5 years old who were hospitalized with ARI or fever. Nasal and throat specimens obtained with swabs were tested for HMPV by real-time reverse-transcription polymerase chain reaction and genotyped. Results. Forty-two (3.8%) of 1104 children tested positive for HMPV. The overall annual rate of HMPV-associated hospitalizations per 1000 children &lt;5 years old was 1.2 (95% confidence interval [CI], 0.9-1.6). This rate was highest among infants 0-5 months old (4.9 per 1000 [95% CI, 2.9-7.2]), followed by children 6-11 months old (2.9 per 1000 [95% CI, 1.4-4.7]). The annual rate of hospitalization for HMPV infection was less than that for respiratory syncytial virus infection but similar to that for influenza and parainfluenza virus 3 infection in all age groups. The mean age of children hospitalized with HMPV infection was 6 months. Bronchiolitis, pneumonia, and asthma were the most common diagnoses among children with HMPV infection. All 4 HMPV subgroups were detected during both years at both sites. HPMV infection was most prominent from March through May. Conclusion. HMPV was detected in 3.8% of children hospitalized with ARI or fever, with a population incidence similar to that of influenza virus and parainfluenza virus 3.</t>
  </si>
  <si>
    <t xml:space="preserve">[Williams, John V.] Vanderbilt Univ, Med Ctr, Sch Med, Dept Pediat, Nashville, TN 37232 USA; [Williams, John V.; Crowe, James E., Jr.] Vanderbilt Univ, Dept Microbiol &amp; Immunol, Sch Med, Nashville, TN 37232 USA; [Griffin, Marie R.] Vanderbilt Univ, Dept Prevent Med, Sch Med, Nashville, TN 37232 USA; [Griffin, Marie R.] Vanderbilt Univ, Dept Med, Sch Med, Nashville, TN 37232 USA; [Zhu, Yuwei] Vanderbilt Univ, Dept Biostat, Sch Med, Nashville, TN 37232 USA; [Williams, John V.; Edwards, Kathryn M.; Crowe, James E., Jr.] Monroe Carell Jr Childrens Hosp Vanderbilt, Nashville, TN USA; [Weinberg, Geoffrey A.; Hall, Caroline B.; Szilagyi, Peter G.] Univ Rochester, Sch Med &amp; Dent, Dept Pediat, Rochester, NY 14642 USA; [Hall, Caroline B.] Univ Rochester, Sch Med &amp; Dent, Dept Med, Rochester, NY 14642 USA; [Wang, Chiaoyin K.; Yang, Chin-Fen; Silva, David; Ye, Dan; Spaete, Richard R.] MedImmune Vaccines, Mountain View, CA USA</t>
  </si>
  <si>
    <t xml:space="preserve">Vanderbilt University; Vanderbilt University; Vanderbilt University; Vanderbilt University; Vanderbilt University; Vanderbilt University; University of Rochester; University of Rochester; AstraZeneca; Medimmune</t>
  </si>
  <si>
    <t xml:space="preserve">Williams, John/ABE-3227-2020; Williams, John/F-6962-2010; Weinberg, Geoffrey/W-7510-2019; Crowe, James/B-5549-2009</t>
  </si>
  <si>
    <t xml:space="preserve">Williams, John/0000-0001-8377-5175; Weinberg, Geoffrey/0000-0002-3900-379X; Crowe, James/0000-0002-0049-1079</t>
  </si>
  <si>
    <t xml:space="preserve">National Institutes of Health [R03 AI-054790]; MedImmune; Centers for Disease Control and Prevention [U38/CCU417958, U01/IP000022, U38/CCU217969, U01/IP000017]</t>
  </si>
  <si>
    <t xml:space="preserve">National Institutes of Health(United States Department of Health &amp; Human ServicesNational Institutes of Health (NIH) - USA); MedImmune(AstraZenecaMedimmune); Centers for Disease Control and Prevention(United States Department of Health &amp; Human ServicesCenters for Disease Control &amp; Prevention - USA)</t>
  </si>
  <si>
    <t xml:space="preserve">Financial support: National Institutes of Health (grant R03 AI-054790 to J.V.W.); MedImmune (research grant to J.E.C.); Centers for Disease Control and Prevention (cooperative agreements U38/CCU417958 and U01/IP000022 with Vanderbilt University and U38/CCU217969 and U01/IP000017 with University of Rochester).</t>
  </si>
  <si>
    <t xml:space="preserve">10.1086/652782</t>
  </si>
  <si>
    <t xml:space="preserve">596LZ</t>
  </si>
  <si>
    <t xml:space="preserve">WOS:000277687900015</t>
  </si>
  <si>
    <t xml:space="preserve">Dare, R; Sanghavi, S; Bullotta, A; Keightley, MC; St George, K; Wadowsky, RM; Paterson, DL; McCurry, KR; Reinhart, TA; Husain, S; Rinaldo, CR</t>
  </si>
  <si>
    <t xml:space="preserve">Dare, Ryan; Sanghavi, Sonali; Bullotta, Arlene; Keightley, Maria-Cristina; St George, Kirsten; Wadowsky, Robert M.; Paterson, David L.; McCurry, Kenneth R.; Reinhart, Todd A.; Husain, Shahid; Rinaldo, Charles R.</t>
  </si>
  <si>
    <t xml:space="preserve">Diagnosis of human metapneumovirus infection in immunosuppressed lung transplant recipients and children evaluated for pertussis</t>
  </si>
  <si>
    <t xml:space="preserve">Human metapneumovirus; Virology; Metapneumovirus</t>
  </si>
  <si>
    <t xml:space="preserve">RESPIRATORY-TRACT INFECTIONS; REVERSE-TRANSCRIPTASE PCR; YOUNG-CHILDREN; GENETIC-VARIABILITY; INFANTS; ASSAY; SPECIMENS; DIVERSITY; DISEASE; ADULTS</t>
  </si>
  <si>
    <t xml:space="preserve">Human metapneumovirus (hMPV) is a recently discovered paramyxovirus that is known to cause respiratory tract infections in children and immunocompromised individuals. Given the difficulties of identifying hMPV by conventional culture, molecular techniques could improve the detection of this virus in clinical specimens. In this study, we developed a real-time reverse transcription-PCR (RT-PCR) assay designed to detect the four genetic lineages of hMPV. This assay and a commercial real-time nucleic acid sequence-based amplification (NASBA) assay (bioMerieux, Durham, NC) were used to determine the prevalence of hMPV in 114 immunosuppressed asymptomatic and symptomatic lung transplant recipients and 232 pediatric patients who were being evaluated for pertussis. hMPV was detected in 4.3% of the immunosuppressed lung transplant recipients and in 9.9% of children evaluated for pertussis. Both RT-PCR and NASBA assays were efficient in detection of hMPV infection in respiratory specimens. Even though hMPV was detected in a small number of the lung transplant recipients, it was still the most prevalent etiologic agent detected in patients with respiratory symptoms. In both of these diverse patient populations, hMPV infection was the most frequent viral respiratory tract infection identified. Given our findings, infection with hMPV infection should be determined as part of the differential diagnosis of respiratory illnesses.</t>
  </si>
  <si>
    <t xml:space="preserve">UPMC, Clin Virol Lab, Pittsburgh, PA 15213 USA; New York State Dept Hlth, Wadsworth Ctr, Albany, NY USA; Univ Pittsburgh, Childrens Hosp, Med Ctr, Pittsburgh, PA 15260 USA; Univ Pittsburgh, Dept Surg, Pittsburgh, PA 15260 USA; Univ Pittsburgh, Dept Infect Dis &amp; Microbiol, Pittsburgh, PA 15260 USA; Univ Pittsburgh, Sch Med, Dept Pathol, Pittsburgh, PA 15260 USA</t>
  </si>
  <si>
    <t xml:space="preserve">Pennsylvania Commonwealth System of Higher Education (PCSHE); University of Pittsburgh; Wadsworth Center; State University of New York (SUNY) System; 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t>
  </si>
  <si>
    <t xml:space="preserve">Rinaldo, CR (corresponding author), UPMC, Clin Virol Lab, A Wing,Room A912,200 Lothrop St, Pittsburgh, PA 15213 USA.</t>
  </si>
  <si>
    <t xml:space="preserve">rinaldocr@upmc.edu</t>
  </si>
  <si>
    <t xml:space="preserve">Paterson, David/A-9258-2010</t>
  </si>
  <si>
    <t xml:space="preserve">Paterson, David/0000-0003-2079-4437; Dare, Ryan/0000-0001-9540-2683; Keightley, Maria-Cristina/0000-0001-8141-4069; Husain, Shahid/0000-0002-9216-5229</t>
  </si>
  <si>
    <t xml:space="preserve">NCATS NIH HHS [UL1 TR000005] Funding Source: Medline</t>
  </si>
  <si>
    <t xml:space="preserve">10.1128/JCM.01621-06</t>
  </si>
  <si>
    <t xml:space="preserve">137CI</t>
  </si>
  <si>
    <t xml:space="preserve">WOS:000244270000046</t>
  </si>
  <si>
    <t xml:space="preserve">Gillespie, L; Gerstenberg, K; Ana-Sosa-Batiz, F; Parsons, MS; Farrukee, R; Krabbe, M; Spann, K; Brooks, AG; Londrigan, SL; Reading, PC</t>
  </si>
  <si>
    <t xml:space="preserve">Gillespie, Leah; Gerstenberg, Kathleen; Ana-Sosa-Batiz, Fernanda; Parsons, Matthew S.; Farrukee, Rubaiyea; Krabbe, Mark; Spann, Kirsten; Brooks, Andrew G.; Londrigan, Sarah L.; Reading, Patrick C.</t>
  </si>
  <si>
    <t xml:space="preserve">DC-SIGN and L-SIGN Are Attachment Factors That Promote Infection of Target Cells by Human Metapneumovirus in the Presence or Absence of Cellular Glycosaminoglycans</t>
  </si>
  <si>
    <t xml:space="preserve">DC-SIGN; Biology; Human metapneumovirus; Viral entry; Endocytic cycle; Virology; Receptor</t>
  </si>
  <si>
    <t xml:space="preserve">RESPIRATORY SYNCYTIAL VIRUS; MOLECULE 3-GRABBING NONINTEGRIN; SIALIC ACID TRANSPORTER; INDUCED MEMBRANE-FUSION; HUMAN DENDRITIC CELLS; HAMSTER OVARY CELLS; F-PROTEIN; INFLUENZA-VIRUS; LOW-PH; ENDOTHELIAL-CELLS</t>
  </si>
  <si>
    <t xml:space="preserve">It is well established that glycosaminoglycans (GAGs) function as attachment factors for human metapneumovirus (HMPV), concentrating virions at the cell surface to promote interaction with other receptors for virus entry and infection. There is increasing evidence to suggest that multiple receptors may exhibit the capacity to promote infectious entry of HMPV into host cells; however, definitive identification of specific transmembrane receptors for HMPV attachment and entry is complicated by the widespread expression of cell surface GAGs. pgsA745 Chinese hamster ovary (CHO) cells are deficient in the expression of cell surface GAGs and resistant to HMPV infection. Here, we demonstrate that the expression of the Ca2+-dependent C-type lectin receptor (CLR) DC-SIGN (CD209L) or L-SIGN (CD209L) rendered pgsA745 cells permissive to HMPV infection. Unlike infection of parental CHO cells, HMPV infection of pgsA745 cells expressing DC-SIGN or L-SIGN was dynamin dependent and inhibited by mannan but not by pretreatment with bacterial heparinase. Parental CHO cells expressing DC-SIGN/L-SIGN also showed enhanced susceptibility to dynamin-dependent HMPV infection, confirming that CLRs can promote HMPV infection in the presence or absence of GAGs. Comparison of pgsA745 cells expressing wild-type and endocytosis-defective mutants of DC-SIGN/L-SIGN indicated that the endocytic function of CLRs was not essential but could contribute to HMPV infection of GAG-deficient cells. Together, these studies confirm a role for CLRs as attachment factors and entry receptors for HMPV infection. Moreover, they define an experimental system that can be exploited to identify transmembrane receptors and entry pathways where permissivity to HMPV infection can be rescued following the expression of a single cell surface receptor. IMPORTANCE On the surface of CHO cells, glycosaminoglycans (GAGs) function as the major attachment factor for human metapneumoviruses (HMPV), promoting dynamin-independent infection. Consistent with this, GAG-deficient pgaA745 CHO cells are resistant to HMPV. However, expression of DC-SIGN or L-SIGN rendered pgsA745 cells permissive to dynamin-dependent infection by HMPV, although the endocytic function of DC-SIGN/L-SIGN was not essential for, but could contribute to, enhanced infection. These studies provide direct evidence implicating DC-SIGN/L-SIGN as an alternate attachment factor for HMPV attachment, promoting dynamin-dependent infection via other unknown receptors in the absence of GAGs. Moreover, we describe a unique experimental system for the assessment of putative attachment and entry receptors for HMPV.</t>
  </si>
  <si>
    <t xml:space="preserve">[Gillespie, Leah; Gerstenberg, Kathleen; Ana-Sosa-Batiz, Fernanda; Parsons, Matthew S.; Krabbe, Mark; Brooks, Andrew G.; Londrigan, Sarah L.; Reading, Patrick C.] Univ Melbourne, Peter Doherty Inst Infect &amp; Immun, Dept Microbiol &amp; Immunol, Melbourne, Vic, Australia; [Farrukee, Rubaiyea; Reading, Patrick C.] Peter Doherty Inst Infect &amp; Immun, Victorian Infect Dis Reference Lab, WHO Collaborating Ctr Reference &amp; Res Influenza, Melbourne, Vic, Australia; [Spann, Kirsten] Queensland Univ Technol, Fac Hlth, Sch Biomed Sci, Brisbane, Qld, Australia</t>
  </si>
  <si>
    <t xml:space="preserve">University of Melbourne; Peter Doherty Institute; University of Melbourne; Peter Doherty Institute; Victorian Infectious Diseases Reference Laboratory; World Health Organization; Queensland University of Technology (QUT)</t>
  </si>
  <si>
    <t xml:space="preserve">Reading, PC (corresponding author), Univ Melbourne, Peter Doherty Inst Infect &amp; Immun, Dept Microbiol &amp; Immunol, Melbourne, Vic, Australia.;Reading, PC (corresponding author), Peter Doherty Inst Infect &amp; Immun, Victorian Infect Dis Reference Lab, WHO Collaborating Ctr Reference &amp; Res Influenza, Melbourne, Vic, Australia.</t>
  </si>
  <si>
    <t xml:space="preserve">preading@unimelb.edu.au</t>
  </si>
  <si>
    <t xml:space="preserve">Farrukee, Rubaiyea/AAD-9218-2022; Spann, Kirsten/B-4524-2013</t>
  </si>
  <si>
    <t xml:space="preserve">Farrukee, Rubaiyea/0000-0001-9023-246X; Spann, Kirsten/0000-0003-0567-8382; Reading, Patrick/0000-0002-8860-5308; Londrigan, Sarah/0000-0003-0989-4971; Brooks, Andrew/0000-0002-4085-9683</t>
  </si>
  <si>
    <t xml:space="preserve">Department of Health \ National Health and Medical Research Council (NHMRC) [1083307, 1027545]; National Health and Medical Research Council of Australia [1083307] Funding Source: NHMRC</t>
  </si>
  <si>
    <t xml:space="preserve">Department of Health \ National Health and Medical Research Council (NHMRC); National Health and Medical Research Council of Australia(National Health &amp; Medical Research Council (NHMRC) of Australia)</t>
  </si>
  <si>
    <t xml:space="preserve">This work, including the efforts of Sarah L. Londrigan and Patrick C. Reading, was funded by Department of Health vertical bar National Health and Medical Research Council (NHMRC) (1083307 and 1027545).</t>
  </si>
  <si>
    <t xml:space="preserve">10.1128/JVI.00537-16</t>
  </si>
  <si>
    <t xml:space="preserve">DU6EM</t>
  </si>
  <si>
    <t xml:space="preserve">WOS:000382306800023</t>
  </si>
  <si>
    <t xml:space="preserve">Rasmussen, LK; Schuette, J; Spaeder, MC</t>
  </si>
  <si>
    <t xml:space="preserve">Rasmussen, Lindsey K.; Schuette, Jennifer; Spaeder, Michael C.</t>
  </si>
  <si>
    <t xml:space="preserve">Albuterol Use in Children Hospitalized with Human Metapneumovirus Respiratory Infection</t>
  </si>
  <si>
    <t xml:space="preserve">INTERNATIONAL JOURNAL OF PEDIATRICS</t>
  </si>
  <si>
    <t xml:space="preserve">Medicine; Human metapneumovirus; Respiratory system</t>
  </si>
  <si>
    <t xml:space="preserve">SYNCYTIAL VIRUS; RISK; INFLUENZA; DISEASE</t>
  </si>
  <si>
    <t xml:space="preserve">Introduction. Human metapneumovirus (HMPV) is a paramyxovirus from the same subfamily as respiratory syncytial virus (RSV) and causes similar acute lower respiratory tract infection. Albuterol in the setting of acute RSV infection is controversial and has not yet been studied in HMPV. We sought to determine the frequency of albuterol use in HMPV infection and the association between albuterol administration and patient outcomes. Methods. We conducted a retrospective cohort study identifying all patients hospitalized in a tertiary care children's hospital with laboratory-confirmed HMPV infection between January 2010 and December 2010. Results. There were 207 patients included in the study; 57% had a chronic medical condition. The median hospital length of stay was 3 days. Only 31% of patients in the study had a documented wheezing history, while 69% of patients received at least one albuterol treatment. There was no difference in length of stay between patients who received albuterol and those who did not. Conclusion. There is a high frequency of albuterol use in children hospitalized with HMPV infection. As with RSV, evidence may not support routine use of bronchodilators in patients with acute HMPV respiratory infection. Research involving additional patient outcomes and illness severity indicators would be useful in future studies.</t>
  </si>
  <si>
    <t xml:space="preserve">[Rasmussen, Lindsey K.; Schuette, Jennifer] Johns Hopkins Med Inst, Div Pediat Anesthesiol &amp; Crit Care Med, 1800 Orleans St, Baltimore, MD 21287 USA; [Spaeder, Michael C.] Univ Virginia, Sch Med, Div Pediat Crit Care, POB 800386, Charlottesville, VA 22908 USA</t>
  </si>
  <si>
    <t xml:space="preserve">Johns Hopkins University; Johns Hopkins Medicine; University of Virginia</t>
  </si>
  <si>
    <t xml:space="preserve">Spaeder, MC (corresponding author), Univ Virginia, Sch Med, Div Pediat Crit Care, POB 800386, Charlottesville, VA 22908 USA.</t>
  </si>
  <si>
    <t xml:space="preserve">ms7uw@hscmail.mcc.virginia.edu</t>
  </si>
  <si>
    <t xml:space="preserve">Spaeder, Michael/0000-0002-6175-8435; Rasmussen, Lindsey/0000-0002-9084-659X</t>
  </si>
  <si>
    <t xml:space="preserve">HINDAWI LTD</t>
  </si>
  <si>
    <t xml:space="preserve">ADAM HOUSE, 3RD FLR, 1 FITZROY SQ, LONDON, W1T 5HF, ENGLAND</t>
  </si>
  <si>
    <t xml:space="preserve">1687-9740</t>
  </si>
  <si>
    <t xml:space="preserve">1687-9759</t>
  </si>
  <si>
    <t xml:space="preserve">INT J PEDIAT</t>
  </si>
  <si>
    <t xml:space="preserve">Int. J. Pediatr.</t>
  </si>
  <si>
    <t xml:space="preserve">10.1155/2016/7021943</t>
  </si>
  <si>
    <t xml:space="preserve">DO6AU</t>
  </si>
  <si>
    <t xml:space="preserve">WOS:000377865300001</t>
  </si>
  <si>
    <t xml:space="preserve">Lê, VB; Dubois, J; Couture, C; Cavanagh, MH; Uyar, O; Pizzorno, A; Rosa-Calatrava, M; Hamelin, ME; Boivin, G</t>
  </si>
  <si>
    <t xml:space="preserve">Vuong B Le; Dubois, Julia; Couture, Christian; Cavanagh, Marie-Helene; Uyar, Olus; Pizzorno, Andres; Rosa-Calatrava, Manuel; Hamelin, Marie-Eve; Boivin, Guy</t>
  </si>
  <si>
    <t xml:space="preserve">Human metapneumovirus activates NOD-like receptor protein 3 inflammasome via its small hydrophobic protein which plays a detrimental role during infection in mice</t>
  </si>
  <si>
    <t xml:space="preserve">PLOS PATHOGENS</t>
  </si>
  <si>
    <t xml:space="preserve">Inflammasome; Human metapneumovirus; Inflammation; AIM2; Caspase 1</t>
  </si>
  <si>
    <t xml:space="preserve">RESPIRATORY SYNCYTIAL VIRUS; NLRP3 INFLAMMASOME; BINDING-PROTEIN; INFLUENZA-VIRUS; SH; IL-1-BETA; INHIBITOR; VIROPORIN; CELLS; IL-18</t>
  </si>
  <si>
    <t xml:space="preserve">NOD-like receptor protein 3 (NLRP3) inflammasome activation triggers caspase-1 activation-induced maturation of interleukin (IL)-1 and IL-18 and therefore is important for the development of the host defense against various RNA viral diseases. However, the implication of this protein complex in human metapneumovirus (HMPV) disease has not been fully studied. Herein, we report that NLRP3 inflammasome plays a detrimental role during HMPV infection because NLRP3 inflammasome inhibition protected mice from mortality and reduced weight loss and inflammation without impacting viral replication. We also demonstrate that NLRP3 inflammasome exerts its deleterious effect via IL-1 production since we observed reduced mortality, weight loss and inflammation in IL-1-deficient (IL-1(-/-)) mice, as compared to wild-type animals during HMPV infection. Moreover, the effect on these evaluated parameters was not different in IL-1(-/-) and wild-type mice treated with an NLRP3 inflammasome inhibitor. The production of IL-1 was also abrogated in bone marrow derived macrophages deficient for NLRP3. Finally, we show that small hydrophobic protein-deleted recombinant HMPV (HMPV SH) failed to activate caspase-1, which is responsible for IL-1 cleavage and maturation. Furthermore, HMPV SH-infected mice had less weight loss, showed no mortality and reduced inflammation, as compared to wild-type HMPV-infected mice. Thus, NLRP3 inflammasome activation seems to be triggered by HMPV SH protein in HMPV disease. In summary, once activated by the HMPV SH protein, NLRP3 inflammasome promotes the maturation of IL-1, which exacerbates HMPV-induced inflammation. Therefore, the blockade of IL-1 production by using NLRP3 inflammasome inhibitors might be a novel potential strategy for the therapy and prevention of HMPV infection. Author summary Human metapneumovirus (HMPV), a negative-stranded, enveloped RNA virus, is recognized as one of the leading causes of acute respiratory disease in children since its discovery in 2001. Nevertheless, there is currently no licensed vaccine for the prevention of HMPV infection and treatment modalities are limited to the use of ribavirin, a weak antiviral agent or immunoglobulins. NOD-like receptor protein 3 (NLRP3) inflammasome has been shown to be involved in the pathogenesis of several RNA viral diseases but its role during HMPV infection has not been fully studied. Here, we report for the first time that NLRP3 inflammasome is activated by the small hydrophobic protein of HMPV, leading to the release of IL-1, which has the potential to exacerbate inflammation. However, NLRP3 inflammasome has no direct influence on viral replication. Thus, IL-1-mediated inflammatory process plays an important role during HMPV infection and, therefore, anti-IL-1 strategies such as the use of NLRP3 inhibitors may be a novel potential approach for the prevention and therapy of HMPV disease.</t>
  </si>
  <si>
    <t xml:space="preserve">[Vuong B Le; Dubois, Julia; Cavanagh, Marie-Helene; Uyar, Olus; Hamelin, Marie-Eve; Boivin, Guy] Laval Univ, Infect Dis Res Ctr, Dept Microbiol Immunol, Quebec City, PQ, Canada; [Dubois, Julia; Pizzorno, Andres; Rosa-Calatrava, Manuel] Univ Claude Bernard Lyon, Lab Virol &amp; Pathol Humaine, Univ Lyon, VirPath Team,CIRI,INSERM U1111,CNRS UMR5308,ENS L, Lyon, France; [Couture, Christian] Laval Univ, Quebec Heart &amp; Lung Inst, Dept Anatomopathol &amp; Cytol, Quebec City, PQ, Canada</t>
  </si>
  <si>
    <t xml:space="preserve">Laval University; Ecole Normale Superieure de Lyon (ENS de LYON); Institut National de la Sante et de la Recherche Medicale (Inserm); Centre National de la Recherche Scientifique (CNRS); CNRS - National Institute for Biology (INSB); Universite Claude Bernard Lyon 1; Quebec Heart &amp; Lung Institute; Laval University</t>
  </si>
  <si>
    <t xml:space="preserve">Boivin, G (corresponding author), Laval Univ, Infect Dis Res Ctr, Dept Microbiol Immunol, Quebec City, PQ, Canada.</t>
  </si>
  <si>
    <t xml:space="preserve">Rosa-calatrava, Manuel/M-7263-2014; Dubois, Julia/AAH-5914-2019; Pizzorno, Andrés/M-9633-2019; Pizzorno, Mario Andres/L-7810-2017</t>
  </si>
  <si>
    <t xml:space="preserve">Rosa-calatrava, Manuel/0000-0002-7559-9527; Boivin, Guy/0000-0003-3027-4662; Pizzorno, Mario Andres/0000-0002-0918-6804; Uyar, Olus/0000-0002-6399-5573; Hamelin, Marie-Eve/0000-0002-7568-5097; Dubois, Julia/0000-0002-9777-2968</t>
  </si>
  <si>
    <t xml:space="preserve">Canadian Institute of Health Research [148361]</t>
  </si>
  <si>
    <t xml:space="preserve">This work was supported by grant from the Canadian Institute of Health Research http://www.cihr-irsc.gc.ca (#148361 to GB). The funder had no role in the study design, data collection and analysis, decision to publish, or preparation of the manuscript.</t>
  </si>
  <si>
    <t xml:space="preserve">1553-7366</t>
  </si>
  <si>
    <t xml:space="preserve">1553-7374</t>
  </si>
  <si>
    <t xml:space="preserve">PLOS PATHOG</t>
  </si>
  <si>
    <t xml:space="preserve">PLoS Pathog.</t>
  </si>
  <si>
    <t xml:space="preserve">e1007689</t>
  </si>
  <si>
    <t xml:space="preserve">10.1371/journal.ppat.1007689</t>
  </si>
  <si>
    <t xml:space="preserve">Microbiology; Parasitology; Virology</t>
  </si>
  <si>
    <t xml:space="preserve">HW5PY</t>
  </si>
  <si>
    <t xml:space="preserve">WOS:000466742700025</t>
  </si>
  <si>
    <t xml:space="preserve">Koo, HJ; Lee, HN; Choi, SH; Sung, H; Kim, HJ; Do, KH</t>
  </si>
  <si>
    <t xml:space="preserve">Koo, Hyun Jung; Lee, Han Na; Choi, Sang Ho; Sung, Heungsup; Kim, Hwa Jung; Do, Kyung-Hyun</t>
  </si>
  <si>
    <t xml:space="preserve">Clinical and Radiologic Characteristics of Human Metapneumovirus Infections in Adults, South Korea</t>
  </si>
  <si>
    <t xml:space="preserve">Human metapneumovirus; Medicine; Pneumonia; Hematopoietic stem cell transplantation</t>
  </si>
  <si>
    <t xml:space="preserve">CELL TRANSPLANT RECIPIENTS; BODY-MASS INDEX; RESPIRATORY VIRAL-INFECTIONS; HEMATOPOIETIC STEM-CELL; RISK-FACTORS; PNEUMONIA; SEROPREVALENCE; EPIDEMIOLOGY; OUTBREAK; YOUNG</t>
  </si>
  <si>
    <t xml:space="preserve">Clinical features of human metapneumovirus (HMPV) infection have not been well documented for adults. We investigated clinical and radiologic features of HMPV infection in 849 adults in a tertiary hospital in South Korea. We classified patients into groups on the basis of underlying diseases: immunocompetent patients, solid tumor patients, solid organ transplantation recipients, hematopoietic stem cell transplant recipients, hematologic malignancy patients, and patients receiving long-term steroid treatment. Of 849 HMPV-infected patients, 756 had community-acquired infections, 579 had pneumonia, and 203 had infections with other pathogens. Mortality rates were highest in hematopoietic stem cell transplantation recipients (22% at 30 days). Older age, current smoking, and underlying disease were associated with HMPV pneumonia. Body mass index and an immunocompromised state were associated with 30-day mortality rates in HMPV-infected patients. Bronchial wall thickening, ground-glass opacity, and ill-defined centrilobular nodules were common computed tomography findings for HMPV pneumonia. Macronodules and consolidation were observed in &lt;50% of patients.</t>
  </si>
  <si>
    <t xml:space="preserve">[Choi, Sang Ho; Sung, Heungsup; Kim, Hwa Jung; Do, Kyung-Hyun] Univ Ulsan, Coll Med, Seoul, South Korea; [Koo, Hyun Jung] Univ Ulsan, Chest &amp; Cardiovasc Sect, Dept Radiol &amp; Res, Asan Med Ctr,Coll Med,Inst Radiol, Seoul, South Korea; [Lee, Han Na] Kyung Hee Univ Hosp, Seoul, South Korea</t>
  </si>
  <si>
    <t xml:space="preserve">University of Ulsan; University of Ulsan; Asan Medical Center; Kyung Hee University; Kyung Hee University Hospital</t>
  </si>
  <si>
    <t xml:space="preserve">Do, KH (corresponding author), Univ Ulsan, Coll Med, Asan Med Ctr, Dept Radiol &amp; Res,Inst Radiol, 88,Olymp Ro 43 Gil, Seoul 05505, South Korea.</t>
  </si>
  <si>
    <t xml:space="preserve">Lee, Han/AAI-7002-2020; choi, sangho/KBQ-3756-2024; Kim, Hyeon/F-8796-2019</t>
  </si>
  <si>
    <t xml:space="preserve">Choi, Sang-Ho/0000-0002-4972-4531; Kim, Hwa Jung/0000-0003-1916-7014</t>
  </si>
  <si>
    <t xml:space="preserve">CENTERS DISEASE CONTROL</t>
  </si>
  <si>
    <t xml:space="preserve">10.3201/eid2501.181131</t>
  </si>
  <si>
    <t xml:space="preserve">HE6TK</t>
  </si>
  <si>
    <t xml:space="preserve">WOS:000453546600003</t>
  </si>
  <si>
    <t xml:space="preserve">Banos-Lara, MD; Harvey, L; Mendoza, A; Simms, D; Chouljenko, VN; Wakamatsu, N; Kousoulas, KG; Guerrero-Plata, A</t>
  </si>
  <si>
    <t xml:space="preserve">Banos-Lara, Ma. Del Roco; Harvey, Lindsey; Mendoza, Alexander; Simms, Dawn; Chouljenko, Vladimir N.; Wakamatsu, Nobuko; Kousoulas, K. Gus; Guerrero-Plata, Antonieta</t>
  </si>
  <si>
    <t xml:space="preserve">Impact and Regulation of Lambda Interferon Response in Human Metapneumovirus Infection</t>
  </si>
  <si>
    <t xml:space="preserve">Human metapneumovirus; Biology; Interferon; Virology; Immune system; Immunology; Innate immune system; Metapneumovirus</t>
  </si>
  <si>
    <t xml:space="preserve">RESPIRATORY SYNCYTIAL VIRUS; POTENT ANTIVIRAL ACTIVITY; HEPATITIS-C VIRUS; IFN-LAMBDA; DENDRITIC CELLS; IN-VIVO; TRACT DISEASE; III IFN; REPLICATION; CHILDREN</t>
  </si>
  <si>
    <t xml:space="preserve">Human metapneumovirus (hMPV) is a respiratory paramyxovirus that is distributed worldwide and induces significant airway morbidity. Despite the relevance of hMPV as a pathogen, many aspects of the immune response to this virus are still largely unknown. In this report, we focus on the antiviral immune response, which is critical for viral clearance and disease resolution. Using in vitro and in vivo systems, we show that hMPV is able to induce expression of lambda interferon 1 (IFN-lambda 1), IFN-lambda 2, IFN-lambda 3, and IFN-lambda 4. The induction of IFN-lambda expression by hMPV was dependent on interferon regulatory factor 7 (IRF-7) expression but not on IRF-3 expression. Treatment of hMPV-infected mice with IFN-lambda reduced the disease severity, lung viral titer, and inflammatory response in the lung. Moreover, the IFN-lambda response induced by the virus was regulated by the expression of the hMPV G protein. These results show that type III interferons (IFN-lambda s) play a critical protective role in hMPV infection. IMPORTANCE Human metapneumovirus (hMPV) is a pathogen of worldwide importance. Despite the relevance of hMPV as a pathogen, critical aspects of the immune response induced by this virus remain unidentified. Interferons (IFNs), including IFN-lambda, the newest addition to the interferon family, constitute an indispensable part of the innate immune response. Here, we demonstrated that IFN-lambda exhibited a protective role in hMPV infection in vitro and in an experimental mouse model of infection.</t>
  </si>
  <si>
    <t xml:space="preserve">[Banos-Lara, Ma. Del Roco; Harvey, Lindsey; Mendoza, Alexander; Simms, Dawn; Chouljenko, Vladimir N.; Wakamatsu, Nobuko; Kousoulas, K. Gus; Guerrero-Plata, Antonieta] Louisiana State Univ, Dept Pathobiol Sci, Baton Rouge, LA 70803 USA; [Chouljenko, Vladimir N.; Kousoulas, K. Gus; Guerrero-Plata, Antonieta] Louisiana State Univ, Ctr Expt Infect Dis Res, Baton Rouge, LA 70803 USA</t>
  </si>
  <si>
    <t xml:space="preserve">Banos Lara, Ma. del Rocio/0000-0002-8455-8671; Guerrero-Plata, Antonieta/0000-0002-0424-2563</t>
  </si>
  <si>
    <t xml:space="preserve">National Institute of Allergy and Infectious Diseases [R03AI081171]; National Center for Research Resources [P20RR020159 09]; National Institute of General Medical Sciences of the National Institutes of Health [P20GM103458-09]; Flight Attendant Medical Research Institute YCSA grant</t>
  </si>
  <si>
    <t xml:space="preserve">National Institute of Allergy and Infectious Diseases(United States Department of Health &amp; Human ServicesNational Institutes of Health (NIH) - USANIH National Institute of Allergy &amp; Infectious Diseases (NIAID)); National Center for Research Resources(United States Department of Health &amp; Human ServicesNational Institutes of Health (NIH) - USANIH National Center for Research Resources (NCRR)); National Institute of General Medical Sciences of the National Institutes of Health(United States Department of Health &amp; Human ServicesNational Institutes of Health (NIH) - USANIH National Institute of General Medical Sciences (NIGMS)); Flight Attendant Medical Research Institute YCSA grant</t>
  </si>
  <si>
    <t xml:space="preserve">This research work was supported by grants from the National Institute of Allergy and Infectious Diseases (R03AI081171), the National Center for Research Resources (P20RR020159 09), and the National Institute of General Medical Sciences (P20GM103458-09) of the National Institutes of Health and by a Flight Attendant Medical Research Institute YCSA grant to A.G.-P.</t>
  </si>
  <si>
    <t xml:space="preserve">10.1128/JVI.02897-14</t>
  </si>
  <si>
    <t xml:space="preserve">AX8RL</t>
  </si>
  <si>
    <t xml:space="preserve">WOS:000347176100061</t>
  </si>
  <si>
    <t xml:space="preserve">Li, YX; Lund, C; Nervik, I; Loevenich, S; Dollner, H; Anthonsen, MW; Johnsen, IB</t>
  </si>
  <si>
    <t xml:space="preserve">Li, Youxian; Lund, Cecilie; Nervik, Ida; Loevenich, Simon; Dollner, Henrik; Anthonsen, Marit W.; Johnsen, Ingvild B.</t>
  </si>
  <si>
    <t xml:space="preserve">Characterization of signaling pathways regulating the expression of pro-inflammatory long form thymic stromal lymphopoietin upon human metapneumovirus infection</t>
  </si>
  <si>
    <t xml:space="preserve">Thymic stromal lymphopoietin; Human metapneumovirus; TANK-binding kinase 1; TLR3; Immunology; Gene silencing; Gene knockdown; Biology; Signal transduction</t>
  </si>
  <si>
    <t xml:space="preserve">NF-KAPPA-B; AIRWAY EPITHELIAL-CELLS; RESPIRATORY-INFECTIONS; EARLY-LIFE; TSLP; ACTIVATION; ASTHMA; RECEPTORS; KINASES; COMPLEX</t>
  </si>
  <si>
    <t xml:space="preserve">Thymic stromal lymphopoietin (TSLP) is associated with several allergic diseases including asthma. Two isoforms of TSLP exist in humans, a long form (lfTSLP) and a short form (sfTSLP), displaying distinct immunological functions. Recently, TSLP was found to be upregulated in human airway cells upon human metapneumovirus (hMPV) infection, yet it remains unclear if the two isoforms are regulated differently during hMPV infection. Importantly, the molecular mechanisms underlying hMPV-mediated TSLP induction remain undescribed. In this study, we characterized the expression and regulation of TSLP in hMPV-infected human airway cells. We demonstrated that hMPV strongly induced the expression of pro-inflammatory lfTSLP in human airway epithelial cells and lung fibroblasts. Further, knockdown of pattern recognition receptors retinoic acid-inducible gene I (RIG-I) or Toll-like receptor 3 (TLR3), as well as downstream signal transducers, abrogated hMPV-mediated lfTSLP induction. Importantly, silencing of TANK-binding kinase 1 (TBK1) also impaired hMPV-mediated lfTSLP induction, which could be attributed to compromised NF-kappa B activation. Overall, these results suggest that TBK1 may be instrumental for hMPV-mediated activation of NF-kappa B downstream RIG-I and TLR3, leading to a specific induction of lfTSLP in hMPV-infected human airway cells.</t>
  </si>
  <si>
    <t xml:space="preserve">[Li, Youxian; Lund, Cecilie; Nervik, Ida; Loevenich, Simon; Dollner, Henrik; Anthonsen, Marit W.; Johnsen, Ingvild B.] Norwegian Univ Sci &amp; Technol, Dept Clin &amp; Mol Med, Fac Med &amp; Hlth Sci, N-7491 Trondheim, Norway; [Dollner, Henrik] St Olavs Univ Hosp, Childrens Dept, N-7030 Trondheim, Norway</t>
  </si>
  <si>
    <t xml:space="preserve">Johnsen, IB (corresponding author), Norwegian Univ Sci &amp; Technol, Dept Clin &amp; Mol Med, Fac Med &amp; Hlth Sci, N-7491 Trondheim, Norway.</t>
  </si>
  <si>
    <t xml:space="preserve">Loevenich, Simon/0000-0001-5424-8755; Li, Youxian/0000-0003-3213-1358</t>
  </si>
  <si>
    <t xml:space="preserve">Research Council of Norway</t>
  </si>
  <si>
    <t xml:space="preserve">The work was funded by the Research Council of Norway. We thank Kristin Rian &amp; Tatyana Sherstova for the excellent technical support.</t>
  </si>
  <si>
    <t xml:space="preserve">JAN 17</t>
  </si>
  <si>
    <t xml:space="preserve">10.1038/s41598-018-19225-0</t>
  </si>
  <si>
    <t xml:space="preserve">FS9DR</t>
  </si>
  <si>
    <t xml:space="preserve">WOS:000422716900017</t>
  </si>
  <si>
    <t xml:space="preserve">Thammawat, S; Sadlon, TA; Hallsworth, PG; Gordon, DL</t>
  </si>
  <si>
    <t xml:space="preserve">Thammawat, Sutthiwan; Sadlon, Tania A.; Hallsworth, Peter G.; Gordon, David L.</t>
  </si>
  <si>
    <t xml:space="preserve">Role of Cellular Glycosaminoglycans and Charged Regions of Viral G Protein in Human Metapneumovirus Infection</t>
  </si>
  <si>
    <t xml:space="preserve">Biology; Human metapneumovirus; Metapneumovirus; Virology; Glycosaminoglycan</t>
  </si>
  <si>
    <t xml:space="preserve">RESPIRATORY SYNCYTIAL VIRUS; HEPARAN-SULFATE; G-GLYCOPROTEIN; ATTACHMENT GLYCOPROTEIN; IN-VITRO; BINDING; CELLS; POLYSACCHARIDES; IDENTIFICATION; REPLICATION</t>
  </si>
  <si>
    <t xml:space="preserve">Human metapneumovirus (hMPV) is an important cause of lower respiratory tract disease, particularly in infants and young children. hMPV has two major glycoproteins, G and F, which are responsible for virus attachment and membrane fusion, respectively. We investigated the role of cellular glycosaminoglycans (GAGs) and G protein in hMPV infection. The pretreatment of hMPV with soluble heparin markedly inhibited the infection of HEp-2 cells. Recombinant G protein, comprising the extracellular domain of G, bound to heparin-agarose columns and also to HEp-2 cells. hMPV infection and G protein binding to HEp-2 cells was inhibited by other soluble GAGs, including chondroitin sulfates, by the enzymatic removal of cell surface GAGs with GAG lyases or by the pretreatment of cells with basic fibroblast growth factor. The role of cellular GAGs was confirmed by the binding of G protein to wild-type CHO cells but not to GAG-deficient CHO-pgsA745 cells. An analysis of the G protein sequence revealed two adjacent clusters of positively charged amino acids ((149)EKKKTRA(155) and (159)QRRGKGKE(166)). Truncated G fragments were expressed, and only the fragment containing these putative heparin binding domains retained heparin binding. The alanine mutagenesis of charged residues in either of these regions resulted in the loss of binding to heparin and to HEp-2 cells, suggesting that both sites are likely to be required for hMPV attachment. These results, taken together with the inhibition of hMPV infection by soluble G protein, indicate an important role for G protein and cellular GAGs in hMPV infection.</t>
  </si>
  <si>
    <t xml:space="preserve">Flinders Univ S Australia, Dept Microbiol &amp; Infect Dis, Adelaide, SA, Australia; Flinders Med Ctr, Adelaide, SA, Australia</t>
  </si>
  <si>
    <t xml:space="preserve">Gordon, DL (corresponding author), Flinders Med Ctr, Dept Microbiol &amp; Infect Dis, Bedford Pk, SA 5042, Australia.</t>
  </si>
  <si>
    <t xml:space="preserve">D.Gordon@flinders.edu.au</t>
  </si>
  <si>
    <t xml:space="preserve">Channel 7 Childrens Research Foundation; Flinders Medical Centre Foundation; Royal Thai Government Ph.D. scholarship</t>
  </si>
  <si>
    <t xml:space="preserve">This work was supported by the Channel 7 Childrens Research Foundation and the Flinders Medical Centre Foundation. S.T. is supported by a Royal Thai Government Ph.D. scholarship.</t>
  </si>
  <si>
    <t xml:space="preserve">10.1128/JVI.01208-08</t>
  </si>
  <si>
    <t xml:space="preserve">370UX</t>
  </si>
  <si>
    <t xml:space="preserve">WOS:000260789700028</t>
  </si>
  <si>
    <t xml:space="preserve">Matsuzaki, Y; Takashita, E; Okamoto, M; Mizuta, K; Itagaki, T; Katsushima, F; Katsushima, Y; Nagai, Y; Nishimura, H</t>
  </si>
  <si>
    <t xml:space="preserve">Matsuzaki, Yoko; Takashita, Emi; Okamoto, Michiko; Mizuta, Katsumi; Itagaki, Tsutomu; Katsushima, Fumio; Katsushima, Yuriko; Nagai, Yukio; Nishimura, Hidekazu</t>
  </si>
  <si>
    <t xml:space="preserve">Evaluation of a New Rapid Antigen Test Using Immunochromatography for Detection of Human Metapneumovirus in Comparison with Real-Time PCR Assay</t>
  </si>
  <si>
    <t xml:space="preserve">Human metapneumovirus; Metapneumovirus; Virology; Medicine</t>
  </si>
  <si>
    <t xml:space="preserve">RESPIRATORY SYNCYTIAL VIRUS; REVERSE TRANSCRIPTION-PCR; INFLUENZA-A; MONOCLONAL-ANTIBODIES; CLINICAL SPECIMENS; TRACT INFECTIONS; DIAGNOSIS; CHILDREN; YAMAGATA; JAPAN</t>
  </si>
  <si>
    <t xml:space="preserve">A new rapid human metapneumovirus (hMPV) detection kit using immunochromatography (SAS hMPV test) was compared to real-time PCR for 224 nasal swab specimens, 96.4% of which were obtained from children of &lt;15 years of age. The overall sensitivity and specificity were 82.3% and 93.8%, respectively, suggesting that this test is useful for pediatricians to diagnose hMPV infection in a clinical setting.</t>
  </si>
  <si>
    <t xml:space="preserve">[Matsuzaki, Yoko] Yamagata Univ, Fac Med, Course Clin Nursing, Yamagata 9909585, Japan; [Takashita, Emi] Yamagata Univ, Fac Med, Dept Infect Dis, Yamagata 9909585, Japan; [Okamoto, Michiko; Nishimura, Hidekazu] Sendai Med Ctr, Div Clin Res, Virus Res Ctr, Sendai, Miyagi 9838520, Japan; [Mizuta, Katsumi] Yamagata Prefectural Inst Publ Hlth, Yamagata 9900031, Japan; [Itagaki, Tsutomu] Yamanobe Pediat Clin, Yamagata 9900301, Japan; [Katsushima, Fumio; Katsushima, Yuriko] Katsushima Pediat Clin, Yamagata 9902461, Japan; [Nagai, Yukio] Nagai Childrens Clin, Sendai, Miyagi 9830045, Japan</t>
  </si>
  <si>
    <t xml:space="preserve">Yamagata University; Yamagata University</t>
  </si>
  <si>
    <t xml:space="preserve">Matsuzaki, Y (corresponding author), Yamagata Univ, Fac Med, Course Clin Nursing, Iida Nishi 2-2-2, Yamagata 9909585, Japan.</t>
  </si>
  <si>
    <t xml:space="preserve">Ohkura Pharmaceutical Co., Ltd</t>
  </si>
  <si>
    <t xml:space="preserve">This work was supported in part by Ohkura Pharmaceutical Co., Ltd.</t>
  </si>
  <si>
    <t xml:space="preserve">10.1128/JCM.00321-09</t>
  </si>
  <si>
    <t xml:space="preserve">489RL</t>
  </si>
  <si>
    <t xml:space="preserve">WOS:000269439600043</t>
  </si>
  <si>
    <t xml:space="preserve">Palavecino, CE; Céspedes, PF; Gómez, RS; Kalergis, AM; Bueno, SM</t>
  </si>
  <si>
    <t xml:space="preserve">Palavecino, Christian E.; Cespedes, Pablo F.; Gomez, Roberto S.; Kalergis, Alexis M.; Bueno, Susan M.</t>
  </si>
  <si>
    <t xml:space="preserve">Immunization with a Recombinant Bacillus Calmette-Guerin Strain Confers Protective Th1 Immunity against the Human Metapneumovirus</t>
  </si>
  <si>
    <t xml:space="preserve">JOURNAL OF IMMUNOLOGY</t>
  </si>
  <si>
    <t xml:space="preserve">Human metapneumovirus; Virology; Immunity; Immunization; Immunology; Immune system; Vaccination</t>
  </si>
  <si>
    <t xml:space="preserve">RESPIRATORY SYNCYTIAL VIRUS; MYCOBACTERIUM-BOVIS BCG; COTTON RATS; BALB/C MICE; T-CELL; VACCINE; INFECTION; TUBERCULOSIS; CHILDREN; DISEASE</t>
  </si>
  <si>
    <t xml:space="preserve">Along with the human respiratory syncytial virus (hRSV), the human metapneumovirus (hMPV) is one of the leading causes of childhood hospitalization and a major health burden worldwide. Unfortunately, owing to an inefficient immunological memory, hMPV infection provides limited immune protection against reinfection. Furthermore, hMPV can induce an inadequate Th2 type immune response that causes severe lung inflammation, leading to airway obstruction. Similar to hRSV, it is likely that an effective clearance of hMPV would require a balanced Th1 type immunity by the host, involving the activation of IFN-gamma-secreting T cells. A recognized inducer of Th1 immunity is Mycobacterium bovis bacillus Calmette-Guerin (BCG), which has been used in newborns for many decades and in several countries as a tuberculosis vaccine. We have previously shown that immunization with BCG strains expressing hRSV Ags can induce an efficient immune response that protects against this virus. In this study, we show that immunization with rBCG strains expressing the phosphoprotein from hMPV also can induce protective Th1 immunity. Mice immunized with rBCG were protected against weight loss, airway inflammation, and viral replication in the lungs after hMPV infection. Our rBCG vaccine also induced the activation of hMPV-specific T cells producing IFN-gamma and IL-2, which could protect from hMPV infection when transferred to recipient mice. These data strongly support the notion that rBCG induces protective Th1 immunity and could be considered as an efficient vaccine against hMPV.</t>
  </si>
  <si>
    <t xml:space="preserve">[Palavecino, Christian E.; Cespedes, Pablo F.; Gomez, Roberto S.; Kalergis, Alexis M.; Bueno, Susan M.] Pontificia Univ Catolica Chile, Inst Milenio Inmunol &amp; Inmunoterapia, Fac Ciencias Biol, Dept Genet Mol &amp; Microbiol, Santiago 8330025, Chile; [Gomez, Roberto S.; Kalergis, Alexis M.; Bueno, Susan M.] INSERM, UMR 1064, F-44093 Nantes, France; [Kalergis, Alexis M.] Pontificia Univ Catolica Chile, Fac Med, Dept Reumatol, Santiago 8330025, Chile</t>
  </si>
  <si>
    <t xml:space="preserve">Pontificia Universidad Catolica de Chile; Institut National de la Sante et de la Recherche Medicale (Inserm); Pontificia Universidad Catolica de Chile</t>
  </si>
  <si>
    <t xml:space="preserve">Bueno, SM (corresponding author), Inst Milenio Inmunol &amp; Inmunoterapia, Fac Ciencias Biol, Dept Genet Mol &amp; Microbiol, Portugal 49, Santiago 8330025, Chile.</t>
  </si>
  <si>
    <t xml:space="preserve">Palavecino, Christian/AAT-7437-2020; Bueno, Susan/KSL-5357-2024</t>
  </si>
  <si>
    <t xml:space="preserve">Kalergis, Alexis/0000-0001-7622-5263; Bueno, Susan M./0000-0002-7551-8088; Cespedes, Pablo/0000-0002-4112-4531; Palavecino, Christian/0000-0002-4581-7327; Cespedes Donoso, Pablo Francisco/0000-0002-1641-4107</t>
  </si>
  <si>
    <t xml:space="preserve">Instituto Milenio en Inmunologia e Inmunoterapia [P09/016-F]; Fondo Nacional de Investigacion Cientifica y Tecnologica [1110397, 1050979, CTU06]; Fondo de Fomento al Desarrollo Cientifico y Tecnologico [D06I1008]; La Region Pays de La Loire; Evaluation-Orientation of Scientific Cooperation France-Chile; Comision Nacional de Ciencia y Tecnologia de Chile</t>
  </si>
  <si>
    <t xml:space="preserve">Instituto Milenio en Inmunologia e Inmunoterapia; Fondo Nacional de Investigacion Cientifica y Tecnologica(Comision Nacional de Investigacion Cientifica y Tecnologica (CONICYT)CONICYT FONDECYT); Fondo de Fomento al Desarrollo Cientifico y Tecnologico; La Region Pays de La Loire(Region Pays de la Loire); Evaluation-Orientation of Scientific Cooperation France-Chile; Comision Nacional de Ciencia y Tecnologia de Chile</t>
  </si>
  <si>
    <t xml:space="preserve">This work was supported by Instituto Milenio en Inmunologia e Inmunoterapia Grant P09/016-F; Fondo Nacional de Investigacion Cientifica y Tecnologica Grants 1110397, 1050979, and CTU06; Fondo de Fomento al Desarrollo Cientifico y Tecnologico Grant D06I1008; Grant Nouvelles Equipes-Nouvelles Thematiques from La Region Pays de La Loire; and an Evaluation-Orientation of Scientific Cooperation France-Chile grant. P.F.C. and R.S.G. are fellows from the Comision Nacional de Ciencia y Tecnologia de Chile. A.M.K. is a Chaire de la Region Pays de la Loire de Chercheur E'tranger d'Excellence.</t>
  </si>
  <si>
    <t xml:space="preserve">AMER ASSOC IMMUNOLOGISTS</t>
  </si>
  <si>
    <t xml:space="preserve">BETHESDA</t>
  </si>
  <si>
    <t xml:space="preserve">9650 ROCKVILLE PIKE, BETHESDA, MD 20814 USA</t>
  </si>
  <si>
    <t xml:space="preserve">0022-1767</t>
  </si>
  <si>
    <t xml:space="preserve">1550-6606</t>
  </si>
  <si>
    <t xml:space="preserve">J IMMUNOL</t>
  </si>
  <si>
    <t xml:space="preserve">J. Immunol.</t>
  </si>
  <si>
    <t xml:space="preserve">10.4049/jimmunol.1300118</t>
  </si>
  <si>
    <t xml:space="preserve">279HJ</t>
  </si>
  <si>
    <t xml:space="preserve">WOS:000328950700023</t>
  </si>
  <si>
    <t xml:space="preserve">Cilla, G; Oñate, E; Perez-Yarza, EG; Montes, M; Vicente, D; Perez-Trallero, E</t>
  </si>
  <si>
    <t xml:space="preserve">Cilla, G.; Onate, E.; Perez-Yarza, E. G.; Montes, M.; Vicente, D.; Perez-Trallero, E.</t>
  </si>
  <si>
    <t xml:space="preserve">Hospitalization rates for human metapneumovirus infection among 0-to 3-year-olds in Gipuzkoa (Basque Country), Spain</t>
  </si>
  <si>
    <t xml:space="preserve">Human metapneumovirus; Incidence (geometry); Medicine; Pediatrics; Metapneumovirus; Population</t>
  </si>
  <si>
    <t xml:space="preserve">RESPIRATORY SYNCYTIAL VIRUS; YOUNG-CHILDREN; TRACT INFECTIONS; PCR ASSAY; PREVALENCE; DISEASE; IDENTIFICATION; CORONAVIRUS; EXPERIENCE; SYMPTOMS</t>
  </si>
  <si>
    <t xml:space="preserve">Numerous studies have been published on human metapneumovirus (HMPV) infection, but few have been population based. The main aim of this study was to estimate the incidence rate of hospitalization for community-acquired HMPV infection in infants and children aged &lt; 3 years. Between July 2004 and June 2007, 796 episodes (742 patients) of community-acquired acute respiratory infection were hospitalized. HMPV was detected in 90 episodes (11.3%). Fifty-nine episodes occurred in infants aged &lt; 1 year. The mean length of hospital stay was 6-2 days (range 2-31 days). Thirteen children required admission to the intensive care unit. Viral co-infections were detected in 46 episodes (51.1 %). The incidence rate of hospitalization per 1000 inhabitants was 2-6 (95 % CI 2.1-3.2), lower than that for respiratory syncytial virus, but higher than that observed for the influenza and parainfluenza viruses. HMPV is a major respiratory pathogen that leads to a high hospitalization rate.</t>
  </si>
  <si>
    <t xml:space="preserve">[Cilla, G.; Montes, M.; Vicente, D.; Perez-Trallero, E.] Hosp Donostia, Microbiol Serv, San Sebastian 20014, Spain; [Onate, E.; Perez-Yarza, E. G.] Hosp Donostia, Dept Pediat, San Sebastian 20014, Spain; [Montes, M.; Vicente, D.; Perez-Trallero, E.] CIBER Enfermedades Resp, San Sebastian, Spain; [Perez-Trallero, E.] Univ Basque Country, Fac Med, Dept Med Prevent &amp; Salud Publ, San Sebastian, Spain</t>
  </si>
  <si>
    <t xml:space="preserve">University Hospital Donostia; University Hospital Donostia; CIBER - Centro de Investigacion Biomedica en Red; CIBERES; University of Basque Country</t>
  </si>
  <si>
    <t xml:space="preserve">Cilla, G (corresponding author), Hosp Donostia, Microbiol Serv, Paseo Dr Beguiristain S-N, San Sebastian 20014, Spain.</t>
  </si>
  <si>
    <t xml:space="preserve">carlosgustavo.cillaeguiluz@osakidetza.net</t>
  </si>
  <si>
    <t xml:space="preserve">This study was funded in part by grant no. 200411079 from the Department of Health of the Basque Government.</t>
  </si>
  <si>
    <t xml:space="preserve">10.1017/S0950268808000666</t>
  </si>
  <si>
    <t xml:space="preserve">389CL</t>
  </si>
  <si>
    <t xml:space="preserve">WOS:000262067800007</t>
  </si>
  <si>
    <t xml:space="preserve">Peiris, JSM; Tang, WH; Chan, KH; Khong, PL; Guan, Y; Lau, YL; Chiu, SS</t>
  </si>
  <si>
    <t xml:space="preserve">Children with respiratory disease associated with metapneumovirus in Hong Kong</t>
  </si>
  <si>
    <t xml:space="preserve">Human metapneumovirus; Bronchiolitis; Metapneumovirus; Medicine; Pneumonia; Exacerbation</t>
  </si>
  <si>
    <t xml:space="preserve">TRACT INFECTIONS; INFLUENZA; COMMUNITY; VIRUSES; ILLNESS; ASTHMA</t>
  </si>
  <si>
    <t xml:space="preserve">Human metapneumovirus (HMPV) is a newly discovered pathogen thought to be associated with respiratory disease. We report the results of a study of 587 children hospitalized with respiratory infection over a 13-month period. HMPV was detected in the nasopharyngeal aspirates from 32 (5.5%) children by reverse transcription-polymerase chain reaction. HMPV infection was associated with clinical diagnoses of pneumonia (36%), asthma exacerbation (23%), or acute bronchiolitis (10%). When compared to those with respiratory syncytial virus infection, children with HMPV infection were older, and wheezing was more likely to represent asthma exacerbation rather than acute bronchiolitis. HMPV viral activity peaked during the spring-summer period in Hong Kong. Phylogenetically, all HMPV virus strains from Hong Kong belonged to one of the two genetic lineages previously described. HMPV contributed to 441.6 hospital admissions per 100,000 population &lt;6 years of age.</t>
  </si>
  <si>
    <t xml:space="preserve">Univ Hong Kong, Queen Mary Hosp, Dept Pediat &amp; Adolescent Med, Hong Kong, Peoples R China</t>
  </si>
  <si>
    <t xml:space="preserve">Chiu, SS (corresponding author), Univ Hong Kong, Queen Mary Hosp, Dept Pediat &amp; Adolescent Med, Pokfulam Rd, Hong Kong, Peoples R China.</t>
  </si>
  <si>
    <t xml:space="preserve">Khong, Pek/C-4292-2009; Chan, Kelvin/HGA-3097-2022; Guan, Yi/ADW-5842-2022; Lau, Yu/C-4322-2009; Chiu, Susan Shui Seng/C-4247-2009; Peiris, Joseph Sriyal Malik/C-4380-2009</t>
  </si>
  <si>
    <t xml:space="preserve">Guan, Yi/0000-0001-6057-9243; Chiu, Susan Shui Seng/0000-0002-3908-1974; Peiris, Joseph Sriyal Malik/0000-0001-8217-5995</t>
  </si>
  <si>
    <t xml:space="preserve">CENTER DISEASE CONTROL</t>
  </si>
  <si>
    <t xml:space="preserve">ATLANTA, GA 30333 USA</t>
  </si>
  <si>
    <t xml:space="preserve">10.3201/eid0906.030009</t>
  </si>
  <si>
    <t xml:space="preserve">685YJ</t>
  </si>
  <si>
    <t xml:space="preserve">WOS:000183291900003</t>
  </si>
  <si>
    <t xml:space="preserve">Herd, KA; Mahalingam, S; Mackay, IM; Nissen, M; Sloots, TP; Tindle, RW</t>
  </si>
  <si>
    <t xml:space="preserve">Cytotoxic T-lymphocyte epitope vaccination protects against human metapneumovirus infection and disease in mice</t>
  </si>
  <si>
    <t xml:space="preserve">Human metapneumovirus; Epitope; Biology; Virology; CTL*; Cytotoxic T cell; Immunology</t>
  </si>
  <si>
    <t xml:space="preserve">RESPIRATORY SYNCYTIAL VIRUS; GENETIC DIVERSITY; F-PROTEIN; P-GENE; SEQUENCE; IMMUNITY; INFANTS; PEPTIDE; PARAMYXOVIRUSES; TRANSCRIPTION</t>
  </si>
  <si>
    <t xml:space="preserve">Human metapneumovirus (hMPV) has emerged as an important human respiratory pathogen causing upper and lower respiratory tract infections in young children and older adults. In addition, hMPV infection is associated with asthma exacerbation in young children. Recent epidemiological evidence indicates that hMPV may cocircullate with human respiratory syncytial virus (hRSV) and mediate clinical disease similar to that seen with hRSV. Therefore, a vaccine for hMPV is highly desirable. In the present study, we used predictive bioinformatics, peptide immunization, and functional T-cell assays to define hMPV cytotoxic T-lymphocyte (CTL) epitopes recognized by mouse T cells restricted through several major histocompatibility complex class I alleles, including HILA-A*0201. We demonstrate that peptide immunization with hMPV CTL epitopes reduces viral load and immunopathollogy in the lungs of hMPV-challenged mice and enhances the expression of Th1-type cytokines (gamma interferon and interleukin-12 [IL-12]) in lungs and regional lymph nodes. In addition, we show that levels of Th2-type cytolkines (IL-10 and IL-4) are significantly lower in hMPV CTL epitope-vaccinated mice challenged with hMPV. These results demonstrate for the first time the efficacy of an hMPV CTL epitope vaccine in the control of hMPV infection in a murine model.</t>
  </si>
  <si>
    <t xml:space="preserve">Royal Childrens Hosp, Sir Albert Sakzewski Virus Res Ctr, Herston, Qld 4029, Australia; Univ Queensland, Clin Med Virol Ctr, St Lucia, Qld 4067, Australia; Univ Canberra, Sch Hlth Sci, Canberra, ACT, Australia; Royal Childrens Hosp, Dept Infect Dis, Brisbane, Qld, Australia</t>
  </si>
  <si>
    <t xml:space="preserve">Royal Children's Hospital Brisbane; University of Queensland; University of Canberra; Royal Children's Hospital Brisbane</t>
  </si>
  <si>
    <t xml:space="preserve">Royal Childrens Hosp, Sir Albert Sakzewski Virus Res Ctr, Herston Rd, Herston, Qld 4029, Australia.</t>
  </si>
  <si>
    <t xml:space="preserve">r.tindle@uq.edu.au</t>
  </si>
  <si>
    <t xml:space="preserve">Sloots, Theo/E-6118-2011; Nissen, Michael/M-6823-2013; Mackay, Ian M./B-2537-2010</t>
  </si>
  <si>
    <t xml:space="preserve">10.1128/JVI.80.4.2034-2044.2006</t>
  </si>
  <si>
    <t xml:space="preserve">011DQ</t>
  </si>
  <si>
    <t xml:space="preserve">WOS:000235248500042</t>
  </si>
  <si>
    <t xml:space="preserve">Mackay, IM; Bialasiewicz, S; Jacob, KC; McQueen, E; Arden, KE; Nissen, MD; Sloots, TP</t>
  </si>
  <si>
    <t xml:space="preserve">Mackay, Ian M.; Bialasiewicz, Seweryn; Jacob, Kevin C.; McQueen, Emily; Arden, Katherine E.; Nissen, Michael D.; Sloots, Theo P.</t>
  </si>
  <si>
    <t xml:space="preserve">Genetic diversity of human metapneumovirus over 4 consecutive years in Australia</t>
  </si>
  <si>
    <t xml:space="preserve">Human metapneumovirus; Metapneumovirus; Genetic diversity; Virology; Biology; Respiratory tract infections</t>
  </si>
  <si>
    <t xml:space="preserve">RESPIRATORY-TRACT DISEASE; TRANSCRIPTASE-PCR ASSAY; CHILDREN; VARIABILITY; INFECTIONS; VIRUSES</t>
  </si>
  <si>
    <t xml:space="preserve">The molecular epidemiologic profile of human metapneumovirus (hMPV) infection has likely been skewed toward certain genetic subtypes because of assay-design issues, and no comprehensive studies have been conducted to date. Here, reverse-transcription polymerase chain reaction was used to screen 10,319 specimens from patients presenting to hospitals with suspected respiratory tract infections during 2001 - 2004. After analysis of 727 Australian hMPV strains, 640 were assigned to 1 of 4 previously described subtypes. hMPV was the most common pathogen detected, and subtype B1 was the most common lineage. Concurrent, annual circulation of all 4 hMPV subtypes in our study population was common, with a single, usually different hMPV subtype predominating in each year.</t>
  </si>
  <si>
    <t xml:space="preserve">Univ Queensland, Clin &amp; Med Virol Ctr, St Lucia, Qld 4067, Australia</t>
  </si>
  <si>
    <t xml:space="preserve">University of Queensland</t>
  </si>
  <si>
    <t xml:space="preserve">Mackay, IM (corresponding author), Royal Childrens Hosp, QPID Lab, SASVRC, Herston, Qld 4029, Australia.</t>
  </si>
  <si>
    <t xml:space="preserve">Bialasiewicz, Seweryn/F-1414-2010; Sloots, Theo/E-6118-2011; Nissen, Michael/M-6823-2013; Arden, Katherine/D-7970-2017; Mackay, Ian M./B-2537-2010</t>
  </si>
  <si>
    <t xml:space="preserve">Nissen, Michael/0000-0003-1686-3313; Arden, Katherine/0000-0003-3195-124X; Mackay, Ian M./0000-0003-3598-2350; Bialasiewicz, Seweryn/0000-0001-9474-6943</t>
  </si>
  <si>
    <t xml:space="preserve">10.1086/504260</t>
  </si>
  <si>
    <t xml:space="preserve">042TV</t>
  </si>
  <si>
    <t xml:space="preserve">WOS:000237553400004</t>
  </si>
  <si>
    <t xml:space="preserve">McAdam, AJ; Hasenbein, ME; Feldman, HA; Cole, SE; Offermann, JT; Riley, AM; Lieu, TA</t>
  </si>
  <si>
    <t xml:space="preserve">Human metapneumovirus in children tested at a tertiary-care hospital</t>
  </si>
  <si>
    <t xml:space="preserve">Human metapneumovirus; Medicine; Etiology; Epidemiology; Pediatrics; Metapneumovirus; Respiratory system</t>
  </si>
  <si>
    <t xml:space="preserve">RESPIRATORY SYNCYTIAL VIRUS; COMMUNITY-ACQUIRED PNEUMONIA; REVERSE TRANSCRIPTION-PCR; RISK-FACTORS; INFECTION; INFLUENZA; INFANTS; BRONCHIOLITIS; ETIOLOGY; YOUNG</t>
  </si>
  <si>
    <t xml:space="preserve">Background. Respiratory infections are the leading cause of outpatient visits in the United States, but the etiology of many of these infections is unknown. Human metapneumovirus (hMPV) is a recently discovered virus that causes respiratory infections. Methods. Respiratory specimens obtained from patients less than or equal to18 years old, between 1 October 2000 and 31 August 2002, were tested for hMPV. The results of testing for other viruses and epidemiological information were obtained from the hospital databases. A logistic regression model, including sex and age of the patient and year and season in which the specimen was obtained, was used to determine the factors associated with hMPV infection. Results. hMPV was detected in 6.2% of patients tested and was significantly more common among children 3-24 months old than in older or younger children. The seasonal occurrence of hMPV was similar to that of respiratory syncytial virus and influenza virus, with most cases occurring in the winter and spring. In this tertiary care-center population, patients with hMPV infection often had underlying chronic conditions. Conclusions. hMPV is common among young children with apparent respiratory infections, suggesting that it is a significant cause of symptomatic respiratory infections.</t>
  </si>
  <si>
    <t xml:space="preserve">Childrens Hosp, Dept Lab Med, Boston, MA 02115 USA; Childrens Hosp, Clin Res Program, Boston, MA 02115 USA; Childrens Hosp, Div Gen Pediat, Boston, MA 02115 USA; Harvard Univ, Sch Med, Dept Pathol, Boston, MA 02115 USA; Harvard Univ, Sch Med, Dept Ambulatory Care &amp; Prevent, Ctr Child Hlth Care Studies, Boston, MA 02115 USA; Harvard Pilgrim Hlth Care, Boston, MA USA</t>
  </si>
  <si>
    <t xml:space="preserve">Harvard University; Boston Children's Hospital; Harvard University; Boston Children's Hospital; Harvard University; Boston Children's Hospital; Harvard University; Harvard Medical School; Harvard University; Harvard Medical School; Harvard Pilgrim Health Care</t>
  </si>
  <si>
    <t xml:space="preserve">Childrens Hosp, Dept Lab Med, 300 Longwood Ave, Boston, MA 02115 USA.</t>
  </si>
  <si>
    <t xml:space="preserve">alexander.mcadam@tch.harvard.edu</t>
  </si>
  <si>
    <t xml:space="preserve">Feldman, Henry/M-2302-2013</t>
  </si>
  <si>
    <t xml:space="preserve">10.1086/421120</t>
  </si>
  <si>
    <t xml:space="preserve">828VV</t>
  </si>
  <si>
    <t xml:space="preserve">WOS:000222002700003</t>
  </si>
  <si>
    <t xml:space="preserve">Ma, XM; Endo, R; Ebihara, T; Ishiguro, N; Ishiko, H; Kikuta, H</t>
  </si>
  <si>
    <t xml:space="preserve">Production and characterization of neutralizing monoclonal antibodies against human metapneumovirus F protein</t>
  </si>
  <si>
    <t xml:space="preserve">HYBRIDOMA</t>
  </si>
  <si>
    <t xml:space="preserve">Human metapneumovirus; Virology; Monoclonal antibody; Metapneumovirus; Neutralization; Biology; Antigen; Antibody</t>
  </si>
  <si>
    <t xml:space="preserve">RESPIRATORY SYNCYTIAL VIRUS; G-GLYCOPROTEIN; SUBGROUP-A; ANTIGENIC STRUCTURE; GENETIC DIVERSITY; SEQUENCE; INFECTION</t>
  </si>
  <si>
    <t xml:space="preserve">Human metapneumovirus (hMPV) F protein promotes fusion of viral and cell membranes, and is thought to be a major antigenic determinant that mediates effective neutralization and protection against hMPV infection. In this paper, the development of two mouse monoclonal antibodies (MAbs) by immunization with hMPV-infected cells is described. Immunofluorescence assay (IFA) using hMPV F protein-expressing cells indicated that two MAbs, designated 1G3 and 9B10, recognized hMPV F protein. Both MAbs were found to be reactive to two groups of hMPV by an IFA using two groups of hMPV-infected cells. The 9B10 mAb had strong neutralizing activity against both groups of hMPV, while the 1G3 MAb had only weak neutralization activity. These results indicate that the hMPV F protein is a major antigenic determinant that mediates extensive cross-lineage neutralization and protection. Production of MAbs to the hMPV F protein is critical for development of diagnostic techniques, vaccine research, and studies on viral pathogenesis.</t>
  </si>
  <si>
    <t xml:space="preserve">Hokkaido Univ, Grad Sch Med, Dept Pediat, Sapporo, Hokkaido, Japan; Mitsubishi Kagaku Bioclin lab, Dept Infect Dis, Tokyo, Japan</t>
  </si>
  <si>
    <t xml:space="preserve">Touei Hosp, Pediat Clin, Higashi Ku, N-41,E-16, Sapporo, Hokkaido 0070841, Japan.</t>
  </si>
  <si>
    <t xml:space="preserve">hide-ki@touei.or.jp</t>
  </si>
  <si>
    <t xml:space="preserve">1554-0014</t>
  </si>
  <si>
    <t xml:space="preserve">1557-8348</t>
  </si>
  <si>
    <t xml:space="preserve">Hybridoma</t>
  </si>
  <si>
    <t xml:space="preserve">10.1089/hyb.2005.24.201</t>
  </si>
  <si>
    <t xml:space="preserve">Biochemical Research Methods; Biotechnology &amp; Applied Microbiology; Immunology</t>
  </si>
  <si>
    <t xml:space="preserve">Biochemistry &amp; Molecular Biology; Biotechnology &amp; Applied Microbiology; Immunology</t>
  </si>
  <si>
    <t xml:space="preserve">959HD</t>
  </si>
  <si>
    <t xml:space="preserve">WOS:000231507900005</t>
  </si>
  <si>
    <t xml:space="preserve">Guerrero-Plata, A; Casola, A; Garofalo, RP</t>
  </si>
  <si>
    <t xml:space="preserve">Human metapneumovirus induces a profile of lung cytokines distinct from that of respiratory syncytial virus</t>
  </si>
  <si>
    <t xml:space="preserve">Human metapneumovirus; Biology; Chemokine; Metapneumovirus; Cytokine; Mononegavirales; Paramyxoviridae; Tumor necrosis factor alpha; Immunology; Virology</t>
  </si>
  <si>
    <t xml:space="preserve">VIRAL REPLICATION; EPITHELIAL-CELLS; TRACT DISEASE; GM-CSF; INFECTION; CHILDREN; BRONCHIOLITIS; INFLAMMATION; CHEMOKINES; RESPONSES</t>
  </si>
  <si>
    <t xml:space="preserve">Lung cytokine and chemokine production by BALB/c mice infected with human metapneumovirus (hMPV) was compared to respiratory syncytial virus (RSV)-infected mice. hMPV infection induced lower levels of the inflammatory cytokines interleukin-1 (IL-1), IL-6 and tumor necrosis factor alpha but was a more potent inducer of granulocyte-macrophage colony-stimulating factor and triggered a more sustained production of the CXC chemokine KC compared to RSV. hMPV was a stronger inducer of both alpha interferon (IFN-alpha) and IFN-gamma responses than RSV. In regard to immunomodulatory cytokines, hMPV failed to induce detectable IL-10 or IL-12p70 but was a potent inducer of IL-12 p40 subunit. The implications for hMPV pathogenesis are discussed.</t>
  </si>
  <si>
    <t xml:space="preserve">Univ Texas, Med Branch, Dept Pediat, Galveston, TX 77555 USA; Univ Texas, Med Branch, Dept Microbiol &amp; Immunol, Galveston, TX 77555 USA; Univ Texas, Med Branch, Sealy Ctr Vaccine Dev, Galveston, TX 77555 USA</t>
  </si>
  <si>
    <t xml:space="preserve">NHLBI NIH HHS [N01 HV028184] Funding Source: Medline; NIAID NIH HHS [AI053785, R21 AI053785] Funding Source: Medline</t>
  </si>
  <si>
    <t xml:space="preserve">10.1128/JVI.79.23.14992-14997.2005</t>
  </si>
  <si>
    <t xml:space="preserve">984CE</t>
  </si>
  <si>
    <t xml:space="preserve">WOS:000233279300056</t>
  </si>
  <si>
    <t xml:space="preserve">van den Hoogen, BG; Herfst, S; de Graaf, M; Sprong, L; van Lavieren, R; van Amerongen, G; Yüksel, S; Fouchier, RAM; Osterhaus, ADME; de Swart, RL</t>
  </si>
  <si>
    <t xml:space="preserve">van den Hoogen, Bernadette G.; Herfst, Sander; de Graaf, Miranda; Sprong, Leo; van Lavieren, Rob; van Amerongen, Geert; Yuksel, Selma; Fouchier, Ron A. M.; Osterhaus, Albert D. M. E.; de Swart, Rik L.</t>
  </si>
  <si>
    <t xml:space="preserve">Experimental infection of macaques with human metapneumovirus induces transient protective immunity</t>
  </si>
  <si>
    <t xml:space="preserve">Virology; Biology; Human metapneumovirus; Metapneumovirus; Immunity</t>
  </si>
  <si>
    <t xml:space="preserve">FUSION F PROTEIN; VACCINE; CHILDREN; HMPV; REINFECTION; SYMPTOMS; RECOVERY; DELETION; LACKING; ASSAY</t>
  </si>
  <si>
    <t xml:space="preserve">Human metapneumovirus (hMPV), a member of the family Paramyxoviridae, is a causative agent of acute respiratory-tract illness. Two main hMPV lineages circulate worldwide and reinfections occur frequently. It is unclear what level of protection is induced by natural hMPV infection, what the durability of this protection is and whether it differs for reinfection with homologous or heterologous viruses. Here, protective immunity in cynomolgus macaques at different time points after inoculation with molecularly cloned prototype viruses of the two main lineages of hMPV has been addressed. Animals received a homologous challenge at 4, 6 or 12 weeks after the primary infection. In addition, animals that had been inoculated three times within 10 weeks were challenged with homologous or heterologous virus 8 months later. Primary infection with 10(7) TCID50 resulted in virus shedding and induction of virus-neutralizing antibody responses, with higher titres against the homologous than the heterologous virus. Infections associated with virus shedding and seroconversion protected completely from homologous reinfection within 6 weeks, and partly at 12 weeks, after primary infection. Eight months later, protection had waned to virtually undetectable levels. This study demonstrates that experimental hMPV infection induces transient protective immunity.</t>
  </si>
  <si>
    <t xml:space="preserve">Erasmus MC, Dept Virol, NL-3000 CA Rotterdam, Netherlands</t>
  </si>
  <si>
    <t xml:space="preserve">van den Hoogen, BG (corresponding author), Erasmus MC, Dept Virol, POB 2040, NL-3000 CA Rotterdam, Netherlands.</t>
  </si>
  <si>
    <t xml:space="preserve">de Graaf, Miranda/K-1262-2018; Herfst, Sander/HZK-7555-2023; van den Hoogen, Bernadette/J-5461-2013; Fouchier, Ron/A-1911-2014; De Swart, Rik/E-6508-2011</t>
  </si>
  <si>
    <t xml:space="preserve">Fouchier, Ron/0000-0001-8095-2869; Herfst, Sander/0000-0001-9866-8903; De Swart, Rik/0000-0003-3599-8969; Osterhaus, Albert/0000-0002-6074-1172</t>
  </si>
  <si>
    <t xml:space="preserve">10.1099/vir.0.82663-0</t>
  </si>
  <si>
    <t xml:space="preserve">154FY</t>
  </si>
  <si>
    <t xml:space="preserve">WOS:000245493500020</t>
  </si>
  <si>
    <t xml:space="preserve">Koo, HJ; Lee, HN; Choi, SH; Sung, H; Oh, SY; Shin, SY; Kim, HJ; Do, KH</t>
  </si>
  <si>
    <t xml:space="preserve">Koo, Hyun Jung; Lee, Han Na; Choi, Sang Ho; Sung, Heungsup; Oh, Sang Young; Shin, So Youn; Kim, Hwa Jung; Do, Kyung-Hyun</t>
  </si>
  <si>
    <t xml:space="preserve">Human Metapneumovirus Infection: Pneumonia Risk Factors in Patients With Solid Organ Transplantation and Computed Tomography Findings</t>
  </si>
  <si>
    <t xml:space="preserve">Human metapneumovirus; Medicine; Metapneumovirus; Hazard ratio; Pneumonia; Internal medicine; Coinfection; Pleural effusion</t>
  </si>
  <si>
    <t xml:space="preserve">RESPIRATORY VIRAL-INFECTIONS; CELL; RECIPIENTS; EPIDEMIOLOGY</t>
  </si>
  <si>
    <t xml:space="preserve">Background Human metapneumovirus (HMPV) is a newly detected pathogen that can cause lower respiratory tract disease. Clinical characteristics, computed tomography (CT) findings, and outcomes of HMPV pneumonia in patients with solid organ transplantation (SOT) have not been well demonstrated. Methods Between January 2010 and February 2016, clinical and imaging findings of 59 patients with SOT (types of organ: kidney, 37; liver, 16; heart, 4; and pancreas and kidney, 2) who had HMPV infection detected in nasopharyngeal or bronchoalveolar lavage by reverse transcription polymerase chain reaction were retrospectively evaluated. Results Most (90%) of the patients were detected between March and June. In the 59 patients with SOT with upper respiratory tract infection (URI), 29 (49%) progressed to lower respiratory tract disease after a median of 7 days (range, 2-31 days). Coinfection was noted in 39% of the patients. In Cox proportional hazards analysis, low lymphocyte count (0.7 x 10(3)/L; hazard ratio, 2.24; 95% confidence interval, 1.04-4.85; P = 0.04) and high C-reactive protein (&gt;10 mg/dL; hazard ratio, 2.93; 95% confidence interval, 1.19-7.21; P = 0.02) at URI diagnosis were associated with HMPV pneumonia. On CT, HMPV pneumonia presented as bilateral ill-defined centrilobular nodules, consolidation and ground-glass opacities, whereas lymphadenopathy or effusion is not common. There were no significantly different imaging CT findings between patients with HMPV infection alone and those with coinfection. Conclusions Human metapneumovirus pneumonias were detected in nearly half of patients with SOT showing URI symptoms with positive HMPV, and low lymphocyte count and high C-reactive protein at URI diagnosis were significant factors associated with HMPV pneumonia.</t>
  </si>
  <si>
    <t xml:space="preserve">[Koo, Hyun Jung; Oh, Sang Young; Do, Kyung-Hyun] Univ Ulsan, Dept Radiol, Asan Med Ctr, Coll Med, 88 Olymp Ro 43 Gil, Seoul 05505, South Korea; [Koo, Hyun Jung; Oh, Sang Young; Do, Kyung-Hyun] Univ Ulsan, Res Inst Radiol, Asan Med Ctr, Coll Med, 88 Olymp Ro 43 Gil, Seoul 05505, South Korea; [Lee, Han Na] Kyung Hee Univ Hosp Gangdong, Dept Radiol, Seoul, South Korea; [Choi, Sang Ho] Univ Ulsan, Div Infect Dis, Dept Pulm &amp; Crit Care Med, Asan Med Ctr,Coll Med, Seoul, South Korea; [Sung, Heungsup] Univ Ulsan, Dept Lab Med, Asan Med Ctr, Coll Med, Seoul, South Korea; [Shin, So Youn] Kyung Hee Univ, Kyung Hee Univ Hosp, Dept Radiol, Coll Med, Seoul, South Korea; [Kim, Hwa Jung] Univ Ulsan, Dept Clin Epidemiol &amp; Biostat, Asan Med Ctr, Coll Med,Canc Ctr, Seoul, South Korea</t>
  </si>
  <si>
    <t xml:space="preserve">University of Ulsan; University of Ulsan; Kyung Hee University; Kyung Hee University Hospital; University of Ulsan; Asan Medical Center; University of Ulsan; Asan Medical Center; Kyung Hee University; Kyung Hee University Hospital; University of Ulsan; Asan Medical Center</t>
  </si>
  <si>
    <t xml:space="preserve">Do, KH (corresponding author), Univ Ulsan, Dept Radiol, Asan Med Ctr, Coll Med, 88 Olymp Ro 43 Gil, Seoul 05505, South Korea.;Do, KH (corresponding author), Univ Ulsan, Res Inst Radiol, Asan Med Ctr, Coll Med, 88 Olymp Ro 43 Gil, Seoul 05505, South Korea.</t>
  </si>
  <si>
    <t xml:space="preserve">Lee, Han/AAI-7002-2020; Kim, Hyeon/F-8796-2019; choi, sangho/KBQ-3756-2024</t>
  </si>
  <si>
    <t xml:space="preserve">Kim, Hwa Jung/0000-0003-1916-7014</t>
  </si>
  <si>
    <t xml:space="preserve">10.1097/TP.0000000000001965</t>
  </si>
  <si>
    <t xml:space="preserve">GB3FT</t>
  </si>
  <si>
    <t xml:space="preserve">WOS:000428942200040</t>
  </si>
  <si>
    <t xml:space="preserve">Dou, Y; Zhao, Y; Zhang, ZY; Mao, HW; Tu, WW; Zhao, XD</t>
  </si>
  <si>
    <t xml:space="preserve">Dou, Ying; Zhao, Yao; Zhang, Zhi-yong; Mao, Hua-wei; Tu, Wen-wei; Zhao, Xiao-dong</t>
  </si>
  <si>
    <t xml:space="preserve">Respiratory Syncytial Virus Infection Induces Higher Toll-Like Receptor-3 Expression and TNF-α Production Than Human Metapneumovirus Infection</t>
  </si>
  <si>
    <t xml:space="preserve">Human metapneumovirus; Virology; Immunology; Virus; Biology; Metapneumovirus</t>
  </si>
  <si>
    <t xml:space="preserve">AIRWAY EPITHELIAL-CELLS; DOUBLE-STRANDED-RNA; NF-KAPPA-B; INNATE IMMUNITY; SIGNALING PATHWAY; YOUNG-CHILDREN; TRACT DISEASE; BRONCHIOLITIS; RECOGNITION; INDUCTION</t>
  </si>
  <si>
    <t xml:space="preserve">Respiratory syncytial virus (RSV) and human metapneumovirus (hMPV) are common causes of respiratory infections in children. Diseases caused by hMPV are generally considered to be less severe than those caused by RSV; the underlying mechanisms, however, remain unknown. In the present study, the expressions of TLRs in airway epithelial cells and lungs of BALB/c mice infected by hMPV or RSV were measured in an attempt to explore the differences in the airway inflammation caused by the two viruses. Our results demonstrate that both hMPV and RSV infection upregulated the expressions of TLRs and inflammatory cytokines. Specifically, the TLR3 expression was revealed to be elevated in vitro and in mouse lungs. IFN-alpha produced by A549 cells after RSV or hMPV infection remained undistinguishable, whereas production of TNF-alpha was significantly higher after RSV infection than hMPV infection either in the presence or absence of Poly I: C. This study provides a clue that more severe clinical syndrome of RSV infection may be due to the greater magnitude of induction of airway inflammation by RSV involving TLR3 activation and production of TNF-alpha.</t>
  </si>
  <si>
    <t xml:space="preserve">[Dou, Ying] Chongqing Med Univ, Childrens Hosp, Inst Pediat, Lab Biosafety 2, Chongqing, Peoples R China; [Zhao, Xiao-dong] Chongqing Med Univ, Childrens Hosp, Minist Educ, Key Lab Child Dev &amp; Disorders, Chongqing, Peoples R China; [Zhao, Yao] Chongqing Med Univ, Childrens Hosp, Key Lab Pediat Chongqing, Chongqing, Peoples R China; [Zhang, Zhi-yong] Chongqing Med Univ, Childrens Hosp, Chongqing Int Sci &amp; Technol Cooperat Ctr Child De, Chongqing, Peoples R China; [Mao, Hua-wei; Tu, Wen-wei] Univ Hong Kong, Dept Pediat &amp; Adolescent Med, Hong Kong, Hong Kong, Peoples R China</t>
  </si>
  <si>
    <t xml:space="preserve">Chongqing Medical University; Chongqing Medical University; Chongqing Medical University; Chongqing Medical University; University of Hong Kong</t>
  </si>
  <si>
    <t xml:space="preserve">Zhao, XD (corresponding author), Chongqing Med Univ, Childrens Hosp, Minist Educ, Key Lab Child Dev &amp; Disorders, Chongqing, Peoples R China.</t>
  </si>
  <si>
    <t xml:space="preserve">zhaoxd530@aliyun.com</t>
  </si>
  <si>
    <t xml:space="preserve">Mao, Huawei/C-9255-2012; zhao, xd/HJX-9525-2023</t>
  </si>
  <si>
    <t xml:space="preserve">This work was supported by National Natural Science Foundation of China (30730098) and Excellent Youth Foundation of Chongqing Scientific Committee (CSTC, 2008BA5040). The funders had no role in study design, data collection and analysis, decision to publish, or preparation of the manuscript.</t>
  </si>
  <si>
    <t xml:space="preserve">SEP 9</t>
  </si>
  <si>
    <t xml:space="preserve">e73488</t>
  </si>
  <si>
    <t xml:space="preserve">10.1371/journal.pone.0073488</t>
  </si>
  <si>
    <t xml:space="preserve">244QV</t>
  </si>
  <si>
    <t xml:space="preserve">WOS:000326405300080</t>
  </si>
  <si>
    <t xml:space="preserve">Boivin, G; De Serres, G; Hamelin, ME; Côté, S; Argouin, M; Tremblay, G; Maranda-Aubut, R; Sauvageau, C; Ouakki, M; Boulianne, N; Couture, C</t>
  </si>
  <si>
    <t xml:space="preserve">Boivin, Guy; De Serres, Gaston; Hamelin, Marie-Eve; Cote, Stephanie; Argouin, Marco; Tremblay, Genevieve; Maranda-Aubut, Renee; Sauvageau, Chantal; Ouakki, Manale; Boulianne, Nicole; Couture, Christian</t>
  </si>
  <si>
    <t xml:space="preserve">An outbreak of severe respiratory tract infection due to human metapneumovirus in a long-term care facility</t>
  </si>
  <si>
    <t xml:space="preserve">Human metapneumovirus; Medicine; Case fatality rate; Outbreak; Bronchiolitis</t>
  </si>
  <si>
    <t xml:space="preserve">YOUNG-CHILDREN; BALB/C MICE; DISEASE; ADULTS; VIRUS; SEROPREVALENCE; PATHOGENESIS; REPLICATION; PCR</t>
  </si>
  <si>
    <t xml:space="preserve">Background. Human metapneumovirus (hMPV) is a newly described paramyxovirus that is mainly associated with bronchiolitis in children. We sought to describe the epidemiological, virological, and histopathological findings associated with a large outbreak of hMPV infection in a long-term care facility. Methods. An investigation of the outbreak was performed by public health authorities, who used standardized questionnaires to collect relevant clinical information from all residents of the facility. Nasopharyngeal samples were obtained from a subset of patients who had influenza-like illnesses for testing by viral culture and reverse-transcriptase polymerase chain reaction. Lung tissue samples from a patient whose case was fatal were available for molecular, histopathological, and immunohistochemical testing. Results. A total of 96 (27%) of 364 residents of a long-term care facility presented with respiratory or constitutional symptoms between 1 January 2006 and 15 February 2006. The attack rate in the most affected ward was 72% ( 31 of 43 patients), which included 4 of the 6 polymerase chain reaction - confirmed cases of hMPV infection. In contrast, viral culture results were positive for hMPV in only 2 of the 5 polymerase chain reaction positive samples tested. The most reported diagnosis was an upper respiratory tract infection or an influenza-like illness, although 21% of residents in 1 of the 3 wards that had confirmed cases of hMPV infection had lower respiratory tract infections. The fatality rate was 50% ( 3 of 6 patients) among confirmed cases and 9.4% ( 9 of 96 patients) among patients with possible cases. A patient with a fatal case had histopathological findings that confirmed the presence of hMPV RNA and proteins in the bronchiolar epithelium of affected lobes. Phylogenetic analysis revealed the presence of 2 distinct strains of hMPV circulating simultaneously on different wards. Conclusion. hMPV can be associated with important outbreaks of acute respiratory tract infection in elderly institutionalized persons.</t>
  </si>
  <si>
    <t xml:space="preserve">CHUQ, CHUL, Res Ctr Infect Dis, Quebec City, PQ G1V 4G2, Canada; Univ Laval, Quebec City, PQ G1K 7P4, Canada; Laval Hosp, Quebec Natl Inst Publ Hlth, Quebec City, PQ, Canada; Laval Hosp, Ctr Sante &amp; Serv Sociaux Vielle Capitale, Quebec City, PQ, Canada; Laval Hosp, Direc Reg Sante Publ Capitale Natl, Quebec City, PQ, Canada; Laval Hosp, Heart &amp; Lung Inst, Quebec City, PQ, Canada</t>
  </si>
  <si>
    <t xml:space="preserve">Laval University; Laval University; Quebec Heart &amp; Lung Institute</t>
  </si>
  <si>
    <t xml:space="preserve">Boivin, G (corresponding author), CHUQ, CHUL, Res Ctr Infect Dis, Room RC-709,2705 Blvd, Quebec City, PQ G1V 4G2, Canada.</t>
  </si>
  <si>
    <t xml:space="preserve">10.1086/513204</t>
  </si>
  <si>
    <t xml:space="preserve">153AZ</t>
  </si>
  <si>
    <t xml:space="preserve">WOS:000245405400003</t>
  </si>
  <si>
    <t xml:space="preserve">Sternak, SL; Cavlek, TV; Falsey, AR; Walsh, EE; Galinovic, GM</t>
  </si>
  <si>
    <t xml:space="preserve">Ljubin Sternak, Suncanica; Vilibic Cavlek, Tatjana; Falsey, Ann R.; Walsh, Edward E.; Mlinaric Galinovic, Gordana</t>
  </si>
  <si>
    <t xml:space="preserve">Serosurvey of human metapneumovirus infection in Croatia</t>
  </si>
  <si>
    <t xml:space="preserve">CROATIAN MEDICAL JOURNAL</t>
  </si>
  <si>
    <t xml:space="preserve">Aim. To assess the seroprevalence of human metapneumovirus (hMPV) in Croatia. Methods. During 2005, a total of 137 serum specimens from Croatian patients aged from 6 days to 51 years, without respiratory symptoms, were collected at the Croatian National Institute of Public Health. The sera were examined using the indirect immunofluorescent assay. Results. The overall hMPV seropositivity rate in the samples tested was 77.4% (106/137). The seropositivity rate increased from 18.7% in children aged between 6 months and 1 year to 100% in people older than 20 years of age. The highest proportion of titers &gt;= 1:512 was found in children aged from 1 to 2 years. Conclusion. Our results suggest that hMPV infection is present in Croatia, with primary infection occurring in early childhood. This is the first study that indicates the circulation of hMPV in Croatia.</t>
  </si>
  <si>
    <t xml:space="preserve">Croatian Natl Inst Publ Hlth, Dept Virol, Zagreb 10000, Croatia; Univ Rochester, Infect Dis Unit, Sch Med &amp; Dent, Rochester Gen Hosp, Rochester, NY 14642 USA</t>
  </si>
  <si>
    <t xml:space="preserve">University of Rochester; Rochester General Hospital</t>
  </si>
  <si>
    <t xml:space="preserve">Sternak, SL (corresponding author), Croatian Natl Inst Publ Hlth, Dept Virol, Rockefellerova 12, Zagreb 10000, Croatia.</t>
  </si>
  <si>
    <t xml:space="preserve">MEDICINSKA NAKLADA</t>
  </si>
  <si>
    <t xml:space="preserve">ZAGREB</t>
  </si>
  <si>
    <t xml:space="preserve">VLASKA 69, HR-10000 ZAGREB, CROATIA</t>
  </si>
  <si>
    <t xml:space="preserve">0353-9504</t>
  </si>
  <si>
    <t xml:space="preserve">1332-8166</t>
  </si>
  <si>
    <t xml:space="preserve">CROAT MED J</t>
  </si>
  <si>
    <t xml:space="preserve">Croat. Med. J.</t>
  </si>
  <si>
    <t xml:space="preserve">122ZT</t>
  </si>
  <si>
    <t xml:space="preserve">WOS:000243266800011</t>
  </si>
  <si>
    <t xml:space="preserve">Sumino, KC; Agapov, E; Pierce, RA; Trulock, EP; Pfeifer, JD; Ritter, JH; Gaudreault-Keener, M; Storch, GA; Holtzman, MJ</t>
  </si>
  <si>
    <t xml:space="preserve">Detection of severe human metapneumovirus infection by real-time polymerase chain reaction and histopathological assessment</t>
  </si>
  <si>
    <t xml:space="preserve">Human metapneumovirus; Bronchoalveolar lavage; Polymerase chain reaction; In situ hybridization; Respiratory tract</t>
  </si>
  <si>
    <t xml:space="preserve">RESPIRATORY SYNCYTIAL VIRUS; MARROW TRANSPLANT RECIPIENTS; IMMUNOCOMPROMISED PATIENTS; INTRAVENOUS IMMUNOGLOBULIN; BRONCHOALVEOLAR LAVAGE; AEROSOLIZED RIBAVIRIN; HOSPITALIZED-PATIENTS; COMBINATION THERAPY; TRACT DISEASE; PNEUMONIA</t>
  </si>
  <si>
    <t xml:space="preserve">Background. Infections with common respiratory tract viruses can cause high mortality, especially in immunocompromised hosts, but the impact of human metapneumovirus (hMPV) in this setting was previously unknown. Methods. We evaluated consecutive bronchoalveolar lavage and bronchial wash fluid samples from 688 patients-72% were immunocompromised and were predominantly lung transplant recipients - for hMPV by use of quantitative real-time polymerase chain reaction (PCR), and positive results were correlated with clinical outcome and results of viral cultures, in situ hybridization, and lung histopathological assessment. Results. Six cases of hMPV infection were identified, and they had a similar frequency and occurred in a similar age range as other paramyxoviral infections. Four of 6 infections occurred in immunocompromised patients. Infection was confirmed by in situ hybridization for the viral nucleocapsid gene. Histopathological assessment of lung tissue samples showed acute and organizing injury, and smudge cell formation was distinct from findings in infections with other paramyxoviruses. Each patient with high titers of hMPV exhibited a complicated clinical course requiring prolonged hospitalization. Conclusions. Our results provide in situ evidence of hMPV infection in humans and suggest that hMPV is a cause of clinically severe lower respiratory tract infection that can be detected during bronchoscopy by use of real-time PCR and routine histopathological assessment.</t>
  </si>
  <si>
    <t xml:space="preserve">Washington Univ, Sch Med, Dept Med, St Louis, MO 63110 USA; Washington Univ, Sch Med, Dept Pathol, St Louis, MO 63110 USA; Washington Univ, Sch Med, Dept Pediat, St Louis, MO 63110 USA; Washington Univ, Sch Med, Dept Cell Biol, St Louis, MO 63110 USA; St Louis Childrens Hosp, Virol Lab, St Louis, MO 63178 USA</t>
  </si>
  <si>
    <t xml:space="preserve">Washington University (WUSTL); Washington University (WUSTL); Washington University (WUSTL); Washington University (WUSTL); Washington University (WUSTL); St. Louis Children's Hospital</t>
  </si>
  <si>
    <t xml:space="preserve">Washington Univ, Sch Med, Dept Med, Campus Box 8052,660 S Euclid Ave, St Louis, MO 63110 USA.</t>
  </si>
  <si>
    <t xml:space="preserve">holtzman@im.wustl.edu</t>
  </si>
  <si>
    <t xml:space="preserve">Sumino, Kaharu/AAA-2028-2021</t>
  </si>
  <si>
    <t xml:space="preserve">10.1086/432728</t>
  </si>
  <si>
    <t xml:space="preserve">960WJ</t>
  </si>
  <si>
    <t xml:space="preserve">WOS:000231623600016</t>
  </si>
  <si>
    <t xml:space="preserve">Heikkinen, T; Oesterback, R; Peltola, V; Jartti, T; Vainionpää, R</t>
  </si>
  <si>
    <t xml:space="preserve">Heikkinen, Terho; Oesterback, Riikka; Peltola, Ville; Jartti, Tuomas; Vainionpaa, Raija</t>
  </si>
  <si>
    <t xml:space="preserve">Human metapneumovirus infections in children</t>
  </si>
  <si>
    <t xml:space="preserve">Human metapneumovirus; Incidence (geometry); Respiratory tract infections; Metapneumovirus; Cohort; Medicine; Pediatrics</t>
  </si>
  <si>
    <t xml:space="preserve">ACUTE OTITIS-MEDIA; RESPIRATORY-TRACT INFECTIONS; VIRUS-INFECTIONS; SYNCYTIAL VIRUS; YOUNG-CHILDREN; INFLUENZA; PREVALENCE; DISEASE; EXPERIENCE; INFANTS</t>
  </si>
  <si>
    <t xml:space="preserve">Human metapneumovirus (hMPV) is an important cause of lower respiratory tract infections in hospitalized children, but the age-related incidence and effect of hMPV in unselected children in the community have not been evaluated. We studied a cohort of 1,338 children &lt;13 years of age throughout 1 respiratory season in Finland during 2000-2001. We examined children and obtained a nasal swab for viral detection at any sign of respiratory infection. hMPV was detected in 47 (3.5%) of the 1,338 children. The age-related incidence of hMPV infection was highest (7.6%) in children &lt;2 years of age, in whom hMPV accounted for 1.7% of all infections during the season. During the epidemic peak, hMPV caused 7.1% of all respiratory infections in the cohort. Acute otitis media developed in 61% of hMPV-infected children &lt;3 years of age. Our findings demonstrate that the effect of hMPV in the community is greatest in children &lt;2 years of age.</t>
  </si>
  <si>
    <t xml:space="preserve">[Heikkinen, Terho; Peltola, Ville; Jartti, Tuomas] Turku Univ Hosp, FIN-20520 Turku, Finland; [Oesterback, Riikka; Vainionpaa, Raija] Univ Turku, Turku, Finland</t>
  </si>
  <si>
    <t xml:space="preserve">Heikkinen, T (corresponding author), Turku Univ Hosp, FIN-20520 Turku, Finland.</t>
  </si>
  <si>
    <t xml:space="preserve">Heikkinen, Terho/0000-0001-6504-0116</t>
  </si>
  <si>
    <t xml:space="preserve">10.3201/eid1401.070251</t>
  </si>
  <si>
    <t xml:space="preserve">248GY</t>
  </si>
  <si>
    <t xml:space="preserve">WOS:000252142000020</t>
  </si>
  <si>
    <t xml:space="preserve">Alvarez, R; Harrod, KS; Shieh, WJ; Zaki, S; Tripp, RA</t>
  </si>
  <si>
    <t xml:space="preserve">Human metapneumovirus persists in BALB/c mice despite the presence of neutralizing antibodies</t>
  </si>
  <si>
    <t xml:space="preserve">Human metapneumovirus; Biology; Virology; Respiratory system; Virus; Antibody; Titer</t>
  </si>
  <si>
    <t xml:space="preserve">RESPIRATORY SYNCYTIAL VIRUS; TRACT INFECTIONS; ACUTE BRONCHIOLITIS; YOUNG-CHILDREN; G-GLYCOPROTEIN; GUINEA-PIGS; DISEASE; PATHOGENESIS; COMMUNITY; PROTEINS</t>
  </si>
  <si>
    <t xml:space="preserve">Human metapneumovirus (HMPV) has emerged as an important human respiratory pathogen causing upper and lower respiratory tract infections in young children and older adults. Recent epidemiological evidence indicates that HMPV may cocirculate with respiratory syncytial virus, and HMPV infection has been associated with other respiratory diseases. In this study, we show that BALB/c mice are susceptible to HMPV infection, the virus replicates in the lungs with biphasic growth kinetics in which peak titers occur at days 7 and 14 postinfection (p.i.), and infectious HMPV can be recovered from lungs up to day 60 p.i. In addition, we show that genomic HMPV RNA can be detected in the lungs for :180 days p.i. by reverse transcription-PCR; however, neither HMPV RNA nor infectious virus can be detected in serum, spleen, kidneys, heart, trachea, and brain tissue. Lung histopathology revealed prevalent mononuclear cell infiltration in the interstitium beginning at day 2 p.i. and peaking at day 4 p.i. which decreased by day 14 p.i. and was associated with airway remodeling. Increased mucus production evident at day 2 p.i. was concordant with increased bronchial and bronchiolar inflammation. HMPV-specific antibodies were detected by day 14 p.i., neutralizing antibody titers reached greater than or equal to6.46 log(2) end-point titers by day 28 p.i., and depletion of T cells or NK cells resulted in increased HMPV titers in the lungs, suggesting some immune control of viral persistence. This study shows that BALB/c mice are amenable for HMPV studies and indicates that HMPV persists as infectious virus in the lungs of normal mice for several weeks postinfection.</t>
  </si>
  <si>
    <t xml:space="preserve">Ctr Dis Control &amp; Prevent, Natl Ctr Infect Dis, Div Resp &amp; Enter Viruses, Atlanta, GA USA; Lovelace Resp Res Inst, Program Infect Dis, Albuquerque, NM USA</t>
  </si>
  <si>
    <t xml:space="preserve">Centers for Disease Control &amp; Prevention - USA; Lovelace Respiratory Research Institute</t>
  </si>
  <si>
    <t xml:space="preserve">Univ Georgia, Coll Vet Med, Dept Infect Dis, Room 356, Athens, GA 30602 USA.</t>
  </si>
  <si>
    <t xml:space="preserve">Harrod, Kevin/0000-0003-0780-9470; Tripp, Ralph/0000-0002-2924-9956</t>
  </si>
  <si>
    <t xml:space="preserve">10.1128/JVI.78.24.14003-14011.2004</t>
  </si>
  <si>
    <t xml:space="preserve">875HC</t>
  </si>
  <si>
    <t xml:space="preserve">WOS:000225409900058</t>
  </si>
  <si>
    <t xml:space="preserve">Gupta, MR; Kolli, D; Molteni, C; Casola, A; Garofalo, RP</t>
  </si>
  <si>
    <t xml:space="preserve">Gupta, Meera R.; Kolli, Deepthi; Molteni, Claudio; Casola, Antonella; Garofalo, Roberto P.</t>
  </si>
  <si>
    <t xml:space="preserve">Paramyxovirus Infection Regulates T Cell Responses by BDCA-1+ and BDCA-3+ Myeloid Dendritic Cells</t>
  </si>
  <si>
    <t xml:space="preserve">Human metapneumovirus; Immune system; Biology; Virology; Immunology; Myeloid</t>
  </si>
  <si>
    <t xml:space="preserve">RESPIRATORY-SYNCYTIAL-VIRUS; HUMAN METAPNEUMOVIRUS INFECTION; IMPORTANT RISK-FACTOR; NF-KAPPA-B; IMMUNE-RESPONSE; DIFFERENTIAL RESPONSE; RSV BRONCHIOLITIS; INTERFERON-ALPHA; CUTTING EDGE; ASTHMA</t>
  </si>
  <si>
    <t xml:space="preserve">Respiratory syncytial virus (RSV) and human Metapneumovirus (hMPV), viruses belonging to the family Paramyxoviridae, are the most important causes of lower respiratory tract infection in young children. Infections with RSV and hMPV are clinically indistinguishable, and both RSV and hMPV infection have been associated with aberrant adaptive immune responses. Myeloid Dendritic cells (mDCs) play a pivotal role in shaping adaptive immune responses during infection; however, few studies have examined how interactions of RSV and hMPV with individual mDC subsets (BDCA-1(+) and BDCA-3(+) mDCs) affect the outcome of anti-viral responses. To determine whether RSV and hMPV induce virus-specific responses from each subset, we examined co-stimulatory molecules and cytokines expressed by BDCA-1(+) and BDCA-3(+) mDCs isolated from peripheral blood after infection with hMPV and RSV, and examined their ability to stimulate T cell proliferation and differentiation. Our data show that RSV and hMPV induce virus-specific and subset-specific patterns of co-stimulatory molecule and cytokine expression. RSV, but not hMPV, impaired the capacity of infected mDCs to stimulate T cell proliferation. Whereas hMPV-infected BDCA-1(+) and BDCA-3(+) mDCs induced expansion of Th17 cells, in response to RSV, BDCA-1+ mDCs induced expansion of Th1 cells and BDCA-3(+) mDCs induced expansion of Th2 cells and Tregs. These results demonstrate a virusspecific and subset-specific effect of RSV and hMPV infection on mDC function, suggesting that these viruses may induce different adaptive immune responses.</t>
  </si>
  <si>
    <t xml:space="preserve">[Gupta, Meera R.] Univ Texas Med Branch, Dept Internal Med, Galveston, TX 77555 USA; [Gupta, Meera R.; Kolli, Deepthi; Casola, Antonella; Garofalo, Roberto P.] Univ Texas Med Branch, Dept Pediat, Galveston, TX 77555 USA; [Kolli, Deepthi; Casola, Antonella; Garofalo, Roberto P.] Univ Texas Med Branch, Dept Microbiol &amp; Immunol, Galveston, TX 77555 USA; [Casola, Antonella; Garofalo, Roberto P.] Univ Texas Med Branch, Sealy Ctr Mol Med, Galveston, TX 77555 USA; [Molteni, Claudio] Univ Milan, Fdn IRCCS Ca Granda Osped Maggiore Policlin, Dept Pathophysiol &amp; Transplantat, Pediat Highly Intens Care Unit, Milan, Italy</t>
  </si>
  <si>
    <t xml:space="preserve">University of Texas System; University of Texas Medical Branch Galveston; University of Texas System; University of Texas Medical Branch Galveston; University of Texas System; University of Texas Medical Branch Galveston; University of Texas System; University of Texas Medical Branch Galveston; IRCCS Ca Granda Ospedale Maggiore Policlinico; University of Milan</t>
  </si>
  <si>
    <t xml:space="preserve">Gupta, MR (corresponding author), Univ Texas Med Branch, Dept Internal Med, Galveston, TX 77555 USA.</t>
  </si>
  <si>
    <t xml:space="preserve">megupta@utmb.edu</t>
  </si>
  <si>
    <t xml:space="preserve">National Center for Research Resources [UL1RR029876]; National Institutes of Health [NO1-HV-00245]; Universita degli Studi di Milano, Italy; [KL2RR029875]; [AI062885]; [AI07924602]</t>
  </si>
  <si>
    <t xml:space="preserve">National Center for Research Resources(United States Department of Health &amp; Human ServicesNational Institutes of Health (NIH) - USANIH National Center for Research Resources (NCRR)); National Institutes of Health(United States Department of Health &amp; Human ServicesNational Institutes of Health (NIH) - USA); Universita degli Studi di Milano, Italy; ; ;</t>
  </si>
  <si>
    <t xml:space="preserve">This project described was supported by award number KL2RR029875 (to Meera Gupta) and UL1RR029876 (to Allan Brasier) from the National Center for Research Resources and by award number AI062885 (to Roberto Garofalo/Allan Brasier) and AI07924602 (to Antonella Casola) and NO1-HV-00245 (to Alexander Kurosky/Roberto Garofalo) from the National Institutes of Health. Claudio Molteni was supported by a fellowship from Universita degli Studi di Milano, Italy. The funders had no role in study design, data collection and analysis, decision to publish, or preparation of the manuscript.</t>
  </si>
  <si>
    <t xml:space="preserve">JUN 11</t>
  </si>
  <si>
    <t xml:space="preserve">e99227</t>
  </si>
  <si>
    <t xml:space="preserve">10.1371/journal.pone.0099227</t>
  </si>
  <si>
    <t xml:space="preserve">AK7TQ</t>
  </si>
  <si>
    <t xml:space="preserve">WOS:000338631000062</t>
  </si>
  <si>
    <t xml:space="preserve">Chano, F; Rousseau, C; Laferrière, C; Couillard, M; Charest, H</t>
  </si>
  <si>
    <t xml:space="preserve">Epidemiological survey of human metapneumovirus infection in a large pediatric tertiary care center</t>
  </si>
  <si>
    <t xml:space="preserve">Human metapneumovirus; Metapneumovirus; Medicine; Epidemiology; Incidence (geometry); Respiratory tract infections; Pediatrics; Lower respiratory tract infection</t>
  </si>
  <si>
    <t xml:space="preserve">RESPIRATORY-TRACT DISEASE; FRENCH CHILDREN; YOUNG-CHILDREN; BRONCHIOLITIS; ILLNESS; IMPACT</t>
  </si>
  <si>
    <t xml:space="preserve">The human metapneumovirus (hMPV) was recently identified and linked to acute respiratory tract infections (ARTI). To assess the clinical importance of this virus in infants and children, we developed a rapid and efficient reverse transcription-PCR-based screening method for a large volume of samples and tested retrospectively a collection of 1,132 respiratory specimens submitted over a full year period to the virology laboratory of a large tertiary care pediatric center in Montreal, Canada. A total of 41 samples from 37 patients were positive by this method. During the winter months of 2001, up to 8% of specimens submitted for respiratory virus testing were hMPV positive. Sequencing data of the hMPV M gene revealed that two genogroups of the virus, each of which can be divided into two subgroups, cocirculated during this time period. A case-controlled study was conducted to compare the symptoms associated with hMPV infection with those involving other etiologic agents causing ARTI. Symptoms most frequently observed in hMPV-positive patients were cough, wheezing, and dyspnea, although the symptomatollogy could differ substantially from patient to patient. No distinct symptom profile could be associated with hMPV. Three nosocomial cases of hMPV infection were identified. Together, our data suggest that hMPV is a significant cause of symptomatic respiratory tract infections in infants and children. The incidence of the disease and the morbidity associated with the infection justify adding hMPV to the list of common respiratory viruses routinely screened for by clinical laboratories.</t>
  </si>
  <si>
    <t xml:space="preserve">Inst Nacl Sante Publ, Lab Sante Publ Quebec, Ste Anne De Bellevue, PQ H9X 3R5, Canada; Hop St Justine, Montreal, PQ H3T 1C5, Canada</t>
  </si>
  <si>
    <t xml:space="preserve">Universite de Montreal</t>
  </si>
  <si>
    <t xml:space="preserve">Inst Nacl Sante Publ, Lab Sante Publ Quebec, 20045 Chemin Ste Marie, Ste Anne De Bellevue, PQ H9X 3R5, Canada.</t>
  </si>
  <si>
    <t xml:space="preserve">hugues.charest@inspq.qc.ca</t>
  </si>
  <si>
    <t xml:space="preserve">10.1128/JCM.43.11.5520-5525.2005</t>
  </si>
  <si>
    <t xml:space="preserve">984NS</t>
  </si>
  <si>
    <t xml:space="preserve">WOS:000233312200018</t>
  </si>
  <si>
    <t xml:space="preserve">Huang, JC; Diaz, D; Mousa, JJ</t>
  </si>
  <si>
    <t xml:space="preserve">Huang, Jiachen; Diaz, Darren; Mousa, Jarrod J.</t>
  </si>
  <si>
    <t xml:space="preserve">Antibody recognition of the Pneumovirus fusion protein trimer interface</t>
  </si>
  <si>
    <t xml:space="preserve">Human metapneumovirus; Epitope; Virology; Biology; Monoclonal antibody; Antibody</t>
  </si>
  <si>
    <t xml:space="preserve">HUMAN METAPNEUMOVIRUS INFECTION; CELL TRANSPLANT RECIPIENT; HUMAN MONOCLONAL-ANTIBODY; ANTIGENIC SITE; IN-VITRO; GLYCOPROTEIN; VACCINE; YOUNG; NEUTRALIZATION; EPITOPE</t>
  </si>
  <si>
    <t xml:space="preserve">Author summary Human metapneumovirus (hMPV) is a common cause of lower respiratory tract infection in children, the elderly, and the immunocompromised. There is currently no approved vaccine or therapeutic to prevent or treat hMPV infection. The hMPV fusion (F) protein is the sole target of antibodies that neutralize hMPV. Here we describe new human mAbs that bind a unique epitope on the hMPV F protein. The mAbs were mapped to a new antigenic site on the hMPV F protein located within the trimeric interface of the hMPV F protein based on competitive biolayer interferometry and X-ray crystallographic experiments. This is the first example of a human mAb that binds inside the trimeric interface of a viral glycoprotein and neutralizes the virus. The results suggest such antibodies may exist for other viral fusion proteins, and identify a new epitope on the hMPV F protein for epitope-based vaccine design. Human metapneumovirus (hMPV) is a leading cause of viral respiratory infection in children, and can cause severe lower respiratory tract infection in infants, the elderly, and immunocompromised patients. However, there remain no licensed vaccines or specific treatments for hMPV infection. Although the hMPV fusion (F) protein is the sole target of neutralizing antibodies, the immunological properties of hMPV F remain poorly understood. To further define the humoral immune response to the hMPV F protein, we isolated two new human monoclonal antibodies (mAbs), MPV458 and MPV465. Both mAbs are neutralizingin vitroand were determined to target a unique antigenic site using competitive biolayer interferometry. We determined both MPV458 and MPV465 have higher affinity for monomeric hMPV F than trimeric hMPV F. MPV458 was co-crystallized with hMPV F, and the mAb primarily interacts with an alpha helix on the F2 region of the hMPV F protein. Surprisingly, the major epitope for MPV458 lies within the trimeric interface of the hMPV F protein, suggesting significant breathing of the hMPV F protein must occur for host immune recognition of the novel epitope. In addition, significant glycan interactions were observed with a somatically mutated light chain framework residue. The data presented identifies a novel epitope on the hMPV F protein for epitope-based vaccine design, and illustrates a new mechanism for human antibody neutralization of viral glycoproteins.</t>
  </si>
  <si>
    <t xml:space="preserve">[Huang, Jiachen; Diaz, Darren; Mousa, Jarrod J.] Univ Georgia, Coll Vet Med, Dept Infect Dis, Athens, GA 30602 USA; [Huang, Jiachen; Diaz, Darren; Mousa, Jarrod J.] Univ Georgia, Coll Vet Med, Ctr Vaccines &amp; Immunol, Athens, GA 30602 USA</t>
  </si>
  <si>
    <t xml:space="preserve">Mousa, JJ (corresponding author), Univ Georgia, Coll Vet Med, Dept Infect Dis, Athens, GA 30602 USA.;Mousa, JJ (corresponding author), Univ Georgia, Coll Vet Med, Ctr Vaccines &amp; Immunol, Athens, GA 30602 USA.</t>
  </si>
  <si>
    <t xml:space="preserve">Mousa, Jarrod/0000-0003-4709-2478; Diaz, Darren Austin/0000-0002-0114-3973</t>
  </si>
  <si>
    <t xml:space="preserve">National Institutes of Health [1R01AI143865, 1K01OD026569]; University of Georgia Office of the Vice President for Research; National Center for Advancing Translational Sciences [UL1TR002378]</t>
  </si>
  <si>
    <t xml:space="preserve">National Institutes of Health(United States Department of Health &amp; Human ServicesNational Institutes of Health (NIH) - USA); University of Georgia Office of the Vice President for Research; National Center for Advancing Translational Sciences(United States Department of Health &amp; Human ServicesNational Institutes of Health (NIH) - USANIH National Center for Advancing Translational Sciences (NCATS))</t>
  </si>
  <si>
    <t xml:space="preserve">These studies were supported by National Institutes of Health grants 1R01AI143865 (JJM) and 1K01OD026569 (JJM). University of Georgia Office of the Vice President for Research, and by the National Center for Advancing Translational Sciences award number UL1TR002378. The funders had no role in study design, data collection and analysis, decision to publish, or preparation of the manuscript.</t>
  </si>
  <si>
    <t xml:space="preserve">e1008942</t>
  </si>
  <si>
    <t xml:space="preserve">10.1371/journal.ppat.1008942</t>
  </si>
  <si>
    <t xml:space="preserve">OG3RE</t>
  </si>
  <si>
    <t xml:space="preserve">WOS:000581804900001</t>
  </si>
  <si>
    <t xml:space="preserve">Kuiken, T; van den Hoogen, BG; van Riel, DAJ; Laman, JD; van Amerongen, G; Sprong, L; Fouchier, RAM; Osterhaus, ADME</t>
  </si>
  <si>
    <t xml:space="preserve">Experimental human metapneumovirus infection of cynomolgus Macaques (Macaca fascicularis) results in virus replication in ciliated epithelial cells and pneumocytes with associated lesions throughout the respiratory tract</t>
  </si>
  <si>
    <t xml:space="preserve">AMERICAN JOURNAL OF PATHOLOGY</t>
  </si>
  <si>
    <t xml:space="preserve">Human metapneumovirus; Respiratory tract; Biology; Metapneumovirus; Virology; Respiratory system; Virus; Pneumovirinae; Lung; Viral replication; Tissue tropism</t>
  </si>
  <si>
    <t xml:space="preserve">SYNCYTIAL VIRUS; YOUNG-CHILDREN; LUNG PATHOLOGY; CORONAVIRUS; PREVALENCE; SARS</t>
  </si>
  <si>
    <t xml:space="preserve">A substantial proportion of hitherto unexplained respiratory tract illnesses is associated with human metapneumovirus (hMPV) infection. This virus also was found in patients with severe acute respiratory syndrome (SARS). To determine the dynamics and associated lesions of hMPV infection, six cynomolgus macaques (Macaca fascicularis) were inoculated with hMPV and examined by pathological and virological assays. They were euthanized at 5 (n = 2) or 9 (n = 2) days post-infection (dpi), or monitored until 14 dpi (n = 2). Viral excretion peaked at 4 dpi and decreased to zero by 10 dpi. Viral replication was restricted to the respiratory tract and associated with minimal to mild, multi-focal erosive and inflammatory changes in conducting airways, and increased numbers of macrophages in alveoli. Viral expression was seen mainly at the apical surface of ciliated epithelial cells throughout the respiratory tract, and less frequently in type 1 pneumocytes and alveolar macrophages. Both cell tropism and respiratory lesions were distinct from those of SARS-associated coronavirus infection, excluding hMPV as the primary cause of SARS. This study demonstrates that hMPV is a respiratory pathogen and indicates that viral replication is short-lived, polarized to the apical surface, and occurs primarily in ciliated respiratory epithelial cells.</t>
  </si>
  <si>
    <t xml:space="preserve">Erasmus MC, Dept Virol, NL-3000 DR Rotterdam, Netherlands; Erasmus MC, Dept Immunol, NL-3000 DR Rotterdam, Netherlands</t>
  </si>
  <si>
    <t xml:space="preserve">t.kuiken@erasmusmc.nl</t>
  </si>
  <si>
    <t xml:space="preserve">Osterhaus, Albert/0000-0002-6074-1172; Fouchier, Ron/0000-0001-8095-2869; van Riel, Debby/0000-0001-9753-3564</t>
  </si>
  <si>
    <t xml:space="preserve">0002-9440</t>
  </si>
  <si>
    <t xml:space="preserve">1525-2191</t>
  </si>
  <si>
    <t xml:space="preserve">AM J PATHOL</t>
  </si>
  <si>
    <t xml:space="preserve">Am. J. Pathol.</t>
  </si>
  <si>
    <t xml:space="preserve">10.1016/S0002-9440(10)63750-9</t>
  </si>
  <si>
    <t xml:space="preserve">823HK</t>
  </si>
  <si>
    <t xml:space="preserve">Green Accepted, Green Published, Green Submitted</t>
  </si>
  <si>
    <t xml:space="preserve">WOS:000221601000004</t>
  </si>
  <si>
    <t xml:space="preserve">Loevenich, S; Malmo, J; Liberg, AM; Sherstova, T; Li, YX; Rian, K; Johnsen, IB; Anthonsen, MW</t>
  </si>
  <si>
    <t xml:space="preserve">Loevenich, Simon; Malmo, Jostein; Liberg, Ann Magritt; Sherstova, Tatyana; Li, Youxian; Rian, Kristin; Johnsen, Ingvild B.; Anthonsen, Marit W.</t>
  </si>
  <si>
    <t xml:space="preserve">Cell-Type-Specific Transcription of Innate Immune Regulators in response to HMPV Infection</t>
  </si>
  <si>
    <t xml:space="preserve">MEDIATORS OF INFLAMMATION</t>
  </si>
  <si>
    <t xml:space="preserve">Innate immune system; Immune system; Biology; IRF7; Immunology</t>
  </si>
  <si>
    <t xml:space="preserve">HUMAN METAPNEUMOVIRUS INFECTION; VESICULAR STOMATITIS-VIRUS; AIRWAY EPITHELIAL-CELLS; INDUCIBLE GENE-I; DENDRITIC CELLS; RIG-I; INTERFERON INDUCTION; III INTERFERONS; INFLUENZA-VIRUS; IFN-LAMBDA</t>
  </si>
  <si>
    <t xml:space="preserve">Human metapneumovirus (HMPV) may cause severe respiratory disease. The early innate immune response to viruses like HMPV is characterized by induction of antiviral interferons (IFNs) and proinflammatory immune mediators that are essential in shaping adaptive immune responses. Although innate immune responses to HMPV have been comprehensively studied in mice and murine immune cells, there is less information on these responses in human cells, comparing different cell types infected with the same HMPV strain. The aim of this study was to characterize the HMPV-induced mRNA expression of critical innate immune mediators in human primary cells relevant for airway disease. In particular, we determined type I versus type III IFN expression in human epithelial cells and monocyte-derived macrophages (MDMs) and dendritic cells (MDDCs). In epithelial cells, HMPV induced only low levels of IFN-beta mRNA, while a robust mRNA expression of IFN-lambda s was found in epithelial cells, MDMs, and MDDCs. In addition, we determined induction of the interferon regulatory factors (IRFs) IRF1, IRF3, and IRF7 and critical inflammatory cytokines (IL-6, IP-10, and IL-1 beta). Interestingly, IRF1 mRNA was predominantly induced in MDMs and MDDCs. Overall, our results suggest that for HMPV infection of MDDCs, MDMs, NECs, and A549 cells (the cell types examined), cell type is a strong determinator of the ability of HMPV to induce different innate immune mediators. HMPV induces the transcription of IFN-beta and IRF1 to higher extents in MDMs and MDDCs than in A549s and NECs, whereas the induction of type III IFN-lambda and IRF7 is considerable in MDMs, MDDCs, and A549 epithelial cells.</t>
  </si>
  <si>
    <t xml:space="preserve">[Loevenich, Simon; Malmo, Jostein; Liberg, Ann Magritt; Sherstova, Tatyana; Li, Youxian; Rian, Kristin; Johnsen, Ingvild B.; Anthonsen, Marit W.] Norwegian Univ Sci &amp; Technol NTNU, Dept Clin &amp; Mol Med IKOM, N-7491 Trondheim, Norway</t>
  </si>
  <si>
    <t xml:space="preserve">Loevenich, S (corresponding author), Norwegian Univ Sci &amp; Technol NTNU, Dept Clin &amp; Mol Med IKOM, N-7491 Trondheim, Norway.</t>
  </si>
  <si>
    <t xml:space="preserve">simon.loevenich@ntnu.no</t>
  </si>
  <si>
    <t xml:space="preserve">Faculty of Medicine at the Norwegian University of Science and Technology; Children's Clinic, St. Olavs Hospital Trondheim [16/9564-104/NISLIN]; Central Norway Regional Health Authority [46085000]; Norwegian University of Science and Technology [46085000]</t>
  </si>
  <si>
    <t xml:space="preserve">Faculty of Medicine at the Norwegian University of Science and Technology; Children's Clinic, St. Olavs Hospital Trondheim; Central Norway Regional Health Authority; Norwegian University of Science and Technology</t>
  </si>
  <si>
    <t xml:space="preserve">HMPV NL/17/00 was kindly provided by ViroNovative/Erasmus MC, Rotterdam. We thank Bernadette van den Hoogen for scientific input and discussions and Marte Oie (Department of Otolaryngology, Head and Neck Surgery, University Hospital of Trondheim, Trondheim, Norway) for the nasal brushings used for NEC isolation. Confocal fluorescence microscopy was performed at the Cellular and Molecular Imaging Core Facility (CMIC), Norwegian University of Science and Technology (NTNU). This work was supported by the Liaison Committee between the Central Norway Regional Health Authority and the Norwegian University of Science and Technology (grant number 46085000), the Faculty of Medicine at the Norwegian University of Science and Technology, and the Children's Clinic, St. Olavs Hospital Trondheim (grant number 16/9564-104/NISLIN).</t>
  </si>
  <si>
    <t xml:space="preserve">0962-9351</t>
  </si>
  <si>
    <t xml:space="preserve">1466-1861</t>
  </si>
  <si>
    <t xml:space="preserve">MEDIAT INFLAMM</t>
  </si>
  <si>
    <t xml:space="preserve">Mediat. Inflamm.</t>
  </si>
  <si>
    <t xml:space="preserve">10.1155/2019/4964239</t>
  </si>
  <si>
    <t xml:space="preserve">JI1CK</t>
  </si>
  <si>
    <t xml:space="preserve">WOS:000493203300001</t>
  </si>
  <si>
    <t xml:space="preserve">Aerts, L; Hamelin, ME; Rhéaume, C; Lavigne, S; Couture, C; Kim, W; Susan-Resiga, D; Prat, A; Seidah, NG; Vergnolle, N; Riteau, B; Boivin, G</t>
  </si>
  <si>
    <t xml:space="preserve">Aerts, Laetitia; Hamelin, Marie-Eve; Rheaume, Chantal; Lavigne, Sophie; Couture, Christian; Kim, WooJin; Susan-Resiga, Delia; Prat, Annik; Seidah, Nabil G.; Vergnolle, Nathalie; Riteau, Beatrice; Boivin, Guy</t>
  </si>
  <si>
    <t xml:space="preserve">Modulation of Protease Activated Receptor 1 Influences Human Metapneumovirus Disease Severity in a Mouse Model</t>
  </si>
  <si>
    <t xml:space="preserve">Human metapneumovirus; Immunology</t>
  </si>
  <si>
    <t xml:space="preserve">RESPIRATORY SYNCYTIAL VIRUS; IMMUNE-RESPONSE; SECONDARY PREVENTION; TRANSPLANT RECIPIENT; BALB/C MICE; INFECTION; PATHOGENESIS; PROPROTEIN; CELLS; INFLAMMATION</t>
  </si>
  <si>
    <t xml:space="preserve">Human metapneumovirus (hMPV) infection causes acute respiratory tract infections (RTI) which can result in hospitalization of both children and adults. To date, no antiviral or vaccine is available for this common viral infection. Immunomodulators could represent an interesting strategy for the treatment of severe viral infection. Recently, the role of protease-activated receptors (PAR) in inflammation, coagulation and infection processes has been of growing interest. Herein, the effects of a PAR1 agonist and a PAR1 antagonist on hMPV infection were investigated in BALB/c mice. Intranasal administration of the PAR1 agonist resulted in increased weight loss and mortality of infected mice. Conversely, the PAR1 antagonist was beneficial to hMPV infection by decreasing weight loss and clinical signs and by significantly reducing pulmonary inflammation, pro-inflammatory cytokine levels (including IL-6, KC and MCP-1) and recruitment of immune cells to the lungs. In addition, a significant reduction in pulmonary viral titers was also observed in the lungs of PAR1 antagonist-treated mice. Despite no apparent direct effect on virus replication during in vitro experiments, an important role for PAR1 in the regulation of furin expression in the lungs was shown for the first time. Further experiments indicated that the hMPV fusion protein can be cleaved by furin thus suggesting that PAR1 could have an effect on viral infectivity in addition to its immunomodulatory properties. Thus, inhibition of PAR1 by selected antagonists could represent an interesting strategy for decreasing the severity of paramyxovirus infections.</t>
  </si>
  <si>
    <t xml:space="preserve">[Aerts, Laetitia; Hamelin, Marie-Eve; Rheaume, Chantal; Boivin, Guy] Ctr Hosp Univ Quebec, Ctr Rech Infectiol, Quebec City, PQ, Canada; [Aerts, Laetitia; Hamelin, Marie-Eve; Rheaume, Chantal; Boivin, Guy] Univ Laval, Quebec City, PQ, Canada; [Lavigne, Sophie; Couture, Christian] Univ Laval, Dept Anatomopathol, Inst Univ Cardiol &amp; Pneumol Quebec, Quebec City, PQ, Canada; [Kim, WooJin; Susan-Resiga, Delia; Prat, Annik; Seidah, Nabil G.] Clin Res Inst Montreal, Biochem Neuroendocrinol Lab, Montreal, PQ H2W 1R7, Canada; [Vergnolle, Nathalie] Univ Toulouse 3, Ctr Physiopathol Toulouse Purpan, Inst Natl Sante &amp; Rech Med, Ctr Natl Rech Sci,Univ Toulouse, F-31062 Toulouse, France; [Vergnolle, Nathalie] Univ Calgary, Dept Physiol &amp; Pharmacol, Calgary, AB T2N 1N4, Canada; [Riteau, Beatrice] Univ Lyon, Fac Med RTH Laennec, Lyon, France; [Riteau, Beatrice] Nouzilly Inst Natl Rech Agron, Ctr Tours, Nouzilly, France</t>
  </si>
  <si>
    <t xml:space="preserve">Laval University; Laval University; Laval University; Universite de Montreal; Institut de Recherche Clinique de Montreal (IRCM); Universite de Toulouse; Universite Toulouse III - Paul Sabatier; Centre National de la Recherche Scientifique (CNRS); Institut National de la Sante et de la Recherche Medicale (Inserm); University of Calgary; INRAE</t>
  </si>
  <si>
    <t xml:space="preserve">Boivin, G (corresponding author), Ctr Hosp Univ Quebec, Ctr Rech Infectiol, Quebec City, PQ, Canada.</t>
  </si>
  <si>
    <t xml:space="preserve">Prat, Annik/S-6757-2018; kim, woojin/HPG-7753-2023; Susan-Resiga@ircm.qc.ca, Delia/O-2548-2017; Seidah, Nabil/I-3596-2013; Vergnolle, Nathalie/C-7677-2018</t>
  </si>
  <si>
    <t xml:space="preserve">Seidah, Nabil/0000-0001-6503-9342; Vergnolle, Nathalie/0000-0003-1825-6015; Boivin, Guy/0000-0003-3027-4662</t>
  </si>
  <si>
    <t xml:space="preserve">Canadian Institutes of Health Research [273261, 733598]</t>
  </si>
  <si>
    <t xml:space="preserve">This study was supported by grant No. 273261 from the Canadian Institutes of Health Research (to G. B.), and by grant No. 733598 from the Canadian Institutes of Health Research (to N.V.). The funders had no role in study design, data collection and analysis, decision to publish, or preparation of the manuscript.</t>
  </si>
  <si>
    <t xml:space="preserve">AUG 28</t>
  </si>
  <si>
    <t xml:space="preserve">e72529</t>
  </si>
  <si>
    <t xml:space="preserve">10.1371/journal.pone.0072529</t>
  </si>
  <si>
    <t xml:space="preserve">209DG</t>
  </si>
  <si>
    <t xml:space="preserve">WOS:000323733800062</t>
  </si>
  <si>
    <t xml:space="preserve">Xiao, X; Fridman, A; Zhang, L; Pristatsky, P; Durr, E; Minnier, M; Tang, AM; Cox, KS; Wen, ZY; Moore, R; Tian, DR; Galli, JD; Cosmi, S; Eddins, MJ; Sullivan, NL; Yan, XD; Bett, AJ; Su, HP; Vora, KA; Chen, ZF; Zhang, L</t>
  </si>
  <si>
    <t xml:space="preserve">Xiao, Xiao; Fridman, Arthur; Zhang, Lu; Pristatsky, Pavlo; Durr, Eberhard; Minnier, Michael; Tang, Aimin; Cox, Kara S.; Wen, Zhiyun; Moore, Renee; Tian, Dongrui; Galli, Jennifer D.; Cosmi, Scott; Eddins, Michael J.; Sullivan, Nicole L.; Yan, Xiaodong; Bett, Andrew J.; Su, Hua-Poo; Vora, Kalpit A.; Chen, Zhifeng; Zhang, Lan</t>
  </si>
  <si>
    <t xml:space="preserve">Profiling of hMPV F-specific antibodies isolated from human memory B cells</t>
  </si>
  <si>
    <t xml:space="preserve">NATURE COMMUNICATIONS</t>
  </si>
  <si>
    <t xml:space="preserve">Human metapneumovirus; Epitope; Virology; Monoclonal antibody; Antibody; Neutralization; Biology</t>
  </si>
  <si>
    <t xml:space="preserve">RESPIRATORY SYNCYTIAL VIRUS; HUMAN METAPNEUMOVIRUS INFECTION; PNEUMONIA REQUIRING HOSPITALIZATION; FUSION-GLYCOPROTEIN VACCINE; HUMAN MONOCLONAL-ANTIBODY; NEUTRALIZING ANTIBODIES; IN-VITRO; CROSS-NEUTRALIZATION; PROTEIN; CHILDREN</t>
  </si>
  <si>
    <t xml:space="preserve">Human metapneumovirus (hMPV) belongs to the Pneumoviridae family and is closely related to respiratory syncytial virus (RSV). The surface fusion (F) glycoprotein mediates viral fusion and is the primary target of neutralizing antibodies against hMPV. Here we report 113 hMPV-F specific monoclonal antibodies (mAbs) isolated from memory B cells of human donors. We characterize the antibodies' germline usage, epitopes, neutralization potencies, and binding specificities. We find that unlike RSV-F specific mAbs, antibody responses to hMPV F are less dominant against the apex of the antigen, and the majority of the potent neutralizing mAbs recognize epitopes on the side of hMPV F. Furthermore, neutralizing epitopes that differ from previously defined antigenic sites on RSV F are identified, and multiple binding modes of site V and II mAbs are discovered. Interestingly, mAbs that bind preferentially to the unprocessed prefusion F show poor neutralization potency. These results elucidate the immune recognition of hMPV infection and provide novel insights for future hMPV antibody and vaccine development. Here, Xiao et al. isolate a large panel of antibodies against human metapneumovirus fusion protein from human B cells, and characterize their epitopes, neutralization activities, and antigen binding specificity, providing a useful framework for understanding the immune response against hMPV.</t>
  </si>
  <si>
    <t xml:space="preserve">[Xiao, Xiao; Durr, Eberhard; Tang, Aimin; Cox, Kara S.; Wen, Zhiyun; Galli, Jennifer D.; Sullivan, Nicole L.; Bett, Andrew J.; Vora, Kalpit A.; Chen, Zhifeng; Zhang, Lan] Merck &amp; Co Inc, Infect Dis &amp; Vaccines Discovery, West Point, PA 19486 USA; [Xiao, Xiao; Moore, Renee] Merck &amp; Co Inc, Discovery Biol, Boston, MA USA; [Xiao, Xiao] Merck &amp; Co Inc, MRL Postdoctoral Res Program, Kenilworth, NJ USA; [Fridman, Arthur] Merck &amp; Co Inc, Data Sci &amp; Sci Informat, Rahway, NJ 07065 USA; [Zhang, Lu] MSD, Bioinformat &amp; Biomarker Res, Beijing, Peoples R China; [Pristatsky, Pavlo] Merck &amp; Co Inc, Analyt Res &amp; Dev, West Point, PA USA; [Minnier, Michael] AgileOne, Torrance, CA USA; [Tian, Dongrui; Yan, Xiaodong] Wuxi Biortus Biosci Co Ltd, Wuxi, Jiangsu, Peoples R China; [Cosmi, Scott] Eurofins PSS Insourcing Solut, Lancaster, PA USA; [Eddins, Michael J.; Su, Hua-Poo] Merck &amp; Co Inc, Computat &amp; Struct Chem, West Point, PA USA</t>
  </si>
  <si>
    <t xml:space="preserve">Merck &amp; Company; Merck &amp; Company USA; Merck &amp; Company; Merck &amp; Company USA; Merck &amp; Company; Merck &amp; Company USA; Merck &amp; Company; Merck &amp; Company USA; Merck &amp; Company; Merck &amp; Company USA; Merck &amp; Company; Merck &amp; Company USA</t>
  </si>
  <si>
    <t xml:space="preserve">Vora, KA; Chen, ZF; Zhang, L (corresponding author), Merck &amp; Co Inc, Infect Dis &amp; Vaccines Discovery, West Point, PA 19486 USA.</t>
  </si>
  <si>
    <t xml:space="preserve">kalpit.vora@merck.com; zhifeng.chen@merck.com; lan_zhang2@merck.com</t>
  </si>
  <si>
    <t xml:space="preserve">Galli, Jennifer/0000-0001-8577-4790; Durr, Eberhard/0000-0003-0601-1117</t>
  </si>
  <si>
    <t xml:space="preserve">2041-1723</t>
  </si>
  <si>
    <t xml:space="preserve">NAT COMMUN</t>
  </si>
  <si>
    <t xml:space="preserve">Nat. Commun.</t>
  </si>
  <si>
    <t xml:space="preserve">MAY 10</t>
  </si>
  <si>
    <t xml:space="preserve">10.1038/s41467-022-30205-x</t>
  </si>
  <si>
    <t xml:space="preserve">1C9UF</t>
  </si>
  <si>
    <t xml:space="preserve">WOS:000793456800025</t>
  </si>
  <si>
    <t xml:space="preserve">Williams, JV; Tollefson, SJ; Johnson, JE; Crowe, JE</t>
  </si>
  <si>
    <t xml:space="preserve">The cotton rat (Sigmodon hispidus) is a permissive small animal model of human metapneumovirus infection, pathogenesis, and protective immunity</t>
  </si>
  <si>
    <t xml:space="preserve">Biology; Cotton rat; Virus; Virology; Human metapneumovirus</t>
  </si>
  <si>
    <t xml:space="preserve">RESPIRATORY SYNCYTIAL VIRUS; GENETIC DIVERSITY; TRACT INFECTIONS; BALB/C MICE; P-GENE; CHILDREN; INFANTS; DISEASE; IDENTIFICATION; SEQUENCE</t>
  </si>
  <si>
    <t xml:space="preserve">Human metapneumovirus (hMPV) is a newly described paramyxovirus that is an important cause of acute respiratory tract disease. We undertook to develop a small animal model of hMPV infection, pathogenesis, and protection. Hamsters, guinea pigs, cotton rats, and nine inbred strains of mice were inoculated intranasally with hMPV. The animals were sacrificed, and nasal and lung tissue virus yields were determined by plaque titration. None of the animals exhibited respiratory symptoms. The quantity of virus present in the nasal tissue ranged from 4.6 x 10(2) PFU/gram tissue (OH mice) to greater than 105 PFU/gram (hamster). The amount of virus in the lungs was considerably less than in nasal tissue in each species tested, ranging from undetectable (&lt; 5 PFU/g; guinea pigs) to 1.8 x 10(5) PFU/gram (cotton rat). The peak virus titer in cotton rat lungs occurred on day 4 postinfection. hMPV-infected cotton rat lungs examined on day 4 postinfection exhibited histopathological changes consisting of peribronchial inflammatory infiltrates. Immunohistochemical staining detected virus only at the luminal surfaces of respiratory epithelial cells throughout the respiratory tract. hMPV-infected cotton rats mounted virus-neutralizing antibody responses and were partially protected against virus shedding and lung pathology on subsequent rechallenge with hMPV. Viral antigen was undetectable in the lungs on challenge of previously infected animals. This study demonstrates that the cotton rat is a permissive small animal model of hMPV infection that exhibits lung histopathology associated with infection and that primary infection protected animals against subsequent infection. This model will allow further in vivo studies of hMPV pathogenesis and evaluation of vaccine candidates.</t>
  </si>
  <si>
    <t xml:space="preserve">Vanderbilt Univ, Med Ctr, Dept Pediat, Nashville, TN 37232 USA; Vanderbilt Univ, Med Ctr, Dept Pathol, Nashville, TN 37232 USA; Vanderbilt Univ, Med Ctr, Dept Microbiol &amp; Immunol, Nashville, TN 37232 USA</t>
  </si>
  <si>
    <t xml:space="preserve">Johnson, Joyce/KQY-6623-2024; Williams, John/ABE-3227-2020; Williams, John/F-6962-2010; Crowe, James/B-5549-2009</t>
  </si>
  <si>
    <t xml:space="preserve">Williams, John/0000-0001-8377-5175; Johnson, Joyce/0000-0002-3680-4372; Crowe, James/0000-0002-0049-1079</t>
  </si>
  <si>
    <t xml:space="preserve">NIAID NIH HHS [K08 AI56170, K08 AI056170] Funding Source: Medline</t>
  </si>
  <si>
    <t xml:space="preserve">10.1128/JVI.79.17.10944-10951.2005</t>
  </si>
  <si>
    <t xml:space="preserve">956ML</t>
  </si>
  <si>
    <t xml:space="preserve">WOS:000231303900010</t>
  </si>
  <si>
    <t xml:space="preserve">Cseke, G; Wright, DW; Tollefson, SJ; Johnson, JE; Crowe, JE; Williams, JV</t>
  </si>
  <si>
    <t xml:space="preserve">Cseke, Gabriella; Wright, David W.; Tollefson, Sharon J.; Johnson, Joyce E.; Crowe, James E., Jr.; Williams, John V.</t>
  </si>
  <si>
    <t xml:space="preserve">Human metapneumovirus fusion protein vaccines that are immunogenic and protective in cotton rats</t>
  </si>
  <si>
    <t xml:space="preserve">Human metapneumovirus; Virology; Biology; Immunogenicity; DNA vaccination; Neutralizing antibody; Virus; Metapneumovirus</t>
  </si>
  <si>
    <t xml:space="preserve">RESPIRATORY SYNCYTIAL VIRUS; IMMUNE-RESPONSES; TRACT INFECTIONS; F PROTEIN; INFLUENZA HEMAGGLUTININ; ANTIBODY-RESPONSES; NONHUMAN-PRIMATES; DNA VACCINES; CHILDREN; IMMUNIZATION</t>
  </si>
  <si>
    <t xml:space="preserve">Human metapneumovirus (hMPV) is a recently described paramyxovirus that is a major cause of upper and lower respiratory infection in children and adults worldwide. A safe and effective vaccine could decrease the burden of disease associated with this novel pathogen. We previously reported the development of the cotton rat model of hMPV infection and pathogenesis (J. V. Williams et al., J. Virol. 79:10944-10951, 2005). We report here the immunogenicity of an hMPV fusion (F) protein in this model. We constructed DNA plasmids that exhibited high levels of expression of hMPV F in mammalian cells (DNA-F). These constructs were used to develop a novel strategy to produce highly pure, soluble hMPV F protein lacking the transmembrane domain (FATM). We then immunized cotton rats at 0 and 14 days with either control vector, DNA-F alone, DNA-F followed by FATM protein, or FATM alone. All groups were challenged intranasally at 28 days with live hMPV. All three groups that received some form of hMPV F immunization mounted neutralizing antibody responses and exhibited partial protection against virus shedding in the lungs compared to controls. The FATM-immunized animals showed the greatest degree of protection (&gt; 1,500-fold reduction in lung virus titer). All three immunized groups showed a modest reduction of nasal virus shedding. Neither evidence of a Th2-type response nor increased lung pathology were present in the immunized animals. We conclude that sequence-optimized hMPV F protein protects against hMPV infection when delivered as either a DNA or a protein vaccine in cotton rats.</t>
  </si>
  <si>
    <t xml:space="preserve">Vanderbilt Univ, Med Ctr, Dept Pediat, Med Ctr N D7235, Nashville, TN 37232 USA; Vanderbilt Univ, Ctr Med, Dept Chem, Nashville, TN 37232 USA; Vanderbilt Univ, Ctr Med, Dept Pathol, Nashville, TN 37232 USA; Vanderbilt Univ, Ctr Med, Dept Microbiol &amp; Immunol, Nashville, TN 37232 USA</t>
  </si>
  <si>
    <t xml:space="preserve">Williams, JV (corresponding author), Vanderbilt Univ, Med Ctr, Dept Pediat, Med Ctr N D7235, 1161 21st Ave S, Nashville, TN 37232 USA.</t>
  </si>
  <si>
    <t xml:space="preserve">Williams, John/ABE-3227-2020; Johnson, Joyce/KQY-6623-2024; Williams, John/F-6962-2010; Crowe, James/B-5549-2009</t>
  </si>
  <si>
    <t xml:space="preserve">NIAID NIH HHS [R01 AI-57933, K08 AI056170, K08 AI-56170, R01 AI057933] Funding Source: Medline</t>
  </si>
  <si>
    <t xml:space="preserve">10.1128/JVI.00844-06</t>
  </si>
  <si>
    <t xml:space="preserve">124EK</t>
  </si>
  <si>
    <t xml:space="preserve">WOS:000243350100027</t>
  </si>
  <si>
    <t xml:space="preserve">Ciejka, J; Botwina, P; Nowakowska, M; Szczubialka, K; Pyrc, K</t>
  </si>
  <si>
    <t xml:space="preserve">Ciejka, Justyna; Botwina, Pawel; Nowakowska, Maria; Szczubialka, Krzysztof; Pyrc, Krzysztof</t>
  </si>
  <si>
    <t xml:space="preserve">Synthetic sulfonated derivatives of poly (allylamine hydrochloride) as inhibitors of human metapneumovirus</t>
  </si>
  <si>
    <t xml:space="preserve">Human metapneumovirus; Allylamine; Metapneumovirus; Hydrochloride; In vitro; Virus; In vivo</t>
  </si>
  <si>
    <t xml:space="preserve">ANTIVIRAL ACTIVITY; INFECTION; CARRAGEENAN; CHILDREN; REPLICATION; BINDING; 1-YEAR</t>
  </si>
  <si>
    <t xml:space="preserve">Human metapneumovirus (hMPV) is a widely distributed pathogen responsible for acute upper and lower respiratory infections of varying severity. Previously, we reported that Nsulfonated derivatives of poly(allylamine hydrochloride) (NSPAHs) efficiently inhibit replication of the influenza virus in vitro and ex vivo. Here, we show a dose dependent inhibition of hMPV infection by NSPAHs in LLC-MK2 cells. The results showed strong antiviral properties of NSPAHs. While the activity of NSPAHs is comparable to those of carrageenans, they show better physicochemical properties and may be delivered at high concentrations. The functional assays showed that tested polymers block hMPV release from infected cells and, consequently, constrain virus spread. Moreover, further studies on viruses utilizing different egress mechanisms suggest that observed antiviral effect depend on selective inhibition of viruses budding from the cell surface.</t>
  </si>
  <si>
    <t xml:space="preserve">[Ciejka, Justyna; Botwina, Pawel; Pyrc, Krzysztof] Jagiellonian Univ, Malopolska Ctr Biotechnol, Virogenet Lab Virol, Krakow, Poland; [Ciejka, Justyna; Nowakowska, Maria; Szczubialka, Krzysztof] Jagiellonian Univ, Fac Chem, Krakow, Poland; [Botwina, Pawel] Jagiellonian Univ, Fac Biochem Biophys &amp; Biotechnol, Dept Microbiol, Krakow, Poland</t>
  </si>
  <si>
    <t xml:space="preserve">Jagiellonian University; Jagiellonian University; Jagiellonian University</t>
  </si>
  <si>
    <t xml:space="preserve">Pyrc, K (corresponding author), Jagiellonian Univ, Malopolska Ctr Biotechnol, Virogenet Lab Virol, Krakow, Poland.;Szczubialka, K (corresponding author), Jagiellonian Univ, Fac Chem, Krakow, Poland.</t>
  </si>
  <si>
    <t xml:space="preserve">szczubia@chemia.uj.edu.pl; k.a.pyrc@uj.edu.pl</t>
  </si>
  <si>
    <t xml:space="preserve">Ciejka, Justyna/AAL-4155-2020; Botwina, Paweł/ABC-9799-2020; Pyrc, Krzysztof/JAC-4599-2023</t>
  </si>
  <si>
    <t xml:space="preserve">Ciejka, Justyna/0000-0003-2532-3386; Pyrc, Krzysztof/0000-0002-3867-7688; Botwina, Pawel/0000-0001-9006-1568</t>
  </si>
  <si>
    <t xml:space="preserve">National Science Center [UMO-2012/07/E/NZ6/01712, UMO-2016/21/D/ST5/01661]; National Centre for Research and Development [Lider/27/55/L-2/10/2011]; Foundation for Polish Science - EU European Regional Development Fund [VENTURES/2013-11/1]; COST Action [CM1407]; European Union [POIG.02.01.00-12-064/08]; Ministry of Science and Higher Education of the Republic of Poland</t>
  </si>
  <si>
    <t xml:space="preserve">National Science Center(National Science Centre, Poland); National Centre for Research and Development(National Centre for Research &amp; Development, Poland); Foundation for Polish Science - EU European Regional Development Fund; COST Action(European Cooperation in Science and Technology (COST)); European Union(European Union (EU)); Ministry of Science and Higher Education of the Republic of Poland(Ministry of Science and Higher Education, Poland)</t>
  </si>
  <si>
    <t xml:space="preserve">This work was supported by grants from the National Science Center (UMO-2012/07/E/NZ6/01712 and UMO-2016/21/D/ST5/01661) (KP and JC, respectively), grant Lider/27/55/L-2/10/2011 (to KP) from the National Centre for Research and Development, Foundation for Polish Science provided funding to JC under grant number VENTURES/2013-11/1 cofinanced by the EU European Regional Development Fund. KP would like to acknowledge networking contribution by the COST Action CM1407 Challenging organic syntheses inspired by nature - from natural products chemistry to drug discovery from European Cooperation in Science and Technology. The Faculty of Biochemistry, Biophysics and Biotechnology of the Jagiellonian University is a beneficiary of the structural funds from the European Union (grant No: POIG.02.01.00-12-064/08 - Molecular biotechnology for health). Faculty of Biochemistry, Biophysics and Biotechnology of the Jagiellonian University is a partner of the Leading National Research Center supported by the Ministry of Science and Higher Education of the Republic of Poland. The funders had no role in study design, data collection and analysis, decision to publish, or preparation of the manuscript.</t>
  </si>
  <si>
    <t xml:space="preserve">MAR 28</t>
  </si>
  <si>
    <t xml:space="preserve">e0214646</t>
  </si>
  <si>
    <t xml:space="preserve">10.1371/journal.pone.0214646</t>
  </si>
  <si>
    <t xml:space="preserve">HQ7IR</t>
  </si>
  <si>
    <t xml:space="preserve">WOS:000462594000102</t>
  </si>
  <si>
    <t xml:space="preserve">Huck, B; Neumann-Haefelin, D; Schmitt-Graeff, A; Weckmann, M; Mattes, J; Ehl, S; Falcone, V</t>
  </si>
  <si>
    <t xml:space="preserve">Huck, Barbara; Neumann-Haefelin, Dieter; Schmitt-Graeff, Annette; Weckmann, Markus; Mattes, Joerg; Ehl, Stephan; Falcone, Valeria</t>
  </si>
  <si>
    <t xml:space="preserve">Human metapneumovirus induces more severe disease and stronger innate immune response in BALB/c mice as compared with respiratory syncytial virus</t>
  </si>
  <si>
    <t xml:space="preserve">RESPIRATORY RESEARCH</t>
  </si>
  <si>
    <t xml:space="preserve">Human metapneumovirus; Immunology; Innate immune system; Immune system; Virus; Virology; Metapneumovirus; Respiratory system</t>
  </si>
  <si>
    <t xml:space="preserve">NATURAL-KILLER-CELLS; AIRWAY HYPERRESPONSIVENESS; ASTHMA EXACERBATIONS; PULMONARY-FUNCTION; INFECTION; CHILDREN; LUNG; PATHOGENESIS; CYTOKINES; PNEUMONIA</t>
  </si>
  <si>
    <t xml:space="preserve">Background: Human metapneumovirus (HMPV) and respiratory syncytial virus (RSV) are members of the Pneumovirinae subfamily of Paramyxoviridae and can cause severe respiratory disease, especially in infants and young children. Some differences in the clinical course of these infections have been described, but there are few comparative data on pathogenesis in humans and animal models. In this study, HMPV and RSV were compared for replication, pathogenesis and immune induction in BALB/c mice infected with equivalent inocula of either virus. Methods: Viral titers in the lungs and in the nasal turbinates of mice were determined by plaque assay. Histopathological changes in the lungs as well as weight loss and levels of airway obstruction were monitored in the infected mice to record the severity of illness. Inflammatory cells recruited to the lungs were characterized by flow cytometry and by differential staining. In the case of natural killer cells, cytotoxic activity was also measured. Cytokine levels in the BAL were determined by cytometric bead array. Results: RSV replicated to higher titers than HMPV in the lung and in the upper respiratory tract (URT), and virus elimination from the lungs was more rapid in HMPV-infected mice. Clinical illness as determined by airway obstruction, weight loss, and histopathology was significantly more severe after HMPV infection. A comparison of the cellular immune response revealed similar recruitment of T lymphocytes with a predominance of IFN-gamma-producing CD8+ T cells. By contrast, there were obvious differences in the innate immune response. After HMPV infection, more neutrophils could be detected in the airways and there were more activated NK cells than in RSV-infected mice. This correlated with higher levels of IL-6, TNF-alpha and MCP-I. Conclusion: This study shows important differences in HMPV and RSV pathogenesis and suggests that the pronounced innate immune response observed after HMPV infection might be instrumental in the severe pathology.</t>
  </si>
  <si>
    <t xml:space="preserve">Univ Freiburg, Med Ctr, Dept Virol, D-79104 Freiburg, Germany; Univ Freiburg, Med Ctr, Dept Gen Pathol, D-79002 Freiburg, Germany; Univ Freiburg, Med Ctr, Ctr Pediat &amp; Adolescent Med, D-79106 Freiburg, Germany; Univ Heidelberg Hosp, Dept Internal Med 1, Heidelberg, Germany; Univ Newcastle, Sch Biomed Sci, Newcastle, NSW 2308, Australia</t>
  </si>
  <si>
    <t xml:space="preserve">University of Freiburg; University of Freiburg; University of Freiburg; Ruprecht Karls University Heidelberg; University of Newcastle</t>
  </si>
  <si>
    <t xml:space="preserve">Falcone, V (corresponding author), Univ Freiburg, Med Ctr, Dept Virol, Hermann Herder Str 11, D-79104 Freiburg, Germany.</t>
  </si>
  <si>
    <t xml:space="preserve">Barbara.Huck@med.uni-heidelberg.de; dieter.neumann-haefelin@uniklinik-freiburg.de; annette.schmitt-graeff@uniklinik-freiburg.de; markus.weckmann@uniklinik-freiburg.de; joerg.mattes@newcastle.edu.au; ehl@kikli.ukl.uni-freiburg.de; valeria.kapper-falcone@uniklinik-freiburg.de</t>
  </si>
  <si>
    <t xml:space="preserve">Weckmann, Markus/GXG-3428-2022; Ehl, Stephan/JVP-3487-2024; MATTES, JOERG/M-5179-2019</t>
  </si>
  <si>
    <t xml:space="preserve">Ehl, Stephan/0000-0002-9265-2721</t>
  </si>
  <si>
    <t xml:space="preserve">MIDDLESEX HOUSE, 34-42 CLEVELAND ST, LONDON W1T 4LB, ENGLAND</t>
  </si>
  <si>
    <t xml:space="preserve">1465-9921</t>
  </si>
  <si>
    <t xml:space="preserve">RESP RES</t>
  </si>
  <si>
    <t xml:space="preserve">Respir. Res.</t>
  </si>
  <si>
    <t xml:space="preserve">10.1186/1465-9921-8-6</t>
  </si>
  <si>
    <t xml:space="preserve">133NC</t>
  </si>
  <si>
    <t xml:space="preserve">WOS:000244018600001</t>
  </si>
  <si>
    <t xml:space="preserve">Stockton, J; Stephenson, I; Fleming, D; Zambon, M</t>
  </si>
  <si>
    <t xml:space="preserve">Human Metapneumovirus as a cause of community-acquired respiratory illness</t>
  </si>
  <si>
    <t xml:space="preserve">Human metapneumovirus; Metapneumovirus; Medicine</t>
  </si>
  <si>
    <t xml:space="preserve">SYNCYTIAL VIRUS; VIRAL-INFECTIONS; INFLUENZA; SURVEILLANCE; DISEASE; TRACT; PCR</t>
  </si>
  <si>
    <t xml:space="preserve">Human metapneumovirus (HMPV) is a recently identified Paramyxovirus first isolated from hospitalized children with acute respiratory tract infections (ARTI). We sought evidence of HMPV infection in patients who had visited general practitioners, had influenzalike illnesses (ILI), and had negative tests for influenza and Human respiratory syncytial virus (HRSV). As part of national virologic surveillance, sentinel general practices in England and Wales collected samples from patients of all ages with ILI during winter 2000-01. Reverse transcriptase-polymerase chain reaction (PCR) for HMPV, influenza A (HI and H3), influenza B, and HRSV (A and 13) was used to screen combined nose and throat swabs. PCR products from the HMPV-positive samples were sequenced to confirm identity and construct phylogenetic trees. Of 711 swabs submitted, 408 (57.3%) were negative for influenza and HRSV; HMPV was identified in 9 (2.2%) patients. HMPV appears to be associated with community-acquired ARTI. The extent of illness and possible complications related to this new human virus need to be clarified.</t>
  </si>
  <si>
    <t xml:space="preserve">Cent Publ Hlth Lab, Publ Hlth Lab Serv, London NW9 5HT, England; Leicester Royal Infirm, Leicester, Leics, England; Royal Coll Gen Practitioners, Surveillance Unit, Birmingham, W Midlands, England</t>
  </si>
  <si>
    <t xml:space="preserve">Public Health England; University of Leicester</t>
  </si>
  <si>
    <t xml:space="preserve">Stockton, J (corresponding author), Cent Publ Hlth Lab, Publ Hlth Lab Serv, 61 Colindale Ave, London NW9 5HT, England.</t>
  </si>
  <si>
    <t xml:space="preserve">zambon, maria/AEQ-6657-2022</t>
  </si>
  <si>
    <t xml:space="preserve">10.3201/eid0809.020084</t>
  </si>
  <si>
    <t xml:space="preserve">588XZ</t>
  </si>
  <si>
    <t xml:space="preserve">WOS:000177728700003</t>
  </si>
  <si>
    <t xml:space="preserve">Ren, JP; Kolli, D; Liu, TS; Xu, RL; Garofalo, RP; Casola, A; Bao, XY</t>
  </si>
  <si>
    <t xml:space="preserve">Ren, Junping; Kolli, Deepthi; Liu, Tianshuang; Xu, Renling; Garofalo, Roberto P.; Casola, Antonella; Bao, Xiaoyong</t>
  </si>
  <si>
    <t xml:space="preserve">Human Metapneumovirus Inhibits IFN-β Signaling by Downregulating Jak1 and Tyk2 Cellular Levels</t>
  </si>
  <si>
    <t xml:space="preserve">STAT2; Human metapneumovirus; Tyrosine kinase 2; STAT protein; STAT1; Janus kinase 1; Metapneumovirus; Janus kinase; Interferon; Biology</t>
  </si>
  <si>
    <t xml:space="preserve">RESPIRATORY SYNCYTIAL VIRUS; INTERFERON-ALPHA RECEPTOR; ALVEOLAR EPITHELIAL-CELLS; TYROSINE KINASE; GAMMA-INTERFERON; V-PROTEINS; PHOSPHATASE SHP-1; VIRAL-INFECTIONS; GENE-EXPRESSION; TRACT DISEASE</t>
  </si>
  <si>
    <t xml:space="preserve">Human metapneumovirus (hMPV), a leading cause of respiratory tract infections in infants, inhibits type I interferon (IFN) signaling by an unidentified mechanism. In this study, we showed that infection of airway epithelial cells with hMPV decreased cellular level of Janus tyrosine kinase (Jak1) and tyrosine kinase 2 (Tyk2), due to enhanced proteosomal degradation and reduced gene transcription. In addition, hMPV infection also reduced the surface expression of type I IFN receptor (IFNAR). These inhibitory mechanisms are different from the ones employed by respiratory syncytial virus (RSV), which does not affect Jak1, Tyk2 or IFNAR expression, but degrades downstream signal transducer and activator of transcription proteins 2 (STAT2), although both viruses are pneumoviruses belonging to the Paramyxoviridae family. Our study identifies a novel mechanism by which hMPV inhibits STAT1 and 2 activation, ultimately leading to viral evasion of host IFN responses.</t>
  </si>
  <si>
    <t xml:space="preserve">[Ren, Junping; Kolli, Deepthi; Liu, Tianshuang; Xu, Renling; Casola, Antonella; Bao, Xiaoyong] Univ Texas Med Branch, Dept Pediat, Galveston, TX 77555 USA; [Garofalo, Roberto P.; Casola, Antonella] Univ Texas Med Branch, Dept Microbiol, Galveston, TX USA; [Garofalo, Roberto P.; Casola, Antonella] Univ Texas Med Branch, Dept Immunol, Galveston, TX USA; [Garofalo, Roberto P.; Casola, Antonella] Univ Texas Med Branch, Sealy Ctr Vaccine Dev, Galveston, TX USA</t>
  </si>
  <si>
    <t xml:space="preserve">Ren, JP (corresponding author), Univ Texas Med Branch, Dept Pediat, Galveston, TX 77555 USA.</t>
  </si>
  <si>
    <t xml:space="preserve">ancasola@utmb.edu; xibao@utmb.edu</t>
  </si>
  <si>
    <t xml:space="preserve">National Institutes of Health-National Institute of Allergy and Infectious Diseases [P01 062885, NIAID AI079246, NIAID K22 (KAI074829A)]; Parker B. Francis Foundation</t>
  </si>
  <si>
    <t xml:space="preserve">National Institutes of Health-National Institute of Allergy and Infectious Diseases(United States Department of Health &amp; Human ServicesNational Institutes of Health (NIH) - USANIH National Institute of Allergy &amp; Infectious Diseases (NIAID)); Parker B. Francis Foundation</t>
  </si>
  <si>
    <t xml:space="preserve">This work was supported by grants from the National Institutes of Health-National Institute of Allergy and Infectious Diseases (P01 062885) to AC and RPG, NIAID AI079246 to AC, and NIAID K22 (KAI074829A) and Parker B. Francis Foundation to XB. The funders had no role in study design, data collection and analysis, decision to publish, or preparation of the manuscript.</t>
  </si>
  <si>
    <t xml:space="preserve">SEP 19</t>
  </si>
  <si>
    <t xml:space="preserve">e24496</t>
  </si>
  <si>
    <t xml:space="preserve">10.1371/journal.pone.0024496</t>
  </si>
  <si>
    <t xml:space="preserve">825FZ</t>
  </si>
  <si>
    <t xml:space="preserve">WOS:000295257900018</t>
  </si>
  <si>
    <t xml:space="preserve">Ishiguro, N; Ebihara, T; Endo, R; Ma, XM; Shirotsuki, R; Ochiai, S; Ishiko, H; Kikuta, H</t>
  </si>
  <si>
    <t xml:space="preserve">Immunofluorescence assay for detection of human metapneumovirus-specific antibodies by use of baculovirus-expressed fusion protein</t>
  </si>
  <si>
    <t xml:space="preserve">CLINICAL AND DIAGNOSTIC LABORATORY IMMUNOLOGY</t>
  </si>
  <si>
    <t xml:space="preserve">Human metapneumovirus; Virology; Titer; Antibody; Biology; Immunofluorescence</t>
  </si>
  <si>
    <t xml:space="preserve">RESPIRATORY SYNCYTIAL VIRUS; ENZYME-IMMUNOASSAY; GENETIC DIVERSITY; YOUNG-CHILDREN; TRACT DISEASE; GLYCOPROTEIN; INFECTION; ANTIGEN; SEROPREVALENCE; IDENTIFICATION</t>
  </si>
  <si>
    <t xml:space="preserve">Human metapneumovirus (hMPV) has recently been identified as an etiological agent of acute respiratory infections. The hMPV fusion (F) protein has been indicated to be a major antigenic determinant that mediates effective neutralization and protection against hMPV infection. We developed a new immunofluorescence assay (IFA) using Trichoplusia ni (Tn5) insect cells infected with a recombinant baculovirus-expressing hMPV F protein (Bac-F IFA). A total of 200 serum samples from Japanese people I month to 41 years old were tested for immunoglobulin G antibodies to hMPV F protein by Bac-F IFA. The results were compared with those of the conventional IFA based on hMPV-infected LLC-MK2 cells (hMPV IFA). The titers obtained by the two IFAs correlated well (correlation coefficient of 0.88), and the concordance of seroreactivities between the two IFAs was 91% (kappa = 0.76). For 192 of the 200 serum samples, the titers obtained by the Bac-F IFA were equal to or higher than those obtained by the hMPV IFA. These results indicated that the Bac-F IFA was more sensitive than the hMPV IFA and that the majority of the antibodies detected by the hMPV IFA reacted with the hMPV F protein. The Bac-F IFA is a more reliable, sensitive, and specific method for the detection of hMPV antibodies than is the hMPV IFA.</t>
  </si>
  <si>
    <t xml:space="preserve">Ebihara, Takashi/0000-0002-6056-3230; Shirotsuki, Ryo/0000-0002-0629-4025</t>
  </si>
  <si>
    <t xml:space="preserve">1071-412X</t>
  </si>
  <si>
    <t xml:space="preserve">CLIN DIAGN LAB IMMUN</t>
  </si>
  <si>
    <t xml:space="preserve">Clin. Diagn. Lab. Immunol.</t>
  </si>
  <si>
    <t xml:space="preserve">10.1128/CDLI.12.1.202-205.2005</t>
  </si>
  <si>
    <t xml:space="preserve">901GU</t>
  </si>
  <si>
    <t xml:space="preserve">WOS:000227271800029</t>
  </si>
  <si>
    <t xml:space="preserve">Rush, SA; Brar, G; Hsieh, CL; Chautard, E; Rainho-Tomko, JN; Slade, CD; Bricault, CA; Kume, A; Kearns, J; Groppo, R; Mundle, ST; Zhang, LN; Casimiro, D; Fu, TM; DiNapoli, JM; McLellan, JS</t>
  </si>
  <si>
    <t xml:space="preserve">Rush, Scott A.; Brar, Gurpreet; Hsieh, Ching-Lin; Chautard, Emilie; Rainho-Tomko, Jennifer N.; Slade, Chris D.; Bricault, Christine A.; Kume, Ana; Kearns, James; Groppo, Rachel; Mundle, Sophia T.; Zhang, Linong; Casimiro, Danilo; Fu, Tong-Ming; DiNapoli, Joshua M.; McLellan, Jason S.</t>
  </si>
  <si>
    <t xml:space="preserve">Characterization of prefusion-F-specific antibodies elicited by natural infection with human metapneumovirus</t>
  </si>
  <si>
    <t xml:space="preserve">CELL REPORTS</t>
  </si>
  <si>
    <t xml:space="preserve">Human metapneumovirus; Virology; Antibody; Polyclonal antibodies; Metapneumovirus; Immunology; Monoclonal antibody; Biology; Immune system</t>
  </si>
  <si>
    <t xml:space="preserve">HUMAN MONOCLONAL-ANTIBODY; FUSION PROTEIN; IN-VITRO; VACCINE; BINDING; GLYCOPROTEIN; REPERTOIRE; EPITOPE; ADULTS; SH</t>
  </si>
  <si>
    <t xml:space="preserve">Human metapneumovirus (hMPV) is a major cause of acute respiratory infections in infants and older adults, for which no vaccines or therapeutics are available. The viral fusion (F) glycoprotein is required for entry and is the primary target of neutralizing antibodies; however, little is known about the humoral immune response generated from natural infection. Here, using prefusion-stabilized F proteins to interrogate memory B cells from two older adults, we obtain over 700 paired non-IgM antibody sequences representing 563 clonotypes, indicative of a highly polyclonal response. Characterization of 136 monoclonal antibodies reveals broad recognition of the protein surface, with potently neutralizing antibodies targeting each antigenic site. Cryo-EM studies further reveal two non-canonical sites and the molecular basis for recognition of the apex of hMPV F by two prefusion-specific neutralizing antibodies. Collectively, these results provide insight into the humoral response to hMPV infection in older adults and will help guide vaccine development.</t>
  </si>
  <si>
    <t xml:space="preserve">[Rush, Scott A.; Hsieh, Ching-Lin; McLellan, Jason S.] Univ Texas Austin, Dept Mol Biosci, Austin, TX 78712 USA; [Brar, Gurpreet; Slade, Chris D.; Bricault, Christine A.; Kume, Ana; Kearns, James; Groppo, Rachel; Mundle, Sophia T.; Zhang, Linong; Casimiro, Danilo; Fu, Tong-Ming; DiNapoli, Joshua M.] Sanofi, Cambridge, MA 02139 USA; [Chautard, Emilie] Sanofi, Marcy Letoile, France; [Rainho-Tomko, Jennifer N.] Sanofi, Suite 300,2501 Discovery Dr, Orlando, FL 32826 USA; [Brar, Gurpreet] Coalit Epidem Preparedness, Washington, DC 20006 USA; [Kearns, James] Incyte, 1801 Augustine Cut Off, Wilmington, DE 19803 USA; [Groppo, Rachel] Pioneering Med, Cambridge, MA 02142 USA; [Fu, Tong-Ming] IGM Biosci Inc, Mountain View, CA 94043 USA</t>
  </si>
  <si>
    <t xml:space="preserve">University of Texas System; University of Texas Austin; Sanofi-Aventis; Sanofi USA; Sanofi-Aventis; Sanofi France; Sanofi-Aventis; Sanofi USA; Incyte</t>
  </si>
  <si>
    <t xml:space="preserve">McLellan, JS (corresponding author), Univ Texas Austin, Dept Mol Biosci, Austin, TX 78712 USA.;DiNapoli, JM (corresponding author), Sanofi, Cambridge, MA 02139 USA.</t>
  </si>
  <si>
    <t xml:space="preserve">joshua.dinapoli@sanofi.com; jmclellan@austin.utexas.edu</t>
  </si>
  <si>
    <t xml:space="preserve">Fu, Tong-Ming/AEV-7504-2022; Hsieh, Ching-Lin/ABA-6461-2021; McLellan, Jason/A-6874-2010; Chautard, Emilie/C-7836-2011</t>
  </si>
  <si>
    <t xml:space="preserve">Chautard, Emilie/0000-0003-1456-5347; Slade, Chris/0000-0002-4086-3455</t>
  </si>
  <si>
    <t xml:space="preserve">University of Texas College of Natural Sciences; Welch Foundation [F-0003-19620604]; Cancer Prevention and Research Institute of Texas [RR160023]</t>
  </si>
  <si>
    <t xml:space="preserve">University of Texas College of Natural Sciences; Welch Foundation(The Welch Foundation); Cancer Prevention and Research Institute of Texas(Cancer Prevention &amp; Research Institute of Texas)</t>
  </si>
  <si>
    <t xml:space="preserve">We thank members of the McLellan laboratory for providing helpful com- ments on the manuscript, Dr. Sasha Dickinson at the Sauer Structural Biology Laboratory at UT Austin for assistance with cryo-EM data collection, Dr. John Ludes -Meyers and Dr. Kaci Erwin for mammalian protein expression assistance, and Dr. Douglas Zhang at AbHelix, LLC, for his support in NGS data acquisition and analytics. We acknowledge the University of Texas College of Natural Sciences and award RR160023 of the Cancer Prevention and Research Institute of Texas for support of the EM facility at the University of Texas at Austin. This work was funded in part by Welch Foundation grant F-0003-19620604 (J.S.M.) . The graphical abstract was created with BioRender.com .</t>
  </si>
  <si>
    <t xml:space="preserve">2211-1247</t>
  </si>
  <si>
    <t xml:space="preserve">CELL REP</t>
  </si>
  <si>
    <t xml:space="preserve">Cell Reports</t>
  </si>
  <si>
    <t xml:space="preserve">SEP 20</t>
  </si>
  <si>
    <t xml:space="preserve">10.1016/j.celrep.2022.111399</t>
  </si>
  <si>
    <t xml:space="preserve">Cell Biology</t>
  </si>
  <si>
    <t xml:space="preserve">5V0MR</t>
  </si>
  <si>
    <t xml:space="preserve">WOS:000876933100008</t>
  </si>
  <si>
    <t xml:space="preserve">Don, M; Korppi, M; Valent, F; Vainionpaa, R; Canciani, M</t>
  </si>
  <si>
    <t xml:space="preserve">Don, Massimiliano; Korppi, Matti; Valent, Francesca; Vainionpaa, Raija; Canciani, Mario</t>
  </si>
  <si>
    <t xml:space="preserve">Human metapneumovirus pneumonia in children: Results of an Italian study and mini-review</t>
  </si>
  <si>
    <t xml:space="preserve">Human metapneumovirus; Seroconversion; Medicine; Pneumonia; Serology; Pediatrics; Lower respiratory tract infection</t>
  </si>
  <si>
    <t xml:space="preserve">RESPIRATORY-TRACT INFECTIONS; COMMUNITY-ACQUIRED PNEUMONIA; YOUNG-CHILDREN; SIMKANIA-NEGEVENSIS; INFANTS; DISEASE; VIRUS; SEROPREVALENCE; PREVALENCE; ETIOLOGY</t>
  </si>
  <si>
    <t xml:space="preserve">Human metapneumovirus (hMPV) is a newly identified paramyxovirus causing lower respiratory tract infections (LRTI). Current knowledge on hMPV is mainly based on retrospective studies performed in stored respiratory and serum samples. We found 15 previous prospective clinical studies on LRTI (11 clinical and 4 epidemiological studies) that have been reviewed. Our aims were to analyse the role of hMPV in community acquired pneumonia (CAP) and the seroconversion rate to hMPV in a prospective study in North Italian children. During a 15-month study period, 124 children were admitted due to presumptive CAP and, in 116 of them, CAP was radiologically confirmed. The aetiology of CAP was assessed by serology to 15 microorganisms, including enzyme immunoassay to hMPV. hMPV infection was found in 5 children (4.9%), being single in 2 and mixed in 3 cases. The seroconversion rate to hMPV increased with age, reaching nearly 100% seropositivity rate at school age. In conclusion, hMPV caused 0% to 17.5% of LRTI cases in children in the mini-review. The figure was about 5% in the present and in the only earlier paediatric CAP study. Thus, hMPV is a real but rare cause of paediatric CAP, although seroconversion to hMPV in most children takes place in early childhood.</t>
  </si>
  <si>
    <t xml:space="preserve">[Don, Massimiliano] Univ Udine, Sch Med,DPMSC, Dept Paediat, Allergol &amp; Pulmonol Unit, I-33130 Udine, Italy; [Korppi, Matti] Tampere Univ, Paediat Res Ctr, FIN-33101 Tampere, Finland; [Korppi, Matti] Tampere Univ Hosp, Tampere, Finland; [Valent, Francesca] Univ Udine, Sch Med, Dept Hyg, DPMSC, I-33130 Udine, Italy; [Vainionpaa, Raija] Univ Turku, Dept Virol, SF-20500 Turku, Finland</t>
  </si>
  <si>
    <t xml:space="preserve">University of Udine; Tampere University; Tampere University; Tampere University Hospital; University of Udine; University of Turku</t>
  </si>
  <si>
    <t xml:space="preserve">Don, M (corresponding author), Univ Udine, Sch Med,DPMSC, Dept Paediat, Allergol &amp; Pulmonol Unit, Ple S Maria Misericordia, I-33130 Udine, Italy.</t>
  </si>
  <si>
    <t xml:space="preserve">max.don@libero.it</t>
  </si>
  <si>
    <t xml:space="preserve">Valent, Francesca/J-4759-2016</t>
  </si>
  <si>
    <t xml:space="preserve">Valent, Francesca/0000-0002-4071-0897</t>
  </si>
  <si>
    <t xml:space="preserve">10.1080/00365540802227110</t>
  </si>
  <si>
    <t xml:space="preserve">348WB</t>
  </si>
  <si>
    <t xml:space="preserve">WOS:000259239700009</t>
  </si>
  <si>
    <t xml:space="preserve">Liu, YR; Haas, DL; Poore, S; Isakovic, S; Gahan, M; Mahalingam, S; Fu, ZF; Tripp, RA</t>
  </si>
  <si>
    <t xml:space="preserve">Liu, Yuru; Haas, Debra L.; Poore, Spencer; Isakovic, Sanjin; Gahan, Michelle; Mahalingam, Suresh; Fu, Zhen F.; Tripp, Ralph A.</t>
  </si>
  <si>
    <t xml:space="preserve">Human Metapneumovirus Establishes Persistent Infection in the Lungs of Mice and Is Reactivated by Glucocorticoid Treatment</t>
  </si>
  <si>
    <t xml:space="preserve">Human metapneumovirus; Bronchiolitis; Biology; Virus; Immunology; Metapneumovirus; Glucocorticoid; Respiratory system</t>
  </si>
  <si>
    <t xml:space="preserve">RESPIRATORY-SYNCYTIAL-VIRUS; OBSTRUCTIVE PULMONARY-DISEASE; NONSTRUCTURAL PROTEINS NS1; CELL TRANSPLANT RECIPIENTS; BALB/C MICE; VIRAL-INFECTIONS; EPITHELIAL-CELLS; YOUNG-CHILDREN; MOUSE MODEL; COMBINATION THERAPY</t>
  </si>
  <si>
    <t xml:space="preserve">Human metapneumovirus (HMPV) has been identified as a worldwide agent of serious upper and lower respiratory tract infections in infants and young children. HMPV is second only to respiratory syncytial virus (RSV) as a leading cause of bronchiolitis, and, like RSV, consists of two major genotypes that cocirculate and vary among communities year to year. Children who have experienced acute HMPV infection may develop sequelae of wheezing and asthma; however, the features contributing to this pathology remain unknown. A possible mechanism for postbronchiolitis disease is that HMPV might persist in the lung providing a stimulus that could contribute to wheezing and asthma. Using immunohistochemistry to identify HMPV-infected cells in the lungs of mice, we show that HMPV mediates biphasic replication in respiratory epithelial cells then infection migrates to neuronal processes that innervate the lungs where the virus persists with no detectable infection in epithelial cells. After glucocorticoid treatment, the virus is reactivated from neural fibers and reinfects epithelial cells. The findings show that HMPV persists in neural fibers and suggest a mechanism for disease chronicity that has important implications for HMPV disease intervention strategies.</t>
  </si>
  <si>
    <t xml:space="preserve">[Haas, Debra L.; Poore, Spencer; Isakovic, Sanjin; Tripp, Ralph A.] Univ Georgia, Ctr Dis Intervent, Dept Infect Dis, Coll Vet Med, Athens, GA 30602 USA; [Liu, Yuru; Fu, Zhen F.] Univ Georgia, Coll Vet Med, Dept Pathol, Athens, GA 30602 USA; [Gahan, Michelle; Mahalingam, Suresh] Univ Canberra, Ctr Biomed Mol &amp; Chem Sci, Canberra, ACT 2601, Australia</t>
  </si>
  <si>
    <t xml:space="preserve">University System of Georgia; University of Georgia; University System of Georgia; University of Georgia; University of Canberra</t>
  </si>
  <si>
    <t xml:space="preserve">Tripp, RA (corresponding author), Univ Georgia, Anim Hlth Res Ctr, 111 Carlton St, Athens, GA 30602 USA.</t>
  </si>
  <si>
    <t xml:space="preserve">Gahan, Michelle/0000-0002-1511-687X; Tripp, Ralph/0000-0002-2924-9956</t>
  </si>
  <si>
    <t xml:space="preserve">Georgia Research Alliance</t>
  </si>
  <si>
    <t xml:space="preserve">We thank the Georgia Research Alliance, which supported aspects of this study.</t>
  </si>
  <si>
    <t xml:space="preserve">10.1128/JVI.00379-09</t>
  </si>
  <si>
    <t xml:space="preserve">462LM</t>
  </si>
  <si>
    <t xml:space="preserve">WOS:000267354100050</t>
  </si>
  <si>
    <t xml:space="preserve">Hamelin, ME; Couture, C; Sackett, MK; Boivin, G</t>
  </si>
  <si>
    <t xml:space="preserve">Hamelin, Marie-Eve; Couture, Christian; Sackett, Melanie K.; Boivin, Guy</t>
  </si>
  <si>
    <t xml:space="preserve">Enhanced lung disease and Th2 response following human metapneumovirus infection in mice immunized with the inactivated virus</t>
  </si>
  <si>
    <t xml:space="preserve">Human metapneumovirus; Virology; Adjuvant; Bronchoalveolar lavage; Immunology; Virus</t>
  </si>
  <si>
    <t xml:space="preserve">RESPIRATORY SYNCYTIAL VIRUS; PURIFIED F-GLYCOPROTEIN; ATTACHMENT G-PROTEIN; COTTON RATS; BALB/C MICE; PULMONARY HISTOPATHOLOGY; HUMAN METAPNEURNOVIRUS; PROTECTIVE IMMUNITY; GENETIC DIVERSITY; ATYPICAL MEASLES</t>
  </si>
  <si>
    <t xml:space="preserve">Human metapneumovirus (hMPV) is a paramyxovirus that causes acute respiratory-tract infections in humans. The histopathological and immunological responses to hMPV infection in BALB/c mice immunized with inactivated hMPV were characterized. Animals were immunized intraperitoneally with PBS, supernatant from non-infected LLC-MK2 cells and from heat-inactivated influenza A- or hMPV-infected cells, all in incomplete Freund's adjuvant, or with heat-inactivated hMPV without adjuvant, and then infected intranasally with 10(8) TCID50 virus. Following infection, lung samples and bronchoalveolar lavages were collected for determination of viral titre and cytokine levels and for histopathological studies. On day 1, 26 % of mice immunized with inactivated hMPV and adjuvant died, compared with none in the other groups, There was more significant lung inflammation associated with eosinophilic infiltration, as well as increased levels of interleukin-4 (IL-4) and IL-5, in the bronchoalveolar lavages of mice immunized with hMPV alone or with the adjuvant. Mice from the last two groups had a 4-5 log(10) decrease in their pulmonary viral titres compared with controls. Our data demonstrate the risks associated with immunization using inactivated hMPV in this animal model and that this aberrant response should be considered in the development of hMPV vaccines.</t>
  </si>
  <si>
    <t xml:space="preserve">[Hamelin, Marie-Eve; Boivin, Guy] CHU Quebec, Res Ctr Infect Dis, Quebec City, PQ G1V 4G2, Canada; [Couture, Christian; Sackett, Melanie K.] Univ Laval, Quebec City, PQ G1V 4G2, Canada</t>
  </si>
  <si>
    <t xml:space="preserve">Boivin, G (corresponding author), CHU Quebec, Res Ctr Infect Dis, 2705 Blvd Laurier, Quebec City, PQ G1V 4G2, Canada.</t>
  </si>
  <si>
    <t xml:space="preserve">SOC GENERAL MICROBIOLOGY</t>
  </si>
  <si>
    <t xml:space="preserve">READING</t>
  </si>
  <si>
    <t xml:space="preserve">MARLBOROUGH HOUSE, BASINGSTOKE RD, SPENCERS WOODS, READING RG7 1AG, BERKS, ENGLAND</t>
  </si>
  <si>
    <t xml:space="preserve">10.1099/vir.0.83250-0</t>
  </si>
  <si>
    <t xml:space="preserve">240WS</t>
  </si>
  <si>
    <t xml:space="preserve">WOS:000251619500022</t>
  </si>
  <si>
    <t xml:space="preserve">Madhi, SA; Ludewick, H; Abed, Y; Klugman, KP; Boivin, G</t>
  </si>
  <si>
    <t xml:space="preserve">Human metapneumovirus-associated lower respiratory tract infections among hospitalized human immunodeficiency virus type 1 (HIV-1)-infected and HIV-1-uninfected African infants</t>
  </si>
  <si>
    <t xml:space="preserve">Human metapneumovirus; Virology; Medicine; Respiratory tract infections; Virus</t>
  </si>
  <si>
    <t xml:space="preserve">CHILDREN; DISEASE; MANIFESTATIONS; BRONCHIOLITIS; BURDEN; YOUNG</t>
  </si>
  <si>
    <t xml:space="preserve">Respiratory tract infections due to human metapneumovirus ( hMPV) have been reported worldwide, with the exception of Africa. The prevalence of hMPV infection was studied among human immunodeficiency virus type 1 ( HIV- 1) - infected and HIV- 1 - uninfected African infants who were hospitalized for lower respiratory tract infections ( LRTIs). Nasopharyngeal aspirate samples obtained from 81 HIV- 1 - infected and 110 HIV- 1 uninfected infants who had tested negative for other respiratory viruses were selected for investigation. hMPV was detected in 10 HIV- 1 - uninfected infants ( 9.1%) and 3 HIV- 1 - infected infants ( 3.7%). Compared with the entire cohort of HIV- 1 - uninfected infants, hMPV was 4.6- fold less common than respiratory syncytial virus, but it was 3.2- fold more common than influenza virus and 2.1- fold more common than parainfluenza virus types 1 - 3. Genotyping of 7 of 14 isolates revealed the circulation of 2 major phylogenetic groups of the virus, which were similar to those described in North America and Europe.</t>
  </si>
  <si>
    <t xml:space="preserve">Emory Univ, Sch Med, Div Infect Dis, Atlanta, GA USA; Emory Univ, Sch Med, Rollins Sch Publ Hlth, Dept Int Hlth, Atlanta, GA USA; Univ Laval, Reg Virol Lab, Res Ctr Infect Dis, Quebec City, PQ, Canada; Univ Witwatersrand, Wits Hlth Consortium, Paediat Infect Dis Res Unit, Johannesburg, South Africa; Univ Witwatersrand, Resp &amp; Meningeal Pathogens Res Unit, MRC, Natl Inst Communicable Dis, Johannesburg, South Africa</t>
  </si>
  <si>
    <t xml:space="preserve">Emory University; Emory University; Rollins School Public Health; Laval University; University of Witwatersrand; University of Witwatersrand; National Institute for Communicable Diseases (NICD)</t>
  </si>
  <si>
    <t xml:space="preserve">Madhi, SA (corresponding author), Chris Hani Baragwanath Hosp, SAIMR, Rm 11,PO Bertsham, ZA-2013 Bertsham, Gauteng, South Africa.</t>
  </si>
  <si>
    <t xml:space="preserve">Ludewick, Herbert/0000-0001-5398-5112; Madhi, Shabir/0000-0002-7629-0636; Boivin, Guy/0000-0003-3027-4662</t>
  </si>
  <si>
    <t xml:space="preserve">10.1086/379771</t>
  </si>
  <si>
    <t xml:space="preserve">749VJ</t>
  </si>
  <si>
    <t xml:space="preserve">WOS:000186949300029</t>
  </si>
  <si>
    <t xml:space="preserve">Maggi, F; Pifferi, M; Vatteroni, M; Fornai, C; Tempestini, E; Anzilotti, S; Lanini, L; Andreoli, E; Ragazzo, V; Pistello, M; Specter, S; Bendinelli, M</t>
  </si>
  <si>
    <t xml:space="preserve">Human metapneumovirus associated with respiratory tract infections in a 3-year study of nasal swabs from infants in Italy</t>
  </si>
  <si>
    <t xml:space="preserve">Human metapneumovirus; Metapneumovirus; Respiratory system; Respiratory tract infections; Respiratory tract; Pneumovirinae; Virology; Paramyxoviridae</t>
  </si>
  <si>
    <t xml:space="preserve">The newly described human metapneumovirus (hMPV) is reported here to be more commonly associated with lower respiratory tract disease. The present study examined nasal swab specimens from 90 infants with acute respiratory tract infections in Pisa, Italy, over a period of three respiratory virus seasons. The incidence of infection varied in each of the 3 years, with the rates of positivity for hMPV being 7% in 2001 but 37 and 43% in 2000 and 2002, respectively. hMPV was noted to occur seasonally in a pattern typical of the frequency of occurrence of respiratory syncytial virus. More than one-half (14 of 23) of the infants infected with hMPV had bronchopneumonia. One-third (9 of 23) of the hMPV-infected patients were also infected with another respiratory virus, a relationship that has not previously been reported. Mixed infections did not account for a higher percentage of cases of bronchopneumonia than hMPV infection alone did. Furthermore, 7 of 17 infants whose plasma was also tested for hMPV RNA were demonstrated to have virus in both nasal swab and blood specimens. The study indicates that hMPV is seen as commonly as other respiratory viruses, may be associated,with severe respiratory disease in infants, can establish mixed infections with other respiratory viruses, and has a seasonal occurrence.</t>
  </si>
  <si>
    <t xml:space="preserve">Univ Pisa, Virol Sect &amp; Retrovirus Ctr, Dept Expt Pathol, I-56127 Pisa, Italy; Univ Pisa, Dept Pediat, I-56127 Pisa, Italy</t>
  </si>
  <si>
    <t xml:space="preserve">University of Pisa; University of Pisa</t>
  </si>
  <si>
    <t xml:space="preserve">Bendinelli, M (corresponding author), Univ Pisa, Virol Sect &amp; Retrovirus Ctr, Dept Expt Pathol, Via San Zeno 37, I-56127 Pisa, Italy.</t>
  </si>
  <si>
    <t xml:space="preserve">Ragazzo, Vincenzo/AAQ-5425-2020; Maggi, Fabrizio/L-2974-2013; anzilotti, Serenella/I-8686-2018; Pistello, Mauro/AAD-4214-2022</t>
  </si>
  <si>
    <t xml:space="preserve">Ragazzo, Vincenzo/0000-0002-8767-0765; Maggi, Fabrizio/0000-0001-7489-5271</t>
  </si>
  <si>
    <t xml:space="preserve">10.1128/JCM.41.7.2987-2991.2003</t>
  </si>
  <si>
    <t xml:space="preserve">701MF</t>
  </si>
  <si>
    <t xml:space="preserve">WOS:000184170800028</t>
  </si>
  <si>
    <t xml:space="preserve">Cox, RG; Livesay, B; Johnson, M; Ohi, MD; Williams, JV</t>
  </si>
  <si>
    <t xml:space="preserve">Cox, Reagan G.; Livesay, Brent; Johnson, Monika; Ohi, Melanie D.; Williams, John V.</t>
  </si>
  <si>
    <t xml:space="preserve">The Human Metapneumovirus Fusion Protein Mediates Entry via an Interaction with RGD-Binding Integrins</t>
  </si>
  <si>
    <t xml:space="preserve">Human metapneumovirus; Biology; Integrin; Viral entry; Viral envelope; Lipid bilayer fusion; Cell biology; RGD motif</t>
  </si>
  <si>
    <t xml:space="preserve">PARAMYXOVIRUS-F-PROTEIN; VIRUS HN PROTEIN; MEMBRANE-FUSION; IN-VITRO; LOW-PH; ATTACHMENT GLYCOPROTEIN; FUNCTIONAL INTERACTION; INFECTION; REPLICATION; ACTIVATION</t>
  </si>
  <si>
    <t xml:space="preserve">Paramyxoviruses use a specialized fusion protein to merge the viral envelope with cell membranes and initiate infection. Most paramyxoviruses require the interaction of two viral proteins to enter cells; an attachment protein binds cell surface receptors, leading to the activation of a fusion (F) protein that fuses the viral envelope and host cell plasma membrane. In contrast, human metapneumovirus (HMPV) expressing only the F protein is replication competent, suggesting a primary role for HMPV F in attachment and fusion. We previously identified an invariant arginine-glycine-aspartate (RGD) motif in the HMPV F protein and showed that the RGD-binding integrin alpha V beta 1-promoted HMPV infection. Here we show that both HMPV F-mediated binding and virus entry depend upon multiple RGD-binding integrins and that HMPV F can mediate binding and fusion in the absence of the viral attachment (G) protein. The invariant F-RGD motif is critical for infection, as an F-RAE virus was profoundly impaired. Further, F-integrin binding is required for productive viral RNA transcription, indicating that RGD-binding integrins serve as receptors for the HMPV fusion protein. Thus, HMPV F is triggered to induce virus-cell fusion by interactions with cellular receptors in a manner that is independent of the viral G protein. These results suggest a stepwise mechanism of HMPV entry mediated by the F protein through its interactions with cellular receptors, including RGD-binding integrins.</t>
  </si>
  <si>
    <t xml:space="preserve">[Cox, Reagan G.; Williams, John V.] Vanderbilt Univ, Med Ctr, Dept Pathol Microbiol &amp; Immunol, Nashville, TN 37235 USA; [Livesay, Brent; Ohi, Melanie D.] Vanderbilt Univ, Med Ctr, Dept Cell &amp; Dev Biol, Nashville, TN USA; [Williams, John V.] Vanderbilt Univ, Med Ctr, Dept Pediat, Nashville, TN USA</t>
  </si>
  <si>
    <t xml:space="preserve">Williams, JV (corresponding author), Vanderbilt Univ, Med Ctr, Dept Pathol Microbiol &amp; Immunol, Nashville, TN 37235 USA.</t>
  </si>
  <si>
    <t xml:space="preserve">Public Health Service [AI-73697, AI-85062]; National Institute of Allergy and Infectious Diseases [T32 AI-7611]; National Cancer Institute [T32 CA-9682]; Vanderbilt Ingram Cancer Center (NIH) [P30 CA-68485]; Vanderbilt Digestive Disease Research Center (NIH) [DK-58404]; Vanderbilt CTSA from the NCRR/NIH [UL1 RR-24975-01]</t>
  </si>
  <si>
    <t xml:space="preserve">Public Health Service(United States Department of Health &amp; Human ServicesUnited States Public Health Service); National Institute of Allergy and Infectious Diseases(United States Department of Health &amp; Human ServicesNational Institutes of Health (NIH) - USANIH National Institute of Allergy &amp; Infectious Diseases (NIAID)); National Cancer Institute(United States Department of Health &amp; Human ServicesNational Institutes of Health (NIH) - USANIH National Cancer Institute (NCI)); Vanderbilt Ingram Cancer Center (NIH)(United States Department of Health &amp; Human ServicesNational Institutes of Health (NIH) - USA); Vanderbilt Digestive Disease Research Center (NIH)(United States Department of Health &amp; Human ServicesNational Institutes of Health (NIH) - USA); Vanderbilt CTSA from the NCRR/NIH</t>
  </si>
  <si>
    <t xml:space="preserve">This work was supported by Public Health Service grants AI-73697 and AI-85062 (J.V.W.) and T32 AI-7611 (R.G.C.) from the National Institute of Allergy and Infectious Diseases and T32 CA-9682 (S.B.L.) from the National Cancer Institute. The VMC Flow Cytometry Shared Resource is supported by the Vanderbilt Ingram Cancer Center (NIH grant P30 CA-68485) and the Vanderbilt Digestive Disease Research Center (NIH grant DK-58404). This work was supported in part by Vanderbilt CTSA grant UL1 RR-24975-01 from the NCRR/NIH.</t>
  </si>
  <si>
    <t xml:space="preserve">10.1128/JVI.01133-12</t>
  </si>
  <si>
    <t xml:space="preserve">027MK</t>
  </si>
  <si>
    <t xml:space="preserve">WOS:000310356400017</t>
  </si>
  <si>
    <t xml:space="preserve">Hastings, AK; Erickson, JJ; Schuster, JE; Boyd, KL; Tollefson, SJ; Johnson, M; Gilchuk, P; Joyce, S; Williams, JV</t>
  </si>
  <si>
    <t xml:space="preserve">Hastings, Andrew K.; Erickson, John J.; Schuster, Jennifer E.; Boyd, Kelli L.; Tollefson, Sharon J.; Johnson, Monika; Gilchuk, Pavlo; Joyce, Sebastian; Williams, John V.</t>
  </si>
  <si>
    <t xml:space="preserve">Role of Type I Interferon Signaling in Human Metapneumovirus Pathogenesis and Control of Viral Replication</t>
  </si>
  <si>
    <t xml:space="preserve">Biology; Human metapneumovirus; Virology; Metapneumovirus; Viral replication; Pathogenesis; Interferon; Replication (statistics)</t>
  </si>
  <si>
    <t xml:space="preserve">RESPIRATORY SYNCYTIAL VIRUS; DENDRITIC CELL SUBSETS; REGULATORY T-CELLS; CLONAL EXPANSION; INFLUENZA-VIRUS; YOUNG-CHILDREN; FUSION PROTEIN; UP-REGULATION; HOST-DEFENSE; INFECTION</t>
  </si>
  <si>
    <t xml:space="preserve">Type I IFN signaling, which is initiated through activation of the alpha interferon receptor (IFNAR), regulates the expression of proteins that are crucial contributors to immune responses. Paramyxoviruses, including human metapneumovirus (HMPV), have evolved mechanisms to inhibit IFNAR signaling, but the specific contribution of IFNAR signaling to the control of HMPV replication, pathogenesis, and adaptive immunity is unknown. We used IFNAR-deficient (IFNAR(-/-)) mice to assess the effect of IFNAR signaling on HMPV replication and the CD8(+) T cell response. HMPV-infected IFNAR(-/-) mice had a higher peak of early viral replication but cleared the virus with kinetics similar to those of wild-type (WT) mice. However, IFNAR(-/-) mice infected with HMPV displayed less airway dysfunction and lung inflammation. CD8(+) T cells of IFNAR(-/-) mice after HMPV infection expressed levels of the inhibitory receptor programmed death 1 (PD-1) similar to those of WT mice. However, despite lower expression of inhibitory programmed death ligand 1 (PD-L1), HMPV-specific CD8(+) T cells of IFNAR(-/-) mice were more functionally impaired than those of WT mice and upregulated the inhibitory receptor Tim-3. Analysis of the antigen-presenting cell subsets in the lungs revealed that the expansion of PD-L1(low) dendritic cells (DCs), but not PD-L1(high) alveolar macrophages, was dependent on IFNAR signaling. Collectively, our results indicate a role for IFNAR signaling in the early control of HMPV replication, disease progression, and the development of an optimal adaptive immune response. Moreover, our findings suggest an IFNAR-independent mechanism of lung CD8(+) T cell impairment. IMPORTANCE Human metapneumovirus (HMPV) is a leading cause of acute respiratory illness. CD8(+) T cells are critical for clearing viral infection, yet recent evidence shows that HMPV and other respiratory viruses induce CD8(+) T cell impairment via PD-1-PD-L1 signaling. We sought to understand the role of type I interferon (IFN) in the innate and adaptive immune responses to HMPV by using a mouse model lacking IFN signaling. Although HMPV titers were higher in the absence of type I IFN, virus was nonetheless cleared and mice were less ill, indicating that type I IFN is not required to resolve HMPV infection but contributes to pathogenesis. Further, despite lower levels of the inhibitory ligand PD-L1 in mice lacking type I IFN, CD8(+) T cells were more impaired in these mice than in WT mice. Our data suggest that specific antigen-presenting cell subsets and the inhibitory receptor Tim-3 may contribute to CD8(+) T cell impairment.</t>
  </si>
  <si>
    <t xml:space="preserve">[Hastings, Andrew K.; Erickson, John J.; Boyd, Kelli L.; Gilchuk, Pavlo; Joyce, Sebastian; Williams, John V.] Vanderbilt Univ, Sch Med, Dept Pathol, Nashville, TN 37212 USA; [Hastings, Andrew K.; Erickson, John J.; Boyd, Kelli L.; Gilchuk, Pavlo; Joyce, Sebastian; Williams, John V.] Vanderbilt Univ, Sch Med, Dept Microbiol &amp; Immunol, Nashville, TN 37212 USA; [Tollefson, Sharon J.; Johnson, Monika; Williams, John V.] Vanderbilt Univ, Sch Med, Dept Pediat, Nashville, TN 37212 USA; [Schuster, Jennifer E.] Childrens Mercy Hosp, Dept Pediat, Kansas City, MO 64108 USA</t>
  </si>
  <si>
    <t xml:space="preserve">Vanderbilt University; Vanderbilt University; Vanderbilt University; Children's Mercy Hospital</t>
  </si>
  <si>
    <t xml:space="preserve">Williams, JV (corresponding author), Vanderbilt Univ, Sch Med, Dept Pathol, Nashville, TN 37212 USA.</t>
  </si>
  <si>
    <t xml:space="preserve">Williams, John/0000-0001-8377-5175; JOYCE, Sebastian/0000-0002-3183-1451; Erickson, John/0000-0001-6189-9302</t>
  </si>
  <si>
    <t xml:space="preserve">Vanderbilt Ingram Cancer Center [P30 CA68485]; Vanderbilt Digestive Disease Research Center [DK058404]; [AI085062]; [AI040079]; [AI042286]; [HL054977]; [GM007347]</t>
  </si>
  <si>
    <t xml:space="preserve">Vanderbilt Ingram Cancer Center; Vanderbilt Digestive Disease Research Center; ; ; ; ;</t>
  </si>
  <si>
    <t xml:space="preserve">This study was supported by grants AI085062 (J.V.W.), AI040079 (S.J.), AI042286 (S.J.), HL054977 (S.J.), and GM007347 to the Vanderbilt Medical Scientist Training Program (J.J.E.). The Vanderbilt Medical Center Flow Cytometry Shared Resource is supported by the Vanderbilt Ingram Cancer Center (P30 CA68485) and the Vanderbilt Digestive Disease Research Center (DK058404).</t>
  </si>
  <si>
    <t xml:space="preserve">10.1128/JVI.03275-14</t>
  </si>
  <si>
    <t xml:space="preserve">CF0FL</t>
  </si>
  <si>
    <t xml:space="preserve">WOS:000352218400031</t>
  </si>
  <si>
    <t xml:space="preserve">Haynes, AK; Fowlkes, AL; Schneider, E; Mutuc, JD; Armstrong, GL; Gerber, SI</t>
  </si>
  <si>
    <t xml:space="preserve">Haynes, Amber K.; Fowlkes, Ashley L.; Schneider, Eileen; Mutuc, Jeffry D.; Armstrong, Gregory L.; Gerber, Susan I.</t>
  </si>
  <si>
    <t xml:space="preserve">Human Metapneumovirus Circulation in the United States, 2008 to 2014</t>
  </si>
  <si>
    <t xml:space="preserve">Human metapneumovirus; Medicine; Bronchiolitis; Metapneumovirus; Virology; Virus</t>
  </si>
  <si>
    <t xml:space="preserve">RESPIRATORY-TRACT INFECTIONS; SYNCYTIAL VIRUS; YOUNG-CHILDREN</t>
  </si>
  <si>
    <t xml:space="preserve">BACKGROUND: Human metapneumovirus (HMPV) infection causes respiratory illness, including bronchiolitis and pneumonia. However, national HMPV seasonality, as it compares with respiratory syncytial virus (RSV) and influenza seasonality patterns, has not been well described. METHODS: Hospital and clinical laboratories reported weekly aggregates of specimens tested and positive detections for HMPV, RSV, and influenza to the National Respiratory and Enteric Virus Surveillance System from 2008 to 2014. A season was defined as consecutive weeks with &gt;= 3% positivity for HMPV and &gt;= 10% positivity for RSV and influenza during a surveillance year (June through July). For each virus, the season, onset, offset, duration, peak, and 6-season medians were calculated. RESULTS: Among consistently reporting laboratories, 33 583 (3.6%) specimens were positive for HMPV, 281 581 (15.3%) for RSV, and 401 342 (18.2%) for influenza. Annually, 6 distinct HMPV seasons occurred from 2008 to 2014, with onsets ranging from November to February and offsets from April to July. Based on the 6-season medians, RSV, influenza, and HMPV onsets occurred sequentially and season durations were similar at 21 to 22 weeks. HMPV demonstrated a unique biennial pattern of early and late seasonal onsets. RSV seasons (onset, offset, peak) were most consistent and occurred before HMPV seasons. There were no consistent patterns between HMPV and influenza circulations. CONCLUSIONS: HMPV circulation begins in winter and lasts until spring and demonstrates distinct seasons each year, with the onset beginning after that of RSV. HMPV, RSV, and influenza can circulate simultaneously during the respiratory season.</t>
  </si>
  <si>
    <t xml:space="preserve">[Haynes, Amber K.; Schneider, Eileen; Mutuc, Jeffry D.; Gerber, Susan I.] Ctr Dis Control &amp; Prevent, Div Viral Dis, Natl Ctr Immunizat &amp; Resp Dis, Atlanta, GA USA; [Fowlkes, Ashley L.] Ctr Dis Control &amp; Prevent, Div Influenza, Natl Ctr Immunizat &amp; Resp Dis, Atlanta, GA USA; [Armstrong, Gregory L.] Ctr Dis Control &amp; Prevent, Off Adv Mol Detect, Natl Ctr Emerging &amp; Zoonot Infect Dis, Atlanta, GA USA</t>
  </si>
  <si>
    <t xml:space="preserve">Centers for Disease Control &amp; Prevention - USA; Centers for Disease Control &amp; Prevention - USA; Centers for Disease Control &amp; Prevention - USA</t>
  </si>
  <si>
    <t xml:space="preserve">Haynes, AK (corresponding author), Ctr Dis Control &amp; Prevent, Natl Ctr Immunizat &amp; Resp Dis, 1600 Clifton Rd NE,MS A-34, Atlanta, GA 30329 USA.</t>
  </si>
  <si>
    <t xml:space="preserve">ahaynes1@cdc.gov</t>
  </si>
  <si>
    <t xml:space="preserve">Fowlkes, Ashley/JUV-2531-2023</t>
  </si>
  <si>
    <t xml:space="preserve">Centers for Disease Control and Prevention, National Center for Immunization and Respiratory Diseases, Division of Viral Diseases and Influenza</t>
  </si>
  <si>
    <t xml:space="preserve">Supported by the Centers for Disease Control and Prevention, National Center for Immunization and Respiratory Diseases, Division of Viral Diseases and Influenza.</t>
  </si>
  <si>
    <t xml:space="preserve">e20152927</t>
  </si>
  <si>
    <t xml:space="preserve">10.1542/peds.2015-2927</t>
  </si>
  <si>
    <t xml:space="preserve">DK8XZ</t>
  </si>
  <si>
    <t xml:space="preserve">WOS:000375214300016</t>
  </si>
  <si>
    <t xml:space="preserve">Bagnaud-Baule, A; Reynard, O; Perret, M; Berland, JL; Maache, M; Peyrefitte, C; Vernet, G; Volchkov, V; Paranhos-Baccalà, G</t>
  </si>
  <si>
    <t xml:space="preserve">Bagnaud-Baule, Audrey; Reynard, Olivier; Perret, Magali; Berland, Jean-Luc; Maache, Mimoun; Peyrefitte, Christophe; Vernet, Guy; Volchkov, Viktor; Paranhos-Baccala, Glaucia</t>
  </si>
  <si>
    <t xml:space="preserve">The Human Metapneumovirus Matrix Protein Stimulates the Inflammatory Immune Response In Vitro</t>
  </si>
  <si>
    <t xml:space="preserve">Human metapneumovirus; Immune system; Immunology; Innate immune system; Bronchiolitis</t>
  </si>
  <si>
    <t xml:space="preserve">RESPIRATORY SYNCYTIAL VIRUS; DENDRITIC CELLS; EPITHELIAL-CELLS; TRACT DISEASE; TAT PROTEIN; INFECTION; CHEMOKINES; CHILDREN; NUCLEOCAPSIDS; INTERFERONS</t>
  </si>
  <si>
    <t xml:space="preserve">Each year, during winter months, human Metapneumovirus (hMPV) is associated with epidemics of bronchiolitis resulting in the hospitalization of many infants. Bronchiolitis is an acute illness of the lower respiratory tract with a consequent inflammation of the bronchioles. The rapid onset of inflammation suggests the innate immune response may have a role to play in the pathogenesis of this hMPV infection. Since, the matrix protein is one of the most abundant proteins in the Paramyxoviridae family virion, we hypothesized that the inflammatory modulation observed in hMPV infected patients may be partly associated with the matrix protein (M-hMPV) response. By western blot analysis, we detected a soluble form of M-hMPV released from hMPV infected cell as well as from M-hMPV transfected HEK 293T cells suggesting that M-hMPV may be directly in contact with antigen presenting cells (APCs) during the course of infection. Moreover, flow cytometry and confocal microscopy allowed determining that M-hMPV was taken up by dendritic cells (moDCs) and macrophages inducing their activation. Furthermore, these moDCs enter into a maturation process inducing the secretion of a broad range of inflammatory cytokines when exposed to M-hMPV. Additionally, M-hMPV activated DCs were shown to stimulate IL-2 and IFN-gamma production by allogeneic T lymphocytes. This M-hMPV-mediated activation and antigen presentation of APCs may in part explain the marked inflammatory immune response observed in pathology induced by hMPV in patients.</t>
  </si>
  <si>
    <t xml:space="preserve">[Bagnaud-Baule, Audrey; Maache, Mimoun; Paranhos-Baccala, Glaucia] Inst Federatif Rech 128 BioSci Lyon Gerland, Emerging Pathogens Dept, bioMerieux, Lyon, France; [Bagnaud-Baule, Audrey; Perret, Magali; Berland, Jean-Luc; Peyrefitte, Christophe; Vernet, Guy; Paranhos-Baccala, Glaucia] Fdn Merieux, Lab Pathogenes Emergents, Lyon, France; [Reynard, Olivier; Volchkov, Viktor] INSERM, U758, IFR128, F-69008 Lyon, France; [Peyrefitte, Christophe] Inst Rech Biomed Armees, Grenoble, France</t>
  </si>
  <si>
    <t xml:space="preserve">bioMerieux; Institut National de la Sante et de la Recherche Medicale (Inserm); Ecole Normale Superieure de Lyon (ENS de LYON)</t>
  </si>
  <si>
    <t xml:space="preserve">Bagnaud-Baule, A (corresponding author), Inst Federatif Rech 128 BioSci Lyon Gerland, Emerging Pathogens Dept, bioMerieux, Lyon, France.</t>
  </si>
  <si>
    <t xml:space="preserve">glaucia.baccala@fondation-merieux.org</t>
  </si>
  <si>
    <t xml:space="preserve">reynard, olivier/M-8069-2014; Berland, Jean-Luc/KBB-0904-2024; Volchkov, Viktor/M-7846-2014</t>
  </si>
  <si>
    <t xml:space="preserve">Reynard, Olivier/0000-0001-7536-355X; vernet, guy/0000-0002-5120-1297; Volchkov, Viktor/0000-0001-7896-8706; Berland, Jean-Luc/0000-0002-6337-3715</t>
  </si>
  <si>
    <t xml:space="preserve">bioMerieux S.A; French Ministry of the Economy, Finance and Employment (DEMINAP); bioMerieux</t>
  </si>
  <si>
    <t xml:space="preserve">This work was supported by bioMerieux S.A and by grants from the French Ministry of the Economy, Finance and Employment (DEMINAP). The authors, hereby, declare that bioMerieux financed Audrey Bagnaud-Baule for her PhD study, Mimoun Maache for his post-doctoral position and Glaucia Paranhos-Baccala as the research director of the lab and Audrey Bagnaud-Baule's PhD supervisor. bioMerieux provided funding to support the cost of a part of the materials used for this study. The study design has been done by GPB, ABB, OR and VV. The funders had no role in study design, data collection and analysis, decision to publish, or preparation of the manuscript.</t>
  </si>
  <si>
    <t xml:space="preserve">185 BERRY ST, STE 1300, SAN FRANCISCO, CA 94107 USA</t>
  </si>
  <si>
    <t xml:space="preserve">e17818</t>
  </si>
  <si>
    <t xml:space="preserve">10.1371/journal.pone.0017818</t>
  </si>
  <si>
    <t xml:space="preserve">733FF</t>
  </si>
  <si>
    <t xml:space="preserve">WOS:000288247800032</t>
  </si>
  <si>
    <t xml:space="preserve">Rodriguez, PE; Frutos, MC; Adamo, MP; Cuffini, C; Cámara, JA; Paglini, MG; Moreno, L; Cámara, A</t>
  </si>
  <si>
    <t xml:space="preserve">Rodriguez, Pamela Elizabeth; Frutos, Maria Celia; Adamo, Maria Pilar; Cuffini, Cecilia; Camara, Jorge Augusto; Paglini, Maria Gabriela; Moreno, Laura; Camara, Alicia</t>
  </si>
  <si>
    <t xml:space="preserve">Human Metapneumovirus: Epidemiology and genotype diversity in children and adult patients with respiratory infection in Cordoba, Argentina</t>
  </si>
  <si>
    <t xml:space="preserve">Human metapneumovirus; Epidemiology; Bronchiolitis; Metapneumovirus; Respiratory system; Genotype</t>
  </si>
  <si>
    <t xml:space="preserve">GENETIC-VARIABILITY; PREVALENCE</t>
  </si>
  <si>
    <t xml:space="preserve">Human Metapneumovirus (hMPV) is responsible for acute respiratory infections in humans, with clinical and epidemiological relevance in pediatric, elderly, and immunocompromised populations. These features are largely unknown in Cordoba, Argentina and in adults in general. Hence, our goal was to broadly characterize hMPV infection in patients of all ages hospitalized with acute respiratory infections in Cordoba, Argentina, including epidemiology, clinical features and genetic diversity. Nasopharyngeal secretions were obtained from 795 patients during 2011-2013, 621 patients were 0-25 years old and 174 were 26-85 years old. HMPV was assayed by RT-PCR and other respiratory viruses by indirect immunofluorescence. Local strains were identified by sequence analysis. Human Metapneumovirus was detected in 20.3% (161/795) patients, 13.1% as single infections and 7.2% in co-infections, more frequently with Respiratory Syncytial Virus. HMPV circulated during late winter and spring in all age patients, but mainly in children under 4 years old in 71.4% (115/161) and adults between 26 and 59 years old in 12.4% (20/161). The most prevalent diagnosis was mild acute respiratory infection in 59.6% (96/161) and bronchiolitis in 9.3% (15/161). Local strains were clustered within A(2) subtype; they presented 73-100% identities among them, showing a high degree of homology compared to isolations from neighboring countries. We demonstrate that hMPV circulated among all age patients with respiratory infection during 2011-2013 in Cordoba, contributing to the understanding of this virus, its diagnosis and patient handling in local health-care centers.</t>
  </si>
  <si>
    <t xml:space="preserve">[Rodriguez, Pamela Elizabeth; Frutos, Maria Celia; Adamo, Maria Pilar; Cuffini, Cecilia; Camara, Jorge Augusto; Paglini, Maria Gabriela; Camara, Alicia] Univ Nacl Cordoba, Fac Ciencias Med, Inst Virol Dr JM Vanella, Cordoba, Argentina; [Paglini, Maria Gabriela] Univ Nacl Cordoba, CONICET, INIMEC, Inst Invest Med Mercedes &amp; Martin Ferreyra, Cordoba, Argentina; [Moreno, Laura] Univ Nacl Cordoba, Hosp Ninos Santisima Trinidad Cordoba, Catedra Clin Pediat, Fac Ciencias Med, Cordoba, Argentina</t>
  </si>
  <si>
    <t xml:space="preserve">National University of Cordoba; Consejo Nacional de Investigaciones Cientificas y Tecnicas (CONICET); National University of Cordoba; National University of Cordoba</t>
  </si>
  <si>
    <t xml:space="preserve">Rodriguez, PE (corresponding author), Univ Nacl Cordoba, Fac Ciencias Med, Inst Virol Dr JM Vanella, Cordoba, Argentina.</t>
  </si>
  <si>
    <t xml:space="preserve">rpamelaelizabeth@gmail.com</t>
  </si>
  <si>
    <t xml:space="preserve">Rodriguez, Pamela/GLQ-6088-2022; Frutos, Celia/AAU-9948-2020</t>
  </si>
  <si>
    <t xml:space="preserve">Frutos, Maria Celia/0000-0002-6349-6264; Rodriguez, Pamela Elizabeth/0000-0003-3827-3760</t>
  </si>
  <si>
    <t xml:space="preserve">SECyT-UNC; Fundacion A. J. Roemmers</t>
  </si>
  <si>
    <t xml:space="preserve">SECyT-UNC(Secretaria de Ciencia y Tecnologia (SECYT)); Fundacion A. J. Roemmers</t>
  </si>
  <si>
    <t xml:space="preserve">A. C. [2014-2015, 2016-2017] SECyT-UNC. https://www.unc.edu.ar/ciencia-y-tecnolog% C3%ADa/subsidios-secyt A. C. [Consolidar 2018-2021] SECyT-UNC. https://www.unc.edu.ar/ciencia-y-tecnolog%C3%ADa/subsidios-secyt A. C. [2014-2016, 2018-2020] Fundacion A. J. Roemmers. https://www.roemmers.com.ar/es/compromiso/fundacion/investigacion The funders had no role in study design, data collection and analysis, decision to publish, or preparation of the manuscript.</t>
  </si>
  <si>
    <t xml:space="preserve">DEC 28</t>
  </si>
  <si>
    <t xml:space="preserve">e0244093</t>
  </si>
  <si>
    <t xml:space="preserve">10.1371/journal.pone.0244093</t>
  </si>
  <si>
    <t xml:space="preserve">PM2BQ</t>
  </si>
  <si>
    <t xml:space="preserve">WOS:000603611900106</t>
  </si>
  <si>
    <t xml:space="preserve">Pancham, K; Perez, GF; Husen, S; Jain, A; Kurdi, B; Rodriguez-Martinez, CE; Preciado, D; Rose, MC; Nino, G</t>
  </si>
  <si>
    <t xml:space="preserve">Pancham, Krishna; Perez, Geovanny F.; Husen, Shehlanoor; Jain, Amisha; Kurdi, Bassem; Rodriguez-Martinez, Carlos E.; Preciado, Diego; Rose, Mary C.; Nino, Gustavo</t>
  </si>
  <si>
    <t xml:space="preserve">Premature infants have impaired airway antiviral IFNγ responses to human metapneumovirus compared to respiratory syncytial virus</t>
  </si>
  <si>
    <t xml:space="preserve">PEDIATRIC RESEARCH</t>
  </si>
  <si>
    <t xml:space="preserve">Human metapneumovirus; Medicine; Bronchiolitis; Immunology; Respiratory system; Rhinovirus</t>
  </si>
  <si>
    <t xml:space="preserve">CYTOKINE RESPONSES; IMMUNE-RESPONSES; INFLUENZA-VIRUS; YOUNG-CHILDREN; INFECTION; TRACT; SEVERITY; DISEASE; CELLS; RATES</t>
  </si>
  <si>
    <t xml:space="preserve">BACKGROUND: It is unknown why human metapneumovirus (HMPV) and respiratory syncytial virus (RSV) cause severe respiratory infection in children, particularly in premature infants. Our aim was to investigate if there are defective airway antiviral responses to these viruses in young children with history of prematurity. METHODS: Nasal airway secretions were collected from 140 children &lt;= 3 y old without detectable virus (n = 80) or with PCR-confirmed HMPV or RSV infection (n = 60). Nasal protein levels of IFN gamma, CCL5/RANTES, IL-10, IL-4, and IL-17 were determined using a multiplex magnetic bead immunoassay. RESULTS: Full-term children with HMPV and RSV infection had increased levels of nasal airway IFN gamma, CCL5, and IL-10 along with an elevation in Th1 (IFN gamma)/Th2 (IL-4) ratios, which is expected during antiviral responses. In contrast, HMPV-infected premature children (&lt; 32 wk gestation) did not exhibit increased Th1/Th2 ratios or elevated nasal airway secretion of IFN gamma, CCL5, and IL-10 relative to uninfected controls. CONCLUSION: Our study is the first to demonstrate that premature infants have defective IFN gamma, CCL5/RANTES, and IL-10 airway responses during HMPV infection and provides novel insights about the potential reason why HMPV causes severe respiratory disease in Children with history of prematurity.</t>
  </si>
  <si>
    <t xml:space="preserve">[Pancham, Krishna; Perez, Geovanny F.; Husen, Shehlanoor; Jain, Amisha; Rose, Mary C.; Nino, Gustavo] Childrens Natl Med Ctr, Div Pulm &amp; Sleep Med, Washington, DC 20010 USA; [Perez, Geovanny F.; Kurdi, Bassem; Preciado, Diego; Rose, Mary C.; Nino, Gustavo] George Washington Univ, Dept Pediat, Washington, DC 20052 USA; [Perez, Geovanny F.; Preciado, Diego; Rose, Mary C.; Nino, Gustavo] George Washington Univ, Dept Integrat Syst Biol, Washington, DC USA; [Perez, Geovanny F.; Rodriguez-Martinez, Carlos E.; Preciado, Diego; Rose, Mary C.; Nino, Gustavo] Childrens Natl Med Ctr, Ctr Genet Res Med, Washington, DC 20010 USA; [Rodriguez-Martinez, Carlos E.] Univ Nacl Colombia, Sch Med, Dept Pediat, Bogota, Colombia; [Rodriguez-Martinez, Carlos E.] Univ El Bosque, Sch Med, Dept Pediat Pulmonol &amp; Pediat Crit Care Med, Bogota, Colombia; [Rodriguez-Martinez, Carlos E.] Mil Hosp Colombia, Res Unit, Bogota, Colombia; [Preciado, Diego] George Washington Univ, Dept Surg, Div Pediat Otorhinolaryngol, Washington, DC USA; [Preciado, Diego] George Washington Univ, Dept Pediat, Div Pediat Otorhinolaryngol, Washington, DC 20052 USA; [Rose, Mary C.] George Washington Univ, Dept Biochem &amp; Mol Med, Washington, DC USA</t>
  </si>
  <si>
    <t xml:space="preserve">Children's National Health System; George Washington University; George Washington University; Children's National Health System; Universidad Nacional de Colombia; Universidad El Bosque; George Washington University; George Washington University; George Washington University</t>
  </si>
  <si>
    <t xml:space="preserve">Nino, G (corresponding author), Childrens Natl Med Ctr, Div Pulm &amp; Sleep Med, Washington, DC 20010 USA.</t>
  </si>
  <si>
    <t xml:space="preserve">Perez, Geovanny/0000-0003-2843-6837</t>
  </si>
  <si>
    <t xml:space="preserve">National Institutes of Health, Bethesda, MD [K12-HL090020, K12-HD001399, UL1TR000075 KL2TR000076]</t>
  </si>
  <si>
    <t xml:space="preserve">National Institutes of Health, Bethesda, MD(United States Department of Health &amp; Human ServicesNational Institutes of Health (NIH) - USA)</t>
  </si>
  <si>
    <t xml:space="preserve">This work was supported by National Institutes of Health, Bethesda, MD, grants K12-HL090020, K12-HD001399 and UL1TR000075 KL2TR000076.</t>
  </si>
  <si>
    <t xml:space="preserve">0031-3998</t>
  </si>
  <si>
    <t xml:space="preserve">1530-0447</t>
  </si>
  <si>
    <t xml:space="preserve">PEDIATR RES</t>
  </si>
  <si>
    <t xml:space="preserve">Pediatr. Res.</t>
  </si>
  <si>
    <t xml:space="preserve">10.1038/pr.2015.113</t>
  </si>
  <si>
    <t xml:space="preserve">CS9DI</t>
  </si>
  <si>
    <t xml:space="preserve">WOS:000362388900005</t>
  </si>
  <si>
    <t xml:space="preserve">Kolli, D; Bataki, EL; Spetch, L; Guerrero-Plata, A; Jewell, AM; Piedra, PA; Milligan, GN; Garofalo, RP; Casola, A</t>
  </si>
  <si>
    <t xml:space="preserve">Kolli, Deepth; Bataki, Efthalia L.; Spetch, LeAnne; Guerrero-Plata, Antonieta; Jewell, Alan M.; Piedra, Pedro A.; Milligan, Gregg N.; Garofalo, Roberto P.; Casola, Antonella</t>
  </si>
  <si>
    <t xml:space="preserve">T lymphocytes contribute to antiviral immunity and pathogenesis in experimental human metapneumovirus infection</t>
  </si>
  <si>
    <t xml:space="preserve">Human metapneumovirus; Immunology; Biology; Pathogenesis; Metapneumovirus; Virology</t>
  </si>
  <si>
    <t xml:space="preserve">RESPIRATORY SYNCYTIAL VIRUS; AIRWAY HYPERRESPONSIVENESS; BALB/C MICE; PULMONARY INFLAMMATION; TRACT DISEASE; CHILDREN; HMPV; IDENTIFICATION; REINFECTION; OBSTRUCTION</t>
  </si>
  <si>
    <t xml:space="preserve">Human metapneumovirus (hMPV), a member of the family Paramyxoviridae, is a leading cause of lower respiratory tract infections in children, the elderly, and immunocompromised patients. Virus- and host-specific mechanisms of pathogenesis and immune protection are not fully understood. By an intranasal inoculation model, we show that hMPV-infected BALB/c mice developed clinical disease, including airway obstruction and hyperresponsiveness (AHR), along with histopathologic evidence of lung inflammation and viral replication. hMPV infection protected mice against subsequent viral challenge, as demonstrated by undetectable viral titers, lack of body weight loss, and a significant reduction in the level of lung inflammation. No cross-protection with other paramyxoviruses, such as respiratory syncytial virus, was observed. T-lymphocyte depletion studies showed that CD4(+) and CD8(+) T cells cooperate synergistically in hMPV eradication during primary infection, but CD4(+) more than CD8(+) T cells also enhanced clinical disease and lung pathology. Concurrent depletion of CD4(+) and CD8(+) T cells completely blocked airway obstruction as well as AHR. Despite impaired generation of neutralizing anti-hMPV antibodies in the absence of CD4(+) T cells, mice had undetectable viral replication after hMPV challenge and were protected front clinical disease, suggesting that protection can be provided by an intact CD8(+) T-cell compartment. Whether these findings have implications for naturally acquired human infections remains to be determined.</t>
  </si>
  <si>
    <t xml:space="preserve">[Kolli, Deepth; Bataki, Efthalia L.; Spetch, LeAnne; Guerrero-Plata, Antonieta; Milligan, Gregg N.; Garofalo, Roberto P.; Casola, Antonella] Univ Texas Med Branch, Dept Pediat, Galveston, TX 77555 USA; [Milligan, Gregg N.; Garofalo, Roberto P.; Casola, Antonella] Univ Texas Med Branch, Dept Microbiol &amp; Immunol, Galveston, TX 77555 USA; [Milligan, Gregg N.; Garofalo, Roberto P.; Casola, Antonella] Univ Texas Med Branch, Sealy Ctr Vaccine Dev, Galveston, TX 77555 USA; [Jewell, Alan M.; Piedra, Pedro A.] Baylor Coll Med, Dept Mol Virol &amp; Microbiol, Houston, TX 77030 USA</t>
  </si>
  <si>
    <t xml:space="preserve">University of Texas System; University of Texas Medical Branch Galveston; University of Texas System; University of Texas Medical Branch Galveston; University of Texas System; University of Texas Medical Branch Galveston; Baylor College of Medicine</t>
  </si>
  <si>
    <t xml:space="preserve">NIAID [P01 AI062885, N01 AI30039]; Sealy Center for Vaccine Development; University of Texas Medical Branch (UTMB); Jeane B. Kempner fellowship</t>
  </si>
  <si>
    <t xml:space="preserve">NIAID(United States Department of Health &amp; Human ServicesNational Institutes of Health (NIH) - USANIH National Institute of Allergy &amp; Infectious Diseases (NIAID)); Sealy Center for Vaccine Development; University of Texas Medical Branch (UTMB); Jeane B. Kempner fellowship</t>
  </si>
  <si>
    <t xml:space="preserve">This work was supported by grants from NIAID (P01 AI062885 to A.C. and N01 AI30039 to R.P.G.) and NHLBI (N01 HV28184 to A.C. and R.P.G.) and by the Sealy Center for Vaccine Development, University of Texas Medical Branch (UTMB). D.K. was supported by the Jeane B. Kempner fellowship, UTMB.We thank Richard Johnston for helpful suggestions on the analysis of lung mechanics.</t>
  </si>
  <si>
    <t xml:space="preserve">10.1128/JVI.00699-08</t>
  </si>
  <si>
    <t xml:space="preserve">339UU</t>
  </si>
  <si>
    <t xml:space="preserve">WOS:000258603600031</t>
  </si>
  <si>
    <t xml:space="preserve">Zhang, C; Du, LN; Zhang, ZY; Qin, X; Yang, X; Liu, P; Chen, X; Zhao, Y; Liu, EM; Zhao, XD</t>
  </si>
  <si>
    <t xml:space="preserve">Zhang, Cui; Du, Li-Na; Zhang, Zhi-Yong; Qin, Xian; Yang, Xi; Liu, Ping; Chen, Xin; Zhao, Yao; Liu, En-Mei; Zhao, Xiao-Dong</t>
  </si>
  <si>
    <t xml:space="preserve">Detection and Genetic Diversity of Human Metapneumovirus in Hospitalized Children with Acute Respiratory Infections in Southwest China</t>
  </si>
  <si>
    <t xml:space="preserve">Human metapneumovirus; Metapneumovirus; Genotype; Biology; Respiratory tract infections; Virology; Pathogen</t>
  </si>
  <si>
    <t xml:space="preserve">TRACT INFECTIONS; SYNCYTIAL VIRUS; YOUNG-CHILDREN; P-GENE; BRONCHIOLITIS; COMMUNITY; SEQUENCE; STRAINS; DISEASE; PCR</t>
  </si>
  <si>
    <t xml:space="preserve">Human metapneumovirus (hMPV) is the main pathogen causing respiratory tract infection in susceptible populations, particularly in children and the elderly. Specimens were collected from hospitalized children with acute lower respiratory tract infections (ALRTI), and the hMPV was detected by using real-time reverse transcription-PCR (RT-PCR). The full-length G gene of hMPV was amplified by RT-PCR. A total of 1,410 nasopharyngeal aspirates (NPAs) were collected from April 2008 to March 2011, and 114 (10.2%) were positive for hMPV. Most hMPV-positive children were &lt;5 years of age. The hMPV infection rate peaked in the spring-summer season of 2008 to 2009 and 2009 to 2010, while hMPV circulated predominantly during the winter-spring season of 2010 to 2011. The full-length G gene of 23 hMPV strains was amplified, and group A and B viruses accounted for 95.7% (22/23) and 4.3% (1/23), respectively. Genotype A2b of hMPV appeared to be predominant during the study period. Three genotypes (A2b, A1, and B1) were prevalent in the epidemic season of 2008 to 2009, and only genotype A2b was identified in the other two seasons (2009 to 2010 and 2010 to 2011). The G gene of hMPV was predicted to encode proteins with four different lengths, in which one with 210 amino acids was first identified in China. These findings suggest that hMPV was an important pathogen of ALRTI in pediatric patients, especially those &lt;5 years of age. Genotype A2b of hMPV likely predominates in Southwest China, where other genotypes also circulate.</t>
  </si>
  <si>
    <t xml:space="preserve">[Zhang, Cui; Du, Li-Na; Zhang, Zhi-Yong; Qin, Xian; Yang, Xi; Liu, Ping; Chen, Xin; Zhao, Yao; Liu, En-Mei; Zhao, Xiao-Dong] Chongqing Med Univ, Childrens Hosp,Key Lab Child Dev &amp; Disorders, Div Immunol,Key Lab Pediat Chongqing,Minist Educ, Chongqing Int Sci &amp; Technol Cooperat Ctr Child De, Chongqing, Peoples R China</t>
  </si>
  <si>
    <t xml:space="preserve">Zhao, XD (corresponding author), Chongqing Med Univ, Childrens Hosp,Key Lab Child Dev &amp; Disorders, Div Immunol,Key Lab Pediat Chongqing,Minist Educ, Chongqing Int Sci &amp; Technol Cooperat Ctr Child De, Chongqing, Peoples R China.</t>
  </si>
  <si>
    <t xml:space="preserve">Qin, XIan/JUU-4649-2023</t>
  </si>
  <si>
    <t xml:space="preserve">National Natural Science Foundation of China [30730098]; Chongqing Excellent Young Scientists Fund (CSCT) [2008BA5040]</t>
  </si>
  <si>
    <t xml:space="preserve">National Natural Science Foundation of China(National Natural Science Foundation of China (NSFC)); Chongqing Excellent Young Scientists Fund (CSCT)</t>
  </si>
  <si>
    <t xml:space="preserve">This work was supported by the National Natural Science Foundation of China (grant 30730098) and in part by the Chongqing Excellent Young Scientists Fund (CSCT; grant 2008BA5040).</t>
  </si>
  <si>
    <t xml:space="preserve">10.1128/JCM.00809-12</t>
  </si>
  <si>
    <t xml:space="preserve">986WY</t>
  </si>
  <si>
    <t xml:space="preserve">WOS:000307378400027</t>
  </si>
  <si>
    <t xml:space="preserve">Schowalter, RM; Chang, A; Robach, JG; Buchholz, UJ; Dutch, RE</t>
  </si>
  <si>
    <t xml:space="preserve">Schowalter, Rachel M.; Chang, Andres; Robach, Jessica G.; Buchholz, Ursula J.; Dutch, Rebecca Ellis</t>
  </si>
  <si>
    <t xml:space="preserve">Low-pH Triggering of Human Metapneumovirus Fusion: Essential Residues and Importance in Entry</t>
  </si>
  <si>
    <t xml:space="preserve">Human metapneumovirus; Biology; Heptad repeat; Endocytosis; Endocytic cycle; Lipid bilayer fusion; Endosome; Histidine</t>
  </si>
  <si>
    <t xml:space="preserve">RESPIRATORY SYNCYTIAL VIRUS; VESICULAR STOMATITIS-VIRUS; CLATHRIN-MEDIATED ENDOCYTOSIS; PARAMYXOVIRUS MEMBRANE-FUSION; SMALL HYDROPHOBIC SH; INFLUENZA HEMAGGLUTININ; F-PROTEIN; VERO CELLS; PARAINFLUENZA VIRUS-5; ENVELOPE GLYCOPROTEIN</t>
  </si>
  <si>
    <t xml:space="preserve">Human metapneumovirus (HMPV) is a significant respiratory pathogen classified in the Pneumovirinae subfamily of the paramyxovirus family. Recently, we demonstrated that HMPV F protein-promoted cell-cell fusion is stimulated by exposure to low pH, in contrast to what is observed for other paramyxovirus F proteins. In the present study, we examined the potential role of histidine protonation in HMPV F fusion and investigated the role of low pH in HMPV viral entry. Mutagenesis of the three ectodomain histidine residues of the HMPV F protein demonstrated that the mutation of a histidine in the heptad repeat B linker domain (H435) ablated fusion activity without altering cell surface expression or proteolytic processing significantly. Modeling of the HMPV F protein revealed several basic residues surrounding this histidine residue, and the mutation of these residues also reduced fusion activity. These results suggest that electrostatic repulsion in the heptad repeat B linker region may contribute to the triggering of HMPV F. In addition, we examined the effect of inhibitors of endosomal acidification or endocytosis on the entry of a recombinant green fluorescent protein-expressing HMPV. Interestingly, chemicals that raise the pH of endocytic vesicles resulted in a 30 to 50% decrease in HMPV infection, while the inhibitors of endocytosis reduced infection by as much as 90%. These data suggest that HMPV utilizes an endocytic entry mechanism, in contrast to what has been hypothesized for most paramyxoviruses. In addition, our results indicate that HMPV uses the low pH of the endocytic pathway to enhance infectivity, though the role of low pH likely differs from classically described mechanisms.</t>
  </si>
  <si>
    <t xml:space="preserve">[Schowalter, Rachel M.; Chang, Andres; Dutch, Rebecca Ellis] Univ Kentucky, Coll Med, Dept Mol &amp; Cellular Biochem, Lexington, KY 40536 USA; [Robach, Jessica G.] Northwestern Univ, Dept Biochem Mol Biol &amp; Cell Biol, Evanston, IL 60208 USA; [Buchholz, Ursula J.] NIAID, Infect Dis Lab, Bethesda, MD 20892 USA</t>
  </si>
  <si>
    <t xml:space="preserve">University of Kentucky; Northwestern University; National Institutes of Health (NIH) - USA; NIH National Institute of Allergy &amp; Infectious Diseases (NIAID)</t>
  </si>
  <si>
    <t xml:space="preserve">Dutch, RE (corresponding author), Univ Kentucky, Coll Med, Dept Mol &amp; Cellular Biochem, Biomed Biol Sci Res Bldg,741 South Limestone, Lexington, KY 40536 USA.</t>
  </si>
  <si>
    <t xml:space="preserve">Chang, Andres/V-8887-2019; Buchholz, Ursula/AAA-4547-2022</t>
  </si>
  <si>
    <t xml:space="preserve">Great Rivers affiliate of the American Heart Association [0715355B]; March of Dimes; National Institutes of Health. [1R21AI074783-01]; American Heart Association (AHA) [0715355B] Funding Source: American Heart Association (AHA)</t>
  </si>
  <si>
    <t xml:space="preserve">Great Rivers affiliate of the American Heart Association(American Heart Association); March of Dimes(March of Dimes); National Institutes of Health.(United States Department of Health &amp; Human ServicesNational Institutes of Health (NIH) - USA); American Heart Association (AHA)(American Heart Association)</t>
  </si>
  <si>
    <t xml:space="preserve">This study was supported by predoctoral fellowship 0715355B from the Great Rivers affiliate of the American Heart Association, a research grant from the March of Dimes, and research grant 1R21AI074783-01 from the National Institutes of Health.</t>
  </si>
  <si>
    <t xml:space="preserve">10.1128/JVI.01381-08</t>
  </si>
  <si>
    <t xml:space="preserve">392TR</t>
  </si>
  <si>
    <t xml:space="preserve">WOS:000262325600034</t>
  </si>
  <si>
    <t xml:space="preserve">Moe, N; Krokstad, S; Stenseng, IH; Christensen, A; Skanke, LH; Risnes, KR; Nordbo, SA; Dollner, H</t>
  </si>
  <si>
    <t xml:space="preserve">Moe, Nina; Krokstad, Sidsel; Stenseng, Inger Heimdal; Christensen, Andreas; Skanke, Lars Hosoien; Risnes, Kari Ravndal; Nordbo, Svein Arne; Dollner, Henrik</t>
  </si>
  <si>
    <t xml:space="preserve">Comparing Human Metapneumovirus and Respiratory Syncytial Virus: Viral Co-Detections, Genotypes and Risk Factors for Severe Disease</t>
  </si>
  <si>
    <t xml:space="preserve">Human metapneumovirus; Medicine; Virus; Viral load; Lower respiratory tract infection</t>
  </si>
  <si>
    <t xml:space="preserve">YOUNG-CHILDREN; HOSPITALIZED CHILDREN; TRACT INFECTIONS; SEVERE BRONCHIOLITIS; NORWEGIAN CHILDREN; CLINICAL-FEATURES; GENETIC DIVERSITY; MULTICENTER; INFANTS; LOAD</t>
  </si>
  <si>
    <t xml:space="preserve">Background It is unclarified as to whether viral co-detection and human metapneumovirus (HMPV) genotypes relate to clinical manifestations in children with HMPV and lower respiratory tract infection (LRTI), and if the clinical course and risk factors for severe LRTI differ between HMPV and respiratory syncytial virus (RSV). Methods We prospectively enrolled hospitalized children aged &lt;16 years with LRTI from 2006 to 2015. Children were clinically examined, and nasopharyngeal aspirates were analyzed using semi-quantitative, real-time polymerase chain reaction tests for HMPV, RSV and 17 other pathogens. HMPV-positive samples were genotyped. Results A total of 171 children had HMPV infection. HMPV-infected children with single virus (n = 106) and co-detections (n = 65) had similar clinical manifestations. No clinical differences were found between HMPV genotypes A (n = 67) and B (n = 80). The HMPV-infected children were older (median 17.2 months) than RSV-infected children (median 7.3 months, n = 859). Among single virus-infected children, no differences in age-adjusted LRTI diagnoses were found between HMPV and RSV. Age was an important factor for disease severity among single virus-infected children, where children &lt;6 months old with HMPV had a milder disease than those with RSV, while in children 12-23 months old, the pattern was the opposite. In multivariable logistic regression analysis for each virus type, age &gt;= 12 months (HMPV), and age &lt;6 months (RSV), prematurity, &gt;= 1 chronic disease and high viral loads of RSV, but not high HMPV viral loads, were risk factors for severe disease. Conclusions Among hospitalized children with LRTI, HMPV manifests independently of viral co-detections and HMPV genotypes. Disease severity in HMPV- and RSV-infected children varies in relation to age. A history of prematurity and chronic disease increases the risk of severe LRTI among HMPV- and RSV-infected children.</t>
  </si>
  <si>
    <t xml:space="preserve">[Moe, Nina; Stenseng, Inger Heimdal; Christensen, Andreas; Skanke, Lars Hosoien; Risnes, Kari Ravndal; Nordbo, Svein Arne; Dollner, Henrik] Norwegian Univ Sci &amp; Technol, Dept Lab Med Childrens &amp; Womens Hlth, Fac Med, Trondheim, Norway; [Moe, Nina; Skanke, Lars Hosoien; Risnes, Kari Ravndal; Dollner, Henrik] Univ Trondheim Hosp, St Olavs Hosp, Dept Pediat, Trondheim, Norway; [Krokstad, Sidsel; Christensen, Andreas; Nordbo, Svein Arne] Univ Trondheim Hosp, St Olavs Hosp, Dept Med Microbiol, Trondheim, Norway</t>
  </si>
  <si>
    <t xml:space="preserve">Moe, N (corresponding author), Norwegian Univ Sci &amp; Technol, Dept Lab Med Childrens &amp; Womens Hlth, Fac Med, Trondheim, Norway.;Moe, N (corresponding author), Univ Trondheim Hosp, St Olavs Hosp, Dept Pediat, Trondheim, Norway.</t>
  </si>
  <si>
    <t xml:space="preserve">nina.moe@ntnu.no</t>
  </si>
  <si>
    <t xml:space="preserve">Central Norway Regional Health Authority, Department of Pediatrics at Trondheim University Hospital; Department of Medical Microbiology at Trondheim University Hospital; Norwegian University of Science and Technology</t>
  </si>
  <si>
    <t xml:space="preserve">This research was supported by the Central Norway Regional Health Authority, Department of Pediatrics at Trondheim University Hospital, Department of Medical Microbiology at Trondheim University Hospital and the Norwegian University of Science and Technology. The supporters had no role in the study design, data collection and analysis, decision to publish, or preparation of the manuscript.</t>
  </si>
  <si>
    <t xml:space="preserve">e0170200</t>
  </si>
  <si>
    <t xml:space="preserve">10.1371/journal.pone.0170200</t>
  </si>
  <si>
    <t xml:space="preserve">EI3EK</t>
  </si>
  <si>
    <t xml:space="preserve">WOS:000392372300067</t>
  </si>
  <si>
    <t xml:space="preserve">Schickli, JH; Kaur, J; MacPhail, M; Guzzetta, JM; Spaete, RR; Tang, RS</t>
  </si>
  <si>
    <t xml:space="preserve">Schickli, Jeanne H.; Kaur, Jasmine; MacPhail, Mia; Guzzetta, Jeanne M.; Spaete, Richard R.; Tang, Roderick S.</t>
  </si>
  <si>
    <t xml:space="preserve">Deletion of human metapneumovirus M2-2 increases mutation frequency and attenuates growth in hamsters</t>
  </si>
  <si>
    <t xml:space="preserve">Human metapneumovirus; Biology; Virology; Metapneumovirus; Mutation</t>
  </si>
  <si>
    <t xml:space="preserve">RESPIRATORY-TRACT INFECTIONS; SYNCYTIAL VIRUS; HOSPITALIZED CHILDREN; VACCINE CANDIDATES; NONHUMAN-PRIMATES; FUSION PROTEIN; MESSENGER-RNA; GENE; DISEASE; SH</t>
  </si>
  <si>
    <t xml:space="preserve">Background: Human metapneumovirus (hMPV) infection can cause acute lower respiratory tract illness in infants, the immunocompromised, and the elderly. Currently there are no licensed preventative measures for hMPV infections. Using a variant of hMPV/NL/1/00 that does not require trypsin supplementation for growth in tissue culture, we deleted the M2-2 gene and evaluated the replication of rhMPV/Delta M2-2 virus in vitro and in vivo. Results: In vitro studies showed that the ablation of M2-2 increased the propensity for insertion of U nucleotides in poly-U tracts of the genomic RNA. In addition, viral transcription was up-regulated although the level of genomic RNA remained comparable to rhMPV. Thus, deletion of M2-2 alters the ratio between hMPV genome copies and transcripts. In vivo, rhMPV/Delta M2-2 was attenuated compared to rhMPV in the lungs and nasal turbinates of hamsters. Hamsters immunized with one dose of rhMPV/Delta M2-2 were protected from challenge with 10(6) PFU of wild type (wt) hMPV/NL/1/00. Conclusion: Our results suggest that hMPV M2-2 alters regulation of transcription and influences the fidelity of the polymerase complex during viral genome replication. In the hamster model, rhMPV Delta M2-2 is attenuated and protective suggesting that deletion of M2-2 may result in a potential live vaccine candidate. A more thorough knowledge of the hMPV polymerase complex and the role of M2-2 during hMPV replication are being studied as we develop a potential live hMPV vaccine candidate that lacks M2-2 expression.</t>
  </si>
  <si>
    <t xml:space="preserve">[Schickli, Jeanne H.; Kaur, Jasmine; MacPhail, Mia; Guzzetta, Jeanne M.; Spaete, Richard R.; Tang, Roderick S.] MedImmune, Res Dept, Mountain View, CA 94043 USA</t>
  </si>
  <si>
    <t xml:space="preserve">Schickli, JH (corresponding author), MedImmune, Res Dept, Mountain View, CA 94043 USA.</t>
  </si>
  <si>
    <t xml:space="preserve">Schicklij@medimmune.com; Kaurj@medimmune.com; Macphailm@medimmune.com; Guzzettaj@medimmune.com; Spaeter@medimmune.com; Tangr@medimmune.com</t>
  </si>
  <si>
    <t xml:space="preserve">10.1186/1743-422X-5-69</t>
  </si>
  <si>
    <t xml:space="preserve">313ZY</t>
  </si>
  <si>
    <t xml:space="preserve">WOS:000256779700001</t>
  </si>
  <si>
    <t xml:space="preserve">Hamelin, ME; Boivin, G</t>
  </si>
  <si>
    <t xml:space="preserve">Development and validation of an enzyme-linked immunosorbent assay for human metapneumovirus serology based on a recombinant viral protein</t>
  </si>
  <si>
    <t xml:space="preserve">Human metapneumovirus; Serology; Virology; Seroconversion; Antibody</t>
  </si>
  <si>
    <t xml:space="preserve">AVIAN PNEUMOVIRUS ANTIBODIES; NUCLEOCAPSID PROTEIN; YOUNG-CHILDREN; GENETIC DIVERSITY; INFECTION; PCR; SEROPREVALENCE; PREVALENCE; VIRUSES; DISEASE</t>
  </si>
  <si>
    <t xml:space="preserve">The human metapneumovirus (hMPV) is a newly reported respiratory virus belonging to the Paramyxoviridae family that has been associated with bronchiolitis and pneumonia in young children. We developed a simple enzyme-linked immunosorbent assay (ELISA) for hMPV serological testing using the nucleoprotein (N) from group A or B (N-A or N-B) as the antigen, and we evaluated it in both children and adults. The N proteins were first used in a Western immunoblot assay to identify hMPV-negative sera, which were then used to determine the cutoff value of the ELISA test. Subsequent evaluation of the ELISA-N test revealed that the mean reciprocal antibody titer of 20 randomly selected seropositive children was 143, compared to 69 for 20 seropositive adults. In a prospective evaluation of 71 adults with acute exacerbations of chronic obstructive pulmonary disease, 58 (81.6%) had prior hMPV antibodies and 3 (4.2%) had evidence of recent hMPV infection. In testing paired sera from adults (n = 4) with recent hMPV group A infection confirmed by reverse transcriptase PCR (RT-PCR), ELISAs using the N-A or N-B proteins were able to detect hMPV seroconversion. Moreover, testing of paired sera from three adults with a recent infection by the human respiratory syncytial virus confirmed by RT-PCR and serology did not reveal any increase in hMPV antibodies over time. The ELISA-N is a simple, objective, and specific serological test useful for detecting anti-hMPV antibodies following group A or B viral infections, which should permit a better understanding of the epidemiology of this virus.</t>
  </si>
  <si>
    <t xml:space="preserve">CHUQ, CHUL, Res Ctr Infect Dis, Quebec City, PQ G1V 4G2, Canada; Univ Laval, Quebec City, PQ, Canada</t>
  </si>
  <si>
    <t xml:space="preserve">Boivin, G (corresponding author), CHUQ, CHUL, Res Ctr Infect Dis, Room RC-709,2705 Blvd Laurier, Quebec City, PQ G1V 4G2, Canada.</t>
  </si>
  <si>
    <t xml:space="preserve">10.1128/CDLI.12.2.249-253.2005</t>
  </si>
  <si>
    <t xml:space="preserve">955AG</t>
  </si>
  <si>
    <t xml:space="preserve">WOS:000231196400003</t>
  </si>
  <si>
    <t xml:space="preserve">Williams, JV; Chen, ZF; Cseke, G; Wright, DW; Keefer, CJ; Tollefson, SJ; Hessell, A; Podsiad, A; Shepherd, BE; Sanna, PP; Burton, DR; Crowe, JE; Williamson, RA</t>
  </si>
  <si>
    <t xml:space="preserve">Williams, John V.; Chen, Zhifeng; Cseke, Gabriella; Wright, David W.; Keefer, Christopher J.; Tollefson, Sharon J.; Hessell, Ann; Podsiad, Amy; Shepherd, Bryan E.; Sanna, Pietro Paolo; Burton, Dennis R.; Crowe, James E., Jr.; Williamson, R. Anthony</t>
  </si>
  <si>
    <t xml:space="preserve">A recombinant human monoclonal antibody to human metapneumovirus fusion protein that neutralizes virus in vitro and is effective therapeutically in vivo</t>
  </si>
  <si>
    <t xml:space="preserve">Human metapneumovirus; Virology; Biology; Monoclonal antibody; Metapneumovirus; Titer; Virus; Antibody; In vivo</t>
  </si>
  <si>
    <t xml:space="preserve">RESPIRATORY SYNCYTIAL VIRUS; CELL TRANSPLANT RECIPIENT; TRACT INFECTIONS; GENETIC-VARIABILITY; FAB FRAGMENTS; F PROTEIN; CHILDREN; PREVENTION; IMMUNOPROPHYLAXIS; IMMUNOGLOBULIN</t>
  </si>
  <si>
    <t xml:space="preserve">Human metapneumovirus (hMPV) is a recently discovered paramyxovirus that is a major cause of lower-respiratory-tract disease. hMPV is associated with more severe disease in infants and persons with underlying medical conditions. Animal studies have shown that the hMPV fusion (F) protein alone is capable of inducing protective immunity. Here, we report the use of phage display technology to generate a fully human monoclonal antibody fragment (Fab) with biological activity against hMPV. Phage antibody libraries prepared from human donor tissues were selected against recombinant hMPV F protein with multiple rounds of panning. Recombinant Fabs then were expressed in bacteria, and supernatants were screened by enzyme-linked immunosorbent assay and immunofluorescent assays. A number of Fabs that bound to hMPV F were isolated, and several of these exhibited neutralizing activity in vitro. Fab DS7 neutralized the parent strain of hMPV with a 60% plaque reduction activity of 1.1 mu g/ml and bound to hMPV F with an affinity of 9.8 x 10(-10) M, as measured by surface plasmon resonance. To test the in vivo activity of Fab DS7, groups of cotton rats were infected with hMPV and given Fab intranasally 3 days after infection. Nasal turbinates and lungs were harvested on day 4 postinfection and virus titers determined. Animals treated with Fab DS7 exhibited a &gt;1,500-fold reduction in viral titer in the lungs, with a modest 4-fold reduction in the nasal tissues. There was a dose-response relationship between the dose of DS7 and virus titer. Human Fab DS7 may have prophylactic or therapeutic potential against severe hMPV infection.</t>
  </si>
  <si>
    <t xml:space="preserve">Vanderbilt Univ, Med Ctr, Dept Pediat, Nashville, TN 37232 USA; Vanderbilt Univ, Med Ctr, Dept Chem, Nashville, TN 37232 USA; Vanderbilt Univ, Med Ctr, Dept Microbiol &amp; Immunol, Nashville, TN 37232 USA; Vanderbilt Univ, Med Ctr, Dept Biostat, Nashville, TN 37232 USA; Scripps Res Inst, Dept Immunol, La Jolla, CA USA; Scripps Res Inst, Dept Mol &amp; Integrat Neurosci, La Jolla, CA USA</t>
  </si>
  <si>
    <t xml:space="preserve">Vanderbilt University; Vanderbilt University; Vanderbilt University; Vanderbilt University; Scripps Research Institute; Scripps Research Institute</t>
  </si>
  <si>
    <t xml:space="preserve">Burton, Dennis/AEY-0908-2022; Williams, John/ABE-3227-2020; Hessell, Ann/ISA-3712-2023; Crowe, James/B-5549-2009; Williams, John/F-6962-2010</t>
  </si>
  <si>
    <t xml:space="preserve">Hessell, Ann/0000-0001-7471-9366; Crowe, James/0000-0002-0049-1079; Chen, Zhifeng/0000-0002-9390-6527; Williams, John/0000-0001-8377-5175</t>
  </si>
  <si>
    <t xml:space="preserve">NIAID NIH HHS [K08 AI056170, K08 AI-56170] Funding Source: Medline</t>
  </si>
  <si>
    <t xml:space="preserve">10.1128/JVI.00106-07</t>
  </si>
  <si>
    <t xml:space="preserve">189ZL</t>
  </si>
  <si>
    <t xml:space="preserve">WOS:000248027400049</t>
  </si>
  <si>
    <t xml:space="preserve">Schowalter, RM; Smith, SE; Dutch, RE</t>
  </si>
  <si>
    <t xml:space="preserve">Schowalter, Rachel M.; Smith, Stacy E.; Dutch, Rebecca Ellis</t>
  </si>
  <si>
    <t xml:space="preserve">Characterization of human metapneumovirus F protein-promoted membrane fusion: Critical roles for proteolytic processing and low pH</t>
  </si>
  <si>
    <t xml:space="preserve">Human metapneumovirus; Biology; Lipid bilayer fusion; Fusion protein; Metapneumovirus; Virology</t>
  </si>
  <si>
    <t xml:space="preserve">RESPIRATORY SYNCYTIAL VIRUS; SMALL HYDROPHOBIC SH; CELL-CELL FUSION; PARAMYXOVIRUS FUSION; NONHUMAN-PRIMATES; TRACT INFECTIONS; SENDAI VIRUS; N-GLYCANS; WILD-TYPE; ACTIVATION</t>
  </si>
  <si>
    <t xml:space="preserve">Human metapneumovirus (HMPV) is a recently described human pathogen of the pneumovirus subfamily within the paramyxovirus family. HMPV infection is prevalent worldwide and is associated with severe respiratory disease, particularly in infants. The HMPV fusion protein (F) amino acid sequence contains features characteristic of other paramyxovirus F proteins, including a putative cleavage site and potential N-linked glycosylation sites. Propagation of HMPV in cell culture requires exogenous trypsin, which cleaves the F protein, and HMPV, like several other pneumoviruses, is infectious in the absence of its attachment protein (G). However, little is known about HMPV F-promoted fusion, since the HMPV glycoproteins have yet to be analyzed separately from the virus. Using syncytium and luciferase reporter gene fusion assays, we determined the basic requirements for HMPV F protein-promoted fusion in transiently transfected cells. Our data indicate that proteolytic cleavage of the F protein is a stringent requirement for fusion and that the HMPV G protein does not significantly enhance fusion. Unexpectedly, we also found that fusion can be detected only when transfected cells are treated with trypsin and exposed to low pH, indicating that this viral fusion protein may function in a manner unique among the paramyxoviruses. We also analyzed the F protein cleavage site and three potential N-linked glycosylation sites by mutagenesis. Mutations in the cleavage site designed to facilitate endogenous cleavage did so with low efficiency, and our data suggest that all three N-glycosylation sites are utilized and that each affects cleavage and fusion to various degrees.</t>
  </si>
  <si>
    <t xml:space="preserve">Univ Kentucky, Coll Med, Dept Mol &amp; Cellular Biochem, Lexington, KY 40536 USA</t>
  </si>
  <si>
    <t xml:space="preserve">Dutch, RE (corresponding author), Univ Kentucky, Coll Med, Dept Mol &amp; Cellular Biochem, Biomed Biol Sci Res Bldg,741 S Limestone, Lexington, KY 40536 USA.</t>
  </si>
  <si>
    <t xml:space="preserve">10.1128/JVI.01287-06</t>
  </si>
  <si>
    <t xml:space="preserve">102OI</t>
  </si>
  <si>
    <t xml:space="preserve">WOS:000241821300003</t>
  </si>
  <si>
    <t xml:space="preserve">Bastien, N; Ward, D; Van Caeseele, P; Brandt, K; Lee, SHS; McNabb, G; Klisko, B; Chan, E; Li, Y</t>
  </si>
  <si>
    <t xml:space="preserve">Human metapneumovirus infection in the Canadian population</t>
  </si>
  <si>
    <t xml:space="preserve">Human metapneumovirus; Bronchiolitis; Bronchitis; Population; Pneumonia</t>
  </si>
  <si>
    <t xml:space="preserve">RESPIRATORY SYNCYTIAL VIRUS; GENETIC-VARIABILITY; GROUP-A; COMMUNITY; CHILDREN; BRONCHIOLITIS; EPIDEMICS; ILLNESS; STRAINS</t>
  </si>
  <si>
    <t xml:space="preserve">Human metapneumovirus (hMPV), a newly discovered paramyxovirus, has been associated with acute respiratory tract infections (ARIs) ranging from upper ARIs to severe bronchiolitis and pneumonia. Important questions remain on the contribution of hMPV to ARIs and its impact on public health. During the 2001-2002 season, we conducted a collaborative study with four provincial public health laboratories to study the prevalence of this new virus in the Canadian population. A total of 445 specimens were collected from patients of all age groups with ARIs and were tested for the presence of hMPV by reverse transcription-PCR. Of these, 66 (14.8%) tested positive for hMPV. Positive specimens were found in all age groups and in all four provinces studied. Virus activity peaked in February and March. The age range of the patients with hMPV infection was 2 months to 93 years (median age, 25 years), with similar numbers of females (35%) and males (41%). Thirty-three percent (n = 22) of hMPV-infected patients were hospitalized; of these, 27% (n = 6) had rhinitis and pneumonia, 23% (n = 5) had bronchiolitis, and 9% (n = 2) had bronchitis. The hospitalization rates were significantly higher among patients &lt;5 years of age (P = 0.0005) and those &gt;50 years of age (P = 0.0044) than among those 6 to 50 years of age. Phylogenetic analysis of the F gene showed that two hMPV genetic clusters were cocirculating in the 2001-2002 season, and comparison with earlier studies suggests a temporal evolutionary pattern of hMPV isolates. These results provide further evidence of the importance of hMPV in ARIs, particularly in young children and elderly individuals.</t>
  </si>
  <si>
    <t xml:space="preserve">Canadian Sci Ctr Human &amp; Anim Hlth, Natl Microbiol Lab, Winnipeg, MB R3E 3R2, Canada; Cadham Prov Lab, Winnipeg, MB, Canada; Saskatchewan Hlth, Prov Lab, Regina, SK, Canada; Queen Elizabeth II Hlth Sci Ctr, Halifax, NS, Canada; British Columbia Ctr Dis Control, Vancouver, BC, Canada</t>
  </si>
  <si>
    <t xml:space="preserve">Canadian Science Centre for Human &amp; Animal Health; Queen Elizabeth II Health Sciences Centre</t>
  </si>
  <si>
    <t xml:space="preserve">Li, Y (corresponding author), Canadian Sci Ctr Human &amp; Anim Hlth, Natl Microbiol Lab, 1015 Arlington St, Winnipeg, MB R3E 3R2, Canada.</t>
  </si>
  <si>
    <t xml:space="preserve">10.1128/JCM.41.10.4642-4646.2003</t>
  </si>
  <si>
    <t xml:space="preserve">732CH</t>
  </si>
  <si>
    <t xml:space="preserve">WOS:000185922900024</t>
  </si>
  <si>
    <t xml:space="preserve">Madhi, SA; Ludewick, H; Kuwanda, L; van Niekerk, N; Cutland, C; Little, T; Klugman, KP</t>
  </si>
  <si>
    <t xml:space="preserve">Pneumococcal coinfection with human Metapneumovirus</t>
  </si>
  <si>
    <t xml:space="preserve">Coinfection; Human metapneumovirus; Metapneumovirus; Virology; Medicine</t>
  </si>
  <si>
    <t xml:space="preserve">RESPIRATORY SYNCYTIAL VIRUS; COMMUNITY-ACQUIRED PNEUMONIA; C-REACTIVE PROTEIN; CONJUGATE VACCINE; HOSPITALIZED CHILDREN; TRACT INFECTIONS; DISEASE; PROCALCITONIN; EFFICACY; INFANTS</t>
  </si>
  <si>
    <t xml:space="preserve">Background. Infection with the newly discovered human metapneumovirus (hMPV) may lead to hospitalization of children with lower respiratory tract infection (LRTI), although the pathogenesis thereof remains to be elucidated. Methods. This hypothesis-generating study involved a cohort of children randomized to receive 9-valent conjugate pneumococcal vaccine or placebo and who were tested for hMPV infection when hospitalized for LRTI. By use of a nested reverse-transcription polymerase chain reaction assay targeted at amplifying a fragment of the hMPV fusion ( F) protein gene, 202 such infections were identified among 2715 episodes of LRTI in children. Results. Among human immunodeficiency virus (HIV)-uninfected children who had received 3 doses of conjugate pneumococcal vaccine, the incidence of hMPV-associated LRTI was reduced by 45% (95% confidence interval [CI],19%- 62%; P = 0.002), and the incidence of clinical pneumonia was reduced by 55% ( 95% CI, 22%- 74%; P = .003). Similarly, in fully vaccinated HIV- infected children, the incidence of hMPV-associated LRTI was reduced by 53% ( 95% CI, 3% - 77%; P = .035 ), and that of clinical pneumonia was reduced by 65% ( 95% CI, 19% - 85%; P = .020). Conclusions. The pathogenesis of hMPV- associated LRTI that results in hospitalization of both HIV- infected and - uninfected children involves bacterial coinfection with pneumococcus, and a significant proportion of these hospitalizations may be prevented by vaccination with pneumococcal conjugate vaccine.</t>
  </si>
  <si>
    <t xml:space="preserve">Univ Witwatersrand, MRC, Resp &amp; Meningeal Pathogens Res Unit, Bertsham, South Africa; Emory Univ, Hubert Dept Global Hlth, Rollins Sch Publ Hlth, Atlanta, GA 30322 USA; Emory Univ, Sch Med, Div Infect Dis, Atlanta, GA 30322 USA</t>
  </si>
  <si>
    <t xml:space="preserve">Madhi, SA (corresponding author), Chris Hani Baragwanath Hosp, Resp &amp; Meningeal Pathogens Res Unit, New Nurse Residence,1st Floor W Wing,PO Bertsham, ZA-2013 Gauteng, South Africa.</t>
  </si>
  <si>
    <t xml:space="preserve">10.1086/503053</t>
  </si>
  <si>
    <t xml:space="preserve">036EH</t>
  </si>
  <si>
    <t xml:space="preserve">WOS:000237053300008</t>
  </si>
  <si>
    <t xml:space="preserve">Lê, VB; Riteau, B; Alessi, MC; Couture, C; Jandrot-Perrus, M; Rhéaume, C; Hamelin, ME; Boivin, G</t>
  </si>
  <si>
    <t xml:space="preserve">Vuong Ba Le; Riteau, Beatrice; Alessi, Marie-Christine; Couture, Christian; Jandrot-Perrus, Martine; Rheaume, Chantal; Hamelin, Marie-Eve; Boivin, Guy</t>
  </si>
  <si>
    <t xml:space="preserve">Protease-activated receptor 1 inhibition protects mice against thrombin-dependent respiratory syncytial virus and human metapneumovirus infections</t>
  </si>
  <si>
    <t xml:space="preserve">BRITISH JOURNAL OF PHARMACOLOGY</t>
  </si>
  <si>
    <t xml:space="preserve">Human metapneumovirus; Virology; Metapneumovirus; Virus; Thrombin</t>
  </si>
  <si>
    <t xml:space="preserve">TISSUE FACTOR; VIRAL LOAD; CONTRIBUTES; ANTAGONIST; ARGATROBAN; DESIGN; ROLES; PAR1; PROLIFERATION; PHARMACOLOGY</t>
  </si>
  <si>
    <t xml:space="preserve">Background and PurposeProtease-activated receptor 1 (PAR1) has been demonstrated to be involved in the pathogenesis of viral diseases. However, its role remains controversial. The goal of our study was to investigate the contribution of PAR1 to respiratory syncytial virus (RSV) and human metapneumovirus (hMPV) infections. Experimental ApproachPharmacological approaches were used to investigate the role of PAR1 during RSV and hMPV infection, in vitro using epithelial A549 cells and in vivo using a mouse model of virus infection. Key ResultsIn vitro, the PAR1 antagonist RWJ-56110 reduced the replication of RSV and hMPV in A549 cells. In agreement with these results, RWJ-56110-treated mice were protected against RSV and hMPV infections, as indicated by less weight loss and mortality. This protective effect in mice correlated with decreased lung viral replication and inflammation. In contrast, hMPV-infected mice treated with the PAR1 agonist TFLLR-NH2 showed increased mortality, as compared to infected mice, which were left untreated. Thrombin generation was shown to occur downstream of PAR1 activation in infected mice via tissue factor exposure as part of the inflammatory response, and thrombin inhibition by argatroban reduced the pathogenicity of the infection with no additive effect to that induced by PAR1 inhibition. Conclusion and ImplicationsThese data show that PAR1 plays a detrimental role during RSV and hMPV infections in mice via, at least, a thrombin-dependent mechanism. Thus, the use of PAR1 antagonists and thrombin inhibitors may have potential as a novel approach for the treatment of RSV and hMPV infections.</t>
  </si>
  <si>
    <t xml:space="preserve">[Vuong Ba Le; Rheaume, Chantal; Hamelin, Marie-Eve; Boivin, Guy] Laval Univ, Infect Dis Res Ctr, Quebec City, PQ, Canada; [Riteau, Beatrice; Alessi, Marie-Christine] Aix Marseille Univ, UMR INSERM U1062, INRA 1260, Marseille, France; [Couture, Christian] Laval Univ, Dept Anat Pathol, Inst Cardiol &amp; Pneumol, Quebec City, PQ, Canada; [Jandrot-Perrus, Martine] Paris Diderot Univ, INSERM UMR S1148, Paris, France</t>
  </si>
  <si>
    <t xml:space="preserve">Laval University; Aix-Marseille Universite; Institut National de la Sante et de la Recherche Medicale (Inserm); INRAE; Laval University; Institut National de la Sante et de la Recherche Medicale (Inserm); Universite Paris Cite</t>
  </si>
  <si>
    <t xml:space="preserve">guy.boivin@crchudequebec.ulaval.ca</t>
  </si>
  <si>
    <t xml:space="preserve">Jandrot-Perrus, Martine/GZM-1526-2022; ALESSI, Marie-christine/AAK-3582-2020</t>
  </si>
  <si>
    <t xml:space="preserve">Boivin, Guy/0000-0003-3027-4662; ALESSI, Marie-christine/0000-0003-3927-5792; JANDROT-PERRUS, Martine/0000-0002-8450-9247; Hamelin, Marie-Eve/0000-0002-7568-5097</t>
  </si>
  <si>
    <t xml:space="preserve">Canadian Institutes of Health Research [273261]</t>
  </si>
  <si>
    <t xml:space="preserve">This work was funded by the Canadian Institutes of Health Research (grant 273261 to G.B.). The authors are thankful to Julie-Christine Levesque (Technological platforms of Imaging and Cytometry, Infectious Disease Research Centre, Quebec, QC, Canada) for the assistance in the use of the Luminex system.</t>
  </si>
  <si>
    <t xml:space="preserve">0007-1188</t>
  </si>
  <si>
    <t xml:space="preserve">1476-5381</t>
  </si>
  <si>
    <t xml:space="preserve">BRIT J PHARMACOL</t>
  </si>
  <si>
    <t xml:space="preserve">Br. J. Pharmacol.</t>
  </si>
  <si>
    <t xml:space="preserve">10.1111/bph.14084</t>
  </si>
  <si>
    <t xml:space="preserve">FS2HR</t>
  </si>
  <si>
    <t xml:space="preserve">WOS:000419599900017</t>
  </si>
  <si>
    <t xml:space="preserve">Weinreich, MA; Jabbar, AY; Malguria, N; Haley, RW</t>
  </si>
  <si>
    <t xml:space="preserve">Weinreich, Mark A.; Jabbar, Ahmad Y.; Malguria, Nagina; Haley, Robert W.</t>
  </si>
  <si>
    <t xml:space="preserve">New-Onset Myocarditis in an Immunocompetent Adult with Acute Metapneumovirus Infection</t>
  </si>
  <si>
    <t xml:space="preserve">CASE REPORTS IN MEDICINE</t>
  </si>
  <si>
    <t xml:space="preserve">Medicine; Myocarditis; Human metapneumovirus</t>
  </si>
  <si>
    <t xml:space="preserve">ENDOMYOCARDIAL BIOPSY; FULMINANT; ASSOCIATION; DIAGNOSIS; CHILDREN; YOUNG</t>
  </si>
  <si>
    <t xml:space="preserve">Introduction. A number of viruses have been implicated in viral myocarditis; however, there has been no previous report of human metapneumovirus (hMPV) causing this condition. Discovered in 2001, hMPV is typically associated with upper respiratory illness, mainly affecting children. Case Presentation. We report the case of a 25-year-old man with acute systolic heart failure from viral myocarditis secondary to the hMPV. The patient was initially admitted to the general medical ward but developed increasing oxygen requirements resulting in transfer to the cardiac intensive care unit. Cardiac magnetic resonance imaging was used to help confirm the diagnosis. He was treated with intravenous diuretics, and afterload and preload agents, and he was subsequently discharged home after seven days of hospitalization. Discussion. hMPV is typically a respiratory pathogen; however, it was associated with in myocarditis in our patient. Due to the recent ability to detect this virus, we may see more cases of this, particularly during peak months of infection. Conclusion. This is the first case description of myocarditis associated with hMPV infection.</t>
  </si>
  <si>
    <t xml:space="preserve">[Weinreich, Mark A.; Jabbar, Ahmad Y.; Haley, Robert W.] Univ Texas Southwestern Med Ctr Dallas, Parkland Hlth &amp; Hosp Syst, Dallas, TX 75390 USA; [Weinreich, Mark A.; Jabbar, Ahmad Y.; Haley, Robert W.] Univ Texas Southwestern Med Ctr Dallas, Dept Internal Med, Dallas, TX 75390 USA; [Malguria, Nagina] Univ Texas Southwestern Med Ctr Dallas, Parkland Hlth &amp; Hosp Syst, Dallas, TX 75235 USA; [Malguria, Nagina] Univ Texas Southwestern Med Ctr Dallas, Dept Radiol, Dallas, TX 75235 USA</t>
  </si>
  <si>
    <t xml:space="preserve">University of Texas System; University of Texas Southwestern Medical Center Dallas; University of Texas System; University of Texas Southwestern Medical Center Dallas; University of Texas System; University of Texas Southwestern Medical Center Dallas; University of Texas System; University of Texas Southwestern Medical Center Dallas</t>
  </si>
  <si>
    <t xml:space="preserve">Weinreich, MA (corresponding author), Univ Texas Southwestern Med Ctr Dallas, Parkland Hlth &amp; Hosp Syst, Dallas, TX 75390 USA.</t>
  </si>
  <si>
    <t xml:space="preserve">mark.weinreich@phhs.org</t>
  </si>
  <si>
    <t xml:space="preserve">Haley, Robert/P-9026-2014</t>
  </si>
  <si>
    <t xml:space="preserve">1687-9627</t>
  </si>
  <si>
    <t xml:space="preserve">1687-9635</t>
  </si>
  <si>
    <t xml:space="preserve">CASE REP MED</t>
  </si>
  <si>
    <t xml:space="preserve">Case Rep. Med.</t>
  </si>
  <si>
    <t xml:space="preserve">10.1155/2015/814269</t>
  </si>
  <si>
    <t xml:space="preserve">V26FP</t>
  </si>
  <si>
    <t xml:space="preserve">WOS:000215278400142</t>
  </si>
  <si>
    <t xml:space="preserve">Lu, GL; Gonzalez, R; Guo, L; Wu, C; Wu, JA; Vernet, G; Paranhos-Baccalà, G; Wang, JW; Hung, T</t>
  </si>
  <si>
    <t xml:space="preserve">Lu, Guilan; Gonzalez, Richard; Guo, Li; Wu, Chao; Wu, Jiang; Vernet, Guy; Paranhos-Baccala, Glaucia; Wang, Jianwei; Hung, Tao</t>
  </si>
  <si>
    <t xml:space="preserve">Large-scale seroprevalence analysis of human metapneumovirus and human respiratory syncytial virus infections in Beijing, China</t>
  </si>
  <si>
    <t xml:space="preserve">Human metapneumovirus; Seroprevalence; Virology; Biology; Antibody</t>
  </si>
  <si>
    <t xml:space="preserve">LINKED-IMMUNOSORBENT-ASSAY; HOSPITALIZED CHILDREN; YOUNG-CHILDREN; TRACT DISEASE; INFANTS; PROTEIN; ILLNESS</t>
  </si>
  <si>
    <t xml:space="preserve">Background: Human metapneumovirus (hMPV), a recently identified virus, causes acute respiratory tract infections (ARTIs) in infants and children. However, studies on the seroepidemeology of hMPV are very limited in China. To assess the seroprevalence of hMPV infection in China, we tested a total of 1,156 serum specimens for the presence of anti-hMPV IgG antibody in children and adults free of acute respiratory illness in Beijing, China by using hMPV nucleocapsid (N) protein as an antigen. As a control, we used the human serum antibody against the N protein of human respiratory syncytial virus (hRSV), the most important viral agent responsible for ARIs in children. Results: The seropositive rate for hMPV increased steadily with age from 67% at 1-6 mo to 100% at age 20. However, the rate dropped slightly between 6 mo and 1 yr of age. The seropositive rate for hRSV also increased steadily with age from 71% at 1-6 mo to 100% at age 20. In children aged six months to six years, the seropositive rates for the anti-hRSV IgG antibody were significantly higher than those for hMPV. Additionally, IgG antibody titers to hMPV and hRSV were significantly higher in adults than in young children. Consistent with the seropositive rates, the geometric mean titer of anti-hMPV IgG antibody was lower than that of anti-hRSV IgG antibody in children aged six months to six years. Conclusions: Our results indicate that similar to hRSV, exposure to hMPV is ubiquitous in the Beijing population. However, the seroprevalence of anti-hMPV IgG antibody is lower than that of hRSV in children between six months and six years old, which suggests a different number of repeat infections or a different response to infections.</t>
  </si>
  <si>
    <t xml:space="preserve">[Lu, Guilan; Guo, Li; Wang, Jianwei; Hung, Tao] Peking Union Med Coll, Inst Pathogen Biol, State Key Lab Mol Virol &amp; Genet Engn, Beijing 100730, Peoples R China; [Lu, Guilan; Gonzalez, Richard; Guo, Li; Wu, Chao; Wang, Jianwei; Hung, Tao] Chinese Acad Med Sci, Beijing 100730, Peoples R China; [Lu, Guilan; Gonzalez, Richard; Guo, Li; Wu, Chao; Wang, Jianwei] Peking Union Med Coll, Inst Pathogen Biol, CAMS Fdn Merieux, Christophe Merieux Lab, Beijing 100730, Peoples R China; [Gonzalez, Richard; Vernet, Guy; Paranhos-Baccala, Glaucia] Fdn Merieux, F-69002 Lyon, France; [Wu, Jiang] Beijing Ctr Dis Control &amp; Prevent, Beijing 100013, Peoples R China</t>
  </si>
  <si>
    <t xml:space="preserve">Chinese Academy of Medical Sciences - Peking Union Medical College; Peking Union Medical College; Chinese Academy of Medical Sciences - Peking Union Medical College; Chinese Academy of Medical Sciences - Peking Union Medical College; Peking Union Medical College</t>
  </si>
  <si>
    <t xml:space="preserve">Wang, JW (corresponding author), Peking Union Med Coll, Inst Pathogen Biol, State Key Lab Mol Virol &amp; Genet Engn, Beijing 100730, Peoples R China.</t>
  </si>
  <si>
    <t xml:space="preserve">Guo, li/LTC-6893-2024; Wang, Jianwei/D-1852-2013</t>
  </si>
  <si>
    <t xml:space="preserve">Wang, Jianwei/0000-0002-1116-4559; vernet, guy/0000-0002-5120-1297</t>
  </si>
  <si>
    <t xml:space="preserve">National Major Science and Technology Research Projects for the Control and Prevention of Major Infectious Diseases in China [2008ZX10004-002]</t>
  </si>
  <si>
    <t xml:space="preserve">We thank the Beijing Xicheng District CDC and Beijing Children's Hospital for their assistance with the collection of sera specimens. This study is supported in part by the National Major Science and Technology Research Projects for the Control and Prevention of Major Infectious Diseases in China (2008ZX10004-002).</t>
  </si>
  <si>
    <t xml:space="preserve">10.1186/1743-422X-8-62</t>
  </si>
  <si>
    <t xml:space="preserve">729SW</t>
  </si>
  <si>
    <t xml:space="preserve">WOS:000287972200003</t>
  </si>
  <si>
    <t xml:space="preserve">Darniot, M; Pitoiset, C; Petrella, T; Aho, S; Pothier, P; Manoha, C</t>
  </si>
  <si>
    <t xml:space="preserve">Darniot, M.; Pitoiset, C.; Petrella, T.; Aho, S.; Pothier, P.; Manoha, C.</t>
  </si>
  <si>
    <t xml:space="preserve">Age-Associated Aggravation of Clinical Disease after Primary Metapneumovirus Infection of BALB/c Mice</t>
  </si>
  <si>
    <t xml:space="preserve">Human metapneumovirus; Neutrophilia; Biology; Immunology; Bronchiolitis; Bronchoalveolar lavage</t>
  </si>
  <si>
    <t xml:space="preserve">RESPIRATORY SYNCYTIAL VIRUS; CELL TRANSPLANT RECIPIENT; POLYMERASE-CHAIN-REACTION; T-LYMPHOCYTE ACTIVITY; IMMUNE-RESPONSE; CYTOKINE RESPONSE; HUMORAL IMMUNITY; TRACT INFECTIONS; FUSION PROTEIN; IN-VITRO</t>
  </si>
  <si>
    <t xml:space="preserve">Human metapneumovirus (hMPV) is associated with respiratory tract infections among children and adults. Because hMPV induces significant morbidity and mortality in the elderly, a model of hMPV infection in aged BALB/c mice was established. Young (8 weeks old) and aged (18 months old) mice were intranasally inoculated with hMPV. The infected mice showed respiratory dysfunction, as measured by plethysmography, a marked loss in weight (up to 24%), and severe histopathological abnormalities including bronchiolitis obliterans organizing pneumonia. However, clinical severity was far higher in the aged mice, and none of the young infected mice died. Although virus replication in the lung was greater in the older mice, clearance of virus was not delayed compared to young mice. Production of virus-specific antibody as well as neutralizing antibody was lower. Gamma interferon and monocyte chemotactic protein-1 levels in bronchoalveolar lavage fluid were significantly lower in older mice, whereas interleukin-6 and interleukin-4 levels were significantly higher. We observed by flow cytometry a significant increase in the CD4(+) T lymphocytes (P &lt; 0.05) of the aged mice and no difference in CD8(+) T-cell recruitment to the respiratory tract between the two groups. The present study investigated the effects of aging on the immunopathogenesis of hMPV infection and suggests that CD4(+) T lymphocytes, the cytokine response, or a defect in humoral response may be associated with the increased disease severity observed in the aged mice.</t>
  </si>
  <si>
    <t xml:space="preserve">[Darniot, M.; Pitoiset, C.; Pothier, P.; Manoha, C.] CHU Dijon, Virol Lab, F-21070 Dijon, France; [Petrella, T.] Ctr Pathol, F-21000 Dijon, France; [Aho, S.] CHU Dijon, Serv Epidemiol &amp; Hyg Hosp, F-21079 Dijon, France</t>
  </si>
  <si>
    <t xml:space="preserve">CHU Dijon Bourgogne; CHU Dijon Bourgogne</t>
  </si>
  <si>
    <t xml:space="preserve">Manoha, C (corresponding author), CHU Dijon, Virol Lab, F-21070 Dijon, France.</t>
  </si>
  <si>
    <t xml:space="preserve">Centre Hospitalier Universitaire of Dijon; Conseil Regional de Bourgogne, France; European Union [LSHM-CT-2006-037276]</t>
  </si>
  <si>
    <t xml:space="preserve">Centre Hospitalier Universitaire of Dijon; Conseil Regional de Bourgogne, France(Region Bourgogne-Franche-Comte); European Union(European Union (EU))</t>
  </si>
  <si>
    <t xml:space="preserve">We are indebted to Valerie Lepagnole for flow cytometry experiments, to Jean-Baptiste Bour for helpful comments, and to Philip Bastable for editorial assistance.This work was supported by the Centre Hospitalier Universitaire of Dijon and the Conseil Regional de Bourgogne, France. C. P. is supported by Sixth Framework grant LSHM-CT-2006-037276 from the European Union.</t>
  </si>
  <si>
    <t xml:space="preserve">10.1128/JVI.02198-08</t>
  </si>
  <si>
    <t xml:space="preserve">417AE</t>
  </si>
  <si>
    <t xml:space="preserve">WOS:000264046000048</t>
  </si>
  <si>
    <t xml:space="preserve">Abiko, C; Mizuta, K; Itagaki, T; Katsushima, N; Ito, S; Matsuzaki, Y; Okamoto, M; Nishimura, H; Aoki, Y; Murata, T; Hoshina, H; Hongo, S; Ootani, K</t>
  </si>
  <si>
    <t xml:space="preserve">Abiko, C.; Mizuta, K.; Itagaki, T.; Katsushima, N.; Ito, S.; Matsuzaki, Y.; Okamoto, M.; Nishimura, H.; Aoki, Y.; Murata, T.; Hoshina, H.; Hongo, S.; Ootani, K.</t>
  </si>
  <si>
    <t xml:space="preserve">Outbreak of human metapneumovirus detected by use of the Vero E6 cell line in isolates collected in Yamagata, Japan, in 2004 and 2005</t>
  </si>
  <si>
    <t xml:space="preserve">Human metapneumovirus; Vero cell; Virology; Metapneumovirus; Infectivity; Outbreak; Biology; Isolation (microbiology)</t>
  </si>
  <si>
    <t xml:space="preserve">RESPIRATORY-TRACT INFECTIONS; GENETIC-VARIABILITY; CHILDREN; REASSORTANT; COMMUNITY; CULTURES; INFANTS; VIRUSES; YOUNG</t>
  </si>
  <si>
    <t xml:space="preserve">A number of epidemiological studies have shown human metapneumovirus (hMPV) to be one of the most important viral agents associated with acute respiratory infections in humans. However, due to the difficulty in growing the virus, all epidemiological studies of hMPV infection have been performed on the basis of the molecular method. Thus, the development of a cell line suitable for the isolation of hMPV from clinical specimens is a crucial step for further research. Using the Vero E6 cell line, which could be stably maintained for I month without passage or medium change, we succeeded in isolating 79 strains from 4,112 specimens obtained in Yamagata, Japan, in 2004 and 2005. The total isolation rate was 1.9% (79/4,112). The monthly distribution revealed that hMPV infections occurred between February and April in 2004 and throughout most of the year in 2005. Phylogenetic analysis indicated that subgenogroup B2 was predominant in 2004, whereas three subgenogroups, A2, B1, and B2, had cocirculated in 2005. Although multiple subgenogroups cocirculated in 2005, each individual subgenogroup strain was found to predominate at specific sites. An infectivity assay of hMPV strains also indicated that the infection efficiency in Vero E6 cells was better than that in LLC-MK2 cells. Finally, we found that Vero E6 cells are useful for the isolation of hMPVs and that this utility might aid further research into hMPVs beyond the epidemiological data shown in this study.</t>
  </si>
  <si>
    <t xml:space="preserve">Yamagata Prefectural Inst Publ Hlth, Dept Microbiol, Yamagata 9900031, Japan; Yamagata Pediat Clin, Yamagata, Japan; Katsushima Pediat Clin, Yamagata, Japan; Shonai Hosp, Dept Pediat, Yamagata, Japan; Yamagata Univ, Sch Med, Dept Infect Dis, Yamagata 99023, Japan; Sendai Med Ctr, Virus Res Ctr, Div Clin Res, Sendai, Miyagi, Japan</t>
  </si>
  <si>
    <t xml:space="preserve">Mizuta, K (corresponding author), Yamagata Prefectural Inst Publ Hlth, Dept Microbiol, Yamagata 9900031, Japan.</t>
  </si>
  <si>
    <t xml:space="preserve">10.1128/JCM.01251-06</t>
  </si>
  <si>
    <t xml:space="preserve">179JT</t>
  </si>
  <si>
    <t xml:space="preserve">WOS:000247286500037</t>
  </si>
  <si>
    <t xml:space="preserve">Narayanan, H; Sankar, S; Simoes, EAF; Nandagopal, B; Sridharan, G</t>
  </si>
  <si>
    <t xml:space="preserve">Narayanan, Harikrishnan; Sankar, Sathish; Simoes, Eric A. F.; Nandagopal, Balaji; Sridharan, Gopalan</t>
  </si>
  <si>
    <t xml:space="preserve">Molecular Detection of Human Metapneumovirus and Human Bocavirus on Oropharyngeal Swabs Collected from Young Children with Acute Respiratory Tract Infections from Rural and Peri-Urban Communities in South India</t>
  </si>
  <si>
    <t xml:space="preserve">MOLECULAR DIAGNOSIS &amp; THERAPY</t>
  </si>
  <si>
    <t xml:space="preserve">Human bocavirus; Human metapneumovirus; Medicine; Respiratory tract infections</t>
  </si>
  <si>
    <t xml:space="preserve">REAL-TIME PCR; JAPANESE CHILDREN; VIRAL-INFECTIONS; MULTIPLEX PCR; INFANTS; VIRUSES; CARE; PREVALENCE; POLLUTION; STRAINS</t>
  </si>
  <si>
    <t xml:space="preserve">Acute respiratory tract infections (ARTIs) are one of the major causes of morbidity and mortality among young children in developing countries. Information on the incidence of human metapneumovirus (hMPV) and human bocavirus (HBoV) infections in developing countries, especially among rural children, is very limited. This study was conducted to identify whether these viruses were associated with ARTI among children a parts per thousand currency sign5 years of age in rural and peri-urban populations in South India. The study was cross-sectional with prospective sample collection. Oropharyngeal swabs were collected from children a parts per thousand currency sign5 years of age presenting with ARTI. None of the children in this study were known to have any immunosuppressive conditions. The two viruses, hMPV and HBoV, were identified using semi-nested polymerase chain reaction (PCR) assays and one-step PCR assays, respectively. The lower limits of detection of hMPV and HBoV were 6.69 x 10(5) plasmid copies and 5.77 x 10(3) plasmid copies, respectively, per 5 mu L PCR reaction input. The frequency of hMPV infection in children was higher than that of HBoV infection. The different frequencies of hMPV in patients in various age groups with upper and lower respiratory tract infections were compared, and the variance was found to be insignificant. In the 38 children who were hMPV positive, the majority (73.7 %) were from rural communities. The overall hMPV-positive rate was higher in the rural population than in the peri-urban population, but the difference was statistically insignificant. The youngest age at which hMPV-positive status was recorded was 5 months. This study demonstrated that hMPV was associated with a significant number (i.e. &gt; 10 %) of ARTIs in children in South India, whereas a relatively smaller number of HBoV infections was observed.</t>
  </si>
  <si>
    <t xml:space="preserve">[Narayanan, Harikrishnan; Sankar, Sathish; Nandagopal, Balaji; Sridharan, Gopalan] Sri Narayani Hosp &amp; Res Ctr, Sri Sakthi Amma Inst Biomed Res, Vellore 632055, Tamil Nadu, India; [Simoes, Eric A. F.] Childrens Hosp, Div Infect Dis, Dept Pediat, Aurora, CO USA</t>
  </si>
  <si>
    <t xml:space="preserve">Children's Hospital Colorado</t>
  </si>
  <si>
    <t xml:space="preserve">Sankar, S (corresponding author), Sri Narayani Hosp &amp; Res Ctr, Sri Sakthi Amma Inst Biomed Res, Vellore 632055, Tamil Nadu, India.</t>
  </si>
  <si>
    <t xml:space="preserve">sathish3107@gmail.com</t>
  </si>
  <si>
    <t xml:space="preserve">Atwell, Jessica/IVV-7755-2023; Sankar, Sathish/E-8348-2011</t>
  </si>
  <si>
    <t xml:space="preserve">Sankar, Sathish/0000-0002-9389-5231</t>
  </si>
  <si>
    <t xml:space="preserve">Indian Council of Medical Research (ICMR) [5/8/7/15/2009/ECD-I]</t>
  </si>
  <si>
    <t xml:space="preserve">Indian Council of Medical Research (ICMR)(Indian Council of Medical Research (ICMR))</t>
  </si>
  <si>
    <t xml:space="preserve">This research work was funded by Indian Council of Medical Research (ICMR) grant no. 5/8/7/15/2009/ECD-I. The authors have no conflicts of interest that are directly relevant to the content of this article.</t>
  </si>
  <si>
    <t xml:space="preserve">ADIS INT LTD</t>
  </si>
  <si>
    <t xml:space="preserve">NORTHCOTE</t>
  </si>
  <si>
    <t xml:space="preserve">5 THE WAREHOUSE WAY, NORTHCOTE 0627, AUCKLAND, NEW ZEALAND</t>
  </si>
  <si>
    <t xml:space="preserve">1177-1062</t>
  </si>
  <si>
    <t xml:space="preserve">1179-2000</t>
  </si>
  <si>
    <t xml:space="preserve">MOL DIAGN THER</t>
  </si>
  <si>
    <t xml:space="preserve">Mol. Diagn. Ther.</t>
  </si>
  <si>
    <t xml:space="preserve">10.1007/s40291-013-0030-y</t>
  </si>
  <si>
    <t xml:space="preserve">Genetics &amp; Heredity; Pharmacology &amp; Pharmacy</t>
  </si>
  <si>
    <t xml:space="preserve">132BX</t>
  </si>
  <si>
    <t xml:space="preserve">WOS:000318043900005</t>
  </si>
  <si>
    <t xml:space="preserve">Al Hajjar, S; Al Thawadi, S; Al Seraihi, A; Al Muhsen, S; Imambaccus, H</t>
  </si>
  <si>
    <t xml:space="preserve">Al Hajjar, Sami; Al Thawadi, Sahar; Al Seraihi, Amal; Al Muhsen, Saleh; Imambaccus, Hala</t>
  </si>
  <si>
    <t xml:space="preserve">Human metapneumovirus and human coronavirus infection and pathogenicity in Saudi children hospitalized with acute respiratory illness</t>
  </si>
  <si>
    <t xml:space="preserve">ANNALS OF SAUDI MEDICINE</t>
  </si>
  <si>
    <t xml:space="preserve">Human metapneumovirus; Medicine</t>
  </si>
  <si>
    <t xml:space="preserve">YOUNG-CHILDREN</t>
  </si>
  <si>
    <t xml:space="preserve">BACKGROUND AND OBJECTIVES: Human metapneumovirus (hMPV) and the Netherlands human coronavirus (HCoV-NL63) have been isolated from children with respiratory tract infection. The prevalence of these viruses has not been reported from Saudi Arabia. We sought to determine whether hMPV and HCoV-NL63 are responsible for acute respiratory illness and also to determine clinical features and severity of illness in the hospitalized pediatric patient population. DESIGN AND SETTING: Prospective hospital-based study from July 2007 to November 2008. PATIENTS AND METHODS: Nasopharyngeal specimens from children less than 16 years old who were suffering from acute respiratory diseases were tested for hMPV and HCoV-NL63 by reverse transcriptase-polymerase chain reaction. Samples were collected from July 2007 to November 2008. RESULTS: Both viruses were found among Saudi children with upper and lower respiratory tract diseases during the autumn and winter of 2007 and 2008, contributing to 11.1% of all viral diagnoses, with individual incidences of 8.3% (hMPV) and 2.8% (HCoV-NL63) among 489 specimens. Initial symptoms included fever, cough, and nasal congestion. Lower respiratory tract disease occurs in immunocompromised individuals and those with underlying conditions. Clinical findings of respiratory failure and culture-negative shock were established in 7 children infected with hMPV and having hematologic malignancies, myelofibrosis, Gaucher disease, and congenital immunodeficiency; 2 of the 7 patients died with acute respiratory failure. All children infected with HCoV-NL63 had underlying conditions; 1 of the 4 patients developed respiratory failure. CONCLUSION: hMPV and HCoV-NL63 are important causes of acute respiratory illness among hospitalized Saudi children. hMPV infection in the lower respiratory tract is associated with morbidity and mortality in immunocompromised children. HCoV-NL63 may cause severe lower respiratory disease with underlying conditions.</t>
  </si>
  <si>
    <t xml:space="preserve">[Al Hajjar, Sami; Al Muhsen, Saleh] King Faisal Specialist Hosp &amp; Res Ctr, Dept Pediat, Riyadh 11211, Saudi Arabia; [Al Thawadi, Sahar; Imambaccus, Hala] King Faisal Specialist Hosp &amp; Res Ctr, Dept Pathol &amp; Lab Med, Riyadh 11211, Saudi Arabia; [Al Seraihi, Amal] King Faisal Specialist Hosp &amp; Res Ctr, Dept Pediat Hematol Oncol, Riyadh 11211, Saudi Arabia; [Al Muhsen, Saleh] King Saud Univ, Riyadh, Saudi Arabia</t>
  </si>
  <si>
    <t xml:space="preserve">King Faisal Specialist Hospital &amp; Research Center; King Faisal Specialist Hospital &amp; Research Center; King Faisal Specialist Hospital &amp; Research Center; King Saud University</t>
  </si>
  <si>
    <t xml:space="preserve">Al Hajjar, S (corresponding author), King Faisal Specialist Hosp &amp; Res Ctr, Dept Pediat, MBC 58,POB 3354, Riyadh 11211, Saudi Arabia.</t>
  </si>
  <si>
    <t xml:space="preserve">hajjar@kfshrc.edu.sa</t>
  </si>
  <si>
    <t xml:space="preserve">Al-muhsen, saleh/E-9315-2014</t>
  </si>
  <si>
    <t xml:space="preserve">K FAISAL SPEC HOSP RES CENTRE</t>
  </si>
  <si>
    <t xml:space="preserve">RIYADH</t>
  </si>
  <si>
    <t xml:space="preserve">PUBLICATIONS OFFICE PO BOX 3354, RIYADH 11211, SAUDI ARABIA</t>
  </si>
  <si>
    <t xml:space="preserve">0256-4947</t>
  </si>
  <si>
    <t xml:space="preserve">1319-9226</t>
  </si>
  <si>
    <t xml:space="preserve">ANN SAUDI MED</t>
  </si>
  <si>
    <t xml:space="preserve">Ann. Saudi Med.</t>
  </si>
  <si>
    <t xml:space="preserve">10.4103/0256-4947.84633</t>
  </si>
  <si>
    <t xml:space="preserve">820HQ</t>
  </si>
  <si>
    <t xml:space="preserve">WOS:000294896700013</t>
  </si>
  <si>
    <t xml:space="preserve">Walsh, EE; Peterson, DR; Falsey, AR</t>
  </si>
  <si>
    <t xml:space="preserve">Walsh, Edward E.; Peterson, Derick R.; Falsey, Ann R.</t>
  </si>
  <si>
    <t xml:space="preserve">Human Metapneumovirus Infections in Adults Another Piece of the Puzzle</t>
  </si>
  <si>
    <t xml:space="preserve">ARCHIVES OF INTERNAL MEDICINE</t>
  </si>
  <si>
    <t xml:space="preserve">Human metapneumovirus; Medicine; Asymptomatic; Incidence (geometry); Respiratory tract infections; Pediatrics</t>
  </si>
  <si>
    <t xml:space="preserve">RESPIRATORY SYNCYTIAL VIRUS; CELL TRANSPLANT RECIPIENTS; TERM-CARE FACILITY; TRACT INFECTIONS; HOSPITALIZED-PATIENTS; CHILDREN; INFANTS; DISEASE; PREVALENCE; ILLNESS</t>
  </si>
  <si>
    <t xml:space="preserve">Background: Each winter respiratory viruses account for a significant proportion of serious respiratory illness, including hospitalization, in older adults and those with underlying medical conditions. We describe the incidence and clinical impact of human metapneumovirus (HMPV), a newly identified virus, in adults. Methods: Infection with HMPV was identified in 3 prospectively enrolled adult cohorts (young persons 19-40 years old, healthy adults &gt;= 65 years old, and high-risk adults) and a hospitalized cohort for 4 consecutive winters (November 15 through April 15 for the years 1999 through 2003). The incidence and clinical impact were compared with those of influenza A and respiratory syncytial virus infection in the same groups. Results: Using reverse transcriptase-polymerase chain reaction and serologic testing, we identified HMPV infection in 2.2% to 10.5% of the 3 prospectively followed-up outpatient cohorts annually. Asymptomatic infection was common, accounting for at least 38.8% of infections in each of the cohorts. Symptoms, when they occurred, were typical of an upper respiratory tract illness, although a few high-risk persons required hospitalization. Among 1386 hospitalized patients, HMPV was identified in 8.5% (range, 4.4%-13.2%), depending on the year. Dual viral infection was identified in 22.9%. Wheezing was frequent (80%) and more common than with influenza. Twelve percent required intensive care unit admission and 11% ventilatory support, rates similar to those for influenza and respiratory syncytial virus infection. Conclusions: In adults of all ages, HMPV is a common infection, and, although often asymptomatic, it can result in serious infection that requires hospitalization. Like influenza A and respiratory syncytial virus, HMPV is also a major contributor to the burden of wintertime respiratory illnesses in older adults.</t>
  </si>
  <si>
    <t xml:space="preserve">[Walsh, Edward E.] Rochester Gen Hosp, Dept Med, Infect Dis Unit, Rochester, NY 14621 USA; [Walsh, Edward E.; Falsey, Ann R.] Univ Rochester, Sch Med &amp; Dent, Dept Med, Rochester, NY 14642 USA; [Peterson, Derick R.] Univ Rochester, Sch Med &amp; Dent, Dept Biostat &amp; Computat Biol, Rochester, NY 14642 USA</t>
  </si>
  <si>
    <t xml:space="preserve">Rochester General Hospital; University of Rochester; University of Rochester</t>
  </si>
  <si>
    <t xml:space="preserve">Walsh, EE (corresponding author), Rochester Gen Hosp, Dept Med, Infect Dis Unit, 1425 Portland Ave, Rochester, NY 14621 USA.</t>
  </si>
  <si>
    <t xml:space="preserve">Edward.walsh@viahealth.org</t>
  </si>
  <si>
    <t xml:space="preserve">National Institute of Allergy and Infectious Diseases [AI055861, AI045465]</t>
  </si>
  <si>
    <t xml:space="preserve">Funding/Support: This work was supported by grants AI055861 and AI045465 from the National Institute of Allergy and Infectious Diseases.</t>
  </si>
  <si>
    <t xml:space="preserve">AMER MEDICAL ASSOC</t>
  </si>
  <si>
    <t xml:space="preserve">515 N STATE ST, CHICAGO, IL 60610-0946 USA</t>
  </si>
  <si>
    <t xml:space="preserve">0003-9926</t>
  </si>
  <si>
    <t xml:space="preserve">ARCH INTERN MED</t>
  </si>
  <si>
    <t xml:space="preserve">Arch. Intern. Med.</t>
  </si>
  <si>
    <t xml:space="preserve">DEC 8</t>
  </si>
  <si>
    <t xml:space="preserve">10.1001/archinte.168.22.2489</t>
  </si>
  <si>
    <t xml:space="preserve">380SX</t>
  </si>
  <si>
    <t xml:space="preserve">WOS:000261486600016</t>
  </si>
  <si>
    <t xml:space="preserve">Karron, RA; San Mateo, J; Wanionek, K; Collins, PL; Buchholz, UJ</t>
  </si>
  <si>
    <t xml:space="preserve">Karron, Ruth A.; San Mateo, Jocelyn; Wanionek, Kimberli; Collins, Peter L.; Buchholz, Ursula J.</t>
  </si>
  <si>
    <t xml:space="preserve">Evaluation of a Live Attenuated Human Metapneumovirus Vaccine in Adults and Children</t>
  </si>
  <si>
    <t xml:space="preserve">Human metapneumovirus; Medicine; Vaccination; Metapneumovirus; Virology</t>
  </si>
  <si>
    <t xml:space="preserve">RESPIRATORY SYNCYTIAL VIRUS; YOUNG-CHILDREN; TRACT DISEASE; HOSPITALIZATION; INFECTION; INFANTS; INFLUENZA; SAFETY</t>
  </si>
  <si>
    <t xml:space="preserve">We conducted a phase I clinical trial of an experimental live attenuated recombinant human metapneumovirus (HMPV) vaccine (rHMPV-Pa) sequentially in adults, HMPV-seropositive children, and HMPV-seronegative children, the target population for vaccination. rHMPV-Pa was appropriately restricted in replication in adults and HMPV-seropositive children but was overattenuated for HMPV-seronegative children.</t>
  </si>
  <si>
    <t xml:space="preserve">[Karron, Ruth A.; San Mateo, Jocelyn; Wanionek, Kimberli] Johns Hopkins Bloomberg Sch Publ Hlth, Dept Int Hlth, Ctr Immunizat Res, Baltimore, MD USA; [Collins, Peter L.; Buchholz, Ursula J.] Natl Inst Allergy Immunol &amp; Infect Dis, Resp Viruses Sect, Lab Infect Dis, NIH, Bethesda, MD USA</t>
  </si>
  <si>
    <t xml:space="preserve">Karron, RA (corresponding author), Ctr Immunizat Res, 624 N Broadway, Baltimore, MD 21205 USA.</t>
  </si>
  <si>
    <t xml:space="preserve">rkarron@jhu.edu</t>
  </si>
  <si>
    <t xml:space="preserve">NIAID [HHS 272200900010C]</t>
  </si>
  <si>
    <t xml:space="preserve">R. A. K., J. S. M., and K. W. were funded by the NIAID (contract HHS 272200900010C). U. J. B. and P. L. C. were funded by the Intramural Program of the NIAID.</t>
  </si>
  <si>
    <t xml:space="preserve">10.1093/jpids/pix006</t>
  </si>
  <si>
    <t xml:space="preserve">GH7XW</t>
  </si>
  <si>
    <t xml:space="preserve">WOS:000433877400017</t>
  </si>
  <si>
    <t xml:space="preserve">Ren, JP; Liu, GL; Go, J; Kolli, D; Zhang, GP; Bao, XY</t>
  </si>
  <si>
    <t xml:space="preserve">Ren, Junping; Liu, Guangliang; Go, Jonathan; Kolli, Deepthi; Zhang, Guanping; Bao, Xiaoyong</t>
  </si>
  <si>
    <t xml:space="preserve">Human Metapneumovirus M2-2 Protein Inhibits Innate Immune Response in Monocyte-Derived Dendritic Cells</t>
  </si>
  <si>
    <t xml:space="preserve">Human metapneumovirus; Innate immune system; Biology; Immune system; CCL18</t>
  </si>
  <si>
    <t xml:space="preserve">RESPIRATORY SYNCYTIAL VIRUS; TOLL-LIKE RECEPTORS; INDUCIBLE GENE-I; YOUNG-CHILDREN; RIG-I; INFECTION; INTERFERON; INDUCTION; TRAFFICKING; RECOGNITION</t>
  </si>
  <si>
    <t xml:space="preserve">Human metapneumovirus (hMPV) is a leading cause of lower respiratory infection in young children, the elderly and immunocompromised patients. Repeated hMPV infections occur throughout life. However, immune evasion mechanisms of hMPV infection are largely unknown. Recently, our group has demonstrated that hMPV M2-2 protein, an important virulence factor, contributes to immune evasion in airway epithelial cells by targeting the mitochondrial antiviral-signaling protein (MAVS). Whether M2-2 regulates the innate immunity in human dendritic cells (DC), an important family of immune cells controlling antigen presenting, is currently unknown. We found that human DC infected with a virus lacking M2-2 protein expression (rhMPV-Delta M2-2) produced higher levels of cytokines, chemokines and IFNs, compared to cells infected with wild-type virus (rhMPV-WT), suggesting that M2-2 protein inhibits innate immunity in human DC. In parallel, we found that myeloid differentiation primary response gene 88 (MyD88), an essential adaptor for Toll-like receptors (TLRs), plays a critical role in inducing immune response of human DC, as downregulation of MyD88 by siRNA blocked the induction of immune regulatory molecules by hMPV. Since M2-2 is a cytoplasmic protein, we investigated whether M2-2 interferes with MyD88-mediated antiviral signaling. We found that indeed M2-2 protein associated with MyD88 and inhibited MyD88-dependent gene transcription. In this study, we also identified the domains of M2-2 responsible for its immune inhibitory function in human DC. In summary, our results demonstrate that M2-2 contributes to hMPV immune evasion by inhibiting MyD88-dependent cellular responses in human DC.</t>
  </si>
  <si>
    <t xml:space="preserve">[Ren, Junping; Liu, Guangliang; Go, Jonathan; Kolli, Deepthi; Bao, Xiaoyong] Univ Texas Med Branch, Dept Pediat, Galveston, TX 77555 USA; [Liu, Guangliang; Zhang, Guanping] Sun Yat Sen Univ, Affiliated Hosp 6, Dept Otorhinolaryngol, Guangzhou 510275, Guangdong, Peoples R China; [Bao, Xiaoyong] Univ Texas Med Branch, Inst Translat Sci, Galveston, TX 77555 USA</t>
  </si>
  <si>
    <t xml:space="preserve">University of Texas System; University of Texas Medical Branch Galveston; Sun Yat Sen University; University of Texas System; University of Texas Medical Branch Galveston</t>
  </si>
  <si>
    <t xml:space="preserve">ren, jun/KHG-7717-2024</t>
  </si>
  <si>
    <t xml:space="preserve">National Institutes of Health-National Institute of Allergy and Infectious Diseases [KAI074829A]; American Lung Association [RG232529N]; American Heart Association [12BGIA12060008]; Sun Yat-Sen University, Guangzhou, China; American Heart Association (AHA) [12BGIA12060008] Funding Source: American Heart Association (AHA)</t>
  </si>
  <si>
    <t xml:space="preserve">National Institutes of Health-National Institute of Allergy and Infectious Diseases(United States Department of Health &amp; Human ServicesNational Institutes of Health (NIH) - USANIH National Institute of Allergy &amp; Infectious Diseases (NIAID)); American Lung Association; American Heart Association(American Heart Association); Sun Yat-Sen University, Guangzhou, China; American Heart Association (AHA)(American Heart Association)</t>
  </si>
  <si>
    <t xml:space="preserve">This work was supported by grants from the National Institutes of Health-National Institute of Allergy and Infectious Diseases KAI074829A, the American Lung Association RG232529N, and American Heart Association 12BGIA12060008 to X.B. G.L. was supported by a student scholarship from Sun Yat-Sen University, Guangzhou, China. The funders had no role in study design, data collection and analysis, decision to publish, or preparation of the manuscript.</t>
  </si>
  <si>
    <t xml:space="preserve">e91865</t>
  </si>
  <si>
    <t xml:space="preserve">10.1371/journal.pone.0091865</t>
  </si>
  <si>
    <t xml:space="preserve">AC9GM</t>
  </si>
  <si>
    <t xml:space="preserve">WOS:000332842400137</t>
  </si>
  <si>
    <t xml:space="preserve">Schildgen, O; Glatzel, T; Geikowski, T; Scheibner, B; Matz, B; Bindl, L; Born, M; Viazov, S; Wilkesmann, A; Knöpfle, G; Roggendorf, M; Simon, A</t>
  </si>
  <si>
    <t xml:space="preserve">Human metapneumovirus RNA in encephalitis patient</t>
  </si>
  <si>
    <t xml:space="preserve">Human metapneumovirus; Virology; Metapneumovirus; Encephalitis; Medicine</t>
  </si>
  <si>
    <t xml:space="preserve">NIPAH-VIRUS; YOUNG-CHILDREN; INFECTION</t>
  </si>
  <si>
    <t xml:space="preserve">We describe a fatal case of encephalitis that might be correlated with primary human metapneumovirus (HMPV) encephalitis. Postmortem HMPV RNA was detected in brain and lung tissue samples from the patient. Furthermore, HMPV RNA was found in culture fluids from cells coincubated with lung tissue.</t>
  </si>
  <si>
    <t xml:space="preserve">Univ Bonn, Inst Med Microbiol &amp; Immunol, D-53105 Bonn, Germany; Univ Hosp, Essen, Germany</t>
  </si>
  <si>
    <t xml:space="preserve">University of Bonn; University of Duisburg Essen</t>
  </si>
  <si>
    <t xml:space="preserve">Univ Bonn, Inst Med Microbiol &amp; Immunol, Sigmund Freud Str 25, D-53105 Bonn, Germany.</t>
  </si>
  <si>
    <t xml:space="preserve">gen@mibi03.meb.uni-bonn.de</t>
  </si>
  <si>
    <t xml:space="preserve">10.3201/eid1103.040676</t>
  </si>
  <si>
    <t xml:space="preserve">903JG</t>
  </si>
  <si>
    <t xml:space="preserve">WOS:000227421400021</t>
  </si>
  <si>
    <t xml:space="preserve">Hamelin, ME; Prince, GA; Gomez, AM; Kinkead, R; Boivin, G</t>
  </si>
  <si>
    <t xml:space="preserve">Hamelin, Marie-Eve; Prince, Gregory A.; Gomez, Ana M.; Kinkead, Richard; Boivin, Guy</t>
  </si>
  <si>
    <t xml:space="preserve">Human metapneumovirus infection induces long-term pulmonary inflammation associated with airway obstruction and hyperresponsiveness in mice</t>
  </si>
  <si>
    <t xml:space="preserve">Medicine; Inflammation; Human metapneumovirus; Airway obstruction; Immunology; Airway hyperresponsiveness; Bronchial obstruction; Metapneumovirus</t>
  </si>
  <si>
    <t xml:space="preserve">RESPIRATORY SYNCYTIAL VIRUS; BALB/C MICE; GENETIC DIVERSITY; EPITHELIAL-CELLS; IMMUNE-RESPONSE; TRACT DISEASE; CHILDREN; BRONCHIOLITIS; PATHOGENESIS; REPLICATION</t>
  </si>
  <si>
    <t xml:space="preserve">Background. Human metapneumovirus (hMPV) is a newly described paramyxovirus that is associated with bronchiolitis, pneumonia, and asthma exacerbation. The objective of the present work was to study the duration of pulmonary inflammation and the functional consequences of infection with hMPV by use of a BALB/c mouse model. Methods. BALB/c mice were inoculated with 1 x 10(8) TCID50 of hMPV type A (C-85473), and viral persistence in lungs was assessed by reverse-transcription polymerase chain reaction for 154 days after infection. Pulmonary inflammation was characterized in histopathological experiments by use of a validated scoring system, and periodic acid-Schiff (PAS) staining of lung sections was used to document increased mucus production, also until day 154. Finally, respiratory functions were analyzed by taking plethysmographic measurements until day 70. Results. Persistence of viral RNA and significant pulmonary inflammation were noted until day 154, whereas the findings for PAS staining suggested that mucus production was increased only until day 12. Maximal breathing difficulties occurred on day 5, and airway obstruction and hyperresponsiveness were still significant until at least day 70. Conclusion. Acute hMPV infection in BALB/c mice is associated with long-term pulmonary inflammation that leads to significant obstructive disease of the airways. This animal model will be of a great benefit in the evaluation of novel therapeutic and prophylactic modalities.</t>
  </si>
  <si>
    <t xml:space="preserve">Ctr Hosp Univ Quebec, Res Ctr Infect Dis, Quebec City, PQ, Canada; Ctr Hosp Univ Quebec, Dept Pediat, Quebec City, PQ, Canada; Univ Laval, Quebec City, PQ, Canada; Vir Syst Inc, Rockville, MD USA; Univ Texas, SW Med Ctr, Dept Pathol, Dallas, TX 75230 USA</t>
  </si>
  <si>
    <t xml:space="preserve">Laval University; Laval University; Laval University; University of Texas System; University of Texas Dallas; University of Texas Southwestern Medical Center Dallas</t>
  </si>
  <si>
    <t xml:space="preserve">Boivin, G (corresponding author), CHU Laval, CHUQ, Room RC-709,2705 Blvd, Quebec City, PQ G1V 4G2, Canada.</t>
  </si>
  <si>
    <t xml:space="preserve">Kinkead, Richard/G-5657-2015</t>
  </si>
  <si>
    <t xml:space="preserve">Kinkead, Richard/0000-0001-9686-2577; Boivin, Guy/0000-0003-3027-4662</t>
  </si>
  <si>
    <t xml:space="preserve">10.1086/504262</t>
  </si>
  <si>
    <t xml:space="preserve">WOS:000237553400005</t>
  </si>
  <si>
    <t xml:space="preserve">Lazar, I; Weibel, C; Dziura, J; Ferguson, D; Landry, ML; Kahn, JS</t>
  </si>
  <si>
    <t xml:space="preserve">Human Metapneumovirus and severity of respiratory syncytial virus disease</t>
  </si>
  <si>
    <t xml:space="preserve">Human metapneumovirus; Metapneumovirus; Virology; Virus; Medicine; Respiratory system</t>
  </si>
  <si>
    <t xml:space="preserve">CHILDREN; BRONCHIOLITIS; INFECTIONS; COMMUNITY; ILLNESS</t>
  </si>
  <si>
    <t xml:space="preserve">We screened 23 children with severe respiratory syncytial virus (RSV) disease and 23 children with mild RSV disease for human metapneumovirus (HMPV). Although HMPV was circulating in Connecticut, none of the 46 RSV-infected patients tested positive for HMPV. In our study population, HMPV did not contribute to the severity of RSV disease.</t>
  </si>
  <si>
    <t xml:space="preserve">Yale Univ, Sch Med, Dept Pediat, Div Infect Dis, New Haven, CT 06520 USA</t>
  </si>
  <si>
    <t xml:space="preserve">Yale University</t>
  </si>
  <si>
    <t xml:space="preserve">Yale Univ, Sch Med, Dept Pediat, Div Infect Dis, POB 208064, New Haven, CT 06520 USA.</t>
  </si>
  <si>
    <t xml:space="preserve">Jeffrey.Kahn@yale.edu</t>
  </si>
  <si>
    <t xml:space="preserve">Lazar, Isaac/N-6133-2016</t>
  </si>
  <si>
    <t xml:space="preserve">Lazar, Isaac/0000-0001-9450-5226</t>
  </si>
  <si>
    <t xml:space="preserve">NCRR NIH HHS [M01 RR006022, M01-RR06022] Funding Source: Medline; NHLBI NIH HHS [T32 HL07272-28, T32 HL007272] Funding Source: Medline</t>
  </si>
  <si>
    <t xml:space="preserve">NCRR NIH HHS(United States Department of Health &amp; Human ServicesNational Institutes of Health (NIH) - USANIH National Center for Research Resources (NCRR)); NHLBI NIH HHS(United States Department of Health &amp; Human ServicesNational Institutes of Health (NIH) - USANIH National Heart Lung &amp; Blood Institute (NHLBI))</t>
  </si>
  <si>
    <t xml:space="preserve">10.3201/eid1007.030983</t>
  </si>
  <si>
    <t xml:space="preserve">835CF</t>
  </si>
  <si>
    <t xml:space="preserve">WOS:000222456800024</t>
  </si>
  <si>
    <t xml:space="preserve">Ebihara, T; Endo, R; Ishiguro, N; Nakayama, T; Sawada, H; Kikuta, H</t>
  </si>
  <si>
    <t xml:space="preserve">Early reinfection with human metapneumovirus in an infant</t>
  </si>
  <si>
    <t xml:space="preserve">Human metapneumovirus; Metapneumovirus; Virology</t>
  </si>
  <si>
    <t xml:space="preserve">RESPIRATORY-SYNCYTIAL-VIRUS; G-GLYCOPROTEIN; GENETIC DIVERSITY; PRIMARY INFECTION; YOUNG-CHILDREN; TRACT DISEASE; SUBGROUP-A; PROTEINS; IMMUNITY</t>
  </si>
  <si>
    <t xml:space="preserve">Human metapneumovirus (hMPV) is one of the major pathogens of respiratory illness. Reinfection with hMPV occurs frequently throughout life. We describe an infant who was infected with two different hMPV strains during a period of only 1 month.</t>
  </si>
  <si>
    <t xml:space="preserve">Hokkaido Univ, Grad Sch Med, Dept Pediat, Kita Ku, Sapporo, Hokkaido 0608638, Japan; Hokkaido Social Insurance Hosp, Sapporo, Hokkaido, Japan</t>
  </si>
  <si>
    <t xml:space="preserve">10.1128/JCM.42.12.5944-5946.2004</t>
  </si>
  <si>
    <t xml:space="preserve">883SK</t>
  </si>
  <si>
    <t xml:space="preserve">WOS:000226035800088</t>
  </si>
  <si>
    <t xml:space="preserve">Narayanan, H; Sankar, S; Simoes, E; Nandagopal, B; Sridharan, G</t>
  </si>
  <si>
    <t xml:space="preserve">Analysis of Sequence Diversity of Human Metapneumovirus Collected from Young Children with Acute Respiratory Tract Infections in South India</t>
  </si>
  <si>
    <t xml:space="preserve">Human metapneumovirus; Biology; Metapneumovirus; GenBank; Genetic diversity; Lineage (genetic)</t>
  </si>
  <si>
    <t xml:space="preserve">GENETIC-VARIABILITY; EVOLUTIONARY DYNAMICS; RNA VIRUSES; PNEUMONIA; DISEASE; ADULTS; NUCLEOPROTEIN; EPIDEMIOLOGY; POPULATIONS; PREVALENCE</t>
  </si>
  <si>
    <t xml:space="preserve">Human metapneumovirus (hMPV), which has a global distribution, is an important cause of acute respiratory tract infections, especially in children and immunocompromised patients. We investigated the genetic variability of partial nucleoprotein (N) gene sequences of hMPV strains identified among young children in South India. The sequences of the N gene were compared with previously reported sequences available in the GenBank repository. The results showed that strains are localized in a geographically circumscribed area (topotype). The results also demonstrates that viruses from the same genetic lineage can circulate concurrently within a given location during a given season. The close clustering of the majority of our hMPV isolates indicates that the N gene sequences in the virus population are relatively homogeneous, and suggests temporal rather than geographic variations in the evolutionary pattern. In our study, the majority of the strains belonged to genetic lineage B2 (71.1 %), followed by A2b (18.4 %), A2a (7.9 %), and B1 (2.6 %), demonstrating the presence of 4 of the 5 known genotypes of hMPV. Global alignment of the nucleotide sequences showed that the strains are closely related to sequences from Canada, The Netherlands, and Australasia. Differences at the nucleotide level and the amino acid level were identified. The results provide evidence for the diversity of the N gene of hMPV in samples collected from South India compared with global strains. When investigated for selective pressure, the sequences showed 1 positively selected site and 19 negatively selected sites. These data should prove useful in further investigations of the evolutionary dynamics of hMPV infection.</t>
  </si>
  <si>
    <t xml:space="preserve">[Narayanan, Harikrishnan; Sankar, Sathish; Nandagopal, Balaji; Sridharan, Gopalan] Sri Narayani Hosp &amp; Res Ctr, Sri Sakthi Amma Inst Biomed Res, Vellore 632055, Tamil Nadu, India; [Simoes, Eric A. F.] Childrens Hosp, Dept Pediat, Div Infect Dis, Aurora, CO USA</t>
  </si>
  <si>
    <t xml:space="preserve">Sankar, Sathish/E-8348-2011</t>
  </si>
  <si>
    <t xml:space="preserve">This research work was funded by the Indian Council of Medical Research (ICMR, grant no. 5/8/7/15/2009/ECD-I). The authors have no conflicts of interest that are directly relevant to the content of this article.</t>
  </si>
  <si>
    <t xml:space="preserve">10.1007/s40291-013-0032-9</t>
  </si>
  <si>
    <t xml:space="preserve">186CQ</t>
  </si>
  <si>
    <t xml:space="preserve">WOS:000322019900005</t>
  </si>
  <si>
    <t xml:space="preserve">Degail, MA; Hughes, GJ; Maule, C; Holmes, C; Lilley, M; Pebody, R; Bonnet, J; Bermingham, A; Bracebridge, S</t>
  </si>
  <si>
    <t xml:space="preserve">Degail, M. A.; Hughes, G. J.; Maule, C.; Holmes, C.; Lilley, M.; Pebody, R.; Bonnet, J.; Bermingham, A.; Bracebridge, S.</t>
  </si>
  <si>
    <t xml:space="preserve">A human metapneumovirus outbreak at a community hospital in England, July to September 2010</t>
  </si>
  <si>
    <t xml:space="preserve">EUROSURVEILLANCE</t>
  </si>
  <si>
    <t xml:space="preserve">RESPIRATORY-TRACT INFECTION; TERM-CARE FACILITY; YOUNG-CHILDREN; ADULTS; DISEASE; FRANCE</t>
  </si>
  <si>
    <t xml:space="preserve">We describe an outbreak of human metapneumovirus (hMPV) which occurred in July-September 2010 at a community hospital in the East of England. Based on the medical and nursing records, cases were retrospectively defined as suspected if they had had an influenza-like illness (ILI), and probable if they had had an ILI and an epidemiological link to a laboratory-confirmed case. Of a total of 17 symptomatic inpatients, five were classified as probable cases, five were laboratory confirmed and seven were suspected. The attack rate was 29.4% for confirmed and probable cases combined. The median age of symptomatic inpatients was 85 years-old (range 68-96) and the majority (16/17) of symptomatic inpatients had an underlying medical condition. Control measures introduced appeared to restrict further exposure of susceptible patients to infection although modelling suggested that up to four of 10 confirmed and probable cases (40%) could have been prevented through more timely diagnosis and recognition of an outbreak. These findings suggest that there should be increased awareness of hMPV infection within healthcare settings, particularly when the population at risk has a high prevalence of underlying co-morbidities.</t>
  </si>
  <si>
    <t xml:space="preserve">[Degail, M. A.; Pebody, R.; Bermingham, A.] Hlth Protect Agcy, Colindale, England; [Degail, M. A.] European Ctr Dis Prevent &amp; Control ECDC, EPIET, Stockholm, Sweden; [Hughes, G. J.; Bracebridge, S.] Hlth Protect Agcy E England, Cambridge, England; [Maule, C.; Holmes, C.; Bonnet, J.] Hertfordshire Community NHS Trust, Welwyn Garden City, Herts, England; [Lilley, M.] Bedfordshire &amp; Hertfordshire Hlth Protect Unit, Letchworth, England</t>
  </si>
  <si>
    <t xml:space="preserve">Health Protection Agency; European Centre for Disease Prevention &amp; Control; Health Protection Agency</t>
  </si>
  <si>
    <t xml:space="preserve">Degail, MA (corresponding author), Hlth Protect Agcy, Colindale, England.</t>
  </si>
  <si>
    <t xml:space="preserve">gareth.hughes@hpa.org.uk</t>
  </si>
  <si>
    <t xml:space="preserve">castilla, javier/K-5987-2014</t>
  </si>
  <si>
    <t xml:space="preserve">Degail Chabrat, Marie-Amelie/0000-0002-5522-7515; Pebody, Richard/0000-0002-9069-2885</t>
  </si>
  <si>
    <t xml:space="preserve">EUR CENTRE DIS PREVENTION &amp; CONTROL</t>
  </si>
  <si>
    <t xml:space="preserve">STOCKHOLM</t>
  </si>
  <si>
    <t xml:space="preserve">TOMTEBODAVAGEN 11A, STOCKHOLM, 171 83, SWEDEN</t>
  </si>
  <si>
    <t xml:space="preserve">1560-7917</t>
  </si>
  <si>
    <t xml:space="preserve">Eurosurveillance</t>
  </si>
  <si>
    <t xml:space="preserve">APR 12</t>
  </si>
  <si>
    <t xml:space="preserve">931TO</t>
  </si>
  <si>
    <t xml:space="preserve">WOS:000303242400005</t>
  </si>
  <si>
    <t xml:space="preserve">Chang, A; Hackett, BA; Winter, CC; Buchholz, UJ; Dutch, RE</t>
  </si>
  <si>
    <t xml:space="preserve">Chang, Andres; Hackett, Brent A.; Winter, Christine C.; Buchholz, Ursula J.; Dutch, Rebecca Ellis</t>
  </si>
  <si>
    <t xml:space="preserve">Potential Electrostatic Interactions in Multiple Regions Affect Human Metapneumovirus F-Mediated Membrane Fusion</t>
  </si>
  <si>
    <t xml:space="preserve">Human metapneumovirus; Biology; Lipid bilayer fusion</t>
  </si>
  <si>
    <t xml:space="preserve">RESPIRATORY SYNCYTIAL VIRUS; PARAMYXOVIRUS F; IN-VITRO; PROTEIN; HEMAGGLUTININ; REPLICATION; INFECTIONS; RESIDUES; SH; STABILITY</t>
  </si>
  <si>
    <t xml:space="preserve">The recently identified human metapneumovirus (HMPV) is a worldwide respiratory virus affecting all age groups and causing pneumonia and bronchiolitis in severe cases. Despite its clinical significance, no specific antiviral agents have been approved for treatment of HMPV infection. Unlike the case for most paramyxoviruses, the fusion proteins (F) of a number of strains, including the clinical isolate CAN97-83, can be triggered by low pH. We recently reported that residue H435 in the HRB linker domain acts as a pH sensor for HMPV CAN97-83 F, likely through electrostatic repulsion forces between a protonated H435 and its surrounding basic residues, K295, R396, and K438, at low pH. Through site-directed mutagenesis, we demonstrated that a positive charge at position 435 is required but not sufficient for F-mediated membrane fusion. Arginine or lysine substitution at position 435 resulted in a hyperfusogenic F protein, while replacement with aspartate or glutamate abolished fusion activity. Studies with recombinant viruses carrying mutations in this region confirmed its importance. Furthermore, a second region within the F-2 domain identified as being rich in charged residues was found to modulate fusion activity of HMPV F. Loss of charge at residues E51, D54, and E56 altered local folding and overall stability of the F protein, with dramatic consequences for fusion activity. As a whole, these studies implicate charged residues and potential electrostatic interactions in function, pH sensing, and overall stability of HMPV F.</t>
  </si>
  <si>
    <t xml:space="preserve">[Chang, Andres; Hackett, Brent A.; Dutch, Rebecca Ellis] Univ Kentucky, Dept Mol &amp; Cellular Biochem, Lexington, KY 40536 USA; [Winter, Christine C.; Buchholz, Ursula J.] NIAID, Infect Dis Lab, Bethesda, MD 20892 USA</t>
  </si>
  <si>
    <t xml:space="preserve">NIH from National Center for Research Resources [R01AI051517, 2P20 RR020171]; AHA Great Rivers Affiliate predoctoral fellowship [10PRE4230022]; Intramural Research Program of the NIH, NIAID Division; American Heart Association (AHA) [10PRE4230022] Funding Source: American Heart Association (AHA)</t>
  </si>
  <si>
    <t xml:space="preserve">NIH from National Center for Research Resources(United States Department of Health &amp; Human ServicesNational Institutes of Health (NIH) - USANIH National Center for Research Resources (NCRR)); AHA Great Rivers Affiliate predoctoral fellowship; Intramural Research Program of the NIH, NIAID Division; American Heart Association (AHA)(American Heart Association)</t>
  </si>
  <si>
    <t xml:space="preserve">This work was supported by NIH grants R01AI051517 and 2P20 RR020171 from the National Center for Research Resources to R.E.D., by AHA Great Rivers Affiliate predoctoral fellowship 10PRE4230022 to A.C., and by funds from the Intramural Research Program of the NIH, NIAID Division, to U.J.B. and C.C.W.</t>
  </si>
  <si>
    <t xml:space="preserve">10.1128/JVI.00639-12</t>
  </si>
  <si>
    <t xml:space="preserve">999TI</t>
  </si>
  <si>
    <t xml:space="preserve">WOS:000308337500027</t>
  </si>
  <si>
    <t xml:space="preserve">Wei, YW; Zhang, Y; Cai, H; Mirza, AM; Iorio, RM; Peeples, ME; Niewiesk, S; Lia, JR</t>
  </si>
  <si>
    <t xml:space="preserve">Wei, Yongwei; Zhang, Yu; Cai, Hui; Mirza, Anne M.; Iorio, Ronald M.; Peeples, Mark E.; Niewiesk, Stefan; Lia, Jianrong</t>
  </si>
  <si>
    <t xml:space="preserve">Roles of the Putative Integrin-Binding Motif of the Human Metapneumovirus Fusion (F) Protein in Cell-Cell Fusion, Viral Infectivity, and Pathogenesis</t>
  </si>
  <si>
    <t xml:space="preserve">Biology; Human metapneumovirus; Viral entry; Cell fusion; Integrin; Virology; Fusion protein; Viral replication; Metapneumovirus; RGD motif</t>
  </si>
  <si>
    <t xml:space="preserve">RESPIRATORY SYNCYTIAL VIRUS; MOUTH-DISEASE-VIRUS; RGD MOTIF; EPITHELIAL-CELLS; NEUTRALIZING ANTIBODY; AVIAN METAPNEUMOVIRUS; PARAMYXOVIRUS-F; HEPARAN-SULFATE; CILIATED CELLS; LOW-PH</t>
  </si>
  <si>
    <t xml:space="preserve">Human metapneumovirus (hMPV) is a relatively recently identified paramyxovirus that causes acute upper and lower respiratory tract infection. Entry of hMPV is unusual among the paramyxoviruses, in that fusion is accomplished by the fusion (F) protein without the attachment glycoprotein (G protein). It has been suggested that hMPV F protein utilizes integrin alpha v beta 1 as a cellular receptor. Consistent with this, the F proteins of all known hMPV strains possess an integrin-binding motif ((329)RGD(331)). The role of this motif in viral entry, infectivity, and pathogenesis is poorly understood. Here, we show that alpha 5 beta 1 and alpha v integrins are essential for cell-cell fusion and hMPV infection. Mutational analysis found that residues R329 and G330 in the (329)RGD(331) motif are essential for cell-cell fusion, whereas mutations at D331 did not significantly impact fusion activity. Furthermore, fusion-defective RGD mutations were either lethal to the virus or resulted in recombinant hMPVs that had defects in viral replication in cell culture. In cotton rats, recombinant hMPV with the R329K mutation in the F protein (rhMPV-R329K) and rhMPV-D331A exhibited significant defects in viral replication in nasal turbinates and lungs. Importantly, inoculation of cotton rats with these mutants triggered a high level of neutralizing antibodies and protected against hMPV challenge. Taken together, our data indicate that (i) alpha 5 beta 1 and alpha v integrins are essential for cell-cell fusion and viral replication, (ii) the first two residues in the RGD motif are essential for fusion activity, and (iii) inhibition of the interaction of the integrin-RGD motif may serve as a new target to rationally attenuate hMPV for the development of live attenuated vaccines.</t>
  </si>
  <si>
    <t xml:space="preserve">[Wei, Yongwei; Zhang, Yu; Cai, Hui; Niewiesk, Stefan; Lia, Jianrong] Ohio State Univ, Coll Vet Med, Dept Vet Biosci, Columbus, OH 43210 USA; [Wei, Yongwei; Zhang, Yu] Ohio State Univ, Coll Vet Med, Program Food Sci &amp; Technol, Columbus, OH 43210 USA; [Mirza, Anne M.; Iorio, Ronald M.] Univ Massachusetts, Sch Med, Dept Microbiol &amp; Physiol Syst, Worcester, MA USA; [Peeples, Mark E.] Nationwide Childrens Hosp, Res Inst, Ctr Vaccines &amp; Immun, Columbus, OH USA</t>
  </si>
  <si>
    <t xml:space="preserve">University System of Ohio; Ohio State University; University System of Ohio; Ohio State University; University of Massachusetts System; University of Massachusetts Worcester; University System of Ohio; Ohio State University; Nationwide Childrens Hospital; Research Institute at Nationwide Children's Hospital</t>
  </si>
  <si>
    <t xml:space="preserve">Lia, JR (corresponding author), Ohio State Univ, Coll Vet Med, Dept Vet Biosci, Columbus, OH 43210 USA.</t>
  </si>
  <si>
    <t xml:space="preserve">Peeples, Mark/HJB-3610-2022</t>
  </si>
  <si>
    <t xml:space="preserve">NIH [R01AI090060]; USDA Agriculture and Food Research Initiative [2010-65119-20602]; OSU Center for Clinical and Translational Science (CCTS); NIFA [581071, 2010-65119-20602] Funding Source: Federal RePORTER</t>
  </si>
  <si>
    <t xml:space="preserve">NIH(United States Department of Health &amp; Human ServicesNational Institutes of Health (NIH) - USA); USDA Agriculture and Food Research Initiative(United States Department of Agriculture (USDA)); OSU Center for Clinical and Translational Science (CCTS); NIFA(United States Department of Agriculture (USDA)National Institute of Food and Agriculture)</t>
  </si>
  <si>
    <t xml:space="preserve">This study was supported in part by grants from the NIH (R01AI090060) and the USDA Agriculture and Food Research Initiative (2010-65119-20602) and by a pilot grant from the OSU Center for Clinical and Translational Science (CCTS) to J.L.</t>
  </si>
  <si>
    <t xml:space="preserve">10.1128/JVI.03491-13</t>
  </si>
  <si>
    <t xml:space="preserve">AE0SL</t>
  </si>
  <si>
    <t xml:space="preserve">WOS:000333676400036</t>
  </si>
  <si>
    <t xml:space="preserve">Xie, ZB; Xu, J; Ren, YH; Cui, AL; Wang, HL; Song, JH; Zhang, Q; Hu, ML; Xu, WB; Zhang, Y</t>
  </si>
  <si>
    <t xml:space="preserve">Xie, Zhibo; Xu, Jin; Ren, Yunhui; Cui, Aili; Wang, Huiling; Song, Jinhua; Zhang, Qiang; Hu, Manli; Xu, Wenbo; Zhang, Yan</t>
  </si>
  <si>
    <t xml:space="preserve">Emerging Human Metapneumovirus Gene Duplication Variants in Patients with Severe Acute Respiratory Infection, China, 2017-2019</t>
  </si>
  <si>
    <t xml:space="preserve">Human metapneumovirus; Metapneumovirus; Gene duplication; Medicine; Gene</t>
  </si>
  <si>
    <t xml:space="preserve">VARIABILITY</t>
  </si>
  <si>
    <t xml:space="preserve">We detected human metapneumovirus (HMPV) in 72 (7.1%) of 1,021 patients hospitalized with severe acute respiratory infection in Luohe, China, during 2017-2019. We detected HMPV most frequently in young children and less often in adults. HMPV genotype A2c variants 111 nt and 180 nt duplications predominated, demonstrating their continuing geographic spread.</t>
  </si>
  <si>
    <t xml:space="preserve">[Xie, Zhibo; Cui, Aili; Wang, Huiling; Song, Jinhua; Zhang, Qiang; Hu, Manli; Xu, Wenbo; Zhang, Yan] Natl Inst Viral Dis Control &amp; Prevent, Beijing, Peoples R China; [Xu, Jin] Henan Prov Ctr Dis Control &amp; Prevent, Zhengzhou, Peoples R China; [Ren, Yunhui] Luohe Prefectural Ctr Dis Control &amp; Prevent, Luohe, Peoples R China</t>
  </si>
  <si>
    <t xml:space="preserve">Xu, WB; Zhang, Y (corresponding author), China Ctr Dis Control &amp; Prevent, Natl Inst Viral Dis Control &amp; Prevent, 155 Changbai Rd, Beijing 102206, Peoples R China.</t>
  </si>
  <si>
    <t xml:space="preserve">wenbo_xul@aliyun.com; zhangyan9876543@163.com</t>
  </si>
  <si>
    <t xml:space="preserve">meng, meng/KHW-8303-2024; Hu, man/HPG-9675-2023; Song, Jinhua/AAH-4048-2020</t>
  </si>
  <si>
    <t xml:space="preserve">National Natural Science Foundation of China [81772195]; Key Technologies R&amp;D Program of the National Ministry of Science [2018ZX10713002, 2018ZX10711001, 2017ZX10104001-002, 2018ZX10713001-003]</t>
  </si>
  <si>
    <t xml:space="preserve">National Natural Science Foundation of China(National Natural Science Foundation of China (NSFC)); Key Technologies R&amp;D Program of the National Ministry of Science</t>
  </si>
  <si>
    <t xml:space="preserve">This work was supported by the National Natural Science Foundation of China (project no. 81772195), and the Key Technologies R&amp;D Program of the National Ministry of Science (2018ZX10713002, 2018ZX10711001, 2017ZX10104001-002, and 2018ZX10713001-003).</t>
  </si>
  <si>
    <t xml:space="preserve">10.3201/eid2701.201043</t>
  </si>
  <si>
    <t xml:space="preserve">PU2KQ</t>
  </si>
  <si>
    <t xml:space="preserve">WOS:000609135300037</t>
  </si>
  <si>
    <t xml:space="preserve">Christensen, A; Nordbo, SA; Jeansson, S; Slordahl, S</t>
  </si>
  <si>
    <t xml:space="preserve">Lower respiratory tract infection caused by human metapneumovirus in two children: The first report of human metapneumovirus infection in Norway</t>
  </si>
  <si>
    <t xml:space="preserve">Human metapneumovirus; Metapneumovirus; Virology; Medicine; Paramyxoviridae; Respiratory tract; Respiratory disease; Respiratory tract infections; Lower respiratory tract infection</t>
  </si>
  <si>
    <t xml:space="preserve">Human metapneumovirus (hMPV) is a newly described human pathogen associated with respiratory disease. A real-time reverse transcriptase-polymerase chain reaction method was developed to detect this virus. This reports present the first 2 cases of hMPV disease diagnosed in Norway. Both patients were children with serious lower airway disease.</t>
  </si>
  <si>
    <t xml:space="preserve">Univ Trondheim Hosp, Dept Microbiol, Trondheim, Norway; Univ Trondheim Hosp, Dept Paediat Dis, Trondheim, Norway; Ullevaal Univ Hosp, Dept Microbiol, Oslo, Norway</t>
  </si>
  <si>
    <t xml:space="preserve">Norwegian University of Science &amp; Technology (NTNU); Norwegian University of Science &amp; Technology (NTNU); University of Oslo</t>
  </si>
  <si>
    <t xml:space="preserve">Christensen, A (corresponding author), Vestfold Hosp, Dept Med, Box 2168, NO-3103 Tonsberg, Norway.</t>
  </si>
  <si>
    <t xml:space="preserve">TAYLOR &amp; FRANCIS AS</t>
  </si>
  <si>
    <t xml:space="preserve">OSLO</t>
  </si>
  <si>
    <t xml:space="preserve">CORT ADELERSGT 17, PO BOX 2562, SOLLI, 0202 OSLO, NORWAY</t>
  </si>
  <si>
    <t xml:space="preserve">10.1080/00365540310013306</t>
  </si>
  <si>
    <t xml:space="preserve">731LU</t>
  </si>
  <si>
    <t xml:space="preserve">WOS:000185887100018</t>
  </si>
  <si>
    <t xml:space="preserve">Huck, B; Scharf, G; Neumann-Haefelin, D; Puppe, W; Weigl, J; Falcone, V</t>
  </si>
  <si>
    <t xml:space="preserve">Novel human metapneumovirus sublineage</t>
  </si>
  <si>
    <t xml:space="preserve">Human metapneumovirus; Metapneumovirus; Phylogenetic tree; Virology; Biology</t>
  </si>
  <si>
    <t xml:space="preserve">GENETIC DIVERSITY; YOUNG-CHILDREN; INFECTION</t>
  </si>
  <si>
    <t xml:space="preserve">In a pediatric surveillance network, 287 (5.1%) of 5,580 specimens from patients with acute respiratory infections tested positive for human metapneumovirus (HMPV). Phylogenetic analysis of N- and F-gene sequences of identified HMPV showed that 30% belonged to a novel phylogenetic cluster.</t>
  </si>
  <si>
    <t xml:space="preserve">Univ Hosp Freiburg, Freiburg, Germany; Univ Hosp Schleswig Holstein, Kiel, Germany</t>
  </si>
  <si>
    <t xml:space="preserve">University of Freiburg; University of Kiel; Schleswig Holstein University Hospital</t>
  </si>
  <si>
    <t xml:space="preserve">Huck, B (corresponding author), Inst Med Microbiol &amp; Hyg, Dept Virol, Hermann Herder Str 11, D-79104 Freiburg, Germany.</t>
  </si>
  <si>
    <t xml:space="preserve">barbara.huck@uni-heidelberg.de</t>
  </si>
  <si>
    <t xml:space="preserve">10.3201/eid1201.050772</t>
  </si>
  <si>
    <t xml:space="preserve">999VU</t>
  </si>
  <si>
    <t xml:space="preserve">WOS:000234419700028</t>
  </si>
  <si>
    <t xml:space="preserve">Talavera, GA; Mézquita, NED</t>
  </si>
  <si>
    <t xml:space="preserve">Ayora Talavera, Guadalupe; Mezquita, Nelson E. Dorantes</t>
  </si>
  <si>
    <t xml:space="preserve">Short report:: Human metapneumovirus in children with influenza-like illness in Yucatan, Mexico</t>
  </si>
  <si>
    <t xml:space="preserve">AMERICAN JOURNAL OF TROPICAL MEDICINE AND HYGIENE</t>
  </si>
  <si>
    <t xml:space="preserve">Human metapneumovirus; Metapneumovirus; Respiratory illness</t>
  </si>
  <si>
    <t xml:space="preserve">VIRUSES; DISEASE; PCR</t>
  </si>
  <si>
    <t xml:space="preserve">The present study suggests that human metapneumovirus (hMPV) is an important cause of community acquired respiratory infections in children. We report the detection of hMPV in a pediatric population with influenza-like illness in the subtropical area of Yucatan in Mexico. Our data also shows that hMPV circulates in the community with other respiratory pathogens.</t>
  </si>
  <si>
    <t xml:space="preserve">Univ Reading, Sch Biol Sci, Dept Microbiol, Reading RG6 6AJ, Berks, England; Univ Autonoma Yucatan, Ctr Invest Reg Dr Hideyo Noguchi, Dept Biomed Enfermedades Infecciosas, Merida, Mexico</t>
  </si>
  <si>
    <t xml:space="preserve">University of Reading; Universidad Autonoma de Yucatan</t>
  </si>
  <si>
    <t xml:space="preserve">Talavera, GA (corresponding author), Univ Reading, Sch Biol Sci, Dept Microbiol, Anim &amp; Microbiol Bldg, Reading RG6 6AJ, Berks, England.</t>
  </si>
  <si>
    <t xml:space="preserve">g.ayoratalavera@reading.ac.uk</t>
  </si>
  <si>
    <t xml:space="preserve">Ayora-Talavera, Guadalupe/AAH-3165-2019</t>
  </si>
  <si>
    <t xml:space="preserve">Ayora-Talavera, Guadalupe/0000-0002-2829-6945</t>
  </si>
  <si>
    <t xml:space="preserve">AMER SOC TROP MED &amp; HYGIENE</t>
  </si>
  <si>
    <t xml:space="preserve">MCLEAN</t>
  </si>
  <si>
    <t xml:space="preserve">8000 WESTPARK DR, STE 130, MCLEAN, VA 22101 USA</t>
  </si>
  <si>
    <t xml:space="preserve">0002-9637</t>
  </si>
  <si>
    <t xml:space="preserve">AM J TROP MED HYG</t>
  </si>
  <si>
    <t xml:space="preserve">Am. J. Trop. Med. Hyg.</t>
  </si>
  <si>
    <t xml:space="preserve">10.4269/ajtmh.2007.76.182</t>
  </si>
  <si>
    <t xml:space="preserve">127GP</t>
  </si>
  <si>
    <t xml:space="preserve">WOS:000243573800031</t>
  </si>
  <si>
    <t xml:space="preserve">Raza, K; Ismailjee, SB; Crespo, M; Studer, SM; Sanghavi, S; Paterson, DL; Kwak, EJ; Rinaldo, CR; Pilewski, JM; McCurry, KR; Husain, S</t>
  </si>
  <si>
    <t xml:space="preserve">Raza, Kashif; Ismailjee, Sameer B.; Crespo, Maria; Studer, Sean M.; Sanghavi, Sonali; Paterson, David L.; Kwak, Eun J.; Rinaldo, Charles R., Jr.; Pilewski, Joseph M.; McCurry, Kenneth R.; Husain, Shahid</t>
  </si>
  <si>
    <t xml:space="preserve">Successful outcome of human metapneumovirus (hMPV) pneumonia in a lung transplant recipient treated with intravenous ribavirin</t>
  </si>
  <si>
    <t xml:space="preserve">JOURNAL OF HEART AND LUNG TRANSPLANTATION</t>
  </si>
  <si>
    <t xml:space="preserve">Human metapneumovirus; Ribavirin; Medicine; Pneumonia; Metapneumovirus</t>
  </si>
  <si>
    <t xml:space="preserve">RESPIRATORY SYNCYTIAL VIRUS; INFECTION; TRACT; CHILDREN; SEPSIS</t>
  </si>
  <si>
    <t xml:space="preserve">Human metapneumovirus (hMPV) has recently been shown to be a prominent cause of respiratory infections in immunocompromised hosts, and is associated with high morbidity and mortality. We report a case of hMPV pneumonia in a lung transplant recipient presenting with respiratory failure and sepsis syndrome. hMPV was diagnosed by polymerase chain reaction, and treated with intravenous ribavirin with a successful outcome.</t>
  </si>
  <si>
    <t xml:space="preserve">Univ Pittsburgh, Med Ctr, Div Infect Dis, Pittsburgh, PA 15213 USA; Univ Pittsburgh, Med Ctr, Wright Sch Med, Pittsburgh, PA 15213 USA; Univ Pittsburgh, Med Ctr, Div Pulm &amp; Crit Care Med, Pittsburgh, PA 15213 USA; Univ Pittsburgh, Med Ctr, Clin Virol Lab, Pittsburgh, PA 15213 USA; Univ Pittsburgh, Med Ctr, Div Cardiothorac Surg, Pittsburgh, PA 15213 USA</t>
  </si>
  <si>
    <t xml:space="preserve">Husain, S (corresponding author), Univ Pittsburgh, Med Ctr, Div Infect Dis, Pittsburgh, PA 15213 USA.</t>
  </si>
  <si>
    <t xml:space="preserve">husains@aol.pitt.edu</t>
  </si>
  <si>
    <t xml:space="preserve">Paterson, David/A-9258-2010; Pilewski, Joseph/AAF-5149-2021</t>
  </si>
  <si>
    <t xml:space="preserve">Husain, Shahid/0000-0002-9216-5229; Paterson, David/0000-0003-2079-4437</t>
  </si>
  <si>
    <t xml:space="preserve">1053-2498</t>
  </si>
  <si>
    <t xml:space="preserve">J HEART LUNG TRANSPL</t>
  </si>
  <si>
    <t xml:space="preserve">J. Heart Lung Transplant.</t>
  </si>
  <si>
    <t xml:space="preserve">10.1016/j.healun.2007.05.020</t>
  </si>
  <si>
    <t xml:space="preserve">Cardiac &amp; Cardiovascular Systems; Respiratory System; Surgery; Transplantation</t>
  </si>
  <si>
    <t xml:space="preserve">Cardiovascular System &amp; Cardiology; Respiratory System; Surgery; Transplantation</t>
  </si>
  <si>
    <t xml:space="preserve">203RR</t>
  </si>
  <si>
    <t xml:space="preserve">WOS:000248992200014</t>
  </si>
  <si>
    <t xml:space="preserve">Herd, KA; Nelson, M; Mahalingam, S; Tindle, RW</t>
  </si>
  <si>
    <t xml:space="preserve">Herd, Karen A.; Nelson, Michelle; Mahalingam, Suresh; Tindle, Robert W.</t>
  </si>
  <si>
    <t xml:space="preserve">Pulmonary infection of mice with human metapneumovirus induces local cytotoxic T-cell and immunoregulatory cytokine responses similar to those seen with human respiratory syncytial virus</t>
  </si>
  <si>
    <t xml:space="preserve">Human metapneumovirus; Biology; Virology; Cytotoxic T cell; Respiratory system; Virus; Immunology</t>
  </si>
  <si>
    <t xml:space="preserve">BALB/C MICE; IMMUNE-RESPONSE; LYMPHOCYTE EPITOPE; TRACT INFECTIONS; YOUNG-CHILDREN; DISEASE; ASTHMA; PATHOGENESIS; BRONCHIOLITIS; VACCINATION</t>
  </si>
  <si>
    <t xml:space="preserve">Human metapneumovirus (hMPV) is a major cause of upper and lower respiratory-tract infection in infants, the elderly and immunocompromised individuals. Virus-directed cellular immunity elicited by hMPV infection is poorly understood, in contrast to the phylogenetically and clinically related pathogen human respiratory syncytial virus (hRSV). In a murine model of acute lower respiratory-tract infection with hMPV, we demonstrate the accumulation of gamma interferon (IFN-gamma)-producing CD8(+) T cells in the airways and lungs at day 7 post-infection (p.i.), associated with cytotoxic T lymphocytes (CTLs) directed to an epitope of the M2-1 protein. This CTL immunity was accompanied by increased pulmonary expression of Th1 cytokines IFN-gamma and interleukin (IL)-12 and antiviral cytokines (IFN-beta), as well as chemokines Mip-1 alpha, Mip-1 beta, Mig, IP-10 and CX3CL1. There was also a moderate increase in Th2-type cytokines IL-4 and IL-10 compared with uninfected mice. At 21 days p.i., a strong CTL response could be recalled from the spleen. A similar pattern of CTL induction to the homologous M2-1 CTL epitope of hRSV, and of cytokine/chemokine induction, was observed following infection with hRSV, highlighting similarities in the cellular immune response to the two related pathogens.</t>
  </si>
  <si>
    <t xml:space="preserve">[Herd, Karen A.; Tindle, Robert W.] Univ Queensland, Sir Albert Sakzewski Virus Res Ctr, Royal Childrens Hosp, Brisbane, Qld, Australia; [Herd, Karen A.; Tindle, Robert W.] Univ Queensland, Clin Med Virol Ctr, Brisbane, Qld, Australia; [Nelson, Michelle; Mahalingam, Suresh] Univ Canberra, Ctr Biomed Mol &amp; Chem Sci, Fac Sci Appl, Canberra, ACT 2601, Australia</t>
  </si>
  <si>
    <t xml:space="preserve">Royal Children's Hospital Brisbane; University of Queensland; University of Queensland; University of Canberra</t>
  </si>
  <si>
    <t xml:space="preserve">Tindle, RW (corresponding author), Univ Queensland, Sir Albert Sakzewski Virus Res Ctr, Royal Childrens Hosp, Brisbane, Qld, Australia.</t>
  </si>
  <si>
    <t xml:space="preserve">Mahalingam, Suresh/0000-0003-3141-8410</t>
  </si>
  <si>
    <t xml:space="preserve">NHMRC [399701]</t>
  </si>
  <si>
    <t xml:space="preserve">We thank Ms Kalani Ruberu for excellent technical assistance and Dr Maxine Preston for provision of the AUS-001 hMPV strain. The work was supported by NHMRC project grant no. 399701 (to S.M. and R. W. T.). Kevin Wathen-Dunn and his staff provided excellent animal husbandry. We thank Dr Scott Thomson for helpful discussion. Contribution no. 354 of the Sir Albert Sakzewski Virus Research Centre.</t>
  </si>
  <si>
    <t xml:space="preserve">10.1099/vir.0.015396-0</t>
  </si>
  <si>
    <t xml:space="preserve">597MH</t>
  </si>
  <si>
    <t xml:space="preserve">WOS:000277761100025</t>
  </si>
  <si>
    <t xml:space="preserve">Matsuda, S; Nakamura, M; Hirano, E; Kiyota, N; Omura, T; Suzuki, Y; Noda, M; Kimura, H</t>
  </si>
  <si>
    <t xml:space="preserve">Matsuda, Shunji; Nakamura, Masako; Hirano, Eiko; Kiyota, Naoko; Omura, Tamaki; Suzuki, Yumi; Noda, Masahiro; Kimura, Hirokazu</t>
  </si>
  <si>
    <t xml:space="preserve">Characteristics of Human Metapneumovirus Infection Prevailing in Hospital Wards Housing Patients with Severe Disabilities</t>
  </si>
  <si>
    <t xml:space="preserve">Human metapneumovirus; Medicine; Pneumonia</t>
  </si>
  <si>
    <t xml:space="preserve">JAPAN; OUTBREAK; CHILDREN</t>
  </si>
  <si>
    <t xml:space="preserve">Epidemics of infectious diseases often occur at long-term inpatient facilities for patients with severe motor and intellectual disabilities. However, the pathogens causing these infections remain unknown in approximately half of such epidemics. Two epidemics of respiratory tract infection occurred in 2 wards in the National Hospital Organization Ehime Hospital (prevalence 1, 34 infected out of 59 inpatients in the A ward in September 2011; prevalence 2, 8 infected out of 58 inpatients in the B ward in June 2012). Human metapneumovirus (HMPV) was detected from the nasal (and some pharyngeal) swabs from 17 patients. Based on phylogenetic analysis of viral genomes, the virus was grouped in subgroup A2 (prevalence 1) and B2 (prevalence 2). We considered that the viruses had spread through the 2 wards. The average duration of high fever in the 42 patients was 6.8 days, with the majority of fevers exceeding 38 degrees C (79%) and being accompanied by a productive cough. Ten out of 17 patients (59%) in whom HMPV was detected had decreased lymphocyte and increased monocyte counts in the blood. Eleven cases (65%) had elevated-C reactive protein levels and fever protraction as well as images of bronchitis or pneumonia on chest radiographs approximately 1 week after onset. Anti-HMPV antibody in the blood was positive in 95% of patients (151 of 159 inpatients), indicating no relation between HMPV infection and antibody titer but revealing recurrent infections. In view of the fever protraction and frequent co-occurrence of bronchitis and pneumonia at long-term inpatient facilities for immunocompromised patients such as the ones in this study, the prevalence of HMPV must be carefully monitored, and preventive measures and early-stage treatments are required.</t>
  </si>
  <si>
    <t xml:space="preserve">[Matsuda, Shunji] Ehime Hosp, Natl Hosp Org, Inst Clin Res, Tohon, Ehime 7910281, Japan; [Nakamura, Masako; Hirano, Eiko] Fukui Prefectural Inst Publ Hlth &amp; Environm Sci, Fukui 9108551, Japan; [Kiyota, Naoko] Kumamoto Prefectural Inst Publ Hlth &amp; Environm Sc, Kumamoto 8690425, Japan; [Omura, Tamaki] Shimane Prefectural Inst Publ Hlth &amp; Environm Sci, Matsue, Shimane 6900122, Japan; [Suzuki, Yumi] Shimoshizu Hosp, Natl Hosp Org, Dept Pediat, Chiba 2840003, Japan; [Noda, Masahiro; Kimura, Hirokazu] Natl Inst Infect Dis, Infect Dis Surveillance Ctr, Tokyo 2080011, Japan</t>
  </si>
  <si>
    <t xml:space="preserve">Matsuda, S (corresponding author), Ehime Hosp, Natl Hosp Org, Inst Clin Res, 366 Yokogawara, Tohon, Ehime 7910281, Japan.</t>
  </si>
  <si>
    <t xml:space="preserve">matsudas@ehime-nh.go.jp</t>
  </si>
  <si>
    <t xml:space="preserve">Igarashi, Eiko/GZA-6387-2022</t>
  </si>
  <si>
    <t xml:space="preserve">Japanese Ministry of Health, Labour and Welfare [H23-new infection-general-011]; National Hospital Organization (NHO Network Joint Studies)</t>
  </si>
  <si>
    <t xml:space="preserve">Japanese Ministry of Health, Labour and Welfare(Ministry of Health, Labour and Welfare, Japan); National Hospital Organization (NHO Network Joint Studies)</t>
  </si>
  <si>
    <t xml:space="preserve">This work was supported by grants from the Japanese Ministry of Health, Labour and Welfare (H23-new infection-general-011) and National Hospital Organization (NHO Network Joint Studies).</t>
  </si>
  <si>
    <t xml:space="preserve">10.7883/yoken.66.195</t>
  </si>
  <si>
    <t xml:space="preserve">160CT</t>
  </si>
  <si>
    <t xml:space="preserve">WOS:000320094900004</t>
  </si>
  <si>
    <t xml:space="preserve">Cuevas, LE; Ben Nasser, AM; Dove, W; Gurgel, RQ; Greensill, J; Hart, CA</t>
  </si>
  <si>
    <t xml:space="preserve">Human metapneumovirus and respiratory syncytial virus, Brazil</t>
  </si>
  <si>
    <t xml:space="preserve">Human metapneumovirus; Metapneumovirus; Virology; Respiratory system; Pneumovirinae; Virus; Medicine; Paramyxoviridae</t>
  </si>
  <si>
    <t xml:space="preserve">TRACT DISEASE; CHILDREN; BRONCHIOLITIS; INFECTIONS; ILLNESS; YOUNG</t>
  </si>
  <si>
    <t xml:space="preserve">We describe the epidemiologic and clinical characteristics of 111 children attending clinics and hospitals in Aracaju, northeast Brazil, with acute respiratory infections attributable to human metapneumovirus (HMPV), respiratory syncytial virus (RSV), or both in May and June 2002. Fifty-three (48%) children were infected with RSV alone, 19 (17%) with HMPV alone, and 8 (7%) had RSV/HMPV co-infections.</t>
  </si>
  <si>
    <t xml:space="preserve">Univ Liverpool, Liverpool Sch Trop Med, Liverpool L3 5QA, Merseyside, England; Univ Liverpool, Liverpool L69 3BX, Merseyside, England; Fed Univ Sergipe, Aracaju, Brazil</t>
  </si>
  <si>
    <t xml:space="preserve">Liverpool School of Tropical Medicine; University of Liverpool; University of Liverpool</t>
  </si>
  <si>
    <t xml:space="preserve">Gurgel, RQ/N-5105-2018; Cuevas, Luis E./I-3697-2015</t>
  </si>
  <si>
    <t xml:space="preserve">10.3201/eid0912.030522</t>
  </si>
  <si>
    <t xml:space="preserve">753TX</t>
  </si>
  <si>
    <t xml:space="preserve">Green Published, Green Submitted, gold, Green Accepted</t>
  </si>
  <si>
    <t xml:space="preserve">WOS:000187247600023</t>
  </si>
  <si>
    <t xml:space="preserve">Percivalle, E; Sarasini, A; Visai, L; Revello, MG; Gerna, G</t>
  </si>
  <si>
    <t xml:space="preserve">Rapid detection of human metapneumovirus strains in nasopharyngeal aspirates and shell vial cultures by monoclonal antibodies</t>
  </si>
  <si>
    <t xml:space="preserve">Human metapneumovirus; Monoclonal antibody; Virology; Vial; Biology</t>
  </si>
  <si>
    <t xml:space="preserve">RESPIRATORY-TRACT INFECTIONS; P-GENE; CHILDREN; DISEASE</t>
  </si>
  <si>
    <t xml:space="preserve">Monoclonal antibodies to human metapneumovirus (hMPV) were developed for direct fluorescent antibody (DFA) staining of nasopharyngeal aspirates from 40 infants with respiratory infections, as well as for hMPV identification in shell vial cultures. With reference to reverse transcription-PCR, DFA staining showed sensitivity, specificity, and positive and negative predictive values of 73.9%, 94.1%, 94.4%, and 72.7%, respectively. Monoclonal antibodies are useful for direct hMPV detection.</t>
  </si>
  <si>
    <t xml:space="preserve">Policlin San Matteo, IRCCS, Serv Virol, I-27100 Pavia, Italy; Univ Pavia, Ist Chim Biol, I-27100 Pavia, Italy</t>
  </si>
  <si>
    <t xml:space="preserve">Policlin San Matteo, IRCCS, Serv Virol, I-27100 Pavia, Italy.</t>
  </si>
  <si>
    <t xml:space="preserve">; Percivalle, Elena/K-7994-2016; Visai, Livia/R-7397-2017</t>
  </si>
  <si>
    <t xml:space="preserve">Gerna, Giuseppe/0000-0001-5956-2786; Percivalle, Elena/0000-0002-3355-1410; Visai, Livia/0000-0003-1181-3632</t>
  </si>
  <si>
    <t xml:space="preserve">10.1128/JCM.43.7.3443-3446.2005</t>
  </si>
  <si>
    <t xml:space="preserve">947AR</t>
  </si>
  <si>
    <t xml:space="preserve">WOS:000230614900064</t>
  </si>
  <si>
    <t xml:space="preserve">Loo, LH; Tan, BH; Ng, LM; Tee, NWS; Lin, RTP; Sugrue, RJ</t>
  </si>
  <si>
    <t xml:space="preserve">Loo, Liat Hui; Tan, Boon Huan; Ng, Ley Moy; Tee, Nancy W. S.; Lin, Raymond T. P.; Sugrue, Richard J.</t>
  </si>
  <si>
    <t xml:space="preserve">Human metapneumovirus in children, Singapore</t>
  </si>
  <si>
    <t xml:space="preserve">Human metapneumovirus; Metapneumovirus; Medicine; Genotype</t>
  </si>
  <si>
    <t xml:space="preserve">RESPIRATORY SYNCYTIAL VIRUS; YOUNG-CHILDREN; INFECTIONS</t>
  </si>
  <si>
    <t xml:space="preserve">Four hundred specimens were collected from pediatric patients hospitalized in Singapore; 21 of these specimens tested positive for human metapneumovirus (HMPV), with the A2 genotype predominating. A 5% infection rate was estimated, suggesting that HMPV is a significant cause of morbidity among the pediatric population of Singapore.</t>
  </si>
  <si>
    <t xml:space="preserve">Nanyang Technol Univ, Sch Biol Sci, Singapore 637551, Singapore; Kandang Kerbau Womens &amp; Childrens Hosp, Singapore, Singapore; DSO Natl Labs, Singapore, Singapore; Natl Univ Singapore Hosp, Singapore 117548, Singapore</t>
  </si>
  <si>
    <t xml:space="preserve">Sugrue, RJ (corresponding author), Nanyang Technol Univ, Sch Biol Sci, 60 Nanyang Dr, Singapore 637551, Singapore.</t>
  </si>
  <si>
    <t xml:space="preserve">Sugrue, Richard/A-2214-2011; Loo, Liat-Hui/AAS-9179-2020; Tan, Boon Huan/ABB-8381-2021</t>
  </si>
  <si>
    <t xml:space="preserve">Loo, Liat Hui/0000-0003-2747-9544</t>
  </si>
  <si>
    <t xml:space="preserve">10.3201/eid1309.070220</t>
  </si>
  <si>
    <t xml:space="preserve">205XM</t>
  </si>
  <si>
    <t xml:space="preserve">WOS:000249148500025</t>
  </si>
  <si>
    <t xml:space="preserve">Deffrasnes, C; Côté, S; Boivin, G</t>
  </si>
  <si>
    <t xml:space="preserve">Analysis of replication kinetics of the human metapneumovirus in different cell lines by real-time PCR</t>
  </si>
  <si>
    <t xml:space="preserve">Human metapneumovirus; Metapneumovirus; TaqMan; Virology; Vero cell; Biology; Cell culture; Real-time polymerase chain reaction</t>
  </si>
  <si>
    <t xml:space="preserve">GENETIC DIVERSITY; YOUNG-CHILDREN; SEROPREVALENCE; INFECTIONS; SEQUENCE</t>
  </si>
  <si>
    <t xml:space="preserve">Human metapneumovirus (hMPV) is associated with acute respiratory tract disease especially in young children. Using a quantitative real-time TaqMan PCR, we analyzed the replication kinetics of hMPV in different cell lines. Our results indicate that hMPV replicates slightly more efficiently in LLC-MK2 than in Vero cells and poorly in HEp-2 cells.</t>
  </si>
  <si>
    <t xml:space="preserve">CHU Laval, CHUQ, Ste Foy, PQ G1V 4G2, Canada; Univ Laval, Quebec City, PQ G1K 7P4, Canada; CHU Quebec, Res Ctr Infect Dis, Quebec City, PQ G1K 7P4, Canada</t>
  </si>
  <si>
    <t xml:space="preserve">Laval University; Laval University; Laval University</t>
  </si>
  <si>
    <t xml:space="preserve">Boivin, G (corresponding author), CHU Laval, CHUQ, 2705 Blvd Laurier,Room RC-709, Ste Foy, PQ G1V 4G2, Canada.</t>
  </si>
  <si>
    <t xml:space="preserve">Deffrasnes, Celine/H-5744-2013</t>
  </si>
  <si>
    <t xml:space="preserve">Deffrasnes, Celine/0000-0003-3878-4771; Boivin, Guy/0000-0003-3027-4662</t>
  </si>
  <si>
    <t xml:space="preserve">10.1128/JCM.43.1.488-490.2005</t>
  </si>
  <si>
    <t xml:space="preserve">888NB</t>
  </si>
  <si>
    <t xml:space="preserve">WOS:000226380400079</t>
  </si>
  <si>
    <t xml:space="preserve">Spann, KM; Loh, ZX; Lynch, JP; Ullah, A; Zhang, VV; Baturcam, E; Werder, RB; Khajornjiraphan, N; Rudd, P; Loo, YM; Suhrbier, A; Gale, M; Upham, JW; Phipp, S</t>
  </si>
  <si>
    <t xml:space="preserve">Spann, Kirsten M.; Loh, Zhixuan; Lynch, Jason P.; Ullah, Ashik; Zhang, Vivian; Baturcam, Engin; Werder, Rhiannon B.; Khajornjiraphan, Natthida; Rudd, Penny; Loo, Yeuh-Ming; Suhrbier, Andreas; Gale, Michael, Jr.; Upham, John W.; Phipp, Simon</t>
  </si>
  <si>
    <t xml:space="preserve">IRF-3, IRF-7, and IPS-1 Promote Host Defense against Acute Human Metapneumovirus Infection in Neonatal Mice</t>
  </si>
  <si>
    <t xml:space="preserve">Human metapneumovirus; Metapneumovirus; Host (biology); Virology</t>
  </si>
  <si>
    <t xml:space="preserve">RESPIRATORY SYNCYTIAL VIRUS; PLASMACYTOID DENDRITIC CELLS; INNATE ANTIVIRAL IMMUNITY; TERM-CARE FACILITY; INDUCIBLE GENE-I; INTERFERON RESPONSE; PNEUMOVIRUS INFECTION; VIRAL-INFECTION; TRACT DISEASE; CHILDREN</t>
  </si>
  <si>
    <t xml:space="preserve">Human metapneumovirus (hMPV) is a leading cause of respiratory tract disease in children and is associated with acute bronchiolitis, pneumonia, and asthma exacerbations, yet the mechanisms by which the host immune response to hMPV is regulated are poorly understood. By using gene-deleted neonatal mice, we examined the contributions of the innate receptor signaling molecules interferon (IFN)-beta promoter stimulator 1 (IPS-1), IFN regulatory factor (IRF) 3, and IRF7. Viral Load in the lungs was markedly greater in IPS-1(-/-) IRF3/7(-/-) &gt;, but not IRF7(-/-), mice compared with wildtype mice. IFN-beta and IFN-lambda 2/3 (IL-28A/B) production was attenuated in the bronchoalveolar Lavage fluid in all factor-deficient mice compared with wild-type mice at 1 day after infection, although IFN-lambda 2/3 was greater in IRF3/7(-/-) mice at 5 days after infection. IRF7(-/-) and IRF3/7(-/-) mice presented with airway eosinophiLia, whereas only IRF3/7(-/-) mice developed an exaggerated type 1 and 17 helper T-cell response, characterized by natural killer T-cell and neutrophiLic inflammation. Despite having the highest viral Load, IPS-1(-/-) mice did not develop a proinfiammatory cytokine or granulocytic response to hMPV infection. Our findings demonstrate that IFN-beta, but not IFN-lambda 2/3, produced via an IPS-1-IRF3 signaling pathway, is important for hMPV clearance. In the absence of a robust type I IFN-alpha/beta response, targeting the IPS-1 signaling pathway may limit the overexuberant inflammatory response that occurs as a consequence of viral persistence.</t>
  </si>
  <si>
    <t xml:space="preserve">[Spann, Kirsten M.; Baturcam, Engin] Univ Queensland, Clin Med Virol Ctr, St Lucia, Qld 4072, Australia; [Spann, Kirsten M.; Rudd, Penny; Suhrbier, Andreas; Phipp, Simon] Univ Queensland, Australian Infect Dis Res Ctr, St Lucia, Qld 4072, Australia; [Loh, Zhixuan; Lynch, Jason P.; Zhang, Vivian; Werder, Rhiannon B.; Khajornjiraphan, Natthida; Phipp, Simon] Univ Queensland, Sch Biomed Sci, St Lucia, Qld 4072, Australia; [Spann, Kirsten M.; Baturcam, Engin] Childrens Hosp Queensland, Sir Albert Sakzewski Virus Res Ctr, Brisbane, Qld, Australia; [Ullah, Ashik] Univ Sydney, Sydney Med Sch, Woolcock Inst Med Res, Sydney, NSW 2006, Australia; [Baturcam, Engin] Univ Queensland, Queensland Childrens Med Res Inst, Herston, Qld, Australia; [Rudd, Penny; Suhrbier, Andreas] QIMR Berghofer Inst Med Res, Brisbane, Qld, Australia; [Loo, Yeuh-Ming; Gale, Michael, Jr.] Univ Washington, Sch Med, Dept Immunol, Seattle, WA USA; [Upham, John W.] Univ Queensland, Sch Med, Translat Res Inst, Lung &amp; Allergy Res Ctr, Brisbane, Qld, Australia; [Upham, John W.] Princess Alexandra Hosp, Dept Resp Med, Brisbane, Qld 4102, Australia</t>
  </si>
  <si>
    <t xml:space="preserve">University of Queensland; University of Queensland; University of Queensland; University of Sydney; Woolcock Institute of Medical Research; University of Queensland; QIMR Berghofer Medical Research Institute; University of Washington; University of Washington Seattle; University of Queensland; Princess Alexandra Hospital</t>
  </si>
  <si>
    <t xml:space="preserve">Phipp, S (corresponding author), Univ Queensland, Sch Biomed Sci, St Lucia, Qld 4072, Australia.</t>
  </si>
  <si>
    <t xml:space="preserve">s.phipps@uq.edu.au</t>
  </si>
  <si>
    <t xml:space="preserve">Gale, Jr., Michael/AET-1620-2022; Werder, Rhiannon/AAL-5192-2021; Lynch, Jason/G-2991-2016; Spann, Kirsten/B-4524-2013; Upham, John/F-4420-2010; Ullah, Md Ashik/G-3852-2010; Phipps, Simon/F-9170-2010; Loh, Zhixuan/G-4104-2015</t>
  </si>
  <si>
    <t xml:space="preserve">Lynch, Jason/0000-0003-0889-2616; Spann, Kirsten/0000-0003-0567-8382; Upham, John/0000-0002-0017-3433; Suhrbier, Andreas/0000-0001-8986-9025; Ullah, Md Ashik/0000-0002-0025-1796; Werder, Rhiannon/0000-0002-6432-4587; Phipps, Simon/0000-0002-7388-3612; Gale, Michael/0000-0002-6332-7436; Loo, Yueh-Ming/0000-0001-6294-7273; Loh, Zhixuan/0000-0002-4124-9502</t>
  </si>
  <si>
    <t xml:space="preserve">National Health and Medical Research Council of Australia Project grant</t>
  </si>
  <si>
    <t xml:space="preserve">National Health and Medical Research Council of Australia Project grant(National Health &amp; Medical Research Council (NHMRC) of Australia)</t>
  </si>
  <si>
    <t xml:space="preserve">This study was supported by a National Health and Medical Research Council of Australia Project grant (S.P. and J.W.U.).</t>
  </si>
  <si>
    <t xml:space="preserve">10.1016/j.ajpath.2014.02.026</t>
  </si>
  <si>
    <t xml:space="preserve">AI5ZE</t>
  </si>
  <si>
    <t xml:space="preserve">WOS:000336948700017</t>
  </si>
  <si>
    <t xml:space="preserve">Pelletier, G; Déry, P; Abed, Y; Boivin, G</t>
  </si>
  <si>
    <t xml:space="preserve">Respiratory tract reinfections by the new human Metapneumovirus in an immunocompromised child</t>
  </si>
  <si>
    <t xml:space="preserve">Human metapneumovirus; Metapneumovirus; Respiratory tract infections; Virology; Respiratory tract; Medicine</t>
  </si>
  <si>
    <t xml:space="preserve">SYNCYTIAL VIRUS-INFECTION</t>
  </si>
  <si>
    <t xml:space="preserve">The human Metapneumovirus (HMPV), a new member of the Paramyxoviridae family, has been recently associated with respiratory tract infections in young children. We report the case of a young, immunocompromised child who had severe lower respiratory tract infections during two consecutive winter seasons caused by genetically distinct HMPV strains.</t>
  </si>
  <si>
    <t xml:space="preserve">CHU Laval, CHUQ, Quebec City, PQ G1V 4G2, Canada; Univ Laval, Quebec City, PQ, Canada</t>
  </si>
  <si>
    <t xml:space="preserve">Boivin, G (corresponding author), CHU Laval, CHUQ, 2705 Blvd Laurier,Room RC-709, Quebec City, PQ G1V 4G2, Canada.</t>
  </si>
  <si>
    <t xml:space="preserve">Guy.Boivin@erchul.ulaval.ca</t>
  </si>
  <si>
    <t xml:space="preserve">10.3201/eid0809.020238</t>
  </si>
  <si>
    <t xml:space="preserve">WOS:000177728700017</t>
  </si>
  <si>
    <t xml:space="preserve">Corti, D; Bianchi, S; Vanzetta, F; Minola, A; Perez, L; Agatic, G; Guarino, B; Silacci, C; Marcandalli, J; Marsland, BJ; Piralla, A; Percivalle, E; Sallusto, F; Baldanti, F; Lanzavecchia, A</t>
  </si>
  <si>
    <t xml:space="preserve">Corti, Davide; Bianchi, Siro; Vanzetta, Fabrizia; Minola, Andrea; Perez, Laurent; Agatic, Gloria; Guarino, Barbara; Silacci, Chiara; Marcandalli, Jessica; Marsland, Benjamin J.; Piralla, Antonio; Percivalle, Elena; Sallusto, Federica; Baldanti, Fausto; Lanzavecchia, Antonio</t>
  </si>
  <si>
    <t xml:space="preserve">Cross-neutralization of four paramyxoviruses by a human monoclonal antibody</t>
  </si>
  <si>
    <t xml:space="preserve">NATURE</t>
  </si>
  <si>
    <t xml:space="preserve">Virology; Human metapneumovirus; Antibody; Monoclonal antibody; Biology; Epitope; Virus; Neutralizing antibody</t>
  </si>
  <si>
    <t xml:space="preserve">RESPIRATORY SYNCYTIAL VIRUS; MEMORY B-CELLS; HUMAN METAPNEUMOVIRUS; FUSION PROTEIN; F-GLYCOPROTEIN; IN-VITRO; INFECTION; GENERATION; PREFUSION; INFANTS</t>
  </si>
  <si>
    <t xml:space="preserve">Broadly neutralizing antibodies reactive against most and even all variants of the same viral species have been described for influenza and HIV-1 (ref. 1). However, whether a neutralizing antibody could have the breadth of range to target different viral species was unknown. Human respiratory syncytial virus (HRSV) and human metapneumovirus (HMPV) are common pathogens that cause severe disease in premature newborns, hospitalized children(2,3) and immune-compromised patients(2,4,5), and play a role in asthma exacerbations(6). Although antisera generated against either HRSV or HMPV are not cross-neutralizing(7), we speculated that, because of the repeated exposure to these viruses, cross-neutralizing antibodies may be selected in some individuals. Here we describe a human monoclonal antibody (MPE8) that potently cross-neutralizes HRSV and HMPV as well as two animal paramyxoviruses: bovine RSV (BRSV) and pneumonia virus of mice (PVM). In its germline configuration, MPE8 is HRSV-specific and its breadth is achieved by somatic mutations in the light chain variable region. MPE8 did not result in the selection of viral escape mutants that evaded antibody targeting and showed potent prophylactic efficacy in animal models of HRSV and HMPV infection, as well as prophylactic and therapeutic efficacy in the more relevant model of lethal PVM infection. The core epitope of MPE8 was mapped on two highly conserved anti-parallel beta-strands on the pre-fusion viral F protein, which are rearranged in the post-fusion F protein conformation. Twenty-six out of the thirty HRSV-specific neutralizing antibodies isolated were also found to be specific for the pre-fusion F protein. Taken together, these results indicate that MPE8 might be used for the prophylaxis and therapy of severe HRSV and HMPV infections and identify the pre-fusion F protein as a candidate HRSV vaccine.</t>
  </si>
  <si>
    <t xml:space="preserve">[Corti, Davide; Bianchi, Siro; Vanzetta, Fabrizia; Agatic, Gloria; Guarino, Barbara] Humabs BioMed SA, CH-6500 Bellinzona, Switzerland; [Corti, Davide; Minola, Andrea; Perez, Laurent; Silacci, Chiara; Marcandalli, Jessica; Sallusto, Federica; Lanzavecchia, Antonio] Univ Svizzera Italiana, Inst Res Biomed, CH-6500 Bellinzona, Switzerland; [Marsland, Benjamin J.] Univ Lausanne, Serv Pneumol, CHUV, CH-1011 Lausanne, Switzerland; [Piralla, Antonio; Percivalle, Elena; Baldanti, Fausto] IRCCS, Policlin San Matteo, I-27100 Pavia, Italy; [Lanzavecchia, Antonio] ETH, Inst Microbiol, CH-8093 Zurich, Switzerland</t>
  </si>
  <si>
    <t xml:space="preserve">Universita della Svizzera Italiana; University of Lausanne; Centre Hospitalier Universitaire Vaudois (CHUV); IRCCS Fondazione San Matteo; University of Pavia; Swiss Federal Institutes of Technology Domain; ETH Zurich</t>
  </si>
  <si>
    <t xml:space="preserve">Lanzavecchia, A (corresponding author), Univ Svizzera Italiana, Inst Res Biomed, Via Vincenzo Vela 6, CH-6500 Bellinzona, Switzerland.</t>
  </si>
  <si>
    <t xml:space="preserve">davide.corti@humabs.ch; lanzavecchia@irb.usi.ch</t>
  </si>
  <si>
    <t xml:space="preserve">Marsland, Benjamin/LSI-7351-2024; Perez, Laurent/ABA-4145-2021; Percivalle, Elena/K-7994-2016; Piralla, Antonio/K-4756-2018; Baldanti, Fausto/J-4924-2018</t>
  </si>
  <si>
    <t xml:space="preserve">Bianchi, Siro/0000-0002-5100-8905; Sallusto, Federica/0000-0003-3750-2752; Corti, Davide/0000-0002-5797-1364; Percivalle, Elena/0000-0002-3355-1410; Piralla, Antonio/0000-0002-6062-2579; Marsland, Benjamin/0000-0003-1457-3160; Guarino, Barbara/0000-0003-3759-3252; Perez, Laurent/0000-0002-8860-7928; Zatta, Fabrizia/0000-0003-4945-8058; Baldanti, Fausto/0000-0002-3358-8969</t>
  </si>
  <si>
    <t xml:space="preserve">European Research Council [250348 IMMUNExplore]; Swiss National Science Foundation [141254]; Helmut Horten Foundation</t>
  </si>
  <si>
    <t xml:space="preserve">European Research Council(European Research Council (ERC)); Swiss National Science Foundation(Swiss National Science Foundation (SNSF)); Helmut Horten Foundation</t>
  </si>
  <si>
    <t xml:space="preserve">We would like to thank M. Nussenzweig and H. Wardemann for providing reagents for antibody cloning and expression, I. Capua, B. Zecchin and L. Selli for experiments involving BRSV and R. Wepf for electron microscopy. This work was supported by the European Research Council (grant no. 250348 IMMUNExplore) and the Swiss National Science Foundation (grant no. 141254). A. L. is supported by the Helmut Horten Foundation.</t>
  </si>
  <si>
    <t xml:space="preserve">NATURE RESEARCH</t>
  </si>
  <si>
    <t xml:space="preserve">0028-0836</t>
  </si>
  <si>
    <t xml:space="preserve">1476-4687</t>
  </si>
  <si>
    <t xml:space="preserve">Nature</t>
  </si>
  <si>
    <t xml:space="preserve">10.1038/nature12442</t>
  </si>
  <si>
    <t xml:space="preserve">219XT</t>
  </si>
  <si>
    <t xml:space="preserve">WOS:000324545700050</t>
  </si>
  <si>
    <t xml:space="preserve">Adamson, P; Thammawat, S; Muchondo, G; Sadlon, T; Williams, J; Gordon, D</t>
  </si>
  <si>
    <t xml:space="preserve">Adamson, Penelope; Thammawat, Sutthiwan; Muchondo, Gamaliel; Sadlon, Tania; Williams, John; Gordon, David</t>
  </si>
  <si>
    <t xml:space="preserve">hMPV Lineage Nomenclature and Heparin Binding</t>
  </si>
  <si>
    <t xml:space="preserve">Nomenclature; Terminology; Human metapneumovirus</t>
  </si>
  <si>
    <t xml:space="preserve">HUMAN METAPNEUMOVIRUS; G-PROTEIN; DIVERSITY</t>
  </si>
  <si>
    <t xml:space="preserve">[Adamson, Penelope; Thammawat, Sutthiwan; Muchondo, Gamaliel; Sadlon, Tania; Gordon, David] Flinders Univ S Australia, Dept Microbiol &amp; Infect Dis, Flinders Med Ctr, Bedford Pk, SA 5042, Australia; [Adamson, Penelope; Sadlon, Tania; Gordon, David] Flinders Med Ctr, SA Pathol, Dept Microbiol &amp; Infect Dis, Bedford Pk, SA 5042, Australia; [Williams, John] Vanderbilt Univ, Med Ctr, Dept Pediat Pathol Microbiol &amp; Immunol, Nashville, TN 37232 USA</t>
  </si>
  <si>
    <t xml:space="preserve">Flinders Medical Centre; Flinders University South Australia; SA Pathology; Flinders Medical Centre; Vanderbilt University</t>
  </si>
  <si>
    <t xml:space="preserve">Adamson, P (corresponding author), Flinders Univ S Australia, Dept Microbiol &amp; Infect Dis, Flinders Med Ctr, Bedford Pk, SA 5042, Australia.</t>
  </si>
  <si>
    <t xml:space="preserve">penelope.adamson@health.sa.gov.au; ant3714@hotmail.com; gamaliel.muchondo@health.sa.gov.au; tania.sadlon@health.sa.gov.au; john.williams@vanderbilt.edu; d.gordon@flinders.edu.au</t>
  </si>
  <si>
    <t xml:space="preserve">POSTFACH, CH-4005 BASEL, SWITZERLAND</t>
  </si>
  <si>
    <t xml:space="preserve">10.3390/v5102546</t>
  </si>
  <si>
    <t xml:space="preserve">274SL</t>
  </si>
  <si>
    <t xml:space="preserve">WOS:000328626400012</t>
  </si>
  <si>
    <t xml:space="preserve">Landry, ML; Ferguson, D; Cohen, S; Peret, TCT; Erdman, DD</t>
  </si>
  <si>
    <t xml:space="preserve">Detection of human metapneumovirus in clinical samples by immunofluorescence staining of shell vial centrifugation cultures prepared from three different cell lines</t>
  </si>
  <si>
    <t xml:space="preserve">Immunofluorescence; Vial; Centrifugation; Staining; Human metapneumovirus; Cell culture</t>
  </si>
  <si>
    <t xml:space="preserve">ACUTE RESPIRATORY ILLNESS; RAPID DETECTION; YOUNG-CHILDREN; PCR ASSAY; VIRUSES</t>
  </si>
  <si>
    <t xml:space="preserve">Monoclonal antibody MAb-8 was evaluated for detection of human metapneumovirus (HMPV) in shell vial centrifugation cultures (SVCC). Detection of HMPV was similar in A549, HEp-2, and LLC-MK2 SVCC, and MAb-8 staining was optimal on day 2 postinoculation. Availability of SVCC for HMPV will be of significant benefit to clinical laboratories.</t>
  </si>
  <si>
    <t xml:space="preserve">Yale Univ, Sch Med, Dept Lab Med, New Haven, CT 06520 USA; Yale New Haven Med Ctr, Dept Lab Med, New Haven, CT 06504 USA; Ctr Dis Control &amp; Prevent, Resp &amp; Enter Viruses Branch, Atlanta, GA USA</t>
  </si>
  <si>
    <t xml:space="preserve">Yale University; Yale University; Centers for Disease Control &amp; Prevention - USA</t>
  </si>
  <si>
    <t xml:space="preserve">Landry, ML (corresponding author), Yale Univ, Sch Med, Dept Lab Med, POB 208035, New Haven, CT 06520 USA.</t>
  </si>
  <si>
    <t xml:space="preserve">marie.landry@yale.edu</t>
  </si>
  <si>
    <t xml:space="preserve">10.1128/JCM.43.4.1950-1952.2005</t>
  </si>
  <si>
    <t xml:space="preserve">916RS</t>
  </si>
  <si>
    <t xml:space="preserve">WOS:000228404100072</t>
  </si>
  <si>
    <t xml:space="preserve">Gray, GC; Capuano, AW; Setterquist, SF; Sanchez, JL; Neville, JS; Olson, J; Lebeck, MGA; McCarthy, T; Abed, Y; Boivin, G</t>
  </si>
  <si>
    <t xml:space="preserve">Human metapneumovirus, Peru</t>
  </si>
  <si>
    <t xml:space="preserve">Human metapneumovirus; Metapneumovirus; Virology; Genotype</t>
  </si>
  <si>
    <t xml:space="preserve">RESPIRATORY VIRUSES; SURVEILLANCE; INFECTIONS; CHILDREN; YOUNG; GENE</t>
  </si>
  <si>
    <t xml:space="preserve">We retrospectively studied 420 pharyngeal swab specimens collected from Peruvian and Argentinean patients with influenzalike illness in 2002 and 2003 for evidence of human metapneumovirus (HMPV). Twelve specimens (2.3%) were positive by multiple assays. Six specimens yielded HMPV isolates. Four of the 6 isolates were of the uncommon B1 genotype.</t>
  </si>
  <si>
    <t xml:space="preserve">Univ Iowa, Coll Publ Hlth, Ctr Emerging Infect Dis, Iowa City, IA 52242 USA; US Mil HIV Res Program, Rockville, MD USA; USAF, Inst Operat Hlth, Brooks AFB, TX USA; USN, Med Res Ctr Detachment, Lima, Peru; Univ Quebec, CHU Quebec, Quebec City, PQ, Canada</t>
  </si>
  <si>
    <t xml:space="preserve">University of Iowa; Walter Reed Army Institute of Research (WRAIR); United States Department of Defense; United States Air Force; University of Quebec; Laval University</t>
  </si>
  <si>
    <t xml:space="preserve">Gray, GC (corresponding author), Univ Iowa, Coll Publ Hlth, Ctr Emerging Infect Dis, 200 Hawkins Dr,C21-K GH, Iowa City, IA 52242 USA.</t>
  </si>
  <si>
    <t xml:space="preserve">Gray, Gregory/ABF-1298-2020; Sanchez, Jose/A-5707-2008</t>
  </si>
  <si>
    <t xml:space="preserve">Boivin, Guy/0000-0003-3027-4662; Gray, Gregory/0000-0002-4628-5908</t>
  </si>
  <si>
    <t xml:space="preserve">NIAID NIH HHS [R03 AI054570] Funding Source: Medline</t>
  </si>
  <si>
    <t xml:space="preserve">10.3201/eid1202.051133</t>
  </si>
  <si>
    <t xml:space="preserve">011SC</t>
  </si>
  <si>
    <t xml:space="preserve">Green Accepted, Green Submitted, gold, Green Published</t>
  </si>
  <si>
    <t xml:space="preserve">WOS:000235287400032</t>
  </si>
  <si>
    <t xml:space="preserve">Williams, JV; Martino, R; Rabella, N; Otegui, M; Parody, R; Heck, JM; Crowe, JE</t>
  </si>
  <si>
    <t xml:space="preserve">A prospective study comparing human metapneumovirus with other respiratory viruses in adults with hematologic malignancies and respiratory tract infections</t>
  </si>
  <si>
    <t xml:space="preserve">Human metapneumovirus; Metapneumovirus; Respiratory tract infections; Medicine; Lower respiratory tract infection; Respiratory system; Respiratory tract</t>
  </si>
  <si>
    <t xml:space="preserve">MARROW TRANSPLANT UNIT; CHILDREN; DISEASE; OUTBREAK</t>
  </si>
  <si>
    <t xml:space="preserve">Human metapneumovirus (hMPV) is a recently described paramyxovirus associated with upper and lower respiratorytract infection (URI and LRI, respectively). We conducted a prospective study of URI and LRI in adults with hematologic malignancies during a 4-year period. We retrospectively tested samples by reverse-transcription polymerase chain reaction for hMPV and analyzed clinical data. Twenty-two (9%) of 251 episodes of respiratory infection tested positive for hMPV. Sixteen (73%) of the illnesses occurred in hematopoietic stem-cell transplant recipients. Nine patients with hMPV developed LRI; 3 of these patients died. hMPV is a common cause of respiratory infections in adults with hematologic malignancies, with associated morbidity and mortality.</t>
  </si>
  <si>
    <t xml:space="preserve">Vanderbilt Univ, Med Ctr, Dept Pediat, Div Pediat Infect Dis, Nashville, TN 37232 USA; Vanderbilt Univ, Med Ctr, Dept Microbiol, Nashville, TN 37232 USA; Vanderbilt Univ, Med Ctr, Dept Immunol, Nashville, TN 37232 USA; Hosp Santa Creu &amp; Sant Pau, Dept Microbiol, Barcelona, Spain; Hosp Santa Creu &amp; Sant Pau, Div Clin Hematol, Barcelona, Spain</t>
  </si>
  <si>
    <t xml:space="preserve">Vanderbilt University; Vanderbilt University; Vanderbilt University; Hospital of Santa Creu i Sant Pau; Hospital of Santa Creu i Sant Pau</t>
  </si>
  <si>
    <t xml:space="preserve">Williams, JV (corresponding author), Vanderbilt Univ, Med Ctr, Dept Pediat, Div Pediat Infect Dis, D-7235 Med Ctr N,1161 21st Ave, Nashville, TN 37232 USA.</t>
  </si>
  <si>
    <t xml:space="preserve">Williams, John/ABE-3227-2020; Rabella, Núria/AAF-9322-2019; Williams, John/F-6962-2010; Crowe, James/B-5549-2009</t>
  </si>
  <si>
    <t xml:space="preserve">Rabella, Nuria/0000-0002-3409-0468; Williams, John/0000-0001-8377-5175; Crowe, James/0000-0002-0049-1079; MARTINO, RODRIGO/0000-0001-5143-4042</t>
  </si>
  <si>
    <t xml:space="preserve">NIAID NIH HHS [R03 AI054790, R03-AI54760] Funding Source: Medline</t>
  </si>
  <si>
    <t xml:space="preserve">10.1086/432732</t>
  </si>
  <si>
    <t xml:space="preserve">WOS:000231623600017</t>
  </si>
  <si>
    <t xml:space="preserve">Spetch, L; Bowlin, TL; Casola, A</t>
  </si>
  <si>
    <t xml:space="preserve">Spetch, Leanne; Bowlin, Terry L.; Casola, Antonella</t>
  </si>
  <si>
    <t xml:space="preserve">Effect of NMSO3 treatment in a murine model of human metapneumovirus infection</t>
  </si>
  <si>
    <t xml:space="preserve">Human metapneumovirus; Metapneumovirus; Virology; Biology</t>
  </si>
  <si>
    <t xml:space="preserve">BALB/C MICE; IN-VITRO</t>
  </si>
  <si>
    <t xml:space="preserve">BALB/c mice infected with human metapneumovirus (hMPV) were treated with the sulfated sialyl lipid NMSO3 (one dose of 50 mg kg(-1)) given at the time of infection. NMSO3 significantly reduced viral replication in the lungs, as well as hMPV-induced body weight loss, pulmonary inflammation and cytokine production, suggesting that antiviral treatment initiated at the beginning of viral infection can modify hMPV-induced disease.</t>
  </si>
  <si>
    <t xml:space="preserve">[Spetch, Leanne; Casola, Antonella] Univ Texas Galveston, Med Branch, Dept Pediat, Galveston, TX 77550 USA; [Bowlin, Terry L.] Microbiotix Inc, Worcester, MA USA; [Casola, Antonella] Univ Texas Galveston, Med Branch, Dept Microbiol &amp; Immunol, Galveston, TX 77550 USA; [Casola, Antonella] Univ Texas Galveston, Med Branch, Sealy Ctr Vaccine Dev, Galveston, TX 77550 USA</t>
  </si>
  <si>
    <t xml:space="preserve">University of Texas System; University of Texas Medical Branch Galveston; Microbiotix, Inc.; University of Texas System; University of Texas Medical Branch Galveston; University of Texas System; University of Texas Medical Branch Galveston</t>
  </si>
  <si>
    <t xml:space="preserve">Casola, A (corresponding author), Univ Texas Galveston, Med Branch, Dept Pediat, Galveston, TX 77550 USA.</t>
  </si>
  <si>
    <t xml:space="preserve">Sealy Center for Vaccine Development, University of Texas Medical Branch; NIH/NIAID [AI060202]</t>
  </si>
  <si>
    <t xml:space="preserve">Sealy Center for Vaccine Development, University of Texas Medical Branch; NIH/NIAID(United States Department of Health &amp; Human ServicesNational Institutes of Health (NIH) - USANIH National Institute of Allergy &amp; Infectious Diseases (NIAID))</t>
  </si>
  <si>
    <t xml:space="preserve">This work was supported in part by a grant from the Sealy Center for Vaccine Development, University of Texas Medical Branch (A. C.) and NIH/NIAID AI060202 (T. L. B). The authors would like to thank Cynthia Tribble for her assistance in manuscript editing and submission.</t>
  </si>
  <si>
    <t xml:space="preserve">10.1099/vir.0.2008/003301-0</t>
  </si>
  <si>
    <t xml:space="preserve">372ES</t>
  </si>
  <si>
    <t xml:space="preserve">WOS:000260885500007</t>
  </si>
  <si>
    <t xml:space="preserve">Loevenich, S; Ianevski, A; Oitmaa, E; Kainov, DE; Anthonsen, MW</t>
  </si>
  <si>
    <t xml:space="preserve">Loevenich, Simon; Ianevski, Aleksandr; Oitmaa, Eneli; Kainov, Denis E.; Anthonsen, Marit W.</t>
  </si>
  <si>
    <t xml:space="preserve">Single Passage of Human Metapneumovirus in LLC-MK2 Cells Does Not Affect Viral Protein-Coding Capacity</t>
  </si>
  <si>
    <t xml:space="preserve">GENOME ANNOUNCEMENTS</t>
  </si>
  <si>
    <t xml:space="preserve">Human metapneumovirus; Metapneumovirus; Biology; Genome; Virology; Affect (linguistics); Coding region; Virus; Nucleotide</t>
  </si>
  <si>
    <t xml:space="preserve">Here, we report the complete genome sequences of human metapneumovirus (HMPV) prior to and after passaging in LLC-MK2 cells. Paired comparisons of the 13,335-nucleotide genomes revealed that the virus acquired the T10736C transition in its genome, which did not affect the amino acid sequences of HMPV proteins.</t>
  </si>
  <si>
    <t xml:space="preserve">[Loevenich, Simon; Ianevski, Aleksandr; Kainov, Denis E.; Anthonsen, Marit W.] Norwegian Univ Sci &amp; Technol, Dept Clin &amp; Mol Med, Trondheim, Norway; [Oitmaa, Eneli] Univ Tartu, Inst Genom, Tartu, Estonia; [Kainov, Denis E.] Univ Tartu, Inst Technol, Tartu, Estonia</t>
  </si>
  <si>
    <t xml:space="preserve">Norwegian University of Science &amp; Technology (NTNU); University of Tartu; University of Tartu</t>
  </si>
  <si>
    <t xml:space="preserve">Anthonsen, MW (corresponding author), Norwegian Univ Sci &amp; Technol, Dept Clin &amp; Mol Med, Trondheim, Norway.</t>
  </si>
  <si>
    <t xml:space="preserve">Oitmaa, Eneli/C-9931-2011; Ianevski, Aleksandr/JZC-8977-2024; Kaynov, Denis/I-5526-2019</t>
  </si>
  <si>
    <t xml:space="preserve">Loevenich, Simon/0000-0001-5424-8755; Kaynov, Denis/0000-0001-7716-6955</t>
  </si>
  <si>
    <t xml:space="preserve">Central Norway Regional Health Authority; Children's Clinic (St. Olav's Hospital); Department of Medical Microbiology (St. Olav's Hospital); Norwegian University of Science and Technology; European Regional Development Fund, Mobilitas Pluss Project [MOBTT39]</t>
  </si>
  <si>
    <t xml:space="preserve">Central Norway Regional Health Authority; Children's Clinic (St. Olav's Hospital); Department of Medical Microbiology (St. Olav's Hospital); Norwegian University of Science and Technology; European Regional Development Fund, Mobilitas Pluss Project(European Union (EU))</t>
  </si>
  <si>
    <t xml:space="preserve">This work was supported by the Liaison Committee between the Central Norway Regional Health Authority and the Children's Clinic (St. Olav's Hospital), the Department of Medical Microbiology (St. Olav's Hospital), and the Norwegian University of Science and Technology (to Marit W. Anthonsen) and the European Regional Development Fund, Mobilitas Pluss Project MOBTT39 (to Denis E. Kainov).</t>
  </si>
  <si>
    <t xml:space="preserve">2169-8287</t>
  </si>
  <si>
    <t xml:space="preserve">Genom. Ann.</t>
  </si>
  <si>
    <t xml:space="preserve">e00440-18</t>
  </si>
  <si>
    <t xml:space="preserve">10.1128/genomeA.00440-18</t>
  </si>
  <si>
    <t xml:space="preserve">HD2UC</t>
  </si>
  <si>
    <t xml:space="preserve">WOS:000452365900014</t>
  </si>
  <si>
    <t xml:space="preserve">Eddens, T; Parks, OB; Zhang, Y; Manni, ML; Casanova, JL; Ogishi, M; Williams, JV</t>
  </si>
  <si>
    <t xml:space="preserve">Eddens, Taylor; Parks, Olivia B.; Zhang, Yu; Manni, Michelle L.; Casanova, Jean-Laurent; Ogishi, Masato; V. Williams, John</t>
  </si>
  <si>
    <t xml:space="preserve">PD-1 signaling in neonates restrains CD8+T cell function and protects against respiratory viral immunopathology</t>
  </si>
  <si>
    <t xml:space="preserve">MUCOSAL IMMUNOLOGY</t>
  </si>
  <si>
    <t xml:space="preserve">Respiratory system; Immunopathology; Immunology; CD8</t>
  </si>
  <si>
    <t xml:space="preserve">CD8(+) T-CELLS; HUMAN METAPNEUMOVIRUS INFECTION; SYNCYTIAL VIRUS; DENDRITIC CELLS; GLOBAL BURDEN; RESPONSES; CHILDREN; IMPAIRS; PNEUMONITIS; EXPRESSION</t>
  </si>
  <si>
    <t xml:space="preserve">Respiratory viral infections, including human metapneumovirus (HMPV), remain a leading cause of morbidity and mortality in neonates and infants. However, the mechanisms behind the increased sensitivity to those respiratory viral infections in neonates are poorly understood. Neonates, unlike adults, have several anti-in fl ammatory mechanisms in the lung, including elevated baseline expression of programmed death ligand 1 (PD-L1), a ligand for the inhibitory receptor programmed cell death protein 1 (PD-1). We thus hypothesized that neonates would rely on PD-1:PD-L1 signaling to restrain antiviral CD8 responses. To test this, we developed a neonatal primary HMPV infection model using wild-type C57BL/6 (B6) and Pdcd1 -/- (lacking PD-1) mice. HMPV-infected neonatal mice had increased PD-L1/PD-L2 co-expression on innate immune cells but a similar number of antigen-speci fi c CD8 + T cells and upregulation of PD-1 to that of adult B6 mice. Neonatal CD8 + T cells had reduced interferon-gamma (IFN- gamma), granzyme B, and interleukin-2 production compared with B6 adults. Pdcd1 -/- neonatal CD8 + T cells had markedly increased production of IFN- gamma and granzyme B compared with B6 neonates. Pdcd1 -/- neonates had increased acute pathology with HMPV or in fl uenza. Pdcd1 -/- neonates infected with HMPV had long-term changes in pulmonary physiology with evidence of immunopathology and a persistent CD8 + T-cell response with increased granzyme B production. Using single-cell ribonucleic acid sequencing from a child lacking PD-1 signaling, a similar activated CD8 + T-cell signature with increased granzyme B expression was observed. These data indicate that PD-1 signaling critically limits CD8 + T-cell effector functions and prevents immunopathology in response to neonatal respiratory viral infections.</t>
  </si>
  <si>
    <t xml:space="preserve">[Eddens, Taylor] UPMC Childrens Hosp Pittsburgh, Div Allergy &amp; Immunol, Pittsburgh, PA 15224 USA; [Eddens, Taylor; V. Williams, John] Univ Pittsburgh, Sch Med, Dept Pediat, Pittsburgh, PA 15260 USA; [Parks, Olivia B.] Univ Pittsburgh, Med Scientist Training Program, Pittsburgh, PA USA; [Zhang, Yu; V. Williams, John] Inst Infect Inflammat &amp; Immun Children i4Kids, Pittsburgh, PA 15224 USA; [Manni, Michelle L.] UPMC Childrens Hosp Pittsburgh, Div Pulm Med, Pittsburgh, PA USA; [Casanova, Jean-Laurent] Necker Hosp Sick Children, INSERM, U1163, Lab Human Genet Infect Dis,Necker Branch, Paris, France; [Casanova, Jean-Laurent; Ogishi, Masato] Univ Paris Cite, Imagine Inst, Paris, France; [Casanova, Jean-Laurent] Rockefeller Univ, Rockefeller Branch, St Giles Lab Human Genet Infect Dis, New York, NY USA; [Casanova, Jean-Laurent] Howard Hughes Med Inst, New York, NY USA; [Casanova, Jean-Laurent] Necker Hosp Sick Children, Dept Pediat, Paris, France</t>
  </si>
  <si>
    <t xml:space="preserve">Pennsylvania Commonwealth System of Higher Education (PCSHE); University of Pittsburgh; Pennsylvania Commonwealth System of Higher Education (PCSHE); University of Pittsburgh; Pennsylvania Commonwealth System of Higher Education (PCSHE); University of Pittsburgh; Pennsylvania Commonwealth System of Higher Education (PCSHE); University of Pittsburgh; Assistance Publique Hopitaux Paris (APHP); Universite Paris Cite; Hopital Universitaire Necker-Enfants Malades - APHP; Institut National de la Sante et de la Recherche Medicale (Inserm); Universite Paris Cite; Rockefeller University; Howard Hughes Medical Institute; Assistance Publique Hopitaux Paris (APHP); Universite Paris Cite; Hopital Universitaire Necker-Enfants Malades - APHP</t>
  </si>
  <si>
    <t xml:space="preserve">Williams, JV (corresponding author), Univ Pittsburgh, Sch Med, Dept Pediat, Pittsburgh, PA 15260 USA.;Williams, JV (corresponding author), Inst Infect Inflammat &amp; Immun Children i4Kids, Pittsburgh, PA 15224 USA.</t>
  </si>
  <si>
    <t xml:space="preserve">Ogishi, Masato/ABB-8347-2020; Casanova, Jean-Laurent/Y-2771-2019; Williams, John/ABE-3227-2020; Williams, John/F-6962-2010</t>
  </si>
  <si>
    <t xml:space="preserve">Ogishi, Masato/0000-0003-2421-7389; Eddens, Taylor/0000-0003-2969-3624; Parks, Olivia/0000-0003-1131-9407; Williams, John/0000-0001-8377-5175</t>
  </si>
  <si>
    <t xml:space="preserve">Henry L. Hillman Foundation [NIHAI085062, T32GM-008208, T32AI089443]; [K12HD000850]</t>
  </si>
  <si>
    <t xml:space="preserve">Henry L. Hillman Foundation;</t>
  </si>
  <si>
    <t xml:space="preserve">This work is supported by NIHAI085062 (J. V. W.) , T32GM-008208 (OBP) , T32AI089443 (Y. Z.) , and the Henry L. Hillman Foundation (JVW) . Research reported in this publication was supported by the Eunice Kennedy Shriver National Institute of Child Health &amp; Human Development of the National Institutes of Health under Award Number K12HD000850 (TE) .</t>
  </si>
  <si>
    <t xml:space="preserve">1933-0219</t>
  </si>
  <si>
    <t xml:space="preserve">1935-3456</t>
  </si>
  <si>
    <t xml:space="preserve">MUCOSAL IMMUNOL</t>
  </si>
  <si>
    <t xml:space="preserve">Mucosal Immunol.</t>
  </si>
  <si>
    <t xml:space="preserve">10.1016/j.mucimm.2023.12.004</t>
  </si>
  <si>
    <t xml:space="preserve">WH9M3</t>
  </si>
  <si>
    <t xml:space="preserve">WOS:001254095700001</t>
  </si>
  <si>
    <t xml:space="preserve">Shirogane, Y; Takeda, M; Iwasaki, M; Ishiguro, N; Takeuchi, H; Nakatsu, Y; Tahara, M; Kikuta, H; Yanagi, Y</t>
  </si>
  <si>
    <t xml:space="preserve">Shirogane, Yuta; Takeda, Makoto; Iwasaki, Masaharu; Ishiguro, Nobuhisa; Takeuchi, Hiroki; Nakatsu, Yuichiro; Tahara, Maino; Kikuta, Hideaki; Yanagi, Yusuke</t>
  </si>
  <si>
    <t xml:space="preserve">Efficient multiplication of human metapneumovirus in Vero cells expressing the transmembrane serine protease TMPRSS2</t>
  </si>
  <si>
    <t xml:space="preserve">Human metapneumovirus; Biology; Virology; Proteases; TMPRSS2; Vero cell; Serine protease; Metapneumovirus; Protease</t>
  </si>
  <si>
    <t xml:space="preserve">VIRUS FUSION PROTEIN; PROTEOLYTIC ACTIVATION; INFLUENZA-VIRUSES; YOUNG-CHILDREN; TISSUE TROPISM; INFECTION; CLEAVAGE; CDNA; REPLICATION; RECOVERY</t>
  </si>
  <si>
    <t xml:space="preserve">Human metapneumovirus (HMPV) is a major causative agent of severe bronchiolitis and pneumonia. Its fusion (F) protein must be cleaved by host proteases to cause membrane fusion, a critical step for virus infection. By generating Vero cells constitutively expressing the transmembrane serine protease TMPRSS2 and green fluorescent protein-expressing recombinant HMPV, we show that TMPRSS2, which is expressed in the human lung epithelium, cleaves the HMPV F protein efficiently and supports HMPV multiplication. The results indicate that TMPRSS2 is a possible candidate protease involved in the development of lower respiratory tract illness in HMPV-infected patients.</t>
  </si>
  <si>
    <t xml:space="preserve">[Shirogane, Yuta; Takeda, Makoto; Iwasaki, Masaharu; Takeuchi, Hiroki; Nakatsu, Yuichiro; Tahara, Maino; Yanagi, Yusuke] Kyushu Univ, Fac Med, Dept Virol, Fukuoka 8128582, Japan; [Ishiguro, Nobuhisa] Hokkaido Univ, Grad Sch Med, Dept Pediat, Sapporo, Hokkaido 0608638, Japan; [Kikuta, Hideaki] Touei Hosp, Pediat Clin, Higashi Ku, Sapporo, Hokkaido 0070841, Japan</t>
  </si>
  <si>
    <t xml:space="preserve">Kyushu University; Hokkaido University</t>
  </si>
  <si>
    <t xml:space="preserve">Takeda, M (corresponding author), Kyushu Univ, Fac Med, Dept Virol, Fukuoka 8128582, Japan.</t>
  </si>
  <si>
    <t xml:space="preserve">mtakeda@virology.med.kyushu-u.ac.jp</t>
  </si>
  <si>
    <t xml:space="preserve">Shirogane, Yuta/AAO-1073-2021; Ishiguro, Nobuhisa/A-5199-2012; Iwasaki, Masaharu/HTO-7100-2023; Takeda, Makoto/J-2550-2018</t>
  </si>
  <si>
    <t xml:space="preserve">Takeda, Makoto/0000-0002-8194-7727; Shirogane, Yuta/0000-0002-4284-0310; Yanagi, Yusuke/0000-0001-7815-1667</t>
  </si>
  <si>
    <t xml:space="preserve">Naito Foundation; Ministry of Education, Culture, Sports, Science, and Technology of Japan</t>
  </si>
  <si>
    <t xml:space="preserve">Naito Foundation(Naito Memorial Foundation); Ministry of Education, Culture, Sports, Science, and Technology of Japan(Ministry of Education, Culture, Sports, Science and Technology, Japan (MEXT))</t>
  </si>
  <si>
    <t xml:space="preserve">We thank R. A. Fouchier for providing the reagents required tot optimizing our HMPV reverse genetics system. We also thank N. Ito for allowing usto Use BHK/T7-9 cells in our system.This study was Supported by the grants from the Naito Foundation and the Ministry of Education, Culture, Sports, Science, and Technology of Japan.</t>
  </si>
  <si>
    <t xml:space="preserve">10.1128/JVI.00676-08</t>
  </si>
  <si>
    <t xml:space="preserve">WOS:000258603600071</t>
  </si>
  <si>
    <t xml:space="preserve">Brooks, WA; Erdman, D; Terebuh, P; Klimov, A; Goswami, D; Sharmeen, AT; Azim, T; Luby, S; Bridges, C; Breiman, R</t>
  </si>
  <si>
    <t xml:space="preserve">Brooks, W. Abdullah; Erdman, Dean; Terebuh, Pauline; Klimov, Alexander; Goswami, Doli; Sharmeen, Amina Tahia; Azim, Tasnim; Luby, Stephen; Bridges, Carolyn; Breiman, Robert</t>
  </si>
  <si>
    <t xml:space="preserve">Human metapneumovirus infection among children, Bangladesh</t>
  </si>
  <si>
    <t xml:space="preserve">Human metapneumovirus; Medicine; Metapneumovirus; Population</t>
  </si>
  <si>
    <t xml:space="preserve">RESPIRATORY SYNCYTIAL VIRUS; YOUNG-CHILDREN; PNEUMONIA; INFANTS; ZINC</t>
  </si>
  <si>
    <t xml:space="preserve">We confirmed circulation of human metapneumovirus (HMPV) among children with febrile and respiratory illness in an urban slum in Dhaka, Bangladesh, during active surveillance in 2001. HMPV was the most common single virus identified among febrile children and appears to contribute to the high rates of illness in this population.</t>
  </si>
  <si>
    <t xml:space="preserve">Int Ctr Diarrhoeal Dis Res, B Div Hlth Syst &amp; Infect Dis, Dhaka 1000, Bangladesh; Johns Hopkins Univ, Baltimore, MD USA; Ctr Dis Control &amp; Prevent, Atlanta, GA USA; Georgia Dept Human Resources, Atlanta, GA USA; Ctr Dis Control &amp; Prevent, Nairobi, Kenya</t>
  </si>
  <si>
    <t xml:space="preserve">International Centre for Diarrhoeal Disease Research (ICDDR); Johns Hopkins University; Centers for Disease Control &amp; Prevention - USA</t>
  </si>
  <si>
    <t xml:space="preserve">Brooks, WA (corresponding author), Int Ctr Diarrhoeal Dis Res, B Div Hlth Syst &amp; Infect Dis, GPO Box 128 Mohakhali, Dhaka 1000, Bangladesh.</t>
  </si>
  <si>
    <t xml:space="preserve">abrooks@icddrb.org</t>
  </si>
  <si>
    <t xml:space="preserve">Terebuh, Pauline/AAZ-4095-2020; Brooks, W./AAD-3876-2021; Breiman, Robert/ISS-4450-2023</t>
  </si>
  <si>
    <t xml:space="preserve">Breiman, Robert/0000-0002-7099-2936; Terebuh, Pauline/0000-0002-0129-5109</t>
  </si>
  <si>
    <t xml:space="preserve">10.3201/eid1310.070337</t>
  </si>
  <si>
    <t xml:space="preserve">217QQ</t>
  </si>
  <si>
    <t xml:space="preserve">WOS:000249962800038</t>
  </si>
  <si>
    <t xml:space="preserve">Garcia, J; Sovero, M; Kochel, T; Laguna-Torres, VA; Gamero, ME; Gomez, J; Sanchez, F; Arango, AE; Jaramillo, S; Halsey, ES</t>
  </si>
  <si>
    <t xml:space="preserve">Garcia, Josefina; Sovero, Merly; Kochel, Tadeusz; Alberto Laguna-Torres, V.; Ester Gamero, Maria; Gomez, Jorge; Sanchez, Felix; Arango, Ana E.; Jaramillo, Sergio; Halsey, Eric S.</t>
  </si>
  <si>
    <t xml:space="preserve">Human metapneumovirus strains circulating in Latin America</t>
  </si>
  <si>
    <t xml:space="preserve">Human metapneumovirus; Metapneumovirus; Virology; Biology; Medical microbiology</t>
  </si>
  <si>
    <t xml:space="preserve">RESPIRATORY-TRACT INFECTIONS; GENETIC-VARIABILITY; YOUNG-CHILDREN; DIVERSITY; DISEASE; DIAGNOSIS; GENOTYPE; CULTURE; IMPACT</t>
  </si>
  <si>
    <t xml:space="preserve">The human metapneumovirus (HMPV) is responsible for acute respiratory tract infections in young children, elderly patients, and immunocompromised hosts. In this study, we genetically analyzed the circulating HMPV in Central and South America from July 2008 to June 2009 and characterized the strains present in this region. Samples were collected during an international collaborative influenza like illness surveillance study and then sequenced with specific primers for the HMPV G gene. Our results show that two distinct clusters of HMPV circulated in Central and South America, subtypes A2 and B2 being the predominant strains.</t>
  </si>
  <si>
    <t xml:space="preserve">[Garcia, Josefina; Sovero, Merly; Kochel, Tadeusz; Alberto Laguna-Torres, V.; Ester Gamero, Maria; Halsey, Eric S.] United States Naval Med Res Unit 6, Lima, Peru; [Gomez, Jorge] Minist Salud, Direcc Gen Epidemiol, Lima, Peru; [Sanchez, Felix] Hosp Infantil Manuel de Jesus Rivera, Managua, Nicaragua; [Arango, Ana E.] Univ Antioquia, Grp Inmunovirol, Medellin, Colombia; [Jaramillo, Sergio] Hosp Pablo Tobon Uribe, Medellin, Colombia</t>
  </si>
  <si>
    <t xml:space="preserve">Garcia, J (corresponding author), United States Naval Med Res Unit 6, Lima, Peru.</t>
  </si>
  <si>
    <t xml:space="preserve">josefina.garcia@med.navy.mil</t>
  </si>
  <si>
    <t xml:space="preserve">Halsey, Eric/AAC-8110-2022; Gomez, Jorge/E-5258-2012</t>
  </si>
  <si>
    <t xml:space="preserve">LAGUNA-TORRES, VICTOR ALBERTO/0000-0002-9507-6301; , Merly Sovero/0000-0002-4373-0295; Halsey, Eric/0000-0001-6291-8923; Sanchez, Jose Felix/0000-0002-5482-9258; Gomez, Jorge/0000-0003-1342-3507</t>
  </si>
  <si>
    <t xml:space="preserve">US Department of Defense Global Emerging Infections Surveillance and Response System (DoD-GEIS), a division of the Armed Forces Health Surveillance Center [847705.82000.25GB.B0016]</t>
  </si>
  <si>
    <t xml:space="preserve">US Department of Defense Global Emerging Infections Surveillance and Response System (DoD-GEIS), a division of the Armed Forces Health Surveillance Center(United States Department of Defense)</t>
  </si>
  <si>
    <t xml:space="preserve">We are grateful to Mrs. Victoria Espejo and Mrs. Ada Romero for technical support. This study was funded by the US Department of Defense Global Emerging Infections Surveillance and Response System (DoD-GEIS), a division of the Armed Forces Health Surveillance Center, WORK UNIT NUMBER: 847705.82000.25GB.B0016.</t>
  </si>
  <si>
    <t xml:space="preserve">10.1007/s00705-011-1204-8</t>
  </si>
  <si>
    <t xml:space="preserve">934UH</t>
  </si>
  <si>
    <t xml:space="preserve">WOS:000303471700021</t>
  </si>
  <si>
    <t xml:space="preserve">Chiu, CY; Alizadeh, AA; Rouskin, S; Merker, JD; Yeh, E; Yagi, S; Schnurr, D; Patterson, BK; Ganem, D; DeRisi, JL</t>
  </si>
  <si>
    <t xml:space="preserve">Chiu, Charles Y.; Alizadeh, Ash A.; Rouskin, Silvi; Merker, Jason D.; Yeh, Elaine; Yagi, Shigeo; Schnurr, David; Patterson, Bruce K.; Ganem, Don; DeRisi, Joseph L.</t>
  </si>
  <si>
    <t xml:space="preserve">Diagnosis of a critical respiratory illness caused by human metapneumovirus by use of a pan-virus microarray</t>
  </si>
  <si>
    <t xml:space="preserve">Human metapneumovirus; Metapneumovirus; Virology; Virus; Biology</t>
  </si>
  <si>
    <t xml:space="preserve">MARROW TRANSPLANT RECIPIENTS; TRACT DISEASE; ADULT-BLOOD; INFECTION; CHILDREN; YOUNG</t>
  </si>
  <si>
    <t xml:space="preserve">A pan-virus DNA microarray (Virochip) was used to detect a human metapneumovirus (hMPV) strain associated with a critical respiratory tract infection in an elderly adult with chronic lymphocytic leukemia. This infection had previously eluded diagnosis despite extensive microbiological testing for possible etiologic agents. The patient's hMPV strain did not grow in viral culture, and only one of five specific reverse transcription-PCR assays for hMPV was positive.</t>
  </si>
  <si>
    <t xml:space="preserve">Univ Calif San Francisco, Dept Biochem &amp; Biophys, San Francisco, CA 94158 USA; Univ Calif San Francisco, Dept Microbiol, San Francisco, CA 94143 USA; Univ Calif San Francisco, Dept Med, San Francisco, CA 94143 USA; Univ Calif San Francisco, Div Infect Dis, San Francisco, CA 94143 USA; Univ Calif San Francisco, Howard Hughes Med Inst, San Francisco, CA 94143 USA; Stanford Univ, Sch Med, Dept Pathol, Palo Alto, CA 94304 USA; Stanford Univ, Sch Med, Dept Med, Palo Alto, CA 94304 USA; Stanford Univ, Sch Med, Div Hematol, Palo Alto, CA 94304 USA; Stanford Univ, Sch Med, Div Infect Dis &amp; Geograph Med, Palo Alto, CA 94304 USA; Calif Dept Hlth Serv, Viral &amp; Rickettsial Dis Lab, Richmond, CA USA</t>
  </si>
  <si>
    <t xml:space="preserve">University of California System; University of California San Francisco; University of California System; University of California San Francisco; University of California System; University of California San Francisco; University of California System; University of California San Francisco; University of California System; University of California San Francisco; Howard Hughes Medical Institute; Stanford University; Stanford University; Stanford University; Stanford University; California Department of Health Care Services</t>
  </si>
  <si>
    <t xml:space="preserve">DeRisi, JL (corresponding author), Univ Calif San Francisco, Dept Biochem &amp; Biophys, Off BH403C,QB3 Bldg,1700 4th St, San Francisco, CA 94158 USA.</t>
  </si>
  <si>
    <t xml:space="preserve">joe@derisilab.ucsf.edu</t>
  </si>
  <si>
    <t xml:space="preserve">; Alizadeh, Arash Ash/C-5594-2009</t>
  </si>
  <si>
    <t xml:space="preserve">Rouskin, Silvi/0000-0003-2042-6642; Chiu, Charles/0000-0003-2915-2094; Alizadeh, Arash Ash/0000-0002-5153-5625</t>
  </si>
  <si>
    <t xml:space="preserve">10.1128/JCM.00364-07</t>
  </si>
  <si>
    <t xml:space="preserve">190QB</t>
  </si>
  <si>
    <t xml:space="preserve">WOS:000248072900050</t>
  </si>
  <si>
    <t xml:space="preserve">Wen, SC; Tollefson, SJ; Johnson, M; Gilchuk, P; Boyd, KL; Shepherd, B; Joyce, S; Williams, JV</t>
  </si>
  <si>
    <t xml:space="preserve">Wen, Sherry C.; Tollefson, Sharon J.; Johnson, Monika; Gilchuk, Pavlo; Boyd, Kelli L.; Shepherd, Bryan; Joyce, Sebastian; Williams, John V.</t>
  </si>
  <si>
    <t xml:space="preserve">Acute Clearance of Human Metapneumovirus Occurs Independently of Natural Killer Cells</t>
  </si>
  <si>
    <t xml:space="preserve">Biology; Human metapneumovirus; Metapneumovirus; Virology</t>
  </si>
  <si>
    <t xml:space="preserve">RESPIRATORY SYNCYTIAL VIRUS; BALB/C MICE; NK CELLS; T-CELLS; INFLUENZA-VIRUS; IMMUNE-RESPONSE; VIRAL-INFECTION; DISEASE; PATHOGENESIS; PROTECTION</t>
  </si>
  <si>
    <t xml:space="preserve">Human metapneumovirus (HMPV) is a major cause of respiratory disease. The role of NK cells in protection against HMPV is unclear. We show that while HMPV-infected C57BL/6 mice had higher numbers of functional lung NK cells than mock-treated mice, comparing NK cell-depleted and control mice did not reveal differences in lung viral titers, histopathology, cytokine levels, or T cell numbers or function. These data indicate that NK cells are not required for host control of HMPV.</t>
  </si>
  <si>
    <t xml:space="preserve">[Wen, Sherry C.; Gilchuk, Pavlo; Boyd, Kelli L.; Joyce, Sebastian; Williams, John V.] Vanderbilt Univ, Sch Med, Dept Pathol Microbiol &amp; Immunol, Nashville, TN 37212 USA; [Tollefson, Sharon J.; Johnson, Monika; Williams, John V.] Vanderbilt Univ, Sch Med, Dept Pediat, Nashville, TN 37212 USA; [Shepherd, Bryan] Vanderbilt Univ, Sch Med, Dept Biostat, Nashville, TN 37212 USA</t>
  </si>
  <si>
    <t xml:space="preserve">Williams, JV (corresponding author), Vanderbilt Univ, Sch Med, Dept Pathol Microbiol &amp; Immunol, Nashville, TN 37212 USA.</t>
  </si>
  <si>
    <t xml:space="preserve">JOYCE, Sebastian/0000-0002-3183-1451; Williams, John/0000-0001-8377-5175</t>
  </si>
  <si>
    <t xml:space="preserve">Vanderbilt Ingram Cancer Center [P30 CA68485]; Vanderbilt Digestive Disease Research Center [DK058404]; National Institute of General Medical Studies for the Vanderbilt Medical Scientist Training Program [R01 AI85062, T32 GM07347]</t>
  </si>
  <si>
    <t xml:space="preserve">Vanderbilt Ingram Cancer Center; Vanderbilt Digestive Disease Research Center; National Institute of General Medical Studies for the Vanderbilt Medical Scientist Training Program</t>
  </si>
  <si>
    <t xml:space="preserve">The VMC Flow Cytometry Shared Resource is supported by the Vanderbilt Ingram Cancer Center (P30 CA68485) and the Vanderbilt Digestive Disease Research Center (DK058404). This work was supported by R01 AI85062 (to J. V. Williams) and by T32 GM07347 from the National Institute of General Medical Studies for the Vanderbilt Medical Scientist Training Program.</t>
  </si>
  <si>
    <t xml:space="preserve">10.1128/JVI.01558-14</t>
  </si>
  <si>
    <t xml:space="preserve">AO3MQ</t>
  </si>
  <si>
    <t xml:space="preserve">WOS:000341234900061</t>
  </si>
  <si>
    <t xml:space="preserve">Saikusa, M; Nao, N; Kawakami, C; Usuku, S; Tanaka, N; Tahara, M; Takeda, M; Okubo, I</t>
  </si>
  <si>
    <t xml:space="preserve">Saikusa, Miwako; Nao, Naganori; Kawakami, Chiharu; Usuku, Shuzo; Tanaka, Nobuko; Tahara, Maino; Takeda, Makoto; Okubo, Ichiro</t>
  </si>
  <si>
    <t xml:space="preserve">Predominant Detection of the Subgroup A2b Human Metapneumovirus Strain with a 111-Nucleotide Duplication in the G gene in Yokohama City, Japan in 2018</t>
  </si>
  <si>
    <t xml:space="preserve">180-NUCLEOTIDE DUPLICATION; INFECTIONS; YOUNG</t>
  </si>
  <si>
    <t xml:space="preserve">Human metapneumovirus (HMPV) has been a major causative agent of acute respiratory infections in humans. Recently, two types of variant A2b subtype HMPV strains possessing a 111- or 180-nucleotide duplication (nt-dup) in the G gene (HMPV A2b(180nt-dup) and HMPV A2b(111nt-dup), respectively) were detected in Japan, Spain, Vietnam, and China. Our surveillance for infectious agents in Yokohama City, Japan revealed that the HMPV A2b(111nt-dup) strain became predominant in Yokohama City in 2018. In contrast, no classic HMPV A2b strain was detected after 2017. These data indicate a beneficial role of the 111nt-dup in the G gene for the transmission of HMPV.</t>
  </si>
  <si>
    <t xml:space="preserve">[Saikusa, Miwako; Kawakami, Chiharu; Usuku, Shuzo; Tanaka, Nobuko; Okubo, Ichiro] Yokohama City Inst Publ Hlth, Yokohama, Kanagawa 2360051, Japan; [Nao, Naganori; Tahara, Maino; Takeda, Makoto] Natl Inst Infect Dis, Dept Virol 3, Tokyo 2080011, Japan</t>
  </si>
  <si>
    <t xml:space="preserve">Saikusa, M (corresponding author), Yokohama City Inst Publ Hlth, Yokohama, Kanagawa 2360051, Japan.</t>
  </si>
  <si>
    <t xml:space="preserve">10.7883/yoken.JJID.2018.124</t>
  </si>
  <si>
    <t xml:space="preserve">JD0PG</t>
  </si>
  <si>
    <t xml:space="preserve">WOS:000489677000015</t>
  </si>
  <si>
    <t xml:space="preserve">Li, XY; Chen, JY; Kong, M; Su, X; Yi, YP; Zou, M; Zhang, H</t>
  </si>
  <si>
    <t xml:space="preserve">Li, Xiao-yan; Chen, Jin-ying; Kong, Mei; Su, Xu; Yi, Yan-ping; Zou, Ming; Zhang, Hua</t>
  </si>
  <si>
    <t xml:space="preserve">Prevalence of human metapneumovirus in hospitalized children with respiratory tract infections in Tianjin, China</t>
  </si>
  <si>
    <t xml:space="preserve">Human metapneumovirus; Metapneumovirus; Virology; Vero cell; Biology; Pneumonia; Respiratory tract infections; Medical microbiology</t>
  </si>
  <si>
    <t xml:space="preserve">YOUNG-CHILDREN; GENETIC-VARIABILITY; INFANTS; DISEASE; AGE</t>
  </si>
  <si>
    <t xml:space="preserve">Human metapneumovirus (hMPV) has recently been recognized as an important respiratory pathogen, especially in children. At present, our understanding of the characteristics of hMPV from China is very limited. Nasopharyngeal aspirates were taken from 310 hospitalized pediatric patients. Twenty (6.5%) of them were infected with hMPV, and they all developed pneumonia. Sixty five percent (13/20) of the cases were under 12 months. Phylogenetic analysis of F gene fragments indicated that three sub-genotypes of hMPV(A2a/A2b, B1, B2) circulated in Tianjin and A2b was the predominant subtype. The Vero-E6 cell line was better than LLC-MK2 for hMPV isolation. Three hMPV strains were successfully isolated using the Vero-E6 cell line.</t>
  </si>
  <si>
    <t xml:space="preserve">[Li, Xiao-yan; Chen, Jin-ying] Tianjin Med Univ, Sch Basic Med Sci, Tianjin 300070, Peoples R China; [Li, Xiao-yan; Chen, Jin-ying; Kong, Mei; Su, Xu; Yi, Yan-ping; Zou, Ming] Tianjin Ctr Dis Control &amp; Prevent, Tianjin 300011, Peoples R China; [Zhang, Hua] Tianjin Childrens Hosp, Tianjin, Peoples R China</t>
  </si>
  <si>
    <t xml:space="preserve">Tianjin Medical University; Tianjin Center for Disease Control &amp; Prevention</t>
  </si>
  <si>
    <t xml:space="preserve">Chen, JY (corresponding author), Tianjin Med Univ, Sch Basic Med Sci, 22 Qixiangtai Rd, Tianjin 300070, Peoples R China.</t>
  </si>
  <si>
    <t xml:space="preserve">jinyingchen1@163.com</t>
  </si>
  <si>
    <t xml:space="preserve">Tianjin Municipal Science and Technology Commission [07SYSYSF05100]; Tianjin Bureau and Public Health [05ky25]</t>
  </si>
  <si>
    <t xml:space="preserve">Tianjin Municipal Science and Technology Commission; Tianjin Bureau and Public Health</t>
  </si>
  <si>
    <t xml:space="preserve">This work was supported by Tianjin Municipal Science and Technology Commission (grant no. 07SYSYSF05100), and Tianjin Bureau and Public Health (grant no. 05ky25).</t>
  </si>
  <si>
    <t xml:space="preserve">10.1007/s00705-009-0492-8</t>
  </si>
  <si>
    <t xml:space="preserve">511VC</t>
  </si>
  <si>
    <t xml:space="preserve">WOS:000271198100013</t>
  </si>
  <si>
    <t xml:space="preserve">Thanasugarn, W; Samransamruajkit, R; Vanapongtipagorn, P; Prapphal, N; Van den Hoogen, B; Osterhaus, ADME; Poovorawan, Y</t>
  </si>
  <si>
    <t xml:space="preserve">Human metapneumovirus infection in Thai children</t>
  </si>
  <si>
    <t xml:space="preserve">Human metapneumovirus; Metapneumovirus; Genotype; Virology; Respiratory tract infections</t>
  </si>
  <si>
    <t xml:space="preserve">RESPIRATORY-TRACT; YOUNG-CHILDREN; SEQUENCE; PLASMA; VIRUS</t>
  </si>
  <si>
    <t xml:space="preserve">Human metapneumovirus (hMPV) associated with clinical respiratory tract infection (RTI) in children was first isolated in the Netherlands. Of 120 Thai paediatric patients with RTI examined, 5 cases (4.2%) showed detectable hMPV based on N-gene-specific RT-PCR. All of them were negative for hRSV infection. Aligning the sequences with a reference strain revealed some nucleotide differences, which necessitates future investigation to evaluate clinical significance and genotype variation.</t>
  </si>
  <si>
    <t xml:space="preserve">Chulalongkorn Univ, Viral Hepatitis Res Unit, Bangkok 10330, Thailand; Chulalongkorn Univ, Resp Unit, Dept Paediat, Bangkok 10330, Thailand; Erasmus Med Ctr, Dept Virol, Rotterdam, Netherlands</t>
  </si>
  <si>
    <t xml:space="preserve">Chulalongkorn University; Chulalongkorn University; Erasmus University Rotterdam; Erasmus MC</t>
  </si>
  <si>
    <t xml:space="preserve">Poovorawan, Y (corresponding author), Chulalongkorn Univ, Viral Hepatitis Res Unit, Bangkok 10330, Thailand.</t>
  </si>
  <si>
    <t xml:space="preserve">van den Hoogen, Bernadette/J-5461-2013; Samransamruajkit, Rujipat/V-7046-2019; ภู่วรวรรณ, ศนพ.ยง/GZK-8615-2022</t>
  </si>
  <si>
    <t xml:space="preserve">Poovorawan, Yong/0000-0002-2337-6807; Osterhaus, Albert/0000-0002-6074-1172</t>
  </si>
  <si>
    <t xml:space="preserve">10.1080/00365540310000094</t>
  </si>
  <si>
    <t xml:space="preserve">WOS:000185887100010</t>
  </si>
  <si>
    <t xml:space="preserve">Viazov, S; Ratjen, F; Scheidhauer, R; Fiedler, M; Roggendorf, M</t>
  </si>
  <si>
    <t xml:space="preserve">High prevalence of human metapneumovirus infection in young children and genetic heterogeneity of the viral isolates</t>
  </si>
  <si>
    <t xml:space="preserve">Human metapneumovirus; Virology; Metapneumovirus; Biology; Paramyxoviridae; Pneumovirinae; Virus; Mononegavirales; Population</t>
  </si>
  <si>
    <t xml:space="preserve">RNA of the newly identified human metapneumovirus (HMPV) was detected in nasopharyngeal aspirates of 11 of 63 (17.5%) young children with respiratory tract disease. Markers of infection caused by another member of the Pneumovirinae subfamily of the family Paramyxoviridae, respiratory syncytial virus (RSV), were identified in 15 of these patients (23.8%). Three patients were simultaneously infected with HMPV and RSV. Studies of the clinical characteristics of HMPV-infected children did not reveal any difference between HMPV-infected patients and a control population of RSV-infected patients with regard to disease severity, but the duration of symptoms was significantly shorter for HMPV-infected patients. Phylogenetic analysis of the amplified viral genome fragments confirmed the existence and simultaneous circulation within one epidemic season of HMPV isolates belonging to two genetic lineages.</t>
  </si>
  <si>
    <t xml:space="preserve">Essen Univ Hosp, Inst Virol, D-45122 Essen, Germany; Essen Univ Hosp, Dept Pediat, D-45122 Essen, Germany</t>
  </si>
  <si>
    <t xml:space="preserve">University of Duisburg Essen; University of Duisburg Essen</t>
  </si>
  <si>
    <t xml:space="preserve">Viazov, S (corresponding author), Essen Univ Hosp, Inst Virol, Hufelandstr 55, D-45122 Essen, Germany.</t>
  </si>
  <si>
    <t xml:space="preserve">Ratjen, Felix/0000-0003-4057-6592</t>
  </si>
  <si>
    <t xml:space="preserve">10.1128/JCM.41.7.3043-3045.2003</t>
  </si>
  <si>
    <t xml:space="preserve">WOS:000184170800037</t>
  </si>
  <si>
    <t xml:space="preserve">Huck, B; Egger, M; Bertz, H; Peyerl-Hoffman, G; Kern, WV; Neumann-Haefelin, D; Falcone, V</t>
  </si>
  <si>
    <t xml:space="preserve">Huck, B.; Egger, M.; Bertz, H.; Peyerl-Hoffman, G.; Kern, W. V.; Neumann-Haefelin, D.; Falcone, V.</t>
  </si>
  <si>
    <t xml:space="preserve">Human metapneumovirus infection in a hematopoietic stem cell transplant recipient with relapsed multiple myeloma and rapidly progressing lung cancer</t>
  </si>
  <si>
    <t xml:space="preserve">Human metapneumovirus; Multiple myeloma; Hematopoietic stem cell transplantation; Metapneumovirus</t>
  </si>
  <si>
    <t xml:space="preserve">RESPIRATORY-TRACT INFECTIONS; DISEASE</t>
  </si>
  <si>
    <t xml:space="preserve">Human metapneumovirus (HMPV) was isolated from a 63-year-old multiple myeloma patient who had undergone hematopoietic stem cell transplantation and who presented with lower respiratory tract infection several weeks prior to the diagnosis of lung cancer. The isolate was phylogenetically and biologically characterized and compared to HMPV prototypes and recent pediatric isolates. Remarkably, it belonged to the novel genomic subgroup A2b.</t>
  </si>
  <si>
    <t xml:space="preserve">Univ Hosp Freiburg, Inst Med Microbiol &amp; Hyg, Dept Virol, D-79104 Freiburg, Germany; Univ Hosp Freiburg, Dept Med, D-79104 Freiburg, Germany</t>
  </si>
  <si>
    <t xml:space="preserve">University of Freiburg; University of Freiburg</t>
  </si>
  <si>
    <t xml:space="preserve">Falcone, V (corresponding author), Univ Hosp Freiburg, Inst Med Microbiol &amp; Hyg, Dept Virol, Hermann Herder Str 11, D-79104 Freiburg, Germany.</t>
  </si>
  <si>
    <t xml:space="preserve">valeria.kapper-falcone@uniklinik-freiburg.de</t>
  </si>
  <si>
    <t xml:space="preserve">Egger, Matthias/AEP-9683-2022</t>
  </si>
  <si>
    <t xml:space="preserve">Egger, Matthias/0000-0001-7462-5132</t>
  </si>
  <si>
    <t xml:space="preserve">10.1128/JCM.00152-06</t>
  </si>
  <si>
    <t xml:space="preserve">053VD</t>
  </si>
  <si>
    <t xml:space="preserve">WOS:000238332900066</t>
  </si>
  <si>
    <t xml:space="preserve">Nakamura, M; Hirano, E; Ishiguro, F; Mizuta, K; Noda, M; Tanaka, R; Tsukagoshi, H; Kimura, H</t>
  </si>
  <si>
    <t xml:space="preserve">Nakamura, Masako; Hirano, Eiko; Ishiguro, Fubito; Mizuta, Katsumi; Noda, Masahiro; Tanaka, Ryota; Tsukagoshi, Hiroyuki; Kimura, Hirokazu</t>
  </si>
  <si>
    <t xml:space="preserve">Molecular Epidemiology of Human Metapneumovirus from 2005 to 2011 in Fukui, Japan</t>
  </si>
  <si>
    <t xml:space="preserve">Human metapneumovirus; Epidemiology; Virology; Metapneumovirus; Molecular epidemiology</t>
  </si>
  <si>
    <t xml:space="preserve">GENETIC DIVERSITY; PEDIATRIC-PATIENTS; FUSION PROTEIN; OUTBREAK; STRAINS</t>
  </si>
  <si>
    <t xml:space="preserve">To investigate the molecular epidemiology of human metapneumovirus (HMPV) infections in acute respiratory infections (ART), we performed genetic analysis of the F gene in HMPV from patients with ART in Fukui Prefecture from August 2005 to July 2011. HMPV was detected in 53 of 741 nasopharyngeal swabs (7.2%). Phylogenetic analysis helped us assign 31 strains to subgroup A2, 1 strain to subgroup B1, and 21 strains to subgroup B2. The prevalence of HMPV was peaked between January and June. A high degree of nucleotide identity was seen among subgroup A2 strains (95.6-100%) and subgroup B2 strains (97.5-100%). In addition, no positively selected sites (substitutions) were found in the F gene in these HMPV strains. The results suggest that the prevalent HMPV strains in Fukui were associated with various ART in Japan during the investigation period.</t>
  </si>
  <si>
    <t xml:space="preserve">[Nakamura, Masako; Hirano, Eiko; Ishiguro, Fubito] Fukui Prefectural Inst Publ Hlth &amp; Environm Sci, Fukui 9108551, Japan; [Mizuta, Katsumi] Yamagata Prefectural Inst Publ Hlth, Yamagata 9900031, Japan; [Noda, Masahiro; Kimura, Hirokazu] Natl Inst Infect Dis, Infect Dis Surveillance Ctr, Tokyo 2080011, Japan; [Tanaka, Ryota] Kyorin Univ, Sch Med, Dept Surg, Tokyo 1818611, Japan; [Tsukagoshi, Hiroyuki] Gunma Prefectural Inst Publ Hlth &amp; Environm Sci, Maebashi, Gunma 3710052, Japan</t>
  </si>
  <si>
    <t xml:space="preserve">National Institute of Infectious Diseases (NIID); Kyorin University</t>
  </si>
  <si>
    <t xml:space="preserve">Tsukagoshi, H (corresponding author), Gunma Prefectural Inst Publ Hlth &amp; Environm Sci, Maebashi, Gunma 3710052, Japan.</t>
  </si>
  <si>
    <t xml:space="preserve">tsuka-hiro@pref.gunma.lg.jp</t>
  </si>
  <si>
    <t xml:space="preserve">Ministry of Health, Labour and Welfare of Japan</t>
  </si>
  <si>
    <t xml:space="preserve">Ministry of Health, Labour and Welfare of Japan(Ministry of Health, Labour and Welfare, Japan)</t>
  </si>
  <si>
    <t xml:space="preserve">This work was supported in part by a Grant-in-Aid for Research on Emerging and Re-emerging Infectious Diseases, Labour and Welfare Programs from the Ministry of Health, Labour and Welfare of Japan.</t>
  </si>
  <si>
    <t xml:space="preserve">10.7883/yoken.66.56</t>
  </si>
  <si>
    <t xml:space="preserve">146MS</t>
  </si>
  <si>
    <t xml:space="preserve">WOS:000319095800012</t>
  </si>
  <si>
    <t xml:space="preserve">Kikuta, H; Ebihara, T; Endo, R; Ishiguro, N; Sakata, C; Ochiai, S; Ishiko, H; Gamo, R; Sato, T</t>
  </si>
  <si>
    <t xml:space="preserve">Kikuta, Hideaki; Ebihara, Takashi; Endo, Rika; Ishiguro, Nobuhisa; Sakata, Chikako; Ochiai, Susumu; Ishiko, Hiroaki; Gamo, Reiko; Sato, Takashi</t>
  </si>
  <si>
    <t xml:space="preserve">Development of a rapid chromatographic immunoassay for detection of human metapneumovirus using monoclonal antibodies against nucleoprotein of hMPV</t>
  </si>
  <si>
    <t xml:space="preserve">Human metapneumovirus; Virology; Monoclonal antibody; Immunoassay; Biology; Molecular biology; Recombinant DNA; Immunofluorescence</t>
  </si>
  <si>
    <t xml:space="preserve">GENETIC DIVERSITY; INFECTION; SEQUENCE; CHILDREN; PROTEIN</t>
  </si>
  <si>
    <t xml:space="preserve">Human metapneumovirus (hMPV) nucleocapsid (N) protein is a major structural protein that encapsidates the RNA genome and is essential for replication and transcription of the hMPV genome. We developed two mouse monoclonal antibodies (MAbs), designated 3D1 and 5B10, against N protein of hMPV and characterized them by an immunofluorescence assay and an immunoprecipitation assay using Trichoplusia ni (Tn5) insect cells infected with a recombinant baculovirus-expressing hMPV N protein. Both MAbs were found to be reactive to two groups of hMPV by an immunofluorescence assay using two groups of hMPV-infected cells. A chromatographic immunoassay ( lateral flow assay) was developed using the MAbs. The assay is a sandwich immunoassay that uses a paper membrane with a gold colloid-conjugated MAb (5B10) in a liquid phase and an MAb (3D1) in a solid phase. We preliminarily examined the sensitivity and specificity using hMPVinfected cells, Tn5 insect cells infected with a recombinant baculovirus-expressing hMPV N protein, hMPV, and purified N protein. The assay had good specificity and sufficient sensitivity to detect hMPV. Therefore, the assay may be a rapid and useful test for diagnosis of hMPV infections.</t>
  </si>
  <si>
    <t xml:space="preserve">Touei Hosp, Pediat Clin, Higashi Ku, Sapporo, Hokkaido 0070841, Japan; Hokkaido Univ, Grad Sch Med, Dept Pediat, Sapporo, Hokkaido, Japan; Mitsubishi Kagaku Bioclin Lab, Dept Infect Dis, Tokyo, Japan; Nippon Gene Co Ltd, Tokyo, Japan; Becton Dickinson &amp; Co, Tokyo, Japan</t>
  </si>
  <si>
    <t xml:space="preserve">Hokkaido University; Mitsubishi Kagaku Bio-Clinical Laboratories; Becton Dickinson</t>
  </si>
  <si>
    <t xml:space="preserve">Kikuta, H (corresponding author), Touei Hosp, Pediat Clin, Higashi Ku, N-41,E-16, Sapporo, Hokkaido 0070841, Japan.</t>
  </si>
  <si>
    <t xml:space="preserve">Ishiguro, Nobuhisa/A-5199-2012; Sato, Takashi/AAM-6646-2020</t>
  </si>
  <si>
    <t xml:space="preserve">MARY ANN LIEBERT INC</t>
  </si>
  <si>
    <t xml:space="preserve">10.1089/hyb.2006.034</t>
  </si>
  <si>
    <t xml:space="preserve">138ZU</t>
  </si>
  <si>
    <t xml:space="preserve">WOS:000244402600003</t>
  </si>
  <si>
    <t xml:space="preserve">Lüsebrink, J; Wiese, C; Thiel, A; Tillmann, RL; Ditt, V; Müller, A; Schildgen, O; Schildgen, V</t>
  </si>
  <si>
    <t xml:space="preserve">Luesebrink, Jessica; Wiese, Christoph; Thiel, Anne; Tillmann, Ramona-Liza; Ditt, Vanessa; Mueller, Andreas; Schildgen, Oliver; Schildgen, Verena</t>
  </si>
  <si>
    <t xml:space="preserve">High Seroprevalence of Neutralizing Capacity against Human Metapneumovirus in All Age Groups Studied in Bonn, Germany</t>
  </si>
  <si>
    <t xml:space="preserve">CLINICAL AND VACCINE IMMUNOLOGY</t>
  </si>
  <si>
    <t xml:space="preserve">Human metapneumovirus; Seroprevalence</t>
  </si>
  <si>
    <t xml:space="preserve">RESPIRATORY-TRACT INFECTIONS; YOUNG-CHILDREN; BALB/C MICE; DIAGNOSIS; ILLNESS; DISEASE; VIRUS</t>
  </si>
  <si>
    <t xml:space="preserve">Human metapneumovirus (hMPV) infections occur frequently despite high rates of perpetual seroprevalence for all age groups. Analyses of similar to 2,000 archived, randomly selected serum samples demonstrated that neutralizing capacities remain high, with a minor decrease for individuals over 69 years of age, leading to the hypothesis that reinfections occur because humoral immune responses play minor roles in the clearance of hMPV infections.</t>
  </si>
  <si>
    <t xml:space="preserve">[Luesebrink, Jessica; Wiese, Christoph; Ditt, Vanessa; Schildgen, Oliver; Schildgen, Verena] Univ Bonn, Med Ctr, Inst Virol, D-53105 Bonn, Germany; [Thiel, Anne; Mueller, Andreas] Univ Bonn, Med Ctr, Dept Paediat, D-53105 Bonn, Germany; [Tillmann, Ramona-Liza; Schildgen, Oliver] Kliniken Stadt Koln gGmbH, Inst Pathol, Cologne, Germany</t>
  </si>
  <si>
    <t xml:space="preserve">University of Bonn; University of Bonn; University of Cologne</t>
  </si>
  <si>
    <t xml:space="preserve">Schildgen, V (corresponding author), Univ Bonn, Med Ctr, Inst Virol, Sigmund Freud Str 25, D-53105 Bonn, Germany.</t>
  </si>
  <si>
    <t xml:space="preserve">schildgeno@kliniken-koeln.de; verena.schildgen@freenet.de</t>
  </si>
  <si>
    <t xml:space="preserve">1556-6811</t>
  </si>
  <si>
    <t xml:space="preserve">1556-679X</t>
  </si>
  <si>
    <t xml:space="preserve">CLIN VACCINE IMMUNOL</t>
  </si>
  <si>
    <t xml:space="preserve">Clin. Vaccine Immunol.</t>
  </si>
  <si>
    <t xml:space="preserve">10.1128/CVI.00398-09</t>
  </si>
  <si>
    <t xml:space="preserve">562MS</t>
  </si>
  <si>
    <t xml:space="preserve">WOS:000275056400023</t>
  </si>
  <si>
    <t xml:space="preserve">Chan, PKS; Tam, JS; Lam, CW; Chan, E; Wu, A; Li, CK; Buckley, TA; Ng, KC; Joynt, GM; Cheng, FWT; To, KF; Lee, N; Hui, DSC; Cheung, JLK; Chu, I; Liu, E; Chung, SCA; Sung, JJY</t>
  </si>
  <si>
    <t xml:space="preserve">Human metapneumovirus detection in patients with severe acute respiratory syndrome</t>
  </si>
  <si>
    <t xml:space="preserve">Human metapneumovirus; Metapneumovirus; Virology; Coronavirus; Medicine; Respiratory system</t>
  </si>
  <si>
    <t xml:space="preserve">IDENTIFICATION; CORONAVIRUS; INFECTIONS; CHILDREN; YOUNG</t>
  </si>
  <si>
    <t xml:space="preserve">We used a combination approach of conventional virus isolation and molecular techniques to detect human metapneumovirus (HMPV) in patients with severe acute respiratory syndrome (SARS). Of the 48 study patients, 25 (52.1%) were infected with HMPV; 6 of these 25 patients were also infected with coronavirus, and another 5 patients (10.4%) were infected with coronavirus alone. Using this combination approach, we found that human laryngeal carcinoma (HEp-2) cells were superior to rhesus monkey kidney (LLC-MK2) cells commonly used in previous studies for isolation of HMPV. These widely available HEp-2 cells should be included in conjunction with a molecular method for cell culture followup to detect HMPV, particularly in patients with SARS.</t>
  </si>
  <si>
    <t xml:space="preserve">Chinese Univ Hong Kong, Prince Wales Hosp, Dept Microbiol, Fac Med, Shatin, Hong Kong, Peoples R China</t>
  </si>
  <si>
    <t xml:space="preserve">Chinese University of Hong Kong; Prince of Wales Hospital</t>
  </si>
  <si>
    <t xml:space="preserve">Chinese Univ Hong Kong, Prince Wales Hosp, Dept Microbiol, Fac Med, Shatin, Hong Kong, Peoples R China.</t>
  </si>
  <si>
    <t xml:space="preserve">Li, Chi-kong/J-8456-2013; Ng, KC/E-9233-2017; Hui, David/O-2754-2015; Lam, Christopher/B-6537-2009; Lee, Nelson/B-6418-2008; To, Ka Fai/JTT-7693-2023; Joynt, Gavin/C-7606-2009; Chan, Paul/J-9360-2013; SUNG, Joseph J Y/R-3203-2018</t>
  </si>
  <si>
    <t xml:space="preserve">To, Ka Fai/0000-0003-4919-3707; Joynt, Gavin/0000-0002-5823-3435; Hui, David/0000-0003-4382-2445; Lee, Nelson/0000-0002-0783-6607; Chan, Paul/0000-0002-6360-4608; SUNG, Joseph J Y/0000-0003-3125-5199; Cheung, Jo/0000-0001-7620-370X; Li, Chi Kong/0000-0002-2810-5758</t>
  </si>
  <si>
    <t xml:space="preserve">10.3201/eid0909.030304</t>
  </si>
  <si>
    <t xml:space="preserve">717QM</t>
  </si>
  <si>
    <t xml:space="preserve">WOS:000185100900005</t>
  </si>
  <si>
    <t xml:space="preserve">Hamelin, ME; Prince, GA; Boivin, G</t>
  </si>
  <si>
    <t xml:space="preserve">Effect of ribavirin and glucocorticoid treatment in a mouse model of human metapneumovirus infection</t>
  </si>
  <si>
    <t xml:space="preserve">Human metapneumovirus; Ribavirin; Virology; Metapneumovirus; Glucocorticoid</t>
  </si>
  <si>
    <t xml:space="preserve">RESPIRATORY SYNCYTIAL VIRUS; RAT SIGMODON-HISPIDUS; COTTON RATS; BALB/C MICE; BRONCHIOLITIS; PNEUMONIA; EFFICACY; DISEASE; DEXAMETHASONE; PATHOGENESIS</t>
  </si>
  <si>
    <t xml:space="preserve">Human metapneumovirus (hMPV)-infected BALB/c mice were treated with ribavirin (40 mg/kg of body weight twice a day intraperitoneally), corticosterone (0.2 mg/ml in water), or both modalities. Ribavirin significantly decreased both hMPV replication in lungs (by 5 log(10)) and global pulmonary inflammation on day 5 postinfection, whereas glucocorticoids reduced only alveolar and interstitial inflammation, compared to controls.</t>
  </si>
  <si>
    <t xml:space="preserve">CHUQ, CHUL, Res Ctr Infect Dis, Ste Foy, PQ G1V 4G2, Canada; Univ Laval, Quebec City, PQ G1K 7P4, Canada; Vir Syst Inc, Rockville, MD USA</t>
  </si>
  <si>
    <t xml:space="preserve">Hamelin, ME (corresponding author), CHUQ, CHUL, Res Ctr Infect Dis, Room RC-709,2705 Blvd Laurier, Ste Foy, PQ G1V 4G2, Canada.</t>
  </si>
  <si>
    <t xml:space="preserve">Marie-eve.Hamelin@crchul.ulaval.ca; Guy.Boivin@crchul.ulaval.ca</t>
  </si>
  <si>
    <t xml:space="preserve">10.1128/AAC.50.2.774-777.2006</t>
  </si>
  <si>
    <t xml:space="preserve">011UO</t>
  </si>
  <si>
    <t xml:space="preserve">WOS:000235294200054</t>
  </si>
  <si>
    <t xml:space="preserve">Lenahan, JL; Englund, JA; Katz, J; Kuypers, J; Wald, A; Magaret, A; Tielsch, JM; Khatry, SK; LeClerq, SC; Shrestha, L; Steinhoff, MC; Chu, HY</t>
  </si>
  <si>
    <t xml:space="preserve">Lenahan, Jennifer L.; Englund, Janet A.; Katz, Joanne; Kuypers, Jane; Wald, Anna; Magaret, Amalia; Tielsch, James M.; Khatry, Subarna K.; LeClerq, Stephen C.; Shrestha, Laxman; Steinhoff, Mark C.; Chu, Helen Y.</t>
  </si>
  <si>
    <t xml:space="preserve">Human Metapneumovirus and Other Respiratory Viral Infections during Pregnancy and Birth, Nepal</t>
  </si>
  <si>
    <t xml:space="preserve">Human metapneumovirus; Medicine; Pregnancy; Rhinovirus</t>
  </si>
  <si>
    <t xml:space="preserve">SYNCYTIAL VIRUS; YOUNG-CHILDREN; TRACT DISEASE; HOSPITALIZED CHILDREN; SYNDROME CORONAVIRUS; ADULTS; INFLUENZA; SEVERITY; OUTCOMES; INFANTS</t>
  </si>
  <si>
    <t xml:space="preserve">Human metapneumovirus (HMPV) is a respiratory virus that can cause severe lower respiratory tract disease and even death, primarily in young children. The incidence and characteristics of HMPV have not been well described in pregnant women. As part of a trial of maternal influenza immunization in rural southern Nepal, we conducted prospective, longitudinal, home-based active surveillance for febrile respiratory illness during pregnancy through 6 months postpartum. During 2011-2014, HMPV was detected in 55 of 3,693 women (16.4 cases/1,000 person-years). Twenty-five women were infected with HMPV during pregnancy, compared with 98 pregnant women who contracted rhinovirus and 7 who contracted respiratory syncytial virus. Women with HMPV during pregnancy had an increased risk of giving birth to infants who were small for gestational age. An intervention to reduce HMPV febrile respiratory illness in pregnant women may have the potential to decrease risk of adverse birth outcomes in developing countries.</t>
  </si>
  <si>
    <t xml:space="preserve">[Lenahan, Jennifer L.; Englund, Janet A.; Kuypers, Jane; Wald, Anna; Magaret, Amalia; Chu, Helen Y.] Univ Washington, Seattle, WA 98195 USA; [Lenahan, Jennifer L.; Englund, Janet A.; Chu, Helen Y.] Seattle Childrens Hosp, Seattle, WA USA; [Katz, Joanne; LeClerq, Stephen C.] Johns Hopkins Univ, Bloomberg Sch Publ Hlth, Baltimore, MD USA; [Tielsch, James M.] George Washington Univ, Washington, DC USA; [Khatry, Subarna K.; LeClerq, Stephen C.] Nepal Nutrit Intervent Project, Kathmandu, Nepal; [Shrestha, Laxman] Tribhuvan Univ Teaching Hosp, Inst Med, Kathmandu, Nepal; [Steinhoff, Mark C.] Cincinnati Childrens Hosp Med Ctr, Cincinnati, OH 45229 USA</t>
  </si>
  <si>
    <t xml:space="preserve">University of Washington; University of Washington Seattle; Seattle Children's Hospital; Johns Hopkins University; Johns Hopkins Bloomberg School of Public Health; George Washington University; Tribhuvan University; Institute of Medicine (IoM) - Nepal; Cincinnati Children's Hospital Medical Center</t>
  </si>
  <si>
    <t xml:space="preserve">Chu, HY (corresponding author), Univ Washington, Harborview Med Ctr, 325 9th Ave,MS 359779, Seattle, WA 98104 USA.</t>
  </si>
  <si>
    <t xml:space="preserve">helenchu@u.washington.edu</t>
  </si>
  <si>
    <t xml:space="preserve">NIAID NIH HHS [K23 AI103105, L30 AI107833] Funding Source: Medline</t>
  </si>
  <si>
    <t xml:space="preserve">10.3201/eid2308.161358</t>
  </si>
  <si>
    <t xml:space="preserve">FA8CG</t>
  </si>
  <si>
    <t xml:space="preserve">WOS:000405673200014</t>
  </si>
  <si>
    <t xml:space="preserve">Yi, LN; Zou, LR; Peng, JJ; Yu, JX; Song, YC; Liang, LJ; Guo, QF; Kang, M; Ke, CW; Song, T; Lu, J; Wu, J</t>
  </si>
  <si>
    <t xml:space="preserve">Yi, Lina; Zou, Lirong; Peng, Jingju; Yu, Jianxiang; Song, Yingchao; Liang, Lijun; Guo, Qianfang; Kang, Min; Ke, Changwen; Song, Tie; Lu, Jing; Wu, Jie</t>
  </si>
  <si>
    <t xml:space="preserve">Epidemiology, evolution and transmission of human metapneumovirus in Guangzhou China, 2013-2017</t>
  </si>
  <si>
    <t xml:space="preserve">Human metapneumovirus; Metapneumovirus; Phylogenetic tree; Transmission (telecommunications); Lineage (genetic); Virology; Biology; Molecular epidemiology; Phylogenetics</t>
  </si>
  <si>
    <t xml:space="preserve">ACUTE RESPIRATORY-INFECTIONS; GENETIC DIVERSITY; HOSPITALIZED CHILDREN; GLOBAL CIRCULATION; DYNAMICS; GUANGDONG; PROVINCE; ILLNESS; VIRUSES</t>
  </si>
  <si>
    <t xml:space="preserve">Human metapneumovirus (hMPV), first identified in 2001, is a major viral respiratory pathogen that worldwide reported. Fundamental questions concerning the dynamics of viral evolution and transmission at both regional and global scales remain unanswered. In this study, we obtained 32 G gene and 51 F gene sequences of hMPV in Guangzhou, China in 2013-2017. Temporal and spatial phylogenetic analyses were undertaken by incorporating publicly available hMPV G gene (978) and F gene (767) sequences. The phylogenetic results show different global distribution patterns of hMPV before 1990, 1990-2005, and 2006-2017. A sharply increasing hMPV positive rate (11%) was detected in Guangzhou 2017, mainly caused by the B1 lineage of hMPV. A close phylogenetic relation was observed between hMPV strains from China and Japan, suggesting frequent hMPV transmissions between these regions. These results provide new insights into hMPV evolution, transmission, and spatial distribution and highlight Asia as a new epicenter for viral transmission and novel variant seeding after the year 2005. Conducting molecular surveillance of hMPV in Asian countries is critical for understanding the global circulation of hMPV and future vaccine design.</t>
  </si>
  <si>
    <t xml:space="preserve">[Yi, Lina; Zou, Lirong; Yu, Jianxiang; Song, Yingchao; Liang, Lijun; Guo, Qianfang; Kang, Min; Ke, Changwen; Song, Tie; Lu, Jing; Wu, Jie] Guangdong Prov Ctr Dis Control &amp; Prevent, 160 Qunxian Rd, Guangzhou, Guangdong, Peoples R China; [Yi, Lina; Lu, Jing] Guangdong Prov Inst Publ Hlth, 160 Qunxian Rd, Guangzhou, Guangdong, Peoples R China; [Peng, Jingju; Lu, Jing] Southern Med Univ, 1838 Shatai Rd, Guangzhou, Guangdong, Peoples R China</t>
  </si>
  <si>
    <t xml:space="preserve">Chinese Center for Disease Control &amp; Prevention; Guangdong Provincial Center for Disease Control &amp; Prevention; Southern Medical University - China</t>
  </si>
  <si>
    <t xml:space="preserve">Lu, J; Wu, J (corresponding author), Guangdong Prov Ctr Dis Control &amp; Prevent, 160 Qunxian Rd, Guangzhou, Guangdong, Peoples R China.;Lu, J (corresponding author), Guangdong Prov Inst Publ Hlth, 160 Qunxian Rd, Guangzhou, Guangdong, Peoples R China.;Lu, J (corresponding author), Southern Med Univ, 1838 Shatai Rd, Guangzhou, Guangdong, Peoples R China.</t>
  </si>
  <si>
    <t xml:space="preserve">Jimlu0331@gmail.com; wujie55@hotmail.com</t>
  </si>
  <si>
    <t xml:space="preserve">Kang, Min/JXM-6877-2024</t>
  </si>
  <si>
    <t xml:space="preserve">Natural Science Foundation of Guangdong Province [2018A030313205]; Science and Technology Planning Project of Guangdong [2018B020207006]; Science and Technology Planning Project of Guangzhou [201804010030]</t>
  </si>
  <si>
    <t xml:space="preserve">Natural Science Foundation of Guangdong Province(National Natural Science Foundation of Guangdong Province); Science and Technology Planning Project of Guangdong; Science and Technology Planning Project of Guangzhou</t>
  </si>
  <si>
    <t xml:space="preserve">We gratefully acknowledge the efforts of the sentinel hospital in the investigation and sample collection. This work was supported by grants from Natural Science Foundation of Guangdong Province (2018A030313205), Science and Technology Planning Project of Guangdong (2018B020207006), and Science and Technology Planning Project of Guangzhou (201804010030).</t>
  </si>
  <si>
    <t xml:space="preserve">10.1038/s41598-019-50340-8</t>
  </si>
  <si>
    <t xml:space="preserve">JB3TD</t>
  </si>
  <si>
    <t xml:space="preserve">WOS:000488478700002</t>
  </si>
  <si>
    <t xml:space="preserve">Agapov, E; Sumino, KC; Gaudreault-Keener, M; Storch, GA; Holtzman, MJ</t>
  </si>
  <si>
    <t xml:space="preserve">Genetic variability of human metapneumovirus infection: Evidence of a shift in viral genotype without a change in illness</t>
  </si>
  <si>
    <t xml:space="preserve">Human metapneumovirus; Genotype; Biology; Metapneumovirus; Virology</t>
  </si>
  <si>
    <t xml:space="preserve">RESPIRATORY-DISEASE; CHILDREN; SEVERITY; SEQUENCE; YOUNG</t>
  </si>
  <si>
    <t xml:space="preserve">Human metapneumovirus (hMPV) was identified in 2001 as a cause of acute respiratory illness, but its characteristics are still being defined. We analyzed 3740 nasopharyngeal-wash specimens obtained during 2002-2004, using assays for common respiratory viruses and real-time polymerase chain reaction for hMPV. We detected hMPV in 5% of all specimens, compared with 28% for other respiratory viruses. Nucleotide sequence analysis of hMPV isolates revealed the predominant circulation of hMPV genotype A in the 2003 season but a switch to predominantly genotype B in 2004. Sequence analysis also revealed major differences in the hMPV G and SH genes but relative conservation of the F and N genes within each genotype. Phylogenetic analysis indicated a seasonal switch within hMPV genotype A subtypes as well. Despite genetic variability, we found no difference in the severity of illness caused by various hMPV isolates. These findings suggest that hMPV may vary in genetic structure, to allow for a seasonal shift in predominant genotype and the maintenance of infection rates.</t>
  </si>
  <si>
    <t xml:space="preserve">Washington Univ, Sch Med, Dept Med, St Louis, MO 63110 USA; Washington Univ, Sch Med, Dept Pediat, St Louis, MO 63110 USA; Washington Univ, Sch Med, Dept Cell Biol, St Louis, MO 63110 USA; St Louis Childrens Hosp, Clin Virol Lab, St Louis, MO 63178 USA</t>
  </si>
  <si>
    <t xml:space="preserve">Washington University (WUSTL); Washington University (WUSTL); Washington University (WUSTL); St. Louis Children's Hospital; Washington University (WUSTL)</t>
  </si>
  <si>
    <t xml:space="preserve">Washington Univ, Sch Med, Dept Med, Campus Box 8052,660 Euclid Ave, St Louis, MO 63110 USA.</t>
  </si>
  <si>
    <t xml:space="preserve">10.1086/499310</t>
  </si>
  <si>
    <t xml:space="preserve">005NL</t>
  </si>
  <si>
    <t xml:space="preserve">WOS:000234831000009</t>
  </si>
  <si>
    <t xml:space="preserve">Huang, CG; Tsao, KC; Lin, TY; Huang, YC; Lee, LA; Chen, TH; Huang, YL; Shih, SR</t>
  </si>
  <si>
    <t xml:space="preserve">Huang, Chung-Guei; Tsao, Kuo-Chien; Lin, Tzou-Yien; Huang, Yhu-Chering; Lee, Li-Ang; Chen, Tzu-Hou; Huang, Ya-Ling; Shih, Shin-Ru</t>
  </si>
  <si>
    <t xml:space="preserve">Estimates of individuals exposed to human metapneumovirus in a community-based Taiwanese population in 1999</t>
  </si>
  <si>
    <t xml:space="preserve">Human metapneumovirus; Seroprevalence; Biology; Vaccination; Metapneumovirus; Medical microbiology</t>
  </si>
  <si>
    <t xml:space="preserve">LINKED-IMMUNOSORBENT-ASSAY; RESPIRATORY-TRACT INFECTIONS; REVERSE-TRANSCRIPTASE PCR; YOUNG-CHILDREN; SEROPREVALENCE; PROTEIN; DISEASE; INFANTS; ISRAEL; JAPAN</t>
  </si>
  <si>
    <t xml:space="preserve">Human metapneumovirus (hMPV) causes both upper and lower respiratory tract infection worldwide. Because little is known about the estimated level of exposure to hMPV in Taiwan, data for 1999 are presented. One thousand one hundred twenty sera from otherwise healthy community-based subjects aged 1 month to 99 years were tested in an enzyme-linked immunosorbent assay; the proportion of seropositive individuals was 68.1%. Moreover, 53.2% of preschool children were seronegative, whereas 88.3% of school-aged individuals and 93.7% of adults had antibodies to hMPV. In summary, the present study provides an earlier evidence of a high rate of exposure to hMPV characterized the seroprevalence among Taiwanese individuals in 1999. In addition, our findings suggest that preschool children in particular would benefit from vaccination against hMPV.</t>
  </si>
  <si>
    <t xml:space="preserve">[Huang, Chung-Guei; Tsao, Kuo-Chien; Huang, Ya-Ling; Shih, Shin-Ru] Chang Gung Mem Hosp, Dept Lab Med, Tao Yuan 333, Taiwan; [Huang, Chung-Guei; Tsao, Kuo-Chien; Chen, Tzu-Hou; Huang, Ya-Ling; Shih, Shin-Ru] Chang Gung Univ, Dept Biotechnol &amp; Lab Sci, Res Ctr Emerging Viral Infect, Tao Yuan, Taiwan; [Lin, Tzou-Yien; Huang, Yhu-Chering] Chang Gung Childrens Hosp, Div Pediat Infect Dis, Dept Pediat, Tao Yuan, Taiwan; [Lee, Li-Ang] Chang Gung Mem Hosp, Dept Otolaryngol, Tao Yuan 333, Taiwan; [Lin, Tzou-Yien; Huang, Yhu-Chering; Lee, Li-Ang] Chang Gung Univ, Coll Med, Tao Yuan, Taiwan</t>
  </si>
  <si>
    <t xml:space="preserve">Chang Gung Memorial Hospital; Chang Gung University; Chang Gung Memorial Hospital; Chang Gung Memorial Hospital; Chang Gung University</t>
  </si>
  <si>
    <t xml:space="preserve">Tsao, KC (corresponding author), Chang Gung Mem Hosp, Dept Lab Med, 5 Fu Shin St, Tao Yuan 333, Taiwan.</t>
  </si>
  <si>
    <t xml:space="preserve">kctsao@adm.cgmh.org.tw</t>
  </si>
  <si>
    <t xml:space="preserve">Li-Ang, Lee/AAO-6876-2020; Shih, Shin-Ru/M-9711-2016</t>
  </si>
  <si>
    <t xml:space="preserve">Shih, Shin-Ru/0000-0003-4874-401X; Lee, Li-Ang/0000-0001-8414-595X</t>
  </si>
  <si>
    <t xml:space="preserve">National Science Council in Taiwan [NSC 93-2314-B-182A207, 94-2320-B-182A-012, 95-2320-B-182A-002, 96-2320-B182A-001]</t>
  </si>
  <si>
    <t xml:space="preserve">National Science Council in Taiwan(Ministry of Science and Technology, Taiwan)</t>
  </si>
  <si>
    <t xml:space="preserve">This study was supported by grants from the National Science Council in Taiwan, number NSC 93-2314-B-182A207, 94-2320-B-182A-012, 95-2320-B-182A-002, and 96-2320-B182A-001.</t>
  </si>
  <si>
    <t xml:space="preserve">10.1007/s00705-010-0596-1</t>
  </si>
  <si>
    <t xml:space="preserve">560XW</t>
  </si>
  <si>
    <t xml:space="preserve">WOS:000274939600006</t>
  </si>
  <si>
    <t xml:space="preserve">Nor'e, SS; Sam, IC; Fakri, EFM; Hooi, PS; Nathan, AM; de Bruyne, JA; Jafar, F; Hassan, A; AbuBakar, S; Chan, YF</t>
  </si>
  <si>
    <t xml:space="preserve">Nor'e, S. S.; Sam, I. C.; Fakri, Mohamad E. F.; Hooi, P. S.; Nathan, A. M.; de Bruyne, J. A.; Jafar, F.; Hassan, A.; AbuBakar, S.; Chan, Y. F.</t>
  </si>
  <si>
    <t xml:space="preserve">Phylogenetic analysis of human metapneumovirus among children with acute respiratory infections in Kuala Lumpur, Malaysia</t>
  </si>
  <si>
    <t xml:space="preserve">TROPICAL BIOMEDICINE</t>
  </si>
  <si>
    <t xml:space="preserve">GENETIC-VARIABILITY; DIVERSITY</t>
  </si>
  <si>
    <t xml:space="preserve">Human metapneumovirus (HMPV) is a recently discovered cause of viral respiratory infections. We describe clinical and molecular epidemiology of HMPV cases diagnosed in children with respiratory infection at University of Malaya Medical Centre, Kuala Lumpur, Malaysia. The prevalence rate of HMPV between 2010 and 2012 was 1.1%, and HMPV contributed 6.5% of confirmed viral respiratory infections. The HMPV patients had a median age of 1.6 years, and a median hospital admission of 4 days. The most common clinical presentations were fever, rhinitis, pneumonia, vomiting/diarrhoea, and bronchiolitis. Based on the partial sequences of F fusion gene from 26 HMPV strains, 14 (54%) were subgenotype A2b, which was predominant in 2010; 11 (42%) were subgenotype B1, which was predominant in 2012; and 1 (4%) was subgenotype A2a. Knowledge of the circulating subgenotypes in Malaysia, and the displacement of predominant subgenotypes within 3 years, is useful data for future vaccine planning.</t>
  </si>
  <si>
    <t xml:space="preserve">[Nor'e, S. S.; Sam, I. C.; Fakri, Mohamad E. F.; Jafar, F.; Hassan, A.; AbuBakar, S.; Chan, Y. F.] Univ Malaya, Fac Med, Dept Med Microbiol, TIDREC, Kuala Lumpur 50603, Malaysia; [Nathan, A. M.; de Bruyne, J. A.] Univ Malaya, Fac Med, Dept Paediat, Kuala Lumpur 50603, Malaysia; [Sam, I. C.; Hooi, P. S.] Univ Malaya, Med Ctr, Diagnost Virol Lab, Kuala Lumpur 50603, Malaysia</t>
  </si>
  <si>
    <t xml:space="preserve">Universiti Malaya; Universiti Malaya; Universiti Malaya</t>
  </si>
  <si>
    <t xml:space="preserve">Chan, YF (corresponding author), Univ Malaya, Fac Med, Dept Med Microbiol, TIDREC, Kuala Lumpur 50603, Malaysia.</t>
  </si>
  <si>
    <t xml:space="preserve">chanyf@ummc.edu.my</t>
  </si>
  <si>
    <t xml:space="preserve">NORE, SITI/K-1283-2016; abubakar, sazaly/B-3957-2010; de Bruyne, Jessie/B-8710-2010; Nathan, Anna/IZD-6939-2023; Hooi, Poh/O-6275-2014; CHAN, YOKE FUN/B-5351-2010; Sam, I-Ching/B-8688-2010</t>
  </si>
  <si>
    <t xml:space="preserve">CHAN, YOKE FUN/0000-0001-7089-0510; Sam, I-Ching/0000-0002-1296-7898; Nathan, Anna/0000-0003-3618-5820</t>
  </si>
  <si>
    <t xml:space="preserve">Ministry of Education, Malaysia [FP038-2010A]; University of Malaya [E000013-20001]</t>
  </si>
  <si>
    <t xml:space="preserve">Ministry of Education, Malaysia(Ministry of Education, Malaysia); University of Malaya(Universiti Malaya)</t>
  </si>
  <si>
    <t xml:space="preserve">This study was partly funded by the Fundamental Research Grant Scheme (FP038-2010A) from the Ministry of Education, Malaysia, and High Impact Research Grant (E000013-20001) from University of Malaya.</t>
  </si>
  <si>
    <t xml:space="preserve">MALAYSIAN SOC PARASITOLOGY TROPICAL MEDICINE</t>
  </si>
  <si>
    <t xml:space="preserve">KUALA LUMPUR</t>
  </si>
  <si>
    <t xml:space="preserve">C/O INST MEDICAL REEARCH, JALAN PAHANG, KUALA LUMPUR, 50588, MALAYSIA</t>
  </si>
  <si>
    <t xml:space="preserve">0127-5720</t>
  </si>
  <si>
    <t xml:space="preserve">TROP BIOMED</t>
  </si>
  <si>
    <t xml:space="preserve">Trop. Biomed.</t>
  </si>
  <si>
    <t xml:space="preserve">AO4IK</t>
  </si>
  <si>
    <t xml:space="preserve">WOS:000341300500020</t>
  </si>
  <si>
    <t xml:space="preserve">Ulbrandt, ND; Patel, HJNK; Barnes, AS; Wilson, S; Kiener, PA; Suzich, J; McCarthy, MP</t>
  </si>
  <si>
    <t xml:space="preserve">Ulbrandt, Nancy D.; Patel, Hong Ji Nita K.; Barnes, Arnita S.; Wilson, Susan; Kiener, Peter A.; Suzich, JoAnn; McCarthy, Michael P.</t>
  </si>
  <si>
    <t xml:space="preserve">Identification of antibody neutralization epitopes on the fusion protein of human metapneumovirus</t>
  </si>
  <si>
    <t xml:space="preserve">Virology; Neutralization; Biology; Metapneumovirus; Human metapneumovirus; Epitope; Identification (biology); Antibody</t>
  </si>
  <si>
    <t xml:space="preserve">RESPIRATORY SYNCYTIAL VIRUS; MONOCLONAL-ANTIBODIES; F-PROTEIN; STRUCTURAL-CHARACTERIZATION; PROTECTIVE IMMUNITY; COTTON RATS; IN-VITRO; GLYCOPROTEIN; MUTANTS; PALIVIZUMAB</t>
  </si>
  <si>
    <t xml:space="preserve">Human metapneumovirus (hMPV) is genetically related to respiratory syncytial virus (RSV); both cause respiratory tract illnesses ranging from a mild cough to bronchiolitis and pneumonia. The F protein-directed monoclonal antibody (mAb) palivizumab has been shown to prevent severe lower respiratory tract RSV infection in animals and humans. We have previously reported on a panel of mAbs against the hMPV F protein that neutralize hMPV in vitro and, in two cases, in vivo. Here we describe the generation of hMPV mAb-resistant mutants (MARMs) to these neutralizing antibodies. Sequencing the F proteins of the hMPV MARMs identified several neutralizing epitopes. Interestingly, some of the epitopes mapped on the hMPV F protein coincide with homologous regions mapped previously on the RSV F protein, including the site against which the broadly protective mAb palivizumab is directed. This suggests that these homologous regions play important, conserved functions in both viruses.</t>
  </si>
  <si>
    <t xml:space="preserve">[Ulbrandt, Nancy D.; Patel, Hong Ji Nita K.; Barnes, Arnita S.; Wilson, Susan; Kiener, Peter A.; Suzich, JoAnn; McCarthy, Michael P.] Medimmune Inc, Gaithersburg, MD 20878 USA</t>
  </si>
  <si>
    <t xml:space="preserve">Ulbrandt, ND (corresponding author), Medimmune Inc, 1 Medimmune Way, Gaithersburg, MD 20878 USA.</t>
  </si>
  <si>
    <t xml:space="preserve">ulbrandtn@medimmune.com</t>
  </si>
  <si>
    <t xml:space="preserve">10.1099/vir.0.2008/005199-0</t>
  </si>
  <si>
    <t xml:space="preserve">381HY</t>
  </si>
  <si>
    <t xml:space="preserve">hybrid, Green Submitted, Green Published</t>
  </si>
  <si>
    <t xml:space="preserve">WOS:000261527800024</t>
  </si>
  <si>
    <t xml:space="preserve">Li, JG; Ren, LL; Guo, L; Xiang, ZC; Paranhos-Baccalà, G; Vernet, G; Wang, JW</t>
  </si>
  <si>
    <t xml:space="preserve">Li, Jianguo; Ren, Lili; Guo, Li; Xiang, Zichun; Paranhos-Baccala, Glaucia; Vernet, Guy; Wang, Jianwei</t>
  </si>
  <si>
    <t xml:space="preserve">Evolutionary Dynamics Analysis of Human Metapneumovirus Subtype A2: Genetic Evidence for Its Dominant Epidemic</t>
  </si>
  <si>
    <t xml:space="preserve">Human metapneumovirus; Virology; Metapneumovirus; Biology</t>
  </si>
  <si>
    <t xml:space="preserve">RESPIRATORY SYNCYTIAL VIRUS; CIRCULATION PATTERNS; NATURAL-SELECTION; YOUNG-CHILDREN; VARIABILITY; INFECTION; TRACT; DIVERSITY; GENOTYPE; STRAINS</t>
  </si>
  <si>
    <t xml:space="preserve">Human metapneumovirus (hMPV) is a respiratory viral pathogen in children worldwide. hMPV is divided into four subtypes: hMPV_A1, hMPV_A2, hMPV_B1, and hMPV_B2. hMPV_A2 can be further divided into hMPV_A2a and A2b based on phylogenetic analysis. The typical prevalence pattern of hMPV involves a shift of the predominant subtype within one or two years. However, hMPV_A2, in particular hMPV_A2b, has circulated worldwide with a several years long term high epidemic. To study this distinct epidemic behavior of hMPV_A2, we analyzed 294 sequences of partial G genes of the virus from different countries. Molecular evolutionary data indicates that hMPV_A2 evolved toward heterogeneity faster than the other subtypes. Specifically, a Bayesian skyline plot analysis revealed that hMPV_A2 has undergone a generally upward fluctuation since 1997, whereas the other subtypes experienced only one upward fluctuation. Although hMPV_A2 showed a lower value of mean dN/dS than the other subtypes, it had the largest number of positive selection sites. Meanwhile, various styles of mutation were observed in the mutation hotspots of hMPV_A2b. Bayesian phylogeography analysis also revealed two fusions of diffusion routes of hMPV_A2b in India (June 2006) and Beijing, China (June 2008). Sequences of hMPV_A2b retrieved from GenBank boosted simultaneously with the two fusions respectively, indicating that fusion of genetic transmission routes from different regions improved survival of hMPV_A2. Epidemic and evolutionary dynamics of hMPV_A2b were similar to those of hMPV_A2. Overall, our findings provide important molecular insights into hMPV epidemics and viral variation, and explain the occurrence of an atypical epidemic of hMPV_A2, particularly hMPV_A2b.</t>
  </si>
  <si>
    <t xml:space="preserve">[Li, Jianguo; Ren, Lili; Guo, Li; Xiang, Zichun; Wang, Jianwei] Peking Union Med Coll, MOH Key Lab Syst Biol Pathogens, Beijing 100021, Peoples R China; [Li, Jianguo; Ren, Lili; Guo, Li; Xiang, Zichun; Wang, Jianwei] Peking Union Med Coll, Christophe Merieux Lab, IPB, CAMS Fdn Merieux, Beijing 100021, Peoples R China; [Li, Jianguo; Ren, Lili; Guo, Li; Xiang, Zichun; Wang, Jianwei] Chinese Acad Med Sci, Beijing 100730, Peoples R China; [Paranhos-Baccala, Glaucia; Vernet, Guy] Fdn Merieux, Lyon, France</t>
  </si>
  <si>
    <t xml:space="preserve">Chinese Academy of Medical Sciences - Peking Union Medical College; Peking Union Medical College; Chinese Academy of Medical Sciences - Peking Union Medical College; Institute of Pathogen Biology - CAMS; Peking Union Medical College; Chinese Academy of Medical Sciences - Peking Union Medical College</t>
  </si>
  <si>
    <t xml:space="preserve">Li, JG (corresponding author), Peking Union Med Coll, MOH Key Lab Syst Biol Pathogens, Beijing 100021, Peoples R China.</t>
  </si>
  <si>
    <t xml:space="preserve">Ren, Lili/ACL-3052-2022; Wang, Jianwei/W-5916-2019; Guo, li/LTC-6893-2024; LI, JIANGUO/ADZ-3303-2022</t>
  </si>
  <si>
    <t xml:space="preserve">International Science and Technology Cooperation Program of China [2010DFB33270]; National Major Science &amp; Technology Project for Control and Prevention of Major Infectious Diseases of China [2009ZX10004-206]</t>
  </si>
  <si>
    <t xml:space="preserve">International Science and Technology Cooperation Program of China; National Major Science &amp; Technology Project for Control and Prevention of Major Infectious Diseases of China</t>
  </si>
  <si>
    <t xml:space="preserve">This study was supported in part by the International Science and Technology Cooperation Program of China (2010DFB33270) (http://www.cistc.gov.cn) and National Major Science &amp; Technology Project for Control and Prevention of Major Infectious Diseases of China (2009ZX10004-206) (http://www.nmp.gov.cn/). The funders had no role in study design, data collection and analysis, decision to publish, or preparation of the manuscript. No additional external funding was received for this study.</t>
  </si>
  <si>
    <t xml:space="preserve">e34544</t>
  </si>
  <si>
    <t xml:space="preserve">10.1371/journal.pone.0034544</t>
  </si>
  <si>
    <t xml:space="preserve">959UC</t>
  </si>
  <si>
    <t xml:space="preserve">WOS:000305339100166</t>
  </si>
  <si>
    <t xml:space="preserve">Leung, J; Esper, F; Weibel, C; Kahn, JS</t>
  </si>
  <si>
    <t xml:space="preserve">Seroepidemiology of human metapneumovirus (hMPV) on the basis of a novel enzyme-linked immunosorbent assay utilizing hMPV fusion protein expressed in recombinant vesicular stomatitis virus</t>
  </si>
  <si>
    <t xml:space="preserve">Human metapneumovirus; Virology; Vesicular stomatitis virus; Metapneumovirus; Biology; Mononegavirales; Virus</t>
  </si>
  <si>
    <t xml:space="preserve">RESPIRATORY SYNCYTIAL VIRUS; TRACT INFECTIONS; YOUNG-CHILDREN; INFANTS; SEROPREVALENCE; GLYCOPROTEINS; PREVALENCE; ANIMALS; DISEASE; ILLNESS</t>
  </si>
  <si>
    <t xml:space="preserve">Human metapneumovirus (hMPV) is a newly identified human respiratory virus now recognized as a major respiratory pathogen of infants and children. To define the seroepidemiology of hMPV, we developed a novel enzyme-linked immunosorbent assay (ELISA) based on expression of the fusion protein of hMPV (hMPV F) in recombinant vesicular stomatitis virus (VSV). Western blot analysis using an hMPV F-specific antiserum confirmed the expression of hMPV in recombinant VSV. The ELISA is specific for hMPV F; antibody specific for the most closely related human paramyxovirus, respiratory syncytial virus, does not bind to hMPV F. Overall, 216 serum specimens were tested. The percentages of seropositive individuals were 89.1 % in children :55 months old, 55.0 % in children 6 to 11 months old, 36.0 % in children 12 to 23 months old, 45.0 % in children 24 to 47 months old, 77.3 % in children 48 to 59 months old, 91.3 % in children 5 to 10 years old, and 95.5 % for individuals 11 to 20 years old. This is the first seroepidemiological survey of hMPV in the United States and the first analysis to determine the prevalence of antibody to a specific hMPV protein. The data suggest that exposure to hMPV is common in childhood and that hMPV F is an antigenic determinant of hMPV.</t>
  </si>
  <si>
    <t xml:space="preserve">Yale Univ, Sch Med, Dept Pediat, Div Infect Dis, New Haven, CT 06520 USA; Yale Univ, Sch Med, Sch Epidemiol &amp; Publ Hlth, New Haven, CT 06520 USA</t>
  </si>
  <si>
    <t xml:space="preserve">Yale University; Yale University</t>
  </si>
  <si>
    <t xml:space="preserve">jeffrey.kahn@yale.edu</t>
  </si>
  <si>
    <t xml:space="preserve">NCRR NIH HHS [M01 RR006022] Funding Source: Medline; NIAID NIH HHS [T32 AI 07210-20, F32 AI055151, T32 AI007210, F32 AI 055151-01] Funding Source: Medline</t>
  </si>
  <si>
    <t xml:space="preserve">10.1128/JCM.43.3.1213-1219.2005</t>
  </si>
  <si>
    <t xml:space="preserve">905AD</t>
  </si>
  <si>
    <t xml:space="preserve">WOS:000227538900033</t>
  </si>
  <si>
    <t xml:space="preserve">de Graaf, M; Herfst, S; Aarbiou, J; Burgers, PC; Zaaraoui-Boutahar, F; Bijl, M; van IJcken, W; Schrauwen, EJA; Osterhaus, ADME; Luider, TM; Scholte, BJ; Fouchier, RAM; Andeweg, AC</t>
  </si>
  <si>
    <t xml:space="preserve">de Graaf, Miranda; Herfst, Sander; Aarbiou, Jamil; Burgers, Peter C.; Zaaraoui-Boutahar, Fatiha; Bijl, Maarten; van IJcken, Wilfred; Schrauwen, Eefje J. A.; Osterhaus, Albert D. M. E.; Luider, Theo M.; Scholte, Bob J.; Fouchier, Ron A. M.; Andeweg, Arno C.</t>
  </si>
  <si>
    <t xml:space="preserve">Small Hydrophobic Protein of Human Metapneumovirus Does Not Affect Virus Replication and Host Gene Expression In Vitro</t>
  </si>
  <si>
    <t xml:space="preserve">Human metapneumovirus; Biology; Viral replication; Virology; Metapneumovirus; Cytopathic effect</t>
  </si>
  <si>
    <t xml:space="preserve">RESPIRATORY SYNCYTIAL VIRUS; AIRWAY EPITHELIAL-CELLS; SH GENE; G-GLYCOPROTEIN; INFECTION; TRANSCRIPTION; DELETION; LACKING; TRACT; NS2</t>
  </si>
  <si>
    <t xml:space="preserve">Human metapneumovirus (HMPV) encodes a small hydrophobic (SH) protein of unknown function. HMPV from which the SH open reading frame was deleted (HMPV Delta SH) was viable and displayed similar replication kinetics, cytopathic effect and plaque size compared with wild type HMPV in several cell-lines. In addition, no differences were observed in infection efficiency or cell-to-cell spreading in human primary bronchial epithelial cells (HPBEC) cultured at an air-liquid interphase. Host gene expression was analyzed in A549 cells infected with HMPV or HMPV Delta SH using microarrays and mass spectrometry (MS) based techniques at multiple time points post infection. Only minor differences were observed in mRNA or protein expression levels. A possible function of HMPV SH as apoptosis blocker, as proposed for several members of the family Paramyxoviridae, was rejected based on this analysis. So far, a clear phenotype of HMPV SH deletion mutants in vitro at the virus and host levels is absent.</t>
  </si>
  <si>
    <t xml:space="preserve">[de Graaf, Miranda; Herfst, Sander; Zaaraoui-Boutahar, Fatiha; Bijl, Maarten; Schrauwen, Eefje J. A.; Osterhaus, Albert D. M. E.; Fouchier, Ron A. M.; Andeweg, Arno C.] Erasmus MC, Dept Virosci, Rotterdam, Netherlands; [Aarbiou, Jamil; Scholte, Bob J.] Erasmus MC, Dept Cell Biol, Rotterdam, Netherlands; [Burgers, Peter C.; Luider, Theo M.] Erasmus MC, Dept Neurol, Rotterdam, Netherlands; [van IJcken, Wilfred] Erasmus MC, Ctr Biom, Rotterdam, Netherlands; [de Graaf, Miranda] Univ Cambridge, Dept Zool, Cambridge, England</t>
  </si>
  <si>
    <t xml:space="preserve">Erasmus University Rotterdam; Erasmus MC; Erasmus University Rotterdam; Erasmus MC; Erasmus University Rotterdam; Erasmus MC; Erasmus University Rotterdam; Erasmus MC; University of Cambridge</t>
  </si>
  <si>
    <t xml:space="preserve">Andeweg, AC (corresponding author), Erasmus MC, Dept Virosci, Rotterdam, Netherlands.</t>
  </si>
  <si>
    <t xml:space="preserve">a.andeweg@erasmusmc.nl</t>
  </si>
  <si>
    <t xml:space="preserve">Herfst, Sander/HZK-7555-2023; de Graaf, Miranda/K-1262-2018; van IJcken, Wilfred/N-9805-2018; Fouchier, Ron/A-1911-2014</t>
  </si>
  <si>
    <t xml:space="preserve">Herfst, Sander/0000-0001-9866-8903; van IJcken, Wilfred/0000-0002-0421-8301; Fouchier, Ron/0000-0001-8095-2869; Osterhaus, Albert/0000-0002-6074-1172</t>
  </si>
  <si>
    <t xml:space="preserve">MedImmune Vaccines, Inc.; European Union; Virgo consortium</t>
  </si>
  <si>
    <t xml:space="preserve">MedImmune Vaccines, Inc.(AstraZenecaMedimmune); European Union(European Union (EU)); Virgo consortium</t>
  </si>
  <si>
    <t xml:space="preserve">This work was sponsored by MedImmune Vaccines, Inc., framework five grant Hammocsa ''from the European Union, the Virgo consortium, an Innovative Cluster approved by the Netherlands Genomics Initiative (BSIK 03012), Netherlands. The funders had no role in study design, data collection and analysis, decision to publish, or preparation of the manuscript.</t>
  </si>
  <si>
    <t xml:space="preserve">MAR 6</t>
  </si>
  <si>
    <t xml:space="preserve">e58572</t>
  </si>
  <si>
    <t xml:space="preserve">10.1371/journal.pone.0058572</t>
  </si>
  <si>
    <t xml:space="preserve">117EP</t>
  </si>
  <si>
    <t xml:space="preserve">WOS:000316936100125</t>
  </si>
  <si>
    <t xml:space="preserve">Agrawal, AS; Roy, T; Ghosh, S; Chawla-Sarkar, M</t>
  </si>
  <si>
    <t xml:space="preserve">Agrawal, Anurodh S.; Roy, Tapasi; Ghosh, Swati; Chawla-Sarkar, Mamta</t>
  </si>
  <si>
    <t xml:space="preserve">Genetic variability of attachment (G) and Fusion (F) protein genes of human metapneumovirus strains circulating during 2006-2009 in Kolkata, Eastern India</t>
  </si>
  <si>
    <t xml:space="preserve">Human metapneumovirus; Metapneumovirus; Biology; Genetic diversity; Virology; Gene; Genetic variation</t>
  </si>
  <si>
    <t xml:space="preserve">RESPIRATORY SYNCYTIAL VIRUS; G-GLYCOPROTEIN; EVOLUTIONARY PATTERN; SUBGROUP-A; CHILDREN; SEQUENCE; INFECTIONS; DIVERSITY; COMMUNITY; LINEAGES</t>
  </si>
  <si>
    <t xml:space="preserve">Background: Human metapneumovirus (hMPV) is associated with the acute respiratory tract infection (ARTI) in all the age groups. However, there is limited information on prevalence and genetic diversity of human metapneumovirus (hMPV) strains circulating in India. Objective: To study prevalence and genomic diversity of hMPV strains among ARTI patients reporting in outpatient departments of hospitals in Kolkata, Eastern India. Methods: Nasal and/or throat swabs from 2309 patients during January 2006 to December 2009, were screened for the presence of hMPV by RT-PCR of nucleocapsid (N) gene. The G and F genes of representative hMPV positive samples were sequenced. Results: 118 of 2309 (5.11%) clinical samples were positive for hMPV. The majority (approximate to 80%) of the positive cases were detected during July-November all through the study period. Genetic analysis revealed that 77% strains belong to A2 subgroup whereas rest clustered in B1 subgroup. G sequences showed higher diversity at the nucleotide and amino acid level. In contrast, less than 10% variation was observed in F gene of representative strains of all four years. Sequence analysis also revealed changes in the position of stop codon in G protein, which resulted in variable length (217-231 aa) polypeptides. Conclusion: The study suggests that approximately 5% of ARTI in the region were caused by hMPV. This is the first report on the genetic variability of G and F gene of hMPV strains from India which clearly shows that the G protein of hMPV is continuously evolving. Though the study partially fulfills lacunae of information, further studies from other regions are necessary for better understanding of prevalence, epidemiology and virus evolution in Indian subcontinent.</t>
  </si>
  <si>
    <t xml:space="preserve">[Agrawal, Anurodh S.; Roy, Tapasi; Ghosh, Swati; Chawla-Sarkar, Mamta] Natl Inst Cholera &amp; Enter Dis, Div Virol, Kolkata 700010, India</t>
  </si>
  <si>
    <t xml:space="preserve">Chawla-Sarkar, M (corresponding author), Natl Inst Cholera &amp; Enter Dis, Div Virol, P-33 CIT Rd,Scheme XM, Kolkata 700010, India.</t>
  </si>
  <si>
    <t xml:space="preserve">Agrawal, Anurodh/0000-0001-9856-8902</t>
  </si>
  <si>
    <t xml:space="preserve">Indian Council of Medical Research (ICMR), New Delhi; ICMR, Govt. of India</t>
  </si>
  <si>
    <t xml:space="preserve">Indian Council of Medical Research (ICMR), New Delhi(Indian Council of Medical Research (ICMR)); ICMR, Govt. of India(Indian Council of Medical Research (ICMR))</t>
  </si>
  <si>
    <t xml:space="preserve">The study was supported by financial assistance from Indian Council of Medical Research (ICMR), New Delhi. We acknowledge technical assistance and data entry extended by Malay De Sarkar during the study. A. S. Agrawal was supported by Senior Research Fellowship from ICMR, Govt. of India.</t>
  </si>
  <si>
    <t xml:space="preserve">FEB 12</t>
  </si>
  <si>
    <t xml:space="preserve">10.1186/1743-422X-8-67</t>
  </si>
  <si>
    <t xml:space="preserve">729TB</t>
  </si>
  <si>
    <t xml:space="preserve">WOS:000287972700001</t>
  </si>
  <si>
    <t xml:space="preserve">Wen, XL; Suryadevara, N; Kose, N; Liu, J; Zhan, XY; Handal, LS; Williamson, LE; Trivette, A; Carnahan, RH; Jardetzky, TS; Crowe Jr, JE</t>
  </si>
  <si>
    <t xml:space="preserve">Wen, Xiaolin; Suryadevara, Naveenchandra; Kose, Nurgun; Liu, Jing; Zhan, Xiaoyan; Handal, Laura S.; Williamson, Lauren E.; Trivette, Andrew; Carnahan, Robert H.; Jardetzky, Theodore S.; Crowe Jr, James E.</t>
  </si>
  <si>
    <t xml:space="preserve">Potent cross-neutralization of respiratory syncytial virus and human metapneumovirus through a structurally conserved antibody recognition mode</t>
  </si>
  <si>
    <t xml:space="preserve">CELL HOST &amp; MICROBE</t>
  </si>
  <si>
    <t xml:space="preserve">Human metapneumovirus; Virology; Biology; Metapneumovirus; Antibody; Neutralization; Virus</t>
  </si>
  <si>
    <t xml:space="preserve">CRYO-EM; VACCINE; TOOLS; DESIGN; RSV</t>
  </si>
  <si>
    <t xml:space="preserve">Respiratory syncytial virus (RSV) and human metapneumovirus (hMPV) infections pose a significant health burden. Using pre-fusion conformation fusion (F) proteins, we isolated a panel of anti-F antibodies from a hu-man donor. One antibody (RSV-199) potently cross-neutralized 8 RSV and hMPV strains by recognizing anti-genic site III, which is partially conserved in RSV and hMPV F. Next, we determined the cryoelectron micro-scopy (cryo-EM) structures of RSV-199 bound to RSV F trimers, hMPV F monomers, and an unexpected dimeric form of hMPV F. These structures revealed how RSV-199 engages both RSV and hMPV F proteins through conserved interactions of the antibody heavy-chain variable region and how variability within heavy-chain complementarity-determining region 3 (HCDR3) can be accommodated at the F protein inter-face in site-III-directed antibodies. Furthermore, RSV-199 offered enhanced protection against RSV A and B strains and hMPV in cotton rats. These findings highlight the mechanisms of broad neutralization and ther-apeutic potential of RSV-199.</t>
  </si>
  <si>
    <t xml:space="preserve">[Wen, Xiaolin; Liu, Jing; Jardetzky, Theodore S.] Stanford Univ, Sch Med, Dept Struct Biol, Stanford, CA 94305 USA; [Suryadevara, Naveenchandra; Kose, Nurgun; Zhan, Xiaoyan; Handal, Laura S.; Williamson, Lauren E.; Trivette, Andrew; Carnahan, Robert H.; Crowe Jr, James E.] Vanderbilt Univ, Med Ctr, Vanderbilt Vaccine Ctr, Nashville, TN 37232 USA; [Carnahan, Robert H.; Crowe Jr, James E.] Vanderbilt Univ, Med Ctr, Dept Pediat, Nashville, TN 37232 USA; [Crowe Jr, James E.] Vanderbilt Univ, Med Ctr, Dept Pathol Microbiol &amp; Immunol, Nashville, TN 37232 USA</t>
  </si>
  <si>
    <t xml:space="preserve">Stanford University; Vanderbilt University; Vanderbilt University; Vanderbilt University</t>
  </si>
  <si>
    <t xml:space="preserve">Jardetzky, TS (corresponding author), Stanford Univ, Sch Med, Dept Struct Biol, Stanford, CA 94305 USA.;Crowe Jr, JE (corresponding author), Vanderbilt Univ, Med Ctr, Vanderbilt Vaccine Ctr, Nashville, TN 37232 USA.;Crowe Jr, JE (corresponding author), Vanderbilt Univ, Med Ctr, Dept Pediat, Nashville, TN 37232 USA.;Crowe Jr, JE (corresponding author), Vanderbilt Univ, Med Ctr, Dept Pathol Microbiol &amp; Immunol, Nashville, TN 37232 USA.</t>
  </si>
  <si>
    <t xml:space="preserve">tjardetz@stanford.edu; james.crowe@vumc.org</t>
  </si>
  <si>
    <t xml:space="preserve">Suryadevara, Naveenchandra/AAQ-7626-2021; Williamson, Lauren/KCX-8457-2024; Carnahan, Robert/N-7429-2013</t>
  </si>
  <si>
    <t xml:space="preserve">Jardetzky, Theodore/0000-0002-3664-0072; Handal, Laura/0000-0001-8658-4411</t>
  </si>
  <si>
    <t xml:space="preserve">vision of Microbiology and Infectious Diseases (DMID) [HHSN272201700028I, 75N93020F00001]</t>
  </si>
  <si>
    <t xml:space="preserve">vision of Microbiology and Infectious Diseases (DMID)</t>
  </si>
  <si>
    <t xml:space="preserve">We thank the members of the Jardetzky and Crowe laboratories and Donghua Chen (Stanford) for his support in cryo-EM data collection and analysis. The work was supported by NIAID/NIH grant R01 AI13752. We thank the NIAID Di-T.S.J. wrote vision of Microbiology and Infectious Diseases (DMID) Preclinical Services Program for support (contract HHSN272201700028I) through a cotton rat model contract under Task Order 75N93020F00001, Task A45, awarded to Sigmovir Biosystems, Inc., which conducted the hMPV cotton rats studies in collaboration with the Vanderbilt team.r vision of Microbiology and Infectious Diseases (DMID) Preclinical Services Program for support (contract HHSN272201700028I) through a cotton rat model contract under Task Order 75N93020F00001, Task A45, awarded to Sigmovir Biosystems, Inc., which conducted the hMPV cotton rats studies in collaboration with the Vanderbilt team.</t>
  </si>
  <si>
    <t xml:space="preserve">1931-3128</t>
  </si>
  <si>
    <t xml:space="preserve">1934-6069</t>
  </si>
  <si>
    <t xml:space="preserve">CELL HOST MICROBE</t>
  </si>
  <si>
    <t xml:space="preserve">Cell Host Microbe</t>
  </si>
  <si>
    <t xml:space="preserve">10.1016/j.chom.2023.07.002</t>
  </si>
  <si>
    <t xml:space="preserve">FM1F8</t>
  </si>
  <si>
    <t xml:space="preserve">WOS:001146116200001</t>
  </si>
  <si>
    <t xml:space="preserve">Herfst, S; Mas, V; Ver, LS; Wierda, RJ; Osterhaus, ADME; Fouchier, RAM; Melero, JA</t>
  </si>
  <si>
    <t xml:space="preserve">Herfst, Sander; Mas, Vicente; Ver, Lorena S.; Wierda, Rutger J.; Osterhaus, Albert D. M. E.; Fouchier, Ron A. M.; Melero, Jose A.</t>
  </si>
  <si>
    <t xml:space="preserve">Low-pH-induced membrane fusion mediated by human metapneumovirus F protein is a rare, strain-dependent phenomenon</t>
  </si>
  <si>
    <t xml:space="preserve">Human metapneumovirus; Lineage (genetic); Biology; Metapneumovirus; Lipid bilayer fusion; Virology; Strain (injury)</t>
  </si>
  <si>
    <t xml:space="preserve">RESPIRATORY SYNCYTIAL VIRUS; STRUCTURAL BASIS; GLYCOPROTEIN; ACTIVATION; ATTACHMENT; CLEAVAGE; INVASION; DELETION; LESSONS; LACKING</t>
  </si>
  <si>
    <t xml:space="preserve">Membrane fusion promoted by human metapneumovirus (HMPV) fusion (F) protein was suggested to require low pH (R. M. Schowalter, S. E. Smith, and R. E. Dutch, J. Virol. 80:10931-10941, 2006). Using prototype F proteins representing the four HMPV genetic lineages, we detected low-pH-dependent fusion only with some lineage A proteins and not with lineage B proteins. A glycine at position 294 was found responsible for the low-pH requirement in lineage A proteins. Only 6% of all HMPV lineage A F sequences have 294G, and none of the lineage B sequences have 294G. Thus, acidic pH is not a general trigger of HMPV F proteins for activity.</t>
  </si>
  <si>
    <t xml:space="preserve">[Mas, Vicente; Ver, Lorena S.; Melero, Jose A.] Inst Salud Carlos III, Ctr Nacl Microbiol, Madrid 28220, Spain; [Mas, Vicente; Ver, Lorena S.; Melero, Jose A.] Inst Salud Carlos III, CIBER Enfermedades Resp, Madrid 28220, Spain; [Herfst, Sander; Wierda, Rutger J.; Osterhaus, Albert D. M. E.; Fouchier, Ron A. M.] Erasmus MC, Dept Virol, Rotterdam, Netherlands</t>
  </si>
  <si>
    <t xml:space="preserve">Instituto de Salud Carlos III; Centro Nacional de Microbiologia (CNM); Instituto de Salud Carlos III; CIBER - Centro de Investigacion Biomedica en Red; CIBERES; Erasmus University Rotterdam; Erasmus MC</t>
  </si>
  <si>
    <t xml:space="preserve">Herfst, Sander/HZK-7555-2023; Mas, Vicente/M-4776-2015; Fouchier, Ron/A-1911-2014</t>
  </si>
  <si>
    <t xml:space="preserve">Mas, Vicente/0000-0002-0887-0743; Herfst, Sander/0000-0001-9866-8903; Osterhaus, Albert/0000-0002-6074-1172; Melero, Jose A./0000-0001-8148-6521; Fouchier, Ron/0000-0001-8095-2869</t>
  </si>
  <si>
    <t xml:space="preserve">European Union; VIRUSHOST consortium (Comunidad de Madrid),; Ministerio Educacion y Ciencia (Spain)</t>
  </si>
  <si>
    <t xml:space="preserve">European Union(European Union (EU)); VIRUSHOST consortium (Comunidad de Madrid),(Comunidad de Madrid); Ministerio Educacion y Ciencia (Spain)(Spanish Government)</t>
  </si>
  <si>
    <t xml:space="preserve">We thank Eefje Schrauwen and Miranda de Graaf for technical Support, M. Malim for providing plasmid pTS27, L. Martinez-Sobrido for providing plasmid pCAGGS, and R. Gruters for providing plasmids pLTR-CAT and pTat.This work was sponsored in part by the FP5 grant Hammocs from the European Union. V.M. was funded by the VIRUSHOST consortium (Comunidad de Madrid), and L.S.V. was the recipient of a predoctoral fellowship from Ministerio Educacion y Ciencia (Spain).</t>
  </si>
  <si>
    <t xml:space="preserve">10.1128/JVI.00472-08</t>
  </si>
  <si>
    <t xml:space="preserve">WOS:000258603600061</t>
  </si>
  <si>
    <t xml:space="preserve">Wolf, DG; Zakay-Rones, Z; Fadeela, A; Greenberg, D; Dagan, R</t>
  </si>
  <si>
    <t xml:space="preserve">High seroprevalence of human metapneumovirus among young children in Israel</t>
  </si>
  <si>
    <t xml:space="preserve">Human metapneumovirus; Seroprevalence; Serology; Metapneumovirus; Respiratory tract infections; Medicine</t>
  </si>
  <si>
    <t xml:space="preserve">RESPIRATORY SYNCYTIAL VIRUS; ILLNESS</t>
  </si>
  <si>
    <t xml:space="preserve">Exposure to the newly discovered human metapneumovirus (HMPV) during the first 2 years of life was studied by longitudinal serological analysis in 40 healthy children in southern Israel. The seropositivity rate decreased to a minimum by age 13 months and increased to 52% by age 24 months. Evidence of new infection was detected in 13%, 23%, and 55% of children by ages 7, 13, and 24 months, respectively. The high exposure rates suggest that HMPV may be an important cause of community-acquired respiratory-tract infections in young children.</t>
  </si>
  <si>
    <t xml:space="preserve">Hadassah Univ Hosp &amp; Med Sch, Dept Clin Microbiol &amp; Infect Dis, IL-91120 Jerusalem, Israel; Hadassah Univ Hosp &amp; Med Sch, Dept Virol, IL-91120 Jerusalem, Israel; Soroka Univ, Med Ctr, Pediat Infect Dis Unit, Beer Sheva, Israel; Ben Gurion Univ Negev, Fac Hlth Sci, Beer Sheva, Israel</t>
  </si>
  <si>
    <t xml:space="preserve">Hebrew University of Jerusalem; Hebrew University of Jerusalem; Ben Gurion University; Soroka Medical Center; Ben Gurion University</t>
  </si>
  <si>
    <t xml:space="preserve">Wolf, DG (corresponding author), Hadassah Univ Hosp &amp; Med Sch, Dept Clin Microbiol &amp; Infect Dis, POB 12000, IL-91120 Jerusalem, Israel.</t>
  </si>
  <si>
    <t xml:space="preserve">wolfd@md2.huji.ac.il</t>
  </si>
  <si>
    <t xml:space="preserve">10.1086/380100</t>
  </si>
  <si>
    <t xml:space="preserve">762QB</t>
  </si>
  <si>
    <t xml:space="preserve">WOS:000187992700010</t>
  </si>
  <si>
    <t xml:space="preserve">Larcher, C; Pagani, E; Rossi, P; Amato, B; Pescollderungg, L; Campanini, G; Percivalle, E; Huemer, HP</t>
  </si>
  <si>
    <t xml:space="preserve">Larcher, Clara; Pagani, Elisabetta; Rossi, Patrizia; Amato, Barbara; Pescollderungg, Lydia; Campanini, Giulia; Percivalle, Elena; Huemer, Hartwig P.</t>
  </si>
  <si>
    <t xml:space="preserve">Comparison of human metapneumovirus genotypes from the province of Bolzano in Northern Italy with strains from surrounding regions in Italy and Austria</t>
  </si>
  <si>
    <t xml:space="preserve">GENETIC-VARIABILITY; INFECTION; LINEAGES; CHILDREN</t>
  </si>
  <si>
    <t xml:space="preserve">The epidemiology of the genetic sublineages of human metapneumovirus (hMPV) and their clinical relevance are not fully understood. We compared hMPV genotypes isolated in the province of Bolzano in Northern Italy with strains from nearby Italian and Austrian regions by sequencing of NP- and L-gene fragments. Our results suggest that similar strains cycle through adjacent geographic areas, with the respective subtypes replacing each other on a seasonal basis.</t>
  </si>
  <si>
    <t xml:space="preserve">[Larcher, Clara; Pagani, Elisabetta; Rossi, Patrizia] Azienda Sanitaria Alto Adige, Lab Microbiol &amp; Virol, I-39100 Bolzano, Italy; [Amato, Barbara] Reg Hosp Bolzano, Dept Hematol, Bolzano, Italy; [Pescollderungg, Lydia] Reg Hosp Bolzano, Dept Pediat, Bolzano, Italy; [Campanini, Giulia; Percivalle, Elena] Policlin San Matteo, Fdn IRCCS, Serv Virol, I-27100 Pavia, Italy; [Huemer, Hartwig P.] Innsbruck Med Univ, Dept Hyg Microbiol &amp; Social Med, Innsbruck, Austria</t>
  </si>
  <si>
    <t xml:space="preserve">Krankenhaus Bozen; Krankenhaus Bozen; IRCCS Fondazione Casimiro Mondino; IRCCS Fondazione San Matteo; Medical University of Innsbruck</t>
  </si>
  <si>
    <t xml:space="preserve">Larcher, C (corresponding author), Azienda Sanitaria Alto Adige, Lab Microbiol &amp; Virol, Via Amba Alagi 5, I-39100 Bolzano, Italy.</t>
  </si>
  <si>
    <t xml:space="preserve">clara.larcher@asbz.it</t>
  </si>
  <si>
    <t xml:space="preserve">Percivalle, Elena/K-7994-2016; Campanini, Giulia/J-4889-2018</t>
  </si>
  <si>
    <t xml:space="preserve">Percivalle, Elena/0000-0002-3355-1410; Campanini, Giulia/0000-0002-3536-2437</t>
  </si>
  <si>
    <t xml:space="preserve">284MU</t>
  </si>
  <si>
    <t xml:space="preserve">WOS:000254711300018</t>
  </si>
  <si>
    <t xml:space="preserve">Liu, LY; Qian, Y; Zhu, RN; Zhao, LQ; Deng, J</t>
  </si>
  <si>
    <t xml:space="preserve">Liu, Liying; Qian, Yuan; Zhu, Runan; Zhao, Linqing; Deng, Jie</t>
  </si>
  <si>
    <t xml:space="preserve">Generation of recombinant nucleocapsid protein of human metapneumovirus in baculovirus for detecting antibodies in the Beijing population</t>
  </si>
  <si>
    <t xml:space="preserve">Human metapneumovirus; Antigenicity; Virology; Recombinant DNA; Biology; Seroprevalence; Antibody; Population</t>
  </si>
  <si>
    <t xml:space="preserve">LINKED-IMMUNOSORBENT-ASSAY; YOUNG-CHILDREN; SEROPREVALENCE</t>
  </si>
  <si>
    <t xml:space="preserve">Human metapneumovirus (hMPV) is associated with respiratory infections in both adults and children. Recombinant nucleocapsid (N) proteins of hMPV from two major groups of hMPV in Beijing with a 6x His-tag at the C terminus were constructed in a baculovirus and expressed in transfected Sf21 insect cells. The antigenicity and specificity of the expressed recombinant proteins were examined by immunofluorescence assay and western blotting. Preliminary use of the expressed proteins for antibody detection in 187 serum specimens collected from different age groups in Beijing, China, indicated that the purified recombinant N-His proteins were of good antigenicity and specificity and could be a potential antigen for further seroprevalence study of hMPV, especially in the Chinese population. The positive rate for antibody detection suggested that hMPV from two clusters was co-circulating in Beijing and that most of the people in Beijing have been exposed to the virus by age 60.</t>
  </si>
  <si>
    <t xml:space="preserve">[Liu, Liying; Qian, Yuan; Zhu, Runan; Zhao, Linqing; Deng, Jie] Capital Inst Pediat, Virol Lab, Beijing 100020, Peoples R China; [Liu, Liying; Qian, Yuan] Peking Union Med Coll, Grad Sch, Beijing 100730, Peoples R China</t>
  </si>
  <si>
    <t xml:space="preserve">Capital Institute of Pediatrics (CIP); Chinese Academy of Medical Sciences - Peking Union Medical College; Peking Union Medical College</t>
  </si>
  <si>
    <t xml:space="preserve">Qian, Y (corresponding author), Capital Inst Pediat, Virol Lab, 2 Yabao Rd, Beijing 100020, Peoples R China.</t>
  </si>
  <si>
    <t xml:space="preserve">Deng, Jie/F-2413-2017</t>
  </si>
  <si>
    <t xml:space="preserve">National Natural Science Foundation of China [30570080, 30872153]; Beijing Municipal Natural Science Foundation [7052020]; Beijing Municipal Committee for Science and Technology [2006A63]</t>
  </si>
  <si>
    <t xml:space="preserve">National Natural Science Foundation of China(National Natural Science Foundation of China (NSFC)); Beijing Municipal Natural Science Foundation(Beijing Natural Science Foundation); Beijing Municipal Committee for Science and Technology</t>
  </si>
  <si>
    <t xml:space="preserve">The authors wish to thank Professor Yan Li from the Department of Medical Microbiology, University of Manitoba, Canada, Influenza and Respiratory Viruses Section, National Microbiology Laboratory, Public Health Agency of Canada, Canada for providing the rabbit anti-hMPV N hyperimmune serum and Sf21 cells. This study was supported by the National Natural Science Foundation of China ( 30570080; 30872153), Beijing Municipal Natural Science Foundation ( 7052020) and Beijing outstanding personnel training grant (2006A63) from the Beijing Municipal Committee for Science and Technology.</t>
  </si>
  <si>
    <t xml:space="preserve">10.1007/s00705-009-0551-1</t>
  </si>
  <si>
    <t xml:space="preserve">543OM</t>
  </si>
  <si>
    <t xml:space="preserve">WOS:000273588000008</t>
  </si>
  <si>
    <t xml:space="preserve">Zhong, Q; Xu, WD; Wu, YJ; Xu, HX</t>
  </si>
  <si>
    <t xml:space="preserve">Zhong, Qiao; Xu, Weidong; Wu, Yuanjian; Xu, Hongxing</t>
  </si>
  <si>
    <t xml:space="preserve">Patterns of Synonymous Codon Usage on Human Metapneumovirus and Its Influencing Factors</t>
  </si>
  <si>
    <t xml:space="preserve">JOURNAL OF BIOMEDICINE AND BIOTECHNOLOGY</t>
  </si>
  <si>
    <t xml:space="preserve">Codon usage bias; Human metapneumovirus; Biology; Genetics; Genome; Synonymous substitution</t>
  </si>
  <si>
    <t xml:space="preserve">SELECTION; VIRUS; BIAS; EVOLUTION; SEQUENCE</t>
  </si>
  <si>
    <t xml:space="preserve">Human metapneumovirus (HMPV) is an important agent of acute respiratory tract infection in children, while its pathogenicity and molecular evolution are lacking. Herein, we firstly report the synonymous codon usage patterns of HMPV genome. The relative synonymous codon usage (RSCU) values, effective number of codon (ENC) values, nucleotide contents, and correlation analysis were performed among 17 available whole genome of HMPV, including different genotypes. All preferred codons in HMPV are ended with A/U nucleotide and exhibited a great association with its high proportion of these two nucleotides in their genomes. Mutation pressure rather than natural selection is the main influence factor that determines the bias of synonymous codon usage in HMPV. The complementary pattern of codon usage bias between HMPV and human cell was observed, and this phenomenon suggests that host cells might be also act as an important factor to affect the codon usage bias. Moreover, the codon usage biases in each HMPV genotypes are separated into different clades, which suggest that phylogenetic distance might involve in codon usage bias formation as well. These analyses of synonymous codon usage bias in HMPV provide more information for better understanding its evolution and pathogenicity.</t>
  </si>
  <si>
    <t xml:space="preserve">[Zhong, Qiao; Xu, Weidong; Wu, Yuanjian; Xu, Hongxing] Nanjing Med Univ, Dept Lab Med, Suzhou Municipal Hosp, Suzhou 215002, Jiangsu, Peoples R China</t>
  </si>
  <si>
    <t xml:space="preserve">Nanjing Medical University</t>
  </si>
  <si>
    <t xml:space="preserve">Zhong, Q (corresponding author), Nanjing Med Univ, Dept Lab Med, Suzhou Municipal Hosp, 26 Daoqian St, Suzhou 215002, Jiangsu, Peoples R China.</t>
  </si>
  <si>
    <t xml:space="preserve">zhongqiao83@yahoo.com.cn</t>
  </si>
  <si>
    <t xml:space="preserve">Zhong, Qiao/AIF-3024-2022</t>
  </si>
  <si>
    <t xml:space="preserve">zhong, qiao/0000-0003-2412-0325</t>
  </si>
  <si>
    <t xml:space="preserve">Nature &amp; Science project in Suzhou [SYSD2010136]</t>
  </si>
  <si>
    <t xml:space="preserve">Nature &amp; Science project in Suzhou</t>
  </si>
  <si>
    <t xml:space="preserve">This work was supported by the Grant from Nature &amp; Science project in Suzhou (SYSD2010136).</t>
  </si>
  <si>
    <t xml:space="preserve">HINDAWI PUBLISHING CORPORATION</t>
  </si>
  <si>
    <t xml:space="preserve">410 PARK AVENUE, 15TH FLOOR, #287 PMB, NEW YORK, NY 10022 USA</t>
  </si>
  <si>
    <t xml:space="preserve">1110-7243</t>
  </si>
  <si>
    <t xml:space="preserve">J BIOMED BIOTECHNOL</t>
  </si>
  <si>
    <t xml:space="preserve">J. Biomed. Biotechnol.</t>
  </si>
  <si>
    <t xml:space="preserve">10.1155/2012/460837</t>
  </si>
  <si>
    <t xml:space="preserve">Biotechnology &amp; Applied Microbiology; Medicine, Research &amp; Experimental</t>
  </si>
  <si>
    <t xml:space="preserve">Biotechnology &amp; Applied Microbiology; Research &amp; Experimental Medicine</t>
  </si>
  <si>
    <t xml:space="preserve">038XY</t>
  </si>
  <si>
    <t xml:space="preserve">WOS:000311208600001</t>
  </si>
  <si>
    <t xml:space="preserve">Ebihara, T; Endo, R; Kikuta, H; Ishiguro, N; Ishiko, H; Hara, M; Takahashi, Y; Kobayashi, K</t>
  </si>
  <si>
    <t xml:space="preserve">Human metapneumovirus infection in Japanese children</t>
  </si>
  <si>
    <t xml:space="preserve">Human metapneumovirus; Serology; Metapneumovirus; Virology; Respiratory tract infections; Biology; Bronchitis; Pneumonia</t>
  </si>
  <si>
    <t xml:space="preserve">RESPIRATORY-TRACT INFECTIONS; SYNCYTIAL VIRUS; COMMUNITY; SEQUENCE; DISEASE; YOUNG</t>
  </si>
  <si>
    <t xml:space="preserve">Human metapneumovirus (hMPV) has been recently discovered as an etiological agent of acute respiratory infections. Our purpose was to asses the virological and clinical features of children with respiratory infections caused by hMPV. We examined 658 nasopharyngeal swab samples obtained from 637 children with respiratory infections for hMPV by using reverse transcription-PCR (RT-PCR). A total of 268 samples from 637 children were inoculated onto tertiary monkey kidney cells. A total of 36 serum samples (26 in the acute phase and 10 in the convalescent phase) from the 26 hMPV-positive children were tested for immunoglobulin G (IgG) and IgM antibodies to hMPV by using an indirect immunofluorescence assay. We detected hMPV in 57 (8.9%) of the 637 samples by using RT-PCR and isolated 7 (2.6%) hMPV strains of the 268 samples in cell cultures. A total of 12 (46.2%) of 26 hMPV-positive children were suspected to have primary infection with hMPV as determined by an indirect immunofluorescence assay. The infected children were diagnosed as having wheezy bronchitis (36.8%), upper respiratory tract infection (26.3%), bronchitis (22.8%), and pneumonia (14.0%). We showed that two hMPV groups were circulating in different regions during the same period and that reinfection with hMPV frequently occurs in childhood. The RT-PCR test is the most sensitive test for detection of hMPV, and a serological test may be useful to differentiate between primary infection and reinfection with hMPV.</t>
  </si>
  <si>
    <t xml:space="preserve">Hokkaido Univ, Sch Med, Dept Pediat, Kita Ku, Sapporo, Hokkaido 0608638, Japan; Kohnan Hosp, Dept Pediat, Sapporo, Hokkaido, Japan; Mitsubishi Kagaku Bioclin Labs Inc, Dept Infect Dis, Tokyo, Japan; Hara Pediat Clin, Hiroshima, Japan</t>
  </si>
  <si>
    <t xml:space="preserve">Hokkaido Univ, Sch Med, Dept Pediat, Kita Ku, N-15,W-7, Sapporo, Hokkaido 0608638, Japan.</t>
  </si>
  <si>
    <t xml:space="preserve">10.1128/JCM.42.1.126-132.2004</t>
  </si>
  <si>
    <t xml:space="preserve">763VU</t>
  </si>
  <si>
    <t xml:space="preserve">WOS:000188121800020</t>
  </si>
  <si>
    <t xml:space="preserve">Ludewick, HP; Aerts, L; Hamelin, ME; Boivin, G</t>
  </si>
  <si>
    <t xml:space="preserve">Ludewick, Herbert P.; Aerts, Laetitia; Hamelin, Marie-Eve; Boivin, Guy</t>
  </si>
  <si>
    <t xml:space="preserve">Long-term impairment of Streptococcus pneumoniae lung clearance is observed after initial infection with influenza A virus but not human metapneumovirus in mice</t>
  </si>
  <si>
    <t xml:space="preserve">Human metapneumovirus; Streptococcus pneumoniae; Virology; Biology; Virus; Microbiology</t>
  </si>
  <si>
    <t xml:space="preserve">NEURAMINIDASE</t>
  </si>
  <si>
    <t xml:space="preserve">Human metapneumovirus (hMPV) is a paramyxovirus responsible for respiratory tract infections in humans. Our objective was to investigate whether hMPV could predispose to long-term bacterial susceptibility, such as previously observed with influenza viruses. BALB/c mice were infected with hMPV or influenza A and, 14 days following viral infection, challenged with Streptococcus pneumoniae. Only mice previously infected with influenza A demonstrated an 8% weight loss of their body weight 72 h following S. pneumoniae infection, which correlated with an enhanced lung bacterial replication of &gt;7 log(10) compared with pneumococcus infection alone. This enhanced bacterial replication was not related to altered macrophage or neutrophil recruitment or deficient production of critical cytokines. However, bacterial challenge induced the production of gamma interferon in bronchoalveolar lavages of influenza-infected mice, but not in those of hMPV-infected animals. In conclusion, hMPV does not cause long-term impairment of pneumococcus lung clearance, in contrast to influenza A virus.</t>
  </si>
  <si>
    <t xml:space="preserve">[Boivin, Guy] CHU Quebec, Res Ctr Infect Dis, Quebec City, PQ G1V 4G2, Canada; Univ Laval, Quebec City, PQ G1V 4G2, Canada</t>
  </si>
  <si>
    <t xml:space="preserve">Boivin, G (corresponding author), CHU Quebec, Res Ctr Infect Dis, Quebec City, PQ G1V 4G2, Canada.</t>
  </si>
  <si>
    <t xml:space="preserve">Ludewick, Herbert/0000-0001-5398-5112; Boivin, Guy/0000-0003-3027-4662</t>
  </si>
  <si>
    <t xml:space="preserve">Canadian Institutes of Health Research [MOP-151504]</t>
  </si>
  <si>
    <t xml:space="preserve">This study was supported by a research grant from the Canadian Institutes of Health Research to G. B. (MOP-151504). G. B. is a national scholar of the FRSQ and the holder of the Canada Research Chair on Emerging Viruses and Antiviral Resistance. H. P. L. is a postdoctoral scholar from the FRSQ-Respiratory Health Network.</t>
  </si>
  <si>
    <t xml:space="preserve">10.1099/vir.0.030825-0</t>
  </si>
  <si>
    <t xml:space="preserve">790HH</t>
  </si>
  <si>
    <t xml:space="preserve">WOS:000292578600019</t>
  </si>
  <si>
    <t xml:space="preserve">Hsieh, CL; Rush, SA; Palomo, C; Chou, CW; Pickens, W; Más, V; McLellan, JS</t>
  </si>
  <si>
    <t xml:space="preserve">Hsieh, Ching-Lin; Rush, Scott A.; Palomo, Concepcion; Chou, Chia-Wei; Pickens, Whitney; Mas, Vicente; McLellan, Jason S.</t>
  </si>
  <si>
    <t xml:space="preserve">Structure-based design of prefusion-stabilized human metapneumovirus fusion proteins</t>
  </si>
  <si>
    <t xml:space="preserve">Human metapneumovirus; Metapneumovirus; Virology; Neutralizing antibody; Antibody</t>
  </si>
  <si>
    <t xml:space="preserve">CRYO-EM STRUCTURE; NEUTRALIZING ANTIBODIES; GLYCOPROTEIN VACCINE; VERO CELLS; VALIDATION; INTERFACE; SOFTWARE</t>
  </si>
  <si>
    <t xml:space="preserve">The degree to which the conformation of the human metapneumovirus fusion (F) protein affects immunogenicity has been debated. Here, Hsieh et al. engineer prefusion-stabilized F variants with enhanced thermostability that elicit higher neutralizing antibody titers in mice than postfusion F. The human metapneumovirus (hMPV) fusion (F) protein is essential for viral entry and is a key target of neutralizing antibodies and vaccine development. The prefusion conformation is thought to be the optimal vaccine antigen, but previously described prefusion F proteins expressed poorly and were not well stabilized. Here, we use structures of hMPV F to guide the design of 42 variants containing stabilizing substitutions. Through combinatorial addition of disulfide bonds, cavity-filling substitutions, and improved electrostatic interactions, we describe a prefusion-stabilized F protein (DS-CavEs2) that expresses at 15 mg/L and has a melting temperature of 71.9 degrees C. Crystal structures of two prefusion-stabilized hMPV F variants reveal that antigenic surfaces are largely unperturbed. Importantly, immunization of mice with DS-CavEs2 elicits significantly higher neutralizing antibody titers against hMPV A1 and B1 viruses than postfusion F. The improved properties of DS-CavEs2 will advance the development of hMPV vaccines and the isolation of therapeutic antibodies.</t>
  </si>
  <si>
    <t xml:space="preserve">[Hsieh, Ching-Lin; Rush, Scott A.; Chou, Chia-Wei; Pickens, Whitney; McLellan, Jason S.] Univ Texas Austin, Dept Mol Biosci, Austin, TX 78712 USA; [Palomo, Concepcion; Mas, Vicente] Inst Salud Carlos III, Ctr Nacl Microbiol, Madrid, Spain</t>
  </si>
  <si>
    <t xml:space="preserve">University of Texas System; University of Texas Austin; Instituto de Salud Carlos III; Centro Nacional de Microbiologia (CNM)</t>
  </si>
  <si>
    <t xml:space="preserve">McLellan, JS (corresponding author), Univ Texas Austin, Dept Mol Biosci, Austin, TX 78712 USA.</t>
  </si>
  <si>
    <t xml:space="preserve">jmclellan@austin.utexas.edu</t>
  </si>
  <si>
    <t xml:space="preserve">McLellan, Jason/A-6874-2010; Palomo, Concepcion/AAF-4788-2019; Hsieh, Ching-Lin/ABA-6461-2021; Mas, Vicente/M-4776-2015</t>
  </si>
  <si>
    <t xml:space="preserve">McLellan, Jason/0000-0003-3991-542X; Rush, Scott/0000-0002-9601-5068; Pickens, Whitney/0000-0001-6100-8231; Mas, Vicente/0000-0002-0887-0743</t>
  </si>
  <si>
    <t xml:space="preserve">University of Texas College of Natural Sciences; Cancer Prevention and Research Institute of Texas [RR160023]; Welch Foundation [F-0003-19620604]; US Department of Energy (DOE), Office of Biological and Environmental Research [DE-AC02-06CH11357]</t>
  </si>
  <si>
    <t xml:space="preserve">University of Texas College of Natural Sciences; Cancer Prevention and Research Institute of Texas(Cancer Prevention &amp; Research Institute of Texas); Welch Foundation(The Welch Foundation); US Department of Energy (DOE), Office of Biological and Environmental Research(United States Department of Energy (DOE))</t>
  </si>
  <si>
    <t xml:space="preserve">We thank Dr. John Ludes-Meyers, Dr. Kaci Erwin, and Dr. Nianshuang Wang for technical assistance. We acknowledge the University of Texas College of Natural Sciences and award RR160023 of the Cancer Prevention and Research Institute of Texas for support of the EM facility at the University of Texas at Austin. We appreciate Ling Zhou for drawing a mouse cartoon for Fig. 6a. This work was funded in part by Welch Foundation grant number F-0003-19620604 (J.S.M). Argonne is operated by UChicago Argonne, LLC, for the US Department of Energy (DOE), Office of Biological and Environmental Research under Contract DE-AC02-06CH11357.</t>
  </si>
  <si>
    <t xml:space="preserve">10.1038/s41467-022-28931-3</t>
  </si>
  <si>
    <t xml:space="preserve">ZT3MO</t>
  </si>
  <si>
    <t xml:space="preserve">WOS:000769063600022</t>
  </si>
  <si>
    <t xml:space="preserve">Hamelin, ME; Abed, Y; Boivin, G</t>
  </si>
  <si>
    <t xml:space="preserve">Human metapneumovirus: A new player among respiratory viruses</t>
  </si>
  <si>
    <t xml:space="preserve">Human metapneumovirus; Metapneumovirus; Paramyxoviridae; Medicine; Pneumovirinae; Virology; Respiratory tract infections; Immunology; Respiratory tract</t>
  </si>
  <si>
    <t xml:space="preserve">TRACT INFECTIONS; SYNCYTIAL VIRUS; YOUNG-CHILDREN; M-GENE; SEQUENCE; DISEASE; SEROPREVALENCE; PNEUMOVIRUS; PREVALENCE; PNEUMONIA</t>
  </si>
  <si>
    <t xml:space="preserve">The human metapneumovirus (hMPV) is a newly described member of the Paramyxoviridae family belonging to the Metapneumovirus genus. Since its initial description in 2001, hMPV has been reported in most parts of the world and isolated from the respiratory tract of subjects from all age groups. Despite the fact that prospective and case-control studies have been limited, the epidemiology and clinical manifestations associated with hMPV have been found to be reminiscent of those of the human respiratory syncytial virus, with most severe respiratory tract infections occurring in infants, elderly subjects, and immunocompromised hosts. Additional research is needed to define the pathogenesis of this viral infection and the host's specific immune response.</t>
  </si>
  <si>
    <t xml:space="preserve">Ctr Hosp Univ Quebec, Res Ctr Infect Dis, Quebec City, PQ, Canada; Univ Laval, Quebec City, PQ, Canada</t>
  </si>
  <si>
    <t xml:space="preserve">CHU Laval, CHUQ, Rm RC-709,2705 Blvd Laurier, Quebec City, PQ G1V 4G2, Canada.</t>
  </si>
  <si>
    <t xml:space="preserve">10.1086/382536</t>
  </si>
  <si>
    <t xml:space="preserve">805AF</t>
  </si>
  <si>
    <t xml:space="preserve">WOS:000220338500015</t>
  </si>
  <si>
    <t xml:space="preserve">Ogonczyk-Makowska, D; Brun, P; Vacher, C; Chupin, C; Droillard, C; Carbonneau, J; Laurent, E; Dulière, V; Traversier, A; Terrier, O; Julien, T; Galloux, M; Paul, S; Eléouët, JF; Fouret, J; Hamelin, ME; Pizzorno, A; Boivin, G; Rosa-Calatrava, M; Dubois, J</t>
  </si>
  <si>
    <t xml:space="preserve">Ogonczyk-Makowska, Daniela; Brun, Pauline; Vacher, Clemence; Chupin, Caroline; Droillard, Clement; Carbonneau, Julie; Laurent, Emilie; Duliere, Victoria; Traversier, Aurelien; Terrier, Olivier; Julien, Thomas; Galloux, Marie; Paul, Stephane; Eleouet, Jean-Francois; Fouret, Julien; Hamelin, Marie-Eve; Pizzorno, Andres; Boivin, Guy; Rosa-Calatrava, Manuel; Dubois, Julia</t>
  </si>
  <si>
    <t xml:space="preserve">Mucosal bivalent live attenuated vaccine protects against human metapneumovirus and respiratory syncytial virus in mice</t>
  </si>
  <si>
    <t xml:space="preserve">NPJ VACCINES</t>
  </si>
  <si>
    <t xml:space="preserve">Human metapneumovirus; Virology; Bronchiolitis; Metapneumovirus; Bivalent (engine); Virus; Biology; Nasal administration</t>
  </si>
  <si>
    <t xml:space="preserve">INFLUENZA-VIRUS; F-PROTEIN; INFECTION; RSV; GLYCOPROTEIN; IMMUNITY; LACKING; NEUTRALIZATION; PHOSPHOPROTEIN; IMMUNOGENICITY</t>
  </si>
  <si>
    <t xml:space="preserve">Live-Attenuated Vaccines (LAVs) stimulate robust mucosal and cellular responses and have the potential to protect against Respiratory Syncytial Virus (RSV) and Human Metapneumovirus (HMPV), the main etiologic agents of viral bronchiolitis and pneumonia in children. We inserted the RSV-F gene into an HMPV-based LAV (Metavac (R)) we previously validated for the protection of mice against HMPV challenge, and rescued a replicative recombinant virus (Metavac (R)-RSV), exposing both RSV- and HMPV-F proteins at the virion surface and expressing them in reconstructed human airway epithelium models. When administered to BALB/c mice by the intranasal route, bivalent Metavac (R)-RSV demonstrated its capacity to replicate with reduced lung inflammatory score and to protect against both RSV and lethal HMPV challenges in vaccinated mice while inducing strong IgG and broad RSV and HMPV neutralizing antibody responses. Altogether, our results showed the versatility of the Metavac (R) platform and suggested that Metavac (R)-RSV is a promising mucosal bivalent LAV candidate to prevent pneumovirus-induced diseases.</t>
  </si>
  <si>
    <t xml:space="preserve">[Ogonczyk-Makowska, Daniela; Vacher, Clemence; Carbonneau, Julie; Hamelin, Marie-Eve; Boivin, Guy] Ctr Hosp Univ Quebec, Ctr Rech Infectiol, Quebec City, PQ G1V 4G2, Canada; [Ogonczyk-Makowska, Daniela; Vacher, Clemence; Carbonneau, Julie; Hamelin, Marie-Eve; Boivin, Guy; Dubois, Julia] Univ Laval, Quebec City, PQ G1V 4G2, Canada; [Ogonczyk-Makowska, Daniela; Brun, Pauline; Vacher, Clemence; Chupin, Caroline; Droillard, Clement; Carbonneau, Julie; Laurent, Emilie; Duliere, Victoria; Traversier, Aurelien; Julien, Thomas; Fouret, Julien; Hamelin, Marie-Eve; Pizzorno, Andres; Boivin, Guy; Rosa-Calatrava, Manuel; Dubois, Julia] Fac Med RTH Laennec, Ctr Rech Infectiol, Int Res Lab RESPIVIR France Canada, F-69008 Lyon, France; [Ogonczyk-Makowska, Daniela; Brun, Pauline; Vacher, Clemence; Chupin, Caroline; Droillard, Clement; Carbonneau, Julie; Laurent, Emilie; Duliere, Victoria; Traversier, Aurelien; Julien, Thomas; Fouret, Julien; Hamelin, Marie-Eve; Pizzorno, Andres; Boivin, Guy; Rosa-Calatrava, Manuel; Dubois, Julia] Univ Lyon, Univ Claude Bernard Lyon 1, INSERM, CNRS, Lyon, France; [Ogonczyk-Makowska, Daniela; Brun, Pauline; Vacher, Clemence; Chupin, Caroline; Droillard, Clement; Carbonneau, Julie; Laurent, Emilie; Duliere, Victoria; Traversier, Aurelien; Julien, Thomas; Fouret, Julien; Hamelin, Marie-Eve; Pizzorno, Andres; Boivin, Guy; Rosa-Calatrava, Manuel; Dubois, Julia] Univ Laval, Ctr Hosp Univ Quebec, Quebec City, PQ G1V 4G2, Canada; [Brun, Pauline; Vacher, Clemence; Chupin, Caroline; Droillard, Clement; Laurent, Emilie; Duliere, Victoria; Traversier, Aurelien; Terrier, Olivier; Julien, Thomas; Fouret, Julien; Pizzorno, Andres; Rosa-Calatrava, Manuel; Dubois, Julia] Univ Claude Bernard Lyon 1, CIRI Ctr Int Rech Infectiol, Team VirPath, INSERM U1111,CNRS,UMR 5308,ENS Lyon, Lyon, France; [Brun, Pauline; Droillard, Clement; Laurent, Emilie; Duliere, Victoria; Traversier, Aurelien; Julien, Thomas; Pizzorno, Andres; Rosa-Calatrava, Manuel; Dubois, Julia] Univ Lyon, Univ Claude Bernard Lyon 1, Fac Med RTH Laennec, VirNext, F-69008 Lyon, France; [Chupin, Caroline] Vaxxel, 43 Blvd onze novembre 1918, F-69100 Villeurbanne, France; [Galloux, Marie; Eleouet, Jean-Francois] Univ Paris Saclay, INRAE, UVSQ, VIM, F-78350 Jouy En Josas, France; [Paul, Stephane] Univ Jean Monnet St Etienne, Univ Claude Bernard Lyon 1, CIRI Ctr Int Rech Infectiol, INSERM U1111,CNRS,UMR5308,ENS Lyon,Team GIMAP, St Etienne, France; [Fouret, Julien] Univ Lyon, Univ Claude Bernard Lyon 1, Fac Med RTH Laennec, Nexomis, F-69008 Lyon, France</t>
  </si>
  <si>
    <t xml:space="preserve">Laval University; Laval University; Universite Claude Bernard Lyon 1; Centre National de la Recherche Scientifique (CNRS); Institut National de la Sante et de la Recherche Medicale (Inserm); Laval University; Institut National de la Sante et de la Recherche Medicale (Inserm); Universite Claude Bernard Lyon 1; Centre National de la Recherche Scientifique (CNRS); Ecole Normale Superieure de Lyon (ENS de LYON); Universite Claude Bernard Lyon 1; INRAE; Universite Paris Cite; Universite Paris Saclay; Institut National de la Sante et de la Recherche Medicale (Inserm); Universite Claude Bernard Lyon 1; Ecole Normale Superieure de Lyon (ENS de LYON); Centre National de la Recherche Scientifique (CNRS); Universite Claude Bernard Lyon 1</t>
  </si>
  <si>
    <t xml:space="preserve">Dubois, J (corresponding author), Fac Med RTH Laennec, Ctr Rech Infectiol, Int Res Lab RESPIVIR France Canada, F-69008 Lyon, France.;Dubois, J (corresponding author), Univ Lyon, Univ Claude Bernard Lyon 1, INSERM, CNRS, Lyon, France.;Dubois, J (corresponding author), Univ Laval, Ctr Hosp Univ Quebec, Quebec City, PQ G1V 4G2, Canada.;Dubois, J (corresponding author), Univ Claude Bernard Lyon 1, CIRI Ctr Int Rech Infectiol, Team VirPath, INSERM U1111,CNRS,UMR 5308,ENS Lyon, Lyon, France.;Dubois, J (corresponding author), Univ Lyon, Univ Claude Bernard Lyon 1, Fac Med RTH Laennec, VirNext, F-69008 Lyon, France.</t>
  </si>
  <si>
    <t xml:space="preserve">julia.dubois@univ-lyon1.fr</t>
  </si>
  <si>
    <t xml:space="preserve">PAUL, Sebastien/B-4787-2019; Dubois, Julia/AAH-5914-2019; Pizzorno, Andrés/M-9633-2019; Terrier, Olivier/B-6301-2009</t>
  </si>
  <si>
    <t xml:space="preserve">Terrier, Olivier/0000-0001-9393-7684; paul, stephane/0000-0002-8830-4273; Droillard, Clement/0000-0002-3106-6649</t>
  </si>
  <si>
    <t xml:space="preserve">Agence National de la Recherche (ANR) [AAP19 METAVAC-T17]; Region Auvergne-Rhone-Alpes; Canadian Institutes of Health Research [148361]; Universite Laval; Universite Claude Bernard (ETOILE); Centre National de la Recherche Scientifique (International Research Program, CNRS Biologie); Association Nationale Recherche Technologie (ANRT); Region Ile De France (SESAME)</t>
  </si>
  <si>
    <t xml:space="preserve">Agence National de la Recherche (ANR)(Agence Nationale de la Recherche (ANR)); Region Auvergne-Rhone-Alpes(Region Auvergne-Rhone-Alpes); Canadian Institutes of Health Research(Canadian Institutes of Health Research (CIHR)); Universite Laval; Universite Claude Bernard (ETOILE); Centre National de la Recherche Scientifique (International Research Program, CNRS Biologie); Association Nationale Recherche Technologie (ANRT)(Agence Nationale de la Recherche (ANR)); Region Ile De France (SESAME)(Region Ile-de-France)</t>
  </si>
  <si>
    <t xml:space="preserve">This study was supported by grants from Agence National de la Recherche (ANR AAP19 METAVAC-T17), and from Region Auvergne-Rhone-Alpes (R&amp;D booster METABIOSE, Installations de Recherche et d'Innovation Centrees Entreprises, IRICE, and Pack Ambition International 2021, LIA RespiVir) to Manuel Rosa-Calatrava, a grant from Canadian Institutes of Health Research (no. 148361) to Guy Boivin and grants from Universite Laval, Universite Claude Bernard (ETOILE), Centre National de la Recherche Scientifique (International Research Program, CNRS Biologie) to LIA RespiVir France - Canada. Caroline Chupin received the support of the Association Nationale Recherche Technologie (ANRT). The authors would like to thank Dr. Marie-Anne Rameix-Welti for the construction of recombinant rRSV-GFP virus and the Centre d'Imagerie Quantitative Lyon-Est (CIQLE) for support at the EM, confocal and histology platforms. The authors thank Dr. Alexandre Gaymard from Institut des Agents Infectieux, Centre de Biologie et de Pathologie Nord, Hppital de la Croix Rousse, for access to contemporary RSV strains. For access to animal experiment facilities, the authors thank the Infectiology of Fishes and Rodent facility (IERP, INRAE) and the CELPHEDIA Infrastructure (http://www.celphedia.eu/), especially the center AniRA PBES facility in Lyon. The authors acknowledge the contribution of the Emerg'in platform for access to IVIS200, which was financed by the Region Ile De France (SESAME).</t>
  </si>
  <si>
    <t xml:space="preserve">2059-0105</t>
  </si>
  <si>
    <t xml:space="preserve">npj Vaccines</t>
  </si>
  <si>
    <t xml:space="preserve">JUN 19</t>
  </si>
  <si>
    <t xml:space="preserve">10.1038/s41541-024-00899-9</t>
  </si>
  <si>
    <t xml:space="preserve">UX8X8</t>
  </si>
  <si>
    <t xml:space="preserve">WOS:001251466500001</t>
  </si>
  <si>
    <t xml:space="preserve">Baños-Lara, MD; Piao, BY; Guerrero-Plata, A</t>
  </si>
  <si>
    <t xml:space="preserve">Banos-Lara, Ma. Del Rocio; Piao, Boyang; Guerrero-Plata, Antonieta</t>
  </si>
  <si>
    <t xml:space="preserve">Differential Mucin Expression by Respiratory Syncytial Virus and Human Metapneumovirus Infection in Human Epithelial Cells</t>
  </si>
  <si>
    <t xml:space="preserve">Human metapneumovirus; Metapneumovirus; Mucin; Virology; Virus; Biology; Immune system; Paramyxoviridae; Innate immune system; Immunology; Respiratory system; Bronchiolitis</t>
  </si>
  <si>
    <t xml:space="preserve">GENE-EXPRESSION; DENDRITIC CELLS; INTERFERON; CYTOKINES; INFANTS; DISEASE; MUC5AC; TRACT</t>
  </si>
  <si>
    <t xml:space="preserve">Mucins (MUC) constitute an important component of the inflammatory and innate immune response. However, the expression of these molecules by respiratory viral infections is still largely unknown. Respiratory syncytial virus (RSV) and human metapneumovirus (hMPV) are two close-related paramyxoviruses that can cause severe low respiratory tract disease in infants and young children worldwide. Currently, there is not vaccine available for neither virus. In this work, we explored the differential expression of MUC by RSV and hMPV in human epithelial cells. Our data indicate that the MUC expression by RSV and hMPV differs significantly, as we observed a stronger induction of MUC8, MUC15, MUC20, MUC21, and MUC22 by RSV infection while the expression of MUC1, MUC2, and MUC5B was dominated by the infection with hMPV. These results may contribute to the different immune response induced by these two respiratory viruses.</t>
  </si>
  <si>
    <t xml:space="preserve">[Banos-Lara, Ma. Del Rocio; Piao, Boyang; Guerrero-Plata, Antonieta] Louisiana State Univ, Dept Pathobiol Sci, Baton Rouge, LA 70803 USA; [Guerrero-Plata, Antonieta] Louisiana State Univ, Ctr Expt Infect Dis Res, Baton Rouge, LA 70803 USA</t>
  </si>
  <si>
    <t xml:space="preserve">Banos-Lara, Ma. del Rocio/0000-0002-8727-1326; Guerrero-Plata, Antonieta/0000-0002-0424-2563; Banos Lara, Ma. del Rocio/0000-0002-8455-8671</t>
  </si>
  <si>
    <t xml:space="preserve">National Center for Research Resources [P20RR020159-09]; National Institute of General Medical Sciences from the National Institutes of Health [P20GM103458-09]; LSU Office for Strategic Initiatives and the Science, Engineering, and Mathematics (STEM) Scholars Program</t>
  </si>
  <si>
    <t xml:space="preserve">National Center for Research Resources(United States Department of Health &amp; Human ServicesNational Institutes of Health (NIH) - USANIH National Center for Research Resources (NCRR)); National Institute of General Medical Sciences from the National Institutes of Health; LSU Office for Strategic Initiatives and the Science, Engineering, and Mathematics (STEM) Scholars Program</t>
  </si>
  <si>
    <t xml:space="preserve">This research work was supported by Grants from the National Center for Research Resources (P20RR020159-09) and the National Institute of General Medical Sciences (P20GM103458-09) from the National Institutes of Health to Antonieta Guerrero-Plata. Boyang Piao was supported by scholarships from the LSU Office for Strategic Initiatives and the Science, Engineering, and Mathematics (STEM) Scholars Program.</t>
  </si>
  <si>
    <t xml:space="preserve">10.1155/2015/347292</t>
  </si>
  <si>
    <t xml:space="preserve">CH1RI</t>
  </si>
  <si>
    <t xml:space="preserve">WOS:000353798600001</t>
  </si>
  <si>
    <t xml:space="preserve">Ishiguro, N; Ebihara, T; Endo, R; Ma, XM; Kikuta, H; Ishiko, H; Kobayashi, K</t>
  </si>
  <si>
    <t xml:space="preserve">High genetic diversity of the attachment (G) protein of human metapneumovirus</t>
  </si>
  <si>
    <t xml:space="preserve">Human metapneumovirus; Biology; Phylogenetic tree; Amino acid; Genetics</t>
  </si>
  <si>
    <t xml:space="preserve">RESPIRATORY SYNCYTIAL VIRUS; G-GLYCOPROTEIN; SUBGROUP-A; ANTIGENIC RELATEDNESS; SEQUENCE CONSERVATION; EVOLUTIONARY PATTERN; TRACT INFECTIONS; F-GLYCOPROTEIN; YOUNG-CHILDREN; G-PROTEIN</t>
  </si>
  <si>
    <t xml:space="preserve">Complete genes encoding the predicted nucleoprotein (N), phosphoprotein (P), matrix protein (M), fusion protein (F), M2-1protein, M2-2protein, small hydrophobic protein (SH), and attachmentprotein (G) of seven newly isolated human metapneumoviruses (hMPVs) were analyzed and compared with previously published data for hMPV genes. Phylogenetic analysis of the nucleotide sequences indicated that there were two genetic groups, tentatively named groups I and 2, similar to the grouping of human respiratory syncytial virus. Although the predicted amino acid sequences of N, P, M, F, and M2 were highly conserved between the two groups (amino acid identities, 96% for N, 85% for P, 97% for M, 94% for F, 95% for M2-1, and 90% for M2-2), the amino acid identities of the SH and G proteins were low (SH, 58%; G, 33%). Furthermore, each group could be subdivided into two subgroups by phylogenetic analysis, tentatively named subgroups 1A and 113 and subgroups 2A and 2B. The predicted amino acid sequences of G within members of each subgroup were highly conserved (amino acid identities, 88% for group 1A, 93% for group 113, and 96% for group 213). The G of hMPV is thought to be the major antigenic determinant and to play an important role in the production of neutralizing antibodies. Clarification of the antigenic diversity of G is important for epidemiological analysis and for establishment of strategies to prevent hMPV infection.</t>
  </si>
  <si>
    <t xml:space="preserve">Hokkaido Univ, Grad Sch Med, Dept Pediat, Kita Ku, Sapporo, Hokkaido 0608638, Japan; Mitsubishi Kagaku Bio Clin Lab, Dept Infect Dis, Tokyo, Japan</t>
  </si>
  <si>
    <t xml:space="preserve">10.1128/JCM.42.8.3406-3414.2004</t>
  </si>
  <si>
    <t xml:space="preserve">846AH</t>
  </si>
  <si>
    <t xml:space="preserve">WOS:000223286500004</t>
  </si>
  <si>
    <t xml:space="preserve">Matsuzaki, Y; Mizuta, K; Takashita, E; Okamoto, M; Itagaki, T; Katsushima, F; Katsushima, Y; Nagai, Y; Nishimura, H</t>
  </si>
  <si>
    <t xml:space="preserve">Matsuzaki, Yoko; Mizuta, Katsumi; Takashita, Emi; Okamoto, Michiko; Itagaki, Tsutomu; Katsushima, Fumio; Katsushima, Yuriko; Nagai, Yukio; Nishimura, Hidekazu</t>
  </si>
  <si>
    <t xml:space="preserve">Comparison of virus isolation using the Vero E6 cell line with real-time RT-PCR assay for the detection of human metapneumovirus</t>
  </si>
  <si>
    <t xml:space="preserve">Human metapneumovirus; Vero cell; Virology; Real-time polymerase chain reaction; Metapneumovirus; Medical microbiology; Cell culture; Biology</t>
  </si>
  <si>
    <t xml:space="preserve">INFECTIONS; YAMAGATA; CHILDREN; YOUNG</t>
  </si>
  <si>
    <t xml:space="preserve">Background: The use of cell culture for the diagnosis of human metapneumovirus (hMPV) infection is uncommon at present and molecular method such as reverse-transcription PCR (RT-PCR) has been widely and most commonly used as the preferred test. We aimed to compare the results of virus isolation using Vero E6 cells with real-time RT-PCR for the detection of hMPV, since such a comparison data is not available. Methods: Between December 2007 and July 2008, we obtained 224 nasopharyngeal swab specimens from patients with acute respiratory infection and tested by the two methods. Results: Forty-three (19.2%) were found positive by cell culture and 62 (27.7%) by real-time RT-PCR. Cell cultures were positive for 42 of 62 specimens found positive by real-time RT-PCR (67.7% sensitivity) and for 1 of 162 specimens found negative by real-time RT-PCR (99.4% specificity), respectively. The sensitivity of the cell culture was 76.2-87.5% (mean 81.8%) when specimens were collected within 3 days after the onset of symptoms, and the sensitivity decreased to 50% or less thereafter. Among specimens collected within 3 days after symptom onset, all of the real-time RT-PCR positive specimens having a viral load of more than 1.25 x 10(5) copies/ml were found positive by cell culture. Conclusions: Cell culture using Vero E6 cell line has 81.8% sensitivity compared with the real-time RT-PCR method, when specimens are collected within 3 days after the onset of symptoms. Thus, this method is a useful method for epidemiological and virological research even in facilities with minimal laboratory resources.</t>
  </si>
  <si>
    <t xml:space="preserve">[Mizuta, Katsumi] Yamagata Prefectural Inst Publ Hlth, Dept Microbiol, Yamagata 9900031, Japan; [Matsuzaki, Yoko] Yamagata Univ, Fac Med, Course Clin Nursing, Yamagata 9909585, Japan; [Takashita, Emi] Natl Inst Infect Dis, Influenza Virus Res Ctr, Tokyo 2080011, Japan; [Okamoto, Michiko; Nishimura, Hidekazu] Sendai Med Ctr, Div Clin Res, Virus Res Ctr, Miyagino Ku, Sendai, Miyagi 9838520, Japan; [Itagaki, Tsutomu] Yamanobe Pediat Clin, Yamagata 9900301, Japan; [Katsushima, Fumio; Katsushima, Yuriko] Katsushima Pediat Clin, Yamagata 9902461, Japan; [Nagai, Yukio] Nagai Childrens Clin, Miyagino Ku, Sendai, Miyagi 9830045, Japan; [Matsuzaki, Yoko] Yamagata Univ, Fac Med, Dept Infect Dis, Yamagata 9909585, Japan; [Okamoto, Michiko] Tohoku Univ, Grad Sch Med, Dept Virol, Aoba Ku, Sendai, Miyagi 9808575, Japan</t>
  </si>
  <si>
    <t xml:space="preserve">Yamagata University; National Institute of Infectious Diseases (NIID); Yamagata University; Tohoku University</t>
  </si>
  <si>
    <t xml:space="preserve">Mizuta, K (corresponding author), Yamagata Prefectural Inst Publ Hlth, Dept Microbiol, Tokamachi 1-6-6, Yamagata 9900031, Japan.</t>
  </si>
  <si>
    <t xml:space="preserve">mizutak@eiken.yamagata.yamagata.jp</t>
  </si>
  <si>
    <t xml:space="preserve">Ohkura Pharmaceutical Co., Ltd.; Grants-in-Aid for Scientific Research [21591380] Funding Source: KAKEN</t>
  </si>
  <si>
    <t xml:space="preserve">Ohkura Pharmaceutical Co., Ltd.; Grants-in-Aid for Scientific Research(Ministry of Education, Culture, Sports, Science and Technology, Japan (MEXT)Japan Society for the Promotion of ScienceGrants-in-Aid for Scientific Research (KAKENHI))</t>
  </si>
  <si>
    <t xml:space="preserve">This work was supported in part by Ohkura Pharmaceutical Co., Ltd. We also thank the medical staff and people of Yamagata Prefecture and of Miyagi Prefecture for their collaboration in specimen collection for the surveillance of viral infectious diseases.</t>
  </si>
  <si>
    <t xml:space="preserve">10.1186/1471-2334-10-170</t>
  </si>
  <si>
    <t xml:space="preserve">625LY</t>
  </si>
  <si>
    <t xml:space="preserve">WOS:000279898000001</t>
  </si>
  <si>
    <t xml:space="preserve">Semple, MG; Cowell, A; Dove, W; Greensill, J; McNamara, PS; Halfhide, C; Shears, P; Smyth, RL; Hart, CA</t>
  </si>
  <si>
    <t xml:space="preserve">Dual infection of infants by human metapneumovirus and human respiratory syncytial virus is strongly associated with severe bronchiolitis</t>
  </si>
  <si>
    <t xml:space="preserve">Human metapneumovirus; Bronchiolitis; Bronchoalveolar lavage; Virology; Medicine; Virus</t>
  </si>
  <si>
    <t xml:space="preserve">BRONCHOALVEOLAR LAVAGE; DISEASE SEVERITY; CHILDREN</t>
  </si>
  <si>
    <t xml:space="preserve">The association between severe bronchiolitis and dual infection by human metapneumovirus (hMPV) and human respiratory syncytial virus (hRSV) was investigated in &lt;2-year-old infants with bronchiolitis who were admitted to the hospital during the 2001-2002 winter season. hMPV in nasopharyngeal aspirate and/or cells and fluid collected by nonbronchoscopic bronchoalveolar lavage was detected by reverse transcriptase-polymerase chain reaction (RT-PCR). hRSV was detected in nasopharyngeal aspirate and/or cells and fluid collected by nonbronchoscopic bronchoalveolar lavage by enzyme immunoassay, tissue culture, and RT-PCR. Dual infection with hMPV and hRSV confers a 10-fold increase in relative risk (RR) of admission to a pediatric intensive-care unit for mechanical ventilation (RR, 10.99 [95% confidence interval, 5.0-24.12];, by P &lt; .001 Fisher exact test). Dual infection by hMPV and hRSV is associated with severe bronchiolitis.</t>
  </si>
  <si>
    <t xml:space="preserve">Univ Liverpool, Dept Child Hlth, Liverpool L69 3BX, Merseyside, England; Univ Liverpool, Dept Med Microbiol &amp; Genitourinary Med, Liverpool L69 3BX, Merseyside, England; Royal Liverpool Childrens Hosp NHS Trust Alder He, Liverpool, Merseyside, England</t>
  </si>
  <si>
    <t xml:space="preserve">Univ Liverpool, Royal Liverpool Childrens Hosp Alder Hey, Inst Child Hlth, Dept Child Hlth, Eaton Rd, Liverpool L12 2AP, Merseyside, England.</t>
  </si>
  <si>
    <t xml:space="preserve">Semple, Malcolm Gracie/0000-0001-9700-0418; McNamara, Paul/0000-0002-7055-6034</t>
  </si>
  <si>
    <t xml:space="preserve">10.1086/426457</t>
  </si>
  <si>
    <t xml:space="preserve">885BH</t>
  </si>
  <si>
    <t xml:space="preserve">WOS:000226130500009</t>
  </si>
  <si>
    <t xml:space="preserve">Landry, ML; Cohen, S; Ferguson, D</t>
  </si>
  <si>
    <t xml:space="preserve">Landry, Marie L.; Cohen, Sandra; Ferguson, David</t>
  </si>
  <si>
    <t xml:space="preserve">Prospective study of human metapneumovirus detection in clinical samples by use of light diagnostics direct immunofluorescence reagent and real-time PCR</t>
  </si>
  <si>
    <t xml:space="preserve">Human metapneumovirus; TaqMan; Virology; Immunofluorescence; Biology</t>
  </si>
  <si>
    <t xml:space="preserve">RESPIRATORY VIRUSES; RAPID DETECTION; INFECTIONS; SECRETIONS; SPECIMENS; CULTURES; STRAINS; ASSAYS; YOUNG</t>
  </si>
  <si>
    <t xml:space="preserve">A Light Diagnostics human metapneumovirus (HMPV) monoclonal antibody reagent was evaluated using cytospin-enhanced direct immunofluorescence (DFA), and the results were compared to those for TaqMan reverse transcription-PCR (RT-PCR). Of the 202 samples tested, 48 were positive by RT-PCR, and 41 (85.4%) of these were positive by DFA (P = 0.0771). The commercial availability of an HMPV DFA reagent will be of significant benefit to clinical laboratories.</t>
  </si>
  <si>
    <t xml:space="preserve">Yale Univ, Sch Med, Dept Lab Med, New Haven, CT 06520 USA; Yale New Haven Med Ctr, Dept Lab Med, New Haven, CT 06504 USA</t>
  </si>
  <si>
    <t xml:space="preserve">10.1128/JCM.01926-07</t>
  </si>
  <si>
    <t xml:space="preserve">275GL</t>
  </si>
  <si>
    <t xml:space="preserve">WOS:000254059800041</t>
  </si>
  <si>
    <t xml:space="preserve">Teeratakulpisarn, J; Ekalaksananan, T; Pientong, C; Limwattananon, C</t>
  </si>
  <si>
    <t xml:space="preserve">Teeratakulpisarn, Jamaree; Ekalaksananan, Tipaya; Pientong, Charnsai; Limwattananon, Chulaporn</t>
  </si>
  <si>
    <t xml:space="preserve">Human metapneumovirus and respiratory syncytial virus detection in young children with acute bronchiolitis</t>
  </si>
  <si>
    <t xml:space="preserve">INFECTION; INFANTS; PICORNAVIRUSES; ASTHMA</t>
  </si>
  <si>
    <t xml:space="preserve">This study was conducted to detect human metapneumovirus (hMPV) and respiratory syncytial virus (RSV) in young children hospitalized with acute bronchiolitis, using reverse transcriptase polymerase chain reaction (RT-PCR). Nasopharyngeal secretions were collected from 170 children between 1 and 24 months of age admitted to two tertiary hospitals in northeastern Thailand, between 2002 and 2004. Acute bronchiolitis was defined as the first episode of wheezing associated with tachypnea, increased respiratory effort and an upper respiratory tract infection. Two-thirds (115/170) were positive for viral etiologies: 64.7% RSV (110/170) and 3.5% hMPV (6/170). One patient had a dual infection. hMPV was detected between August and November, while RSV was prevalent from July through March. The clinical manifestations among the 6 hMPV, RSV and non-RSV-infected children were similar. RSV was the leading cause of acute bronchiolitis in young children and hMPV had a low prevalence in northeastern Thailand.</t>
  </si>
  <si>
    <t xml:space="preserve">Khon Kaen Univ, Fac Med, Dept Pediat, Khon Kaen, Thailand; Khon Kaen Univ, Fac Med, Dept Microbiol, Khon Kaen, Thailand; Khon Kaen Univ, Fac Pharmaceut Sci, Dept Clin Pharm, Khon Kaen, Thailand</t>
  </si>
  <si>
    <t xml:space="preserve">Khon Kaen University; Khon Kaen University; Khon Kaen University</t>
  </si>
  <si>
    <t xml:space="preserve">JUN-SEP</t>
  </si>
  <si>
    <t xml:space="preserve">2-3</t>
  </si>
  <si>
    <t xml:space="preserve">229PM</t>
  </si>
  <si>
    <t xml:space="preserve">WOS:000250816500006</t>
  </si>
  <si>
    <t xml:space="preserve">Von Linstow, ML; Larsen, HH; Eugen-Olsen, J; Koch, A; Winther, TN; Meyer, AM; Westh, H; Lundgren, B; Melbye, M; Hogh, B</t>
  </si>
  <si>
    <t xml:space="preserve">Human Metapneumovirus and respiratory syncytial virus in hospitalized Danish children with acute respiratory tract infection</t>
  </si>
  <si>
    <t xml:space="preserve">Human metapneumovirus; Medicine; Respiratory system; Danish; Bronchitis; Metapneumovirus; Respiratory tract infections; Respiratory tract</t>
  </si>
  <si>
    <t xml:space="preserve">YOUNG-CHILDREN; DISEASE; PREVALENCE; INFANTS</t>
  </si>
  <si>
    <t xml:space="preserve">The newly discovered human metapneumovirus (hMPV) has been shown to be associated with respiratory illness. We determined the frequencies and clinical features of hMPV and respiratory syncytial virus (RSV) infections in 374 Danish children with 383 episodes of acute respiratory tract infection (ARTI). Study material comprised routine nasopharyngeal aspirates obtained during 2 winter seasons (November - May) 1999 - 2000 and 2001 - 2002 from children hospitalized at the Departments of Paediatrics, Hvidovre Hospital and Amager Hospital, Denmark. hMPV was detected in 11 ( 2.9%) and RSV in 190 (49.6%) ARTI episodes by real-time reverse transcription-polymerase chain reaction using primers targeting the hMPV N gene and the RSV L gene. Two children were co-infected with hMPV and RSV. They were excluded from statistical analysis. Hospitalization for ARTI caused by hMPV was restricted to very young children 1 - 6 months of age. Asthmatic bronchitis was diagnosed in 66.7% of hMPV and 10.6% of RSV-infected children ( p&lt; 0.001). Overall symptoms and clinical findings were similar among hMPV and RSV positive episodes, but more RSV-infected children required respiratory support. hMPV is present in young Danish children hospitalized with ARTI although less frequent than RSV and with a tendency to a milder clinical course.</t>
  </si>
  <si>
    <t xml:space="preserve">Univ Copenhagen, Hvidovre Hosp, Dept Paediat, DK-2650 Hvidovre, Denmark; Univ Copenhagen, Hvidovre Hosp, Dept Microbiol, DK-2650 Hvidovre, Denmark; Univ Copenhagen, Hvidovre Hosp, Clin Res Unit, DK-2650 Hvidovre, Denmark; Statens Serum Inst, Dept Epidemiol Res, DK-2300 Copenhagen, Denmark</t>
  </si>
  <si>
    <t xml:space="preserve">Univ Copenhagen, Hvidovre Hosp, Dept Paediat 531, Kettegard Alle 30, DK-2650 Hvidovre, Denmark.</t>
  </si>
  <si>
    <t xml:space="preserve">melbye, mads/0000-0001-8264-6785; Eugen-Olsen, Jesper/0000-0002-4630-4275; Koch, Anders/0000-0001-9205-1048; von Linstow, Marie-Louise/0000-0002-9956-7941; Westh, Henrik/0000-0001-5681-647X</t>
  </si>
  <si>
    <t xml:space="preserve">10.1080/00365540410018166</t>
  </si>
  <si>
    <t xml:space="preserve">845LB</t>
  </si>
  <si>
    <t xml:space="preserve">WOS:000223243000006</t>
  </si>
  <si>
    <t xml:space="preserve">Bouscambert-Duchamp, M; Lina, B; Trompette, A; Moret, H; Motte, J; Andréoletti, L</t>
  </si>
  <si>
    <t xml:space="preserve">Detection of human metapneumovirus RNA sequences in nasopharyngeal aspirates of young French children with acute bronchiolitis by real-time reverse transcriptase PCR and phylogenetic analysis</t>
  </si>
  <si>
    <t xml:space="preserve">Human metapneumovirus; Bronchiolitis; Rhinovirus; Virology; Virus; Reverse transcriptase; Biology; Paramyxoviridae</t>
  </si>
  <si>
    <t xml:space="preserve">RESPIRATORY SYNCYTIAL VIRUS; INFANTS; TRACT; INFECTIONS; DISEASE; SWABS</t>
  </si>
  <si>
    <t xml:space="preserve">Human metapneumovirus (HMPV) was the unique viral pathogen detected by a real-time reverse transcriptase PCR (RT-PCR) assay in 6 (6.4%) of 94 consecutive French children hospitalized for acute bronchiolitis from September 2001 to June 2002. This virus was identified as the third etiological cause of bronchiolitis, after respiratory syncytial virus and rhinovirus (35 [37%] and 21 [22%] of 94 cases, respectively). Phylogenetic analysis of F-gene sequences demonstrated the cocirculation of distinct HMPV genotypes during this study. These findings highlight the need to implement a rapid HMPV RT-PCR detection assay for the clinical diagnosis of respiratory infections in pediatric patients with bronchiolitis.</t>
  </si>
  <si>
    <t xml:space="preserve">Hop Robert Debre, Microbiol Serv, Virol Lab, CHU &amp; ER 3798,IFR 53,Fac Med Reims, F-51092 Reims, France; Hospices Civils Lyon, Virol Lab, Lyon, France; Fac Med Reims, IFR 53, Serv Urgences Medico Chirurg Pediat, Champagne Ardenne, France; Fac Med Reims, IFR 53, ER 3798, Champagne Ardenne, France</t>
  </si>
  <si>
    <t xml:space="preserve">Universite de Reims Champagne-Ardenne; CHU de Reims; CHU Lyon</t>
  </si>
  <si>
    <t xml:space="preserve">Hop Robert Debre, Microbiol Serv, Virol Lab, CHU &amp; ER 3798,IFR 53,Fac Med Reims, Ave Gen Koenig, F-51092 Reims, France.</t>
  </si>
  <si>
    <t xml:space="preserve">Andreoletti, Laurent/AAQ-2756-2020; lina, bruno/N-3663-2019</t>
  </si>
  <si>
    <t xml:space="preserve">ANDREOLETTI, LAURENT/0000-0002-7440-8880; lina, bruno/0000-0002-8959-2123</t>
  </si>
  <si>
    <t xml:space="preserve">10.1128/JCM.43.3.1411-1414.2005</t>
  </si>
  <si>
    <t xml:space="preserve">WOS:000227538900067</t>
  </si>
  <si>
    <t xml:space="preserve">Janssen, K; Floré, K; Piette, A; Vankeerberghen, A; Padalko, E</t>
  </si>
  <si>
    <t xml:space="preserve">Janssen, Karen; Flore, Katelijne; Piette, Anne; Vankeerberghen, Anne; Padalko, Elizaveta</t>
  </si>
  <si>
    <t xml:space="preserve">Implementation of real-time RT-PCR for detection of human metapneumovirus and its comparison with enzyme immunoassay</t>
  </si>
  <si>
    <t xml:space="preserve">Human metapneumovirus; Virology; Metapneumovirus; Biology; Immunoassay; Virus; Bronchiolitis</t>
  </si>
  <si>
    <t xml:space="preserve">RESPIRATORY-TRACT INFECTIONS; NUCLEIC-ACID EXTRACTION; NASOPHARYNGEAL SECRETIONS; CHILDREN; ASSAYS</t>
  </si>
  <si>
    <t xml:space="preserve">Human metapneumovirus (hMPV) is responsible for outbreaks of bronchiolitis in winter and early spring in young children. Due to the relatively recent discovery of hMPV, the diagnostic opportunities are limited, while differential diagnosis with respiratory syncytial virus (RSV) remains important. We validated the RT-PCR by comparing various methods of RNA extraction, one-step RT-PCR kits and primer-probe combinations. The optimized RT-PCR was evaluated using 47 nasopharyngeal aspirates (NPAs) collected from children younger than 5 years, with clinically suspected RSV infection. The evaluated RT-PCRs were also compared to a commercially available hMPV enzyme immunoassay (EIA). We found 8.5% hMPV positivity with both RT-PCRs, in agreement with published literature. hMPV EIA showed positive and indeterminate results in 17% and 8.5%, respectively, of the tested NPAs. Positive RT-PCR samples were positive or indeterminate by hMPV EIA. Samples that were positive for RSV and influenza A virus interfered with the hMPV EIA. In conclusion, although RT-PCR is already a valuable tool for diagnosing hMPV infections, further optimization of the RT-PCR method is recommended. The hMPV EIA kit shows poor specificity and therefore needs further improvement.</t>
  </si>
  <si>
    <t xml:space="preserve">[Janssen, Karen; Flore, Katelijne; Piette, Anne; Padalko, Elizaveta] Ghent Univ Hosp, Dept Clin Chem Microbiol &amp; Immunol, B-9000 Ghent, Belgium; [Vankeerberghen, Anne] Onze Lieve Vrouw OLV Hosp, Mol Biol Lab, B-9300 Aalst, Belgium</t>
  </si>
  <si>
    <t xml:space="preserve">Ghent University; Ghent University Hospital</t>
  </si>
  <si>
    <t xml:space="preserve">Padalko, E (corresponding author), Ghent Univ Hosp, Dept Clin Chem Microbiol &amp; Immunol, Pintelaan 185,2P8, B-9000 Ghent, Belgium.</t>
  </si>
  <si>
    <t xml:space="preserve">Anne.Vankeerberghen@olvz-aalst.be; elizaveta.padalko@uzgent.be</t>
  </si>
  <si>
    <t xml:space="preserve">10.1007/s00705-009-0573-8</t>
  </si>
  <si>
    <t xml:space="preserve">WOS:000274199000007</t>
  </si>
  <si>
    <t xml:space="preserve">Mok, H; Tollefson, SJ; Podsiad, AB; Shepherd, BE; Polosukhin, VV; Johnston, RE; Williams, JV; Crowe, JE</t>
  </si>
  <si>
    <t xml:space="preserve">Mok, Hoyin; Tollefson, Sharon J.; Podsiad, Amy B.; Shepherd, Bryan E.; Polosukhin, Vasiliy V.; Johnston, Robert E.; Williams, John V.; Crowe, James E., Jr.</t>
  </si>
  <si>
    <t xml:space="preserve">An Alphavirus Replicon-Based Human Metapneumovirus Vaccine Is Immunogenic and Protective in Mice and Cotton Rats</t>
  </si>
  <si>
    <t xml:space="preserve">Biology; Virology; Human metapneumovirus; Immunogenicity; Neutralizing antibody</t>
  </si>
  <si>
    <t xml:space="preserve">RESPIRATORY SYNCYTIAL VIRUS; EQUINE ENCEPHALITIS-VIRUS; ATTACHMENT G-GLYCOPROTEIN; T-LYMPHOCYTE RESPONSE; CYSTEINE-RICH REGION; TRACT INFECTIONS; SURFACE GLYCOPROTEINS; GENETIC-VARIABILITY; F-PROTEIN; IN-VIVO</t>
  </si>
  <si>
    <t xml:space="preserve">Human metapneumovirus (hMPV) is a recently discovered paramyxovirus that causes upper and lower respiratory tract infections in infants, the elderly, and immunocompromised individuals worldwide. Here, we developed Venezuelan equine encephalitis virus replicon particles (VRPs) encoding hMPV fusion (F) or attachment (G) glycoproteins and evaluated the immunogenicity and protective efficacy of these vaccine candidates in mice and cotton rats. VRPs encoding hMPV F protein, when administered intranasally, induced F-specific virus-neutralizing antibodies in serum and immunoglobulin A (IgA) antibodies in secretions at the respiratory mucosa. Challenge virus replication was reduced significantly in both the upper and lower respiratory tracts following intranasal hMPV challenge in these animals. However, vaccination with hMPV G protein VRPs did not induce neutralizing antibodies or protect animals from hMPV challenge. Close examination of the histopathology of the lungs of VRP-MPV F-vaccinated animals following hMPV challenge revealed no enhancement of inflammation or mucus production. Aberrant cytokine gene expression was not detected in these animals. Together, these results represent an important first step toward the use of VRPs encoding hMPV F proteins as a prophylactic vaccine for hMPV.</t>
  </si>
  <si>
    <t xml:space="preserve">[Mok, Hoyin; Tollefson, Sharon J.; Podsiad, Amy B.; Williams, John V.; Crowe, James E., Jr.] Vanderbilt Univ, Med Ctr, Dept Pediat, Nashville, TN 37232 USA; [Williams, John V.; Crowe, James E., Jr.] Vanderbilt Univ, Med Ctr, Dept Microbiol &amp; Immunol, Nashville, TN 37232 USA; [Shepherd, Bryan E.] Vanderbilt Univ, Med Ctr, Dept Biostat, Nashville, TN 37232 USA; [Polosukhin, Vasiliy V.] Vanderbilt Univ, Med Ctr, Dept Med, Nashville, TN 37232 USA; [Mok, Hoyin; Crowe, James E., Jr.] Vanderbilt Univ, Med Ctr, Program Vaccine Sci, Nashville, TN 37232 USA; [Johnston, Robert E.] Univ N Carolina, Sch Med, Dept Microbiol &amp; Immunol, Chapel Hill, NC 27599 USA; [Johnston, Robert E.] Univ N Carolina, Sch Med, Carolina Vaccine Inst, Chapel Hill, NC 27599 USA</t>
  </si>
  <si>
    <t xml:space="preserve">Vanderbilt University; Vanderbilt University; Vanderbilt University; Vanderbilt University; Vanderbilt University; University of North Carolina; University of North Carolina Chapel Hill; University of North Carolina School of Medicine; University of North Carolina; University of North Carolina Chapel Hill; University of North Carolina School of Medicine</t>
  </si>
  <si>
    <t xml:space="preserve">Crowe, JE (corresponding author), T-2220 Med Ctr N,1161 21st Ave S, Nashville, TN 37232 USA.</t>
  </si>
  <si>
    <t xml:space="preserve">Williams, John/ABE-3227-2020; Crowe, James/B-5549-2009; Williams, John/F-6962-2010</t>
  </si>
  <si>
    <t xml:space="preserve">National Institutes of Health [R01 AI-59597, CA68485, DK20593, DK58404, HD15052]; Burroughs Wellcome Fund</t>
  </si>
  <si>
    <t xml:space="preserve">National Institutes of Health(United States Department of Health &amp; Human ServicesNational Institutes of Health (NIH) - USA); Burroughs Wellcome Fund(Burroughs Wellcome Fund)</t>
  </si>
  <si>
    <t xml:space="preserve">We thank Nancy L. Davis and Martha Collier for their technical assistance with VRP replicon cloning and packaging, the Vanderbilt Immunohistochemistry Core for assistance with specimen processing, and the VUMC Cell Imaging Shared Resources for support of confocal imaging experiments.This work was supported by a grant from the National Institute of Allergy and Infectious Diseases, National Institutes of Health (R01 AI-59597 [J.E.C.]) and a Burroughs Wellcome Fund Clinical Scientist Award in Translation Research to J.E.C. VUMC Cell Imaging Shared Resources is supported by NIH grants CA68485, DK20593, DK58404, and HD15052.</t>
  </si>
  <si>
    <t xml:space="preserve">10.1128/JVI.01688-08</t>
  </si>
  <si>
    <t xml:space="preserve">364XD</t>
  </si>
  <si>
    <t xml:space="preserve">WOS:000260368000040</t>
  </si>
  <si>
    <t xml:space="preserve">Louie, JK; Schnurr, DP; Pan, CY; Kiang, D; Carter, C; Tougaw, S; Ventura, J; Norman, A; Belmusto, V; Rosenberg, J; Trochet, G</t>
  </si>
  <si>
    <t xml:space="preserve">Louie, Janice K.; Schnurr, David P.; Pan, Chao-Yang; Kiang, David; Carter, Connie; Tougaw, Sandra; Ventura, Jean; Norman, Agnes; Belmusto, Vivian; Rosenberg, Jon; Trochet, Glennah</t>
  </si>
  <si>
    <t xml:space="preserve">A summer outbreak of human metapneumovirus infection in a long-term-care facility</t>
  </si>
  <si>
    <t xml:space="preserve">Human metapneumovirus; Outbreak; Metapneumovirus; Pneumonia; Medicine; Virology; Respiratory system; Respiratory disease</t>
  </si>
  <si>
    <t xml:space="preserve">OBSTRUCTIVE PULMONARY-DISEASE; RESPIRATORY-TRACT DISEASE; CHILDREN; GENOTYPE; YOUNG</t>
  </si>
  <si>
    <t xml:space="preserve">Human metapneumovirus (hMPV), a recently discovered paramyxovirus, is thought to be primarily a winter-spring pathogen affecting young children with a clinical presentation similar to that of respiratory syncytial virus. In June July 2006, a respiratory outbreak in a long-term-care facility was reported to the local health department and investigated. Surveillance identified 26 residents and 13 staff with acute respiratory illness; 8 residents (31%) developed radiographically confirmed pneumonia, and 2 (5%) were hospitalized. Five of 14 respiratory specimens were positive by polymerase chain reaction assay for hMPV; sequencing identified genotype A. In institutionalized elderly persons, hMPV may be an important cause of respiratory outbreaks year-round.</t>
  </si>
  <si>
    <t xml:space="preserve">Calif Dept Hlth Serv, Viral &amp; Rickettsial Dis Lab, Richmond, CA 94804 USA; Dept Hlth &amp; Human Serv, Sacramento, CA USA</t>
  </si>
  <si>
    <t xml:space="preserve">California Department of Health Care Services</t>
  </si>
  <si>
    <t xml:space="preserve">Louie, JK (corresponding author), Calif Dept Hlth Serv, Viral &amp; Rickettsial Dis Lab, 850 Marina Bay Pkwy, Richmond, CA 94804 USA.</t>
  </si>
  <si>
    <t xml:space="preserve">JLouie@dhs.ca.gov</t>
  </si>
  <si>
    <t xml:space="preserve">Carter, Connie/HNR-2852-2023</t>
  </si>
  <si>
    <t xml:space="preserve">Pan, Chao-Yang/0000-0003-1584-4233</t>
  </si>
  <si>
    <t xml:space="preserve">10.1086/519846</t>
  </si>
  <si>
    <t xml:space="preserve">197LS</t>
  </si>
  <si>
    <t xml:space="preserve">WOS:000248557600009</t>
  </si>
  <si>
    <t xml:space="preserve">Nidaira, M; Taira, K; Hamabata, H; Kawaki, T; Gushi, K; Mahoe, Y; Maeshiro, N; Azama, Y; Okano, S; Kyan, H; Kudaka, J; Tsukagoshi, H; Noda, M; Kimura, H</t>
  </si>
  <si>
    <t xml:space="preserve">Nidaira, Minoru; Taira, Katsuya; Hamabata, Hirotsune; Kawaki, Tatsuyoshi; Gushi, Kazuo; Mahoe, Youko; Maeshiro, Noriyuki; Azama, Yasuhito; Okano, Shou; Kyan, Hisako; Kudaka, Jun; Tsukagoshi, Hiroyuki; Noda, Masahiro; Kimura, Hirokazu</t>
  </si>
  <si>
    <t xml:space="preserve">Molecular Epidemiology of Human Metapneumovirus from 2009 to 2011 in Okinawa, Japan</t>
  </si>
  <si>
    <t xml:space="preserve">Human metapneumovirus; Molecular epidemiology; Phylogenetic tree; Virology; Metapneumovirus; Epidemiology</t>
  </si>
  <si>
    <t xml:space="preserve">RESPIRATORY SYNCYTIAL VIRUS; PHYLOGENETIC ANALYSIS; CHILDREN; INFLUENZA; INFECTION; IDENTIFICATION; PATTERNS; YAMAGATA</t>
  </si>
  <si>
    <t xml:space="preserve">To clarify the molecular epidemiology of human metapneumovirus (HMPV) in Okinawa Prefecture, located in a subtropical region of Japan, we performed genetic analysis of the F gene in HMPV from patients with acute respiratory infection from January 2009 to December 2011. HMPV was detected in 18 of 485 throat swabs (3.7%). Phylogenetic analysis showed that 17 strains belonged to subgroup A2 and 1 strain belonged to subgroup B1. We did not observe seasonal prevalence of HMPV during the investigation period. A high level of sequence identity was observed in the strains belonging to subgroup A2 ( &gt;95%), and no amino acid substitution was found compared with other strains detected in Japan and other countries. The pairwise distance values among the present strains belonging to subgroup A2 were short. Our results suggest that the predominant HMPV strains belonging to A2 are highly homologous and seasonal epidemics were not seen in Okinawa during the investigation period.</t>
  </si>
  <si>
    <t xml:space="preserve">[Nidaira, Minoru; Taira, Katsuya; Mahoe, Youko; Maeshiro, Noriyuki; Azama, Yasuhito; Okano, Shou; Kyan, Hisako; Kudaka, Jun] Okinawa Prefectural Inst Hlth &amp; Environm, Dept Biol Sci, Nanjo, Okinawa 9011202, Japan; [Tsukagoshi, Hiroyuki] Gunma Prefectural Inst Publ Hlth &amp; Environm Sci, Maebashi, Gunma 3710052, Japan; [Noda, Masahiro; Kimura, Hirokazu] Natl Inst Infect Dis, Infect Dis Surveillance Ctr, Tokyo 2080011, Japan</t>
  </si>
  <si>
    <t xml:space="preserve">Nidaira, M (corresponding author), Okinawa Prefectural Inst Hlth &amp; Environm, Dept Biol Sci, 2085 Ozato, Nanjo, Okinawa 9011202, Japan.</t>
  </si>
  <si>
    <t xml:space="preserve">nidairam@pref.okinawa.lg.jp</t>
  </si>
  <si>
    <t xml:space="preserve">Ministry of Health, Labour and Welfare, Japan [H22-Shinkou-ippan-011]</t>
  </si>
  <si>
    <t xml:space="preserve">This study was supported by grants for Research on Emerging and Re-emerging Infectious Diseases (H22-Shinkou-ippan-011) from the Ministry of Health, Labour and Welfare, Japan.</t>
  </si>
  <si>
    <t xml:space="preserve">10.7883/yoken.65.337</t>
  </si>
  <si>
    <t xml:space="preserve">983US</t>
  </si>
  <si>
    <t xml:space="preserve">WOS:000307144800013</t>
  </si>
  <si>
    <t xml:space="preserve">Ludewick, HP; Abed, Y; van Niekerk, N; Boivin, G; Klugman, KP; Madhi, SA</t>
  </si>
  <si>
    <t xml:space="preserve">Human metapneumovirus genetic variability, South Africa</t>
  </si>
  <si>
    <t xml:space="preserve">Human metapneumovirus; Metapneumovirus; Genetic diversity; Biology; Genetic variation; Virology; Genotype</t>
  </si>
  <si>
    <t xml:space="preserve">RESPIRATORY-TRACT INFECTIONS; SYNCYTIAL VIRUS; GROUP-A; CIRCULATION PATTERNS; G-GLYCOPROTEIN; NORTH-AMERICA; P-GENE; CHILDREN; SEQUENCE; COMMUNITY</t>
  </si>
  <si>
    <t xml:space="preserve">The molecular epidemiology and genetic diversity of the human metapneumovirus (hMPV) were characterized for a 3-year period (2000-2002) from viruses that were identified in South Africa. Two major genetic groups (A and B) and 2 subgroups (1 and 2) of hMPV were identified, as well as 2-6 possible genotypes within the subgroups. A shift in the predominant group was documented in successive seasons. Whereas the F gene was relatively conserved between subgroups, a high degree of variation was observed in the extracellular domain of the G gene of the virus. The G protein identities between groups A and B were 45.1%-53.1% at the nucleotide level and 22.4%-27.6% at the amino acid level. These results provide evidence for the diversity of both surface glycoproteins of hMPV in Africa, which may be a prerequisite to understanding protective immunity against hMPV.</t>
  </si>
  <si>
    <t xml:space="preserve">Univ Witwatersrand, Johannesburg, South Africa; Univ Laval, Quebec City, PQ G1K 7P4, Canada; Emory Univ, Atlanta, GA 30322 USA</t>
  </si>
  <si>
    <t xml:space="preserve">University of Witwatersrand; Laval University; Emory University</t>
  </si>
  <si>
    <t xml:space="preserve">Baragwanath Hosp, Dept Pediat, ZA-2013 Gauteng, South Africa.</t>
  </si>
  <si>
    <t xml:space="preserve">Ludewick, Herbert/0000-0001-5398-5112; Boivin, Guy/0000-0003-3027-4662; Madhi, Shabir/0000-0002-7629-0636</t>
  </si>
  <si>
    <t xml:space="preserve">10.3201/eid1107.050050</t>
  </si>
  <si>
    <t xml:space="preserve">939XS</t>
  </si>
  <si>
    <t xml:space="preserve">WOS:000230106600014</t>
  </si>
  <si>
    <t xml:space="preserve">Scagnolari, C; Trombetti, S; Selvaggi, C; Carbone, T; Monteleone, K; Spano, L; Di Marco, P; Pierangeli, A; Maggi, F; Riva, E; Antonelli, G</t>
  </si>
  <si>
    <t xml:space="preserve">Scagnolari, Carolina; Trombetti, Simona; Selvaggi, Carla; Carbone, Teresa; Monteleone, Katia; Spano, Lucia; Di Marco, Paola; Pierangeli, Alessandra; Maggi, Fabrizio; Riva, Elisabetta; Antonelli, Guido</t>
  </si>
  <si>
    <t xml:space="preserve">In Vitro Sensitivity of Human Metapneumovirus to Type I Interferons</t>
  </si>
  <si>
    <t xml:space="preserve">Human metapneumovirus; Metapneumovirus; Virology; Vesicular stomatitis virus; Biology; Interferon; In vitro</t>
  </si>
  <si>
    <t xml:space="preserve">RESPIRATORY SYNCYTIAL VIRUS; ALPHA-INTERFERON; INFECTION; CELLS; PROTEIN; PHOSPHORYLATION; INHIBITION; ACTIVATION; EXPRESSION; CHILDREN</t>
  </si>
  <si>
    <t xml:space="preserve">Human metapneumovirus (hMPV) has been recognized as an important respiratory pathogen. Due to its relatively recent discovery, only limited information is available on the relationship between hMPV and type I interferons (IFN). This study was designed to determine whether in vitro hMPV is sensitive to the antiviral activity of IFN-beta, leukocyte IFN-alpha, and several IFN-alpha subtypes in a human Hep-2 cell line. The results showed that 50% inhibitory concentration values against hMPV for the various type I IFN preparations were significantly higher than those against the IFN-sensitive vesicular stomatitis virus, and some IFN-alpha subtypes appeared to be more active against hMPV than others, with IFN-alpha subtypes 5, 6, 8, and 10 being the most potent, and IFN-alpha 2, 17, and 21 the least potent. The results show that hMPV grown in Hep-2 is partially resistant to the antiviral activity of type I IFNs. Additional studies are required to understand whether and to what extent the relatively low sensitivity of hMPV to IFNs influences the clinical outcomes of infected individuals.</t>
  </si>
  <si>
    <t xml:space="preserve">[Antonelli, Guido] Univ Roma La Sapienza, Dept Mol Med, Virol Sect, Virol Lab, I-00185 Rome, Italy; [Maggi, Fabrizio] Univ Pisa, Dept Expt Pathol, Virol Sect, Pisa, Italy; [Maggi, Fabrizio] Univ Pisa, Dept Expt Pathol, Retrovirus Ctr, Pisa, Italy; [Riva, Elisabetta] Univ Campus Biomed, Rome, Italy</t>
  </si>
  <si>
    <t xml:space="preserve">Sapienza University Rome; University of Pisa; University of Pisa; University Campus Bio-Medico - Rome Italy</t>
  </si>
  <si>
    <t xml:space="preserve">Antonelli, G (corresponding author), Univ Roma La Sapienza, Dept Mol Med, Virol Sect, Virol Lab, Viale Porta Tiburtina 28, I-00185 Rome, Italy.</t>
  </si>
  <si>
    <t xml:space="preserve">guido.antonelli@uniroma1.it</t>
  </si>
  <si>
    <t xml:space="preserve">Antonelli, Guido/K-7915-2016; Monteleone, Katia/AAA-7765-2020; Pierangeli, Alessandra/A-6368-2008; Maggi, Fabrizio/L-2974-2013; RIVA, ELISABETTA/H-7729-2016; SCAGNOLARI, CAROLINA/G-3837-2011</t>
  </si>
  <si>
    <t xml:space="preserve">RIVA, ELISABETTA/0000-0002-6870-8780; Pierangeli, Alessandra/0000-0003-0633-360X; SCAGNOLARI, CAROLINA/0000-0003-1044-1478; ANTONELLI, Guido/0000-0002-2533-2939; Maggi, Fabrizio/0000-0001-7489-5271</t>
  </si>
  <si>
    <t xml:space="preserve">Pasteur Institute (Cenci Bolognetti Foundation) [20085JWPK3]; Sapienza Universita di Roma (Fondi ricerche Universitarie); Italian Ministry of Health (Ricerca Finalizzata) [88]</t>
  </si>
  <si>
    <t xml:space="preserve">This work was supported by grants to G.A. from the Pasteur Institute (Cenci Bolognetti Foundation; title of the project: Molecular characterization of viruses causing bronchiolitis and study of viral and host factors affecting type I IFN antiviral response induced by respiratory viruses), PRIN 2008 (no. 20085JWPK3), and to A.P. from Sapienza Universita di Roma (Fondi ricerche Universitarie), and the Italian Ministry of Health (Ricerca Finalizzata conv. no. 88).</t>
  </si>
  <si>
    <t xml:space="preserve">10.1089/vim.2010.0073</t>
  </si>
  <si>
    <t xml:space="preserve">742ZB</t>
  </si>
  <si>
    <t xml:space="preserve">WOS:000288983000011</t>
  </si>
  <si>
    <t xml:space="preserve">MacPhail, M; Schickli, JH; Tang, RS; Kaur, J; Robinson, C; Fouchier, RAM; Osterhaus, ADME; Spaete, RR; Haller, AA</t>
  </si>
  <si>
    <t xml:space="preserve">Identification of small-animal and primate models for evaluation of vaccine candidates for human metapneumovirus (hMPV) and implications for hMPV vaccine design</t>
  </si>
  <si>
    <t xml:space="preserve">RESPIRATORY SYNCYTIAL VIRUS; PARAINFLUENZA VIRUS; HEMAGGLUTININ-NEURAMINIDASE; FUSION GLYCOPROTEINS; TRACT INFECTIONS; CHILDREN; TYPE-3; ATTENUATION; INFANTS; DISEASE</t>
  </si>
  <si>
    <t xml:space="preserve">Human metapneumovirus (hMPV), a recently identified paramyxovirus, is the causative agent of respiratory tract disease in young children. Epidemiological studies have established the presence of hMPV in retrospective as well as current clinical samples in Europe, USA, Canada, Hong Kong and Australia. The hMPV disease incidence rate varied from 7 to 12%. This rate of disease attack places hMPV in severity between respiratory syncytial virus and human parainfluenza virus type 3, two common respiratory pathogens of young children, the elderly and immunosuppressed individuals. To evaluate the effectiveness and safety of future hMPV antiviral drugs, therapeutic and prophylactic monoclonal antibodies (mAbs), and vaccine candidates, it was necessary to identify small-animal and primate models that efficiently supported hMPV replication in the respiratory tract and produced neutralizing serum antibodies, commonly a clinical correlate of protection in humans. In this study, various rodents (mice, cotton rats, hamsters and ferrets) and two primate species, rhesus macaques and African green monkeys (AGMs), were evaluated for hMPV replication in the respiratory tract. The results showed that hamsters, ferrets and AGMs supported hMPV replication efficiently and produced high levels of hMPV-neutralizing antibody titres. Hamsters vaccinated with subgroup A hMPV were protected from challenge with subgroup A or subgroup B hMPV, which has implications for hMPV vaccine design. Although these animal models do not mimic human hMPV disease signs, they will nevertheless be invaluable for the future evaluation of hMPV antivirals, mAbs and vaccines.</t>
  </si>
  <si>
    <t xml:space="preserve">MedImmune Vaccines Inc, Mountain View, CA 94043 USA; Erasmus Med Ctr, Dept Virol, Rotterdam, Netherlands</t>
  </si>
  <si>
    <t xml:space="preserve">aurelia.haller@globeimmune.com</t>
  </si>
  <si>
    <t xml:space="preserve">Fouchier, Ron/0000-0001-8095-2869; Tang, Roderick/0000-0003-0018-4869; Osterhaus, Albert/0000-0002-6074-1172</t>
  </si>
  <si>
    <t xml:space="preserve">10.1099/vir.0.79805-0</t>
  </si>
  <si>
    <t xml:space="preserve">830IW</t>
  </si>
  <si>
    <t xml:space="preserve">WOS:000222116600035</t>
  </si>
  <si>
    <t xml:space="preserve">Wierik, MJT; Nguyen, DT; Beersma, MF; Thijsen, SF; Heemstra, KA</t>
  </si>
  <si>
    <t xml:space="preserve">Wierik, M. J. Te; Nguyen, D. T.; Beersma, M. F.; Thijsen, S. F.; Heemstra, K. A.</t>
  </si>
  <si>
    <t xml:space="preserve">An outbreak of severe respiratory tract infection caused by human metapneumovirus in a residential care facility for elderly in Utrecht, the Netherlands, January to March 2010\</t>
  </si>
  <si>
    <t xml:space="preserve">SYNCYTIAL VIRUS; CHILDREN; PCR; RIBAVIRIN; DISEASE</t>
  </si>
  <si>
    <t xml:space="preserve">Recognition of infections with human metapneumovirus (HMPV) among institutionalised elderly is rising. When HMPV was found to be the causative agent of an outbreak of pneumonia in a residential care facility for elderly in the Netherlands, an elaborate outbreak investigation was set up, including active surveillance for new cases. From clinical cases, defined by fever (&gt; 38 degrees C) and symptoms of respiratory tract infections, respiratory samples for analyses of viral pathogens by real-time Reverse Transcriptase Polymerase Chain Reaction (rRT-PCR) and blood samples for determination of HMPV-specific IgM and IgG antibody titres were taken. Five staff members and 18 residents fulfilled the clinical case definition. Of those, five residents tested positive for HMPV by rRT-PCR. The combination of rRT-PCR and serology identified nine confirmed cases, six probable cases, six possible cases and ruled out two persons as cases. Among residents, the outbreak of HMPV had an attack rate, ranging from 5% for laboratory-confirmed cases, to 13% for clinical cases. This outbreak investigation shows that HMPV is a potential serious pathogen for institutionalised elderly.</t>
  </si>
  <si>
    <t xml:space="preserve">[Wierik, M. J. Te] Municipal Hlth Serv Midden Nederland, Zeist, Netherlands; [Nguyen, D. T.; Beersma, M. F.] Erasmus MC, Dept Virol, Rotterdam, Netherlands; [Thijsen, S. F.; Heemstra, K. A.] Diakonessen Hosp, Dept Med Microbiol, Utrecht, Netherlands; [Heemstra, K. A.] Univ Med Ctr Utrecht, Dept Med Microbiol, Utrecht, Netherlands</t>
  </si>
  <si>
    <t xml:space="preserve">Erasmus University Rotterdam; Erasmus MC; Diakonessenhuis; Utrecht University; Utrecht University Medical Center</t>
  </si>
  <si>
    <t xml:space="preserve">Wierik, MJT (corresponding author), Municipal Hlth Serv Midden Nederland, Zeist, Netherlands.</t>
  </si>
  <si>
    <t xml:space="preserve">Mtewierik@ggdmn.nl</t>
  </si>
  <si>
    <t xml:space="preserve">916TN</t>
  </si>
  <si>
    <t xml:space="preserve">WOS:000302126200004</t>
  </si>
  <si>
    <t xml:space="preserve">Nao, N; Sato, K; Yamagishi, J; Tahara, M; Nakatsu, Y; Seki, F; Katoh, H; Ohnuma, A; Shirogane, Y; Hayashi, M; Suzuki, T; Kikuta, H; Nishimura, H; Takeda, M</t>
  </si>
  <si>
    <t xml:space="preserve">Nao, Naganori; Sato, Ko; Yamagishi, Junya; Tahara, Maino; Nakatsu, Yuichiro; Seki, Fumio; Katoh, Hiroshi; Ohnuma, Aiko; Shirogane, Yuta; Hayashi, Masahiro; Suzuki, Tamio; Kikuta, Hideaki; Nishimura, Hidekazu; Takeda, Makoto</t>
  </si>
  <si>
    <t xml:space="preserve">Consensus and variations in cell line specificity among human metapneumovirus strains</t>
  </si>
  <si>
    <t xml:space="preserve">Human metapneumovirus; Infectivity; Virology; Biology; Metapneumovirus; Cell culture; Recombinant DNA</t>
  </si>
  <si>
    <t xml:space="preserve">G-PROTEIN; 180-NUCLEOTIDE DUPLICATION; ATTACHMENT GLYCOPROTEIN; MOLECULAR EPIDEMIOLOGY; NEUTRALIZATION ASSAY; EFFICIENT ISOLATION; VIRUS-REPLICATION; SERINE-PROTEASE; VERO CELLS; SUBGROUP-C</t>
  </si>
  <si>
    <t xml:space="preserve">Human metapneumovirus (HMPV) has been a notable etiological agent of acute respiratory infection in humans, but it was not discovered until 2001, because HMPV replicates only in a limited number of cell lines and the cytopathic effect (CPE) is often mild. To promote the study of HMPV, several groups have generated green fluorescent protein (GFP)-expressing recombinant HMPV strains (HMPVGFP). However, the growing evidence has complicated the understanding of cell line specificity of HMPV, because it seems to vary notably among HMPV strains. In addition, unique A2b clade HMPV strains with a 180-nucleotide duplication in the G gene (HMPV A2b(180nt-dup) strains) have recently been detected. In this study, we re-evaluated and compared the cell line specificity of clinical isolates of HMPV strains, including the novel HMPV A2b(180nt-dup) strains, and six recombinant HMPVGFP strains, including the newly generated recombinant HMPV A2b(180nt-dup) strain, MG0256-EGFP. Our data demonstrate that VeroE6 and LLC-MK2 cells generally showed the highest infectivity with any clinical isolates and recombinant HMPVGFP strains. Other human-derived cell lines (BEAS-2B, A549, HEK293, MNT-1, and HeLa cells) showed certain levels of infectivity with HMPV, but these were significantly lower than those of VeroE6 and LLC-MK2 cells. Also, the infectivity in these suboptimal cell lines varied greatly among HMPV strains. The variations were not directly related to HMPV genotypes, cell lines used for isolation and propagation, specific genome mutations, or nucleotide duplications in the G gene. Thus, these variations in suboptimal cell lines are likely intrinsic to particular HMPV strains.</t>
  </si>
  <si>
    <t xml:space="preserve">[Nao, Naganori; Tahara, Maino; Nakatsu, Yuichiro; Seki, Fumio; Katoh, Hiroshi; Shirogane, Yuta; Takeda, Makoto] Natl Inst Infect Dis, Dept Virol 3, Tokyo, Japan; [Sato, Ko; Nishimura, Hidekazu] Sendai Med Ctr, Virus Res Ctr, Div Clin Res, Sendai, Miyagi, Japan; [Yamagishi, Junya; Ohnuma, Aiko] Hokkaido Univ, Res Ctr Zoonosis Control, Sapporo, Hokkaido, Japan; [Hayashi, Masahiro; Suzuki, Tamio] Yamagata Univ, Dept Dermatol, Fac Med, Yamagata, Japan; [Kikuta, Hideaki] Touei Hosp, Pediat Clin, Sapporo, Hokkaido, Japan; [Shirogane, Yuta] Kyushu Univ, Dept Virol, Fac Med, Fukuoka, Fukuoka, Japan</t>
  </si>
  <si>
    <t xml:space="preserve">National Institute of Infectious Diseases (NIID); Hokkaido University; Yamagata University; Kyushu University</t>
  </si>
  <si>
    <t xml:space="preserve">Takeda, M (corresponding author), Natl Inst Infect Dis, Dept Virol 3, Tokyo, Japan.;Nishimura, H (corresponding author), Sendai Med Ctr, Virus Res Ctr, Div Clin Res, Sendai, Miyagi, Japan.</t>
  </si>
  <si>
    <t xml:space="preserve">hide-nishimura@mte.biglobe.ne.jp; mtakeda@nih.go.jp</t>
  </si>
  <si>
    <t xml:space="preserve">Shirogane, Yuta/AAO-1073-2021; Takeda, Makoto/J-2550-2018</t>
  </si>
  <si>
    <t xml:space="preserve">Takeda, Makoto/0000-0002-8194-7727; Sato, Ko/0000-0002-5548-6285; Seki, Fumio/0000-0002-6144-468X; Shirogane, Yuta/0000-0002-4284-0310</t>
  </si>
  <si>
    <t xml:space="preserve">Japan Society for the Promotion of Science (JSPS) [17K16289]; Ministry of Education, Culture, Sports, Science and Technology (MEXT); Japanese Initiative for Progress of Research on Infectious Disease for Global Endemic (J-PRIDE) [JP18fm0208005]; Advanced Research and Development for Medical Innovation (AMED-CREST) [JP18gm0910005]; Grants-in-Aid for Scientific Research [17K16289] Funding Source: KAKEN</t>
  </si>
  <si>
    <t xml:space="preserve">Japan Society for the Promotion of Science (JSPS)(Ministry of Education, Culture, Sports, Science and Technology, Japan (MEXT)Japan Society for the Promotion of Science); Ministry of Education, Culture, Sports, Science and Technology (MEXT)(Ministry of Education, Culture, Sports, Science and Technology, Japan (MEXT)); Japanese Initiative for Progress of Research on Infectious Disease for Global Endemic (J-PRIDE); Advanced Research and Development for Medical Innovation (AMED-CREST); Grants-in-Aid for Scientific Research(Ministry of Education, Culture, Sports, Science and Technology, Japan (MEXT)Japan Society for the Promotion of ScienceGrants-in-Aid for Scientific Research (KAKENHI))</t>
  </si>
  <si>
    <t xml:space="preserve">This work was partly supported by grants from the Japan Society for the Promotion of Science (JSPS) (Grant-in-Aid for Young Scientists (B), 17K16289) and the Ministry of Education, Culture, Sports, Science and Technology (MEXT) for the Joint Research Program of the Research Center for Zoonosis Control, Hokkaido University, to N.N., and grants from the Japanese Initiative for Progress of Research on Infectious Disease for Global Endemic (J-PRIDE and JP18fm0208005) and the Advanced Research and Development for Medical Innovation (AMED-CREST and JP18gm0910005) to M. Takeda.</t>
  </si>
  <si>
    <t xml:space="preserve">e0215822</t>
  </si>
  <si>
    <t xml:space="preserve">10.1371/journal.pone.0215822</t>
  </si>
  <si>
    <t xml:space="preserve">HU4DH</t>
  </si>
  <si>
    <t xml:space="preserve">WOS:000465223900048</t>
  </si>
  <si>
    <t xml:space="preserve">Mackay, IM; Bialasiewicz, S; Waliuzzaman, Z; Chidlow, GR; Fegredo, DC; Laingam, S; Adamson, P; Harnett, GB; Rawlinson, W; Nissen, MD; Sloots, TP</t>
  </si>
  <si>
    <t xml:space="preserve">Use of the P gene to genotype human Metapneumovirus identifies 4 viral subtypes</t>
  </si>
  <si>
    <t xml:space="preserve">Human metapneumovirus; Genotyping; Virology; Metapneumovirus; Genotype; Biology</t>
  </si>
  <si>
    <t xml:space="preserve">RESPIRATORY SYNCYTIAL VIRUS; TRACT INFECTIONS; GROUP-A; CHILDREN; BRONCHIOLITIS; PNEUMOVIRUS; EXPRESSION; COMMUNITY; STRAINS; YOUNG</t>
  </si>
  <si>
    <t xml:space="preserve">This study, conducted during 2001-2003, undertook the screening of patients with acute infectious respiratory-tract disease. A random selection of positive specimens was used for sequencing studies of the human metapneumovirus (hMPV) nucleoprotein gene and the phosphoprotein (P) gene. Australian and international sequences were compared, and a global classification scheme was developed. The hMPV P gene was an ideal molecular target for the detection and genotyping of hMPV. The region contained conserved sequences for reverse-transcriptase-polymerase chain-reaction primers and adequate variability to permit the accurate genotyping of the virus into 2 main lineages and 4 sublineages. Establishing viral identity is essential for the linking of genotype and disease severity.</t>
  </si>
  <si>
    <t xml:space="preserve">Royal Childrens Hosp, Sir Albert Sakzewski Virus Res Ctr, Clin Virol Unit, Herston, Qld 4029, Australia; Royal Childrens Hosp, Sir Albert Sakzewski Virus Res Ctr, Mol Microbiol Res Unit, Herston, Qld 4029, Australia; Queensland Hlth Pathol Serv, Div Microbiol, Brisbane, Qld, Australia; Univ Queensland, Clin Med Virol Ctr, St Lucia, Qld 4067, Australia; Royal Childrens Hosp, Dept Paediat &amp; Child Hlth, Brisbane, Qld, Australia; Prince Wales Pathol, Randwick, NSW, Australia; Western Australian Ctr Pathol &amp; Med Res, Nedlands, WA, Australia; Flinders Med Ctr, Bedford Pk, SA, Australia</t>
  </si>
  <si>
    <t xml:space="preserve">Royal Children's Hospital Brisbane; Royal Children's Hospital Brisbane; Queensland Health; University of Queensland; Royal Children's Hospital Brisbane; University of Western Australia; Flinders Medical Centre</t>
  </si>
  <si>
    <t xml:space="preserve">Mackay, IM (corresponding author), Royal Childrens Hosp, Sir Albert Sakzewski Virus Res Ctr, Clin Virol Unit, Herston Rd, Herston, Qld 4029, Australia.</t>
  </si>
  <si>
    <t xml:space="preserve">Sloots, Theo/E-6118-2011; Bialasiewicz, Seweryn/F-1414-2010; Mackay, Ian M./B-2537-2010; Nissen, Michael/M-6823-2013</t>
  </si>
  <si>
    <t xml:space="preserve">Bialasiewicz, Seweryn/0000-0001-9474-6943; Rawlinson, William/0000-0003-0988-7827; Mackay, Ian M./0000-0003-3598-2350; Nissen, Michael/0000-0003-1686-3313</t>
  </si>
  <si>
    <t xml:space="preserve">10.1086/425013</t>
  </si>
  <si>
    <t xml:space="preserve">870GO</t>
  </si>
  <si>
    <t xml:space="preserve">WOS:000225045800005</t>
  </si>
  <si>
    <t xml:space="preserve">Regev, L; Hindiyeh, M; Shulman, LM; Barak, A; Levy, V; Azar, R; Shalev, Y; Grossman, Z; Mendelson, E</t>
  </si>
  <si>
    <t xml:space="preserve">Characterization of human metapneumovirus infections in Israel</t>
  </si>
  <si>
    <t xml:space="preserve">Human metapneumovirus; Metapneumovirus; Virology; Respiratory tract infections; Seroprevalence</t>
  </si>
  <si>
    <t xml:space="preserve">RESPIRATORY-SYNCYTIAL-VIRUS; TRANSCRIPTASE PCR ASSAY; TRACT INFECTIONS; YOUNG-CHILDREN; GENETIC-VARIABILITY; DISEASE; SEROPREVALENCE; MULTIPLEX; INFANTS; BRONCHIOLITIS</t>
  </si>
  <si>
    <t xml:space="preserve">Respiratory tract infections are a leading cause of morbidity and mortality worldwide. Even with the advancement of diagnostic tools, the causative agent of 20 to 30% of upper respiratory tract infections go undiagnosed. Recently, a newly identified human respiratory virus, human metapneumovirus (hMPV), was discovered in young children in The Netherlands. To study the prevalence of hMPV infections in Israeli children, respiratory specimens from 388 hospitalized children less than 5 years of age were evaluated for the presence of hMPV RNA, which was present in 42 (10.8%) of these samples. All hMPV-positive samples were negative for respiratory syncytial virus (RSV), influenza viruses (Flu) A and B, adenovirus, and parainfluenza viruses 1, 2, and 3. Conversely, hMPV RNA was not detected in 76 RSV-positive and 38 Flu A- or B-positive samples. Most hMPV activity was between the months February and April. Sequence analysis of 20 positive samples revealed that both of the hMPV genotypes (groups I and 2) have circulated in central Israel during the study period. Moreover, three of the four known hMPV subgroups (1A, 1B, and 2B) were detected among the tested samples. Seroprevalence of hMPV in 204 patients from the central part of Israel revealed that 100% of the children are hMPV seropositive by the age of 5 years old. We conclude that hMPV is a common respiratory pathogen in Israel, while mixed infections of hMPV with RSV or Flu in hospitalized children are apparently rare.</t>
  </si>
  <si>
    <t xml:space="preserve">Chaim Sheba Med Ctr, Cent Virol Lab, Publ Hlth Serv, Minist Hlth, IL-52621 Tel Hashomer, Israel; Chaim Sheba Med Ctr, Pediat Pulm Unit, Edmond &amp; Lily Safra Childrens Hosp, IL-52621 Tel Hashomer, Israel; Bar Ilan Univ, Fac Life Sci, Ramat Gan, Israel</t>
  </si>
  <si>
    <t xml:space="preserve">Chaim Sheba Medical Center; Chaim Sheba Medical Center; Bar Ilan University</t>
  </si>
  <si>
    <t xml:space="preserve">Chaim Sheba Med Ctr, Cent Virol Lab, Publ Hlth Serv, Minist Hlth, IL-52621 Tel Hashomer, Israel.</t>
  </si>
  <si>
    <t xml:space="preserve">ellamen@sheba.health.gov.il</t>
  </si>
  <si>
    <t xml:space="preserve">Shulman, Lester/AAU-4372-2021</t>
  </si>
  <si>
    <t xml:space="preserve">Shulman, Lester M./0000-0002-6385-894X</t>
  </si>
  <si>
    <t xml:space="preserve">10.1128/JCM.44.4.1484-1489.2006</t>
  </si>
  <si>
    <t xml:space="preserve">032XS</t>
  </si>
  <si>
    <t xml:space="preserve">WOS:000236810500041</t>
  </si>
  <si>
    <t xml:space="preserve">Cox, RG; Mainou, BA; Johnson, M; Hastings, AK; Schuster, JE; Dermody, TS; Williams, JV</t>
  </si>
  <si>
    <t xml:space="preserve">Cox, Reagan G.; Mainou, Bernardo A.; Johnson, Monika; Hastings, Andrew K.; Schuster, Jennifer E.; Dermody, Terence S.; Williams, John V.</t>
  </si>
  <si>
    <t xml:space="preserve">Human Metapneumovirus Is Capable of Entering Cells by Fusion with Endosomal Membranes</t>
  </si>
  <si>
    <t xml:space="preserve">Endocytosis; Human metapneumovirus; Endosome; Internalization; Lipid bilayer fusion; Dynamin; Cell biology</t>
  </si>
  <si>
    <t xml:space="preserve">VESICULAR STOMATITIS-VIRUS; BETA-1-INTEGRIN CYTOPLASMIC TAIL; NEWCASTLE-DISEASE VIRUS; F-PROTEIN; MEDIATED ENDOCYTOSIS; RESPIRATORY-DISEASE; GENETIC DIVERSITY; INFLUENZA-VIRUS; YOUNG-CHILDREN; ENTRY PATHWAY</t>
  </si>
  <si>
    <t xml:space="preserve">Human metapneumovirus (HMPV), a member of the Paramyxoviridae family, is a leading cause of lower respiratory illness. Although receptor binding is thought to initiate fusion at the plasma membrane for paramyxoviruses, the entry mechanism for HMPV is largely uncharacterized. Here we sought to determine whether HMPV initiates fusion at the plasma membrane or following internalization. To study the HMPV entry process in human bronchial epithelial (BEAS-2B) cells, we used fluorescence microscopy, an R18-dequenching fusion assay, and developed a quantitative, fluorescence microscopy assay to follow virus binding, internalization, membrane fusion, and visualize the cellular site of HMPV fusion. We found that HMPV particles are internalized into human bronchial epithelial cells before fusing with endosomes. Using chemical inhibitors and RNA interference, we determined that HMPV particles are internalized via clathrin-mediated endocytosis in a dynamin-dependent manner. HMPV fusion and productive infection are promoted by RGD-binding integrin engagement, internalization, actin polymerization, and dynamin. Further, HMPV fusion is pH-independent, although infection with rare strains is modestly inhibited by RNA interference or chemical inhibition of endosomal acidification. Thus, HMPV can enter via endocytosis, but the viral fusion machinery is not triggered by low pH. Together, our results indicate that HMPV is capable of entering host cells by multiple pathways, including membrane fusion from endosomal compartments.</t>
  </si>
  <si>
    <t xml:space="preserve">[Cox, Reagan G.; Hastings, Andrew K.; Dermody, Terence S.] Vanderbilt Univ, Sch Med, Div Infect Dis, Dept Pathol Microbiol &amp; Immunol, Nashville, TN 37212 USA; [Mainou, Bernardo A.] Emory Univ, Sch Med, Dept Pediat, Atlanta, GA USA; [Johnson, Monika; Williams, John V.] Univ Pittsburgh, Dept Pediat, Sch Med, Childrens Hosp Pittsburgh,Med Ctr, Pittsburgh, PA 15260 USA; [Schuster, Jennifer E.] Childrens Mercy Hosp, Dept Pediat, Kansas City, MO 64108 USA; [Dermody, Terence S.] Vanderbilt Univ, Sch Med, Div Infect Dis, Dept Pediat, Nashville, TN 37212 USA</t>
  </si>
  <si>
    <t xml:space="preserve">Vanderbilt University; Emory University; Pennsylvania Commonwealth System of Higher Education (PCSHE); University of Pittsburgh; Children's Mercy Hospital; Vanderbilt University</t>
  </si>
  <si>
    <t xml:space="preserve">Cox, RG (corresponding author), Vanderbilt Univ, Sch Med, Div Infect Dis, Dept Pathol Microbiol &amp; Immunol, Nashville, TN 37212 USA.</t>
  </si>
  <si>
    <t xml:space="preserve">Mainou, Bernardo/H-4164-2019; Williams, John/ABE-3227-2020; Williams, John/F-6962-2010</t>
  </si>
  <si>
    <t xml:space="preserve">[R01 AI08562]; [R21 AI073697]; [T32 AI7611]; [F32 AI801082]; [R01 AI32539]</t>
  </si>
  <si>
    <t xml:space="preserve">; ; ; ;</t>
  </si>
  <si>
    <t xml:space="preserve">This work was supported by R01 AI08562 (JVW), R21 AI073697 (JVW), T32 AI7611 (RGC), F32 AI801082 (BAM), and R01 AI32539 (TSD). The funders had no role in study design, data collection and analysis, decision to publish, or preparation of the manuscript.</t>
  </si>
  <si>
    <t xml:space="preserve">e1005303</t>
  </si>
  <si>
    <t xml:space="preserve">10.1371/journal.ppat.1005303</t>
  </si>
  <si>
    <t xml:space="preserve">DB2IZ</t>
  </si>
  <si>
    <t xml:space="preserve">Green Published, Green Accepted, Green Submitted, gold</t>
  </si>
  <si>
    <t xml:space="preserve">WOS:000368332800025</t>
  </si>
  <si>
    <t xml:space="preserve">König, B; König, W; Arnold, R; Werchau, H; Ihorst, G; Forster, J</t>
  </si>
  <si>
    <t xml:space="preserve">Prospective study of human metapneumovirus infection in children less than 3 years of age</t>
  </si>
  <si>
    <t xml:space="preserve">Human metapneumovirus; Medicine; Respiratory tract infections; Epidemiology; Pneumovirinae</t>
  </si>
  <si>
    <t xml:space="preserve">YOUNG-CHILDREN; PNEUMOVIRUS; SEQUENCE; ASSAYS</t>
  </si>
  <si>
    <t xml:space="preserve">Most lower respiratory tract infections (LRTIs) in children under the age of 3 years are due to respiratory syncytial virus (RSV). Epidemiological, host, and viral factors eventually account for the severity of LRTIs, but they do not completely explain it. Human metapneumovirus (hMPV) was recently identified in children with LRTIs. In a population-based prospective multicenter study (the PRLDE study, conducted in Germany over 2 years), we tested 3,369 nasopharyngeal secretions from children younger than 3 years of age with LRTIs for RSV A and B, influenza viruses (IVs) A and B, and parainfluenza viruses (PIVs) 1 to 3. Of the children requiring intensive care (n = 85), 18% had hMPV infections, and 60% of these children were infected with hMPV in combination with RSV. We did not detect hMPV in a randomly selected subset of RSV-positive nasopharyngeal secretions (n = 120) from children not requiring intensive care support. hMPV was detected in &lt;1% of virus-negative samples from patients without intensive care support (n = 620). Our data support the hypothesis that coinfections with RSV and hMPV are more severe than infections with either RSV or hMPV alone, at least in children younger than 3 years of age.</t>
  </si>
  <si>
    <t xml:space="preserve">Otto Von Guericke Univ, Inst Med Microbiol, D-39120 Magdeburg, Germany; Univ Freiburg, Inst Med Biometry &amp; Med Informat, Freiburg, Germany; Univ Freiburg, Ctr Clin Trials, Freiburg, Germany; St Josefs Hosp, Freiburg, Germany</t>
  </si>
  <si>
    <t xml:space="preserve">Otto von Guericke University; University of Freiburg; University of Freiburg</t>
  </si>
  <si>
    <t xml:space="preserve">Otto Von Guericke Univ, Inst Med Microbiol, Leipzigerstr 44, D-39120 Magdeburg, Germany.</t>
  </si>
  <si>
    <t xml:space="preserve">brigitte.koenig@medizin.uni-magdeburg.de</t>
  </si>
  <si>
    <t xml:space="preserve">Ihorst, Gabriele/AAA-7445-2021</t>
  </si>
  <si>
    <t xml:space="preserve">10.1128/JCM.42.10.4632-4635.2004</t>
  </si>
  <si>
    <t xml:space="preserve">862EM</t>
  </si>
  <si>
    <t xml:space="preserve">WOS:000224473000034</t>
  </si>
  <si>
    <t xml:space="preserve">Reiche, J; Jacobsen, S; Neubauer, K; Hafemann, S; Nitsche, A; Milde, J; Wolff, T; Schweiger, B</t>
  </si>
  <si>
    <t xml:space="preserve">Reiche, Janine; Jacobsen, Sonja; Neubauer, Katrin; Hafemann, Susi; Nitsche, Andreas; Milde, Jeanette; Wolff, Thorsten; Schweiger, Brunhilde</t>
  </si>
  <si>
    <t xml:space="preserve">Human Metapneumovirus: Insights from a Ten-Year Molecular and Epidemiological Analysis in Germany</t>
  </si>
  <si>
    <t xml:space="preserve">Human metapneumovirus; Metapneumovirus; Epidemiology; Molecular epidemiology; Pneumonia</t>
  </si>
  <si>
    <t xml:space="preserve">RESPIRATORY SYNCYTIAL VIRUS; GENETIC DIVERSITY; YOUNG-CHILDREN; HOSPITALIZED CHILDREN; SEASONAL DISTRIBUTION; TRACT INFECTIONS; P-GENE; VARIABILITY; DISEASE; FUSION</t>
  </si>
  <si>
    <t xml:space="preserve">Human metapneumovirus (HMPV) is a cause of respiratory tract illness at all ages. In this study the epidemiological and molecular diversity among patients of different ages was investigated. Between 2000-2001 and 2009-2010, HMPV was detected in 3% (138/4,549) of samples from outpatients with influenza-like illness with a new, sensitive real-time RT-PCR assay. Several hundred (797) clinical specimens from hospitalized children below the age of 4 years with acute respiratory illness were investigated and HMPV was detected in 11.9% of them. Investigation of outpatients revealed that HMPV infections occurred in individuals of all ages but were most prevalent in children (0-4 years) and the elderly (&gt;60 years). The most present clinical features of HMPV infections were cough, bronchitis, fever/shivers and pneumonia. About two thirds of HMPV-positive samples were detected in February and March throughout the study period. Molecular characterization of HMPV revealed a complex cyclic pattern of group dominance where HMPV subgroup A and B viruses predominated in general for three consecutive seasons. German HMPV represented all genetic lineages including A1, A2, B1, B2, sub-clusters A2a and A2b. For Germany, not only time-dependent circulation of lineages and sub-clusters was observed but also co-circulation of two or three predominant lineages. Two newly emerging amino acid substitutions (positions 223 and 280) of lineage B2 were detected in seven German HMPV sequences. Our study gives new insights into the molecular epidemiology of HMPV in in-and outpatients over a time period of 10 years for the first time. It is one of only few long-term surveillance studies in Europe, and allows comparative molecular analyses of HMPV circulating worldwide.</t>
  </si>
  <si>
    <t xml:space="preserve">[Reiche, Janine; Jacobsen, Sonja; Neubauer, Katrin; Hafemann, Susi; Milde, Jeanette; Wolff, Thorsten; Schweiger, Brunhilde] Robert Koch Inst, Div Influenza Viruses &amp; Other Resp Viruses, Natl Reference Ctr Influenza, Berlin, Germany; [Nitsche, Andreas] Robert Koch Inst, Ctr Biol Threats &amp; Special Pathogens, Berlin, Germany</t>
  </si>
  <si>
    <t xml:space="preserve">Robert Koch Institute; Robert Koch Institute</t>
  </si>
  <si>
    <t xml:space="preserve">Jacobsen, S (corresponding author), Robert Koch Inst, Div Influenza Viruses &amp; Other Resp Viruses, Natl Reference Ctr Influenza, Berlin, Germany.</t>
  </si>
  <si>
    <t xml:space="preserve">jacobsens@rki.de</t>
  </si>
  <si>
    <t xml:space="preserve">Nitsche, Andreas/0000-0001-8185-3176</t>
  </si>
  <si>
    <t xml:space="preserve">FEB 5</t>
  </si>
  <si>
    <t xml:space="preserve">e88342</t>
  </si>
  <si>
    <t xml:space="preserve">10.1371/journal.pone.0088342</t>
  </si>
  <si>
    <t xml:space="preserve">AA1AT</t>
  </si>
  <si>
    <t xml:space="preserve">WOS:000330829200180</t>
  </si>
  <si>
    <t xml:space="preserve">Battles, MB; Más, V; Olmedillas, E; Cano, O; Vázquez, M; Rodríguez, L; Melero, JA; McLellan, JS</t>
  </si>
  <si>
    <t xml:space="preserve">Battles, Michael B.; Mas, Vicente; Olmedillas, Eduardo; Cano, Olga; Vazquez, Monica; Rodriguez, Laura; Melero, Jose A.; McLellan, Jason S.</t>
  </si>
  <si>
    <t xml:space="preserve">Structure and immunogenicity of pre-fusion-stabilized human metapneumovirus F glycoprotein</t>
  </si>
  <si>
    <t xml:space="preserve">Human metapneumovirus; Immunogenicity; Lipid bilayer fusion; Virology; Glycoprotein; Metapneumovirus; Antibody</t>
  </si>
  <si>
    <t xml:space="preserve">RESPIRATORY SYNCYTIAL VIRUS; HUMAN MONOCLONAL-ANTIBODY; MEMBRANE-FUSION; NEUTRALIZING ANTIBODY; LOW-PH; CONFORMATIONAL-CHANGES; PREFUSION FORM; YOUNG-CHILDREN; TRACT DISEASE; G-PROTEIN</t>
  </si>
  <si>
    <t xml:space="preserve">Human metapneumovirus (hMPV) is a frequent cause of bronchiolitis in young children. Its F glycoprotein mediates virus-cell membrane fusion and is the primary target of neutralizing antibodies. The inability to produce recombinant hMPV F glycoprotein in the metastable pre-fusion conformation has hindered structural and immunological studies. Here, we engineer a pre-fusion-stabilized hMPV F ectodomain and determine its crystal structure to 2.6 angstrom resolution. This structure reveals molecular determinants of strain-dependent acid-induced fusion, as well as insights into refolding from pre- to post-fusion conformations. A dense glycan shield at the apex of pre- fusion hMPV F suggests that antibodies against this site may not be elicited by host immune responses, which is confirmed by depletion studies of human immunoglobulins and by mouse immunizations. This is a major difference with pre-fusion F from human respiratory syncytial virus (hRSV), and collectively our results should facilitate development of effective hMPV vaccine candidates.</t>
  </si>
  <si>
    <t xml:space="preserve">[Battles, Michael B.; McLellan, Jason S.] Geisel Sch Med Dartmouth, Dept Biochem &amp; Cell Biol, Hanover, NH 03755 USA; [Mas, Vicente; Olmedillas, Eduardo; Cano, Olga; Vazquez, Monica; Rodriguez, Laura; Melero, Jose A.] Inst Salud Carlos III, Ctr Nacl Microbiol, Unidad Biol Viral, Madrid 28220, Spain; [Mas, Vicente; Olmedillas, Eduardo; Cano, Olga; Vazquez, Monica; Rodriguez, Laura; Melero, Jose A.] Inst Salud Carlos III, CIBER Enfermedades Resp, Madrid 28220, Spain; [Rodriguez, Laura] Univ Rochester, Med Ctr, Rochester, NY 14642 USA</t>
  </si>
  <si>
    <t xml:space="preserve">Dartmouth College; Instituto de Salud Carlos III; Centro Nacional de Microbiologia (CNM); Instituto de Salud Carlos III; CIBER - Centro de Investigacion Biomedica en Red; CIBERES; University of Rochester</t>
  </si>
  <si>
    <t xml:space="preserve">McLellan, JS (corresponding author), Geisel Sch Med Dartmouth, Dept Biochem &amp; Cell Biol, Hanover, NH 03755 USA.;Melero, JA (corresponding author), Inst Salud Carlos III, Ctr Nacl Microbiol, Unidad Biol Viral, Madrid 28220, Spain.;Melero, JA (corresponding author), Inst Salud Carlos III, CIBER Enfermedades Resp, Madrid 28220, Spain.</t>
  </si>
  <si>
    <t xml:space="preserve">jmelero@isciii.es; Jason.S.McLellan@Dartmouth.edu</t>
  </si>
  <si>
    <t xml:space="preserve">McLellan, Jason/A-6874-2010; Mas, Vicente/M-4776-2015</t>
  </si>
  <si>
    <t xml:space="preserve">CANO MORATO, OLGA/0000-0003-4281-7572; Melero, Jose A./0000-0001-8148-6521; Battles, Michael/0000-0002-5321-7460; Mas, Vicente/0000-0002-0887-0743; Olmedillas Cela, Eduardo/0000-0001-5250-0371; VAZQUEZ, MONICA/0009-0009-0027-7855; McLellan, Jason/0000-0003-3991-542X</t>
  </si>
  <si>
    <t xml:space="preserve">DOE Office of Science [DE-SC0012704]; [5T32AI007519-18]; [SAF2015-67033-R]; [P20GM113132]</t>
  </si>
  <si>
    <t xml:space="preserve">DOE Office of Science(United States Department of Energy (DOE)); ; ;</t>
  </si>
  <si>
    <t xml:space="preserve">We thank members of the Melero and McLellan laboratories for comments on the manuscript. This research used the AMX 17-ID-1 beamline of the National Synchrotron Light Source II, a US Department of Energy (DOE) Office of Science User Facility operated for the DOE Office of Science by Brookhaven National Laboratory under contract no. DE-SC0012704. We thank Dr. D. Schneider and Dr. J. Jakoncic and members of the AMX 17-ID-1 beamline for assistance with X-ray diffraction data collection. We also thank Dr. D. Luque and Dr. M.C. Terron (ISCIII) for the electron microscopy and the Genomics core facility (ISCIII) for sequencing. This work was supported in part by grants 5T32AI007519-18 (M.B.B.), SAF2015-67033-R (J.A.M.), and P20GM113132 (J.S.M.).</t>
  </si>
  <si>
    <t xml:space="preserve">NOV 16</t>
  </si>
  <si>
    <t xml:space="preserve">10.1038/s41467-017-01708-9</t>
  </si>
  <si>
    <t xml:space="preserve">FM8GA</t>
  </si>
  <si>
    <t xml:space="preserve">WOS:000415323000001</t>
  </si>
  <si>
    <t xml:space="preserve">Otomaru, H; Nguyen, HAT; Vo, HM; Toizumi, M; Le, MN; Mizuta, K; Moriuchi, H; Bui, MX; Dang, DA; Yoshida, LM</t>
  </si>
  <si>
    <t xml:space="preserve">Otomaru, Hirono; Nguyen, Hien Anh Thi; Vo, Hien Minh; Toizumi, Michiko; Le, Minh Nhat; Mizuta, Katsumi; Moriuchi, Hiroyuki; Bui, Minh Xuan; Dang, Duc Anh; Yoshida, Lay-Myint</t>
  </si>
  <si>
    <t xml:space="preserve">A decade of human metapneumovirus in hospitalized children with acute respiratory infection: molecular epidemiology in central Vietnam, 2007-2017</t>
  </si>
  <si>
    <t xml:space="preserve">Human metapneumovirus; Metapneumovirus; Medicine; Epidemiology; Interquartile range; Genotype; Pneumonia; Respiratory system</t>
  </si>
  <si>
    <t xml:space="preserve">2009 PANDEMIC INFLUENZA; SURFACE GLYCOPROTEINS; GENETIC DIVERSITY; TRACT INFECTIONS; SYNCYTIAL VIRUS; YOUNG-CHILDREN; A VIRUS; YAMAGATA; SEROPREVALENCE; ANTIBODIES</t>
  </si>
  <si>
    <t xml:space="preserve">Human metapneumovirus (hMPV) can cause severe acute respiratory infection (ARI). We aimed to clarify the clinical and molecular epidemiological features of hMPV. We conducted an ARI surveillance targeting hospitalized children aged 1 month to 14 years in Nha Trang, Vietnam. Nasopharyngeal swabs were tested for respiratory viruses with PCR. We described the clinical characteristics of hMPV patients in comparison with those with respiratory syncytial virus (RSV) and those with neither RSV nor hMPV, and among different hMPV genotypes. Among 8822 patients, 278 (3.2%) were hMPV positive, with a median age of 21.0 months (interquartile range: 12.7-32.5). Among single virus-positive patients, hMPV cases were older than patients with RSV (p &lt; 0.001) and without RSV (p = 0.003). The proportions of clinical pneumonia and wheezing in hMPV patients resembled those in RSV patients but were higher than in non-RSV non-hMPV patients. Seventy percent (n = 195) were genotyped (A2b: n = 40, 20.5%; A2c: n = 99, 50.8%; B1: n = 37, 19%; and B2: n = 19, 9.7%). The wheezing frequency was higher in A2b patients (76.7%) than in those with other genotypes (p = 0.033). In conclusion, we found a moderate variation in clinical features among hMPV patients with various genotypes. No seasonality was observed, and the multiple genotype co-circulation was evident.</t>
  </si>
  <si>
    <t xml:space="preserve">[Otomaru, Hirono; Toizumi, Michiko; Yoshida, Lay-Myint] Nagasaki Univ, Inst Trop Med, Dept Pediat Infect Dis, Nagasaki, Japan; [Nguyen, Hien Anh Thi] Natl Inst Hyg &amp; Epidemiol, Dept Bacteriol, Hanoi, Vietnam; [Vo, Hien Minh] Khanh Hoa Gen Hosp, Dept Pediat, Nha Trang, Vietnam; [Le, Minh Nhat] Natl Inst Infect Dis NIID, Antimicrobial Resistance Res Ctr, Sinjuku, Tokyo, Japan; [Le, Minh Nhat] Vietnam Acad Sci &amp; Technol VAST, Tay Nguyen Inst Sci Res, Da Lat, Vietnam; [Mizuta, Katsumi] Yamagata Prefectural Inst Publ Hlth, Yamagata, Japan; [Moriuchi, Hiroyuki] Nagasaki Univ, Grad Sch Biomed Sci, Dept Pediat, Nagasaki, Japan; [Bui, Minh Xuan] Khanh Hoa Hlth Serv Dept, Nha Trang, Vietnam; [Dang, Duc Anh] Natl Inst Hyg &amp; Epidemiol, Hanoi, Vietnam; [Yoshida, Lay-Myint] Nagasaki Univ, Grad Sch Biomed Sci, Nagasaki, Japan</t>
  </si>
  <si>
    <t xml:space="preserve">Nagasaki University; National Institute of Hygiene &amp; Epidemiology (NIHE); National Institute of Infectious Diseases (NIID); Vietnam Academy of Science &amp; Technology (VAST); Nagasaki University; National Institute of Hygiene &amp; Epidemiology (NIHE); Nagasaki University</t>
  </si>
  <si>
    <t xml:space="preserve">Yoshida, LM (corresponding author), Nagasaki Univ, Inst Trop Med, Dept Pediat Infect Dis, Nagasaki, Japan.;Yoshida, LM (corresponding author), Nagasaki Univ, Grad Sch Biomed Sci, Nagasaki, Japan.</t>
  </si>
  <si>
    <t xml:space="preserve">JSPS KAKENHI [JP19K24250]; Japan Program for Infectious Diseases Research and Infrastructure, Japan Agency for Medical Research and Development (AMED) [JP21wm0125006]</t>
  </si>
  <si>
    <t xml:space="preserve">JSPS KAKENHI(Ministry of Education, Culture, Sports, Science and Technology, Japan (MEXT)Japan Society for the Promotion of ScienceGrants-in-Aid for Scientific Research (KAKENHI)); Japan Program for Infectious Diseases Research and Infrastructure, Japan Agency for Medical Research and Development (AMED)</t>
  </si>
  <si>
    <t xml:space="preserve">This work was supported by JSPS KAKENHI [grant number JP19K24250]; and Japan Program for Infectious Diseases Research and Infrastructure, Japan Agency for Medical Research and Development (AMED) [Grant Number JP21wm0125006].</t>
  </si>
  <si>
    <t xml:space="preserve">10.1038/s41598-023-42692-z</t>
  </si>
  <si>
    <t xml:space="preserve">T1NW4</t>
  </si>
  <si>
    <t xml:space="preserve">WOS:001075732600064</t>
  </si>
  <si>
    <t xml:space="preserve">Derdowski, A; Peters, TR; Glover, N; Qian, R; Utley, TJ; Burnett, A; Williams, JV; Spearman, P; Crowe, JE</t>
  </si>
  <si>
    <t xml:space="preserve">Derdowski, Aaron; Peters, Timothy R.; Glover, Nancy; Qian, Ray; Utley, Thomas J.; Burnett, Atuhani; Williams, John V.; Spearman, Paul; Crowe, James E., Jr.</t>
  </si>
  <si>
    <t xml:space="preserve">Human metapneumovirus nucleoprotein and phosphoprotein interact and provide the minimal requirements for inclusion body formation</t>
  </si>
  <si>
    <t xml:space="preserve">Biology; Nucleoprotein; Phosphoprotein; Virology; Human metapneumovirus; Metapneumovirus</t>
  </si>
  <si>
    <t xml:space="preserve">RESPIRATORY SYNCYTIAL VIRUS; P-PROTEIN; N-PROTEIN; NUCLEOCAPSID PROTEIN; MEASLES-VIRUS; CYTOPLASMIC INCLUSIONS; VIRAL NUCLEOCAPSIDS; FLUORESCENT PROTEIN; CELLULAR ACTIN; TRACT DISEASE</t>
  </si>
  <si>
    <t xml:space="preserve">Human metapneumovirus (HMPV) is a recently discovered paramyxovirus of the subfamily Pneumovirinae, which also includes avian pneumovirus and human respiratory syncytial virus (HRSV). HMPV is an important cause of respiratory disease worldwide. To understand early events in HMPV replication, cDNAs encoding the HMPV nucleoprotein (N), phosphoprotein (P), matrix protein (M), M2-1 protein and M2-2 protein were cloned from cells infected with the genotype All HMPV wild-type strain TN/96-12. HMPV N and P were shown to interact using a variety of techniques: yeast two-hybrid assays, co-immunoprecipitation and fluorescence resonance energy transfer (FRET). Confocal microscopy studies showed that, when expressed individually, fluorescently tagged HMPV N and P exhibited a diffuse expression pattern in the host-cell cytoplasm of uninfected cells but were recruited to cytoplasmic viral inclusion bodies in HMPV-infected cells. Furthermore, when HMPV N and P were expressed together, they also formed cytoplasmic inclusion-like complexes, even in the absence of viral infection. FRET microscopy revealed that HMPV N and P interacted directly within cytoplasmic inclusion-like complexes. Moreover, it was shown by yeast two-hybrid analysis that the N-terminal 28 aa are required for the recruitment to and formation of cytoplasmic inclusions, but are dispensable for binding to HMPV P. This work showed that HMPV N and P proteins provide the minimal viral requirements for HMPV inclusion body formation, which may be a distinguishing characteristic of members of the subfamily Pneumovirinae.</t>
  </si>
  <si>
    <t xml:space="preserve">[Derdowski, Aaron; Peters, Timothy R.; Glover, Nancy; Qian, Ray; Utley, Thomas J.; Williams, John V.; Crowe, James E., Jr.] Vanderbilt Univ, Sch Med, Dept Pediat, Nashville, TN 37232 USA; [Peters, Timothy R.] Vanderbilt Univ, Sch Med, Dept Cell &amp; Dev Biol, Nashville, TN 37232 USA; [Utley, Thomas J.; Burnett, Atuhani; Williams, John V.; Crowe, James E., Jr.] Vanderbilt Univ, Sch Med, Dept Microbiol &amp; Immunol, Nashville, TN 37232 USA; [Burnett, Atuhani; Spearman, Paul] Emory Sch Med, Dept Pediat &amp; Microbiol &amp; Immunol, Atlanta, GA 30322 USA</t>
  </si>
  <si>
    <t xml:space="preserve">Vanderbilt University; Vanderbilt University; Vanderbilt University; Emory University</t>
  </si>
  <si>
    <t xml:space="preserve">Crowe, JE (corresponding author), Vanderbilt Univ, Sch Med, Dept Pediat, Nashville, TN 37232 USA.</t>
  </si>
  <si>
    <t xml:space="preserve">Williams, John/ABE-3227-2020; Williams, John/F-6962-2010; Crowe, James/B-5549-2009</t>
  </si>
  <si>
    <t xml:space="preserve">Burnett, Atuhani/0000-0003-3276-3697; Qian, Ray/0000-0001-9671-4945; Williams, John/0000-0001-8377-5175; Crowe, James/0000-0002-0049-1079</t>
  </si>
  <si>
    <t xml:space="preserve">NIH [K08 AI58006, T32-HL07526, K08 AI56170, CA68485, DK20593, DK58404, HD15052, DK59637, EY08126]; Howard Hughes Medical Institute; Burroughs Wellcome Fund</t>
  </si>
  <si>
    <t xml:space="preserve">NIH(United States Department of Health &amp; Human ServicesNational Institutes of Health (NIH) - USA); Howard Hughes Medical Institute(Howard Hughes Medical Institute); Burroughs Wellcome Fund(Burroughs Wellcome Fund)</t>
  </si>
  <si>
    <t xml:space="preserve">This work was directly supported by grants NIH K08 AI58006 (T. R. P), NIH T32-HL07526 (A. D.) and K08 AI56170 (J.V.W.). This work was also supported by the Howard Hughes Medical Institute Postdoctoral Fellowships for Physicians Program and the Howard Hughes Medical Institute Community of Scholars Program. J.E.C. holds a Clinical Scientist Award in Translational Research from the Burroughs Wellcome Fund. Confocal and FRET microscopy experiments were performed in the VUMC Cell Imaging Shared Resource (supported by NIH grants CA68485, DK20593, DK58404, HD15052, DK59637 and EY08126). We thank Sharon Tollefson for expert technical assistance, the Piston and Goldenring laboratories for reagents and technical support, and Melissa Maginnis for a critical review of the manuscript.</t>
  </si>
  <si>
    <t xml:space="preserve">10.1099/vir.0.2008/004051-0</t>
  </si>
  <si>
    <t xml:space="preserve">WOS:000260885500006</t>
  </si>
  <si>
    <t xml:space="preserve">Ulbrandt, ND; Ji, H; Patel, NK; Riggs, JM; Brewah, YA; Ready, S; Donacki, NE; Folliot, K; Barnes, AS; Senthil, K; Wilson, S; Chen, MZ; Clarke, L; MacPhail, M; Li, J; Woods, RM; Coelingh, K; Reed, JL; McCarthy, MP; Pfarr, DS; Osterhaus, ADME; Fouchier, RAM; Kiener, PA; Suzich, JA</t>
  </si>
  <si>
    <t xml:space="preserve">Ulbrandt, Nancy D.; Ji, Hong; Patel, Nita K.; Riggs, Jeffrey M.; Brewah, Yambasu A.; Ready, Shannon; Donacki, Nanci E.; Folliot, Karyn; Barnes, Arnita S.; Senthil, Kannaki; Wilson, Susan; Chen, Mingzhong; Clarke, Lori; MacPhail, Mia; Li, Jia; Woods, Robert M.; Coelingh, Kathy; Reed, Jennifer L.; McCarthy, Michael P.; Pfarr, David S.; Osterhaus, Albert D. M. E.; Fouchier, Ron A. M.; Kiener, Peter A.; Suzich, Joann A.</t>
  </si>
  <si>
    <t xml:space="preserve">Isolation and characterization of monoclonal antibodies which neutralize human Metapneumovirus in vitro and in vivo</t>
  </si>
  <si>
    <t xml:space="preserve">Human metapneumovirus; Biology; Virology; Monoclonal antibody; Metapneumovirus; Bronchiolitis; Paramyxoviridae; Antibody</t>
  </si>
  <si>
    <t xml:space="preserve">RESPIRATORY SYNCYTIAL VIRUS; CLINICAL-FEATURES; GENETIC DIVERSITY; INFECTIONS; RECIPIENTS; CHILDREN; INFANTS; PROTEIN; YOUNG; HMPV</t>
  </si>
  <si>
    <t xml:space="preserve">Human metapneumovirus (hMPV) is a recently described member of the Paramyxoviridae family/Pneumovirinae subfamily and shares many common features with respiratory syncytial virus (RSV), another member of the same subfamily. hMPV causes respiratory tract illnesses that, similar to human RSV, occur predominantly during the winter months and have symptoms that range from mild to severe cough, bronchiolitis, and pneumonia. Like RSV, the hMPV virus can be subdivided into two genetic subgroups, A and B. With RSV, a single monoclonal antibody directed at the fusion (F) protein can prevent severe lower respiratory tract RSV infection. Because of the high level of sequence conservation of the F protein across all the hMPV subgroups, this protein is likely to be the preferred antigenic target for the generation of cross-subgroup neutralizing antibodies. Here we describe the generation of a panel of neutralizing monoclonal antibodies that bind to the hMPV F protein. A subset of these antibodies has the ability to neutralize prototypic strains of both the A and B hMPV subgroups in vitro. Two of these antibodies exhibited high-affinity binding to the F protein and were shown to protect hamsters against infection with hMPV. The data suggest that a monoclonal antibody could be used prophylactically to prevent lower respiratory tract disease caused by hMPV.</t>
  </si>
  <si>
    <t xml:space="preserve">Medimmune Inc, Gaithersburg, MD 20878 USA; Meimmune Vaccines, Mountain View, CA 94043 USA; Erasmus MC, Dept Virol, Rotterdam, Netherlands</t>
  </si>
  <si>
    <t xml:space="preserve">Ulbrandt, ND (corresponding author), Medimmune Inc, 1 Meimmune Way, Gaithersburg, MD 20878 USA.</t>
  </si>
  <si>
    <t xml:space="preserve">10.1128/JVI.00318-06</t>
  </si>
  <si>
    <t xml:space="preserve">070WV</t>
  </si>
  <si>
    <t xml:space="preserve">WOS:000239557700002</t>
  </si>
  <si>
    <t xml:space="preserve">Gupta, A; Bembea, M; Brown, A; Robertson, C; Romer, L; Cohn, RD</t>
  </si>
  <si>
    <t xml:space="preserve">Gupta, Abha; Bembea, Melania; Brown, Anna; Robertson, Courtney; Romer, Lewis; Cohn, Ronald D.</t>
  </si>
  <si>
    <t xml:space="preserve">Respiratory Failure Secondary to Human Metapneumovirus Requiring Extracorporeal Membrane Oxygenation in a 32-Month-Old Child</t>
  </si>
  <si>
    <t xml:space="preserve">CASE REPORTS IN PEDIATRICS</t>
  </si>
  <si>
    <t xml:space="preserve">Medicine; Human metapneumovirus; Extracorporeal membrane oxygenation; Respiratory failure; Mechanical ventilation; rhinorrhea; Respiratory system</t>
  </si>
  <si>
    <t xml:space="preserve">SURVIVAL; INFANTS</t>
  </si>
  <si>
    <t xml:space="preserve">Human metapneumovirus (HMPV) is a common virus that can cause respiratory problems ranging from mild upper respiratory tract disease to respiratory failure requiring mechanical support. Here, we report a case of a 32-month-old male with a previous history of asthma, who developed respiratory failure two weeks after onset of cough and rhinorrhea and required extracorporeal membrane oxygenation (ECMO) for 9 days after failing high-frequency oscillatory ventilation (HFOV). To our knowledge, this is the oldest reported pediatric patient with respiratory failure secondary to human metapneumovirus that did not respond to mechanical ventilation. This case highlights three critical points: the potentially fatal causative role of HMPV in respiratory failure in an older pediatric age group of immunocompetent hosts, the importance of early recognition of impending respiratory failure, and the timely utilization of ECMO.</t>
  </si>
  <si>
    <t xml:space="preserve">[Gupta, Abha; Bembea, Melania; Brown, Anna; Robertson, Courtney; Romer, Lewis; Cohn, Ronald D.] Johns Hopkins Univ Hosp, Dept Pediat, Baltimore, MD 21287 USA; [Bembea, Melania; Brown, Anna; Robertson, Courtney; Romer, Lewis] Johns Hopkins Univ Hosp, Dept Anesthesiol &amp; Crit Care Med, Baltimore, MD 21287 USA; [Cohn, Ronald D.] Johns Hopkins Univ Sch Med, McKusick Nathans Inst Genet Med, Baltimore, MD 21205 USA</t>
  </si>
  <si>
    <t xml:space="preserve">Johns Hopkins University; Johns Hopkins Medicine; Johns Hopkins University; Johns Hopkins Medicine; Johns Hopkins University</t>
  </si>
  <si>
    <t xml:space="preserve">Cohn, RD (corresponding author), Johns Hopkins Univ Hosp, Dept Pediat, Baltimore, MD 21287 USA.</t>
  </si>
  <si>
    <t xml:space="preserve">rcohn2@jhmi.edu</t>
  </si>
  <si>
    <t xml:space="preserve">Cohn, Ronald/AAC-5835-2021</t>
  </si>
  <si>
    <t xml:space="preserve">2090-6803</t>
  </si>
  <si>
    <t xml:space="preserve">2090-6811</t>
  </si>
  <si>
    <t xml:space="preserve">CASE REP PEDIAT</t>
  </si>
  <si>
    <t xml:space="preserve">Case Rep. Pediat.</t>
  </si>
  <si>
    <t xml:space="preserve">10.1155/2012/268074</t>
  </si>
  <si>
    <t xml:space="preserve">V26BE</t>
  </si>
  <si>
    <t xml:space="preserve">WOS:000215266900015</t>
  </si>
  <si>
    <t xml:space="preserve">Papenburg, J; Hamelin, MÉ; Ouhoummane, N; Carbonneau, J; Ouakki, M; Raymond, F; Robitaille, L; Corbeil, J; Caouette, G; Frenette, L; De Serres, G; Boivin, G</t>
  </si>
  <si>
    <t xml:space="preserve">Papenburg, Jesse; Hamelin, Marie-Eve; Ouhoummane, Najwa; Carbonneau, Julie; Ouakki, Manale; Raymond, Frederic; Robitaille, Lynda; Corbeil, Jacques; Caouette, Georges; Frenette, Lyne; De Serres, Gaston; Boivin, Guy</t>
  </si>
  <si>
    <t xml:space="preserve">Comparison of Risk Factors for Human Metapneumovirus and Respiratory Syncytial Virus Disease Severity in Young Children</t>
  </si>
  <si>
    <t xml:space="preserve">Human metapneumovirus; Medicine; Coinfection; Pediatrics</t>
  </si>
  <si>
    <t xml:space="preserve">INVESTIGATORS COLLABORATIVE NETWORK; INFECTION; INFANTS; BRONCHIOLITIS; GENOTYPE; CANADA; BURDEN</t>
  </si>
  <si>
    <t xml:space="preserve">Background. Human metapneumovirus (hMPV) and respiratory syncytial virus (RSV) are leading pediatric pathogens. However, risk factors for severe hMPV disease remain unknown. We comparatively assessed environmental, host, and viral determinants for severe hMPV and RSV infections. Methods. We studied a prospective cohort of &gt;1000 children aged &lt;3 years hospitalized in or presenting to a pediatric clinic for acute respiratory infection. We collected clinical data at enrollment and 1-month follow-up and tested nasopharyngeal secretions for respiratory viruses. Disease severity was defined as hospitalization and was also assessed with a severity score (1 point/variable) calculated on the basis of fraction of inhaled O-2 &gt;= 30%, hospitalization &gt;5 days, and pediatric intensive care unit admission. Results. hMPV was identified in 58 of 305 outpatient children (19.0%) and 69 of 734 hospitalized children (9.4%), second only to RSV (48.2% and 63.6%, respectively). In multivariate regression analysis of hMPV cases, age &lt;6 months and household crowding were associated with hospitalization. Among hospitalized patients, risk factors for severe hMPV disease were female sex, prematurity, and genotype B infection. Age &lt;6 months, comorbidities, and household crowding were risk factors for RSV hospitalization; breast-feeding and viral coinfection were protective. Age &lt;6 months and prematurity were associated with severe RSV cases among hospitalized children. Conclusions. hMPV and RSV severity risk factors may differ slightly. These findings will inform hMPV prevention strategies.</t>
  </si>
  <si>
    <t xml:space="preserve">[Papenburg, Jesse; Hamelin, Marie-Eve; Carbonneau, Julie; Raymond, Frederic; Robitaille, Lynda; Corbeil, Jacques; Caouette, Georges; Frenette, Lyne; Boivin, Guy] Univ Laval, Ctr Rech Infectiol, Ctr Rech CHUQ, Quebec City, PQ, Canada; [Ouhoummane, Najwa; Ouakki, Manale; De Serres, Gaston] Inst Natl Sante Publ Quebec, Quebec City, PQ, Canada; [Papenburg, Jesse] McGill Univ, Montreal Childrens Hosp, Ctr Hlth, Montreal, PQ H3H 1P3, Canada</t>
  </si>
  <si>
    <t xml:space="preserve">Laval University; Institut national de sante publique du Quebec (INSPQ); McGill University</t>
  </si>
  <si>
    <t xml:space="preserve">Boivin, G (corresponding author), CHUL, Room RC-709,2705 Blvd Laurier, Quebec City, PQ G1V 4G2, Canada.</t>
  </si>
  <si>
    <t xml:space="preserve">Corbeil, Jacques/AAW-9739-2020; Papenburg, Jesse/I-7847-2019; Raymond, Frederic/I-4135-2019</t>
  </si>
  <si>
    <t xml:space="preserve">Boivin, Guy/0000-0003-3027-4662; Corbeil, Jacques/0000-0002-9973-2740; Raymond, Frederic/0000-0002-3606-4060; Papenburg, Jesse/0000-0003-4232-871X</t>
  </si>
  <si>
    <t xml:space="preserve">Canadian Institutes of Health Research [151504]; MedImmune; Royal College of Physicians and Surgeons Canada; Association for Medical Microbiology and Infectious Diseases Canada; GlaxoSmithKline; Hoffmann La Roche; Abbott; Sanofi-Pasteur</t>
  </si>
  <si>
    <t xml:space="preserve">Canadian Institutes of Health Research(Canadian Institutes of Health Research (CIHR)); MedImmune(AstraZenecaMedimmune); Royal College of Physicians and Surgeons Canada; Association for Medical Microbiology and Infectious Diseases Canada; GlaxoSmithKline(GlaxoSmithKline); Hoffmann La Roche(Hoffmann-La Roche); Abbott(Abbott Laboratories); Sanofi-Pasteur</t>
  </si>
  <si>
    <t xml:space="preserve">This work was supported by the Canadian Institutes of Health Research (grant 151504 to G. B.) and a research grant from MedImmune (to G. B.). G. B. is the holder of the Canada Research Chair on emerging viruses and antiviral resistance. J. Corbeil is the holder of the Canada Research Chair in medical genomics. J. P. received training bursaries from the Royal College of Physicians and Surgeons Canada and the Association for Medical Microbiology and Infectious Diseases Canada for this work. G. B. has received research funds from GlaxoSmithKline, Hoffmann La Roche, and Abbott for unrelated studies. G. D. S. has received research funds from GlaxoSmithKline and Sanofi-Pasteur for unrelated studies. J. Corbeil has received research supplies from AutoGenomics. All other authors report no potential conflicts.</t>
  </si>
  <si>
    <t xml:space="preserve">10.1093/infdis/jis333</t>
  </si>
  <si>
    <t xml:space="preserve">963MX</t>
  </si>
  <si>
    <t xml:space="preserve">WOS:000305626200005</t>
  </si>
  <si>
    <t xml:space="preserve">Detection of human metapneumovirus antigens in nasopharyngeal secretions by an immunofluorescent-antibody test</t>
  </si>
  <si>
    <t xml:space="preserve">Human metapneumovirus; Virology; Serology; Antigen; Antibody; Respiratory tract infections; Biology; Pathogen; Respiratory tract; Immunology; Metapneumovirus</t>
  </si>
  <si>
    <t xml:space="preserve">RESPIRATORY SYNCYTIAL VIRUS; REVERSE TRANSCRIPTION-PCR; POLYMERASE-CHAIN-REACTION; TRACT INFECTIONS; RAPID DIAGNOSIS; VIRAL CULTURE; CHILDREN; BRONCHIOLITIS; ADENOVIRUS; INFANTS</t>
  </si>
  <si>
    <t xml:space="preserve">Human metapneumovirus (hMPV) is a recently discovered pathogen associated with respiratory tract infections, primarily in young children, immunocompromised individuals, and elderly individuals. Reverse transcription-PCR (RT-PCR) has been reported to be a more sensitive method for the diagnosis of hMPV infections than virus isolation by culture and serological study. However, there has been no report on rapid methods, such as an immunofluorescent-antibody test or an enzyme-linked immunosorbent assay, for the detection of hMPV antigens in nasopharyngeal secretions. In this study, we compared an indirect immunofluorescent-antibody test (IFA) with a monoclonal antibody with RT-PCR for detection of hMPV in nasal secretions from 48 hospitalized children with respiratory tract infections. Fifteen of the 48 children were positive for hMPV by RT-PCR. IFA results were positive for 11 of the 15 RT-PCR-positive children (sensitivity, 73.3%) and 1 of the 33 RT-PCR-negative children (specificity, 97.0%). Although the sensitivity of IFA is lower than that of RT-PCR, IFA is a rapid and useful test for the diagnosis of hMPV infections in children.</t>
  </si>
  <si>
    <t xml:space="preserve">10.1128/JCM.43.3.1138-1141.2005</t>
  </si>
  <si>
    <t xml:space="preserve">WOS:000227538900021</t>
  </si>
  <si>
    <t xml:space="preserve">Herfst, S; de Graaf, M; Schrauwen, EJA; Sprong, L; Hussain, K; van den Hoogen, BG; Osterhaus, ADME; Fouchier, RAM</t>
  </si>
  <si>
    <t xml:space="preserve">Herfst, Sander; de Graaf, Miranda; Schrauwen, Eefje J. A.; Sprong, Leo; Hussain, Karim; van den Hoogen, Bernadette G.; Osterhaus, Albert D. M. E.; Fouchier, Ron A. M.</t>
  </si>
  <si>
    <t xml:space="preserve">Generation of temperature-sensitive human metapneumovirus strains that provide protective immunity in hamsters</t>
  </si>
  <si>
    <t xml:space="preserve">Human metapneumovirus; Virology; Biology; Metapneumovirus; Immunity; Virus</t>
  </si>
  <si>
    <t xml:space="preserve">SYNCYTIAL VIRUS-DISEASE; GROWTH IN-VITRO; FUSION PROTEIN; CANDIDATE VACCINE; ATYPICAL MEASLES; INFECTION; ATTENUATION; MACAQUES; CHILDREN; SUBSTITUTION</t>
  </si>
  <si>
    <t xml:space="preserve">Human metapneumovirus (HMPV) causes acute respiratory tract illness primarily in young children, immunocompromised individuals and the elderly. Vaccines would be desirable to prevent severe illnesses in these risk groups. Here, we describe the generation and evaluation of cold-passage (cp) temperature-sensitive (ts) HMPV strains as vaccine candidates. Repeated passage of HMPV at low temperatures in Vero cells resulted in the accumulation of mutations in the viral genome. Introduction of these mutations in a recombinant HMPV by reverse genetics resulted in a ts-phenotype, judged on the decreased shut-off temperature for virus replication in vitro. As an alternative approach, three previously described cp-respiratory syncytial virus (cp-HRSV) mutations were introduced in a recombinant HMPV, which also resulted in a low shut-off temperature in vitro. Replication of these ts-viruses containing either the cp-HMPV or cp-HRSV mutations was reduced in the upper respiratory tract (URT) and undetectable in the lower respiratory tract (LRT) of hamsters. Nevertheless, high titres of HMPV-specific antibodies were induced by both ts-viruses. Upon immunization with the ts-viruses, the LRT of hamsters were completely protected against challenge infection with a heterologous HMPV strain, and URT viral titres were reduced by 10000-fold. In conclusion, we provide proof-of-principle for two candidate live-attenuated HMPV vaccines that induce cross-protective immunity to prevent infection of the LRT in Syrian golden hamsters. Further mapping of the molecular determinants of attenuation of HMPV should be the subject of future studies.</t>
  </si>
  <si>
    <t xml:space="preserve">[Herfst, Sander; de Graaf, Miranda; Schrauwen, Eefje J. A.; Sprong, Leo; Hussain, Karim; van den Hoogen, Bernadette G.; Osterhaus, Albert D. M. E.; Fouchier, Ron A. M.] Erasmus MC, Dept Virol, Rotterdam, Netherlands</t>
  </si>
  <si>
    <t xml:space="preserve">Fouchier, RAM (corresponding author), Erasmus MC, Dept Virol, Rotterdam, Netherlands.</t>
  </si>
  <si>
    <t xml:space="preserve">Herfst, Sander/HZK-7555-2023; van den Hoogen, Bernadette/J-5461-2013; de Graaf, Miranda/K-1262-2018; Fouchier, Ron/A-1911-2014</t>
  </si>
  <si>
    <t xml:space="preserve">10.1099/vir.0.2008/002022-0</t>
  </si>
  <si>
    <t xml:space="preserve">324YF</t>
  </si>
  <si>
    <t xml:space="preserve">Green Submitted, hybrid</t>
  </si>
  <si>
    <t xml:space="preserve">WOS:000257554600001</t>
  </si>
  <si>
    <t xml:space="preserve">Deffrasnes, C; Cavanagh, MH; Goyette, N; Cui, KY; Ge, Q; Seth, S; Templin, MV; Quay, SC; Johnson, PH; Boivin, G</t>
  </si>
  <si>
    <t xml:space="preserve">Deffrasnes, Celine; Cavanagh, Marie-Helene; Goyette, Nathalie; Cui, Kunyuan; Ge, Qing; Seth, Shaguna; Templin, Michael V.; Quay, Steven C.; Johnson, Paul H.; Boivin, Guy</t>
  </si>
  <si>
    <t xml:space="preserve">Inhibition of human metapneumovirus replication by small interfering RNA</t>
  </si>
  <si>
    <t xml:space="preserve">ANTIVIRAL THERAPY</t>
  </si>
  <si>
    <t xml:space="preserve">RESPIRATORY SYNCYTIAL VIRUS; TERM-CARE FACILITY; IN-VITRO; GENETIC DIVERSITY; YOUNG-CHILDREN; SIRNA; INFECTION; THERAPEUTICS; DELIVERY; VIVO</t>
  </si>
  <si>
    <t xml:space="preserve">Background: Human metapneumovirus (hMPV) is a major respiratory viral pathogen in young children, elderly individuals and immunocompromised patients. Despite its major effects related to bronchiolitis, pneumonia and its potential role in recurrent wheezing episodes, there is still no commercial treatment or vaccine available against this paramyxovirus. Methods: We tested a therapeutic strategy for hMPV that was based on RNA interference. Results: An hMPV genome-wide search for small interfering RNAs (siRNAs) by computational analysis revealed 200 potentially effective 21-mer siRNAs. Initial screening with a luciferase assay identified 57 siRNAs of interest. Further evaluation of their inhibitory potential against the four hMPV subgroups by quantitative real-time reverse transcriptase PCR and plaque immunoassay identified two highly potent siRNAs with 50% inhibitory concentration (IC50) values in the subnanomolar range. siRNA45 targets the nucleoprotein messenger RNA (mRNA) and had IC50 values &lt; 0.078 nM against representative strains from the four hMPV subgroups, whereas siRNA60, which targets the phosphoprotein mRNA, had IC50 values between 0.090-&lt; 0.078 nM against the same panel of hMPV strains. Longer 25/27-mer siRNAs known as Dicer substrates designed from the top two siRNA candidates were also evaluated and were at least as effective as their corresponding 21-mer siRNAs. Interestingly, the presence of one or two nucleotide mismatches in the target mRNA sequence of some hMPV subgroups did not always affect hMPV inhibition in vitro. Conclusions: We successfully identified two highly efficient siRNAs against hMPV targeting essential components of the hMPV replication complex.</t>
  </si>
  <si>
    <t xml:space="preserve">[Deffrasnes, Celine; Cavanagh, Marie-Helene; Goyette, Nathalie; Boivin, Guy] CHU Laval, Infect Dis Res Ctr, Quebec City, PQ G1V 4G2, Canada; [Deffrasnes, Celine; Cavanagh, Marie-Helene; Goyette, Nathalie; Boivin, Guy] Univ Laval, Quebec City, PQ, Canada; [Cui, Kunyuan; Ge, Qing; Seth, Shaguna; Templin, Michael V.; Quay, Steven C.; Johnson, Paul H.] MDRNA Inc, Bothell, WA USA; [Ge, Qing] Somagen Inc, Santa Cruz, CA USA; [Johnson, Paul H.] PhaseRx Pharmaceut, Seattle, WA USA</t>
  </si>
  <si>
    <t xml:space="preserve">Boivin, G (corresponding author), CHU Laval, Infect Dis Res Ctr, 2705 Blvd Laurier, Quebec City, PQ G1V 4G2, Canada.</t>
  </si>
  <si>
    <t xml:space="preserve">guy.boivin@crchu.ulaval.ca</t>
  </si>
  <si>
    <t xml:space="preserve">Ge, Qing/A-6551-2012; Deffrasnes, Celine/H-5744-2013</t>
  </si>
  <si>
    <t xml:space="preserve">Deffrasnes, Celine/0000-0003-3878-4771; Boivin, Guy/0000-0003-3027-4662; Quay, Steven Carl/0000-0002-0363-7651</t>
  </si>
  <si>
    <t xml:space="preserve">Canadian Institute of Health Research (CIHR)</t>
  </si>
  <si>
    <t xml:space="preserve">Canadian Institute of Health Research (CIHR)(Canadian Institutes of Health Research (CIHR))</t>
  </si>
  <si>
    <t xml:space="preserve">GB is a national researcher scholar of Le Fonds de la Recherche en Sante du Quebec (FRSQ) and the holder of the Canada Research Chair on Emerging Viruses and Antiviral Resistance. CD is a PhD scholar from the FRSQ.This work was Supported by MDRNA Inc. and by a grant from the Canadian Institute of Health Research (CIHR) to GB.</t>
  </si>
  <si>
    <t xml:space="preserve">INT MEDICAL PRESS LTD</t>
  </si>
  <si>
    <t xml:space="preserve">2-4 IDOL LANE, LONDON EC3R 5DD, ENGLAND</t>
  </si>
  <si>
    <t xml:space="preserve">1359-6535</t>
  </si>
  <si>
    <t xml:space="preserve">ANTIVIR THER</t>
  </si>
  <si>
    <t xml:space="preserve">Antivir. Ther.</t>
  </si>
  <si>
    <t xml:space="preserve">Infectious Diseases; Pharmacology &amp; Pharmacy; Virology</t>
  </si>
  <si>
    <t xml:space="preserve">353DA</t>
  </si>
  <si>
    <t xml:space="preserve">WOS:000259545100009</t>
  </si>
  <si>
    <t xml:space="preserve">Spann, KM; Baturcam, E; Schagen, J; Jones, C; Straub, CP; Preston, FM; Chen, LP; Phipps, S; Sly, PD; Fantino, E</t>
  </si>
  <si>
    <t xml:space="preserve">Spann, Kirsten M.; Baturcam, Engin; Schagen, Johanna; Jones, Carmen; Straub, Claire P.; Preston, F. Maxine; Chen, Linping; Phipps, Simon; Sly, Peter D.; Fantino, Emmanuelle</t>
  </si>
  <si>
    <t xml:space="preserve">Viral and host factors determine innate immune responses in airway epithelial cells from children with wheeze and atopy</t>
  </si>
  <si>
    <t xml:space="preserve">Wheeze; Atopy; Immunology; Rhinovirus; Medicine; Human metapneumovirus</t>
  </si>
  <si>
    <t xml:space="preserve">RESPIRATORY SYNCYTIAL VIRUS; INDUCIBLE GENE-I; NF-KAPPA-B; EARLY-LIFE; NONSTRUCTURAL PROTEINS; CAUSAL RELATIONSHIP; RIG-I; ASTHMA; INFECTIONS; RHINOVIRUS</t>
  </si>
  <si>
    <t xml:space="preserve">Background Airway epithelial cells (AEC) from patients with asthma, appear to have an impaired interferon (IFN)-beta and -lambda. response to infection with rhinovirus. Objectives To determine if impaired IFN responses can be identified in young children at risk of developing asthma due to atopy and/or early life wheeze, and if the site of infection or the infecting virus influence the antiviral response. Methods Nasal (N) and tracheal (T) epithelial cells (EC) were collected from children categorised with atopy and/or wheeze based on specific IgE to locally common aeroallergens and a questionnaire concerning respiratory health. Submerged primary cultures were infected with respiratory syncytial virus (RSV) or human metapneumovirus (hMPV), and IFN production, inflammatory cytokine expression and viral replication quantified. Results Nasal epithelial cells (NEC), but not tracheal epithelial cells (TEC), from children with wheeze and/or atopy produced less IFN-beta, but not IFN-lambda, in response to RSV infection; this was associated with higher viral shedding. However, IFN-regulated factors IRF-7, Mx-1 and CXCL-10, and inflammatory cytokines were not differentially regulated. NECs and TECs from children with wheeze and/or atopy demonstrated no impairment of the IFN response (beta or lambda) to hMPV infection. Despite this, more hMPV was shed from these cells. Conclusions AECs from children with wheeze and/or atopy do not have an intrinsic defect in the production of IFN-beta or -lambda, however, this response is influenced by the infecting virus. Higher viral load is associated with atopy and wheeze suggesting an impaired antiviral response to RSV and hMPV that is not influenced by production of IFNs.</t>
  </si>
  <si>
    <t xml:space="preserve">[Spann, Kirsten M.; Baturcam, Engin; Straub, Claire P.; Preston, F. Maxine] Univ Queensland, Clin Med Virol Ctr, Herston, Qld, Australia; [Spann, Kirsten M.; Baturcam, Engin; Straub, Claire P.; Preston, F. Maxine] Queensland Childrens Hosp, Sir Albert Sakzewski Virus Res Ctr, Herston, Qld, Australia; [Spann, Kirsten M.; Phipps, Simon; Sly, Peter D.] Australian Infect Dis Res Ctr, Brisbane, Qld, Australia; [Baturcam, Engin; Schagen, Johanna; Jones, Carmen; Chen, Linping; Sly, Peter D.; Fantino, Emmanuelle] Queensland Childrens Med Res Inst, Herston, Qld, Australia; [Phipps, Simon] Univ Queensland, Sch Biomed Sci, St Lucia, Qld, Australia; [Sly, Peter D.] Univ Queensland, Global Change Inst, Herston, Qld, Australia</t>
  </si>
  <si>
    <t xml:space="preserve">University of Queensland; Childrens Health Queensland Hospital &amp; Health Service; Queensland Childrens Hospital; University of Queensland; University of Queensland; University of Queensland</t>
  </si>
  <si>
    <t xml:space="preserve">Spann, KM (corresponding author), SASVRC, Block C28,Back Rd, Herston, Qld 4029, Australia.</t>
  </si>
  <si>
    <t xml:space="preserve">Fantino, Emmanuelle/F-1654-2010; Spann, Kirsten/B-4524-2013; Phipps, Simon/F-9170-2010; Sly, Peter/F-1486-2010</t>
  </si>
  <si>
    <t xml:space="preserve">Fantino, Emmanuelle/0000-0001-9046-3655; Spann, Kirsten/0000-0003-0567-8382; Phipps, Simon/0000-0002-7388-3612; Sly, Peter/0000-0001-6305-2201</t>
  </si>
  <si>
    <t xml:space="preserve">National Health and Medical Research Council, Australia [1002035]; Office of Health and Medical Research, Government of Queensland [50133]; Royal Children's Hospital Foundation, Brisbane, Queensland, Australia [50005]</t>
  </si>
  <si>
    <t xml:space="preserve">National Health and Medical Research Council, Australia(National Health &amp; Medical Research Council (NHMRC) of Australia); Office of Health and Medical Research, Government of Queensland; Royal Children's Hospital Foundation, Brisbane, Queensland, Australia</t>
  </si>
  <si>
    <t xml:space="preserve">This work was supported by grants from the National Health and Medical Research Council, Australia (#1002035), the Office of Health and Medical Research, Government of Queensland (#50133) and Royal Children's Hospital Foundation, Brisbane, Queensland, Australia (#50005).</t>
  </si>
  <si>
    <t xml:space="preserve">10.1136/thoraxjnl-2013-204908</t>
  </si>
  <si>
    <t xml:space="preserve">AR9KW</t>
  </si>
  <si>
    <t xml:space="preserve">WOS:000343893500009</t>
  </si>
  <si>
    <t xml:space="preserve">Wang, HC; Huang, SW; Wang, SW; Tsai, HP; Kiang, D; Wang, SM; Liu, CC; Su, IJ; Wang, JR</t>
  </si>
  <si>
    <t xml:space="preserve">Wang, Hsuan-Chen; Huang, Sheng-Wen; Wang, Shainn-Wei; Tsai, Huey-Pin; Kiang, David; Wang, Shih-Min; Liu, Ching-Chuan; Su, Ih-Jen; Wang, Jen-Ren</t>
  </si>
  <si>
    <t xml:space="preserve">Co-circulating genetically divergent A2 human metapneumovirus strains among children in southern Taiwan</t>
  </si>
  <si>
    <t xml:space="preserve">Human metapneumovirus; Metapneumovirus; Biology; Virology; Lineage (genetic); Outbreak</t>
  </si>
  <si>
    <t xml:space="preserve">RESPIRATORY-TRACT INFECTIONS; SYNCYTIAL VIRUS; YOUNG-CHILDREN; M-GENE; VARIABILITY; PROTEIN; BRONCHIOLITIS; PNEUMOVIRUS; EXPERIENCE; DIVERSITY</t>
  </si>
  <si>
    <t xml:space="preserve">An outbreak of human metapneumovirus (hMPV) among children in southern Taiwan in 2004 prompted the investigation of the molecular epidemiology of hMPV from September 2003 to August 2005. Respiratory specimens that were culture negative for a panel of respiratory viruses were examined for the presence of hMPV by RT-PCR. The results indicated that 59 out of 546 (10.8%) children were hMPV-positive. The majority of these hMPV-positive children were less than 2 years old (59.4%), females (61%), and inpatients (67.8%). Infections occurred throughout the year, but peaked during the spring and/or summer months. Sequence analysis of the fusion gene from the isolates revealed two phylogenetic groups with five possible lineages (A1, A2a/A2b, B1, and B2). Among these co-circulating strains, A2 strains were most frequently observed and demonstrated the greatest divergence. Deduced amino acid sequence analysis identified several variant amino acids specific to the A2 lineage. Lineage-specific amino acid substitutions were noted at aa233, aa286, aa312, aa348, and aa296. This study indicated that genetically divergent strains of hMPV which caused respiratory disease and hospitalization were circulating among children in Taiwan.</t>
  </si>
  <si>
    <t xml:space="preserve">[Wang, Jen-Ren] Natl Cheng Kung Univ, Coll Med, Dept Med Lab Sci &amp; Biotechnol, Tainan 70101, Taiwan; [Kiang, David] Calif Dept Publ Hlth, Viral &amp; Rickettsial Dis Lab, Richmond, CA USA; [Wang, Shih-Min] Natl Cheng Kung Univ, Dept Emergency Med, Tainan 70101, Taiwan; [Liu, Ching-Chuan] Natl Cheng Kung Univ Hosp, Dept Pediat, Tainan 70428, Taiwan; [Wang, Hsuan-Chen; Su, Ih-Jen; Wang, Jen-Ren] Natl Hlth Res Inst, Div Clin Res, Tainan, Taiwan; [Huang, Sheng-Wen; Wang, Jen-Ren] Natl Cheng Kung Univ, Coll Med, Inst Basic Med Sci, Tainan 70101, Taiwan; [Wang, Shainn-Wei] Natl Cheng Kung Univ, Coll Med, Inst Mol Med, Tainan 70101, Taiwan; [Tsai, Huey-Pin] Natl Cheng Kung Univ Hosp, Dept Pathol, Tainan 70428, Taiwan</t>
  </si>
  <si>
    <t xml:space="preserve">National Cheng Kung University; California Department of Public Health; National Cheng Kung University; National Cheng Kung University; National Cheng Kung University Hospital; National Health Research Institutes - Taiwan; National Cheng Kung University; National Cheng Kung University; National Cheng Kung University; National Cheng Kung University Hospital</t>
  </si>
  <si>
    <t xml:space="preserve">Su, Ih-Jen/B-2655-2010; Huang, Sheng/H-6338-2013; Wang, Shainn-Wei/B-9644-2009; Wang, Jen-Ren/F-5254-2011</t>
  </si>
  <si>
    <t xml:space="preserve">National Health Research Institutes; Department of Health, Taiwan Center for Disease Control [CDC94-RM-012]</t>
  </si>
  <si>
    <t xml:space="preserve">National Health Research Institutes(National Health Research Institutes, JapanNational Health Research Institutes - Taiwan); Department of Health, Taiwan Center for Disease Control</t>
  </si>
  <si>
    <t xml:space="preserve">This study was supported by National Health Research Institutes grants; and by Department of Health, Taiwan Center for Disease Control grant CDC94-RM-012.</t>
  </si>
  <si>
    <t xml:space="preserve">10.1007/s00705-008-0242-3</t>
  </si>
  <si>
    <t xml:space="preserve">391KJ</t>
  </si>
  <si>
    <t xml:space="preserve">WOS:000262231900004</t>
  </si>
  <si>
    <t xml:space="preserve">Wolf, DG; Greenberg, D; Shemer-Avni, Y; Givon-Lavi, N; Bar-Ziv, J; Dagan, R</t>
  </si>
  <si>
    <t xml:space="preserve">Wolf, Dana G.; Greenberg, David; Shemer-Avni, Yonat; Givon-Lavi, Noga; Bar-Ziv, Jacob; Dagan, Ron</t>
  </si>
  <si>
    <t xml:space="preserve">Association of Human Metapneumovirus with Radiologically Diagnosed Community-Acquired Alveolar Pneumonia in Young Children</t>
  </si>
  <si>
    <t xml:space="preserve">JOURNAL OF PEDIATRICS</t>
  </si>
  <si>
    <t xml:space="preserve">Medicine; Human metapneumovirus; Pneumonia; Community-acquired pneumonia; Association (psychology); Metapneumovirus</t>
  </si>
  <si>
    <t xml:space="preserve">RESPIRATORY-TRACT INFECTIONS; VIRUS; INFANTS; DISEASE; PCR</t>
  </si>
  <si>
    <t xml:space="preserve">Objectives To determine the involvement of human metapneumovirus (HMPV) in childhood community-acquired alveolar pneumonia (CAAP) and compare the demographic, clinical, and laboratory features of HMPV-associated CAAP and CAAP associated with other respiratory viruses. Study design Nasopharyngeal wash specimens obtained prospectively over a 4-year period from children age &lt; 5 years evaluated in the emergency department with radiologically diagnosed CAAP and from healthy controls were tested for HMPV by reverse-transcriptase polymerase chain reaction and for respiratory syncytial virus (RSV), adenovirus, influenza and parainfluenza viruses by direct immunofluorescence and culture. Results HMPV was detected in 108 of 1296 patients (8.3%) versus RSV in 23.1%, adenovirus in 3.4%, influenza A virus in 2.9%, and parainfluenza viruse in 2.9%. During the period of peak activity (November to May), HMPV was detected in 95 of 1017 patients (9.3%) and in 3 of 136 controls (2.2%) (P = .005). The patients with HMPV were older than those with RSV (P &lt; .001) with a more common history of acute otitis media requiring tympanocentesis (P = .032), wheezing (P = .001) and gastrointestinal symptoms (P &lt; .001) and a lower hospitalization rate (P = .005). Conclusions The high detection rate suggests an important role for HMPV in childhood CAAP. Our findings identify demographic and clinical features of HMPV-positive CAAP and its age-related impact on hospital admissions. (J Pediatr 2010; 156: 115-20).</t>
  </si>
  <si>
    <t xml:space="preserve">[Wolf, Dana G.] Hadassah Univ, Med Ctr, Dept Clin Microbiol &amp; Infect Dis, Clin Virol Unit, IL-91120 Jerusalem, Israel; [Greenberg, David; Givon-Lavi, Noga; Bar-Ziv, Jacob; Dagan, Ron] Soroka Univ, Med Ctr, Pediat Infect Dis Unit, Beer Sheva, Israel; [Shemer-Avni, Yonat] Soroka Univ, Med Ctr, Clin Virol Lab, Beer Sheva, Israel; Ben Gurion Univ Negev, Fac Hlth Sci, Beer Sheva, Israel</t>
  </si>
  <si>
    <t xml:space="preserve">Hebrew University of Jerusalem; Hadassah University Medical Center; Ben Gurion University; Soroka Medical Center; Ben Gurion University; Soroka Medical Center; Ben Gurion University</t>
  </si>
  <si>
    <t xml:space="preserve">Wolf, DG (corresponding author), Hadassah Univ, Med Ctr, Dept Clin Microbiol &amp; Infect Dis, Clin Virol Unit, IL-91120 Jerusalem, Israel.</t>
  </si>
  <si>
    <t xml:space="preserve">dana.wolf@ekmd.huji.ac.il</t>
  </si>
  <si>
    <t xml:space="preserve">Israeli Ministry of Science, MedImmune, Wyeth, and GlaxoSmithKline</t>
  </si>
  <si>
    <t xml:space="preserve">Supported by research grants from the Israeli Ministry of Science, MedImmune, Wyeth, and GlaxoSmithKline. The study sponsors had no involvement in study design, the collection, analysis, and interpretation of data, the writing of the report, or the decision to submit the manuscript for publication. No honorarium, grant, or other form of payment was given to anyone to produce the manuscript. The authors declare no conflicts of interest.</t>
  </si>
  <si>
    <t xml:space="preserve">0022-3476</t>
  </si>
  <si>
    <t xml:space="preserve">J PEDIATR-US</t>
  </si>
  <si>
    <t xml:space="preserve">10.1016/j.jpeds.2009.07.014</t>
  </si>
  <si>
    <t xml:space="preserve">538QZ</t>
  </si>
  <si>
    <t xml:space="preserve">WOS:000273200400025</t>
  </si>
  <si>
    <t xml:space="preserve">Gerna, G; Campanini, G; Rovida, F; Sarasini, A; Lilleri, D; Paolucci, S; Marchi, A; Baldanti, F; Revello, MG</t>
  </si>
  <si>
    <t xml:space="preserve">Changing circulation rate of human metapneumovirus strains and types among hospitalized pediatric patients during three consecutive winter-spring seasons</t>
  </si>
  <si>
    <t xml:space="preserve">Human metapneumovirus; Virology; Biology; Metapneumovirus; Respiratory system; Virus; Population</t>
  </si>
  <si>
    <t xml:space="preserve">RESPIRATORY-TRACT INFECTIONS; HUMAN CORONAVIRUS; YOUNG-CHILDREN; DISEASE; INFANTS; IDENTIFICATION; POPULATION; VIRUSES; AGE</t>
  </si>
  <si>
    <t xml:space="preserve">From 2001 through 2004, 808 pediatric patients admitted to hospital because of acute respiratory infections were examined for presence of respiratory viruses by either direct fluorescent staining using monoclonal antibodies or RT-PCR during three consecutive winter-spring seasons. On the whole, 336 (42%) patients were detected as positive for one or more respiratory viruses. The most widely circulating virus was human respiratory syncytial virus (hRSV) infecting 50% of positive patients, followed by human metapneumovirus (hMPV) found in 13% of patients, and then by influenza virus type A, human parainfluenzaviruses and coinfections. Significant variations in the circulation rate of hRSV, hMPV and influenzavirus type A were observed during the individual seasons. In addition, the circulation rates of the different types of hMPV changed yearly. In 2001-2002 and 2002-2003 hMPV circulated at a significant lower proportion than hRSV, while in 2003-2004 the circulation rates of the two viruses were closer. In conclusion, the 4 hMPV subtypes circulated yearly in Northern Italy flanking hRSV as major respiratory pathogens in the infantile patient population.</t>
  </si>
  <si>
    <t xml:space="preserve">IRCCS Fondazione San Matteo; University of Pavia; University of Pavia</t>
  </si>
  <si>
    <t xml:space="preserve">Lilleri, Daniele/K-7776-2016; Paolucci, Stefania/J-4055-2018; Baldanti, Fausto/J-4924-2018; Rovida, Francesca/K-7984-2016; Campanini, Giulia/J-4889-2018</t>
  </si>
  <si>
    <t xml:space="preserve">Paolucci, Stefania/0000-0001-8447-8586; Baldanti, Fausto/0000-0002-3358-8969; Rovida, Francesca/0000-0003-2345-2790; Campanini, Giulia/0000-0002-3536-2437; Gerna, Giuseppe/0000-0001-5956-2786; Lilleri, Daniele/0000-0001-7747-7622</t>
  </si>
  <si>
    <t xml:space="preserve">VIENNA</t>
  </si>
  <si>
    <t xml:space="preserve">SACHSENPLATZ 4-6, PO BOX 89, A-1201 VIENNA, AUSTRIA</t>
  </si>
  <si>
    <t xml:space="preserve">10.1007/s00705-005-0581-2</t>
  </si>
  <si>
    <t xml:space="preserve">974WX</t>
  </si>
  <si>
    <t xml:space="preserve">WOS:000232623200014</t>
  </si>
  <si>
    <t xml:space="preserve">Endo, R; Ebihara, T; Ishiguro, N; Teramoto, S; Ariga, T; Sakata, C; Hayashi, A; Ishiko, H; Kikuta, H</t>
  </si>
  <si>
    <t xml:space="preserve">Endo, Rika; Ebihara, Takashi; Ishiguro, Nobuhisa; Teramoto, Shinobu; Ariga, Tadashi; Sakata, Chikako; Hayashi, Akio; Ishiko, Hiroaki; Kikuta, Hideaki</t>
  </si>
  <si>
    <t xml:space="preserve">Detection of four genetic subgroup-specific antibodies to human metapneumovirus attachment (G) protein in human serum</t>
  </si>
  <si>
    <t xml:space="preserve">Human metapneumovirus; Biology; Virology; Antibody; Antigen</t>
  </si>
  <si>
    <t xml:space="preserve">RESPIRATORY SYNCYTIAL VIRUS; MONOCLONAL-ANTIBODIES; G-GLYCOPROTEIN; F-PROTEIN; PROTECTIVE IMMUNITY; FUSION PROTEIN; VARIABILITY; INFECTION; DIVERSITY; ASSAY</t>
  </si>
  <si>
    <t xml:space="preserve">Human metapneumovirus (hMPV) strains are classified into two genetic groups, A and B, each of which is further divided in two genetic subgroups, Al, A2, B1 and 132. hMPV encodes two major surface glycoproteins, the fusion (F) and attachment (G) proteins, which may be immunogenic and protective antigens. Although the amino acid sequences of hMPV F protein are highly conserved, those of the G protein are highly variable with low amino acid identity between the two groups. To address the antigenic variation between the genetic subgroups, we developed an immunofluorescence assay (IFA) method using Trichoplusia ni (Tn5) insect cells infected with each recombinant baculovirus-expressed hMPV G (Bac-G) protein of the four genetic subgroups. The titre of each antibody to the four Bac-G proteins was measured by the IFA in 12 paired serum samples obtained from children infected with hMPV of each genetic subgroup. Although 11 of the 12 acute-phase serum samples in paired samples were negative for the antibody to any BacG proteins, all of the convalescent-phase serum samples in those paired samples were positive for the antibody to only one of the four Bac-G proteins of the infecting genotype of hMPV. Since the antibody response to hMPV G protein was transient and genetic subgroup-specific without cross- reactivity, four genetic subgroups on the basis of hMPV G protein could be identified as different serotypes. This assay may be useful for the study of immune responses of humans to different hMPV strains, especially for clarifying the risk of reinfection with hMPV.</t>
  </si>
  <si>
    <t xml:space="preserve">[Kikuta, Hideaki] Touei Hosp, Pediat Clin, Sapporo, Hokkaido, Japan; [Sakata, Chikako; Hayashi, Akio; Ishiko, Hiroaki] Mitsubishi Chem Med Corp, Tokyo, Japan; [Endo, Rika; Ebihara, Takashi; Ishiguro, Nobuhisa; Teramoto, Shinobu; Ariga, Tadashi] Hokkaido Univ, Grad Sch Med, Dept Pediat, Sapporo, Hokkaido, Japan</t>
  </si>
  <si>
    <t xml:space="preserve">Kikuta, H (corresponding author), Touei Hosp, Pediat Clin, Sapporo, Hokkaido, Japan.</t>
  </si>
  <si>
    <t xml:space="preserve">Ishiguro, Nobuhisa/A-5199-2012; Ariga, Tadashi/A-4252-2012</t>
  </si>
  <si>
    <t xml:space="preserve">10.1099/vir.0.83679-0</t>
  </si>
  <si>
    <t xml:space="preserve">335PF</t>
  </si>
  <si>
    <t xml:space="preserve">WOS:000258301800021</t>
  </si>
  <si>
    <t xml:space="preserve">Melendi, GA; Zavala, F; Buchholz, UJ; Boivin, G; Collins, PL; Kleeberger, SR; Polack, FP</t>
  </si>
  <si>
    <t xml:space="preserve">Melendi, Guillermina A.; Zavala, Fidel; Buchholz, Ursula J.; Boivin, Guy; Collins, Peter L.; Kleeberger, Steven R.; Polack, Fernando P.</t>
  </si>
  <si>
    <t xml:space="preserve">Mapping and characterization of the primary and anamnestic H-2d-restricted cytotoxic T-Lymphocyte response in mice against human metapneumovirus</t>
  </si>
  <si>
    <t xml:space="preserve">Epitope; Human metapneumovirus; CTL*; Subdominant; Biology; Virology; Cytotoxic T cell</t>
  </si>
  <si>
    <t xml:space="preserve">RESPIRATORY SYNCYTIAL VIRUS; PRIMARY INFECTION; TRACT DISEASE; BALB/C MICE; PROTEIN; EPITOPE; CELLS; IMMUNIZATION; PATHOGENESIS; ANTIBODIES</t>
  </si>
  <si>
    <t xml:space="preserve">Cytotoxic T lymphocytes (CTLs) are important for the control of virus replication during respiratory infections. For human metapneumovirus (hMPV), an H-2(d) -restricted CTL epitope in the M2-2 protein has been described. In this study, we screened the hMPV F, G, N, M, M2-1, and M2-2 proteins using three independent algorithms to predict H-2(d) CTL epitopes in BALB/c mice. A dominant epitope (GYIDDNQSI) in positions 81 to 89 of the antitermination factor M2-1 and a subdominant epitope (SPKAGLLSL) in N307-315 were detected during the anti-hMPV CTL response. Passive transfer of CD8(+) T-cell lines against M2-1(81-89) and N307-315 protected Ragl(-/-) mice against hMPV challenge. Interestingly, diversification of CTL targets to include multiple epitopes was observed after repetitive infections. A subdominant response against the previously described M2-2 epitope was detected after the third infection. An understanding of the CTL response against hMPV is important for developing preventive and therapeutic strategies against the virus.</t>
  </si>
  <si>
    <t xml:space="preserve">Johns Hopkins Univ, Baltimore, MD 21205 USA; Fdn INFANT, Buenos Aires, DF, Argentina; Johns Hopkins Univ, Sch Med, Dept Pediat, Baltimore, MD 21205 USA; Johns Hopkins Univ, Dept Mol Microbiol, Baltimore, MD USA; Johns Hopkins Univ, Sch Med, Dept Immunol, Baltimore, MD USA; Johns Hopkins Univ, Dept Int Hlth, Baltimore, MD USA; NIH, NIAID, Bethesda, MD 20892 USA; Univ Quebec, Cent Hosp, Res Ctr Infect Dis, Quebec City, PQ, Canada; NIH, Natl Inst Environm Hlth Sci, Res Triangle Pk, NC USA</t>
  </si>
  <si>
    <t xml:space="preserve">Johns Hopkins University; Johns Hopkins University; Johns Hopkins University; Johns Hopkins University; Johns Hopkins University; National Institutes of Health (NIH) - USA; NIH National Institute of Allergy &amp; Infectious Diseases (NIAID); Laval University; University of Quebec; National Institutes of Health (NIH) - USA; NIH National Institute of Environmental Health Sciences (NIEHS)</t>
  </si>
  <si>
    <t xml:space="preserve">Polack, FP (corresponding author), Johns Hopkins Univ, 615 N Wolfe St,E5202, Baltimore, MD 21205 USA.</t>
  </si>
  <si>
    <t xml:space="preserve">fpolick@jhsph.edu</t>
  </si>
  <si>
    <t xml:space="preserve">Buchholz, Ursula/AAA-4547-2022; Kleeberger, Steven/F-1807-2019</t>
  </si>
  <si>
    <t xml:space="preserve">Boivin, Guy/0000-0003-3027-4662; Kleeberger, Steven/0000-0003-2948-8452</t>
  </si>
  <si>
    <t xml:space="preserve">Intramural NIH HHS Funding Source: Medline; NIAID NIH HHS [AI-054952, R21 AI054952, R01 AI054952] Funding Source: Medline</t>
  </si>
  <si>
    <t xml:space="preserve">10.1128/JVI.02423-06</t>
  </si>
  <si>
    <t xml:space="preserve">218MK</t>
  </si>
  <si>
    <t xml:space="preserve">WOS:000250019400059</t>
  </si>
  <si>
    <t xml:space="preserve">Yang, CF; Wang, CK; Tollefson, SJ; Piyaratna, R; Lintao, LD; Chu, M; Liem, A; Mark, M; Spaete, RR; Crowe, JE; Williams, JV</t>
  </si>
  <si>
    <t xml:space="preserve">Yang, Chin-Fen; Wang, Chiaoyin K.; Tollefson, Sharon J.; Piyaratna, Rohith; Lintao, Linda D.; Chu, Marla; Liem, Alexis; Mark, Mary; Spaete, Richard R.; Crowe, James E., Jr.; Williams, John V.</t>
  </si>
  <si>
    <t xml:space="preserve">Genetic diversity and evolution of human metapneumovirus fusion protein over twenty years</t>
  </si>
  <si>
    <t xml:space="preserve">Human metapneumovirus; Metapneumovirus; Biology; Genetic diversity; Genetics</t>
  </si>
  <si>
    <t xml:space="preserve">RESPIRATORY SYNCYTIAL VIRUS; TRACT INFECTIONS; TRANSPLANT RECIPIENTS; SEQUENCE DIVERGENCE; PROTECTIVE IMMUNITY; MONOCLONAL-ANTIBODY; ANTIGENIC ANALYSIS; F-GLYCOPROTEIN; YOUNG-CHILDREN; MEASLES-VIRUS</t>
  </si>
  <si>
    <t xml:space="preserve">Background: Human metapneumovirus (HMPV) is an important cause of acute respiratory illness in children. We examined the diversity and molecular evolution of HMPV using 85 full-length F (fusion) gene sequences collected over a 20-year period. Results: The F gene sequences fell into two major groups, each with two subgroups, which exhibited a mean of 96% identity by predicted amino acid sequences. Amino acid identity within and between subgroups was higher than nucleotide identity, suggesting structural or functional constraints on F protein diversity. There was minimal progressive drift over time, and the genetic lineages were stable over the 20-year period. Several canonical amino acid differences discriminated between major subgroups, and polymorphic variations tended to cluster in discrete regions. The estimated rate of mutation was 7.12 x 10(-4) substitutions/site/year and the estimated time to most recent common HMPV ancestor was 97 years (95% likelihood range 66-194 years). Analysis suggested that HMPV diverged from avian metapneumovirus type C (AMPV-C) 269 years ago (95% likelihood range 106-382 years). Conclusion: HMPV F protein remains conserved over decades. HMPV appears to have diverged from AMPV-C fairly recently.</t>
  </si>
  <si>
    <t xml:space="preserve">[Tollefson, Sharon J.; Piyaratna, Rohith; Crowe, James E., Jr.; Williams, John V.] Vanderbilt Univ, Sch Med, Dept Pediat, Nashville, TN 37212 USA; [Crowe, James E., Jr.; Williams, John V.] Monroe Carell Jr Childrens Hosp Vanderbilt, Nashville, TN USA; [Crowe, James E., Jr.; Williams, John V.] Vanderbilt Univ, Sch Med, Dept Microbiol &amp; Immunol, Nashville, TN 37212 USA; [Yang, Chin-Fen; Wang, Chiaoyin K.; Lintao, Linda D.; Chu, Marla; Liem, Alexis; Mark, Mary; Spaete, Richard R.] MedImmune Vaccines Inc, Mountain View, CA USA</t>
  </si>
  <si>
    <t xml:space="preserve">Vanderbilt University; Vanderbilt University; Vanderbilt University; AstraZeneca; Medimmune</t>
  </si>
  <si>
    <t xml:space="preserve">Williams, JV (corresponding author), Vanderbilt Univ, Sch Med, Dept Pediat, Nashville, TN 37212 USA.</t>
  </si>
  <si>
    <t xml:space="preserve">yangc@medimmune.com; wangk@medimmune.com; sharon.tollefson@vanderbilt.edu; rohith.piyaratna@vanderbilt.edu; lintaol@medimmune.com; chum@medimmune.com; liema@medimmune.com; markm@medimmune.com; delta_gee@prodigy.net; james.crowe@vanderbilt.edu; john.williams@vanderbilt.edu</t>
  </si>
  <si>
    <t xml:space="preserve">Williams, John/0000-0001-8377-5175; Crowe, James/0000-0002-0049-1079</t>
  </si>
  <si>
    <t xml:space="preserve">NIH [R03 AI 054790, R21 AI 082417, N01 AI65298, RR00095, UL1RR024975]; Burroughs Wellcome Fund Clinical Scientist Award in Translation Research to JEC</t>
  </si>
  <si>
    <t xml:space="preserve">NIH(United States Department of Health &amp; Human ServicesNational Institutes of Health (NIH) - USA); Burroughs Wellcome Fund Clinical Scientist Award in Translation Research to JEC(Burroughs Wellcome Fund)</t>
  </si>
  <si>
    <t xml:space="preserve">Supported by NIH R03 AI 054790 and R21 AI 082417 to JVW, a MedImmune research grant to JEC, and a Burroughs Wellcome Fund Clinical Scientist Award in Translation Research to JEC. The Vanderbilt Vaccine Clinic was supported in part by NIH Respiratory Pathogens Research Unit N01 AI65298, NIH GCRC award RR00095 and NIH CTSA grant 1 UL1RR024975.</t>
  </si>
  <si>
    <t xml:space="preserve">10.1186/1743-422X-6-138</t>
  </si>
  <si>
    <t xml:space="preserve">509IK</t>
  </si>
  <si>
    <t xml:space="preserve">WOS:000271008500001</t>
  </si>
  <si>
    <t xml:space="preserve">Albuquerque, MCM; Pena, GPA; Varella, RB; Gallucci, G; Erdman, D; Santos, N</t>
  </si>
  <si>
    <t xml:space="preserve">Albuquerque, Maria Carolina M.; Pena, Gisele P. A.; Varella, Rafael B.; Gallucci, George; Erdman, Dean; Santos, Norma</t>
  </si>
  <si>
    <t xml:space="preserve">Novel Respiratory Virus Infections in Children, Brazil</t>
  </si>
  <si>
    <t xml:space="preserve">Human bocavirus; Human metapneumovirus; Virology; Metapneumovirus; Respiratory system; Virus</t>
  </si>
  <si>
    <t xml:space="preserve">HUMAN METAPNEUMOVIRUS; PEDIATRIC-PATIENTS; CLINICAL-SAMPLES; HUMAN BOCAVIRUS; PCR; IDENTIFICATION; ASSAYS; OLD</t>
  </si>
  <si>
    <t xml:space="preserve">Recently discovered respiratory viruses were detected in 19 (9.2%) of 205 nasal swab specimens from children in Brazil with respiratory illnesses. Five each were positive for human metapneumovirus (HMPV) alone and human bocavirus (HBoV) alone, 3 for human coronaviruses (HCoV-HKU1 or -NL63) alone, and 6 for more than 1 recently discovered virus.</t>
  </si>
  <si>
    <t xml:space="preserve">[Santos, Norma] Univ Fed Rio de Janeiro, Inst Microbiol, Dept Virol, Ilha Fundao, BR-21941590 Rio De Janeiro, Brazil; [Varella, Rafael B.] Ctr Univ Serra Orgaos, Rio De Janeiro, Brazil; [Gallucci, George; Erdman, Dean] Ctr Dis Control &amp; Prevent, Atlanta, GA USA</t>
  </si>
  <si>
    <t xml:space="preserve">Universidade Federal do Rio de Janeiro; Centers for Disease Control &amp; Prevention - USA</t>
  </si>
  <si>
    <t xml:space="preserve">Santos, N (corresponding author), Univ Fed Rio de Janeiro, Inst Microbiol, Dept Virol, Ilha Fundao, Cidade Univ,CCS Bl 1, BR-21941590 Rio De Janeiro, Brazil.</t>
  </si>
  <si>
    <t xml:space="preserve">Conselho Nacional de Desenvolvimento Cientifico e Tecnologico (CNPq); Coordenacao de Aperfeicoamento de Pessoal de Nivel Superior (CAPES); Fundacao de Amparo a Pesquisa do Estado do Rio de Janeiro (FAPERJ), Brazil</t>
  </si>
  <si>
    <t xml:space="preserve">Conselho Nacional de Desenvolvimento Cientifico e Tecnologico (CNPq)(Conselho Nacional de Desenvolvimento Cientifico e Tecnologico (CNPQ)); Coordenacao de Aperfeicoamento de Pessoal de Nivel Superior (CAPES)(Coordenacao de Aperfeicoamento de Pessoal de Nivel Superior (CAPES)); Fundacao de Amparo a Pesquisa do Estado do Rio de Janeiro (FAPERJ), Brazil(Fundacao Carlos Chagas Filho de Amparo a Pesquisa do Estado do Rio De Janeiro (FAPERJ))</t>
  </si>
  <si>
    <t xml:space="preserve">This Study was supported in part by Conselho Nacional de Desenvolvimento Cientifico e Tecnologico (CNPq), Coordenacao de Aperfeicoamento de Pessoal de Nivel Superior (CAPES) and by Fundacao de Amparo a Pesquisa do Estado do Rio de Janeiro (FAPERJ), Brazil.</t>
  </si>
  <si>
    <t xml:space="preserve">10.3201/eid1505.081603</t>
  </si>
  <si>
    <t xml:space="preserve">437WY</t>
  </si>
  <si>
    <t xml:space="preserve">WOS:000265518800023</t>
  </si>
  <si>
    <t xml:space="preserve">Côté, S; Abed, Y; Boivin, G</t>
  </si>
  <si>
    <t xml:space="preserve">Comparative evaluation of real-time PCR assays for detection of the human metapneumovirus</t>
  </si>
  <si>
    <t xml:space="preserve">Human metapneumovirus; Virology; Metapneumovirus; Biology; Real-time polymerase chain reaction; Bronchiolitis; Paramyxoviridae</t>
  </si>
  <si>
    <t xml:space="preserve">RESPIRATORY SYNCYTIAL VIRUS; REVERSE TRANSCRIPTION-PCR; CHILDREN; INFECTIONS; DIAGNOSIS; ILLNESS</t>
  </si>
  <si>
    <t xml:space="preserve">The human metapneumovirus (hMPV) is a new member of the Paramyxoviridae family associated with acute respiratory tract infections in humans. The objective of this study was to compare the sensitivity of real-time RT-PCR assays performed in a LightCycler instrument and designed to amplify the viral nucleoprotein (N), matrix (M), fusion (F), phosphoprotein (P), and polymerase Q genes. In a first evaluation of 20 viral cultures with characteristics compatible with hMPV cytopathic effect, the PCR positivity rates were 100, 90, 75, 60, and 55% using primers for the N, L, M, P, and F genes. In a second evaluation of 10 nasopharyngeal aspirates from children with bronchiolitis and found to be positive for the hMPV N gene, the PCR positivity rates for the L, M, P, and F genes were 90, 60,30, and 80%, respectively. The analytic sensitivity of the real-time RT-PCR assay for the hMPV N gene was 100 copies using a transcribed viral plasmid. In conclusion, real-time PCR assays aimed at amplifying the N and L genes which are coding for two internal viral proteins appear particularly suitable for hMPV diagnostic.</t>
  </si>
  <si>
    <t xml:space="preserve">Ctr Hosp Univ Quebec, Infect Dis Res Ctr, CHUL, Quebec City, PQ, Canada; Univ Laval, Dept Med Biol, Quebec City, PQ, Canada</t>
  </si>
  <si>
    <t xml:space="preserve">Boivin, G (corresponding author), CHUQ, Ctr Rech Infectiol, Pavillon CHUL,Room RC-709,2705 Blvd, Ste Foy, PQ G1V 4G2, Canada.</t>
  </si>
  <si>
    <t xml:space="preserve">10.1128/JCM.41.8.3631-3635.2003</t>
  </si>
  <si>
    <t xml:space="preserve">711MW</t>
  </si>
  <si>
    <t xml:space="preserve">WOS:000184746500028</t>
  </si>
  <si>
    <t xml:space="preserve">Milder, E; Arnold, JC</t>
  </si>
  <si>
    <t xml:space="preserve">Milder, Edmund; Arnold, John C.</t>
  </si>
  <si>
    <t xml:space="preserve">Human Metapneumovirus and Human Bocavirus in Children</t>
  </si>
  <si>
    <t xml:space="preserve">Human bocavirus; Human metapneumovirus; Bronchiolitis; Metapneumovirus; Virology</t>
  </si>
  <si>
    <t xml:space="preserve">RESPIRATORY-TRACT INFECTIONS; REVERSE-TRANSCRIPTASE PCR; YOUNG-CHILDREN; HOSPITALIZED CHILDREN; SYNCYTIAL VIRUS; CLINICAL-MANIFESTATIONS; MOLECULAR EPIDEMIOLOGY; FRENCH CHILDREN; UNITED-STATES; SEROPREVALENCE</t>
  </si>
  <si>
    <t xml:space="preserve">Several new viruses have recently been described in children, including human metapneumovirus (hMPV) and human bocavirus (HBoV). hMPV has been established as a common cause of upper and lower respiratory tract infections in children, often second only to respiratory syncytial virus as a cause of bronchiolitis in infants. Diagnostic tools have been developed for the clinician and effective treatment and prevention strategies are being investigated. HBoV was more recently identified. Although it was initially identified in the airway of children, high rates of codetection of other viral pathogens and detection of the virus in the stool have raised questions about the true role of HBoV as a cause of respiratory infections. A focus on epidemiology, pathogenesis, clinical features, and diagnostic techniques for hMPV and HBoV is presented. (Pediatr Res 65: 78R-83R, 2009)</t>
  </si>
  <si>
    <t xml:space="preserve">[Milder, Edmund; Arnold, John C.] USN, Med Ctr, Dept Pediat, San Diego, CA 92134 USA</t>
  </si>
  <si>
    <t xml:space="preserve">United States Department of Defense; United States Navy</t>
  </si>
  <si>
    <t xml:space="preserve">Arnold, JC (corresponding author), USN, Med Ctr, Dept Infect Dis, 34800 Bob Wilson Dr, San Diego, CA 92134 USA.</t>
  </si>
  <si>
    <t xml:space="preserve">78R</t>
  </si>
  <si>
    <t xml:space="preserve">83R</t>
  </si>
  <si>
    <t xml:space="preserve">10.1203/PDR.0b013e31819db90c</t>
  </si>
  <si>
    <t xml:space="preserve">436XH</t>
  </si>
  <si>
    <t xml:space="preserve">WOS:000265448900012</t>
  </si>
  <si>
    <t xml:space="preserve">Rappazzo, CG; Hsieh, CL; Rush, SA; Esterman, ES; Delgado, T; Geoghegan, JC; Wec, AZ; Sakharkar, M; Más, V; McLellan, JS; Walker, LM</t>
  </si>
  <si>
    <t xml:space="preserve">Rappazzo, C. Garrett; Hsieh, Ching-Lin; Rush, Scott A.; Esterman, Emma S.; Delgado, Teresa; Geoghegan, James C.; Wec, Anna Z.; Sakharkar, Mrunal; Mas, Vicente; McLellan, Jason S.; Walker, Laura M.</t>
  </si>
  <si>
    <t xml:space="preserve">Potently neutralizing and protective anti-human metapneumovirus antibodies target diverse sites on the fusion glycoprotein</t>
  </si>
  <si>
    <t xml:space="preserve">IMMUNITY</t>
  </si>
  <si>
    <t xml:space="preserve">Human metapneumovirus; Virology; Biology; Antibody; Glycoprotein; Metapneumovirus; Neutralizing antibody; Neutralization</t>
  </si>
  <si>
    <t xml:space="preserve">RESPIRATORY SYNCYTIAL VIRUS; MONOCLONAL-ANTIBODY; YOUNG-CHILDREN; INFECTION; PROTEIN; VACCINE; MODEL; RSV</t>
  </si>
  <si>
    <t xml:space="preserve">Human metapneumovirus (hMPV) is a leading cause of acute lower respiratory tract infections in high-risk populations, yet there are no vaccines or anti-viral therapies approved for the prevention or treatment of hMPV-associated disease. Here, we used a high-throughput single-cell technology to interrogate memory B cell responses to the hMPV fusion (F) glycoprotein in young adult and elderly donors. Across all donors, the neutralizing antibody response was primarily directed to epitopes expressed on both pre- and post-fusion F conformations. However, we identified rare, highly potent broadly neutralizing antibodies that recognize prefusion-specific epitopes and structurally characterized an antibody that targets a site of vulnerability at the pre-fusion F trimer apex. Additionally, monotherapy with neutralizing antibodies targeting three distinct antigenic sites provided robust protection against lower respiratory tract infection in a small animal model. This study provides promising monoclonal antibody candidates for passive immunoprophylaxis and informs the rational design of hMPV vaccine immunogens.</t>
  </si>
  <si>
    <t xml:space="preserve">[Rappazzo, C. Garrett; Esterman, Emma S.; Geoghegan, James C.; Wec, Anna Z.; Sakharkar, Mrunal] Adimab LLC, Lebanon, NH 03766 USA; [Hsieh, Ching-Lin; Rush, Scott A.; McLellan, Jason S.] Univ Texas Austin, Dept Mol Biosci, Austin, TX 78712 USA; [Delgado, Teresa; Mas, Vicente] Inst Salud Carlos III, Ctr Nacl Microbiol, Madrid 28220, Spain; [Walker, Laura M.] Adagio Therapeut Inc, Waltham, MA 02451 USA</t>
  </si>
  <si>
    <t xml:space="preserve">McLellan, JS (corresponding author), Univ Texas Austin, Dept Mol Biosci, Austin, TX 78712 USA.;Walker, LM (corresponding author), Adagio Therapeut Inc, Waltham, MA 02451 USA.</t>
  </si>
  <si>
    <t xml:space="preserve">jmclellan@austin.utexas.edu; lwalker@adagiotx.com</t>
  </si>
  <si>
    <t xml:space="preserve">McLellan, Jason/A-6874-2010; Hsieh, Ching-Lin/ABA-6461-2021; Mas, Vicente/M-4776-2015</t>
  </si>
  <si>
    <t xml:space="preserve">Esterman, Emma/0000-0001-7365-0547; Mas, Vicente/0000-0002-0887-0743</t>
  </si>
  <si>
    <t xml:space="preserve">NCI Cancer Center Support Grant [5P30 CA023108-41]; Welch Foundation [F-0003- 19620604]; Cancer Prevention and Research Institute of Texas [RR160023]</t>
  </si>
  <si>
    <t xml:space="preserve">NCI Cancer Center Support Grant(United States Department of Health &amp; Human ServicesNational Institutes of Health (NIH) - USANIH National Cancer Institute (NCI)); Welch Foundation(The Welch Foundation); Cancer Prevention and Research Institute of Texas(Cancer Prevention &amp; Research Institute of Texas)</t>
  </si>
  <si>
    <t xml:space="preserve">We thank C. Williams for assistance with figure preparation; and E. Krauland, J. Nett, M. V?squez, and M. Battles for helpful comments on the manuscript. All IgGs were sequenced by Adimab?s Molecular Core and produced by the High Throughput Expression group. BLI binding and competition experiments were performed by Adimab?s protein analytics group. We thank B. van den Hoogen and R. Fouchier for providing GFP-recombinant viruses of hMPV isolates A1 NL/1/00 and B1 NL/1/99 and non -recombinant hMPV isolate B2 NL/1/94. We thank Dr. Inmaculada Casas (Instituto de Salud Carlos III) for providing hMPV isolates A2 SP/2/18 and B1 SP/1/15. We acknowledge the Immune Monitoring and Flow Cytometry Resource (IMFCSR) at the Norris Cotton Can- cer Center at Dartmouth supported by NCI Cancer Center Support Grant 5P30 CA023108-41. We thank Dr. John Ludes -Meyers and Dr. Kaci Erwin for tech- nical assistance. We acknowledge the University of Texas College of Natural Sciences and award RR160023 of the Cancer Prevention and Research Insti- tute of Texas for support of the EM facility at the University of Texas at Austin. This work was funded in part by Welch Foundation grant number F-0003- 19620604. We also thank K. Yim and Sigmovir Biosystems, Inc for conducting all hMPV A2 neutralization and protection studies.</t>
  </si>
  <si>
    <t xml:space="preserve">1074-7613</t>
  </si>
  <si>
    <t xml:space="preserve">1097-4180</t>
  </si>
  <si>
    <t xml:space="preserve">Immunity</t>
  </si>
  <si>
    <t xml:space="preserve">SEP 13</t>
  </si>
  <si>
    <t xml:space="preserve">10.1016/j.immuni.2022.07.003</t>
  </si>
  <si>
    <t xml:space="preserve">7A5EK</t>
  </si>
  <si>
    <t xml:space="preserve">WOS:000898479000006</t>
  </si>
  <si>
    <t xml:space="preserve">Choudhary, ML; Anand, SP; Sonawane, NS; Chadha, MS</t>
  </si>
  <si>
    <t xml:space="preserve">Choudhary, Manohar Lal; Anand, Siddharth P.; Sonawane, Nupoor S.; Chadha, Mandeep S.</t>
  </si>
  <si>
    <t xml:space="preserve">Development of real-time RT-PCR for detection of human metapneumovirus and genetic analysis of circulating strains (2009-2011) in Pune, India</t>
  </si>
  <si>
    <t xml:space="preserve">Human metapneumovirus; Biology; Virology; Nucleoprotein; Metapneumovirus; Real-time polymerase chain reaction; Virus</t>
  </si>
  <si>
    <t xml:space="preserve">RESPIRATORY-TRACT INFECTIONS; REVERSE-TRANSCRIPTASE PCR; SYNCYTIAL-VIRUS; HOSPITALIZED CHILDREN; CLINICAL-FEATURES; VARIABILITY; DIVERSITY; YOUNG; EPIDEMIOLOGY; SPECIMENS</t>
  </si>
  <si>
    <t xml:space="preserve">Human metapneumovirus (HMPV) is an important respiratory virus implicated in respiratory infections. The purpose of this study was to develop a one-step real-time RT-PCR assay that can detect all four lineages of HMPV and to identify the HMPV lineages circulating in Pune, India. Conserved regions of the nucleoprotein gene were used to design real-time primers and a probe. A total of 224 clinical samples that were positive for different respiratory viruses (including 51 samples that were positive for HMPV) were tested using the real time RT-PCR assay, and the specificity of the assay was observed to be 100 %. Using in vitro-synthesized RNA, the sensitivity of the assay was ascertained to be 100 copies of the target gene per reaction. Phylogenetic analysis of the nucleoprotein (N) and attachment glycoprotein (G) genes confirmed that this assay detected all lineages of HMPV. A2, B1 and B2 strains were observed during the study period. Our assay is highly sensitive and specific for all known lineages of HMPV, making it a valuable tool for rapid detection of the virus. A2 and B2 were the predominant subtypes circulating in Pune, Western India.</t>
  </si>
  <si>
    <t xml:space="preserve">[Choudhary, Manohar Lal; Anand, Siddharth P.; Sonawane, Nupoor S.; Chadha, Mandeep S.] Natl Inst Virol, Human Influenza Dept, Pune 411001, Maharashtra, India</t>
  </si>
  <si>
    <t xml:space="preserve">Choudhary, ML (corresponding author), Natl Inst Virol, Human Influenza Dept, 20-A,Dr Ambedkar Rd, Pune 411001, Maharashtra, India.</t>
  </si>
  <si>
    <t xml:space="preserve">mlchoudhary@gmail.com</t>
  </si>
  <si>
    <t xml:space="preserve">Choudhary, Manohar/K-2055-2019</t>
  </si>
  <si>
    <t xml:space="preserve">Anand, Siddharth/0000-0001-6075-2093</t>
  </si>
  <si>
    <t xml:space="preserve">Indian Council of Medical Research (ICMR)</t>
  </si>
  <si>
    <t xml:space="preserve">The authors would like to thank the Director for support, and the Indian Council of Medical Research (ICMR) for funding the study. We would like to acknowledge Mr. Santosh Kumar Jadhav from the bioinformatics group and the technical team of the influenza group for their help.</t>
  </si>
  <si>
    <t xml:space="preserve">10.1007/s00705-013-1812-6</t>
  </si>
  <si>
    <t xml:space="preserve">AA2YN</t>
  </si>
  <si>
    <t xml:space="preserve">WOS:000330960200004</t>
  </si>
  <si>
    <t xml:space="preserve">Yang, CF; Wang, CK; Tollefson, SJ; Lintao, LD; Liem, A; Chu, M; Williams, JV</t>
  </si>
  <si>
    <t xml:space="preserve">Yang, Chin-Fen; Wang, Chiaoyin K.; Tollefson, Sharon J.; Lintao, Linda D.; Liem, Alexis; Chu, Marla; Williams, John V.</t>
  </si>
  <si>
    <t xml:space="preserve">Human metapneumovirus G protein is highly conserved within but not between genetic lineages</t>
  </si>
  <si>
    <t xml:space="preserve">Human metapneumovirus; Biology; Metapneumovirus; Glycoprotein; Virology; Genetics; Conserved sequence</t>
  </si>
  <si>
    <t xml:space="preserve">RESPIRATORY-TRACT INFECTIONS; EXTENSIVE SEQUENCE DIVERGENCE; OBSTRUCTIVE PULMONARY-DISEASE; ATTACHMENT GLYCOPROTEIN; FUSION PROTEIN; CHILDREN; VIRUS; SH; EVOLUTION; VACCINE</t>
  </si>
  <si>
    <t xml:space="preserve">Human metapneumovirus (HMPV) is an important cause of acute respiratory illnesses in children. HMPV encodes two major surface glycoproteins, fusion (F) and glycoprotein (G). The function of G has not been fully established, though it is dispensable for in vitro and in vivo replication. We analyzed 87 full-length HMPV G sequences from isolates collected over 20 years. The G sequences fell into four subgroups with a mean 63 % amino acid identity (minimum 29 %). The length of G varied from 217 to 241 residues. Structural features such as proline content and N- and O-glycosylation sites were present in all strains but quite variable between subgroups. There was minimal drift within the subgroups over 20 years. The estimated time to the most recent common ancestor was 215 years. HMPV G was conserved within lineages over 20 years, suggesting functional constraints on diversity. However, G was poorly conserved between subgroups, pointing to potentially distinct roles for G among different viral lineages.</t>
  </si>
  <si>
    <t xml:space="preserve">[Yang, Chin-Fen; Wang, Chiaoyin K.; Lintao, Linda D.; Liem, Alexis; Chu, Marla] MedImmune Vaccines LLC, Mountain View, CA USA; [Tollefson, Sharon J.; Williams, John V.] Vanderbilt Univ, Dept Pediat, Med Ctr, Med Ctr North D7235, Nashville, TN 37232 USA; [Williams, John V.] Vanderbilt Univ, Med Ctr, Dept Pediat, Nashville, TN 37232 USA; [Williams, John V.] Vanderbilt Univ, Med Ctr, Dept Pathol Microbiol &amp; Immunol, Nashville, TN 37232 USA</t>
  </si>
  <si>
    <t xml:space="preserve">AstraZeneca; Medimmune; Vanderbilt University; Vanderbilt University; Vanderbilt University</t>
  </si>
  <si>
    <t xml:space="preserve">Williams, JV (corresponding author), Vanderbilt Univ, Dept Pediat, Med Ctr, Med Ctr North D7235, 1161 21st Ave South, Nashville, TN 37232 USA.</t>
  </si>
  <si>
    <t xml:space="preserve">NIH [AI-82417, AI-85062]; NIH Respiratory Pathogens Research Unit [N01-AI-65298]; NIH GCRC center [RR 00095]</t>
  </si>
  <si>
    <t xml:space="preserve">NIH(United States Department of Health &amp; Human ServicesNational Institutes of Health (NIH) - USA); NIH Respiratory Pathogens Research Unit; NIH GCRC center</t>
  </si>
  <si>
    <t xml:space="preserve">Supported by NIH AI-82417 and AI-85062 to JVW. The Vanderbilt Vaccine Clinic was supported in part by NIH Respiratory Pathogens Research Unit N01-AI-65298 and by NIH GCRC center award RR 00095.</t>
  </si>
  <si>
    <t xml:space="preserve">10.1007/s00705-013-1622-x</t>
  </si>
  <si>
    <t xml:space="preserve">155QK</t>
  </si>
  <si>
    <t xml:space="preserve">WOS:000319762800013</t>
  </si>
  <si>
    <t xml:space="preserve">Hara, M; Takao, S; Fukuda, S; Shimazu, Y; Miyazaki, K</t>
  </si>
  <si>
    <t xml:space="preserve">Hara, Michimaru; Takao, Shinichi; Fukuda, Shinji; Shimazu, Yukie; Miyazaki, Kazuo</t>
  </si>
  <si>
    <t xml:space="preserve">Human Metapneumovirus Infection in Febrile Children with Lower Respiratory Diseases in Primary Care Settings in Hiroshima, Japan</t>
  </si>
  <si>
    <t xml:space="preserve">TRACT INFECTIONS; SYNCYTIAL VIRUS; YOUNG-CHILDREN; OUTBREAK; INFANTS</t>
  </si>
  <si>
    <t xml:space="preserve">Human metapneumovirus (hMPV) has been shown to be a leading cause of viral lower respiratory tract infections in children. Nevertheless, few reports regarding hMPV infections over consecutive years in children in primary care settings are available. We carried out virologic and clinical studies to determine the role of hMPV in febrile lower respiratory infections in children at a primary care clinic over 3 years and 5 months. Nasopharyngeal aspirates obtained from children with acute respiratory tract infections accompanied by high-grade fever (&gt;= 39 degrees C) and productive cough were studied for hMPV by reverse transcription-polymerase chain reaction and for other respiratory viruses by viral cultures and immunoassays. Of 379 patients tested, 202 were positive for at least I virus, including 98 with hMPV, 69 with respiratory syncytial virus, 18 with adenovirus, 12 with enterovirus, 8 with parainfluenza virus, 3 with rhinovirus, 2 with influenza virus type C, and 1 with herpes simplex virus. The male:female ratio of hMPV-infected children was 0.96:1 with an overall mean age of 3.5 years (range, 2 months to 9 years). These infections occurred predominantly from February to July, and the hospitalization rate was 4%. Of 93 patients infected with hMPV alone, 52 (56%) showed evidence of a lower respiratory tract infection.</t>
  </si>
  <si>
    <t xml:space="preserve">[Hara, Michimaru] Hara Pediat Clin, Kaito, Hiroshima 7360035, Japan; [Takao, Shinichi; Fukuda, Shinji; Shimazu, Yukie; Miyazaki, Kazuo] Hiroshima Prefectural Inst Publ Hlth &amp; Environm, Dept Microbiol 2, Hiroshima 7340007, Japan</t>
  </si>
  <si>
    <t xml:space="preserve">Hara, M (corresponding author), Hara Pediat Clin, 6-6-202 Hinode Machi, Kaito, Hiroshima 7360035, Japan.</t>
  </si>
  <si>
    <t xml:space="preserve">hara-michimaru@mue.biglobe.ne.jp</t>
  </si>
  <si>
    <t xml:space="preserve">Fukuda, Shinji/JXX-2120-2024</t>
  </si>
  <si>
    <t xml:space="preserve">379JE</t>
  </si>
  <si>
    <t xml:space="preserve">WOS:000261391700021</t>
  </si>
  <si>
    <t xml:space="preserve">Wen, SC; Schuster, JE; Gilchuk, P; Boyd, KL; Joyce, S; Williams, JV</t>
  </si>
  <si>
    <t xml:space="preserve">Wen, Sherry C.; Schuster, Jennifer E.; Gilchuk, Pavlo; Boyd, Kelli L.; Joyce, Sebastian; Williams, John V.</t>
  </si>
  <si>
    <t xml:space="preserve">Lung CD8+ T Cell Impairment Occurs during Human Metapneumovirus Infection despite Virus-Like Particle Induction of Functional CD8+ T Cells</t>
  </si>
  <si>
    <t xml:space="preserve">Human metapneumovirus; Biology; Virology; CD8</t>
  </si>
  <si>
    <t xml:space="preserve">RESPIRATORY SYNCYTIAL VIRUS; HUMAN MONOCLONAL-ANTIBODY; INFLUENZA-VIRUS; FUSION PROTEIN; IN-VITRO; CROSS-PRESENTATION; IMMUNE-RESPONSES; VACCINE; MICE; DISEASE</t>
  </si>
  <si>
    <t xml:space="preserve">Human metapneumovirus (HMPV) is a major cause of respiratory disease in infants, the elderly, and immunocompromised individuals worldwide. There is currently no licensed HMPV vaccine. Virus-like particles (VLPs) are an attractive vaccine candidate because they are noninfectious and elicit a neutralizing antibody response. However, studies show that serum neutralizing antibodies are insufficient for complete protection against reinfection and that adaptive T cell immunity is important for viral clearance. HMPV and other respiratory viruses induce lung CD8(+) T cell (T-CD8) impairment, mediated by programmed death 1 (PD-1). In this study, we generated HMPV VLPs by expressing the fusion and matrix proteins in mammalian cells and tested whether VLP immunization induces functional HMPV-specific T-CD8 responses in mice. C57BL/6 mice vaccinated twice with VLPs and subsequently challenged with HMPV were protected from lung viral replication for at least 20 weeks postimmunization. A single VLP dose elicited F-and M-specific lung T(CD8)s with higher function and lower expression of PD-1 and other inhibitory receptors than T(CD8)s from HMPV-infected mice. However, after HMPV challenge, lung T(CD8)s from VLP-vaccinated mice exhibited inhibitory receptor expression and functional impairment similar to those of mice experiencing secondary infection. HMPV challenge of VLP-immunized mu MT mice also elicited a large percentage of impaired lung T(CD8)s, similar to mice experiencing secondary infection. Together, these results indicate that VLPs are a promising vaccine candidate but do not prevent lung T-CD8 impairment upon HMPV challenge. IMPORTANCE Human metapneumovirus (HMPV) is a leading cause of acute respiratory disease for which there is no licensed vaccine. Virus-like particles (VLPs) are an attractive vaccine candidate and induce antibodies, but T cell responses are less defined. Moreover, HMPV and other respiratory viruses induce lung CD8(+) T cell (T-CD8) impairment mediated by programmed death 1 (PD-1). In this study, HMPV VLPs containing viral fusion and matrix proteins elicited epitope-specific T(CD8)s that were functional with low PD-1 expression. Two VLP doses conferred sterilizing immunity in C57BL/6 mice and facilitated HMPV clearance in antibody-deficient mu MT mice without enhancing lung pathology. However, regardless of whether responding lung T(CD8)s had previously encountered HMPV antigens in the context of VLPs or virus, similar proportions were impaired and expressed comparable levels of PD-1 upon viral challenge. These results suggest that VLPs are a promising vaccine candidate but do not prevent lung T-CD8 impairment upon HMPV challenge.</t>
  </si>
  <si>
    <t xml:space="preserve">[Wen, Sherry C.; Gilchuk, Pavlo; Boyd, Kelli L.; Joyce, Sebastian] Vanderbilt Univ, Sch Med, Dept Pathol Microbiol &amp; Immunol, Nashville, TN 37212 USA; [Schuster, Jennifer E.] Childrens Mercy Hosp, Kansas City, MO 64108 USA; [Williams, John V.] Univ Pittsburgh, Childrens Hosp Pittsburgh, Med Ctr, Dept Pediat,Sch Med, Pittsburgh, PA 15213 USA</t>
  </si>
  <si>
    <t xml:space="preserve">Vanderbilt University; Children's Mercy Hospital; Pennsylvania Commonwealth System of Higher Education (PCSHE); University of Pittsburgh</t>
  </si>
  <si>
    <t xml:space="preserve">Williams, JV (corresponding author), Univ Pittsburgh, Childrens Hosp Pittsburgh, Med Ctr, Dept Pediat,Sch Med, Pittsburgh, PA 15213 USA.</t>
  </si>
  <si>
    <t xml:space="preserve">Vanderbilt Ingram Cancer Center [P30 CA68485]; Vanderbilt Digestive Disease Research Center [DK058404]; National Institute of General Medical Studies for the Vanderbilt Medical Scientist Training Program [R01 AI85062, AI042284, T32 GM07347]</t>
  </si>
  <si>
    <t xml:space="preserve">The VMC Flow Cytometry Shared Resource is supported by the Vanderbilt Ingram Cancer Center (P30 CA68485) and the Vanderbilt Digestive Disease Research Center (DK058404). This work was supported by R01 AI85062 (J.V.W.), AI042284 (S.J.), and T32 GM07347 from the National Institute of General Medical Studies for the Vanderbilt Medical Scientist Training Program.</t>
  </si>
  <si>
    <t xml:space="preserve">10.1128/JVI.00670-15</t>
  </si>
  <si>
    <t xml:space="preserve">CQ6GZ</t>
  </si>
  <si>
    <t xml:space="preserve">WOS:000360703900006</t>
  </si>
  <si>
    <t xml:space="preserve">Al-Sonboli, N; Al-Aghbari, N; Al-Aryani, A; Atef, Z; Brabin, B; Shenkin, A; Roberts, E; Harper, G; Hart, CA; Cuevas, LE</t>
  </si>
  <si>
    <t xml:space="preserve">Al-Sonboli, N.; Al-Aghbari, N.; Al-Aryani, A.; Atef, Z.; Brabin, B.; Shenkin, A.; Roberts, E.; Harper, G.; Hart, C. A.; Cuevas, L. E.</t>
  </si>
  <si>
    <t xml:space="preserve">Micronutrient concentrations in respiratory syncytial virus and human metapneumovirus in Yemeni children</t>
  </si>
  <si>
    <t xml:space="preserve">ANNALS OF TROPICAL PAEDIATRICS</t>
  </si>
  <si>
    <t xml:space="preserve">Human metapneumovirus; Metapneumovirus; Micronutrient; Medicine</t>
  </si>
  <si>
    <t xml:space="preserve">C-REACTIVE PROTEIN; COMMUNITY-ACQUIRED PNEUMONIA; VITAMIN-A; ACUTE-PHASE; TRACE-ELEMENTS; SERUM; SELENIUM; INFECTIONS; RETINOL; PLASMA</t>
  </si>
  <si>
    <t xml:space="preserve">Background: Acute respiratory infections (ARI) cause significant childhood mortality. Nutritional homeostasis, particularly micronutrient levels, is important in modulating response to infection. More information is required regarding micronutrient levels in ARI viral infections, especially newly identified viruses such as human metapneumovirus (HMPV). Aim: To describe zinc, copper, selenium and vitamins A and E concentrations in children with respiratory syncytial virus (RSV) and/or HMPV in relation to levels of C-reactive protein (CRP). Methods: The presence of RSV/HMPV in nasopharyngeal aspirates (NPA) was identified in 246 children using RTPCR. Zinc, copper, selenium and vitamins A and E concentrations were measured using inductive coupled plasma mass spectrometry and high performance liquid chromatography. Results: 183 children had RSV, 39 had HMPV and 24 were co-infected. Zinc concentrations were lower in children with HMPV than in children with RSV or RSV/HMPV co-infection. Copper concentrations were lower in children with RSV than in children with RSV/ HMPV or HMPV and zinc/copper ratios were lower in children with HMPV/RSV or RSV than in children with HMPV alone. Retinol and alpha-tocopherol were lower in children with RSV than in children with HMPV. Most children had low selenium concentrations. Children with RSV and raised CRP (&gt;5 mg/L) had higher copper and lower zinc/copper ratios than those with low CRP (&lt;= 5 mg/L). Children with HMPV and raised CRP had higher copper and lower zinc concentrations than children with low CRP. Children with RSV/ HMPV and raised CRP had higher copper concentrations. Children with RSV/ HMPV and raised CRP had higher alpha-tocopherol concentrations. Conclusion: The profiles of micronutrients differ in children with RSV and HMPV and are confounded by CRP. These results may guide strategies for micronutrient supplementation in ARI.</t>
  </si>
  <si>
    <t xml:space="preserve">[Al-Sonboli, N.; Al-Aghbari, N.; Brabin, B.; Harper, G.; Cuevas, L. E.] Univ Liverpool, Liverpool Sch Trop Med, Liverpool L3 5QA, Merseyside, England; [Al-Sonboli, N.; Al-Aghbari, N.; Hart, C. A.; Cuevas, L. E.] Univ Liverpool, Dept Med Microbiol, Liverpool L3 5QA, Merseyside, England; [Shenkin, A.; Roberts, E.] Univ Liverpool, Dept Clin Chem, Liverpool L3 5QA, Merseyside, England; [Al-Sonboli, N.; Al-Aryani, A.; Atef, Z.] Sanaa Univ, Dept Paediat, Sanaa, Yemen</t>
  </si>
  <si>
    <t xml:space="preserve">Liverpool School of Tropical Medicine; University of Liverpool; University of Liverpool; University of Liverpool</t>
  </si>
  <si>
    <t xml:space="preserve">Cuevas, Luis E./I-3697-2015; Brabin, Bernard/IZP-9206-2023</t>
  </si>
  <si>
    <t xml:space="preserve">Cuevas, Luis E./0000-0002-6581-0587; Brabin, Bernard/0000-0001-6860-2508</t>
  </si>
  <si>
    <t xml:space="preserve">Islamic Development Bank</t>
  </si>
  <si>
    <t xml:space="preserve">Islamic Development Bank(Islamic Development Bank)</t>
  </si>
  <si>
    <t xml:space="preserve">This work was supported in part by the Islamic Development Bank. Very sadly, Professor C. A. Hart, co-author, died in September 2007.</t>
  </si>
  <si>
    <t xml:space="preserve">MANEY PUBLISHING</t>
  </si>
  <si>
    <t xml:space="preserve">LEEDS</t>
  </si>
  <si>
    <t xml:space="preserve">STE 1C, JOSEPHS WELL, HANOVER WALK, LEEDS LS3 1AB, W YORKS, ENGLAND</t>
  </si>
  <si>
    <t xml:space="preserve">0272-4936</t>
  </si>
  <si>
    <t xml:space="preserve">1465-3281</t>
  </si>
  <si>
    <t xml:space="preserve">ANN TROP PAEDIATR</t>
  </si>
  <si>
    <t xml:space="preserve">Ann. Trop. Paediatr.</t>
  </si>
  <si>
    <t xml:space="preserve">10.1179/146532809X402015</t>
  </si>
  <si>
    <t xml:space="preserve">416XH</t>
  </si>
  <si>
    <t xml:space="preserve">WOS:000264038300005</t>
  </si>
  <si>
    <t xml:space="preserve">Falsey, AR; Formica, MA; Walsh, EE</t>
  </si>
  <si>
    <t xml:space="preserve">Falsey, Ann R.; Formica, Maria A.; Walsh, Edward E.</t>
  </si>
  <si>
    <t xml:space="preserve">Microneutralization assay for the measurement of neutralizing antibodies to human metapneumovirus</t>
  </si>
  <si>
    <t xml:space="preserve">Human metapneumovirus; Titer; Virology; Neutralizing antibody; Antibody; Antibody titer; Serial dilution; Neutralization</t>
  </si>
  <si>
    <t xml:space="preserve">PROTECTIVE IMMUNITY; ADULTS; INFECTION; PROTEIN</t>
  </si>
  <si>
    <t xml:space="preserve">Background: Human metapneumovirus (hMPV) is a newly discovered virus which causes respiratory illness in persons of all ages. Objective: A simple and rapid method to determine neutralizing antibody titers against hMPV is needed to facilitate the development of vaccines and therapeutics for hMPV. Therefore, we sought to adapt the methodology used for RSV microneutralization assay (MNA) to measure neutralizing antibody titers against hMPV. Study design: Serial 2-fold dilutions of serum were made in 96 well microtiter plates and incubated with similar to 50 pfu of hMPV A or B strain for 60 min at room temperature. LLC-MK2 cells were added to the serum-virus mixtures and plates incubated at 35 degrees C in CO2 for 5 days. Plates were fixed with acetone; air dried, blocked and then developed with monoclonal antibody to the hMPV N protein followed by horse radish peroxidase labeled antibody and substrate. Neutralization titer was defined as the titer of serum that reduced color development by 50% compared to the positive control wells. Results: Titers measured by MNA correlated well with those determined by standard plaque reduction assay (R = 0.77). Neutralization titers determined by MNA demonstrated excellent inter-assay variability (coefficient of variance = 7%). In addition, there was good correlation of antibody titers from 10 hMPV infected adults measured by MNA using either group A or group B hMPV (R = 0.87). Conclusion: MNA is a simple and reproducible method for the measurement of serum neutralizing antibody against hMPV. (C) 2009 Elsevier B. V. All rights reserved.</t>
  </si>
  <si>
    <t xml:space="preserve">[Falsey, Ann R.; Formica, Maria A.; Walsh, Edward E.] Rochester Gen Hosp, Dept Med, Rochester, NY 14621 USA; [Falsey, Ann R.; Walsh, Edward E.] Univ Rochester, Sch Med &amp; Dent, Dept Med, Rochester, NY 14642 USA</t>
  </si>
  <si>
    <t xml:space="preserve">Falsey, AR (corresponding author), Rochester Gen Hosp, Dept Med, 1425 Portland Ave,246, Rochester, NY 14621 USA.</t>
  </si>
  <si>
    <t xml:space="preserve">NIAID NIH HHS [R01 AI055861-01A1, R01 AI055861-03, R01 AI055861-02, R01 AI055861] Funding Source: Medline</t>
  </si>
  <si>
    <t xml:space="preserve">10.1016/j.jcv.2009.09.020</t>
  </si>
  <si>
    <t xml:space="preserve">WOS:000272460900004</t>
  </si>
  <si>
    <t xml:space="preserve">Kaida, A; Kubo, H; Shiomi, M; Kohdera, U; Iritani, N</t>
  </si>
  <si>
    <t xml:space="preserve">Kaida, Atsushi; Kubo, Hideyuki; Shiomi, Masashi; Kohdera, Urara; Iritani, Nobuhiro</t>
  </si>
  <si>
    <t xml:space="preserve">Evaluation of Real-Time RT-PCR Compared with Conventional RT-PCR for Detecting Human Metapneumovirus RNA from Clinical Specimens</t>
  </si>
  <si>
    <t xml:space="preserve">INFECTIONS; CHILDREN; ASSAYS</t>
  </si>
  <si>
    <t xml:space="preserve">Human metapneumovirus (hMPV) is ail etiologic agent of respiratory tract infections. In this study, we compared the sensitivity and specificity of real-time reverse transcription (RT)-polymerase chain reaction (PCR), conventional RT-PCR, and nested PCR in detecting hMPV genes. A total of 146 clinical specimens from 143 patients who showed acute respiratory tract infection symptoms were tested by real-time RT-PCR, conventional RT-PCR, and nested PCR targeting for the fusion gene. We detected hMPV RNA from 14 (9.6%) clinical specimens (real-time RT-PCR, 8; conventional RT-PCR, 5; and nested PCR, 13). When conventional RT-PCR was the reference standard, the sensitivity and specificity of real-time RT-PCR were 100 and 97.9%, respectively. When nested PCR was the standard, the sensitivity and specificity of real-time RT-PCR were 53.8 and 99.2%, respectively. Therefore, real-time RT-PCR was more sensitive than conventional RT-PCR but less so than nested PCR. Phylogenetic analysis showed that the real-time RT-PCR detected four genetic sublineages of hMPV. These results taken together indicate that real-time RT-PCR is. an efficient method for detecting four genetic sublineages of hMPV from clinical specimens.</t>
  </si>
  <si>
    <t xml:space="preserve">[Kaida, Atsushi] Osaka City Inst Publ Hlth &amp; Environm Sci, Dept Microbiol, Tennoji Ku, Osaka 5430026, Japan; [Shiomi, Masashi] Osaka City Cent Hosp, Osaka 5340021, Japan; [Kohdera, Urara] Nakano Childrens Hosp, Osaka 5350022, Japan</t>
  </si>
  <si>
    <t xml:space="preserve">Ministry of Education, Culture, Sports, Science and Technology of Japan</t>
  </si>
  <si>
    <t xml:space="preserve">Ministry of Education, Culture, Sports, Science and Technology of Japan(Ministry of Education, Culture, Sports, Science and Technology, Japan (MEXT))</t>
  </si>
  <si>
    <t xml:space="preserve">The authors are grateful to Dr. K. Goto, Dr. E. Ishii, and Dr. N. Abe for supporting our work.This work was supported by Grant-in-Aid for Young Scientists (B) from the Ministry of Education, Culture, Sports, Science and Technology of Japan.</t>
  </si>
  <si>
    <t xml:space="preserve">WOS:000261391700009</t>
  </si>
  <si>
    <t xml:space="preserve">Zhou, Z; Zhang, P; Cui, YX; Zhang, YB; Qin, X; Li, RP; Liu, P; Dou, Y; Wang, LJ; Zhao, Y</t>
  </si>
  <si>
    <t xml:space="preserve">Zhou, Zhen; Zhang, Pan; Cui, Yuxia; Zhang, Yongbo; Qin, Xian; Li, Rongpei; Liu, Ping; Dou, Ying; Wang, Lijia; Zhao, Yao</t>
  </si>
  <si>
    <t xml:space="preserve">Experiments Investigating the Competitive Growth Advantage of Two Different Genotypes of Human Metapneumovirus: Implications for the Alternation of Genotype Prevalence</t>
  </si>
  <si>
    <t xml:space="preserve">Human metapneumovirus; Genotype; Metapneumovirus; Biology; Virology</t>
  </si>
  <si>
    <t xml:space="preserve">RESPIRATORY-TRACT INFECTIONS; GENETIC-VARIABILITY; YOUNG-CHILDREN; MOLECULAR EVOLUTION; CIRCULATION; DIVERSITY; FEATURES; DISEASE; EPIDEMIOLOGY; SEASONALITY</t>
  </si>
  <si>
    <t xml:space="preserve">Human metapneumovirus (hMPV) is an important pathogen that causes upper and lower respiratory tract infections in children worldwide. hMPV has two major genotypes, hMPV-A and hMPV-B. Epidemiological studies have shown that the two hMPV genotypes alternate in predominance worldwide in recent years. Co-circulation of the two genotypes of hMPV was usually observed and there is no study about the interaction between them, such as competitive replication, which maybe the possible mechanisms for alternating prevalence of subtypes. Our present study have used two different genotypes of hMPV (genotype A: NL/1/00; B: NL/1/99) in different proportions in animal model (BALB/c mice) and cell model (Vero-E6) separately. The result showed that the competitive growth does exist in BALB/c mice, genotype B had a strong competitive advantage. However, genotype B did not cause more severe disease than non-predominant (genotype A) or mixed strains in the study, which were evaluated by the body weight, airway hyperresponsiveness and lung pathology of mouse. In cell model, competitive growth and the two genotypes alternately prevalence were observed. In summary, we confirmed that there was a competitive replication between hMPV genotype A and B, and no difference in disease severity caused by the two subtypes. This study shows a new insight to understand the alternation of hMPV genotype prevalence through genotype competition and provide experimental evidence for disease control and vaccine design.</t>
  </si>
  <si>
    <t xml:space="preserve">[Zhou, Zhen; Zhang, Pan; Zhang, Yongbo; Qin, Xian; Li, Rongpei; Liu, Ping; Dou, Ying; Wang, Lijia; Zhao, Yao] Chongqing Med Univ, Childrens Hosp, Dept Pediat Res Inst, Chongqing, Peoples R China; [Zhou, Zhen; Zhang, Pan; Zhang, Yongbo; Qin, Xian; Li, Rongpei; Liu, Ping; Dou, Ying; Wang, Lijia; Zhao, Yao] Chongqing Med Univ, Childrens Hosp, Minist Educ Key Lab Child Dev &amp; Disorders, Chongqing, Peoples R China; [Zhou, Zhen; Zhang, Pan; Zhang, Yongbo; Qin, Xian; Li, Rongpei; Liu, Ping; Dou, Ying; Wang, Lijia; Zhao, Yao] Chongqing Med Univ, Childrens Hosp, Natl Clin Res Ctr Child Hlth &amp; Disorders, Chongqing, Peoples R China; [Zhou, Zhen; Zhang, Pan; Zhang, Yongbo; Qin, Xian; Li, Rongpei; Liu, Ping; Dou, Ying; Wang, Lijia; Zhao, Yao] Chongqing Med Univ, Childrens Hosp, China Int Sci &amp; Technol Cooperat Base Child Dev &amp;, Chongqing, Peoples R China; [Zhou, Zhen; Zhang, Pan; Zhang, Yongbo; Qin, Xian; Li, Rongpei; Liu, Ping; Dou, Ying; Wang, Lijia; Zhao, Yao] Chongqing Key Lab Child Infect &amp; Immun, Chongqing 400014, Peoples R China; [Cui, Yuxia] Guizhou Prov Peoples Hosp, Dept Pediat, Guiyang 550002, Guizhou, Peoples R China</t>
  </si>
  <si>
    <t xml:space="preserve">Chongqing Medical University; Chongqing Medical University; Chongqing Medical University; Chongqing Medical University</t>
  </si>
  <si>
    <t xml:space="preserve">Zhao, Y (corresponding author), Chongqing Med Univ, Childrens Hosp, Dept Pediat Res Inst, Chongqing, Peoples R China.;Zhao, Y (corresponding author), Chongqing Med Univ, Childrens Hosp, Minist Educ Key Lab Child Dev &amp; Disorders, Chongqing, Peoples R China.;Zhao, Y (corresponding author), Chongqing Med Univ, Childrens Hosp, Natl Clin Res Ctr Child Hlth &amp; Disorders, Chongqing, Peoples R China.;Zhao, Y (corresponding author), Chongqing Med Univ, Childrens Hosp, China Int Sci &amp; Technol Cooperat Base Child Dev &amp;, Chongqing, Peoples R China.;Zhao, Y (corresponding author), Chongqing Key Lab Child Infect &amp; Immun, Chongqing 400014, Peoples R China.</t>
  </si>
  <si>
    <t xml:space="preserve">zhaoy@cqmu.edu.cn</t>
  </si>
  <si>
    <t xml:space="preserve">National Natural Science Foundation of China [30800972, 81371876]; Natural Science Foundation Project of CQ CSTC [cstc2017jcyjAX0043, 20170403]; Outstanding Youth Fund of the Children's Hospital of Chongqing Medical University</t>
  </si>
  <si>
    <t xml:space="preserve">National Natural Science Foundation of China(National Natural Science Foundation of China (NSFC)); Natural Science Foundation Project of CQ CSTC(Natural Science Foundation Project of CQ CSTC); Outstanding Youth Fund of the Children's Hospital of Chongqing Medical University</t>
  </si>
  <si>
    <t xml:space="preserve">This research was supported by National Natural Science Foundation of China (NO. 30800972, 81371876), Natural Science Foundation Project of CQ CSTC (cstc2017jcyjAX0043 and 20170403), and the Outstanding Youth Fund of the Children's Hospital of Chongqing Medical University.</t>
  </si>
  <si>
    <t xml:space="preserve">10.1038/s41598-020-59150-9</t>
  </si>
  <si>
    <t xml:space="preserve">NB3FQ</t>
  </si>
  <si>
    <t xml:space="preserve">WOS:000560400000020</t>
  </si>
  <si>
    <t xml:space="preserve">Kikuta, H; Sakata, C; Gamo, R; Ishizaka, A; Koga, Y; Konno, M; Ogasawara, Y; Sawada, H; Taguchi, Y; Takahashi, Y; Yasuda, K; Ishiguro, N; Hayashi, A; Ishiko, H; Kobayashi, K</t>
  </si>
  <si>
    <t xml:space="preserve">Kikuta, Hideaki; Sakata, Chikako; Gamo, Reiko; Ishizaka, Akihito; Koga, Yasutsugu; Konno, Mutsuko; Ogasawara, Yoshinori; Sawada, Hiroyuki; Taguchi, Yuichi; Takahashi, Yutaka; Yasuda, Kazue; Ishiguro, Nobuhisa; Hayashi, Akio; Ishiko, Hiroaki; Kobayashi, Kunihiko</t>
  </si>
  <si>
    <t xml:space="preserve">Comparison of a lateral-flow immunochromatography assay with real-time reverse transcription-PCR for detection of human metapneumovirus</t>
  </si>
  <si>
    <t xml:space="preserve">Human metapneumovirus; Metapneumovirus; Virology; Real-time polymerase chain reaction; Reverse transcription polymerase chain reaction</t>
  </si>
  <si>
    <t xml:space="preserve">RESPIRATORY-TRACT INFECTIONS; DIAGNOSIS; CHILDREN; SEQUENCE; DISEASE</t>
  </si>
  <si>
    <t xml:space="preserve">A lateral-How immunochromatography (IC) assay for the detection of human metapneumovirus (hMPV) has been developed by using two mouse monoclonal antibodies to the nucleocapsid protein of hMPV. The purpose of this study was to compare the virus detection rate in nasopharyngeal secretions by the IC assay with that by real-time reverse transcription-PCR (RT-PCR). We collected nasopharyngeal swab samples from 247 children with respiratory symptoms in Sapporo, Japan, during the period from April to July 2007. Sixty-eight of the 247 children were positive for hMPV by real-time RT-PCR. When the real-time RT-PCR was used as the reference standard, the IC assay results were positive for 48 of the 68 real-time RT-PCR-positive children (70.6% sensitivity) and 8 of the 179 real-time RT-PCR-negative children (95.5% specificity). Although the sensitivity of the IC assay is lower than that of real-time RT-PCR, the IC assay is a rapid and useful test for the diagnosis of hMPV infections in children.</t>
  </si>
  <si>
    <t xml:space="preserve">[Kikuta, Hideaki] Touei Hosp, Pediat Clin, Higashi Ku, Sapporo, Hokkaido 0070841, Japan; [Sakata, Chikako; Hayashi, Akio; Ishiko, Hiroaki] Mitsubishi Chem Med Corp, Tokyo, Japan; [Gamo, Reiko] Nippon Gene Co Ltd, Tokyo, Japan; [Ishizaka, Akihito] Sumiyoshi Pediat Clin, Chitose, Japan; [Koga, Yasutsugu] Tenshi Hosp, Pediat Clin, Sapporo, Hokkaido, Japan; [Konno, Mutsuko] Sapporo Kosei Gen Hosp, Pediat Clin, Sapporo, Hokkaido, Japan; [Ogasawara, Yoshinori] Poplar Pediat Clin, Sapporo, Hokkaido, Japan; [Sawada, Hiroyuki] Hokkaido Social Insurance Hosp, Pediat Clin, Sapporo, Hokkaido, Japan; [Taguchi, Yuichi] Taguchi Pediat Clin, Sapporo, Hokkaido, Japan; [Takahashi, Yutaka] KKR Sapporo Med Ctr, Pediat Clin, Sapporo, Hokkaido, Japan; [Yasuda, Kazue; Kobayashi, Kunihiko] Sapporo Hokuyu Hosp, Pediat Clin, Sapporo, Hokkaido, Japan; [Ishiguro, Nobuhisa] Hokkaido Univ, Grad Sch Med, Dept Pediat, Sapporo, Hokkaido, Japan</t>
  </si>
  <si>
    <t xml:space="preserve">Sapporo Kosei General Hospital; Hokkaido University</t>
  </si>
  <si>
    <t xml:space="preserve">10.1128/JCM.01888-07</t>
  </si>
  <si>
    <t xml:space="preserve">WOS:000254059800016</t>
  </si>
  <si>
    <t xml:space="preserve">Kim, HR; Cho, AR; Lee, MK; Yun, SW; Kim, TH</t>
  </si>
  <si>
    <t xml:space="preserve">Kim, Hye Ryoun; Cho, Ah Ra; Lee, Mi-Kyung; Yun, Sin Weon; Kim, Tae-Hyoung</t>
  </si>
  <si>
    <t xml:space="preserve">Genotype Variability and Clinical Features of Human Metapneumovirus Isolated from Korean Children, 2007 to 2010</t>
  </si>
  <si>
    <t xml:space="preserve">JOURNAL OF MOLECULAR DIAGNOSTICS</t>
  </si>
  <si>
    <t xml:space="preserve">Human metapneumovirus; Genotype; Metapneumovirus; Sputum; Biology</t>
  </si>
  <si>
    <t xml:space="preserve">RESPIRATORY SYNCYTIAL VIRUS; GENETIC-VARIABILITY; INFECTION; DISEASE; JAPAN; COINFECTION; SEVERITY</t>
  </si>
  <si>
    <t xml:space="preserve">This study was undertaken to determine the genotype variability of human metapneumovirus (hMPV) and its circulation pattern over a 3.5-year period, and to evaluate its clinical characteristics in Korean children. We investigated 4599 pediatric patients who were referred for a routine respiratory virus test by RT-PCR. hMPV genotype analyses were performed using a nested PCR-restriction fragment length polymorphism assay. Clinical and laboratory data obtained from medical records were reviewed retrospectively. Of the 4599 samples tested, 325 (7.1%) were positive for hMPV, and the co-infection rate among these 325 was 16%. Nested PCR-restriction fragment length polymorphism analysis clearly identified four of the five hMPV genotypes (A2a, A2b, Bl, and B2) in 97.8%. The predominant genotype of hMPV changed over the 3.5-year study period from genotype A2a to B2 and then back to A2a. The most common genotype was A2a (214/325, 65.8%). Evidence of recurrent infection was obtained in one child only. Lymphocytosis was more frequent in children with a co-infection, but sputum production was less frequent than in children with a single infection. In genotype A2a hMPV infected children, sneezing and neutrophilia were more frequent than in genotype B1 or B2 hMPV-infected children. This study broadens knowledge regarding the prevalence, the seasonal incidence, the occurrences of co-infection and re-infection, and the genotype diversity of hMPV in Korea. (J. Mol Diagn 2012, 14:61-64; DOI: 10.1016/j.jmoldx.2011.09.004)</t>
  </si>
  <si>
    <t xml:space="preserve">[Kim, Hye Ryoun; Cho, Ah Ra; Lee, Mi-Kyung] Chung Ang Univ, Coll Med, Dept Lab Med, Seoul 156756, South Korea; [Yun, Sin Weon] Chung Ang Univ, Coll Med, Dept Pediat, Seoul 156756, South Korea; [Kim, Tae-Hyoung] Chung Ang Univ, Coll Med, Dept Urol, Seoul 156756, South Korea</t>
  </si>
  <si>
    <t xml:space="preserve">Chung Ang University; Chung Ang University Hospital; Chung Ang University; Chung Ang University Hospital; Chung Ang University; Chung Ang University Hospital</t>
  </si>
  <si>
    <t xml:space="preserve">Lee, MK (corresponding author), Chung Ang Univ Hosp, Dept Lab Med, 224-1 Heukseok Dong, Seoul 156755, South Korea.</t>
  </si>
  <si>
    <t xml:space="preserve">National Research Foundation of Korea (NRF); Ministry of Education, Science and Technology [2009-0077675]</t>
  </si>
  <si>
    <t xml:space="preserve">National Research Foundation of Korea (NRF)(National Research Foundation of Korea); Ministry of Education, Science and Technology(Ministry of Education, Science &amp; Technology (MEST), Republic of Korea)</t>
  </si>
  <si>
    <t xml:space="preserve">Supported by Basic Science Research Program through the National Research Foundation of Korea (NRF) funded by the Ministry of Education, Science and Technology (2009-0077675).</t>
  </si>
  <si>
    <t xml:space="preserve">1525-1578</t>
  </si>
  <si>
    <t xml:space="preserve">1943-7811</t>
  </si>
  <si>
    <t xml:space="preserve">J MOL DIAGN</t>
  </si>
  <si>
    <t xml:space="preserve">J. Mol. Diagn.</t>
  </si>
  <si>
    <t xml:space="preserve">10.1016/j.jmoldx.2011.09.004</t>
  </si>
  <si>
    <t xml:space="preserve">869BQ</t>
  </si>
  <si>
    <t xml:space="preserve">WOS:000298571100008</t>
  </si>
  <si>
    <t xml:space="preserve">Pyrc, K; Strzyz, P; Milewska, A; Golda, A; Schildgen, O; Potempa, J</t>
  </si>
  <si>
    <t xml:space="preserve">Pyrc, Krzysztof; Strzyz, Paulina; Milewska, Aleksandra; Golda, Anna; Schildgen, Oliver; Potempa, Jan</t>
  </si>
  <si>
    <t xml:space="preserve">Porphyromonas gingivalis enzymes enhance infection with human metapneumovirus in vitro</t>
  </si>
  <si>
    <t xml:space="preserve">Human metapneumovirus; Porphyromonas gingivalis; Biology; Microbiology; Virology; Proteases; Virus; Pathogen; Virulence; Viral replication</t>
  </si>
  <si>
    <t xml:space="preserve">RESPIRATORY-TRACT DISEASE; PERIODONTAL HEALTH-STATUS; ASPIRATION PNEUMONIA; CYSTEINE PROTEINASES; FUSION PROTEIN; STAPHYLOCOCCUS-AUREUS; TREPONEMA-DENTICOLA; INFLUENZA PNEUMONIA; RSV BRONCHIOLITIS; GENETIC DIVERSITY</t>
  </si>
  <si>
    <t xml:space="preserve">Relatively recently discovered, human metapneumovirus (HMPV) is a human pathogen with worldwide prevalence, accounting for a substantial percentage of respiratory tract diseases. Concurrent viral and bacterial infections enable intricate mechanisms of cooperation between pathogens, which complicate the symptoms and outcome of the disease. Such bilateral interactions are based on the modulation of bacterial growth on epithelium pathologically altered during viral illness and the modulation of immune responses, as well as the enhancement of virus replication by bacterial virulence factors. This study showed that proteases produced by Porphyromonas gingivalis, a Gram-negative bacterium implicated in the development of periodontitis, named gingipains, facilitated HMPV replication in LLC-MK2 cells and may contribute to HMPV pathogenicity in patients with periodontitis. Gingipains at low nanomolar concentrations enabled HMPV replication and allowed virus propagation in vitro. In contrast to previously published data for influenza virus, however, Staphylococcus aureus proteases and human neutrophil elastase did not affect virus replication.</t>
  </si>
  <si>
    <t xml:space="preserve">[Pyrc, Krzysztof; Strzyz, Paulina; Milewska, Aleksandra; Golda, Anna; Potempa, Jan] Jagiellonian Univ, Dept Microbiol, Fac Biochem Biophys &amp; Biotechnol, PL-30387 Krakow, Poland; [Schildgen, Oliver] Kliniken Stadt Koln, Inst Pathol, Cologne, Germany; [Potempa, Jan] Univ Louisville, Sch Dent, Oral Hlth &amp; Syst Dis Res Grp, Louisville, KY 40292 USA</t>
  </si>
  <si>
    <t xml:space="preserve">Jagiellonian University; University of Cologne; University of Louisville</t>
  </si>
  <si>
    <t xml:space="preserve">Pyrc, K (corresponding author), Jagiellonian Univ, Dept Microbiol, Fac Biochem Biophys &amp; Biotechnol, Gronostajowa 7, PL-30387 Krakow, Poland.</t>
  </si>
  <si>
    <t xml:space="preserve">k.a.pyrc@uj.edu.pl</t>
  </si>
  <si>
    <t xml:space="preserve">Golda, Anna/HQY-2464-2023; Pyrc, Krzysztof/JAC-4599-2023; Milewska, Aleksandra/KIK-4100-2024; Potempa, Jan/AAA-6850-2021; Schildgen, Oliver/D-5327-2014</t>
  </si>
  <si>
    <t xml:space="preserve">Strzyz, Paulina/0000-0001-6086-1361; Schildgen, Oliver/0000-0003-4297-9627; Pyrc, Krzysztof/0000-0002-3867-7688</t>
  </si>
  <si>
    <t xml:space="preserve">Foundation for Polish Science [DPS/424-329/10]; Ministry of Science and Higher Education, Poland [0095/B/P01/2009/37, IP 2010 033870]; European Community [FP7-HEALTH-2010-261460]; European Union [POIG.02.01.00-12-064/08]</t>
  </si>
  <si>
    <t xml:space="preserve">Foundation for Polish Science(Foundation for Polish Science); Ministry of Science and Higher Education, Poland(Ministry of Science and Higher Education, Poland); European Community; European Union(European Union (EU))</t>
  </si>
  <si>
    <t xml:space="preserve">This study was supported by Foundation for Polish Science within the Homing Programme, a grant from the Ministry of Science and Higher Education, Poland (0095/B/P01/2009/37) and a Iuventus Plus grant from the Ministry of Science and Higher Education, Poland (IP 2010 033870) to K. P. and by grants from the European Community (FP7-HEALTH-2010-261460) and Foundation for Polish Science, TEAM project DPS/424-329/10, to J. P. The Faculty of Biochemistry, Biophysics and Biotechnology of the Jagiellonian University is a beneficiary of the structural funds from the European Union (grant no. POIG.02.01.00-12-064/08 - 'Molecular biotechnology for health'). The authors thank Dr Paloma Rueda, Dr Patricia Sastre and Dr Carmen Vela, INGENASA, Spain, for kindly providing mAbs against the HMPV F protein. The funders had no role in study design, data collection and analysis, decision to publish or preparation of the manuscript.</t>
  </si>
  <si>
    <t xml:space="preserve">10.1099/vir.0.032094-0</t>
  </si>
  <si>
    <t xml:space="preserve">833BE</t>
  </si>
  <si>
    <t xml:space="preserve">WOS:000295856000011</t>
  </si>
  <si>
    <t xml:space="preserve">van den Hoogen, BG; van Boheemen, S; de Rijck, J; van Nieuwkoop, S; Smith, DJ; Laksono, B; Gultyaev, A; Osterhaus, ADME; Fouchier, RAM</t>
  </si>
  <si>
    <t xml:space="preserve">van den Hoogen, Bernadette G.; van Boheemen, Sander; de Rijck, Jonneke; van Nieuwkoop, Stefan; Smith, Derek J.; Laksono, Brigitta; Gultyaev, Alexander; Osterhaus, Albert D. M. E.; Fouchier, Ron A. M.</t>
  </si>
  <si>
    <t xml:space="preserve">Excessive production and extreme editing of human metapneumovirus defective interfering RNA is associated with type I IFN induction</t>
  </si>
  <si>
    <t xml:space="preserve">Human metapneumovirus; Biology; Virology; RNA; Metapneumovirus; ADAR; Virus</t>
  </si>
  <si>
    <t xml:space="preserve">RESPIRATORY SYNCYTIAL VIRUS; VESICULAR STOMATITIS-VIRUS; DOUBLE-STRANDED-RNA; INDUCIBLE GENE-I; RIG-I; PERSISTENT INFECTION; ADENOSINE DEAMINASES; MEASLES-VIRUS; TRACT DISEASE; MOUSE MODEL</t>
  </si>
  <si>
    <t xml:space="preserve">Type I IFN production is one of the hallmarks of host innate immune responses upon virus infection. Whilst most respiratory viruses carry IFN antagonists, reports on human metapneumovirus (HMPV) have been conflicting. Using deep sequencing, we have demonstrated that HMPV particles accumulate excessive amounts of defective interfering RNA (DIs) rapidly upon in vitro passage, and that these are associated with IFN induction. Importantly, the Dls were edited extensively; up to 70% of the original A and T residues had mutated to G or C, respectively. Such high editing rates of viral RNA have not, to our knowledge, been reported before. Bioinformatics and PCR assays indicated that adenosine deaminase acting on RNA (ADAR) was the most likely editing enzyme. HMPV thus has an unusually high propensity to generate Dls, which are edited at an unprecedented high frequency. The conflicting published data on HMPV IFN induction and antagonism are probably explained by Die in virus stocks. The interaction of HMPV Die with the RNA-editing machinery and IFN responses warrants further investigation.</t>
  </si>
  <si>
    <t xml:space="preserve">[van den Hoogen, Bernadette G.; van Boheemen, Sander; de Rijck, Jonneke; van Nieuwkoop, Stefan; Laksono, Brigitta; Gultyaev, Alexander; Osterhaus, Albert D. M. E.; Fouchier, Ron A. M.] Erasmus MC, Dept Virosci, Rotterdam, Netherlands; [Smith, Derek J.] Univ Cambridge, Dept Zool, Ctr Pathogen Evolut, Cambridge, England</t>
  </si>
  <si>
    <t xml:space="preserve">Erasmus University Rotterdam; Erasmus MC; University of Cambridge</t>
  </si>
  <si>
    <t xml:space="preserve">Smith, Derek/Z-3075-2019; Fouchier, Ron/A-1911-2014</t>
  </si>
  <si>
    <t xml:space="preserve">Fouchier, Ron/0000-0001-8095-2869; Smith, Derek/0000-0002-2393-1890; Laksono, Brigitta Marcella/0000-0002-5727-5019</t>
  </si>
  <si>
    <t xml:space="preserve">Netherlands Organization for Scientific Research (NWO) (VENI grant) [916.66.092]; EU-FP7-Health project SILVER [260644]; EU-FP7-Health project EMPERIE [223498]; Virgo consortium - Dutch government [FES0908]; Netherlands Genomics Initiative (NGI) [050-060-452]</t>
  </si>
  <si>
    <t xml:space="preserve">Netherlands Organization for Scientific Research (NWO) (VENI grant)(Netherlands Organization for Scientific Research (NWO)); EU-FP7-Health project SILVER; EU-FP7-Health project EMPERIE; Virgo consortium - Dutch government; Netherlands Genomics Initiative (NGI)</t>
  </si>
  <si>
    <t xml:space="preserve">We thank Adolfo Garcia-Sastre, John Hiscott, Luis Martinez, Estanislao Nistal Villan, Jenish Patel, Frank van Kuppenveld and Eric Snijder for helpful discussions. This research was supported in part by The Netherlands Organization for Scientific Research (NWO) (VENI grant no. 916.66.092), the EU-FP7-Health project SILVER (grant no. 260644), the EU-FP7-Health project EMPERIE (grant no. 223498), the Virgo consortium, funded by the Dutch government project number FES0908, and by The Netherlands Genomics Initiative (NGI) project number 050-060-452. A. D. M. E. O. is a shareholder and is the CEO of ViroClinics Bioscience B.V. The other authors declare that they have no conflict of interest.</t>
  </si>
  <si>
    <t xml:space="preserve">10.1099/vir.0.066100-0</t>
  </si>
  <si>
    <t xml:space="preserve">AO1KG</t>
  </si>
  <si>
    <t xml:space="preserve">WOS:000341070400002</t>
  </si>
  <si>
    <t xml:space="preserve">Sarkar, S; Ratho, RK; Singh, M; Singh, MP; Singh, A; Sharma, M</t>
  </si>
  <si>
    <t xml:space="preserve">Sarkar, Subhabrata; Ratho, Radha Kanta; Singh, Meenu; Singh, Mini Pritam; Singh, Amarjeet; Sharma, Megha</t>
  </si>
  <si>
    <t xml:space="preserve">Comparative Analysis of Epidemiology, Clinical Features, and Cytokine Response of Respiratory Syncytial and Human Metapneumovirus Infected Children with Acute Lower Respiratory Infections</t>
  </si>
  <si>
    <t xml:space="preserve">Human metapneumovirus; Rhinovirus; Medicine; Epidemiology; Immunology</t>
  </si>
  <si>
    <t xml:space="preserve">VIRUS; BRONCHIOLITIS; SEASONALITY; PREVALENCE; SEVERITY</t>
  </si>
  <si>
    <t xml:space="preserve">Both human respiratory syncytial virus (RSV) and human metapneumovirus (hMPV) cause immune-mediated under-five acute respiratory infections (ARIs), but differences in their disease pathogenesis, if any, are not well-known. This study was undertaken to analyze the epidemiological and immunological features of RSV and hMPV infections. Nasopharyngeal aspirates from children (aged 2 months to 5 years) with ARI, presenting to our tertiary care center between December 2013 and March 2016, were subjected to real-time polymerase chain reaction for the detection of RSV and hMPV. Positive samples were analyzed for co-infection and cytokine levels. Of the 349 nasopharyngeal aspirates, RSV was detected in 40.68% (142/349), hMPV in 6.59% (23/349), and both in 1.4% (5/349). Co-infections were common, with rhinovirus being the most common co-offender. The demographic and clinical parameters of RSV- and hMPV-infected children were comparable. The MMP-9/TIMP-1 ratio was significantly higher in RSV-mediated ARI and IFN-gamma in hMPV-mediated ARI. Both RSV and hMPV are common among North Indian children with ARI, and coinfections are common. Their clinical features are non-discriminatory, and molecular diagnosis should be utilized to ascertain their individual epidemiology. The differences in their immune-pathogenesis (MMP-9/TIMP-1 ratio in RSV and IFN-gamma in hMPV) could serve as useful tools for developing newer drugs.</t>
  </si>
  <si>
    <t xml:space="preserve">[Sarkar, Subhabrata; Ratho, Radha Kanta; Singh, Mini Pritam; Sharma, Megha] Postgrad Inst Med Educ &amp; Res, Dept Virol, Chandigarh, India; [Singh, Meenu] Postgrad Inst Med Educ &amp; Res, Adv Pediat Ctr, Dept Pediat Pulmonol, Chandigarh, India; [Singh, Amarjeet] Postgrad Inst Med Educ &amp; Res, Sch &amp; Publ Hlth, Chandigarh, India</t>
  </si>
  <si>
    <t xml:space="preserve">Post Graduate Institute of Medical Education &amp; Research (PGIMER), Chandigarh; Post Graduate Institute of Medical Education &amp; Research (PGIMER), Chandigarh; Post Graduate Institute of Medical Education &amp; Research (PGIMER), Chandigarh</t>
  </si>
  <si>
    <t xml:space="preserve">Ratho, RK (corresponding author), Postgrad Inst Med Educ &amp; Res, Dept Virol, Chandigarh, India.</t>
  </si>
  <si>
    <t xml:space="preserve">Sharma, Megha/ADH-1315-2022</t>
  </si>
  <si>
    <t xml:space="preserve">SARKAR, SUBHABRATA/0000-0001-8880-8458</t>
  </si>
  <si>
    <t xml:space="preserve">Indian Council of Medical Research (ICMR), New Delhi; ICMR [VIR/21/2011/ECD-I, 3/1/3/JRF-2012/HRD-039 [10433]]</t>
  </si>
  <si>
    <t xml:space="preserve">Indian Council of Medical Research (ICMR), New Delhi(Indian Council of Medical Research (ICMR)); ICMR(Indian Council of Medical Research (ICMR))</t>
  </si>
  <si>
    <t xml:space="preserve">The author acknowledges The Indian Council of Medical Research (ICMR), New Delhi for partially supporting the present study. ICMR (No. VIR/21/2011/ECD-I; Dated 12.11.2013) &amp; SS is recipient of ICMR NET Junior research fellowship (No. 3/1/3/JRF-2012/HRD-039 [10433]).</t>
  </si>
  <si>
    <t xml:space="preserve">10.7883/yoken.JJID.2021.151</t>
  </si>
  <si>
    <t xml:space="preserve">ZE7BQ</t>
  </si>
  <si>
    <t xml:space="preserve">WOS:000759033900010</t>
  </si>
  <si>
    <t xml:space="preserve">Arshad, Y; Rana, MS; Ikram, A; Salman, M; Aamir, UB; Zaidi, SSZ; Alam, MM; Sharif, S; Shaukat, S; Khurshid, A; Hakim, R; Mujtaba, G; Umair, M; Sattar, S; Bostan, N</t>
  </si>
  <si>
    <t xml:space="preserve">Arshad, Yasir; Rana, Muhammad Suleman; Ikram, Aamer; Salman, Muhammad; Aamir, Uzma Bashir; Zaidi, Syed Sohail Zahoor; Alam, Muhammad Masroor; Sharif, Salmaan; Shaukat, Shahzad; Khurshid, Adnan; Hakim, Rabia; Mujtaba, Ghulam; Umair, Massab; Sattar, Sadia; Bostan, Nazish</t>
  </si>
  <si>
    <t xml:space="preserve">Molecular detection and genetic characterization of human metapneumovirus strains circulating in Islamabad, Pakistan</t>
  </si>
  <si>
    <t xml:space="preserve">Human metapneumovirus; Bronchiolitis; Throat; Medicine; Pneumonia; Epidemiology</t>
  </si>
  <si>
    <t xml:space="preserve">RESPIRATORY SYNCYTIAL VIRUS; SURFACE GLYCOPROTEINS; CHILDREN; DIVERSITY; VARIABILITY; INFLUENZA; SEQUENCE</t>
  </si>
  <si>
    <t xml:space="preserve">Lower respiratory illness is one of the leading causes of death among children in low- and high-income countries. Human metapneumovirus (hMPV) is a key contributor to respiratory illnesses commonly reported among children and causes serious clinical complications ranging from mild respiratory infections to severe lower respiratory tract anomalies mainly in the form of bronchiolitis and pneumonia. However, due to the lack of a national surveillance system, the clinical significance of hMPV remains obscure in the Pakistani population. This study was conducted to screen throat swabs samples collected from 127 children reported with respiratory symptoms at a tertiary care hospital in Islamabad. Out of 127, 21 (16.5%) samples were positive for hMPV with its genotype distribution as A2a (10%), A2b (20%), B1 (10%), and B2 (60%). Phylogenetic analysis showed that the hMPV viruses were closely related to those reported from neighboring countries including India and China. This work will contribute to a better understanding of this virus, its diagnosis, and the handling of patients in clinical setups. Further studies at a large-scale are warranted for a better understanding of the disease burden and epidemiology of hMPV in Pakistan.</t>
  </si>
  <si>
    <t xml:space="preserve">[Arshad, Yasir; Rana, Muhammad Suleman; Ikram, Aamer; Salman, Muhammad; Aamir, Uzma Bashir; Zaidi, Syed Sohail Zahoor; Alam, Muhammad Masroor; Sharif, Salmaan; Shaukat, Shahzad; Khurshid, Adnan; Hakim, Rabia; Mujtaba, Ghulam; Umair, Massab] Natl Inst Hlth, Islamabad, Pakistan; [Arshad, Yasir; Sattar, Sadia; Bostan, Nazish] COMSATS Univ Islamabad, Islamabad, Pakistan</t>
  </si>
  <si>
    <t xml:space="preserve">COMSATS University Islamabad (CUI)</t>
  </si>
  <si>
    <t xml:space="preserve">Bostan, N (corresponding author), COMSATS Univ Islamabad, Islamabad, Pakistan.</t>
  </si>
  <si>
    <t xml:space="preserve">nazishbostan@comsats.edu.pk</t>
  </si>
  <si>
    <t xml:space="preserve">Umair, Massab/JXN-0687-2024; Shaukat, Shahzad/HHZ-1088-2022; Zubair, Muhammad/AAX-8956-2020; Mujtaba, Ghulam/AAJ-9326-2020; Rana, Dr. Muhammad/HCH-1540-2022; Bostan, Nazish/AAU-3262-2021; Zaidi, Syed Sohail Zahoor/HLX-0959-2023</t>
  </si>
  <si>
    <t xml:space="preserve">Bostan, Nazish/0000-0003-2226-5440</t>
  </si>
  <si>
    <t xml:space="preserve">10.1038/s41598-022-06537-5</t>
  </si>
  <si>
    <t xml:space="preserve">ZD0MB</t>
  </si>
  <si>
    <t xml:space="preserve">WOS:000757901500008</t>
  </si>
  <si>
    <t xml:space="preserve">Miranda-Katz, M; Erickson, JJ; Lan, J; Ecker, A; Zhang, Y; Joyce, S; Williams, JV</t>
  </si>
  <si>
    <t xml:space="preserve">Miranda-Katz, Margot; Erickson, John J.; Lan, Jie; Ecker, Alwyn; Zhang, Yu; Joyce, Sebastian; Williams, John, V</t>
  </si>
  <si>
    <t xml:space="preserve">Novel HLA-B7-restricted human metapneumovirus epitopes enhance viral clearance in mice and are recognized by human CD8+ T cells</t>
  </si>
  <si>
    <t xml:space="preserve">Epitope; Human metapneumovirus; Virology; Biology; Immunology; ELISPOT; CD8; Human leukocyte antigen</t>
  </si>
  <si>
    <t xml:space="preserve">RESPIRATORY SYNCYTIAL VIRUS; FUSION PROTEIN; MONOCLONAL-ANTIBODY; TRACT INFECTIONS; YOUNG-CHILDREN; IDENTIFICATION; IMMUNITY; ADULTS; DISEASE; IMMUNIZATION</t>
  </si>
  <si>
    <t xml:space="preserve">Human metapneumovirus (HMPV) is a leading cause of acute lower respiratory tract illness in children and adults. Repeated infections are common and can be severe in young, elderly, and immunocompromised persons due to short-lived protective humoral immunity. In turn, few protective T cell epitopes have been identified in humans. Thus, we infected transgenic mice expressing the common human HLA MHC-I allele B*07:02 (HLA-B7) with HMPV and screened a robust library of overlapping and computationally predicted HLA-B7 binding peptides. Six HLA-B7-restricted CD8(+) T cell epitopes were identified using ELISPOT screening in the F, M, and N proteins, with M195-203 (M195) eliciting the strongest responses. MHC-tetramer flow cytometric staining confirmed HLA-B7 epitope-specific CD8(+) T cells migrated to lungs and spleen of HMPV-immune mice. Immunization with pooled HLA-B7-restricted peptides reduced viral titer and protected mice from virulent infection. Finally, we confirmed that CD8(+) T cells from HLA-B7 positive humans also recognize the identified epitopes. These results enable identification of HMPV-specific CD8(+) T cells in humans and help to inform future HMPV vaccine design.</t>
  </si>
  <si>
    <t xml:space="preserve">[Miranda-Katz, Margot; Lan, Jie; Ecker, Alwyn; Zhang, Yu; Williams, John, V] Univ Pittsburgh, Sch Med, UPMC Childrens Hosp Pittsburgh, Dept Pediat, 4401 Penn Ave,Rangos 9122, Pittsburgh, PA 15224 USA; [Erickson, John J.; Joyce, Sebastian] Vanderbilt Univ, Sch Med, Dept Pathol Microbiol &amp; Immunol, Nashville, TN 37212 USA; [Joyce, Sebastian] Tennessee Valley Healthcare Syst, Dept Vet Affairs, Nashville, TN USA; [Joyce, Sebastian] Vanderbilt Inst Infect Immun &amp; Inflammat V14, Nashville, TN 37232 USA; [Williams, John, V] Inst Infect Inflammat &amp; Immun Children i4Kids, Pittsburgh, PA 15224 USA</t>
  </si>
  <si>
    <t xml:space="preserve">Pennsylvania Commonwealth System of Higher Education (PCSHE); University of Pittsburgh; Vanderbilt University; US Department of Veterans Affairs; Veterans Health Administration (VHA); VA Tennessee Valley Healthcare System</t>
  </si>
  <si>
    <t xml:space="preserve">Williams, JV (corresponding author), Univ Pittsburgh, Sch Med, UPMC Childrens Hosp Pittsburgh, Dept Pediat, 4401 Penn Ave,Rangos 9122, Pittsburgh, PA 15224 USA.;Williams, JV (corresponding author), Inst Infect Inflammat &amp; Immun Children i4Kids, Pittsburgh, PA 15224 USA.</t>
  </si>
  <si>
    <t xml:space="preserve">Zhang, Yu/AAE-3574-2022; Williams, John/ABE-3227-2020</t>
  </si>
  <si>
    <t xml:space="preserve">NIH [AI085062, 75N93020D00005]; Research Advisory Council (RAC) fellowship award from UPMC Children's Hospital of Pittsburgh; Henry L. Hillman Foundation; VA Merit Award [BX001444]; [T32 GM-007347]; [T32 AI089443]</t>
  </si>
  <si>
    <t xml:space="preserve">NIH(United States Department of Health &amp; Human ServicesNational Institutes of Health (NIH) - USA); Research Advisory Council (RAC) fellowship award from UPMC Children's Hospital of Pittsburgh; Henry L. Hillman Foundation; VA Merit Award(US Department of Veterans Affairs); ;</t>
  </si>
  <si>
    <t xml:space="preserve">Supported by NIH AI085062 (JVW), and a VA Merit Award BX001444 (SJ). JJE was supported by T32 GM-007347 for the Vanderbilt Medical Scientist Training Program. YZ received a Research Advisory Council (RAC) fellowship award from UPMC Children's Hospital of Pittsburgh. YZ was supported by T32 AI089443. JVW is supported by the Henry L. Hillman Foundation. We thank the University of Pittsburgh Unified Flow Core for help with flow cytometry. We thank the NIH Tetramer Core Facility (contract number 75N93020D00005) for providing HLA-B7 tetramers.</t>
  </si>
  <si>
    <t xml:space="preserve">OCT 21</t>
  </si>
  <si>
    <t xml:space="preserve">10.1038/s41598-021-00023-0</t>
  </si>
  <si>
    <t xml:space="preserve">WK7VO</t>
  </si>
  <si>
    <t xml:space="preserve">WOS:000709931300051</t>
  </si>
  <si>
    <t xml:space="preserve">Miller, RJ; Mousa, JJ</t>
  </si>
  <si>
    <t xml:space="preserve">Miller, Rose J.; Mousa, Jarrod J.</t>
  </si>
  <si>
    <t xml:space="preserve">Structural basis for respiratory syncytial virus and human metapneumovirus neutralization</t>
  </si>
  <si>
    <t xml:space="preserve">CURRENT OPINION IN VIROLOGY</t>
  </si>
  <si>
    <t xml:space="preserve">Human metapneumovirus; Virology; Biology; Metapneumovirus; Epitope; Monoclonal antibody; Immune system; Virus; Glycoprotein; Antigen</t>
  </si>
  <si>
    <t xml:space="preserve">FUSION GLYCOPROTEIN; G-PROTEIN; YOUNG-CHILDREN; VACCINE; ANTIBODIES; RSV; PREVENTION; INFECTION; MOTAVIZUMAB; EFFICACY</t>
  </si>
  <si>
    <t xml:space="preserve">Respiratory syncytial virus (RSV) and human metapneumovirus (hMPV) continue to be a global burden to infants, the elderly, and immunocompromised individuals. In the past ten years, there has been substantial progress in the development of new vaccine candidates and therapies against these viruses. These advancements were guided by the structural elucidation of the major surface glycoproteins for these viruses, the fusion (F) protein and attachment (G) protein. The identification of immunodominant epitopes on the RSV F and hMPV F proteins has expanded current knowledge on antibody-mediated immune responses, which has led to new approaches for vaccine and therapeutic development through the stabilization of pre-fusion constructs of the F protein and pre-fusion-specific monoclonal antibodies with high potency and efficacy. In this review, we describe structural characteristics of known antigenic sites on the RSV and hMPV proteins, their influence on the immune response, and current progress in vaccine and therapeutic development.</t>
  </si>
  <si>
    <t xml:space="preserve">[Miller, Rose J.; Mousa, Jarrod J.] Univ Georgia, Coll Vet Med, Ctr Vaccines &amp; Immunol, Athens, GA 30602 USA; [Miller, Rose J.; Mousa, Jarrod J.] Univ Georgia, Coll Vet Med, Dept Infect Dis, Athens, GA 30602 USA; [Mousa, Jarrod J.] Univ Georgia, Franklin Coll Arts &amp; Sci, Dept Biochem &amp; Mol Biol, Athens, GA 30602 USA</t>
  </si>
  <si>
    <t xml:space="preserve">Miller, RJ; Mousa, JJ (corresponding author), Univ Georgia, Coll Vet Med, Ctr Vaccines &amp; Immunol, Athens, GA 30602 USA.;Miller, RJ; Mousa, JJ (corresponding author), Univ Georgia, Coll Vet Med, Dept Infect Dis, Athens, GA 30602 USA.;Mousa, JJ (corresponding author), Univ Georgia, Franklin Coll Arts &amp; Sci, Dept Biochem &amp; Mol Biol, Athens, GA 30602 USA.</t>
  </si>
  <si>
    <t xml:space="preserve">rose.miller@uga.edu; jarrod.mousa@uga.edu</t>
  </si>
  <si>
    <t xml:space="preserve">National Institutes of Health (NIH) [1R01AI173416]; [R01AI143865]</t>
  </si>
  <si>
    <t xml:space="preserve">National Institutes of Health (NIH)(United States Department of Health &amp; Human ServicesNational Institutes of Health (NIH) - USA);</t>
  </si>
  <si>
    <t xml:space="preserve">&amp; nbsp;This work was supported by National Institutes of Health (NIH) Grant R01AI143865 and 1R01AI173416.</t>
  </si>
  <si>
    <t xml:space="preserve">1879-6257</t>
  </si>
  <si>
    <t xml:space="preserve">1879-6265</t>
  </si>
  <si>
    <t xml:space="preserve">CURR OPIN VIROL</t>
  </si>
  <si>
    <t xml:space="preserve">Curr. Opin. Virol.</t>
  </si>
  <si>
    <t xml:space="preserve">10.1016/j.coviro.2023.101337</t>
  </si>
  <si>
    <t xml:space="preserve">P8MG9</t>
  </si>
  <si>
    <t xml:space="preserve">WOS:001053151400001</t>
  </si>
  <si>
    <t xml:space="preserve">Masante, C; El Najjar, F; Chang, A; Jones, A; Moncman, CL; Dutch, RE</t>
  </si>
  <si>
    <t xml:space="preserve">Masante, Cyril; El Najjar, Farah; Chang, Andres; Jones, Angela; Moncman, Carole L.; Dutch, Rebecca Ellis</t>
  </si>
  <si>
    <t xml:space="preserve">The Human Metapneumovirus Small Hydrophobic Protein Has Properties Consistent with Those of a Viroporin and Can Modulate Viral Fusogenic Activity</t>
  </si>
  <si>
    <t xml:space="preserve">Biology; Human metapneumovirus; Glycoprotein; Transmembrane protein; Fusion protein; Lipid bilayer fusion; Vesicle-associated membrane protein 8</t>
  </si>
  <si>
    <t xml:space="preserve">RESPIRATORY SYNCYTIAL VIRUS; INTEGRAL MEMBRANE-PROTEIN; INFECTED-CELL SURFACE; OPEN READING FRAME; FUSION PROTEIN; SH PROTEIN; TRANSMEMBRANE DOMAIN; POINT MUTATIONS; TISSUE-CULTURE; IN-VITRO</t>
  </si>
  <si>
    <t xml:space="preserve">Human metapneumovirus (HMPV) encodes three glycoproteins: the glycoprotein, which plays a role in glycosaminoglycan binding, the fusion (F) protein, which is necessary and sufficient for both viral binding to the target cell and fusion between the cellular plasma membrane and the viral membrane, and the small hydrophobic (SH) protein, whose function is unclear. The SH protein of the closely related respiratory syncytial virus has been suggested to function as a viroporin, as it forms oligomeric structures consistent with a pore and alters membrane permeability. Our analysis indicates that both the full-length HMPV SH protein and the isolated SH protein transmembrane domain can associate into higher-order oligomers. In addition, HMPV SH expression resulted in increases in permeability to hygromycin B and alteration of subcellular localization of a fluorescent dye, indicating that SH affects membrane permeability. These results suggest that the HMPV SH protein has several characteristics consistent with a putative viroporin. Interestingly, we also report that expression of the HMPV SH protein can significantly decrease HMPV F protein-promoted membrane fusion activity, with the SH extracellular domain and transmembrane domain playing a key role in this inhibition. These results suggest that the HMPV SH protein could regulate both membrane permeability and fusion protein function during viral infection.</t>
  </si>
  <si>
    <t xml:space="preserve">[Masante, Cyril; El Najjar, Farah; Chang, Andres; Jones, Angela; Moncman, Carole L.; Dutch, Rebecca Ellis] Univ Kentucky, Dept Mol &amp; Cellular Biochem, Lexington, KY 40506 USA</t>
  </si>
  <si>
    <t xml:space="preserve">Chang, Andres/V-8887-2019</t>
  </si>
  <si>
    <t xml:space="preserve">NIH [R01AI051517, 2P20 RR020171]; National Center for Research Resources; AHA predoctoral fellowship</t>
  </si>
  <si>
    <t xml:space="preserve">NIH(United States Department of Health &amp; Human ServicesNational Institutes of Health (NIH) - USA); National Center for Research Resources(United States Department of Health &amp; Human ServicesNational Institutes of Health (NIH) - USANIH National Center for Research Resources (NCRR)); AHA predoctoral fellowship(American Heart Association)</t>
  </si>
  <si>
    <t xml:space="preserve">This work was supported by NIH grants R01AI051517 and 2P20 RR020171 from the National Center for Research Resources to R.E.D. and an AHA predoctoral fellowship to A.C.</t>
  </si>
  <si>
    <t xml:space="preserve">10.1128/JVI.02848-13</t>
  </si>
  <si>
    <t xml:space="preserve">AH2SB</t>
  </si>
  <si>
    <t xml:space="preserve">WOS:000335970300047</t>
  </si>
  <si>
    <t xml:space="preserve">Widmer, K; Zhu, YW; Williams, JV; Griffin, MR; Edwards, KM; Talbot, HK</t>
  </si>
  <si>
    <t xml:space="preserve">Widmer, Kyle; Zhu, Yuwei; Williams, John V.; Griffin, Marie R.; Edwards, Kathryn M.; Talbot, H. Keipp</t>
  </si>
  <si>
    <t xml:space="preserve">Rates of Hospitalizations for Respiratory Syncytial Virus, Human Metapneumovirus, and Influenza Virus in Older Adults</t>
  </si>
  <si>
    <t xml:space="preserve">Human metapneumovirus; Virology; Metapneumovirus; Virus; Respiratory system; Medicine; Pneumovirinae</t>
  </si>
  <si>
    <t xml:space="preserve">REVERSE TRANSCRIPTION-PCR; TERM-CARE FACILITY; HIGH-RISK ADULTS; MONOCLONAL-ANTIBODIES; ELDERLY ADULTS; YOUNG-CHILDREN; DISEASE BURDEN; VIRAL CULTURE; NURSING-HOME; INFECTION</t>
  </si>
  <si>
    <t xml:space="preserve">Background. We performed a prospective study to determine the disease burden of respiratory syncytial virus (RSV) and human metapneumovirus (HMPV) in older adults in comparison with influenza virus. Methods. During 3 consecutive winters, we enrolled Davidson County (Nashville, TN) residents aged &gt;= 50 years admitted to 1 of 4 hospitals with acute respiratory illness (ARI). Nasal/throat swabs were tested for influenza, RSV, and HMPV with reverse-transcriptase polymerase chain reaction. Hospitalization rates were calculated. Results. Of 1042 eligible patients, 508 consented to testing. Respiratory syncytial virus was detected in 31 participants (6.1%); HMPV was detected in 23 (4.5%) patients; and influenza was detected in 33 (6.5%) patients. Of those subjects aged &gt;= 65 years, 78% received influenza vaccination. Compared with patients with confirmed influenza, patients with RSV were older and more immunocompromised; patients with HMPV were older, had more cardiovascular disease, were more likely to have received the influenza vaccination, and were less likely to report fever than those with influenza. Over 3 years, average annual rates of hospitalization were 15.01, 9.82, and 11.81 per 10 000 county residents due to RSV, HMPV, and influenza, respectively. Conclusions. In adults aged &gt;= 50 years, hospitalization rates for RSV and HMPV were similar to those associated with influenza.</t>
  </si>
  <si>
    <t xml:space="preserve">[Widmer, Kyle; Griffin, Marie R.; Talbot, H. Keipp] Vanderbilt Univ, Med Ctr, Dept Med, Nashville, TN 37205 USA; [Zhu, Yuwei] Vanderbilt Univ, Med Ctr, Dept Biostat, Nashville, TN 37205 USA; [Williams, John V.; Edwards, Kathryn M.; Talbot, H. Keipp] Vanderbilt Univ, Med Ctr, Dept Pediat, Nashville, TN 37205 USA; [Griffin, Marie R.] Vanderbilt Univ, Med Ctr, Dept Prevent Med, Nashville, TN 37205 USA; [Williams, John V.] Vanderbilt Univ, Med Ctr, Dept Pathol Microbiol &amp; Immunol, Nashville, TN 37205 USA; [Griffin, Marie R.] VA TN Valley Hlth Care Syst, MidS Geriatr Res Educ &amp; Clin Ctr, Nashville, TN USA; [Griffin, Marie R.] VA TN Valley Hlth Care Syst, Clin Res Ctr Excellence, Nashville, TN USA</t>
  </si>
  <si>
    <t xml:space="preserve">Vanderbilt University; Vanderbilt University; Vanderbilt University; Vanderbilt University; Vanderbilt University; US Department of Veterans Affairs; Veterans Health Administration (VHA); VA Tennessee Valley Healthcare System; Geriatric Research Education &amp; Clinical Center; US Department of Veterans Affairs; Veterans Health Administration (VHA); VA Tennessee Valley Healthcare System</t>
  </si>
  <si>
    <t xml:space="preserve">Talbot, HK (corresponding author), Vanderbilt Univ, Med Ctr, Dept Med, A2200 MCN,1161 21st Ave S, Nashville, TN 37205 USA.</t>
  </si>
  <si>
    <t xml:space="preserve">Talbot, H. Keipp/0000-0003-0141-1760; Williams, John/0000-0001-8377-5175</t>
  </si>
  <si>
    <t xml:space="preserve">National Institute of Health Vaccine and Treatment Evaluation Unit [N01 AI25462]; Centers for Disease Control and Prevention [1U181P000184-01]; Agency for Healthcare Research and Quality [T32 HS013833]; National Institutes of Health (NIH)/National Institute of Allergy and Infectious Diseases (NIAID) [1K23AI074863-01, AI085062-01]; Vanderbilt CTSA from National Center for Research Resources, NIH [1 UL1 RR024975]; CDC; NIH; sanofi pasteur</t>
  </si>
  <si>
    <t xml:space="preserve">National Institute of Health Vaccine and Treatment Evaluation Unit; Centers for Disease Control and Prevention(United States Department of Health &amp; Human ServicesCenters for Disease Control &amp; Prevention - USA); Agency for Healthcare Research and Quality(United States Department of Health &amp; Human ServicesAgency for Healthcare Research &amp; Quality); National Institutes of Health (NIH)/National Institute of Allergy and Infectious Diseases (NIAID)(United States Department of Health &amp; Human ServicesNational Institutes of Health (NIH) - USANIH National Institute of Allergy &amp; Infectious Diseases (NIAID)); Vanderbilt CTSA from National Center for Research Resources, NIH; CDC(Centre National de la Recherche Scientifique (CNRS)United States Department of Health &amp; Human ServicesCenters for Disease Control &amp; Prevention - USA); NIH(United States Department of Health &amp; Human ServicesNational Institutes of Health (NIH) - USA); sanofi pasteur</t>
  </si>
  <si>
    <t xml:space="preserve">This work was supported by multiple sources: surveillance for the first 2 years was funded by the National Institute of Health Vaccine and Treatment Evaluation Unit (N01 AI25462) (Kathryn M. Edwards MD, site PI) and during the third year by the Centers for Disease Control and Prevention (1U181P000184-01) (Marie Griffin MD, site PI). K. W. was funded by The Agency for Healthcare Research and Quality T32 HS013833. H. K. T. received salary support and career development from the National Institutes of Health (NIH)/National Institute of Allergy and Infectious Diseases (NIAID) (1K23AI074863-01). J. V. W. received support from the NIH/NIAID (AI085062-01). The study was also supported in part by Vanderbilt CTSA grant 1 UL1 RR024975 from the National Center for Research Resources, NIH. The funders did not participate in the design or conduct of the study; collection, management, analysis, or interpretation of the data; nor preparation, review, or approval of the manuscript.M. R. G. has received research funds from the CDC. K. M. E. has received funding from the NIH and the CDC to evaluate the impact of influenza vaccines and study new influenza vaccines. J. V. W. serves on the scientific advisory board of Quidel. H. K. T. has received research funds from sanofi pasteur. All other authors report no potential conflicts</t>
  </si>
  <si>
    <t xml:space="preserve">10.1093/infdis/jis309</t>
  </si>
  <si>
    <t xml:space="preserve">948YN</t>
  </si>
  <si>
    <t xml:space="preserve">WOS:000304540200009</t>
  </si>
  <si>
    <t xml:space="preserve">Malmo, J; Moe, N; Krokstad, S; Ryan, L; Loevenich, S; Johnsen, IB; Espevik, T; Nordbo, SA; Dollner, H; Anthonsen, MW</t>
  </si>
  <si>
    <t xml:space="preserve">Malmo, Jostein; Moe, Nina; Krokstad, Sidsel; Ryan, Liv; Loevenich, Simon; Johnsen, Ingvild B.; Espevik, Terje; Nordbo, Svein Arne; Dollner, Henrik; Anthonsen, Marit W.</t>
  </si>
  <si>
    <t xml:space="preserve">Cytokine Profiles in Human Metapneumovirus Infected Children: Identification of Genes Involved in the Antiviral Response and Pathogenesis</t>
  </si>
  <si>
    <t xml:space="preserve">Human metapneumovirus; Immunology; Inflammasome; Pathogenesis; Innate immune system; Chemokine; Immune system</t>
  </si>
  <si>
    <t xml:space="preserve">RESPIRATORY SYNCYTIAL VIRUS; NF-KAPPA-B; IFN-GAMMA; NORWEGIAN CHILDREN; VIRAL-INFECTION; III INTERFERON; YOUNG-CHILDREN; INFLAMMASOME; SEVERITY; DISEASE</t>
  </si>
  <si>
    <t xml:space="preserve">Human metapneumovirus (hMPV) causes severe airway infection in children that may be caused by an unfavorable immune response. The nature of the innate immune response to hMPV in naturally occurring infections in children is largely undescribed, and it is unknown if inflammasome activation is implicated in disease pathogenesis. We examined nasopharynx aspirates and blood samples from hMPV-infected children without detectable co-infections. The expression of inflammatory and antiviral genes were measured in nasal airway secretions by relative mRNA quantification while blood plasma proteins were determined by a multiplex immunoassay. Several genes were significantly up-regulated at mRNA and protein level in the hMPV infected children. Most apparent was the expression of the chemokine IP-10, the pro-inflammatory cytokine IL-18 in addition to the interferon inducible gene ISG54. Interestingly, children experiencing more severe disease, as indicated by a severity index, had significantly more often up-regulation of the inflammasome-associated genes IL-1 beta and NLRP3. Overall, our data point to cytokines, particularly inflammasome-associated, that might be important in hMPV mediated lung disease and the antiviral response in children with severe infection. Our study is the first to demonstrate that inflammasome components are associated with increased illness severity in hMPV-infected children.</t>
  </si>
  <si>
    <t xml:space="preserve">[Malmo, Jostein; Moe, Nina; Loevenich, Simon; Johnsen, Ingvild B.; Nordbo, Svein Arne; Dollner, Henrik; Anthonsen, Marit W.] Norwegian Univ Sci &amp; Technol, Fac Med, Childrens &amp; Womens Hlth, Dept Lab Med,Childhood Airway Infect Res Grp, N-7491 Trondheim, Norway; [Krokstad, Sidsel; Nordbo, Svein Arne] Univ Trondheim Hosp, St Olavs Hosp, Dept Med Microbiol, Childhood Airway Infect Res Grp, N-7491 Trondheim, Norway; [Ryan, Liv; Espevik, Terje] Norwegian Univ Sci &amp; Technol, Fac Med, Dept Canc Res &amp; Mol Med, Ctr Mol Inflammat Res, N-7489 Trondheim, Norway; [Moe, Nina; Dollner, Henrik] Univ Trondheim Hosp, St Olavs Hosp, Childrens Clin, Childhood Airway Infect Res Grp, N-7491 Trondheim, Norway</t>
  </si>
  <si>
    <t xml:space="preserve">Norwegian University of Science &amp; Technology (NTNU); Norwegian University of Science &amp; Technology (NTNU); Norwegian University of Science &amp; Technology (NTNU); Norwegian University of Science &amp; Technology (NTNU)</t>
  </si>
  <si>
    <t xml:space="preserve">Malmo, J (corresponding author), Norwegian Univ Sci &amp; Technol, Fac Med, Childrens &amp; Womens Hlth, Dept Lab Med,Childhood Airway Infect Res Grp, N-7491 Trondheim, Norway.</t>
  </si>
  <si>
    <t xml:space="preserve">jostein.malmo@ntnu.no</t>
  </si>
  <si>
    <t xml:space="preserve">Bjellmo Johnsen, Ingvild/0000-0002-3520-6776; Loevenich, Simon/0000-0001-5424-8755</t>
  </si>
  <si>
    <t xml:space="preserve">Central Norway Regional Health Authority; Children's Clinic (St. Olav's hospital); Department of Medical Microbiology (St. Olav's Hospital)</t>
  </si>
  <si>
    <t xml:space="preserve">This work was funded and supported by the Central Norway Regional Health Authority, the Children's Clinic (St. Olav's hospital) and the Department of Medical Microbiology (St. Olav's Hospital). The funders had no role in study design, data collection and analysis, decision to publish, or preparation of the manuscript.</t>
  </si>
  <si>
    <t xml:space="preserve">MAY 12</t>
  </si>
  <si>
    <t xml:space="preserve">e0155484</t>
  </si>
  <si>
    <t xml:space="preserve">10.1371/journal.pone.0155484</t>
  </si>
  <si>
    <t xml:space="preserve">DM8CQ</t>
  </si>
  <si>
    <t xml:space="preserve">WOS:000376588600033</t>
  </si>
  <si>
    <t xml:space="preserve">Chow, WZ; Chan, YF; Oong, XY; Ng, LJ; Nor'E, SS; Ng, KT; Chan, KG; Hanafi, NS; Pang, YK; Kamarulzaman, A; Tee, KK</t>
  </si>
  <si>
    <t xml:space="preserve">Chow, Wei Zhen; Chan, Yoke Fun; Oong, Xiang Yong; Ng, Liang Jie; Nor'E, Siti Sarah; Ng, Kim Tien; Chan, Kok Gan; Hanafi, Nik Sherina; Pang, Yong Kek; Kamarulzaman, Adeeba; Tee, Kok Keng</t>
  </si>
  <si>
    <t xml:space="preserve">Genetic diversity, seasonality and transmission network of human metapneumovirus: identification of a unique sub-lineage of the fusion and attachment genes</t>
  </si>
  <si>
    <t xml:space="preserve">Human metapneumovirus; Genetic diversity; Lineage (genetic); Transmission (telecommunications); Biology; Outbreak</t>
  </si>
  <si>
    <t xml:space="preserve">RESPIRATORY SYNCYTIAL VIRUS; PHYLOGENETIC ANALYSIS; MOLECULAR EPIDEMIOLOGY; PANDEMIC INFLUENZA; HIV TRANSMISSION; YOUNG-CHILDREN; RISK-FACTORS; COMMON COLD; INFECTIONS; PREVALENCE</t>
  </si>
  <si>
    <t xml:space="preserve">Human metapneumovirus (HMPV) is an important viral respiratory pathogen worldwide. Current knowledge regarding the genetic diversity, seasonality and transmission dynamics of HMPV among adults and children living in tropical climate remains limited. HMPV prevailed at 2.2% (n = 86/3,935) among individuals presented with acute respiratory tract infections in Kuala Lumpur, Malaysia between 2012 and 2014. Seasonal peaks were observed during the northeast monsoon season (November-April) and correlated with higher relative humidity and number of rainy days (P &lt; 0.05). Phylogenetic analysis of the fusion and attachment genes identified the co-circulation of three known HMPV sub-lineages, A2b and B1 (30.2% each, 26/86) and B2 (20.9%, 18/86), with genotype shift from sub-lineage B1 to A2b observed in 2013. Interestingly, a previously unrecognized sub-lineage of A2 was identified in 18.6% (16/86) of the population. Using a custom script for network construction based on the TN93 pairwise genetic distance, we identified up to nine HMPV transmission clusters circulating as multiple sub-epidemics. Although no apparent major outbreak was observed, the increased frequency of transmission clusters (dyads) during seasonal peaks suggests the potential roles of transmission clusters in driving the spread of HMPV. Our findings provide essential information for therapeutic research, prevention strategies, and disease outbreak monitoring of HMPV.</t>
  </si>
  <si>
    <t xml:space="preserve">[Chow, Wei Zhen; Oong, Xiang Yong; Ng, Kim Tien; Pang, Yong Kek; Kamarulzaman, Adeeba] Univ Malaya, Fac Med, Dept Med, Kuala Lumpur, Malaysia; [Chan, Yoke Fun; Tee, Kok Keng] Univ Malaya, Fac Med, Dept Med Microbiol, Kuala Lumpur, Malaysia; [Ng, Liang Jie] Multimedia Univ, Fac Informat Sci &amp; Technol, Melaka, Malaysia; [Nor'E, Siti Sarah] Univ Malaya, TIDREC, Res &amp; Innovat, Kuala Lumpur, Malaysia; [Chan, Kok Gan] Univ Malaya, Fac Sci, Inst Biol Sci, Div Genet &amp; Mol Biol, Kuala Lumpur, Malaysia; [Hanafi, Nik Sherina] Univ Malaya, Fac Med, Dept Primary Care Med, Kuala Lumpur, Malaysia</t>
  </si>
  <si>
    <t xml:space="preserve">Universiti Malaya; Universiti Malaya; Multimedia University; Universiti Malaya; Universiti Malaya; Universiti Malaya</t>
  </si>
  <si>
    <t xml:space="preserve">Tee, KK (corresponding author), Univ Malaya, Fac Med, Dept Med Microbiol, Kuala Lumpur, Malaysia.</t>
  </si>
  <si>
    <t xml:space="preserve">NORE, SITI/K-1283-2016; PANG, YONG KEK/B-9478-2010; KAMARULZAMAN, ADEEBA/B-5216-2010; Chow, Wei/L-8228-2013; Tee, Kok Keng/A-8148-2008; Chan, Kok Gan/B-8347-2010; Hanafi, Nik Sherina/B-9250-2010; CHAN, YOKE FUN/B-5351-2010; Ng, Kim-Tien/K-7667-2013</t>
  </si>
  <si>
    <t xml:space="preserve">Tee, Kok Keng/0000-0002-7923-5448; Oong, Xiang Yong/0000-0002-1426-1987; Chan, Kok Gan/0000-0002-1883-1115; Hanafi, Nik Sherina/0000-0001-9140-0955; /0000-0001-7883-8928; CHAN, YOKE FUN/0000-0001-7089-0510; Ng, Kim-Tien/0000-0002-4097-9984</t>
  </si>
  <si>
    <t xml:space="preserve">Ministry of Education, Malaysia: High Impact Research [UM.C/625/1/HIR/MOE/CHAN/02/02]</t>
  </si>
  <si>
    <t xml:space="preserve">Ministry of Education, Malaysia: High Impact Research</t>
  </si>
  <si>
    <t xml:space="preserve">We would like to thank Nyoke Pin Wong, Jack Bee Chook, See Wie Teoh, Anna Marie Nathan, Jessie Anne de Bruyne, and Jamal I-Ching Sam for assistance and support. This work was supported by grants from the Ministry of Education, Malaysia: High Impact Research UM.C/625/1/HIR/MOE/CHAN/02/02 to KKT.</t>
  </si>
  <si>
    <t xml:space="preserve">JUN 9</t>
  </si>
  <si>
    <t xml:space="preserve">10.1038/srep27730</t>
  </si>
  <si>
    <t xml:space="preserve">DN9AR</t>
  </si>
  <si>
    <t xml:space="preserve">WOS:000377371900003</t>
  </si>
  <si>
    <t xml:space="preserve">Velayudhan, BT; Nagaraja, KV; Thachil, AJ; Shaw, DP; Gray, GC; Halvorson, DA</t>
  </si>
  <si>
    <t xml:space="preserve">Velayudhan, Binu T.; Nagaraja, Kakambi V.; Thachil, Anil J.; Shaw, Daniel P.; Gray, Gregory C.; Halvorson, David A.</t>
  </si>
  <si>
    <t xml:space="preserve">Human metapneumovirus in turkey poults</t>
  </si>
  <si>
    <t xml:space="preserve">LINKED-IMMUNOSORBENT-ASSAY; AVIAN PNEUMOVIRUS; CROSS-REACTIVITY; SUBGROUP-B; INFECTIONS; VIRUSES; PATHOGENESIS; ANTIBODIES; MINNESOTA; EMERGENCE</t>
  </si>
  <si>
    <t xml:space="preserve">This study was conducted to reexamine the hypothesis that human metapneurnovirus (hMPV) will not infect turkeys. Six groups of 2-week-old turkeys (20 per group) were inoculated oculonasally with I of the following: noninfected cell suspension; hMPV genotype A1, A2, B1, or B2; or avian metapneurnovirus (aMPV) subtype C. Poults inoculated with hMPV showed nasal discharge days 4-9 post-exposure. Specific viral RNA and antigen were detected by reverse-transcription PCR and immunohistochemical evaluation, respectively, in nasal turbinates of birds exposed to hMPV. Nasal turbinates of hMPV-infected turkeys showed inflammatory changes and mucus accumulation. Each of the 4 hMPV genotypes caused a transient infection in turkeys as evidenced by clinical signs, detection of hMPV in turbinates, and histopathologic examination. Detailed investigation of cross-species pathogenicity of hMPV and aMPV and its importance for human and animal health is needed.</t>
  </si>
  <si>
    <t xml:space="preserve">Univ Minnesota, Dept Vet &amp; Biomed Sci, St Paul, MN 55108 USA; Univ Missouri, Columbia, MO 65211 USA; Univ Iowa, Iowa City, IA 52242 USA</t>
  </si>
  <si>
    <t xml:space="preserve">University of Minnesota System; University of Minnesota Twin Cities; University of Missouri System; University of Missouri Columbia; University of Iowa</t>
  </si>
  <si>
    <t xml:space="preserve">Halvorson, DA (corresponding author), Univ Minnesota, Dept Vet &amp; Biomed Sci, 301C Vet Sci Bldg,1971 Commonwealth Ave, St Paul, MN 55108 USA.</t>
  </si>
  <si>
    <t xml:space="preserve">halvo002@umn.edu</t>
  </si>
  <si>
    <t xml:space="preserve">109IR</t>
  </si>
  <si>
    <t xml:space="preserve">WOS:000242301900008</t>
  </si>
  <si>
    <t xml:space="preserve">Biacchesi, S; Pham, QN; Skiadopoulos, MH; Murphy, BR; Collins, PL; Buchholz, UJ</t>
  </si>
  <si>
    <t xml:space="preserve">Infection of nonhuman primates with recombinant human metapneumovirus lacking the SH, G, or M2-2 protein categorizes each as a nonessential accessory protein and identifies vaccine candidates</t>
  </si>
  <si>
    <t xml:space="preserve">Biology; Human metapneumovirus; Virology; Metapneumovirus; Virus; Respiratory tract; Viral replication; Recombinant DNA</t>
  </si>
  <si>
    <t xml:space="preserve">RESPIRATORY SYNCYTIAL VIRUS; REPLICATION IN-VITRO; G-GLYCOPROTEIN; YOUNG-CHILDREN; TRACT DISEASE; EXPRESSION; CHALLENGE; DELETION; LIVE; RESISTANCE</t>
  </si>
  <si>
    <t xml:space="preserve">Recombinant human metapneumovirus (HMPV) in which the SH, G, or M2 gene or open reading frame was deleted by reverse genetics was evaluated for replication and vaccine efficacy following topical administration to the respiratory tract of African green monkeys, a permissive primate host. Replication of the ASH virus was only marginally less efficient than that of wild-type HMPV, whereas the Delta G and Delta M2-2 viruses were reduced sixfold and 160-fold in the upper respiratory tract and 3,200-fold and 4,000-fold in the lower respiratory tract, respectively. Even with the highly attenuated mutants, there was unequivocal HMPV replication at each anatomical site in each animal. Thus, none of these three proteins is essential for HMPV replication in a primate host, although G and M2-2 increased the efficiency of replication. Each gene-deletion virus was highly immunogenic and protective against wild-type HMPV challenge. The Delta G and Delta M2-2 viruses are promising vaccine candidates that are based on independent mechanisms of attenuation and are appropriate for clinical evaluation.</t>
  </si>
  <si>
    <t xml:space="preserve">NIAID, NIH, Bldg 50,Room 6505,50 S Dr,MSC 8007, Bethesda, MD 20892 USA.</t>
  </si>
  <si>
    <t xml:space="preserve">Pham, Quynh/AED-1403-2022; Buchholz, Ursula/AAA-4547-2022; BIACCHESI, STEPHANE/A-6924-2010</t>
  </si>
  <si>
    <t xml:space="preserve">10.1128/JVI.79.19.12608-12613.2005</t>
  </si>
  <si>
    <t xml:space="preserve">966AR</t>
  </si>
  <si>
    <t xml:space="preserve">WOS:000231992500051</t>
  </si>
  <si>
    <t xml:space="preserve">Velayutham, TS; Kolli, D; Ivanciuc, T; Garofalo, RP; Casola, A</t>
  </si>
  <si>
    <t xml:space="preserve">Velayutham, Thangam Sudha; Kolli, Deepthi; Ivanciuc, Teodora; Garofalo, Roberto P.; Casola, Antonella</t>
  </si>
  <si>
    <t xml:space="preserve">Critical Role of TLR4 in Human Metapneumovirus Mediated Innate Immune Responses and Disease Pathogenesis</t>
  </si>
  <si>
    <t xml:space="preserve">Human metapneumovirus; Immunology; Innate immune system; TLR4; Chemokine; Biology</t>
  </si>
  <si>
    <t xml:space="preserve">RESPIRATORY SYNCYTIAL VIRUS; TOLL-LIKE RECEPTOR-4; INDUCIBLE GENE-I; AIRWAY HYPERRESPONSIVENESS; RECOGNITION; INFECTION; ACTIVATION; YOUNG; MACROPHAGES; CHILDREN</t>
  </si>
  <si>
    <t xml:space="preserve">Human metapneumovirus (hMPV) is one of the main causes of acute respiratory tract infections in children, elderly and immunocompromised patients. The mammalian Toll-like receptors (TLR) were identified as critical regulators of innate immunity to a variety of microbes, including viruses. We have recently shown that hMPV-induced cytokine, chemokine and type I interferon secretion in dendritic cells occurs via TLR4, however, its role in hMPV-induced disease is unknown. In this study, wild-type(WT) and TLR4-deficient mice (TLR4(-/-)) were infected with hMPV and examined for clinical disease parameters, such as body weight loss and airway obstruction, viral clearance, lung inflammation, dendritic cell maturation, T-cell proliferation and antibody production. Our results demonstrate that absence of TLR4 in hMPV-infected mice significantly reduced the inflammatory response as well as disease severity, shown by reduced body weight loss and airway obstruction and hyperresponsiveness (AHR), compared to WT mice. Levels of cytokines and chemokines were also significantly lower in the TLR4(-/-) mice. Accordingly, recruitment of inflammatory cells in the BAL, lungs, as well as in lymph nodes, was significantly reduced in the TLR4(-/-) mice, however, viral replication and clearance, as well as T-cell proliferation and neutralizing antibody production, were not affected. Our findings indicate that TLR4 is important for the activation of the innate immune response to hMPV, however it does play a role in disease pathogenesis, as lack of TLR4 expression is associated with reduced clinical manifestations of hMPV disease, without affecting viral protection.</t>
  </si>
  <si>
    <t xml:space="preserve">[Velayutham, Thangam Sudha; Kolli, Deepthi; Ivanciuc, Teodora; Garofalo, Roberto P.; Casola, Antonella] Univ Texas Med Branch, Dept Pediat, Galveston, TX 77555 USA; [Garofalo, Roberto P.; Casola, Antonella] Univ Texas Med Branch, Galveston, TX 77555 USA; [Garofalo, Roberto P.; Casola, Antonella] Univ Texas Med Branch, Sealy Ctr Vaccine Dev, Galveston, TX 77555 USA</t>
  </si>
  <si>
    <t xml:space="preserve">Casola, A (corresponding author), Univ Texas Med Branch, Dept Pediat, Galveston, TX 77555 USA.</t>
  </si>
  <si>
    <t xml:space="preserve">National Institutes of Health [R01 AI079246, P01 AI062885, P30 ES006676]; James W. McLaughlin Fellowship Fund from UTMB</t>
  </si>
  <si>
    <t xml:space="preserve">National Institutes of Health(United States Department of Health &amp; Human ServicesNational Institutes of Health (NIH) - USA); James W. McLaughlin Fellowship Fund from UTMB</t>
  </si>
  <si>
    <t xml:space="preserve">This work was supported by National Institutes of Health grants R01 AI079246, P01 AI062885 and P30 ES006676, and James W. McLaughlin Fellowship Fund from UTMB (TSV). The funders had no role in study design, data collection and analysis, decision to publish, or preparation of the manuscript.</t>
  </si>
  <si>
    <t xml:space="preserve">e78849</t>
  </si>
  <si>
    <t xml:space="preserve">10.1371/journal.pone.0078849</t>
  </si>
  <si>
    <t xml:space="preserve">242VF</t>
  </si>
  <si>
    <t xml:space="preserve">WOS:000326270700100</t>
  </si>
  <si>
    <t xml:space="preserve">Más, V; Rodriguez, L; Olmedillas, E; Cano, O; Palomo, C; Terrón, MC; Luque, D; Melero, JA; McLellan, JS</t>
  </si>
  <si>
    <t xml:space="preserve">Mas, Vicente; Rodriguez, Laura; Olmedillas, Eduardo; Cano, Olga; Palomo, Concepcion; Terron, Maria C.; Luque, Daniel; Melero, Jose A.; McLellan, Jason S.</t>
  </si>
  <si>
    <t xml:space="preserve">Engineering, Structure and Immunogenicity of the Human Metapneumovirus F Protein in the Postfusion Conformation</t>
  </si>
  <si>
    <t xml:space="preserve">Human metapneumovirus; Virology; Biology</t>
  </si>
  <si>
    <t xml:space="preserve">RESPIRATORY SYNCYTIAL-VIRUS; CELL-CELL FUSION; 2 DISTINCT SITES; MEMBRANE-FUSION; NEUTRALIZING ANTIBODIES; STRUCTURE VALIDATION; ANTIGENIC STRUCTURE; VERO CELLS; GLYCOPROTEIN; CLEAVAGE</t>
  </si>
  <si>
    <t xml:space="preserve">Human metapneumovirus ( hMPV) is a paramyxovirus that is a common cause of bronchiolitis and pneumonia in children less than five years of age. The hMPV fusion ( F) glycoprotein is the primary target of neutralizing antibodies and is thus a critical vaccine antigen. To facilitate structure-based vaccine design, we stabilized the ectodomain of the hMPV F protein in the postfusion conformation and determined its structure to a resolution of 3.3 angstrom by -ray crystallography. The structure resembles an elongated cone and is very similar to the postfusion F protein from the related human respiratory syncytial virus ( hRSV). In contrast, significant differences were apparent with the postfusion F proteins from other paramyxoviruses, such as human parainfluenza type 3 ( hPIV3) and Newcastle disease virus ( NDV). The high similarity of hMPV and hRSV postfusion F in two antigenic sites targeted by neutralizing antibodies prompted us to test for antibody cross-reactivity. The widely used monoclonal antibody 101F, which binds to antigenic site IV of hRSV F, was found to cross-react with hMPV postfusion F and neutralize both hRSV and hMPV. Despite the cross-reactivity of 101F and the reported cross-reactivity of two other antibodies, 54G10 and MPE8, we found no detectable cross-reactivity in the polyclonal antibody responses raised in mice against the postfusion forms of either hMPV or hRSV F. The postfusion-stabilized hMPV F protein did, however, elicit high titers of hMPV-neutralizing activity, suggesting that it could serve as an effective subunit vaccine. Structural insights from these studies should be useful for designing novel immunogens able to induce wider cross-reactive antibody responses.</t>
  </si>
  <si>
    <t xml:space="preserve">[Mas, Vicente; Rodriguez, Laura; Olmedillas, Eduardo; Cano, Olga; Palomo, Concepcion; Melero, Jose A.] Inst Salud Carlos III, Ctr Nacl Microbiol, Unidad Biol Viral, Madrid, Spain; [Mas, Vicente; Rodriguez, Laura; Olmedillas, Eduardo; Cano, Olga; Palomo, Concepcion; Melero, Jose A.] Inst Salud Carlos III, CIBER Enfermedades Resp, Madrid, Spain; [Terron, Maria C.; Luque, Daniel] Inst Salud Carlos III, Ctr Nacl Microbiol, Unidad Microscopia Elect &amp; Confocal, Madrid, Spain; [McLellan, Jason S.] Geisel Sch Med Dartmouth, Dept Biochem &amp; Cell Biol, Hanover, NH 03755 USA; [Rodriguez, Laura] Univ Rochester, Med Ctr, Rochester, NY 14642 USA</t>
  </si>
  <si>
    <t xml:space="preserve">Instituto de Salud Carlos III; Centro Nacional de Microbiologia (CNM); CIBER - Centro de Investigacion Biomedica en Red; CIBERES; Instituto de Salud Carlos III; Instituto de Salud Carlos III; Centro Nacional de Microbiologia (CNM); Dartmouth College; University of Rochester</t>
  </si>
  <si>
    <t xml:space="preserve">Melero, JA (corresponding author), Inst Salud Carlos III, Ctr Nacl Microbiol, Unidad Biol Viral, Madrid, Spain.;Melero, JA (corresponding author), Inst Salud Carlos III, CIBER Enfermedades Resp, Madrid, Spain.;McLellan, JS (corresponding author), Geisel Sch Med Dartmouth, Dept Biochem &amp; Cell Biol, Hanover, NH 03755 USA.</t>
  </si>
  <si>
    <t xml:space="preserve">McLellan, Jason/A-6874-2010; Palomo, Concepcion/AAF-4788-2019; MC, Terron/AAC-8162-2020; Luque, Daniel/I-6467-2015; Mas, Vicente/M-4776-2015</t>
  </si>
  <si>
    <t xml:space="preserve">Melero, Jose A./0000-0001-8148-6521; Luque, Daniel/0000-0002-0151-6020; Olmedillas Cela, Eduardo/0000-0001-5250-0371; Palomo, Concepcion/0000-0003-4138-1930; McLellan, Jason/0000-0003-3991-542X; CANO MORATO, OLGA/0000-0003-4281-7572; Mas, Vicente/0000-0002-0887-0743</t>
  </si>
  <si>
    <t xml:space="preserve">Plan Nacional I+D+i [SAF2015-67033-RSAF2012-31217, BFU 2013-43149-R]; National Institute of General Medical Sciences of the National Institutes of Health [P20GM113132]; U.S. Department of Energy, Office of Biological and Environmental Research [DE-AC02-06CH11357]</t>
  </si>
  <si>
    <t xml:space="preserve">Plan Nacional I+D+i; National Institute of General Medical Sciences of the National Institutes of Health(United States Department of Health &amp; Human ServicesNational Institutes of Health (NIH) - USANIH National Institute of General Medical Sciences (NIGMS)); U.S. Department of Energy, Office of Biological and Environmental Research(United States Department of Energy (DOE))</t>
  </si>
  <si>
    <t xml:space="preserve">This work was supported in part by grants SAF2015-67033-RSAF2012-31217 (JAM) and BFU 2013-43149-R (DL) from Plan Nacional I+D+i and by grant P20GM113132 (JSM) from the National Institute of General Medical Sciences of the National Institutes of Health. Results shown in this report are derived from work performed at Argonne National Laboratory, Structural Biology Center at the Advanced Photon Source. Argonne is operated by UChicago Argonne, LLC, for the U.S. Department of Energy, Office of Biological and Environmental Research under contract DE-AC02-06CH11357. The funders had no role in study design, data collection and analysis, decision to publish, or preparation of the manuscript.</t>
  </si>
  <si>
    <t xml:space="preserve">e1005859</t>
  </si>
  <si>
    <t xml:space="preserve">10.1371/journal.ppat.1005859</t>
  </si>
  <si>
    <t xml:space="preserve">DZ1TB</t>
  </si>
  <si>
    <t xml:space="preserve">WOS:000385621900029</t>
  </si>
  <si>
    <t xml:space="preserve">Cabán, M; Rodarte, JV; Bibby, M; Gray, MD; Taylor, JJ; Pancera, M; Boonyaratanakornkit, J</t>
  </si>
  <si>
    <t xml:space="preserve">Caban, Madelyn; Rodarte, Justas V. V.; Bibby, Madeleine; Gray, Matthew D. D.; Taylor, Justin J. J.; Pancera, Marie; Boonyaratanakornkit, Jim</t>
  </si>
  <si>
    <t xml:space="preserve">Cross-protective antibodies against common endemic respiratory viruses</t>
  </si>
  <si>
    <t xml:space="preserve">Human metapneumovirus; Monoclonal antibody; Virology; Antibody; Human Parainfluenza Virus; Virus; Biology</t>
  </si>
  <si>
    <t xml:space="preserve">HUMAN MONOCLONAL-ANTIBODIES; HUMAN METAPNEUMOVIRUS HMPV; COTTON RAT MODEL; VACCINE CANDIDATES; CELL TRANSPLANTATION; VIRAL-INFECTIONS; IMMUNE-RESPONSE; ANIMAL-MODELS; F PROTEIN; IN-VITRO</t>
  </si>
  <si>
    <t xml:space="preserve">Respiratory syncytial virus (RSV), human metapneumovirus (HMPV), and human parainfluenza virus types one (HPIV1) and three (HPIV3) can cause severe disease and death in immunocompromised patients, the elderly, and those with underlying lung disease. A protective monoclonal antibody exists for RSV, but clinical use is limited to high-risk infant populations. Hence, therapeutic options for these viruses in vulnerable patient populations are currently limited. Here, we present the discovery, in vitro characterization, and in vivo efficacy testing of two cross-neutralizing monoclonal antibodies, one targeting both HPIV3 and HPIV1 and the other targeting both RSV and HMPV. The 3 x 1 antibody is capable of targeting multiple parainfluenza viruses; the MxR antibody shares features with other previously reported monoclonal antibodies that are capable of neutralizing both RSV and HMPV. We obtained structures using cryo-electron microscopy of these antibodies in complex with their antigens at 3.62 angstrom resolution for 3 x 1 bound to HPIV3 and at 2.24 angstrom for MxR bound to RSV, providing a structural basis for in vitro binding and neutralization. Together, a cocktail of 3 x 1 and MxR could have clinical utility in providing broad protection against four of the respiratory viruses that cause significant morbidity and mortality in at-risk individuals. Immunocompromised patients are vulnerable to respiratory viral infections. Here, the authors characterize cross-neutralizing antibodies to respiratory syncytial virus, human metapneumovirus, and human parainfluenza viruses and show effective protection in male hamsters.</t>
  </si>
  <si>
    <t xml:space="preserve">[Caban, Madelyn; Rodarte, Justas V. V.; Bibby, Madeleine; Gray, Matthew D. D.; Taylor, Justin J. J.; Pancera, Marie; Boonyaratanakornkit, Jim] Fred Hutchinson Canc Ctr, Vaccine &amp; Infect Dis Div, Seattle, WA 98109 USA; [Caban, Madelyn; Taylor, Justin J. J.] Univ Washington, Dept Immunol, Seattle, WA 98195 USA; [Caban, Madelyn; Taylor, Justin J. J.] Univ Washington, Dept Global Hlth, Seattle, WA 98195 USA; [Boonyaratanakornkit, Jim] Univ Washington, Dept Med, Seattle, WA 98195 USA</t>
  </si>
  <si>
    <t xml:space="preserve">Fred Hutchinson Cancer Center; University of Washington; University of Washington Seattle; University of Washington; University of Washington Seattle; University of Washington; University of Washington Seattle</t>
  </si>
  <si>
    <t xml:space="preserve">Taylor, JJ; Pancera, M; Boonyaratanakornkit, J (corresponding author), Fred Hutchinson Canc Ctr, Vaccine &amp; Infect Dis Div, Seattle, WA 98109 USA.;Taylor, JJ (corresponding author), Univ Washington, Dept Immunol, Seattle, WA 98195 USA.;Taylor, JJ (corresponding author), Univ Washington, Dept Global Hlth, Seattle, WA 98195 USA.;Boonyaratanakornkit, J (corresponding author), Univ Washington, Dept Med, Seattle, WA 98195 USA.</t>
  </si>
  <si>
    <t xml:space="preserve">jtaylor3@fredhutch.org; mpancera@fredhutch.org; jboonyar@fredhutch.org</t>
  </si>
  <si>
    <t xml:space="preserve">Boonyaratanakornkit, Jim/IRZ-4182-2023</t>
  </si>
  <si>
    <t xml:space="preserve">Boonyaratanakornkit, Jim/0000-0001-5858-2662; Taylor, Justin J/0000-0001-9718-2901; Gray, Matthew/0000-0002-4260-9784</t>
  </si>
  <si>
    <t xml:space="preserve">Vaccine and Infectious Disease Division Faculty Initiative; Evergreen Beyond Pilot Award; Fred Hutchinson Cancer Center; American Society for Transplantation and Cellular Therapy; National Marrow Donor Program; NIH; Office of Biological and Environmental Research; IgM Biosciences; [U24 GM129547]; [P30 CA015704]</t>
  </si>
  <si>
    <t xml:space="preserve">Vaccine and Infectious Disease Division Faculty Initiative; Evergreen Beyond Pilot Award; Fred Hutchinson Cancer Center; American Society for Transplantation and Cellular Therapy; National Marrow Donor Program; NIH(United States Department of Health &amp; Human ServicesNational Institutes of Health (NIH) - USA); Office of Biological and Environmental Research(UK Research &amp; Innovation (UKRI)Biotechnology and Biological Sciences Research Council (BBSRC)); IgM Biosciences; ;</t>
  </si>
  <si>
    <t xml:space="preserve">We thank Julie McElrath for PBMCs from the Seattle Area Control cohort; Leo Stamatatos for the use of laboratory space and equipment; Andrew McGuire for providing CD40L/IL2/IL21-expressing 3T3 cells; Ramasamy Bakthavatsalam and LifeCenter Northwest for providing de-identified spleen remnants; Ursula Buchholz, Shirin Munir, and Peter Collins for providing the GFP-expressing RSV, HMPV, HPIV3, and HPIV1; Peter Kwong, Guillaume Stewart-Jones, and Aliaksandr Druz for expression of HPIV3 preF; Barney Graham for expression of RSV preF; Theodore Jardetzky and Xiaolin Wen for expression of HMPV preF; Steve Voght for proof-reading the manuscript; Paula Culver, Francesca Urselli, and Laura Yates for administrative support; the Fred Hutchinson Flow Cytometry Shared Resources for assistance with instruments; the Fred Hutchinson Comparative Medicine Shared Resources for assistance with housing hamsters; and the members of the Taylor Lab and Boonyaratanakornkit Lab for helpful discussions. Experimental schematics were created with BioRender.com. This study was supported by the Vaccine and Infectious Disease Division Faculty Initiative (J.B. and J.J.T.) and Evergreen Beyond Pilot Award (J.B. and J.J.T.) from the Fred Hutchinson Cancer Center, a sponsored research agreement with IgM Biosciences (J.B. and J.J.T.), a New Investigator Award from the American Society for Transplantation and Cellular Therapy (J.B.), and the Amy Strelzer Manasevit Award from the National Marrow Donor Program (J.B.). A portion of this research was supported by U24 GM129547 from the NIH and performed at the PNCC at OHSU and accessed through EMSL (grid.436923.9), a DOE Office of Science User Facility sponsored by the Office of Biological and Environmental Research. Further electron microscopy data was generated using the Fred Hutchinson Cancer Center Electron Microscopy Shared Resource, which is supported in part by P30 CA015704. The content is solely the responsibility of the authors and does not necessarily represent the official views of the National Institutes of Health.</t>
  </si>
  <si>
    <t xml:space="preserve">10.1038/s41467-023-36459-3</t>
  </si>
  <si>
    <t xml:space="preserve">J5EQ0</t>
  </si>
  <si>
    <t xml:space="preserve">WOS:001009851700024</t>
  </si>
  <si>
    <t xml:space="preserve">Rohde, G; Borg, I; Arinir, U; Kronsbein, J; Rausse, R; Bauer, TT; Bufe, A; Schultze-Werninghaus, G</t>
  </si>
  <si>
    <t xml:space="preserve">Relevance of human metapneumovirus in exacerbations of COPD</t>
  </si>
  <si>
    <t xml:space="preserve">COPD; Human metapneumovirus; Medicine; Sputum; Bronchiolitis</t>
  </si>
  <si>
    <t xml:space="preserve">OBSTRUCTIVE PULMONARY-DISEASE; RESPIRATORY SYNCYTIAL VIRUS; TRACT DISEASE; CHILDREN; INFECTION; MANIFESTATIONS; PNEUMONIA; SYMPTOMS; ILLNESS; ADULTS</t>
  </si>
  <si>
    <t xml:space="preserve">Background and methods: Human metapneumovirus (hMPV) is a recently discovered respiratory virus associated with bronchiolitis, pneumonia, croup and exacerbations of asthma. Since respiratory viruses are frequently detected in patients with acute exacerbations of COPD (AE-COPD) it was our aim to investigate the frequency of hMPV detection in a prospective cohort of hospitalized patients with AE-COPD compared to patients with stable COPD and to smokers without by means of quantitative real-time RT-PCR. Results: We analysed nasal lavage and induced sputum of 130 patients with AE-COPD, 65 patients with stable COPD and 34 smokers without COPD. HMPV was detected in 3/130 (2.3%) AE-COPD patients with a mean of 6.5 x 10(5) viral copies/ml in nasal lavage and 1.88 x 10(5) viral copies/ml in induced sputum. It was not found in patients with stable COPD or smokers without COPD. Conclusion: HMPV is only found in a very small number of patients with AE-COPD. However it should be considered as a further possible viral trigger of AE-COPD because asymptomatic carriage is unlikely.</t>
  </si>
  <si>
    <t xml:space="preserve">Univ Hosp Bergmannsheil, Clin Res Grp Significance Viral Infect Chron Resp, Dept Internal Med 3, D-44789 Bochum, Germany; Ruhr Univ Bochum, Dept Expt Pneumol, Clin Res Grp Significance Viral Infect Chron Resp, D-4630 Bochum, Germany</t>
  </si>
  <si>
    <t xml:space="preserve">Ruhr University Bochum; Ruhr University Bochum</t>
  </si>
  <si>
    <t xml:space="preserve">Rohde, G (corresponding author), Univ Hosp Bergmannsheil, Clin Res Grp Significance Viral Infect Chron Resp, Dept Internal Med 3, D-44789 Bochum, Germany.</t>
  </si>
  <si>
    <t xml:space="preserve">gernot.rohde@rub.de; irmgard.borg@rub.de; umut.arinir@rub.de; juliane.kronsbein@rub.de; ricarda.rausse@rub.de; torsten.t.bauer@rub.de; albrecht.bufe@rub.de; gerhard.schultze-werninghaus@rub.de</t>
  </si>
  <si>
    <t xml:space="preserve">Bauer, Torsten/JDC-6727-2023; Rohde, Gernot/F-3060-2013</t>
  </si>
  <si>
    <t xml:space="preserve">Rohde, Gernot/0000-0002-5193-7755; Bufe, Albrecht/0000-0001-7335-9362</t>
  </si>
  <si>
    <t xml:space="preserve">10.1186/1465-9921-6-150</t>
  </si>
  <si>
    <t xml:space="preserve">006IR</t>
  </si>
  <si>
    <t xml:space="preserve">WOS:000234891700001</t>
  </si>
  <si>
    <t xml:space="preserve">Bastien, N; Liu, L; Ward, D; Taylor, T; Li, Y</t>
  </si>
  <si>
    <t xml:space="preserve">Genetic variability of the G glycoprotein gene of human metapneumovirus</t>
  </si>
  <si>
    <t xml:space="preserve">Human metapneumovirus; Biology; Genetics; Virology; Metapneumovirus; Gene; Nucleic acid sequence</t>
  </si>
  <si>
    <t xml:space="preserve">RESPIRATORY SYNCYTIAL VIRUS; ATTACHMENT G PROTEIN; NEUTRALIZATION; COMMUNITY; DIVERSITY; RESISTANT; STRAINS; CODONS</t>
  </si>
  <si>
    <t xml:space="preserve">Human metapneumovirus (hMPV) has been associated with respiratory illnesses like those caused by human respiratory syncytial virus (HRSV) infection. Similar to other pneumoviruses, genetic diversity has been reported for hMPV. Little information is currently available on the genetic variability of the G glycoprotein (G), which is the most variable gene in RSV and avian pneumovirus. The complete nucleotide sequences of the G open reading frame (ORF) of 24 Canadian hMPV isolates were determined. Phylogenetic analysis showed the existence of two major groups or clusters (I and 2). All but one of the hMPV isolates that we examined belonged to cluster 1. Additional genetic variability was observed in cluster 1, which separated into two genetic subclusters. Within cluster I the nucleotide sequence identity for the G ORF was 74.2 to 100%, and the identity for the predicted amino acid sequence was 61.4 to 100%. The G genes of cluster I isolates were more divergent from the cluster 2 isolates, with 45.6 to 50.5% and 34.2 to 37.2% identity levels for the nucleotide and amino acid sequences, respectively. Sequence analysis also revealed changes in stop codon usage, resulting in G proteins of different lengths (217, 219, 228, and 236 residues). Western blot analysis with the use of hMPV-specific polyclonal antisera to each hMPV cluster showed significant antigenic divergence between the G proteins of clusters 1 and 2. These results suggest that the G protein of hMPV is continuously evolving and that the genetic diversity observed for the hMPV genes is reflected in the antigenic variability, similar to HRSV.</t>
  </si>
  <si>
    <t xml:space="preserve">Canadian Ctr Human &amp; Anim Hlth, Natl Microbiol Lab, Winnipeg, MB R3E 3R2, Canada</t>
  </si>
  <si>
    <t xml:space="preserve">Canadian Science Centre for Human &amp; Animal Health</t>
  </si>
  <si>
    <t xml:space="preserve">Canadian Ctr Human &amp; Anim Hlth, Natl Microbiol Lab, 1015 Arlington St, Winnipeg, MB R3E 3R2, Canada.</t>
  </si>
  <si>
    <t xml:space="preserve">yan_li@hc-sc.gc.ca</t>
  </si>
  <si>
    <t xml:space="preserve">10.1128/JCM.42.8.3532-3537.2004</t>
  </si>
  <si>
    <t xml:space="preserve">WOS:000223286500023</t>
  </si>
  <si>
    <t xml:space="preserve">Dunn, SR; Ryder, AB; Tollefson, SJ; Xu, M; Saville, BR; Williams, JV</t>
  </si>
  <si>
    <t xml:space="preserve">Dunn, Sarah R.; Ryder, Alex B.; Tollefson, Sharon J.; Xu, Meng; Saville, Benjamin R.; Williams, John V.</t>
  </si>
  <si>
    <t xml:space="preserve">Seroepidemiologies of Human Metapneumovirus and Respiratory Syncytial Virus in Young Children, Determined with a New Recombinant Fusion Protein Enzyme-Linked Immunosorbent Assay</t>
  </si>
  <si>
    <t xml:space="preserve">Human metapneumovirus; Metapneumovirus; Seroconversion; Virology; Antibody; Pneumovirinae; Virus; Respiratory system</t>
  </si>
  <si>
    <t xml:space="preserve">OBSTRUCTIVE PULMONARY-DISEASE; TRANSPLANT RECIPIENTS; HOSPITALIZED CHILDREN; HIGH SEROPREVALENCE; TRACT INFECTIONS; ADULTS; EXACERBATIONS; EXPERIENCE; OUTBREAK; INFANTS</t>
  </si>
  <si>
    <t xml:space="preserve">We compared antibodies against human metapneumovirus (HMPV) and respiratory syncytial virus (RSV) in children. The antibody nadirs for both viruses were at 3 to 5 months, and the majority of children were seropositive for both by 2 years. There was no significant difference in the kinetics of maternal antibody decline or seroconversion relative to the two viruses.</t>
  </si>
  <si>
    <t xml:space="preserve">[Dunn, Sarah R.; Ryder, Alex B.; Tollefson, Sharon J.; Williams, John V.] Vanderbilt Univ, Med Ctr, Sch Med, Dept Pediat, Nashville, TN 37232 USA; [Williams, John V.] Vanderbilt Univ, Med Ctr, Sch Med, Dept Pathol Microbiol &amp; Immunol, Nashville, TN 37232 USA; [Xu, Meng; Saville, Benjamin R.] Vanderbilt Univ, Med Ctr, Sch Med, Dept Biostat, Nashville, TN 37232 USA</t>
  </si>
  <si>
    <t xml:space="preserve">Williams, JV (corresponding author), Vanderbilt Univ, Med Ctr, Sch Med, Dept Pediat, Nashville, TN 37232 USA.</t>
  </si>
  <si>
    <t xml:space="preserve">Williams, John/ABE-3227-2020; Xu, Meng/HJY-7139-2023; Williams, John/F-6962-2010</t>
  </si>
  <si>
    <t xml:space="preserve">Infectious Diseases Society of America; NIH [AI085062]; National Center for Advancing Translational Sciences [UL1 TR000445]</t>
  </si>
  <si>
    <t xml:space="preserve">Infectious Diseases Society of America; NIH(United States Department of Health &amp; Human ServicesNational Institutes of Health (NIH) - USA); National Center for Advancing Translational Sciences(United States Department of Health &amp; Human ServicesNational Institutes of Health (NIH) - USANIH National Center for Advancing Translational Sciences (NCATS))</t>
  </si>
  <si>
    <t xml:space="preserve">This study was supported by an Infectious Diseases Society of America Summer Scholarship for Medical Students Award (for A.B.R. and S.R.D.). J.V.W. was supported by NIH grant AI085062. The work was supported in part by CTSA award no. UL1 TR000445 from the National Center for Advancing Translational Sciences.</t>
  </si>
  <si>
    <t xml:space="preserve">10.1128/CVI.00750-12</t>
  </si>
  <si>
    <t xml:space="preserve">224TG</t>
  </si>
  <si>
    <t xml:space="preserve">WOS:000324911700022</t>
  </si>
  <si>
    <t xml:space="preserve">García-García, ML; Calvo, C; Martín, F; Pérez-Breña, P; Acosta, B; Casas, I</t>
  </si>
  <si>
    <t xml:space="preserve">Human metapneumovirus infections in hospitalised infants in Spain</t>
  </si>
  <si>
    <t xml:space="preserve">ARCHIVES OF DISEASE IN CHILDHOOD</t>
  </si>
  <si>
    <t xml:space="preserve">Human metapneumovirus; Medicine; Bronchiolitis; Respiratory tract infections; Lower respiratory tract infection; Respiratory system</t>
  </si>
  <si>
    <t xml:space="preserve">RESPIRATORY-SYNCYTIAL-VIRUS; TRACT INFECTIONS; YOUNG-CHILDREN; BRONCHIOLITIS; DISEASE; ILLNESS; PREVALENCE; FEATURES; ASSAYS; AGE</t>
  </si>
  <si>
    <t xml:space="preserve">Background: Human metapneumovirus (hMPV) causes lower respiratory tract infections, particularly in young children and the elderly. Methods: A prospective study was conducted on the clinical characteristics of infants, 2 years of age admitted to hospital for respiratory infection and the characteristics of hMPV infections were compared with those of infections caused by respiratory syncytial virus (RSV). Influenza A, B and C viruses, RSV, parainfluenza viruses, and adenoviruses were simultaneously detected in clinical samples by multiple reverse transcription nested-PCR assay. The presence of hMPV was tested in all samples using two separate RT-PCR tests. Results: A respiratory virus was detected in 65.9% of the 749 children included in the study. hMPV, found in 69 of the positive nasopharyngeal aspirates (14%), was the most common virus after RSV. Peak incidence was in March and over 80% of children were,12 months of age. The most common diagnoses were recurrent wheezing (49.3%) and bronchiolitis (46.4%). Oxygen therapy was required by 58% of patients, and assisted ventilation by one. Clinical characteristics in the 18 co-infections were indistinguishable from those of single infections. Fifty one hMPV single infections were compared with 88 hRSV single infections. Recurrent wheezing was diagnosed more frequently in hMPV patients. All other variables tested were similar in both groups. Conclusions: hMPV was the second most frequent virus after RSV in infants,2 years of age hospitalised for respiratory infection and was associated with lower respiratory tract infections. hMPV occurred predominantly in springtime. Co-infections were frequent and clinically similar to single infections and RSV infections.</t>
  </si>
  <si>
    <t xml:space="preserve">Hosp Severo Ochoa, Serv Pediat, Dept Pediat, Madrid 28911, Spain; Ctr Nacl Microbiol Virol &amp; Inmunol Sanitarias Maja, ISCIII, Virol Serv, Influenza &amp; Resp Viruses Lab, Madrid, Spain</t>
  </si>
  <si>
    <t xml:space="preserve">Hosp Severo Ochoa, Serv Pediat, Dept Pediat, Ave Orellana S-N Leganes, Madrid 28911, Spain.</t>
  </si>
  <si>
    <t xml:space="preserve">Casas, Inmaculada/0000-0003-1840-1198; Calvo, Cristina/0000-0002-6503-3423; GARCIA-GARCIA, MARIA LUZ/0000-0003-4906-4227</t>
  </si>
  <si>
    <t xml:space="preserve">0003-9888</t>
  </si>
  <si>
    <t xml:space="preserve">1468-2044</t>
  </si>
  <si>
    <t xml:space="preserve">ARCH DIS CHILD</t>
  </si>
  <si>
    <t xml:space="preserve">Arch. Dis. Child.</t>
  </si>
  <si>
    <t xml:space="preserve">10.1136/adc.2005.082388</t>
  </si>
  <si>
    <t xml:space="preserve">023UO</t>
  </si>
  <si>
    <t xml:space="preserve">WOS:000236151900003</t>
  </si>
  <si>
    <t xml:space="preserve">Deffrasnes, C; Hamelin, ME; Prince, GA; Boivin, G</t>
  </si>
  <si>
    <t xml:space="preserve">Deffrasnes, Celine; Hamelin, Marie-Eve; Prince, Gregory A.; Boivin, Guy</t>
  </si>
  <si>
    <t xml:space="preserve">Identification and evaluation of a highly effective fusion inhibitor for human metapneumovirus</t>
  </si>
  <si>
    <t xml:space="preserve">Human metapneumovirus; Proinflammatory cytokine; Metapneumovirus; Human Parainfluenza Virus; Virology; Biology</t>
  </si>
  <si>
    <t xml:space="preserve">RESPIRATORY SYNCYTIAL VIRUS; PARAMYXOVIRUS FUSION; POTENT INHIBITORS; BALB/C MICE; PEPTIDE INHIBITOR; GENETIC LINEAGES; MEMBRANE-FUSION; TRACT DISEASE; VIRAL FUSION; COTTON RATS</t>
  </si>
  <si>
    <t xml:space="preserve">Human metapneumovirus (hMPV) can cause acute upper and lower respiratory tract infections that are particularly severe in young children, elderly subjects, and immunocompromised patients. To date, no treatments or vaccines are available for hMPV infections. Our objective was to assess the inhibitory potential of several peptides derived from the heptad repeat A and B (HRA and HRB) domains of the hMPV fusion protein. Nine candidate peptides were expressed in Escherichia coli or obtained synthetically and tested in vitro and in an animal model. Excellent in vitro inhibition of an hMPV strain of the A1 subgroup was obtained with five peptides, with 50% inhibitory concentrations ranging from 1.4 nM to 3.3 mu M. One peptide, HRA2, displayed very potent activity against all four hMPV subgroups. It was also moderately active against human respiratory syncytial virus (strain A2) but displayed no activity against human parainfluenza virus type 3. BALB/c mice that received the HRA2 peptide and a lethal hMPV intranasal challenge simultaneously were completely protected from clinical symptoms and mortality. On day 5 postinfection, HRA2-treated mice had undetectable lung viral loads which were significantly less than those of untreated mice (3 x 10(4) 50% tissue culture infective doses/lung). Pulmonary inflammation, levels of proinflammatory cytokines/chemokines (RANTES, gamma interferon, and monocyte chemoattractant protein 1) and airway obstruction were also significantly decreased in HRA2-treated mice. The results of this study demonstrate that potent antivirals can be derived from the hMPV fusion protein HR domains. Moreover, hMPV, compared to other paramyxoviruses and to the human immunodeficiency virus, seems to be more susceptible to HRA- than HRB-derived peptides.</t>
  </si>
  <si>
    <t xml:space="preserve">[Deffrasnes, Celine; Hamelin, Marie-Eve; Boivin, Guy] CHU Quebec, Res Ctr Inf Dis, Quebec City, PQ, Canada; [Prince, Gregory A.] Vir Syst Inc, Rockville, MD USA</t>
  </si>
  <si>
    <t xml:space="preserve">Laval University</t>
  </si>
  <si>
    <t xml:space="preserve">Boivin, G (corresponding author), CHUQ CHUL, Room RC-709,2705 Blvd Laurier, Quebec City, PQ G1V 4G2, Canada.</t>
  </si>
  <si>
    <t xml:space="preserve">10.1128/AAC.00793-07</t>
  </si>
  <si>
    <t xml:space="preserve">248ED</t>
  </si>
  <si>
    <t xml:space="preserve">WOS:000252133700031</t>
  </si>
  <si>
    <t xml:space="preserve">Mackay, IM; Jacob, KC; Woolhouse, D; Waller, K; Syrmis, MW; Whiley, DM; Siebert, DJ; Nissen, M; Sloots, TP</t>
  </si>
  <si>
    <t xml:space="preserve">Molecular assays for detection of human metapneumovirus</t>
  </si>
  <si>
    <t xml:space="preserve">Human metapneumovirus; Metapneumovirus; TaqMan; Virology; Biology; Molecular diagnostics; Respiratory tract</t>
  </si>
  <si>
    <t xml:space="preserve">PCR; RNA</t>
  </si>
  <si>
    <t xml:space="preserve">The recent description of the respiratory pathogen human metapneumovirus (hMPV) has highlighted a deficiency in current diagnostic techniques for viral agents associated with acute lower respiratory tract infections. We describe two novel approaches to the detection of viral RNA by use of reverse transcriptase PCR (RT-PCR). The PCR products were identified after capture onto a solid-phase medium by hybridization with a sequence-specific, biotinylated oligonucleotide probe. The assay was applied to the screening of 329 nasopharyngeal aspirates sampled from patients suffering from respiratory tract disease. These samples were negative for other common microbial causes of respiratory tract disease. We were able to detect hMPV sequences in 32 (9.7%) samples collected from Australian patients during 2001. To further reduce result turnaround times we designed a fluorogenic TaqMan oligoprobe and combined it with the existing primers for use on the LightCycler platform. The real-time RT-PCR proved to be highly reproducible and detected hMPV in an additional 6 out of 62 samples (9.6%) tested during the comparison of the two diagnostic approaches. We found the real-time RT-PCR to be the test of choice for future investigation of samples for hMPV due to its speed, reproducibility, specificity, and sensitivity.</t>
  </si>
  <si>
    <t xml:space="preserve">Royal Childrens Hosp, SASVRC, CVRU, Herston, Qld 4029, Australia; Queensland Hlth Pathol Serv, Div Microbiol, Brisbane, Qld, Australia; Univ Queensland, Clin Med Virol Ctr, St Lucia, Qld, Australia; Univ Queensland, Dept Paediat &amp; Child Hlth, St Lucia, Qld, Australia</t>
  </si>
  <si>
    <t xml:space="preserve">Royal Children's Hospital Brisbane; Queensland Health; University of Queensland; University of Queensland</t>
  </si>
  <si>
    <t xml:space="preserve">Sloots, TP (corresponding author), Royal Childrens Hosp, SASVRC, CVRU, Herston Rd, Herston, Qld 4029, Australia.</t>
  </si>
  <si>
    <t xml:space="preserve">Nissen, Michael/M-6823-2013; Sloots, Theo/E-6118-2011; Siebert, David/H-7930-2014; Mackay, Ian M./B-2537-2010; Whiley, David/E-8955-2011</t>
  </si>
  <si>
    <t xml:space="preserve">Mackay, Ian M./0000-0003-3598-2350; Whiley, David/0000-0001-5969-3161</t>
  </si>
  <si>
    <t xml:space="preserve">10.1128/JCM.41.1.100-105.2003</t>
  </si>
  <si>
    <t xml:space="preserve">635NY</t>
  </si>
  <si>
    <t xml:space="preserve">WOS:000180406700016</t>
  </si>
  <si>
    <t xml:space="preserve">Bakkers, MJG; Ritschel, T; Tiemessen, M; Dijkman, J; Zuffianò, AA; Yu, XD; van Overveld, D; Le, L; Voorzaat, R; van Haaren, MM; de Man, M; Tamara, S; van der Fits, L; Zahn, R; Juraszek, J; Langedijk, JPM</t>
  </si>
  <si>
    <t xml:space="preserve">Bakkers, Mark J. G.; Ritschel, Tina; Tiemessen, Machteld; Dijkman, Jacobus; Zuffiano, Angelo A.; Yu, Xiaodi; van Overveld, Daan; Le, Lam; Voorzaat, Richard; van Haaren, Marlies M.; de Man, Martijn; Tamara, Sem; van der Fits, Leslie; Zahn, Roland; Juraszek, Jarek; Langedijk, Johannes P. M.</t>
  </si>
  <si>
    <t xml:space="preserve">Efficacious human metapneumovirus vaccine based on AI-guided engineering of a closed prefusion trimer</t>
  </si>
  <si>
    <t xml:space="preserve">Human metapneumovirus; Immunogen; Trimer; Ectodomain</t>
  </si>
  <si>
    <t xml:space="preserve">FUSION GLYCOPROTEIN; STRUCTURAL BASIS; CRYO-EM; RSV F; PROTEIN; INFECTION; BURDEN; YOUNG; VALIDATION; CHILDREN</t>
  </si>
  <si>
    <t xml:space="preserve">The prefusion conformation of human metapneumovirus fusion protein (hMPV Pre-F) is critical for eliciting the most potent neutralizing antibodies and is the preferred immunogen for an efficacious vaccine against hMPV respiratory infections. Here we show that an additional cleavage event in the F protein allows closure and correct folding of the trimer. We therefore engineered the F protein to undergo double cleavage, which enabled screening for Pre-F stabilizing substitutions at the natively folded protomer interfaces. To identify these substitutions, we developed an AI convolutional classifier that successfully predicts complex polar interactions often overlooked by physics-based methods and visual inspection. The combination of additional processing, stabilization of interface regions and stabilization of the membrane-proximal stem, resulted in a Pre-F protein vaccine candidate without the need for a heterologous trimerization domain that exhibited high expression yields and thermostability. Cryo-EM analysis shows the complete ectodomain structure, including the stem, and a specific interaction of the newly identified cleaved C-terminus with the adjacent protomer. Importantly, the protein induces high and cross-neutralizing antibody responses resulting in near complete protection against hMPV challenge in cotton rats, making the highly stable, double-cleaved hMPV Pre-F trimer an attractive vaccine candidate. The authors report an efficacious vaccine for human metapneumovirus based on a prefusion-stabilized fusion protein trimer that does not require a trimerization domain, designed using an AI convolutional classifier trained to predict optimized complex polar interactions.</t>
  </si>
  <si>
    <t xml:space="preserve">[Bakkers, Mark J. G.; Ritschel, Tina; Tiemessen, Machteld; Dijkman, Jacobus; Zuffiano, Angelo A.; van Overveld, Daan; Le, Lam; Voorzaat, Richard; van Haaren, Marlies M.; de Man, Martijn; Tamara, Sem; van der Fits, Leslie; Zahn, Roland; Juraszek, Jarek; Langedijk, Johannes P. M.] Janssen Vaccines &amp; Prevent BV, Leiden, Netherlands; [Yu, Xiaodi] Janssen Res &amp; Dev, Struct &amp; Prot Sci, Spring House, PA 19044 USA; [Bakkers, Mark J. G.; Langedijk, Johannes P. M.] ForgeBio BV, Amsterdam, Netherlands; [Ritschel, Tina] J&amp;J Innovat Med Technol, R&amp;D, New Brunswick, NJ USA; [Dijkman, Jacobus] Univ Amsterdam, Van t Hoff Inst Mol Sci, Amsterdam, Netherlands; [Dijkman, Jacobus] Univ Amsterdam, Informat Inst, Amsterdam Machine Learning Lab, Amsterdam, Netherlands; [Zuffiano, Angelo A.] Promaton BV, Amsterdam, Netherlands</t>
  </si>
  <si>
    <t xml:space="preserve">Johnson &amp; Johnson; Janssen Pharmaceuticals; University of Amsterdam; University of Amsterdam</t>
  </si>
  <si>
    <t xml:space="preserve">Langedijk, JPM (corresponding author), Janssen Vaccines &amp; Prevent BV, Leiden, Netherlands.;Langedijk, JPM (corresponding author), ForgeBio BV, Amsterdam, Netherlands.</t>
  </si>
  <si>
    <t xml:space="preserve">hlangedijk@forge-bio.com</t>
  </si>
  <si>
    <t xml:space="preserve">langedijk, johannes/IWE-1403-2023; Juraszek, Jarek/D-3888-2011</t>
  </si>
  <si>
    <t xml:space="preserve">Bakkers, Mark/0000-0001-8957-1392; Dijkman, Jacobus/0009-0006-9048-4134; Voorzaat, Richard/0000-0002-1935-9377; van Overveld, Daan/0009-0007-2161-0835; Juraszek, Jarek/0000-0001-7430-2771</t>
  </si>
  <si>
    <t xml:space="preserve">10.1038/s41467-024-50659-5</t>
  </si>
  <si>
    <t xml:space="preserve">ZV2N1</t>
  </si>
  <si>
    <t xml:space="preserve">WOS:001277997800009</t>
  </si>
  <si>
    <t xml:space="preserve">Xie, ZB; Zhu, Z; Xu, J; Mao, NY; Cui, AL; Wang, WH; Wang, YG; Zhang, ZB; Xia, BC; Wang, HR; Sun, Z; Zhang, Y</t>
  </si>
  <si>
    <t xml:space="preserve">Xie, Zhibo; Zhu, Zhen; Xu, Jin; Mao, Naiying; Cui, Aili; Wang, Wenhui; Wang, Yage; Zhang, Zhibo; Xia, Baicheng; Wang, Haoran; Sun, Zhen; Zhang, Yan</t>
  </si>
  <si>
    <t xml:space="preserve">Seasonal and Genetic Characteristics of Human Metapneumovirus Circulating - Henan Province, China, 2017-2023</t>
  </si>
  <si>
    <t xml:space="preserve">CHINA CDC WEEKLY</t>
  </si>
  <si>
    <t xml:space="preserve">Human metapneumovirus; China; Metapneumovirus</t>
  </si>
  <si>
    <t xml:space="preserve">RESPIRATORY-INFECTION; CHILDREN; DUPLICATION; EPIDEMIOLOGY; INFLUENZA; VARIANTS; VIRUSES</t>
  </si>
  <si>
    <t xml:space="preserve">Introduction: This study examines the seasonal and genetic characteristics of human metapneumovirus (HMPV) in Henan from 2017 to 2023. Methods: Samples from patients with acute respiratory infection (ARI) testing positive for HMPV were subjected to real-time reverse transcription polymerase chain reaction The G gene was amplified and sequenced from these samples for epidemiological and phylogenetic analysis. Results: We enrolled 2,707 ARI patients from October 2017 to March 2023, finding an HMPV positivity rate of 6.17% (167/2,707). Children under five exhibited the highest infection rate at 7.78% (138/1,774). The 2018 and 2019 HMPV outbreaks predominantly occurred in spring (March to May), with peak positivity rates of 31.11% in May 2018 and 19.57% in May 2019. A notable increase occurred in November 2020, when positivity reached a historic high of 42.11%, continuing until January 2021. From February 2021 through March 2023, no significant seasonal peaks were observed, with rates ranging from 0% to 8.70%. Out of 81 G gene sequences analyzed, 46.91% (38/81) were identified as subtype A (A2c: 45.67%, 37/81; A2b: 1.23%, 1/81) and 53.09% (43/81) as subtype B (B1: 9.88%, 8/81; B2: 43.21%, 35/81). Notably, an AAABBA switch pattern was observed in HMPV subtypes. The dominant strains were A2c(111nt-dup) in subtype A and B2 in subtype B. Conclusions: Six years of surveillance in Henan Province has detailed the seasonal and genetic dynamics of HMPV, contributing valuable insights for the control and prevention of HMPV infections in China. These findings support the development of targeted HMPV vaccines and immunization strategies.</t>
  </si>
  <si>
    <t xml:space="preserve">[Xie, Zhibo; Zhu, Zhen; Xu, Jin; Mao, Naiying; Cui, Aili; Wang, Yage; Xia, Baicheng; Zhang, Yan] Chinese Ctr Dis Control &amp; Prevent, Natl Inst Viral Dis Control &amp; Prevent, Natl Key Lab Intelligent Tracking &amp; Forecasting In, NHC Key Lab Med Virol &amp; Viral Dis, Beijing, Peoples R China; [Wang, Wenhui] Henan Prov Ctr Dis Control &amp; Prevent, Luohe, Henan, Peoples R China; [Zhang, Zhibo] Luohe Ctr Dis Control &amp; Prevent, Luohe, Henan, Peoples R China; [Wang, Haoran; Sun, Zhen] Luohe Cent Hosp, Luohe, Henan, Peoples R China</t>
  </si>
  <si>
    <t xml:space="preserve">Zhang, Y (corresponding author), Chinese Ctr Dis Control &amp; Prevent, Natl Inst Viral Dis Control &amp; Prevent, Natl Key Lab Intelligent Tracking &amp; Forecasting In, NHC Key Lab Med Virol &amp; Viral Dis, Beijing, Peoples R China.</t>
  </si>
  <si>
    <t xml:space="preserve">zhangyan@ivdc.chinacdc.cn</t>
  </si>
  <si>
    <t xml:space="preserve">National Health Commission Major Public Health Project [ZDGWXFTF23-04]</t>
  </si>
  <si>
    <t xml:space="preserve">National Health Commission Major Public Health Project</t>
  </si>
  <si>
    <t xml:space="preserve">Funding: Supported by the National Health Commission Major Public Health Project (ZDGWXFTF23-04) .</t>
  </si>
  <si>
    <t xml:space="preserve">Chinese Center for Disease Control and Prevention</t>
  </si>
  <si>
    <t xml:space="preserve">Changping District</t>
  </si>
  <si>
    <t xml:space="preserve">No.155 Changbai Road, Changping District, Beijing, PEOPLES R CHINA</t>
  </si>
  <si>
    <t xml:space="preserve">2096-7071</t>
  </si>
  <si>
    <t xml:space="preserve">2097-3101</t>
  </si>
  <si>
    <t xml:space="preserve">China CDC Weekly</t>
  </si>
  <si>
    <t xml:space="preserve">10.46234/ccdcw2024.087</t>
  </si>
  <si>
    <t xml:space="preserve">G8G4E</t>
  </si>
  <si>
    <t xml:space="preserve">WOS:001318954600002</t>
  </si>
  <si>
    <t xml:space="preserve">Mitzel, DN; Jaramillo, RJ; Stout-Delgado, H; Senft, AP; Harrod, KS</t>
  </si>
  <si>
    <t xml:space="preserve">Mitzel, Dana N.; Jaramillo, Richard J.; Stout-Delgado, Heather; Senft, Albert P.; Harrod, Kevin S.</t>
  </si>
  <si>
    <t xml:space="preserve">Human metapneumovirus inhibits the IL-6-induced JAK/STAT3 signalling cascade in airway epithelium</t>
  </si>
  <si>
    <t xml:space="preserve">Human metapneumovirus; Metapneumovirus; Biology; Virology; Respiratory epithelium; STAT3</t>
  </si>
  <si>
    <t xml:space="preserve">RESPIRATORY SYNCYTIAL VIRUS; GENE-EXPRESSION; GROWTH-FACTOR; MOLECULAR-MECHANISMS; ENDOTHELIAL-CELLS; IMMUNE-RESPONSE; STAT ACTIVATION; YOUNG-CHILDREN; TRACT DISEASE; BALB/C MICE</t>
  </si>
  <si>
    <t xml:space="preserve">The host cytokine IL-6 plays an important role in host defence and prevention of lung injury from various pathogens, making IL-6 an important mediator in the host's susceptibility to respiratory infections. The cellular response to IL-6 is mediated through a Janus kinase/signal transducer and activator of transcription 3 (JAK/STAT3) signal transduction pathway. Human metapneumovirus (hMPV) is an important causative agent of viral respiratory infections known to inhibit the IFN-mediated activation of STAT1. However, little is known about the interactions between this virus and other STAT signalling cascades. Herein, we showed that hMPV can attenuate the IL-6-mediated JAK/STAT3 signalling cascade in lung epithelial cells. HMPV inhibited a key event in this pathway by impeding the phosphorylation and nuclear translocation of STAT3 in A549 cells and in primary normal human bronchial epithelial cells. Further studies established that hMPV interrupted the IL-6-induced JAK/STAT pathway early in the signal transduction pathway by blocking the phosphorylation of JAK2. By antagonizing the IL-6-mediated JAK/STAT3 pathway, hMPV perturbed the expression of IL-6-inducible genes important for apoptosis, cell differentiation and growth. Infection with hMPV also differentially regulated the effects of IL-6 on apoptosis. Thus, hMPV regulation of these genes could usurp the protective roles of IL-6, and these data provide insight into an important element of viral pathogenesis.</t>
  </si>
  <si>
    <t xml:space="preserve">[Mitzel, Dana N.; Jaramillo, Richard J.; Senft, Albert P.; Harrod, Kevin S.] Lovelace Resp Res Inst, Infect Dis Program, Albuquerque, NM 87108 USA; [Stout-Delgado, Heather] Lovelace Resp Res Inst, Pulm Fibrosis Program, Albuquerque, NM USA</t>
  </si>
  <si>
    <t xml:space="preserve">Lovelace Respiratory Research Institute; Lovelace Respiratory Research Institute</t>
  </si>
  <si>
    <t xml:space="preserve">Mitzel, DN (corresponding author), Lovelace Resp Res Inst, Infect Dis Program, Albuquerque, NM 87108 USA.</t>
  </si>
  <si>
    <t xml:space="preserve">dmitzel@Irri.org</t>
  </si>
  <si>
    <t xml:space="preserve">Stout-Delgado, Heather/ABB-5628-2020</t>
  </si>
  <si>
    <t xml:space="preserve">Harrod, Kevin/0000-0003-0780-9470; Stout-Delgado, Heather/0000-0002-2387-6924</t>
  </si>
  <si>
    <t xml:space="preserve">NIA NIH HHS [R21 AG044755, K01 AG034999] Funding Source: Medline</t>
  </si>
  <si>
    <t xml:space="preserve">NIA NIH HHS(United States Department of Health &amp; Human ServicesNational Institutes of Health (NIH) - USANIH National Institute on Aging (NIA))</t>
  </si>
  <si>
    <t xml:space="preserve">10.1099/vir.0.055632-0</t>
  </si>
  <si>
    <t xml:space="preserve">AK1LT</t>
  </si>
  <si>
    <t xml:space="preserve">WOS:000338177300003</t>
  </si>
  <si>
    <t xml:space="preserve">Le Nouën, C; Hillyer, P; Brock, LG; Winter, CC; Rabin, RL; Collins, PL; Buchholz, UJ</t>
  </si>
  <si>
    <t xml:space="preserve">Le Nouen, Cyril; Hillyer, Philippa; Brock, Linda G.; Winter, Christine C.; Rabin, Ronald L.; Collins, Peter L.; Buchholz, Ursula J.</t>
  </si>
  <si>
    <t xml:space="preserve">Human Metapneumovirus SH and G Glycoproteins Inhibit Macropinocytosis-Mediated Entry into Human Dendritic Cells and Reduce CD4+ T Cell Activation</t>
  </si>
  <si>
    <t xml:space="preserve">Human metapneumovirus; Biology; Pinocytosis; Virus</t>
  </si>
  <si>
    <t xml:space="preserve">IMMUNOSUPPRESSION IN-VITRO; RESPIRATORY-TRACT DISEASE; VIRAL GLYCOPROTEINS; FLOW-CYTOMETRY; VIRUS ENTRY; ADULTS; INFECTION; CHILDREN; SURFACE; MEMORY</t>
  </si>
  <si>
    <t xml:space="preserve">Human metapneumovirus (HMPV) is a major etiologic agent of respiratory disease worldwide. HMPV reinfections are common in healthy adults and children, suggesting that the protective immune response to HMPV is incomplete and short-lived. We used gene-deletion viruses to evaluate the role of the attachment G and small hydrophobic SH glycoproteins on virus uptake by primary human monocyte-derived dendritic cells (MDDC) in vitro and on subsequent MDDC maturation and activation of autologous T cells. HMPV with deletion of G and SH (Delta SHG) exhibited increased infectivity but had little effect on MDDC maturation. However, MDDC stimulated with Delta SHG induced increased proliferation of autologous Th1-polarized CD4(+) T cells. This effect was independent of virus replication. Increased T cell proliferation was strictly dependent on contact between virus-stimulated MDDC and CD4(+) T cells. Confocal microscopy revealed that deletion of SH and G was associated with an increased number of immunological synapses between memory CD4(+) T cells and virus-stimulated MDDC. Uptake of HMPV by MDDC was found to be primarily by macropinocytosis. Uptake of wild-type (WT) virus was reduced compared to that of Delta SHG, indicative of inhibition by the SH and G glycoproteins. In addition, DC-SIGN-mediated endocytosis provided a minor alternative pathway that depended on SH and/or G and thus operated only for WT. Altogether, our results show that SH and G glycoproteins reduce the ability of HMPV to be internalized by MDDC, resulting in a reduced ability of the HMPV-stimulated MDDC to activate CD4(+) T cells. This study describes a previously unknown mechanism of virus immune evasion.</t>
  </si>
  <si>
    <t xml:space="preserve">[Le Nouen, Cyril; Brock, Linda G.; Winter, Christine C.; Collins, Peter L.; Buchholz, Ursula J.] NIAID, RNA Viruses Sect, Infect Dis Lab, NIH, Bethesda, MD 20892 USA; [Hillyer, Philippa; Rabin, Ronald L.] US FDA, Ctr Biol Evaluat &amp; Res, Bethesda, MD USA</t>
  </si>
  <si>
    <t xml:space="preserve">National Institutes of Health (NIH) - USA; NIH National Institute of Allergy &amp; Infectious Diseases (NIAID); US Food &amp; Drug Administration (FDA)</t>
  </si>
  <si>
    <t xml:space="preserve">Le Nouën, C (corresponding author), NIAID, RNA Viruses Sect, Infect Dis Lab, NIH, 9000 Rockville Pike, Bethesda, MD 20892 USA.</t>
  </si>
  <si>
    <t xml:space="preserve">Intramural Research Program of the NIAID, NIH</t>
  </si>
  <si>
    <t xml:space="preserve">Intramural Research Program of the NIAID, NIH(United States Department of Health &amp; Human ServicesNational Institutes of Health (NIH) - USANIH National Institute of Allergy &amp; Infectious Diseases (NIAID))</t>
  </si>
  <si>
    <t xml:space="preserve">This research was supported by the Intramural Research Program of the NIAID, NIH. The funders had no role in study design, data collection and analysis, decision to publish, or preparation of the manuscript.</t>
  </si>
  <si>
    <t xml:space="preserve">10.1128/JVI.03261-13</t>
  </si>
  <si>
    <t xml:space="preserve">WOS:000335970300050</t>
  </si>
  <si>
    <t xml:space="preserve">Aerts, L; Rhéaume, C; Carbonneau, J; Lavigne, S; Couture, C; Hamelin, ME; Boivin, G</t>
  </si>
  <si>
    <t xml:space="preserve">Aerts, Laetitia; Rheaume, Chantal; Carbonneau, Julie; Lavigne, Sophie; Couture, Christian; Hamelin, Marie-Eve; Boivin, Guy</t>
  </si>
  <si>
    <t xml:space="preserve">Adjuvant effect of the human metapneumovirus (HMPV) matrix protein in HMPV subunit vaccines</t>
  </si>
  <si>
    <t xml:space="preserve">Human metapneumovirus; Adjuvant; Virology; Biology; Protein subunit; Immune system; Antibody</t>
  </si>
  <si>
    <t xml:space="preserve">COTTON RATS; INACTIVATED VIRUS; INFECTION; MICE; SH; GLYCOPROTEINS; IMMUNIZATION; ANTIBODIES; RESPONSES; DISEASE</t>
  </si>
  <si>
    <t xml:space="preserve">The human metapneumovirus (HMPV) fusion (F) protein is the most immunodominant protein, yet subunit vaccines containing only this protein do not confer complete protection. The HMPV matrix (M) protein induces the maturation of antigen-presenting cells in vitro. The inclusion of the M protein into an F protein subunit vaccine might therefore provide an adjuvant effect. We administered the F protein twice intramuscularly, adjuvanted with alum, the M protein or both, to BALB/c mice at 3 week intervals. Three weeks after the boost, mice were infected with HMPV and monitored for 14 days. At day 5 post-challenge, pulmonary viral titres, histopathology and cytokine levels were analysed. Mice immunized with F+alum and F+M+alum generated significantly more neutralizing antibodies than mice immunized with F only [titres of 47 +/- 7 (P&lt;0.01) and 147 +/- 13 (P&lt;0.001) versus 17 +/- 2]. Unlike F only [1.6 +/- 0.5x10(3) TCID50 (g lung)(-1)], pulmonary viral titres in mice immunized with F+M and F+M +alum were undetectable. Mice immunized with F+M presented the most important reduction in pulmonary inflammation and the lowest T-helper T(h)2/T(h)1 cytokine ratio. In conclusion, addition of the HMPV-M protein to an F protein-based vaccine modulated both humoral and cellular immune responses to subsequent infection, thereby increasing the protection conferred by the vaccine.</t>
  </si>
  <si>
    <t xml:space="preserve">[Aerts, Laetitia; Rheaume, Chantal; Carbonneau, Julie; Hamelin, Marie-Eve; Boivin, Guy] Ctr Hosp Univ Quebec, Ctr Rech Infect, Quebec City, PQ G1V 4G2, Canada; [Aerts, Laetitia; Rheaume, Chantal; Carbonneau, Julie; Hamelin, Marie-Eve; Boivin, Guy] Univ Laval, Quebec City, PQ G1V 4G2, Canada; [Lavigne, Sophie; Couture, Christian] Univ Laval, Dept Anatomopathol, Inst Univ Cardiol &amp; Pneumol Quebec, Quebec City, PQ G1V 4G5, Canada</t>
  </si>
  <si>
    <t xml:space="preserve">Boivin, G (corresponding author), Ctr Hosp Univ Quebec, Ctr Rech Infect, Quebec City, PQ G1V 4G2, Canada.</t>
  </si>
  <si>
    <t xml:space="preserve">Guy.Boivin@crchl.ulaval.ca</t>
  </si>
  <si>
    <t xml:space="preserve">Hamelin, Marie-Eve/0000-0002-7568-5097; Boivin, Guy/0000-0003-3027-4662</t>
  </si>
  <si>
    <t xml:space="preserve">10.1099/vir.0.000031</t>
  </si>
  <si>
    <t xml:space="preserve">CG9CE</t>
  </si>
  <si>
    <t xml:space="preserve">WOS:000353611200005</t>
  </si>
  <si>
    <t xml:space="preserve">Zhang, L; Liu, WK; Liu, DL; Chen, DH; Tan, WP; Qiu, SY; Xu, D; Li, X; Liu, TT; Zhou, R</t>
  </si>
  <si>
    <t xml:space="preserve">Zhang, Ling; Liu, Wenkuan; Liu, Donglan; Chen, Dehui; Tan, Weiping; Qiu, Shuyan; Xu, Duo; Li, Xiao; Liu, Tiantian; Zhou, Rong</t>
  </si>
  <si>
    <t xml:space="preserve">Epidemiological and clinical features of human metapneumovirus in hospitalised paediatric patients with acute respiratory illness: a cross-sectional study in Southern China, from 2013 to 2016</t>
  </si>
  <si>
    <t xml:space="preserve">BMJ OPEN</t>
  </si>
  <si>
    <t xml:space="preserve">Medicine; Epidemiology; Cross-sectional study; Human metapneumovirus</t>
  </si>
  <si>
    <t xml:space="preserve">SYNCYTIAL VIRUS; YOUNG-CHILDREN; TRACT INFECTIONS; GENETIC-VARIABILITY; DISEASE; INFANTS; INFLUENZA; SYMPTOMS; JAPAN; SEROPREVALENCE</t>
  </si>
  <si>
    <t xml:space="preserve">Objectives Human metapneumovirus (HMPV) is one of the most important respiratory viral pathogens affecting infants and children worldwide. Our study describes the epidemiological and clinical characteristics of HMPV present in patients hospitalised with acute respiratory illness (ARI) in Guangzhou, Southern China. Study design A cross-sectional study. Setting Two tertiary hospitals in Guangzhou. Participants and methods Throat swabs were collected over a 3-year period from 5133 paediatric patients (&lt;= 14 years) hospitalised with ARI. Patients who are HMPV positive with clinical presentations (101/103) were recorded for further analysis. Results Of the 5133 patients included in the study, 103 (2.0%) were positive for HMPV. HMPV was more prevalent in children &lt;= 5 years (2.2%, 98/4399) compared with older children (&gt;5-14 years) (0.7%, 5/734) (P=0.004). Two seasonal HMPV peaks were observed each year and mainly occurred in spring and early summer. Overall, 18.4% (19/103) of patients who are HMPV positive were codetected with other pathogens, most frequently respiratory syncytial virus (36.8%, 7/19). Patients who are HMPV positive presented with a wide spectrum of clinical features, including cough (100.0%, 101/101), abnormal pulmonary breath sound (91.1%, 92/101), fever (88.1%, 89/101), expectoration (77.2%, 78/101), coryza (50.5%, 51/101) and wheezing (46.5%, 47/101). The main diagnosis of patients who are HMPV positive was bronchopneumonia (66.7%, 56/84). Fever (&gt;= 38 degrees C) (91.6%, 76/83) was detected more often in patients with only HMPV detected than in patients with HMPV plus other pathogen(s) detected (72.2%, 13/18) (P=0.037), whereas diarrhoea was more common in patients with HMPV plus other pathogen(s) detected (22.2%, 4/18), compared with patients with HMPV only (3.6%, 3/83) (P=0.018). Conclusions HMPV is an important respiratory pathogen in children with ARI in Guangzhou, particularly in children &lt;= 5 years old. HMPV has a seasonal variation. Bronchopneumonia is a major diagnosis in patients who are HMPV positive.</t>
  </si>
  <si>
    <t xml:space="preserve">[Zhang, Ling; Liu, Wenkuan; Liu, Donglan; Qiu, Shuyan; Xu, Duo; Li, Xiao; Liu, Tiantian; Zhou, Rong] Guangzhou Med Univ, Affiliated Hosp 1, State Key Lab Resp Dis, Guangzhou, Guangdong, Peoples R China; [Chen, Dehui] Guangzhou Med Univ, Affiliated Hosp 1, Dept Pediat, Guangzhou, Guangdong, Peoples R China; [Tan, Weiping] Sun Yat Sen Univ, Sun Yat Sen Mem Hosp, Dept Pediat, Guangzhou, Guangdong, Peoples R China</t>
  </si>
  <si>
    <t xml:space="preserve">Guangzhou Medical University; State Key Laboratory of Respiratory Disease; Guangzhou Medical University; Sun Yat Sen University</t>
  </si>
  <si>
    <t xml:space="preserve">Zhou, R (corresponding author), Guangzhou Med Univ, Affiliated Hosp 1, State Key Lab Resp Dis, Guangzhou, Guangdong, Peoples R China.</t>
  </si>
  <si>
    <t xml:space="preserve">zhourong@gird.cn</t>
  </si>
  <si>
    <t xml:space="preserve">State Major Infectious Disease Research Program [2017ZX10103011-003]; National Natural Science Foundation of China [31500143]; Guangzhou Science and Technology Program key projects [201508020252]</t>
  </si>
  <si>
    <t xml:space="preserve">State Major Infectious Disease Research Program; National Natural Science Foundation of China(National Natural Science Foundation of China (NSFC)); Guangzhou Science and Technology Program key projects</t>
  </si>
  <si>
    <t xml:space="preserve">This study was supported by The State Major Infectious Disease Research Program (RZ) (2017ZX10103011-003), National Natural Science Foundation of China (WKL) (31500143), Guangzhou Science and Technology Program key projects (RZ) (201508020252).</t>
  </si>
  <si>
    <t xml:space="preserve">2044-6055</t>
  </si>
  <si>
    <t xml:space="preserve">BMJ Open</t>
  </si>
  <si>
    <t xml:space="preserve">e019308</t>
  </si>
  <si>
    <t xml:space="preserve">10.1136/bmjopen-2017-019308</t>
  </si>
  <si>
    <t xml:space="preserve">GH0ZB</t>
  </si>
  <si>
    <t xml:space="preserve">WOS:000433129800200</t>
  </si>
  <si>
    <t xml:space="preserve">Zhang, YG; Pohl, J; Brooks, WA; Erdman, DD</t>
  </si>
  <si>
    <t xml:space="preserve">Zhang, Yange; Pohl, Jan; Brooks, W. Abdullah; Erdman, Dean D.</t>
  </si>
  <si>
    <t xml:space="preserve">Serologic Cross-Reactions between Nucleocapsid Proteins of Human Respiratory Syncytial Virus and Human Metapneumovirus</t>
  </si>
  <si>
    <t xml:space="preserve">Human metapneumovirus; Virology; Antiserum; Biology; Virus; Antibody; Serology; Titer; Antigen</t>
  </si>
  <si>
    <t xml:space="preserve">MONOCLONAL-ANTIBODIES; UNITED-STATES; N-PROTEIN; IMMUNOLOGICAL CHARACTERIZATION; AVIAN PNEUMOVIRUSES; SEQUENCE-ANALYSIS; YOUNG-CHILDREN; TRACT DISEASE; F-PROTEIN; INFECTIONS</t>
  </si>
  <si>
    <t xml:space="preserve">Human respiratory syncytial virus (hRSV) and human metapneumovirus (hMPV) share virologic and epidemiologic features and cause clinically similar respiratory illness predominantly in young children. In a previous study of acute febrile respiratory illness in Bangladesh, we tested paired serum specimens from 852 children presenting fever and cough for diagnostic increases in titers of antibody to hRSV and hMPV by enzyme immunoassay (EIA). Unexpectedly, of 93 serum pairs that showed a &gt;= 4-fold increase in titers of antibody to hRSV, 24 (25.8%) showed a concurrent increase in titers of antibody to hMPV; of 91 pairs showing an increase to hMPV, 13 (14.3%) showed a concurrent increase to hRSV. We speculated that common antigens shared by these viruses explain this finding. Since the nucleocapsid (N) proteins of these viruses show the greatest sequence homology, we tested hyperimmune antisera prepared for each virus against baculovirus-expressed recombinant N (recN) proteins for potential cross-reactivity. The antisera were reciprocally reactive with both proteins. To localize common antigenic regions, we first expressed the carboxy domain of the hMPV N protein that was the most highly conserved region within the hRSV N protein. Although reciprocally reactive with antisera by Western blotting, this truncated protein did not react with hMPV IgG-positive human sera by EIA. Using 5 synthetic peptides that spanned the amino-terminal portion of the hMPV N protein, we identified a single peptide that was cross-reactive with human sera positive for either virus. Antiserum prepared for this peptide was reactive with recN proteins of both viruses, indicating that a common immunoreactive site exists in this region.</t>
  </si>
  <si>
    <t xml:space="preserve">[Zhang, Yange; Erdman, Dean D.] Ctr Dis Control &amp; Prevent, Div Viral Dis, Atlanta, GA 30333 USA; [Pohl, Jan] Ctr Dis Control &amp; Prevent, Div Sci Resources, Atlanta, GA USA; [Brooks, W. Abdullah] ICDDR B, Dhaka, Bangladesh; [Zhang, Yange] Battelle Mem Inst, Atlanta, GA USA</t>
  </si>
  <si>
    <t xml:space="preserve">Centers for Disease Control &amp; Prevention - USA; Centers for Disease Control &amp; Prevention - USA; International Centre for Diarrhoeal Disease Research (ICDDR)</t>
  </si>
  <si>
    <t xml:space="preserve">Erdman, DD (corresponding author), Ctr Dis Control &amp; Prevent, Div Viral Dis, Atlanta, GA 30333 USA.</t>
  </si>
  <si>
    <t xml:space="preserve">10.1128/JCM.03649-14</t>
  </si>
  <si>
    <t xml:space="preserve">CG1MK</t>
  </si>
  <si>
    <t xml:space="preserve">WOS:000353036500020</t>
  </si>
  <si>
    <t xml:space="preserve">Zhang, Y; Xu, JY; Miranda-Katz, M; Sojati, J; Tollefson, SJ; Manni, ML; Alcorn, JF; Sarkar, SN; Williams, JV</t>
  </si>
  <si>
    <t xml:space="preserve">Zhang, Yu; Xu, Jiuyang; Miranda-Katz, Margot; Sojati, Jorna; Tollefson, Sharon J.; Manni, Michelle L.; Alcorn, John F.; Sarkar, Saumendra N.; Williams, John V.</t>
  </si>
  <si>
    <t xml:space="preserve">Distinct roles for type I and type III interferons in virulent human metapneumovirus pathogenesis</t>
  </si>
  <si>
    <t xml:space="preserve">Virulence; Biology; Human metapneumovirus; Virology; Viral replication</t>
  </si>
  <si>
    <t xml:space="preserve">RESPIRATORY SYNCYTIAL VIRUS; TRACT INFECTIONS; REQUIRING HOSPITALIZATION; HUMAN PNEUMOVIRUS; DENDRITIC CELLS; YOUNG-CHILDREN; COTTON RAT; DISEASE; MODEL; REPLICATION</t>
  </si>
  <si>
    <t xml:space="preserve">Human metapneumovirus (HMPV) is an important cause of acute lower respiratory infection in children and adults worldwide. There are four genetic subgroups of HMPV and both neutralizing antibodies and T cells contribute to protection. However, little is known about mechanisms of pathogenesis and most published work is based on a few extensively passaged, laboratory-adapted strains of HMPV. In this study, we isolated and characterized a panel of low passage HMPV clinical isolates representing all four genetic subgroups. The clinical isolates exhibited lower levels of in vitro replication compared to a lab-adapted strain. We compared disease phenotypes using a well-established mouse model. Several virulent isolates caused severe weight loss, lung pathology, airway dysfunction, and fatal disease in mice, which was confirmed in three inbred mouse strains. Disease severity did not correlate with lung viral titer, as virulent strains exhibited restricted replication in the lower airway. Virulent HMPV isolates were associated with markedly increased proinflammatory cytokine production and neutrophil influx; however, depletion of neutrophils or genetic ablation of inflammasome components did not reverse disease. Virulent clinical isolates induced markedly increased type I and type III IFN (IFN) secretion in vitro and in vivo. STAT1/2-deficient mice lacking both type I and type III IFN signaling showed reduced disease severity and increased lung viral replication. Inhibition of type I IFN signaling using a blocking antibody or genetic ablation of the type I IFN receptor reduced pathology with minimal effect on viral replication. Conversely, blockade of type III IFN signaling with a neutralizing antibody or genetic ablation of the IFN-lambda receptor had no effect on pathogenesis but restored viral replication. Collectively, these results demonstrate distinct roles for type I and type III IFN in HMPV pathogenesis and immunity. Human metapneumovirus (HMPV) is a leading cause of acute lower respiratory infection in children and adults worldwide. However, little is known about mechanisms of pathogenesis and most published studies use a few laboratory-adapted strains of HMPV. In this study, we isolated and characterized disease phenotypes of a panel of HMPV isolates. We identified several virulent isolates capable of causing severe and fatal disease in mice. Virulent HMPV isolates were associated with markedly increased proinflammatory cytokine production as well as increased type I and type III IFN (IFN) secretion in vitro and in vivo. Inhibition of type I IFN signaling reduced pathology with minimal effect on viral replication. Conversely, blockade or genetic ablation of type III IFN signaling had no effect on pathogenesis but restored viral replication. Collectively, these results demonstrate distinct roles for type I and type III IFN in HMPV defense and disease.</t>
  </si>
  <si>
    <t xml:space="preserve">[Zhang, Yu; Xu, Jiuyang; Miranda-Katz, Margot; Sojati, Jorna; Manni, Michelle L.; Alcorn, John F.; Williams, John V.] Univ Pittsburgh, Dept Pediat, Sch Med, Pittsburgh, PA 15260 USA; [Xu, Jiuyang] Tsinghua Univ, Sch Med, Beijing, Peoples R China; [Tollefson, Sharon J.] Vanderbilt Univ, Med Ctr, Dept Pediat, Nashville, TN USA; [Sarkar, Saumendra N.; Williams, John V.] Univ Pittsburgh, Dept Microbiol &amp; Mol Genet, Sch Med, Pittsburgh, PA 15260 USA; [Williams, John V.] Univ Pittsburgh, Inst Infect Inflammat &amp; Immun Children i4Kids, Pittsburgh, PA 15224 USA</t>
  </si>
  <si>
    <t xml:space="preserve">Pennsylvania Commonwealth System of Higher Education (PCSHE); University of Pittsburgh; Tsinghua University; Vanderbilt University; Pennsylvania Commonwealth System of Higher Education (PCSHE); University of Pittsburgh; Pennsylvania Commonwealth System of Higher Education (PCSHE); University of Pittsburgh</t>
  </si>
  <si>
    <t xml:space="preserve">Williams, JV (corresponding author), Univ Pittsburgh, Dept Pediat, Sch Med, Pittsburgh, PA 15260 USA.;Williams, JV (corresponding author), Univ Pittsburgh, Dept Microbiol &amp; Mol Genet, Sch Med, Pittsburgh, PA 15260 USA.;Williams, JV (corresponding author), Univ Pittsburgh, Inst Infect Inflammat &amp; Immun Children i4Kids, Pittsburgh, PA 15224 USA.</t>
  </si>
  <si>
    <t xml:space="preserve">Williams, John/ABE-3227-2020; Sarkar, Saumendra/B-5038-2011</t>
  </si>
  <si>
    <t xml:space="preserve">Xu, Jiuyang/0000-0002-1906-5918; Sarkar, Saumendra/0000-0002-2850-6121</t>
  </si>
  <si>
    <t xml:space="preserve">NIH/NIAID [R01 AI085062]; Henry L. Hillman Foundation; Research Advisory Council (RAC) fellowship award from UPMC Children's Hospital of Pittsburgh; China Scholarship Council [[2016]3097]; [T32 GM008208]; [T32 AI089443]</t>
  </si>
  <si>
    <t xml:space="preserve">NIH/NIAID(United States Department of Health &amp; Human ServicesNational Institutes of Health (NIH) - USANIH National Institute of Allergy &amp; Infectious Diseases (NIAID)); Henry L. Hillman Foundation; Research Advisory Council (RAC) fellowship award from UPMC Children's Hospital of Pittsburgh; China Scholarship Council(China Scholarship Council); ;</t>
  </si>
  <si>
    <t xml:space="preserve">This work was supported by NIH/NIAID grant R01 AI085062 to JVW. JVW was supported by the Henry L. Hillman Foundation. YZ received a Research Advisory Council (RAC) fellowship award from UPMC Children's Hospital of Pittsburgh. YZ was supported by T32 AI089443. JX received scholarship from China Scholarship Council ([2016]3097). JS was supported by T32 GM008208. The funders had no role in study design, data collection and analysis, decision to publish, or preparation of the manuscript.</t>
  </si>
  <si>
    <t xml:space="preserve">e1011840</t>
  </si>
  <si>
    <t xml:space="preserve">10.1371/journal.ppat.1011840</t>
  </si>
  <si>
    <t xml:space="preserve">HH7G8</t>
  </si>
  <si>
    <t xml:space="preserve">WOS:001158662300002</t>
  </si>
  <si>
    <t xml:space="preserve">Kolli, D; Bao, XY; Liu, TS; Hong, C; Wang, T; Garofalo, RP; Casola, A</t>
  </si>
  <si>
    <t xml:space="preserve">Kolli, Deepthi; Bao, Xiaoyong; Liu, Tianshuang; Hong, Chao; Wang, Tian; Garofalo, Roberto P.; Casola, Antonella</t>
  </si>
  <si>
    <t xml:space="preserve">Human Metapneumovirus Glycoprotein G Inhibits TLR4-Dependent Signaling in Monocyte-Derived Dendritic Cells</t>
  </si>
  <si>
    <t xml:space="preserve">Human metapneumovirus; Chemokine; Biology; Innate immune system; TLR4</t>
  </si>
  <si>
    <t xml:space="preserve">RESPIRATORY-SYNCYTIAL-VIRUS; TOLL-LIKE RECEPTOR-4; PROTEIN-KINASE PKR; INNATE IMMUNITY; EPITHELIAL-CELLS; IFN-BETA; INFECTION; RECOGNITION; CHILDREN; INDUCTION</t>
  </si>
  <si>
    <t xml:space="preserve">Human metapneumovirus (hMPV) is a major cause of upper and lower respiratory infections in children and adults. Recent work from our group demonstrated that hMPV G glycoprotein is an important virulence factor, responsible for inhibiting innate immune responses in airway epithelial cells. Myeloid dendritic cells (DCs) are potent APCs and play a major role in initiating and modulating the innate and adaptive immune responses. In this study, we found that TLR4 plays a major role in hMPV-induced activation of monocyte-derived DCs (moDCs), as downregulation of its expression by small interfering RNA significantly blocked hMPV-induced chemokine and type I IFN expression. Similar results were found in bone marrow-derived DCs from TLR4-deficient mice. moDCs infected with a virus lacking G protein expression produced higher levels of cytokines and chemokines compared with cells infected with wild-type virus, suggesting that G protein plays an inhibitory role in viral-induced cellular responses. Specifically, G protein affects TLR4-dependent signaling, as infection of moDCs with recombinant hMPV lacking G protein inhibited LPS-induced production of cytokine and chemokines significantly less than did wild-type virus, and treatment of moDCs with purified G protein resulted in a similar inhibition of LPS-dependent signaling. Our results demonstrate that hMPV G protein plays an important role in inhibiting host innate immune responses, likely affecting adaptive responses too. The Journal of Immunology, 2011, 187: 47-54.</t>
  </si>
  <si>
    <t xml:space="preserve">[Kolli, Deepthi; Bao, Xiaoyong; Liu, Tianshuang; Hong, Chao; Garofalo, Roberto P.; Casola, Antonella] Univ Texas Med Branch, Dept Pediat, Galveston, TX 77555 USA; [Wang, Tian; Garofalo, Roberto P.; Casola, Antonella] Univ Texas Med Branch, Dept Microbiol &amp; Immunol, Galveston, TX 77555 USA; [Garofalo, Roberto P.; Casola, Antonella] Univ Texas Med Branch, Sealy Ctr Vaccine Dev, Galveston, TX 77555 USA</t>
  </si>
  <si>
    <t xml:space="preserve">National Institute of Allergy and Infectious Diseases [P01 062885, R01 AI079246, T32 AI07536]; Parker B. Francis award</t>
  </si>
  <si>
    <t xml:space="preserve">National Institute of Allergy and Infectious Diseases(United States Department of Health &amp; Human ServicesNational Institutes of Health (NIH) - USANIH National Institute of Allergy &amp; Infectious Diseases (NIAID)); Parker B. Francis award</t>
  </si>
  <si>
    <t xml:space="preserve">This work was supported in part by National Institute of Allergy and Infectious Diseases Grants P01 062885 and R01 AI079246. X. B. was supported by National Institute of Allergy and Infectious Diseases Training Grant T32 AI07536 and a Parker B. Francis award.</t>
  </si>
  <si>
    <t xml:space="preserve">10.4049/jimmunol.1002589</t>
  </si>
  <si>
    <t xml:space="preserve">779RQ</t>
  </si>
  <si>
    <t xml:space="preserve">WOS:000291799300009</t>
  </si>
  <si>
    <t xml:space="preserve">Herfst, S; de Graaf, M; Schrauwen, EJA; Ulbrandt, ND; Barnes, AS; Senthil, K; Osterhaus, ADME; Fouchier, RAM; van den Hoogen, BG</t>
  </si>
  <si>
    <t xml:space="preserve">Herfst, Sander; de Graaf, Miranda; Schrauwen, Eefje J. A.; Ulbrandt, Nancy D.; Barnes, Arnita S.; Senthil, Kannaki; Osterhaus, Albert D. M. E.; Fouchier, Ron A. M.; van den Hoogen, Bernadette G.</t>
  </si>
  <si>
    <t xml:space="preserve">Immunization of Syrian golden hamsters with F subunit vaccine of human metapneumovirus induces protection against challenge with homologous or heterologous strains</t>
  </si>
  <si>
    <t xml:space="preserve">Virology; Biology; Immunogenicity; Heterologous; Human metapneumovirus; Metapneumovirus</t>
  </si>
  <si>
    <t xml:space="preserve">RESPIRATORY SYNCYTIAL VIRUS; FUSION PROTEIN; COTTON RATS; ALUMINUM COMPOUNDS; MEMBRANE-FUSION; ANTIBODY; ADJUVANTS; IMMUNOGENICITY; INFECTION; CHILDREN</t>
  </si>
  <si>
    <t xml:space="preserve">Human metapneumovirus (hMPV), a newly discovered paramyxovirus, is associated with acute respiratory-tract illness, primarily in young children, individuals with underlying disease and the elderly. Two genetic lineages of hMPV circulate around the world, and viruses from these two lineages demonstrate antigenic differences. The clinical impact of hMPV warrants the development of vaccines. Recombinant soluble fusion (F) proteins of prototype viruses of the two main lineages of hMPV that can be produced in high yields have been constructed. In this study, the antigenicity, immunogenicity and protective efficacy of these soluble F subunit vaccines were evaluated in Syrian golden hamsters (Mesocricetus auratus). Immunization of hamsters with the soluble F proteins, adjuvanted with Specol or iscom matrix, induced high virus-neutralization titres, with higher titres against the homologous than the heterologous virus. The neutralizing antibodies protected from subsequent infection of the lungs with both homologous and heterologous virus. Upon challenge, viral titres in the nasal turbinates of immunized animals were reduced significantly compared with those of PBS-immunized animals. In conclusion, a soluble F subunit vaccine for hMPV that induces cross-protective immunity for infection of the lower respiratory tract in Syrian golden hamsters has been generated.</t>
  </si>
  <si>
    <t xml:space="preserve">Erasmus MC, Dept Virol, Rotterdam, Netherlands; Medimmune Inc, Gaithersburg, MD 20878 USA</t>
  </si>
  <si>
    <t xml:space="preserve">Erasmus University Rotterdam; Erasmus MC; AstraZeneca; Medimmune</t>
  </si>
  <si>
    <t xml:space="preserve">van den Hoogen, BG (corresponding author), Erasmus MC, Dept Virol, Rotterdam, Netherlands.</t>
  </si>
  <si>
    <t xml:space="preserve">Fouchier, Ron/0000-0001-8095-2869; Osterhaus, Albert/0000-0002-6074-1172; Herfst, Sander/0000-0001-9866-8903</t>
  </si>
  <si>
    <t xml:space="preserve">10.1099/vir.0.83084-0</t>
  </si>
  <si>
    <t xml:space="preserve">220LA</t>
  </si>
  <si>
    <t xml:space="preserve">WOS:000250157000011</t>
  </si>
  <si>
    <t xml:space="preserve">Bhasin, A; Nguyen, DC; Briggs, BJ; Nam, HH</t>
  </si>
  <si>
    <t xml:space="preserve">Bhasin, Ajay; Nguyen, David C.; Briggs, Benjamin J.; Nam, Hannah H.</t>
  </si>
  <si>
    <t xml:space="preserve">The burden of RSV, hMPV, and PIV amongst hospitalized adults in the United States from 2016 to 2019</t>
  </si>
  <si>
    <t xml:space="preserve">JOURNAL OF HOSPITAL MEDICINE</t>
  </si>
  <si>
    <t xml:space="preserve">Medicine; Human metapneumovirus; Poisson regression; Bronchiolitis; Confidence interval</t>
  </si>
  <si>
    <t xml:space="preserve">RESPIRATORY SYNCYTIAL VIRUS; HUMAN METAPNEUMOVIRUS; PARAINFLUENZA VIRUS; TRACT INFECTION; INFLUENZA</t>
  </si>
  <si>
    <t xml:space="preserve">Background: Respiratory syncytial virus (RSV), human metapneumovirus (hMPV), and parainfluenza virus (PIV) hospitalize many people yearly. Though severe lower respiratory tract disease has been described in children, the elderly, and the immunocompromised, there is a gap in our understanding of RSV, hMPV, and PIV in hospitalized adults. We sought to evaluate the association of RSV, hMPV, and PIV with severe respiratory disease requiring noninvasive or mechanical ventilation and death in hospitalized adults in the United States. Methods: We conducted a retrospective, pooled, cross-sectional study of general medicine hospitalizations in the United States from 2016 to 2019 using the National Inpatient Sample published by the Agency for Healthcare Quality and Research. We used multivariable Poisson regression to estimate the likelihood of severe respiratory disease or death. We used linear regression to estimate the mean difference in length of stay for those hospitalized with and without a respiratory virus. Results: We found that RSV (incidence rate ratio [IRR]: 1.68, 95% confidence interval [CI]: 1.61-1.74, p &lt; .001), hMPV (IRR: 1.82, 95% CI: 1.71-1.93, p &lt; .001), and PIV (IRR: 1.81, 95% CI: 1.68-1.94, p &lt; .001) were independently associated with severe respiratory disease, even after adjustment. Additionally, we found the presence of a respiratory virus prolonged hospitalizations by (0.79 +/- 0.27 days, p &lt; .003) for RSV, (0.88 +/- 0.28 days, p &lt; .002) for hMPV, and (1.43 +/- 0.30 days, p &lt; .001) for PIV. Conclusions: RSV, hMPV, and PIV have a significant burden on hospitalized adults, even without classic risk factors.</t>
  </si>
  <si>
    <t xml:space="preserve">[Bhasin, Ajay] Northwestern Univ, Div Hosp Med, Dept Med, Feinberg Sch Med, Chicago, IL USA; [Bhasin, Ajay] Northwestern Univ, Feinberg Sch Med, Div Hosp Based Med, Dept Pediat, Chicago, IL USA; [Nguyen, David C.] Rush Med Coll, Dept Pediat, Div Pediat Infect Dis, Chicago, IL USA; [Nguyen, David C.] Rush Med Coll, Dept Med, Div Infect Dis, Chicago, IL USA; [Briggs, Benjamin J.] Univ Rochester, Med Ctr, Dept Pediat, Div Pediat Infect Dis, Rochester, NY USA; [Nam, Hannah H.] Univ Calif Irvine, Dept Med, Div Infect Dis, Irvine, CA USA; [Bhasin, Ajay] Northwestern Univ, Feinberg Sch Med, Dept Med, 257 E Huron,Suite 16-738, Chicago, IL 60611 USA; [Bhasin, Ajay] Northwestern Univ, Feinberg Sch Med, Dept Pediat, 257 E Huron,Suite 16-738, Chicago, IL 60611 USA</t>
  </si>
  <si>
    <t xml:space="preserve">Northwestern University; Feinberg School of Medicine; Northwestern University; Feinberg School of Medicine; Rush University; Rush University; University of Rochester; University of California System; University of California Irvine; Northwestern University; Feinberg School of Medicine; Northwestern University; Feinberg School of Medicine</t>
  </si>
  <si>
    <t xml:space="preserve">Bhasin, A (corresponding author), Northwestern Univ, Feinberg Sch Med, Dept Med, 257 E Huron,Suite 16-738, Chicago, IL 60611 USA.;Bhasin, A (corresponding author), Northwestern Univ, Feinberg Sch Med, Dept Pediat, 257 E Huron,Suite 16-738, Chicago, IL 60611 USA.</t>
  </si>
  <si>
    <t xml:space="preserve">ajay.bhasin@nm.org</t>
  </si>
  <si>
    <t xml:space="preserve">Bhasin, Ajay/ABC-1958-2020</t>
  </si>
  <si>
    <t xml:space="preserve">Bhasin, Ajay/0000-0001-5577-2065; Nguyen, David/0000-0001-5738-2976</t>
  </si>
  <si>
    <t xml:space="preserve">1553-5592</t>
  </si>
  <si>
    <t xml:space="preserve">1553-5606</t>
  </si>
  <si>
    <t xml:space="preserve">J HOSP MED</t>
  </si>
  <si>
    <t xml:space="preserve">J. Hosp. Med.</t>
  </si>
  <si>
    <t xml:space="preserve">10.1002/jhm.13320</t>
  </si>
  <si>
    <t xml:space="preserve">XK1X2</t>
  </si>
  <si>
    <t xml:space="preserve">WOS:001181778400001</t>
  </si>
  <si>
    <t xml:space="preserve">Mas, V; Herfst, S; Osterhaus, ADME; Fouchier, RAM; Melero, JA</t>
  </si>
  <si>
    <t xml:space="preserve">Mas, Vicente; Herfst, Sander; Osterhaus, Albert D. M. E.; Fouchier, Ron A. M.; Melero, Jose A.</t>
  </si>
  <si>
    <t xml:space="preserve">Residues of the Human Metapneumovirus Fusion (F) Protein Critical for Its Strain-Related Fusion Phenotype: Implications for the Virus Replication Cycle</t>
  </si>
  <si>
    <t xml:space="preserve">Biology; Human metapneumovirus; Metapneumovirus; Virology; Replication (statistics); Strain (injury); Phenotype</t>
  </si>
  <si>
    <t xml:space="preserve">RESPIRATORY SYNCYTIAL VIRUS; MEMBRANE-FUSION; LOW-PH; SENDAI-VIRUS; VERO CELLS; INFECTION; PARAMYXOVIRUS; ATTACHMENT; GLYCOPROTEIN; INHIBITOR</t>
  </si>
  <si>
    <t xml:space="preserve">The paramyxovirus F protein promotes fusion of the viral and cell membranes for virus entry, as well as cell-cell fusion for syncytium formation. Most paramyxovirus F proteins are triggered at neutral pH to initiate membrane fusion. Previous studies, however, demonstrated that human metapneumovirus (hMPV) F proteins are triggered at neutral or acidic pH in transfected cells, depending on the strain origin of the F sequences (S. Herfst et al., J. Virol. 82:8891-8895, 2008). We now report an extensive mutational analysis which identifies four variable residues (294, 296, 396, and 404) as the main determinants of the different syncytial phenotypes found among hMPV F proteins. These residues lie near two conserved histidines (H368 and H435) in a three-dimensional (3D) model of the pretriggered hMPV F trimer. Mutagenesis of H368 and H435 indicates that protonation of these histidines (particularly His435) is a key event to destabilize the hMPV F proteins that require low pH for cell-cell fusion. The syncytial phenotypes were reproduced in cells infected with the corresponding hMPV strains. However, the low-pH dependency for syncytium formation could not be related with a virus entry pathway dependent on an acidic environment. It is postulated that low pH may be acting for some hMPV strains as certain destabilizing mutations found in unusual strains of other paramyxoviruses. In any case, the results presented here and those reported by Schowalter et al. (J. Virol. 83:1511-1522, 2009) highlight the relevance of certain residues in the linker region and domain II of the pretriggered hMPV F protein for the process of membrane fusion.</t>
  </si>
  <si>
    <t xml:space="preserve">[Mas, Vicente; Melero, Jose A.] Inst Salud Carlos III, Ctr Nacl Microbiol, Madrid 28220, Spain; [Mas, Vicente; Melero, Jose A.] Inst Salud Carlos III, CIBER Enfermedades Resp, Madrid 28220, Spain; [Herfst, Sander; Osterhaus, Albert D. M. E.; Fouchier, Ron A. M.] Erasmus MC, Dept Virol, Rotterdam, Netherlands</t>
  </si>
  <si>
    <t xml:space="preserve">Herfst, Sander/HZK-7555-2023; Fouchier, Ron/A-1911-2014; Mas, Vicente/M-4776-2015</t>
  </si>
  <si>
    <t xml:space="preserve">Fouchier, Ron/0000-0001-8095-2869; Mas, Vicente/0000-0002-0887-0743; Herfst, Sander/0000-0001-9866-8903; Osterhaus, Albert/0000-0002-6074-1172</t>
  </si>
  <si>
    <t xml:space="preserve">Ministerio de Ciencia e Innovacion [SAF2009-11632]; VIRHOST consortium (Comunidad de Madrid); EU</t>
  </si>
  <si>
    <t xml:space="preserve">Ministerio de Ciencia e Innovacion(Ministry of Science and Innovation, Spain (MICINN)Instituto de Salud Carlos IIISpanish Government); VIRHOST consortium (Comunidad de Madrid)(Comunidad de Madrid); EU(European Union (EU))</t>
  </si>
  <si>
    <t xml:space="preserve">This work was supported in part by grant SAF2009-11632 (to J.A.M.) from the Ministerio de Ciencia e Innovacion. V. M. and R. A. M. F. were supported in part by the VIRHOST consortium (Comunidad de Madrid) and by the EU FP7 program SILVER, respectively.</t>
  </si>
  <si>
    <t xml:space="preserve">10.1128/JVI.05485-11</t>
  </si>
  <si>
    <t xml:space="preserve">843WU</t>
  </si>
  <si>
    <t xml:space="preserve">WOS:000296708100052</t>
  </si>
  <si>
    <t xml:space="preserve">Buchholz, UJ; Biacchesi, S; Pham, QN; Tran, KC; Yang, LJ; Luongo, CL; Skiadopoulos, MH; Murphy, BR; Collins, PL</t>
  </si>
  <si>
    <t xml:space="preserve">Deletion of M2 gene open reading frames 1 and 2 of human metapneumovirus: Effects on RNA synthesis, attenuation, and immunogenicity</t>
  </si>
  <si>
    <t xml:space="preserve">Biology; Virology; Human metapneumovirus; Immunogenicity; Open reading frame; Virus; Metapneumovirus</t>
  </si>
  <si>
    <t xml:space="preserve">RESPIRATORY SYNCYTIAL VIRUS; TRANSCRIPTION ELONGATION-FACTOR; MESSENGER-RNA; EBOLA-VIRUS; TRACT INFECTIONS; PROTEIN FUNCTION; BINDING PROTEIN; YOUNG-CHILDREN; CLONED CDNA; C PROTEINS</t>
  </si>
  <si>
    <t xml:space="preserve">The M2 gene of human metapneumovirus (HMPV) contains two overlapping open reading frames (ORFs), M2-1 and M2-2. The expression of separate M2-1 and M2-2 proteins from these ORFs was confirmed, and recombinant HMPVs were recovered in which expression of M2-1 and M2-2 was ablated individually or together [rΔ M2-1, rΔ M2-2, and rΔ M2(1+2)]. Each M2 mutant virus directed efficient multicycle growth in Vero cells. The ability to recover HMPV lacking M2-1 contrasts with human respiratory syncytial virus, for which M2-1 is an essential transcription factor. Expression of the downstream HMPV M2-2 ORF was not reduced when translation of the upstream M2-1 ORF was silenced, indicating that it is initiated separately. The rΔ M2-2 mutants exhibited a two- to fivefold increase in the accumulation of mRNA, normalized to the genome template, suggesting that M2-2 has a role in regulating RNA synthesis. Replication and immunogenicity were tested in hamsters. Animals infected intranasally with rΔ M2-1 or rΔ M2(1+2) did not have recoverable virus in the lungs or nasal turbinates on days 3 or 5 postinfection and did not develop HMPV-neutralizing serum antibodies or resistance to HMPV challenge. Thus, M2-1 appears to be essential for significant virus replication in vivo. In animals infected with rΔ M2-2, virus was recovered from only 1 of 12 animals and only in the nasal turbinates on a single day. However, all of the animals developed a high titer of HMPV-neutralizing serum antibodies and were highly protected against challenge with wild-type HMPV. The HMPV rΔ M2-2 virus is a promising and highly attenuated HMPV vaccine candidate.</t>
  </si>
  <si>
    <t xml:space="preserve">NIAID, NIH, LID, Bethesda, MD 20892 USA</t>
  </si>
  <si>
    <t xml:space="preserve">Buchholz, UJ (corresponding author), NIAID, NIH, LID, Bldg 50,Room 6505,50 S Dr,MSC 8007, Bethesda, MD 20892 USA.</t>
  </si>
  <si>
    <t xml:space="preserve">10.1128/JVI.79.11.6588-6597.2005</t>
  </si>
  <si>
    <t xml:space="preserve">925WY</t>
  </si>
  <si>
    <t xml:space="preserve">WOS:000229085400002</t>
  </si>
  <si>
    <t xml:space="preserve">Ren, JP; Wang, QR; Kolli, D; Prusak, DJ; Tseng, CTK; Chen, ZJJ; Li, K; Wood, TG; Bao, XY</t>
  </si>
  <si>
    <t xml:space="preserve">Ren, Junping; Wang, Qingrong; Kolli, Deepthi; Prusak, Deborah J.; Tseng, Chien-Te K.; Chen, Zhijian J.; Li, Kui; Wood, Thomas G.; Bao, Xiaoyong</t>
  </si>
  <si>
    <t xml:space="preserve">Human Metapneumovirus M2-2 Protein Inhibits Innate Cellular Signaling by Targeting MAVS</t>
  </si>
  <si>
    <t xml:space="preserve">Biology; Human metapneumovirus; Innate immune system; Metapneumovirus; Cell biology</t>
  </si>
  <si>
    <t xml:space="preserve">RESPIRATORY SYNCYTIAL VIRUS; NF-KAPPA-B; ALVEOLAR EPITHELIAL-CELLS; INFLUENZA-A VIRUS; INDUCIBLE GENE-I; RIG-I; NS1 PROTEIN; BETA INTERFERON; RNA HELICASE; HOST-DEFENSE</t>
  </si>
  <si>
    <t xml:space="preserve">Human metapneumovirus (hMPV) is a leading cause of respiratory infections in pediatric populations globally, with no prophylactic or therapeutic measures. Recently, a recombinant hMPV lacking the M2-2 protein (rhMPV-Delta M2-2) demonstrated reduced replication in the respiratory tract of animal models, making it a promising live vaccine candidate. However, the exact nature of the interaction between the M2-2 protein and host cells that regulates viral infection/propagation is largely unknown. By taking advantage of the available reverse genetics system and ectopic expression system for viral protein, we found that M2-2 not only promotes viral gene transcription and replication but subverts host innate immunity, therefore identifying M2-2 as a novel virulence factor, in addition to the previously described hMPV G protein. Since we have shown that the RIG-I/MAVS pathway plays an important role in hMPV-induced signaling in airway epithelial cells, we investigated whether M2-2 antagonizes the host cellular responses by targeting this pathway. Reporter gene assays and coimmunoprecipitation studies indicated that M2-2 targets MAVS, an inhibitory mechanism different from what we previously reported for hMPV G, which affects RIG-I-but not MAVS-dependent gene transcription. In addition, we found that the domains of M2-2 responsible for the regulation of viral gene transcription and antiviral signaling are different. Our findings collectively demonstrate that M2-2 contributes to hMPV immune evasion through the inhibition of MAVS-dependent cellular responses.</t>
  </si>
  <si>
    <t xml:space="preserve">[Ren, Junping; Wang, Qingrong; Kolli, Deepthi; Bao, Xiaoyong] Univ Texas Med Branch, Dept Pediat, Galveston, TX 77555 USA; [Prusak, Deborah J.; Wood, Thomas G.] Univ Texas Med Branch, Sealy Ctr Mol Med, Galveston, TX USA; [Prusak, Deborah J.; Wood, Thomas G.] Univ Texas Med Branch, Dept Biochem &amp; Mol Biol, Galveston, TX USA; [Tseng, Chien-Te K.] Univ Texas Med Branch, Dept Microbiol &amp; Immunol, Galveston, TX USA; [Chen, Zhijian J.] Univ Texas SW Med Ctr Dallas, Howard Hughes Med Inst, Dallas, TX 75390 USA; [Chen, Zhijian J.] Univ Texas SW Med Ctr Dallas, Dept Mol Biol, Dallas, TX 75390 USA; [Li, Kui] Univ Tennessee, Hlth Sci Ctr, Dept Microbiol Immunol &amp; Biochem, Memphis, TN USA</t>
  </si>
  <si>
    <t xml:space="preserve">University of Texas System; University of Texas Medical Branch Galveston; University of Texas System; University of Texas Medical Branch Galveston; University of Texas System; University of Texas Medical Branch Galveston; University of Texas System; University of Texas Medical Branch Galveston; University of Texas System; University of Texas Southwestern Medical Center Dallas; Howard Hughes Medical Institute; University of Texas System; University of Texas Southwestern Medical Center Dallas; University of Tennessee System; University of Tennessee Health Science Center</t>
  </si>
  <si>
    <t xml:space="preserve">Wood, Thomas/GWZ-2481-2022; Chen, Zhijian/C-6039-2012; ren, jun/KHG-7717-2024</t>
  </si>
  <si>
    <t xml:space="preserve">Li, Kui/0000-0002-2413-6020; CHEN, ZHIJIAN/0000-0002-8475-8251</t>
  </si>
  <si>
    <t xml:space="preserve">National Institutes of Health, National Institute of Allergy and Infectious Diseases [KAI074829A]; American Lung Association [RG232529N]; American Heart Association [12BGIA12060008]; American Heart Association (AHA) [12BGIA12060008] Funding Source: American Heart Association (AHA)</t>
  </si>
  <si>
    <t xml:space="preserve">National Institutes of Health, National Institute of Allergy and Infectious Diseases(United States Department of Health &amp; Human ServicesNational Institutes of Health (NIH) - USANIH National Institute of Allergy &amp; Infectious Diseases (NIAID)); American Lung Association; American Heart Association(American Heart Association); American Heart Association (AHA)(American Heart Association)</t>
  </si>
  <si>
    <t xml:space="preserve">This work was supported by grants from the National Institutes of Health, National Institute of Allergy and Infectious Diseases (KAI074829A); the American Lung Association (RG232529N); and the American Heart Association (12BGIA12060008) to X.B.</t>
  </si>
  <si>
    <t xml:space="preserve">10.1128/JVI.01248-12</t>
  </si>
  <si>
    <t xml:space="preserve">030QN</t>
  </si>
  <si>
    <t xml:space="preserve">WOS:000310585300054</t>
  </si>
  <si>
    <t xml:space="preserve">Peret, TCT; Boivin, G; Li, Y; Couillard, M; Humphrey, C; Osterhaus, ADME; Erdman, DD; Anderson, LJ</t>
  </si>
  <si>
    <t xml:space="preserve">Characterization of human metapneumoviruses isolated from patients in north America</t>
  </si>
  <si>
    <t xml:space="preserve">Human metapneumovirus; Metapneumovirus; Polymerase chain reaction; Respiratory disease; Respiratory tract; Virology; Biology; Respiratory tract infections; Respiratory system</t>
  </si>
  <si>
    <t xml:space="preserve">Human metapneumovirus (HMPV) was recently identified in The Netherlands and was linked to acute respiratory tract illness. In this study, 11 isolates from 10 patients with respiratory disease from Quebec, Canada, were tested by a reverse-transcriptase polymerase chain reaction based on the fusion protein gene. Identified sequences were consistent with HMPV. The patients were 2 months to 87 years of age (median age, 58 years) and presented with acute respiratory tract illness during the winter season. Sequence studies of the nucleocapsid, fusion, and polymerase genes identified 2 main lineages of HMPV and cocirculation of both lineages during the same year. These findings support a previous finding that HMPV is a human respiratory pathogen that merits further study.</t>
  </si>
  <si>
    <t xml:space="preserve">CDCP, Resp Virus Sect, Resp &amp; Enter Viruses Branch, Div Viral &amp; Rickettsial Dis,Natl Ctr Infect Dis, Atlanta, GA 30333 USA; CDCP, Infect Dis Pathol Act, Div Viral &amp; Rickettsial Dis, Natl Ctr Infect Dis, Atlanta, GA 30333 USA; Quebec Univ Hosp Ctr, Res Ctr Infect Dis, Quebec City, PQ, Canada; Univ Laval, Dept Microbiol, Quebec City, PQ, Canada; Natl Publ Hlth Inst Quebec, Quebec Publ Hlth Lab, Montreal, PQ, Canada; Canadian Sci Ctr Human &amp; Anim Hlth, Natl Microbiol Lab, Winnipeg, MB, Canada; Erasmus Med Ctr, Dept Virol, Rotterdam, Netherlands</t>
  </si>
  <si>
    <t xml:space="preserve">Centers for Disease Control &amp; Prevention - USA; Centers for Disease Control &amp; Prevention - USA; Laval University; Institut national de sante publique du Quebec (INSPQ); Canadian Science Centre for Human &amp; Animal Health; Erasmus University Rotterdam; Erasmus MC</t>
  </si>
  <si>
    <t xml:space="preserve">Anderson, LJ (corresponding author), CDCP, Resp Virus Sect, Resp &amp; Enter Viruses Branch, Div Viral &amp; Rickettsial Dis,Natl Ctr Infect Dis, 1600 Clifton Rd,MS A34, Atlanta, GA 30333 USA.</t>
  </si>
  <si>
    <t xml:space="preserve">Osterhaus, Albert/0000-0002-6074-1172; Boivin, Guy/0000-0003-3027-4662</t>
  </si>
  <si>
    <t xml:space="preserve">10.1086/340518</t>
  </si>
  <si>
    <t xml:space="preserve">556LK</t>
  </si>
  <si>
    <t xml:space="preserve">WOS:000175850800016</t>
  </si>
  <si>
    <t xml:space="preserve">Schuster, JE; Williams, JV</t>
  </si>
  <si>
    <t xml:space="preserve">Schuster, Jennifer E.; Williams, John V.</t>
  </si>
  <si>
    <t xml:space="preserve">Human metapneumovirus</t>
  </si>
  <si>
    <t xml:space="preserve">RESPIRATORY SYNCYTIAL VIRUS; FUSION F PROTEIN; YOUNG-CHILDREN; EXPERIMENTAL-INFECTION; MONOCLONAL-ANTIBODIES; PROTECTIVE IMMUNITY; HIGH SEROPREVALENCE; CROSS-REACTIVITY; IN-VITRO; VACCINE</t>
  </si>
  <si>
    <t xml:space="preserve">Human metapneumovirus (HMPV), a paramyxovirus identified in 2001, is a leading cause of respiratory tract infections in both children and adults. Seroprevalence studies demonstrate that the primary infection occurs before the age of 5 years, and humans are reinfected throughout life. The four subgroups of HMPV occur with year-to-year variability, and infection with one subgroup confers some serologic cross-protection. Experimental vaccines elicit a humoral response in both animal and human models and have been used to identify antigenic determinants. The main target of protective antibodies is the fusion (F) protein, although many of the remaining eight proteins are immunogenic. Monoclonal antibodies (mAbs) targeting the F protein are both protective and therapeutic in animal models. Most recently, the identification of broadly neutralizing antibodies against HMPV and respiratory syncytial virus demonstrates that common epitopes are present between the two viruses. Broadly neutralizing mAbs have significant clinical implications for prophylaxis and treatment of high-risk hosts as well as vaccine development.</t>
  </si>
  <si>
    <t xml:space="preserve">[Schuster, Jennifer E.] Childrens Mercy Hosp, Dept Pediat, Kansas City, MO 64108 USA; [Williams, John V.] Vanderbilt Univ, Sch Med, Dept Pediat, Nashville, TN 37232 USA; [Williams, John V.] Vanderbilt Univ, Sch Med, Dept Pathol Microbiol &amp; Immunol, Nashville, TN 37232 USA</t>
  </si>
  <si>
    <t xml:space="preserve">Children's Mercy Hospital; Vanderbilt University; Vanderbilt University</t>
  </si>
  <si>
    <t xml:space="preserve">Williams, JV (corresponding author), Vanderbilt Univ, Sch Med, Dept Pediat, Nashville, TN 37232 USA.</t>
  </si>
  <si>
    <t xml:space="preserve">NIAID NIH HHS [R01 AI085062] Funding Source: Medline</t>
  </si>
  <si>
    <t xml:space="preserve">AID-0020-2014</t>
  </si>
  <si>
    <t xml:space="preserve">10.1128/microbiolspec.AID-0020-2014</t>
  </si>
  <si>
    <t xml:space="preserve">V9D0S</t>
  </si>
  <si>
    <t xml:space="preserve">hybrid, Green Submitted</t>
  </si>
  <si>
    <t xml:space="preserve">WOS:000422201300026</t>
  </si>
  <si>
    <t xml:space="preserve">Klein, MI; Coviello, S; Bauer, G; Benitez, A; Serra, ME; Schiatti, MP; Delgado, MF; Melendi, GA; Novalli, L; Pena, HG; Karron, RA; Kleeberger, SR; Polack, FP</t>
  </si>
  <si>
    <t xml:space="preserve">The impact of infection with human metapneumovirus and other respiratory viruses in young infants and children at high risk for severe pulmonary disease</t>
  </si>
  <si>
    <t xml:space="preserve">Human metapneumovirus; Medicine; Respiratory disease; Metapneumovirus</t>
  </si>
  <si>
    <t xml:space="preserve">SYNCYTIAL-VIRUS; TRACT INFECTIONS; BRONCHIOLITIS; EPIDEMIOLOGY; SMOKE</t>
  </si>
  <si>
    <t xml:space="preserve">We conducted a prospective, observational study to characterize the clinical manifestations of respiratory infections caused by human metapneumovirus (hMPV) and other viruses in 194 premature infants and young children with chronic lung disease or congenital heart disease in Buenos Aires. Children had 567 episodes of respiratory illness and were monitored until they were 2 years old or until the completion of the study. hMPV elicited 12 infections (2%) year-round; 30% were of moderate or greater severity. Human parainfluenza virus type 3 caused 24 infections (4%), and 5 (25%) of 20 lung infections led to hospitalization. Respiratory syncytial virus (RSV) caused 33 episodes-17% of infections and 32% of hospitalizations during the respiratory season. None of the 10 children infected with influenza virus had severe disease. The present study of at-risk children suggests that hMPV and influenza virus are infrequent agents of severe disease and highlights the need for preventive interventions against RSV in developing countries.</t>
  </si>
  <si>
    <t xml:space="preserve">Johns Hopkins Univ, Dept Pediat, Sch Med, Baltimore, MD 21205 USA; Johns Hopkins Univ, Dept Int Hlth, Baltimore, MD 21205 USA; Johns Hopkins Univ, Dept Mol Microbiol &amp; Immunol, Baltimore, MD 21205 USA; Fdn INFANT, Buenos Aires, DF, Argentina; Hosp Pediat Juan P Garrahan, Buenos Aires, DF, Argentina; Maternidad Sarda, Buenos Aires, DF, Argentina; NIEHS, NIH, Res Triangle Pk, NC 27709 USA</t>
  </si>
  <si>
    <t xml:space="preserve">Johns Hopkins University; Johns Hopkins University; Johns Hopkins University; Hospital de Pediatria Doctor Juan Garrahan; National Institutes of Health (NIH) - USA; NIH National Institute of Environmental Health Sciences (NIEHS)</t>
  </si>
  <si>
    <t xml:space="preserve">Johns Hopkins Univ, Dept Pediat, Sch Med, 615 N Wolfe St,E5202, Baltimore, MD 21205 USA.</t>
  </si>
  <si>
    <t xml:space="preserve">Kleeberger, Steven/0000-0003-2948-8452; Serra, Maria Elina/0000-0002-0026-9072</t>
  </si>
  <si>
    <t xml:space="preserve">NIAID NIH HHS [AI-054952] Funding Source: Medline</t>
  </si>
  <si>
    <t xml:space="preserve">10.1086/503806</t>
  </si>
  <si>
    <t xml:space="preserve">038SS</t>
  </si>
  <si>
    <t xml:space="preserve">WOS:000237246700011</t>
  </si>
  <si>
    <t xml:space="preserve">Shirato, K; Suwa, R; Nao, N; Kawase, M; Sugimoto, S; Kume, Y; Chishiki, M; Ono, T; Okabe, H; Norito, S; Sato, M; Sakuma, H; Suzuki, S; Hosoya, M; Takeda, M; Hashimoto, K</t>
  </si>
  <si>
    <t xml:space="preserve">Shirato, Kazuya; Suwa, Reiko; Nao, Naganori; Kawase, Miyuki; Sugimoto, Satoko; Kume, Yohei; Chishiki, Mina; Ono, Takashi; Okabe, Hisao; Norito, Sakurako; Sato, Masatoki; Sakuma, Hiroko; Suzuki, Shigeo; Hosoya, Mitsuaki; Takeda, Makoto; Hashimoto, Koichi</t>
  </si>
  <si>
    <t xml:space="preserve">Molecular Epidemiology of Human Metapneumovirus in East Japan before and after COVID-19, 2017-2022</t>
  </si>
  <si>
    <t xml:space="preserve">Human metapneumovirus; Coronavirus disease 2019 (COVID-19); Epidemiology; Metapneumovirus; Severe acute respiratory syndrome coronavirus 2 (SARS-CoV-2); 2019-20 coronavirus outbreak; Virology; Betacoronavirus; Medicine; Molecular epidemiology</t>
  </si>
  <si>
    <t xml:space="preserve">RESPIRATORY SYNCYTIAL VIRUS; G GENE; DUPLICATION; INFECTION; VARIANTS; CHILDREN; DISEASE; CHINA</t>
  </si>
  <si>
    <t xml:space="preserve">Human metapneumovirus (hMPV) is genetically classified into two major subgroups, A and B, based on attachment glycoprotein (G protein) gene sequences. The A2 subgroup is further separated into three subdivisions, A2a, A2b (A2b1), and A2c (A2b2). Subgroup A2c viruses carrying 180- or 111-nucleotide duplications in the G gene (A2c(180nt-dup) or A2c(111nt-dup)) have been reported in Japan and Spain. The coronavirus disease 2019 (COVID-19) pandemic disrupted the epidemiological kinetics of other respiratory viruses, including hMPV. In this study, we analyzed the sequences of hMPV isolates in Tokyo and Fukushima obtained from 2017 to 2022, i.e., before and after the COVID-19 pandemic. Subgroup A hMPV strains were detected from 2017 to 2019, and most cases were A2c(111nt-dup), suggesting ongoing transmission of this Glade, consistent with global transmission dynamics. Subgroup B viruses, but not subgroup A viruses, were detected in 2022 after the COVID-19 peak. Phylogenetic analysis showed that the subgroup B viruses were closely related to strains detected in Yokohama from 2013 to 2016, and strains detected in Fukushima in 2019, suggesting the reappearance of local endemic viruses in East Japan.</t>
  </si>
  <si>
    <t xml:space="preserve">[Shirato, Kazuya; Suwa, Reiko; Nao, Naganori; Kawase, Miyuki; Sugimoto, Satoko; Takeda, Makoto] Natl Inst Infect Dis, Dept Virol 3, Tokyo, Japan; [Nao, Naganori] Hokkaido Univ, One Hlth Res Ctr, Int Inst Zoonosis Control, Sapporo, Japan; [Nao, Naganori] Hokkaido Univ, Int Inst Zoonosis Control, Div Int Res Promot, Sapporo, Japan; [Sugimoto, Satoko] Natl Inst Infect Dis, Management Dept Biosafety Lab Animals &amp; Pathoge B, Tokyo, Japan; [Kume, Yohei; Chishiki, Mina; Ono, Takashi; Okabe, Hisao; Norito, Sakurako; Sato, Masatoki; Hosoya, Mitsuaki; Hashimoto, Koichi] Fukushima Med Univ, Sch Med, Dept Pediat, Fukushima, Japan; [Sakuma, Hiroko] Hoshi Gen Hosp, Fukushima, Japan; [Suzuki, Shigeo] Ohara Gen Hosp, Fukushima, Japan; [Takeda, Makoto] Univ Tokyo, Grad Sch Med, Dept Microbiol, Tokyo, Japan; [Takeda, Makoto] Univ Tokyo, Fac Med, Tokyo, Japan</t>
  </si>
  <si>
    <t xml:space="preserve">National Institute of Infectious Diseases (NIID); Hokkaido University; Hokkaido University; National Institute of Infectious Diseases (NIID); Fukushima Medical University; University of Tokyo; University of Tokyo</t>
  </si>
  <si>
    <t xml:space="preserve">Shirato, K (corresponding author), Natl Inst Infect Dis, Murayarna Branch, Dept Virol 3, 4-7-1 Gakuen, Musashimurayama, Tokyo 2080011, Japan.</t>
  </si>
  <si>
    <t xml:space="preserve">National Institute of Infectious Diseases, Japan [23fk0108661j0001, 22fk0108543j0201]; Japan Agency for Medical Research and Development</t>
  </si>
  <si>
    <t xml:space="preserve">National Institute of Infectious Diseases, Japan; Japan Agency for Medical Research and Development(Japan Agency for Medical Research and Development (AMED))</t>
  </si>
  <si>
    <t xml:space="preserve">We thank Dr. Kunihiro Oba, Showa General Hospital, for providing clinical specimens and Dr. Kazutaka Egawa, Department of Virology III, National Institute of Infectious Diseases, Japan, for providing support with the experiments. This work was supported by Grants-in-Aid (23fk0108661j0001 and 22fk0108543j0201) from the Japan Agency for Medical Research and Development.</t>
  </si>
  <si>
    <t xml:space="preserve">10.7883/yoken.JJID.2023.350</t>
  </si>
  <si>
    <t xml:space="preserve">F8T1L</t>
  </si>
  <si>
    <t xml:space="preserve">WOS:001312464900003</t>
  </si>
  <si>
    <t xml:space="preserve">Ghamloush, SS; Essink, B; Hu, B; Kalidindi, S; Morsy, L; Egwuenu-Dumbuya, C; Kapoor, A; Girard, B; Dhar, R; Lackey, R; Snape, MD; Shaw, CA</t>
  </si>
  <si>
    <t xml:space="preserve">Ghamloush, Sabine Schnyder; Essink, Brandon; Hu, Bo; Kalidindi, Shiva; Morsy, Louie; Egwuenu-Dumbuya, Chioma; Kapoor, Archana; Girard, Bethany; Dhar, Rakesh; Lackey, Rebecca; Snape, Matthew D.; Shaw, Christine A.</t>
  </si>
  <si>
    <t xml:space="preserve">Safety and Immunogenicity of an mRNA-Based hMPV/PIV3 Combination Vaccine in Seropositive Children</t>
  </si>
  <si>
    <t xml:space="preserve">Medicine; Placebo</t>
  </si>
  <si>
    <t xml:space="preserve">PARAINFLUENZA VIRUS; HUMAN METAPNEUMOVIRUS; YOUNG-CHILDREN; GLOBAL BURDEN; UNITED-STATES; INFECTION</t>
  </si>
  <si>
    <t xml:space="preserve">OBJECTIVES Human metapneumovirus (hMPV) and parainfluenza virus type 3 (PIV3) are common respiratory illnesses in children. The safety and immunogenicity of an investigational mRNA-based vaccine, mRNA-1653, encoding membrane-anchored fusion proteins of hMPV and PIV3, was evaluated in hMPV/PIV3-seropositive children.METHODS In this phase 1b randomized, observer-blind, placebo-controlled, dose-ranging study, hMPV/PIV3-seropositive children were enrolled sequentially into 2 dose levels of mRNA-1653 administered 2 months apart; children aged 12 to 36 months were randomized (1:1) to receive 10-mu g of mRNA-1653 or placebo and children aged 12 to 59 months were randomized (3:1) to receive 30-mu g of mRNA-1653 or placebo.RESULTS Overall, 27 participants aged 18 to 55 months were randomized; 15 participants received 10-mu g of mRNA-1653 (n = 8) or placebo (n = 7), whereas 12 participants received 30-mu g of mRNA-1653 (n = 9) or placebo (n = 3). mRNA-1653 was well-tolerated at both dose levels. The only reported solicited local adverse reaction was tenderness at injection site; solicited systemic adverse reactions included grade 1 or 2 chills, irritability, loss of appetite, and sleepiness. A single 10-mu g or 30-mu g mRNA-1653 injection increased hMPV and PIV3 neutralizing antibody titers (geometric mean fold-rise ratio over baseline: hMPV-A = 2.9-6.1; hMPV-B = 6.2-13.2; PIV3 = 2.8-3.0) and preF and postF binding antibody concentrations (geometric mean fold-rise ratio: hMPV preF = 5.3-6.1; postF = 4.6-6.5 and PIV3 preF = 13.9-14.2; postF = 11.0-12.1); a second injection did not further increase antibody levels in these seropositive children. Binding antibody responses were generally preF biased.CONCLUSIONS mRNA-1653 was well-tolerated and boosted hMPV and PIV3 antibody levels in seropositive children aged 12 to 59 months, supporting the continued development of mRNA-1653 or its components for the prevention of hMPV and PIV3.</t>
  </si>
  <si>
    <t xml:space="preserve">[Ghamloush, Sabine Schnyder; Hu, Bo; Kalidindi, Shiva; Morsy, Louie; Egwuenu-Dumbuya, Chioma; Kapoor, Archana; Girard, Bethany; Dhar, Rakesh; Lackey, Rebecca; Shaw, Christine A.] Moderna Inc, 200 Technol Sq, Cambridge, MA 02139 USA; [Essink, Brandon] MeridiTable San Clin Res, Savannah, GA USA; [Snape, Matthew D.] Moderna Biotech UK Distributor Ltd, London, England</t>
  </si>
  <si>
    <t xml:space="preserve">Shaw, CA (corresponding author), Moderna Inc, 200 Technol Sq, Cambridge, MA 02139 USA.</t>
  </si>
  <si>
    <t xml:space="preserve">Christine.Shaw@modernatx.com</t>
  </si>
  <si>
    <t xml:space="preserve">Moderna, Inc</t>
  </si>
  <si>
    <t xml:space="preserve">Medical writing and editorial assistance was provided by Louansha Nandlal, PhD, of MEDiSTRAVA in accordance with Good Publication Practice (GPP 2022) guidelines, funded by Moderna, Inc, and under the direction of the authors.</t>
  </si>
  <si>
    <t xml:space="preserve">Itasca</t>
  </si>
  <si>
    <t xml:space="preserve">345 Park Boulevard, Itasca, IL, UNITED STATES</t>
  </si>
  <si>
    <t xml:space="preserve">e2023064748</t>
  </si>
  <si>
    <t xml:space="preserve">10.1542/peds.2023-064748</t>
  </si>
  <si>
    <t xml:space="preserve">UU0U5</t>
  </si>
  <si>
    <t xml:space="preserve">WOS:001250462400022</t>
  </si>
  <si>
    <t xml:space="preserve">Schickli, JH; Kaur, J; Ulbrandt, N; Spaete, RR; Tang, RS</t>
  </si>
  <si>
    <t xml:space="preserve">An S101P substitution in the putative cleavage motif of the human metapneumovirus fusion protein is a major determinant for trypsin-independent growth in vero cells and does not alter tissue tropism in hamsters</t>
  </si>
  <si>
    <t xml:space="preserve">Biology; Human metapneumovirus; Virology; Furin; Trypsin; Vero cell</t>
  </si>
  <si>
    <t xml:space="preserve">PARAINFLUENZA VIRUS TYPE-3; RESPIRATORY SYNCYTIAL VIRUS; NEWCASTLE-DISEASE VIRUS; AFRICAN-GREEN MONKEYS; SENDAI-VIRUS; F-PROTEIN; PROTEOLYTIC CLEAVAGE; PARAMYXOVIRUS FUSION; INFLUENZA-VIRUSES; TRACT INFECTIONS</t>
  </si>
  <si>
    <t xml:space="preserve">Human metapneumovirus (hMPV), a recently described paramyxovirus, is a major etiological agent for lower respiratory tract disease in young children that can manifest with severe cough, bronchiolitis, and pneumonia. The hMPV fusion glycoprotein (F) shares conserved functional domains with other paramyxovirus F proteins that are important for virus entry and spread. For other paramyxovirus F proteins, cleavage of a precursor protein (F-0) into F-1 and F-2 exposes a fusion peptide at the N terminus of the F-1 fragment, a likely prerequisite for fusion activity. Many hMPV strains have been reported to require trypsin for growth in tissue culture. The majority of these strains contain RQSR at the putative cleavage site. However, strains hMPV/ NL/1/00 and hMPV/NL/1/99 expanded in our laboratory contain the sequence RQPR and do not require trypsin for growth in Vero cells. The contribution of this single amino acid change was verified directly by generating recombinant virus (rhMPV/NL/1/00) with either proline or serine at position 101 in F. These results suggested that cleavage of F protein in Vero cells could be achieved by trypsin or S101P amino acid substitution in the putative cleavage site motif. Moreover, trypsin-independent cleavage of hMPV F containing 101P was enhanced by the amino acid substitution E93K. In hamsters, rhMPV/93K/101S and rhMPV/93K/101P grew to equivalent titers in the respiratory tract and replication was restricted to respiratory tissues. The ability of these hMPV strains to replicate efficiently in the absence of trypsin should greatly facilitate the generation, preclinical testing, and manufacturing of attenuated hMPV vaccine candidates.</t>
  </si>
  <si>
    <t xml:space="preserve">MedImmune Vaccines Inc, Mountain View, CA 94043 USA; Medimmune Inc, Gaithersburg, MD 20878 USA</t>
  </si>
  <si>
    <t xml:space="preserve">AstraZeneca; Medimmune; AstraZeneca; Medimmune</t>
  </si>
  <si>
    <t xml:space="preserve">schicklij@medimmune.com</t>
  </si>
  <si>
    <t xml:space="preserve">10.1128/JVI.79.16.10678-10689.2005</t>
  </si>
  <si>
    <t xml:space="preserve">950UX</t>
  </si>
  <si>
    <t xml:space="preserve">WOS:000230884700058</t>
  </si>
  <si>
    <t xml:space="preserve">O'Gorman, C; McHenry, E; Coyle, PV</t>
  </si>
  <si>
    <t xml:space="preserve">Human metapneumovirus in adults: a short case series</t>
  </si>
  <si>
    <t xml:space="preserve">Human metapneumovirus; Medicine; Metapneumovirus; Epidemiology</t>
  </si>
  <si>
    <t xml:space="preserve">RESPIRATORY-TRACT INFECTIONS; PNEUMONIA; DISEASE; AGE</t>
  </si>
  <si>
    <t xml:space="preserve">This study was carried out to further the available information on adult cases of human metapneumovirus (hMPV), a recently described cause of respiratory infection. Among a cohort of 741 symptomatic patients tested since 2003, the virus was diagnosed in six adults using reverse transcriptase polymerase chain reaction. Of the six, two were from the community, two were hospital inpatients with chronic obstructive pulmonary disease and two were immunocompromised patients, both of whom required ventilation and later died. This report discusses the clinical features, epidemiology and diagnosis of hMPV, highlighting that this infection may be associated with death in high-risk adults. For adults presenting with respiratory symptoms and a background of pre-existing respiratory disease or who are immunocompromised, nucleic acid-based techniques are a cost-effective means of making the viral diagnosis in a clinically relevant time frame.</t>
  </si>
  <si>
    <t xml:space="preserve">Royal Grp Hosp Trust, Reg Virus Lab, Belfast BT12 6BA, Antrim, North Ireland</t>
  </si>
  <si>
    <t xml:space="preserve">O'Gorman, C (corresponding author), Royal Grp Hosp Trust, Reg Virus Lab, Belfast BT12 6BA, Antrim, North Ireland.</t>
  </si>
  <si>
    <t xml:space="preserve">ciaran.ogorman@bll.n-i.nhs.uk</t>
  </si>
  <si>
    <t xml:space="preserve">10.1007/s10096-006-0116-0</t>
  </si>
  <si>
    <t xml:space="preserve">022YU</t>
  </si>
  <si>
    <t xml:space="preserve">WOS:000236092900007</t>
  </si>
  <si>
    <t xml:space="preserve">Larcher, C; Geltner, C; Fischer, H; Nachbaur, D; Müller, LC; Huemer, HP</t>
  </si>
  <si>
    <t xml:space="preserve">Human metapneumovirus infection in lung transplant recipients:: Clinical presentation and epidemiology</t>
  </si>
  <si>
    <t xml:space="preserve">Human metapneumovirus; Medicine; Metapneumovirus; Pneumonia; Lung; Bronchoalveolar lavage</t>
  </si>
  <si>
    <t xml:space="preserve">BRONCHIOLITIS-OBLITERANS-SYNDROME; RESPIRATORY-TRACT INFECTIONS; STEM-CELL TRANSPLANTATION; TRANSCRIPTASE-PCR ASSAY; HOSPITALIZED-PATIENTS; VIRAL-INFECTIONS; SYNCYTIAL VIRUS; MULTIPLEX; PERSISTENCE; INFLUENZA</t>
  </si>
  <si>
    <t xml:space="preserve">Background:. in immunocompromised patients, respiratory viruses are likely to lead to lower respiratory tract infections that cause severe morbidity and mortality. We conducted a prospective study from September 2003 to March 2004 to investigate the epidemiology and impact of human metapneumovirus (hMPV) on lung transplant recipients. Methods: We collected 265 nasopharyngeal aspirates and bronchoalveolar lavages: 51 samples originated from inummocompromised adults, 49 from lung transplant recipients, and 2 from a bone marrow recipient. Additionally, 209 samples from hospitalized non-immunocompromised children and 5 samples from immunocompromised children were analyzed for replicating hMPV by a combined cell culture and reverse transcriptase polymerase chain reaction method that includes DNA sequencing of selected isolates. Results: Twelve samples from lung transplant recipients (25%), 29 from non-immunocompromised children (14%), and 2 from a child with a renal transplant were positive for hMPV. Most of the cases clustered within 2 outbreaks in October/November and March. In immunocompromised patients, hMPV was isolated throughout the entire observation period. The same viral strains circulated in hospitalized children and in lung transplant recipients. A different strain was isolated during the interepidemic period, suggesting that hMPV infections may be transmitted among lung transplant recipients independently from the community outbreak situation. Clinical signs and symptoms varied from no symptoms to severe pneumonia or acute graft rejection. Significantly, the only deaths occurred in the hMPV-positive group. Of interest, identification of replicating hMPV significantly correlated with rejection symptoms present at the time point of sample collection. Conclusions: Results of the study suggest that hMPV may be added to the list of pathogens that are possibly associated with episodes of allograft rejection. J Heart Lung Transplant 2005;24:1891-901. Copyright (c) 2005 by the, International Society for Heart and Lung Transplantation.</t>
  </si>
  <si>
    <t xml:space="preserve">Innsbruck Med Univ, Dept Hyg Microbiol &amp; Social Med, A-6020 Innsbruck, Austria; Hosp Natters, Dept Pulmonol, Natters, Austria; Innsbruck Med Univ, Dept Pediat, A-6020 Innsbruck, Austria; Innsbruck Med Univ, Dept Hematol &amp; Oncol, A-6020 Innsbruck, Austria; Innsbruck Med Univ, Dept Cardiac Surg, A-6020 Innsbruck, Austria</t>
  </si>
  <si>
    <t xml:space="preserve">Medical University of Innsbruck; Medical University of Innsbruck; Medical University of Innsbruck; Medical University of Innsbruck</t>
  </si>
  <si>
    <t xml:space="preserve">Larcher, C (corresponding author), Innsbruck Med Univ, Dept Hyg Microbiol &amp; Social Med, Fritz Pregl Str 3, A-6020 Innsbruck, Austria.</t>
  </si>
  <si>
    <t xml:space="preserve">Clara.Larcher@uibk.ac.at</t>
  </si>
  <si>
    <t xml:space="preserve">Deitsch, Haysha/C-2019-2017; Geltner, Christian/F-2365-2015</t>
  </si>
  <si>
    <t xml:space="preserve">Deitsch, Haysha/0000-0002-0215-4340; Geltner, Christian/0000-0001-6910-8093</t>
  </si>
  <si>
    <t xml:space="preserve">10.1016/j.healun.2005.02.014</t>
  </si>
  <si>
    <t xml:space="preserve">985XP</t>
  </si>
  <si>
    <t xml:space="preserve">WOS:000233412300029</t>
  </si>
  <si>
    <t xml:space="preserve">Wen, X; Pickens, J; Mousa, JJ; Leser, GP; Lamb, RA; Crowe, JE; Jardetzky, TS</t>
  </si>
  <si>
    <t xml:space="preserve">Wen, Xiaolin; Pickens, Jennifer; Mousa, Jarrod J.; Leser, George P.; Lamb, Robert A.; Crowe, James E., Jr.; Jardetzky, Theodore S.</t>
  </si>
  <si>
    <t xml:space="preserve">A Chimeric Pneumovirus Fusion Protein Carrying Neutralizing Epitopes of Both MPV and RSV</t>
  </si>
  <si>
    <t xml:space="preserve">Epitope; Virology; Palivizumab; Human metapneumovirus; Biology; Monoclonal antibody; Paramyxoviridae; Virus; Neutralizing antibody; Antibody; Antigen</t>
  </si>
  <si>
    <t xml:space="preserve">RESPIRATORY SYNCYTIAL VIRUS; HUMAN METAPNEUMOVIRUS; F-PROTEIN; MONOCLONAL-ANTIBODY; STRUCTURAL BASIS; GLYCOPROTEIN; INFECTION; VACCINE; MOTAVIZUMAB; PREFUSION</t>
  </si>
  <si>
    <t xml:space="preserve">Respiratory syncytial virus (RSV) and human metapneumovirus (HMPV) are paramyxoviruses that are responsible for substantial human health burden, particularly in children and the elderly. The fusion (F) glycoproteins are major targets of the neutralizing antibody response and studies have mapped dominant antigenic sites in F. Here we grafted a major neutralizing site of RSV F, recognized by the prophylactic monoclonal antibody palivizumab, onto HMPV F, generating a chimeric protein displaying epitopes of both viruses. We demonstrate that the resulting chimeric protein (RPM-1) is recognized by both anti-RSV and anti-HMPV F neutralizing antibodies indicating that it can be used to map the epitope specificity of antibodies raised against both viruses. Mice immunized with the RPM-1 chimeric antigen generate robust neutralizing antibody responses to MPV but weak or no cross-reactive recognition of RSV F, suggesting that grafting of the single palivizumab epitope stimulates a comparatively limited antibody response. The RPM-1 protein provides a new tool for characterizing the immune responses resulting from RSV and HMPV infections and provides insights into the requirements for developing a chimeric subunit vaccine that could induce robust and balanced immunity to both virus infections.</t>
  </si>
  <si>
    <t xml:space="preserve">[Wen, Xiaolin; Jardetzky, Theodore S.] Stanford Univ, Dept Biol Struct, Sch Med, Stanford, CA 94305 USA; [Pickens, Jennifer; Mousa, Jarrod J.; Crowe, James E., Jr.] Vanderbilt Univ, Sch Med, Dept Pediat, Nashville, TN 37212 USA; [Pickens, Jennifer; Mousa, Jarrod J.; Crowe, James E., Jr.] Vanderbilt Univ, Monroe Carell Jr Childrens Hosp, 221 Kirkland Hall, Nashville, TN 37235 USA; [Leser, George P.; Lamb, Robert A.] Northwestern Univ, Howard Hughes Med Inst, Evanston, IL USA; [Leser, George P.; Lamb, Robert A.] Northwestern Univ, Dept Mol Biosci, Evanston, IL USA; [Crowe, James E., Jr.] Vanderbilt Univ, Sch Med, Dept Pathol Microbiol &amp; Immunol, Nashville, TN 37212 USA</t>
  </si>
  <si>
    <t xml:space="preserve">Stanford University; Vanderbilt University; Vanderbilt University; Northwestern University; Howard Hughes Medical Institute; Northwestern University; Vanderbilt University</t>
  </si>
  <si>
    <t xml:space="preserve">Jardetzky, TS (corresponding author), Stanford Univ, Dept Biol Struct, Sch Med, Stanford, CA 94305 USA.</t>
  </si>
  <si>
    <t xml:space="preserve">tjardetz@stanford.edu</t>
  </si>
  <si>
    <t xml:space="preserve">Crowe, James/B-5549-2009</t>
  </si>
  <si>
    <t xml:space="preserve">Crowe, James/0000-0002-0049-1079; Mousa, Jarrod/0000-0003-4709-2478; Jardetzky, Theodore/0000-0002-3664-0072</t>
  </si>
  <si>
    <t xml:space="preserve">National Institutes of Health [AI-23173, GM-61050]</t>
  </si>
  <si>
    <t xml:space="preserve">This research was supported in part by National Institutes of Health (http://www.nih.gov/) Research Grants AI-23173 (to R.A.L.) and GM-61050 (to T.S.J.). R.A.L. is an Investigator of the Howard Hughes Medical Institute (https://www.hhmi.org/).</t>
  </si>
  <si>
    <t xml:space="preserve">MAY 25</t>
  </si>
  <si>
    <t xml:space="preserve">e0155917</t>
  </si>
  <si>
    <t xml:space="preserve">10.1371/journal.pone.0155917</t>
  </si>
  <si>
    <t xml:space="preserve">DN2GI</t>
  </si>
  <si>
    <t xml:space="preserve">WOS:000376881700040</t>
  </si>
  <si>
    <t xml:space="preserve">Ginocchio, CC; Manji, R; Lotlikar, M; Zhang, F</t>
  </si>
  <si>
    <t xml:space="preserve">Ginocchio, Christine C.; Manji, Ryhana; Lotlikar, Madhavi; Zhang, Fan</t>
  </si>
  <si>
    <t xml:space="preserve">Clinical evaluation of NucliSENS magnetic extraction and NucliSENS analyte-specific reagents for real-time detection of human Metapneumovirus in pediatric respiratory specimens</t>
  </si>
  <si>
    <t xml:space="preserve">Human metapneumovirus; Virology; Nucleic acid; Detection limit</t>
  </si>
  <si>
    <t xml:space="preserve">NUCLEIC-ACID EXTRACTION; SEQUENCE-BASED AMPLIFICATION; REVERSE-TRANSCRIPTASE; SYNDROME CORONAVIRUS; TRACT INFECTIONS; ENTEROVIRUS RNA; STOOL SPECIMENS; SYNCYTIAL VIRUS; PCR ASSAYS; DIAGNOSIS</t>
  </si>
  <si>
    <t xml:space="preserve">In this study, we evaluated the NucliSENS miniNIAG (MM) and easyMAG (EM) nucleic acid extraction platforms (bioMerieux, Durham, NC) in combination with the NucliSENS EasyQ basic kit and analyte-specific reagents (ASRs) (bioMerieux) for the detection of human metapneumovirus (hMPV) in respiratory samples. Total nucleic acids from pediatric clinical samples (n = 653) and an hMPV-specific inhibition control (h-IC) were coextracted using the MM and/or the EM. Nucleic acid sequence-based amplification and real-time molecular beacon detection of hMPV were performed using a NucliSENS EasyQ analyzer (bioMerieux). Positive results were confirmed using an in-house-validated reverse transcriptase PCR ASR-based assay. The inclusion of the h-IC monitored the entire process, including the efficiency of nucleic acid extraction, amplification, and detection. The percentages of samples with inhibited amplification of the h-IC after initial NA extraction by EM and MM were 1.88% and 3.17%, respectively. After reprocessing of a new aliquot, the final h-IC inhibition rates were 0% (EM) and 1.06% (MM). The limit of detection of the assay was between 2 (EM extraction) and 10 (MM extraction) RNA copies/reaction, and specificity was 100% when testing viral respiratory isolates and clinical samples. hMPV was detected in 5.6% of pediatric samples tested and was also detected in three coinfections with respiratory syncytial virus (RSV). hMPV was the second most frequently detected respiratory virus in children of 0 to 2 years of age, after RSV. In summary, NucliSENS extraction and ASRs provided a sensitive and specific method for the detection of hMPV in respiratory samples.</t>
  </si>
  <si>
    <t xml:space="preserve">[Ginocchio, Christine C.; Manji, Ryhana; Zhang, Fan] N Shore Long Isl Jewish Hlth Syst Labs, Dept Lab Med, New Hyde Pk, NY 11042 USA; [Ginocchio, Christine C.; Lotlikar, Madhavi] N Shore Univ Hosp, Dept Lab Med, Manhasset, NY USA</t>
  </si>
  <si>
    <t xml:space="preserve">Northwell Health; Northwell Health; North Shore University Hospital</t>
  </si>
  <si>
    <t xml:space="preserve">Ginocchio, CC (corresponding author), N Shore Long Isl Jewish Hlth Syst Labs, Dept Lab Med, 10 Nevada Dr, New Hyde Pk, NY 11042 USA.</t>
  </si>
  <si>
    <t xml:space="preserve">cginocch@nshs.edu</t>
  </si>
  <si>
    <t xml:space="preserve">10.1128/JCM.01567-07</t>
  </si>
  <si>
    <t xml:space="preserve">286SN</t>
  </si>
  <si>
    <t xml:space="preserve">WOS:000254866400018</t>
  </si>
  <si>
    <t xml:space="preserve">Guerrero-Plata, A; Baron, S; Poast, JS; Adegboyega, PA; Casola, A; Garofalo, RP</t>
  </si>
  <si>
    <t xml:space="preserve">Activity and regulation of alpha interferon in respiratory syncytial virus and human metapneumovirus experimental infections</t>
  </si>
  <si>
    <t xml:space="preserve">Human metapneumovirus; Biology; Virology; Pneumovirinae; Paramyxoviridae; Mononegavirales; Virus; Immunology; Interferon</t>
  </si>
  <si>
    <t xml:space="preserve">NF-KAPPA-B; AIRWAY EPITHELIAL-CELLS; DOUBLE-STRANDED-RNA; TOLL-LIKE RECEPTORS; I INTERFERONS; TRANSCRIPTION FACTORS; DENDRITIC CELLS; PROTEINS; INHIBITION; EXPRESSION</t>
  </si>
  <si>
    <t xml:space="preserve">Respiratory syncytial virus (RSV) and human metapneumovirus (hMPV) cause a similar spectrum of respiratory infections in humans. Classified within the Paramyxoviridae family, Pneumovirinae subfamily, RSV and hMPV present a significant degree of divergence in genome constellation, organization, and protein sequences. RSV has been reported to be a poor inducer of alpha/beta interferons (IFN-alpha/beta) and partially resistant to its antiviral activity. The nature of the innate immune response to hMPV is currently unknown. Herein, an experimental mouse model was used to investigate the interplay between RSV and hMPV infections and IFN-alpha in the airways. RSV-infected BALB/c mice treated intranasally with either poly-ICLC, a potent inducer of IFN-alpha, or directly with recombinant IFN-alpha showed significantly reduced lung viral titers, inflammation, and clinical disease than untreated controls. However, RSV was significantly less sensitive to the antiviral activity of IFN-alpha than hMPV. Similarly, when the ability to directly induce IFN-alpha production was assessed, RSV was clearly a weaker inducer of IFN-alpha than hMPV, as shown by both kinetics and the absolute amount of IFN-alpha secreted into the bronchoalveolar lavage. To further investigate the putative inhibitory effect of these viruses on IFN-alpha production, mice were infected for 48 h prior to treatment with poly-ICLC or a specific Toll-like receptor 9 ligand, CpG oligodeoxynucleotides. Strikingly, both poly-ICLC- and CpG-mediated IFN-alpha production was abrogated by either RSV or MPV infection. These results suggest that a complex interplay between virus-specific and host-mediated responses regulates IFN-alpha in the lung during infection by members of the Pneumovirinae family.</t>
  </si>
  <si>
    <t xml:space="preserve">Univ Texas, Med Branch, Dept Pediat, Galveston, TX 77555 USA; Univ Texas, Med Branch, Dept Microbiol &amp; Immunol, Galveston, TX 77555 USA; Univ Texas, Med Branch, Dept Pathol, Galveston, TX 77555 USA; Univ Texas, Med Branch, Sealy Ctr Vaccine Dev, Galveston, TX 77555 USA</t>
  </si>
  <si>
    <t xml:space="preserve">NIAID NIH HHS [R21 AI053785, AI053785] Funding Source: Medline</t>
  </si>
  <si>
    <t xml:space="preserve">10.1128/JVI.79.16.10190-10199.2005</t>
  </si>
  <si>
    <t xml:space="preserve">WOS:000230884700010</t>
  </si>
  <si>
    <t xml:space="preserve">Kleiner, VA; Fischmann, TO; Howe, JA; Beshore, DC; Eddins, MJ; Hou, Y; Mayhood, T; Klein, D; Nahas, DD; Lucas, BJ; Xi, H; Murray, E; Ma, DY; Getty, K; Fearns, R</t>
  </si>
  <si>
    <t xml:space="preserve">Kleiner, Victoria A.; Fischmann, Thierry O.; Howe, John A.; Beshore, Douglas C.; Eddins, Michael J.; Hou, Yan; Mayhood, Todd; Klein, Daniel; Nahas, Debbie D.; Lucas, Bob J.; Xi, He; Murray, Edward; Ma, Daphne Y.; Getty, Krista; Fearns, Rachel</t>
  </si>
  <si>
    <t xml:space="preserve">Conserved allosteric inhibitory site on the respiratory syncytial virus and human metapneumovirus RNA-dependent RNA polymerases</t>
  </si>
  <si>
    <t xml:space="preserve">COMMUNICATIONS BIOLOGY</t>
  </si>
  <si>
    <t xml:space="preserve">Human metapneumovirus; Polymerase; RNA polymerase; Biology; Virology; Allosteric regulation</t>
  </si>
  <si>
    <t xml:space="preserve">VESICULAR STOMATITIS-VIRUS; L PROTEIN; YOUNG-CHILDREN; TRANSCRIPTION; REPLICATION; COMPLEX; REGION; CDNA</t>
  </si>
  <si>
    <t xml:space="preserve">Respiratory syncytial virus (RSV) and human metapneumovirus (HMPV) are related RNA viruses responsible for severe respiratory infections and resulting disease in infants, elderly, and immunocompromised adults(1-3). Therapeutic small molecule inhibitors that bind to the RSV polymerase and inhibit viral replication are being developed, but their binding sites and molecular mechanisms of action remain largely unknown(4). Here we report a conserved allosteric inhibitory site identified on the L polymerase proteins of RSV and HMPV that can be targeted by a dual-specificity, non-nucleoside inhibitor, termed MRK-1. Cryo-EM structures of the inhibitor in complexes with truncated RSV and full-length HMPV polymerase proteins provide a structural understanding of how MRK-1 is active against both viruses. Functional analyses indicate that MRK-1 inhibits conformational changes necessary for the polymerase to engage in RNA synthesis initiation and to transition into an elongation mode. Competition studies reveal that the MRK-1 binding pocket is distinct from that of a capping inhibitor with an overlapping resistance profile, suggesting that the polymerase conformation bound by MRK-1 may be distinct from that involved in mRNA capping. These findings should facilitate optimization of dual RSV and HMPV replication inhibitors and provide insights into the molecular mechanisms underlying their polymerase activities.</t>
  </si>
  <si>
    <t xml:space="preserve">[Kleiner, Victoria A.; Fearns, Rachel] Boston Univ, Dept Virol Immunol &amp; Microbiol, Natl Emerging Infect Dis Labs, Chobanian &amp; Avedisian Sch Med, Boston, MA 02215 USA; [Fischmann, Thierry O.; Howe, John A.; Beshore, Douglas C.; Eddins, Michael J.; Hou, Yan; Mayhood, Todd; Klein, Daniel; Nahas, Debbie D.; Lucas, Bob J.; Xi, He; Murray, Edward; Ma, Daphne Y.; Getty, Krista] Merck &amp; Co Inc, MRL, Rahway, NJ USA</t>
  </si>
  <si>
    <t xml:space="preserve">Boston University; Merck &amp; Company; Merck &amp; Company USA</t>
  </si>
  <si>
    <t xml:space="preserve">Fearns, R (corresponding author), Boston Univ, Dept Virol Immunol &amp; Microbiol, Natl Emerging Infect Dis Labs, Chobanian &amp; Avedisian Sch Med, Boston, MA 02215 USA.</t>
  </si>
  <si>
    <t xml:space="preserve">rfearns@bu.edu</t>
  </si>
  <si>
    <t xml:space="preserve">Fischmann, Thierry/0000-0003-3406-3061; Kleiner, Victoria/0000-0001-9898-5706; Beshore, Douglas/0000-0001-9746-1863</t>
  </si>
  <si>
    <t xml:space="preserve">2399-3642</t>
  </si>
  <si>
    <t xml:space="preserve">COMMUN BIOL</t>
  </si>
  <si>
    <t xml:space="preserve">Commun. Biol.</t>
  </si>
  <si>
    <t xml:space="preserve">10.1038/s42003-023-04990-0</t>
  </si>
  <si>
    <t xml:space="preserve">Biology; Multidisciplinary Sciences</t>
  </si>
  <si>
    <t xml:space="preserve">Life Sciences &amp; Biomedicine - Other Topics; Science &amp; Technology - Other Topics</t>
  </si>
  <si>
    <t xml:space="preserve">K2VN7</t>
  </si>
  <si>
    <t xml:space="preserve">WOS:001015069600001</t>
  </si>
  <si>
    <t xml:space="preserve">Bao, XY; Kolli, D; Ren, JP; Liu, TS; Garofalo, RP; Casola, A</t>
  </si>
  <si>
    <t xml:space="preserve">Bao, Xiaoyong; Kolli, Deepthi; Ren, Junping; Liu, Tianshuang; Garofalo, Roberto P.; Casola, Antonella</t>
  </si>
  <si>
    <t xml:space="preserve">Human Metapneumovirus Glycoprotein G Disrupts Mitochondrial Signaling in Airway Epithelial Cells</t>
  </si>
  <si>
    <t xml:space="preserve">Biology; Human metapneumovirus; Cell biology</t>
  </si>
  <si>
    <t xml:space="preserve">RESPIRATORY SYNCYTIAL VIRUS; ANTIVIRAL INNATE IMMUNITY; I-LIKE RECEPTORS; RIG-I; GENE-EXPRESSION; RNA HELICASE; IKK-EPSILON; ACTIVATION; INFECTION; TRANSCRIPTION</t>
  </si>
  <si>
    <t xml:space="preserve">Human metapneumovirus (hMPV) is a recently identified RNA virus belonging to the Paramyxoviridae family. It is a common cause of respiratory tract infections in children, adults, and immunocompromised patients, for which no specific treatment or vaccine is available. Recent investigations in our lab identified hMPV glycoprotein G as an important virulence factor, as a recombinant virus lacking the G protein (rhMPV-Delta G) exhibited enhanced production of important immune and antiviral mediators, such as cytokines, chemokines and type I interferon (IFN) in airway epithelial cells, and expression of G protein alone inhibits cellular signaling dependent on retinoic induced gene (RIG)-I, a RNA helicase with a fundamental role in initiating hMPV-induced cellular responses. In this study, we have further investigated the mechanism underlying the inhibitory role of hMPV G protein on RIG-I-dependent signaling. We found that the interaction of hMPV G with RIG-I occurs primarily through the CARD domains of RIG-I N-terminus, preventing RIG-I association with the adaptor protein MAVS (mitochondrial antiviral signaling protein), recruitment of RIG-I to mitochondria, as well as the interaction between mitochondria and mitochondria-associated membrane (MAM) component of the endoplasmic reticulum (ER), which contains STINGS, an important part of the viral-induced RIG-I/MAVS signaling pathway, leading in the end to the inhibition of cytokine, chemokine and type I IFN expression. Mutagenesis analysis showed that hMPV G protein cytoplasmic domain played a major role in the observed inhibitory activity, and recombinant viruses expressing a G protein with amino acid substitution in position 2 and 3 recapitulated most of the phenotype observed with rhMPV-Delta G mutant upon infection of airway epithelial cells.</t>
  </si>
  <si>
    <t xml:space="preserve">[Bao, Xiaoyong; Kolli, Deepthi; Ren, Junping; Liu, Tianshuang; Garofalo, Roberto P.; Casola, Antonella] Univ Texas Med Branch, Dept Pediat, Galveston, TX 77555 USA; [Garofalo, Roberto P.; Casola, Antonella] Univ Texas Med Branch, Dept Microbiol &amp; Immunol, Galveston, TX 77555 USA; [Garofalo, Roberto P.; Casola, Antonella] Univ Texas Med Branch, Sealy Ctr Vaccine Dev, Galveston, TX 77555 USA</t>
  </si>
  <si>
    <t xml:space="preserve">xibao@utmb.edu; ancasola@utmb.edu</t>
  </si>
  <si>
    <t xml:space="preserve">Garofalo, Roberto/ABL-2322-2022; ren, jun/KHG-7717-2024</t>
  </si>
  <si>
    <t xml:space="preserve">National Institute of Health [AI079246, P01 AI062885, KAI074829A]; Parker B. Francis Foundation</t>
  </si>
  <si>
    <t xml:space="preserve">National Institute of Health(United States Department of Health &amp; Human ServicesNational Institutes of Health (NIH) - USA); Parker B. Francis Foundation</t>
  </si>
  <si>
    <t xml:space="preserve">This work was supported by National Institute of Health grants AI079246 (AC), P01 AI062885 (AC), KAI074829A (XB), and Parker B. Francis Foundation (XB). The funders had no role in study design, data collection and analysis, decision to publish, or preparation of the manuscript.</t>
  </si>
  <si>
    <t xml:space="preserve">e62568</t>
  </si>
  <si>
    <t xml:space="preserve">10.1371/journal.pone.0062568</t>
  </si>
  <si>
    <t xml:space="preserve">131QH</t>
  </si>
  <si>
    <t xml:space="preserve">WOS:000318008400198</t>
  </si>
  <si>
    <t xml:space="preserve">Aerts, L; Cavanagh, MH; Dubois, J; Carbonneau, J; Rhéaume, C; Lavigne, S; Couture, C; Hamelin, ME; Boivin, G</t>
  </si>
  <si>
    <t xml:space="preserve">Aerts, Laetitia; Cavanagh, Marie-Helene; Dubois, Julia; Carbonneau, Julie; Rheaume, Chantal; Lavigne, Sophie; Couture, Christian; Hamelin, Marie-Eve; Boivin, Guy</t>
  </si>
  <si>
    <t xml:space="preserve">Effect of In Vitro Syncytium Formation on the Severity of Human Metapneumovirus Disease in a Murine Model</t>
  </si>
  <si>
    <t xml:space="preserve">Syncytium; Human metapneumovirus; Biology; Virology</t>
  </si>
  <si>
    <t xml:space="preserve">HUMAN KIDNEY-CELLS; MEMBRANE-FUSION; YOUNG-CHILDREN; F-PROTEIN; MOLECULAR CHARACTERIZATION; GENETIC-VARIABILITY; BALB/C MICE; LOW-PH; VIRUS; INFECTION</t>
  </si>
  <si>
    <t xml:space="preserve">Human metapneumovirus (HMPV) is an important cause of acute respiratory tract infections (ARTI) in children, elderly individuals and immunocompromised patients. In vitro, different HMPV strains can induce variable cytopathic effects ranging from large multinucleated syncytia to focal cell rounding. In this study, we investigated the impact of different in vitro phenotypes of two HMPV strains on viral replication and disease severity in a BALB/c mouse model. We first generated two recombinant GFP-expressing HMPV viruses: C-85473, a syncytium-inducing strain (rC-85473) belonging to the A1 subtype and CAN98-75, a focal cell rounding-inducing strain (rCAN98-75) of the B2 subtype. We subsequently exchanged the F genes of both strains to create the chimeric viruses rC-85473_F and rCAN98-75_F. We demonstrated that the F protein was the sole protein responsible for the syncytium phenotype and that viruses carrying a syncytium-inducing F protein replicated to significantly higher titers in vitro. In vivo, however, the virulence and replicative capacity of the different HMPV strains did not appear to be solely dependent on the F gene but also on the viral background, with the strains containing the C-85473 background inducing more weight loss as well as increased lung viral titers, pro-inflammatory cytokines and inflammation than strains containing the CAN98-75 background. In conclusion, the F protein is the main determinant of syncytium formation and replication kinetics in vitro, although it is not the only factor implicated in HMPV disease severity in mice.</t>
  </si>
  <si>
    <t xml:space="preserve">[Aerts, Laetitia; Cavanagh, Marie-Helene; Dubois, Julia; Carbonneau, Julie; Rheaume, Chantal; Hamelin, Marie-Eve; Boivin, Guy] Ctr Hosp Univ Quebec, Ctr Rech Infectiol, Quebec City, PQ, Canada; [Aerts, Laetitia; Cavanagh, Marie-Helene; Dubois, Julia; Carbonneau, Julie; Rheaume, Chantal; Lavigne, Sophie; Couture, Christian; Hamelin, Marie-Eve; Boivin, Guy] Univ Laval, Quebec City, PQ, Canada; [Lavigne, Sophie; Couture, Christian] Inst Univ Cardiol &amp; Pneumol Quebec, Anatomopathol Cytol, Quebec City, PQ, Canada</t>
  </si>
  <si>
    <t xml:space="preserve">Dubois, Julia/AAH-5914-2019</t>
  </si>
  <si>
    <t xml:space="preserve">Boivin, Guy/0000-0003-3027-4662; Dubois, Julia/0000-0002-9777-2968; Hamelin, Marie-Eve/0000-0002-7568-5097</t>
  </si>
  <si>
    <t xml:space="preserve">This work was supported by a grant from the Canadian Institutes of Health Research to GB (273261). The funders had no role in study design, data collection and analysis, decision to publish, or preparation of the manuscript.</t>
  </si>
  <si>
    <t xml:space="preserve">MAR 24</t>
  </si>
  <si>
    <t xml:space="preserve">e0120283</t>
  </si>
  <si>
    <t xml:space="preserve">10.1371/journal.pone.0120283</t>
  </si>
  <si>
    <t xml:space="preserve">CH2XV</t>
  </si>
  <si>
    <t xml:space="preserve">WOS:000353889600065</t>
  </si>
  <si>
    <t xml:space="preserve">Nakamura, A; Ashizuka, Y; Kobayashi, T; Ueda, S; Shigemura, H; Biwa, M; Ichihara, S; Tanaka, Y; Katsuki, S</t>
  </si>
  <si>
    <t xml:space="preserve">Nakamura, Asako; Ashizuka, Yuki; Kobayashi, Takayuki; Ueda, Saori; Shigemura, Hiroaki; Biwa, Miki; Ichihara, Sachiko; Tanaka, Yoshito; Katsuki, Susumu</t>
  </si>
  <si>
    <t xml:space="preserve">Detection of Respiratory Viruses in SARS-CoV-2-Negative Specimens from January to March 2020 in Fukuoka, Japan</t>
  </si>
  <si>
    <t xml:space="preserve">Human metapneumovirus; Rhinovirus; Medicine; Pneumonia; Metapneumovirus; Virology; Respiratory system; Coronavirus</t>
  </si>
  <si>
    <t xml:space="preserve">Coronavirus disease 2019, caused by severe acute respiratory syndrome coronavirus 2 (SARS-CoV-2), was first confirmed in Japan on January 15, 2020. The Fukuoka Institute of Health and Environmental Sciences conducted testing using polymerase chain reaction (PCR) for SARS-CoV-2 from January 31 to March 4, 2020. Samples (n = 119) were collected from 81 patients suspected of having SARS-CoV-2 infection, presenting with fever, cough, fatigue, pneumonia, and other symptoms; all the samples tested during that period were negative. To identify the pathogens responsible for these symptoms, we conducted multiplex PCR. Respiratory viruses, human metapneumovirus (hMPV) was detected in 10 patients (12%), human rhinovirus (HRV) in 3 patients (4%), and influenza B virus in 1 patient (1%). In addition, the patients who had the viruses were significantly older than those who did not. Infections with hMPV and HRV have been associated with a risk of severe illness and death among older adults. Therefore, differentiating SARS-CoV-2 from other respiratory viruses, such as hMPV and HRV, is necessary to prevent and control the spread of infection, especially in older adults.</t>
  </si>
  <si>
    <t xml:space="preserve">[Nakamura, Asako; Ashizuka, Yuki; Kobayashi, Takayuki; Ueda, Saori; Shigemura, Hiroaki; Tanaka, Yoshito] Fukuoka Inst Hlth &amp; Environm Sci, Dept Hlth Sci, 39 Mukaizano, Fukuoka 8180135, Japan; [Biwa, Miki; Ichihara, Sachiko; Katsuki, Susumu] Fukuoka Inst Hlth &amp; Environm Sci, Dept Management, Fukuoka, Japan</t>
  </si>
  <si>
    <t xml:space="preserve">Nakamura, A (corresponding author), Fukuoka Inst Hlth &amp; Environm Sci, Dept Hlth Sci, 39 Mukaizano, Fukuoka 8180135, Japan.</t>
  </si>
  <si>
    <t xml:space="preserve">a-nakamura@fihes.pref.fukuoka.jp</t>
  </si>
  <si>
    <t xml:space="preserve">10.7883/yoken.JJID.2022.079</t>
  </si>
  <si>
    <t xml:space="preserve">7K1WS</t>
  </si>
  <si>
    <t xml:space="preserve">WOS:000905077700017</t>
  </si>
  <si>
    <t xml:space="preserve">Herfst, S; de Graaf, M; Schickli, JH; Tang, RS; Kaur, J; Yang, CF; Spaete, RR; Haller, AA; van den Hoogen, BG; Osterhaus, ADME; Fouchier, RAM</t>
  </si>
  <si>
    <t xml:space="preserve">Recovery of human metapneumovirus genetic lineages A and B from cloned cDNA</t>
  </si>
  <si>
    <t xml:space="preserve">Biology; Chloramphenicol acetyltransferase; Virology; Human metapneumovirus; Plasmid; T7 RNA polymerase; Complementary DNA; Vero cell; Metapneumovirus</t>
  </si>
  <si>
    <t xml:space="preserve">RESPIRATORY SYNCYTIAL VIRUS; TRACT INFECTIONS; YOUNG-CHILDREN; MEASLES-VIRUS; RESCUE; TYPE-3; REPLICATION; PROTEIN; HEMAGGLUTININ; TRANSCRIPTION</t>
  </si>
  <si>
    <t xml:space="preserve">Human metapneumovirus (hMPV) is a newly discovered pathogen associated with respiratory tract illness, primarily in young children, immunocompromised individuals, and the elderly. The genomic sequence of the prototype hMPV isolate NL/1/00 without the terminal leader and trailer sequences has been reported previously. Here we describe the leader and trailer sequences of two hMPV isolates, NL/1/00 and NL/1/99, representing the two main genetic lineages of hMPV. Minigenome constructs in which the green fluorescent protein or chloramphenicol acetyltransferase genes are flanked by the viral genomic ends derived from both hMPV lineages and transcribed using a T7 RNA polymerase promoter-terminator cassette were generated. Cotransfection of minigenome constructs with plasmids expressing the polymerase complex components L, P, N, and M2.1 in 293T or baby hamster kidney cells resulted in expression of the reporter genes. When the minigenome was replaced by a sense or antisense full-length cDNA copy of the NL/1/00 or NL/1/99 viral genomes, recombinant virus was recovered from transfected cells. Viral titers up to 10(7.2) and 10(5.7) 50% tissue culture infective dose/ml were achieved with the sense and antisense plasmids, respectively. The recombinant viruses replicated with kinetics similar to those of the parental viruses in Vero cells. This reverse genetics system provides an important new tool for applied and fundamental research.</t>
  </si>
  <si>
    <t xml:space="preserve">Erasmus MC, Dept Virol, NL-3000 DR Rotterdam, Netherlands; MedImmune Vaccines Inc, Mountain View, CA 94043 USA</t>
  </si>
  <si>
    <t xml:space="preserve">de Graaf, Miranda/K-1262-2018; van den Hoogen, Bernadette/J-5461-2013; Herfst, Sander/HZK-7555-2023; Fouchier, Ron/A-1911-2014</t>
  </si>
  <si>
    <t xml:space="preserve">Tang, Roderick/0000-0003-0018-4869; Fouchier, Ron/0000-0001-8095-2869; Osterhaus, Albert/0000-0002-6074-1172; Herfst, Sander/0000-0001-9866-8903</t>
  </si>
  <si>
    <t xml:space="preserve">10.1128/JVI.78.15.8264-8270.2004</t>
  </si>
  <si>
    <t xml:space="preserve">839AL</t>
  </si>
  <si>
    <t xml:space="preserve">WOS:000222755600041</t>
  </si>
  <si>
    <t xml:space="preserve">Sadeghi, CD; Aebi, C; Gorgievski-Hrisoho, M; Mühlemann, K; Barbani, MT</t>
  </si>
  <si>
    <t xml:space="preserve">Sadeghi, Christine D.; Aebi, Christoph; Gorgievski-Hrisoho, Meri; Muehlemann, Kathrin; Barbani, Maria Teresa</t>
  </si>
  <si>
    <t xml:space="preserve">Twelve years' detection of respiratory viruses by immunofluorescence in hospitalised children: impact of the introduction of a new respiratory picornavirus assay</t>
  </si>
  <si>
    <t xml:space="preserve">Human metapneumovirus; Respiratory system; Virology; Picornavirus; Metapneumovirus; Epidemiology; Rhinovirus</t>
  </si>
  <si>
    <t xml:space="preserve">HUMAN METAPNEUMOVIRUS; VIRAL-INFECTIONS; SYNCYTIAL VIRUS; ACUTE BRONCHIOLITIS; TRACT INFECTIONS; YOUNG-CHILDREN; MULTIPLEX PCR; LOWER AIRWAYS; INFANTS; RHINOVIRUS</t>
  </si>
  <si>
    <t xml:space="preserve">Background: Direct immunofluorescence assays (DFA) are a rapid and inexpensive method for the detection of respiratory viruses and may therefore be used for surveillance. Few epidemiological studies have been published based solely on DFA and none included respiratory picornaviruses and human metapneumovirus (hMPV). We wished to evaluate the use of DFA for epidemiological studies with a long-term observation of respiratory viruses that includes both respiratory picornaviruses and hMPV. Methods: Since 1998 all children hospitalized with respiratory illness at the University Hospital Bern have been screened with DFA for common respiratory viruses including adenovirus, respiratory syncytial virus (RSV), influenza A and B, and parainfluenza virus 1-3. In 2006 assays for respiratory picornaviruses and hMPV were added. Here we describe the epidemiological pattern for these respiratory viruses detected by DFA in 10'629 nasopharyngeal aspirates collected from 8'285 patients during a 12-year period (1998-2010). Results: Addition of assays for respiratory picornaviruses and hMPV raised the proportion of positive DFA results from 35% to 58% (p &lt; 0.0001). Respiratory picornaviruses were the most common viruses detected among patients &gt; 1 year old. The seasonal patterns and age distribution for the studied viruses agreed well with those reported in the literature. In 2010, an hMPV epidemic of unexpected size was observed. Conclusions: DFA is a valid, rapid, flexible and inexpensive method. The addition of assays for respiratory picornaviruses and hMPV broadens its range of viral detection. DFA is, even in the PCR era, a particularly adapted method for the long term surveillance of respiratory viruses in a pediatric population.</t>
  </si>
  <si>
    <t xml:space="preserve">[Sadeghi, Christine D.; Gorgievski-Hrisoho, Meri; Muehlemann, Kathrin; Barbani, Maria Teresa] Univ Bern, Inst Infect Dis, CH-3010 Bern, Switzerland; [Aebi, Christoph] Inselspital Bern, Univ Childrens Hosp, CH-3010 Bern, Switzerland</t>
  </si>
  <si>
    <t xml:space="preserve">University of Bern; University of Bern; University Hospital of Bern</t>
  </si>
  <si>
    <t xml:space="preserve">Aebi, Christoph/0000-0003-3554-7949; Sadeghi, Christine/0009-0003-2947-6846</t>
  </si>
  <si>
    <t xml:space="preserve">FEB 7</t>
  </si>
  <si>
    <t xml:space="preserve">10.1186/1471-2334-11-41</t>
  </si>
  <si>
    <t xml:space="preserve">726AP</t>
  </si>
  <si>
    <t xml:space="preserve">WOS:000287689000001</t>
  </si>
  <si>
    <t xml:space="preserve">Peret, TCT; Abed, Y; Anderson, LJ; Erdman, DD; Boivin, G</t>
  </si>
  <si>
    <t xml:space="preserve">Sequence polymorphism of the predicted human metapneumovirus G glycoprotein</t>
  </si>
  <si>
    <t xml:space="preserve">Biology; Human metapneumovirus; Metapneumovirus; Virology; Nucleic acid sequence; Peptide sequence; Glycoprotein; Genetics; Open reading frame</t>
  </si>
  <si>
    <t xml:space="preserve">RESPIRATORY SYNCYTIAL VIRUS; ATTACHMENT PROTEIN; GENETIC DIVERSITY; SUBGROUP-B; INFECTIONS; NUCLEOTIDE; PNEUMOVIRUS; EVOLUTION; STRAINS; YOUNG</t>
  </si>
  <si>
    <t xml:space="preserve">The putative G glycoprotein genes of 25 human metapneumovirus (hMPV) field isolates obtained during five consecutive epidemic seasons (1997 to 2002) were sequenced. Sequence alignments identified two major genetic groups, designated groups 1 and 2, and two minor genetic clusters within each major group, designated subgroups A and B. Extensive nucleotide and deduced amino acid sequence variability was observed, consisting of high rates of nucleotide substitutions, use of alternative transcription-termination codons and insertions that retained the reading frame. Deduced amino acid sequences showed the greatest variability, with most differences located in the extracellular domain of the protein: nucleotide and amino acid sequence identities for the entire open reading frame ranged from 52 to 58% and 31 to 35 respectively, between the two major groups. Like the closely related avian pneumovirus and human and bovine respiratory syncytial viruses, the predicted G protein of hMPV shared the basic features of a type II mucin-like glycosylated protein. However, differences from these related viruses were also observed, e.g. lack of conserved cysteine clusters as seen in human respiratory syncytial virus and avian pneumovirus. The displacement of genetic groups of hMPV observed during the study period suggests that potential antigenic; differences in the G glycoprotein, which have evolved in response to immune-mediated pressure, may influence the circulation patterns of hMPV strains.</t>
  </si>
  <si>
    <t xml:space="preserve">Ctr Dis Control &amp; Prevent, Resp &amp; Enter Viruses Branch, Div Viral &amp; Rickettsial Dis, Natl Ctr Infect Dis, Atlanta, GA 30333 USA; Task Force Child Survival &amp; Dev, Atlanta, GA USA; Univ Laval, Dept Microbiol, Quebec Univ Hosp Ctr, Res Ctr Infect Dis, Quebec City, PQ G1V 4G2, Canada</t>
  </si>
  <si>
    <t xml:space="preserve">Centers for Disease Control &amp; Prevention - USA; Laval University</t>
  </si>
  <si>
    <t xml:space="preserve">Ctr Dis Control &amp; Prevent, Resp &amp; Enter Viruses Branch, Div Viral &amp; Rickettsial Dis, Natl Ctr Infect Dis, Atlanta, GA 30333 USA.</t>
  </si>
  <si>
    <t xml:space="preserve">10.1099/vir.0.19504-0</t>
  </si>
  <si>
    <t xml:space="preserve">802VU</t>
  </si>
  <si>
    <t xml:space="preserve">WOS:000220191800016</t>
  </si>
  <si>
    <t xml:space="preserve">Skiadopoulos, MH; Biacchesi, S; Buchholz, UJ; Riggs, JMI; Surman, SR; Amaro-Carambot, E; McAuliffe, JM; Elkins, WR; St Claire, M; Collins, PL; Murphy, BR</t>
  </si>
  <si>
    <t xml:space="preserve">The two major human metapneumovirus genetic lineages are highly related antigenically, and the fusion (F) protein is a major contributor to this antigenic relatedness</t>
  </si>
  <si>
    <t xml:space="preserve">Biology; Virology; Human metapneumovirus; Antigenic variation; Heterologous; Titer; Metapneumovirus</t>
  </si>
  <si>
    <t xml:space="preserve">PARAINFLUENZA VIRUS TYPE-3; SEQUENCE-ANALYSIS; RESPIRATORY-TRACT; G-GLYCOPROTEIN; GENOME LENGTH; SUBGROUP-A; REPLICATION; ATTENUATION; MUTATIONS; INFECTION</t>
  </si>
  <si>
    <t xml:space="preserve">The growth properties and antigenic relatedness of the CAN98-75 (CAN75) and the CAN97-83 (CAN83) human metapneumovirus (HMPV) strains, which represent the two distinct HMPV genetic lineages and exhibit 5 and 63% amino acid divergence in the fusion (F) and attachment (G) proteins, respectively, were investigated in vitro and in rodents and nonhuman primates. Both strains replicated to high titers ( greater than or equal to 6.0 log(10)) in the upper respiratory tract of hamsters and to moderate titers ( greater than or equal to3.6 log(10)) in the lower respiratory tract. The two lineages exhibited 48% antigenic relatedness based on reciprocal cross-neutralization assay with postinfection hamster sera, and infection with each strain provided a high level of resistance to reinfection with the homologous or heterologous strain. Hamsters immunized with a recombinant human parainfluenza virus type 1 expressing the fusion F protein of the CAN83 strain developed a serum antibody response that efficiently neutralized virus from both lineages and were protected from challenge with either HMPV strain. This result indicates that the HMPV F protein is a major antigenic determinant that mediates extensive cross-lineage neutralization and protection. Both HMPV strains replicated to low titers in the upper and lower respiratory tracts of rhesus macaques but induced high levels of HMPV-neutralizing antibodies in serum effective against both lineages. The level of HMPV replication in chimpanzees was moderately higher, and infected animals developed mild colds. HMPV replicated the most efficiently in the respiratory tracts of African green monkeys, and the infected animals developed a high level of HMPV serum-neutralizing antibodies (1:500 to 1:1,000) effective against both lineages. Reciprocal cross-neutralization assays in which postinfection sera from all three primate species were used indicated that CAN75 and CAN83 are 64 to 99% related antigenically. HMPV-infected chimpanzees and African green monkeys were highly protected from challenge with the heterologous HMPV strain. Taken together, the results from hamsters and nonhuman primates support the conclusion that the two HMPV genetic lineages are highly related antigenically and are not distinct antigenic subtypes or subgroups as defined by reciprocal cross-neutralization in vitro.</t>
  </si>
  <si>
    <t xml:space="preserve">NIAID, Resp Viruses Sect, NIH, DHHS, Bethesda, MD 20892 USA; NIAID, Expt Primae Virol Sect, NIH, DHHS, Bethesda, MD 20892 USA; NIAID, Infect Dis Lab, NIH, DHHS, Bethesda, MD 20892 USA; Bioqual Inc, Rockville, MD 20850 USA</t>
  </si>
  <si>
    <t xml:space="preserve">National Institutes of Health (NIH) - USA; NIH National Institute of Allergy &amp; Infectious Diseases (NIAID); National Institutes of Health (NIH) - USA; NIH National Institute of Allergy &amp; Infectious Diseases (NIAID); National Institutes of Health (NIH) - USA; NIH National Institute of Allergy &amp; Infectious Diseases (NIAID); BIOQUAL Inc.</t>
  </si>
  <si>
    <t xml:space="preserve">NIAID, Resp Viruses Sect, NIH, DHHS, Bldg 50,Room 6511,S South Dr,MSC 8007, Bethesda, MD 20892 USA.</t>
  </si>
  <si>
    <t xml:space="preserve">10.1128/JVI.78.13.6927-6937.2004</t>
  </si>
  <si>
    <t xml:space="preserve">830WC</t>
  </si>
  <si>
    <t xml:space="preserve">WOS:000222153800025</t>
  </si>
  <si>
    <t xml:space="preserve">Kukavica-Ibrulj, I; Hamelin, ME; Prince, GA; Gagnon, C; Bergeron, Y; Bergeron, MG; Boivin, G</t>
  </si>
  <si>
    <t xml:space="preserve">Kukavica-Ibrulj, Irena; Hamelin, Marie-Eve; Prince, Gregory A.; Gagnon, Constance; Bergeron, Yves; Bergeron, Michel G.; Boivin, Guy</t>
  </si>
  <si>
    <t xml:space="preserve">Infection with Human Metapneumovirus Predisposes Mice to Severe Pneumococcal Pneumonia</t>
  </si>
  <si>
    <t xml:space="preserve">Human metapneumovirus; Biology; Coinfection; Immunology; Streptococcus pneumoniae; Pneumococcal pneumonia; Virology; Virus; Influenza A virus</t>
  </si>
  <si>
    <t xml:space="preserve">RESPIRATORY-SYNCYTIAL-VIRUS; INFLUENZA-VIRUS; STREPTOCOCCUS-PNEUMONIAE; YOUNG-CHILDREN; TRACT DISEASE; NEURAMINIDASE INHIBITORS; HOSPITALIZED CHILDREN; SEVERE BRONCHIOLITIS; TRANSGENIC MICE; INTERLEUKIN 9</t>
  </si>
  <si>
    <t xml:space="preserve">Human metapneumovirus (hMPV) is a recently described paramyxovirus that causes respiratory tract infections. Prior clinical studies have highlighted the importance of respiratory viruses, such as influenza virus, in facilitating secondary bacterial infections and increasing host immunopathology. The objective of the present work was to evaluate the effects of initial viral infection with hMPV or influenza A virus followed by Streptococcus pneumoniae superinfection 5 days later in a murine model. Both groups of superinfected mice demonstrated significant weight loss (mean of 15%) and higher levels of airway obstruction (mean enhanced pause value of 2.7) compared to those of mice infected with hMPV, influenza virus, or pneumococcus alone. Bacterial counts increased from 5 x 10(2) CFU/lung in mice infected with pneumococcus only to 10(7) and 10(9) CFU/lung in mice with prior infections with hMPV and influenza A virus, respectively. A more pronounced interstitial and alveolar inflammation correlated with higher levels of inflammatory cytokines and chemokines such as interleukin-1 alpha (IL-1 alpha), IL-1 beta, IL-6, IL-12, monocyte chemotactic protein 1, macrophage inflammatory protein 1 alpha, KC, and granulocyte colony-stimulating factor, as well as greater expression of Toll-like receptor 2 (TLR2), TLR6, TLR7, and TLR13 in the lungs of superinfected animals compared to results for single infections, with similar immunological effects seen in both coinfection models. Prior infection with either hMPV or influenza A virus predisposes mice to severe pneumococcus infection.</t>
  </si>
  <si>
    <t xml:space="preserve">[Kukavica-Ibrulj, Irena; Hamelin, Marie-Eve; Gagnon, Constance; Bergeron, Yves; Bergeron, Michel G.; Boivin, Guy] Ctr Hosp Univ Quebec, Res Ctr Infect Dis, Quebec City, PQ, Canada; [Kukavica-Ibrulj, Irena; Hamelin, Marie-Eve; Gagnon, Constance; Bergeron, Yves; Bergeron, Michel G.; Boivin, Guy] Univ Laval, Quebec City, PQ, Canada; [Prince, Gregory A.] Vir Syst Inc, Rockville, MD USA</t>
  </si>
  <si>
    <t xml:space="preserve">Canadian Institutes of Health Research [MOP-62789]; FRSQ</t>
  </si>
  <si>
    <t xml:space="preserve">Canadian Institutes of Health Research(Canadian Institutes of Health Research (CIHR)); FRSQ(Fonds de recherche du Quebec (FRQ)Fonds de recherche du Quebec - Sante (FRQS))</t>
  </si>
  <si>
    <t xml:space="preserve">This study was supported by research grants from the Canadian Institutes of Health Research (MOP-62789) to G. B. G. B. is a national scholar of the FRSQ and the holder of the Canada Research Chair on Emerging Viruses and Antiviral Resistance. I.K-I. is a postdoctoral scholar from the FRSQ-Respiratory Health Network.</t>
  </si>
  <si>
    <t xml:space="preserve">10.1128/JVI.01123-08</t>
  </si>
  <si>
    <t xml:space="preserve">WOS:000262325600017</t>
  </si>
  <si>
    <t xml:space="preserve">Guerrero-Plata, A; Kolli, D; Hong, C; Casola, A; Garofalo, RP</t>
  </si>
  <si>
    <t xml:space="preserve">Guerrero-Plata, Antonieta; Kolli, Deepthi; Hong, Chao; Casola, Antonella; Garofalo, Roberto P.</t>
  </si>
  <si>
    <t xml:space="preserve">Subversion of Pulmonary Dendritic Cell Function by Paramyxovirus Infections</t>
  </si>
  <si>
    <t xml:space="preserve">Subversion</t>
  </si>
  <si>
    <t xml:space="preserve">RESPIRATORY-SYNCYTIAL-VIRUS; HUMAN METAPNEUMOVIRUS INFECTION; NATURAL-KILLER-CELLS; CD4 T-CELLS; ADAPTIVE IMMUNITY; ALPHA-INTERFERON; EPITHELIAL-CELLS; VIRAL-INFECTION; TRACT DISEASE; IN-VIVO</t>
  </si>
  <si>
    <t xml:space="preserve">Lower respiratory tract infections caused by the paramyxoviruses human metapneumovirus (hMPV) and respiratory syncytial virus (RSV) are characterized by short-lasting virus-specific immunity and often long-term airway morbidity, both of which may be the result of alterations in the Ag-presenting function of the lung which follow these infections. In this study, we investigated whether hMPV and RSV experimental infections alter the phenotype and function of dendritic cell (DC) subsets that are recruited to the lung. Characterization of lung DC trafficking demonstrated a differential recruitment of plasmacytoid DC (pDC), conventional DC (cDC), and IFN-producing killer DC to the lung and draining lymph nodes after hMPV and RSV infection. In vitro infection of lung DC indicated that in pDC, production of IFN-alpha, TNF-alpha, and CCL5 was induced only by hMPV, whereas CCL3 and CCL4 were induced by both viruses. In cDC, a similar repertoire of cytokines was induced by hMPV and RSV, except for IFN-beta, which was not induced by RSV. The function of lung pDC was altered following hMPV or RSV infection in vivo, as we demonstrated a reduced capacity of lung pDC to produce IFN-alpha as well as other cytokines including IL-6, TNF-alpha, CCL2, CCL3, and CCL4 in response to TLR9 stimulation. Moreover, we observed an impaired capacity of cDC from infected mice to present Ag to CD4(+) T cells, an effect that lasted beyond the acute phase of infection. Our findings suggest that acute paramyxovirus infections can alter the long-term immune function of pulmonary DC. The Journal of Immunology, 2009, 182: 3072-3083.</t>
  </si>
  <si>
    <t xml:space="preserve">[Guerrero-Plata, Antonieta; Kolli, Deepthi; Hong, Chao; Casola, Antonella; Garofalo, Roberto P.] Univ Texas Med Branch, Dept Pediat, Galveston, TX 77555 USA; [Casola, Antonella; Garofalo, Roberto P.] Univ Texas Med Branch, Dept Microbiol &amp; Immunol, Galveston, TX 77555 USA; [Casola, Antonella; Garofalo, Roberto P.] Univ Texas Med Branch, Sealy Ctr Vaccine Dev, Galveston, TX 77555 USA</t>
  </si>
  <si>
    <t xml:space="preserve">Guerrero-Plata, A (corresponding author), Univ Texas Med Branch, Dept Pediat, 301 Univ Blvd, Galveston, TX 77555 USA.</t>
  </si>
  <si>
    <t xml:space="preserve">maaguerr@utmb.edu; rpgarofa@utmb.edu</t>
  </si>
  <si>
    <t xml:space="preserve">Garofalo, Roberto/ABL-2322-2022; Kolli, Deepthi/B-6008-2009</t>
  </si>
  <si>
    <t xml:space="preserve">National Institutes of Health [P01 AI062885, N01 A130039]; American Thoracic Society; Flight Attendant Medical Research Institute</t>
  </si>
  <si>
    <t xml:space="preserve">National Institutes of Health(United States Department of Health &amp; Human ServicesNational Institutes of Health (NIH) - USA); American Thoracic Society; Flight Attendant Medical Research Institute</t>
  </si>
  <si>
    <t xml:space="preserve">This work was supported by National Institutes of Health Grants P01 AI062885 and N01 A130039 (to R.P.G.), an Unrestricted Research Grant from the American Thoracic Society, and a Young Clinical Scientist Award from the Flight Attendant Medical Research Institute (to A.G.-P.).</t>
  </si>
  <si>
    <t xml:space="preserve">10.4049/jimmunol.0802262</t>
  </si>
  <si>
    <t xml:space="preserve">411MG</t>
  </si>
  <si>
    <t xml:space="preserve">WOS:000263653100059</t>
  </si>
  <si>
    <t xml:space="preserve">Foster, MW; Gerhardt, G; Robitaille, L; Plante, PL; Boivin, G; Corbeil, J; Moseley, MA</t>
  </si>
  <si>
    <t xml:space="preserve">Foster, Matthew W.; Gerhardt, Geoff; Robitaille, Lynda; Plante, Pier-Luc; Boivin, Guy; Corbeil, Jacques; Moseley, M. Arthur</t>
  </si>
  <si>
    <t xml:space="preserve">Targeted Proteomics of Human Metapneumovirus in Clinical Samples and Viral Cultures</t>
  </si>
  <si>
    <t xml:space="preserve">ANALYTICAL CHEMISTRY</t>
  </si>
  <si>
    <t xml:space="preserve">Human metapneumovirus; Metapneumovirus; Virology; Virus</t>
  </si>
  <si>
    <t xml:space="preserve">RESOLUTION MASS-SPECTROMETRY; TIME PCR ASSAYS; INFLUENZA-VIRUS; RESPIRATORY VIRUSES; GENETIC DIVERSITY; PROTEINS; QUANTIFICATION; IDENTIFICATION; STRAINS; NEURAMINIDASE</t>
  </si>
  <si>
    <t xml:space="preserve">The rapid, sensitive, and specific identification of infectious pathogens from clinical isolates is a critical need in the hospital setting. Mass spectrometry (MS) has been widely adopted for identification of bacterial pathogens, although polymerase chain reaction remains the mainstay for the identification of viral pathogens. Here, we explored the capability of MS for the detection of human metapneumovirus (HMPV), a common cause of respiratory tract infections in children. Liquid chromatography tandem mass spectrometry (LC-MS/MS) sequencing of a single HMPV reference strain (CAN97-83) was used to develop a multiple reaction monitoring (MRM) assay that employed stable isotope-labeled peptide internal standards for quantitation of HMPV. Using this assay, we confirmed the presence of HMPV in viral cultures from 10 infected patients and further assigned genetic lineage based on the presence/absence of variant peptides belonging to the viral matrix and nucleoproteins. Similar results were achieved for primary clinical samples (nasopharyngeal aspirates) from the same individuals. As validation, virus lineages, and variant coding sequences, were confirmed by next-generation sequencing of viral RNA obtained from the culture samples. Finally, separate dilution series of HMPV A and B lineages were used to further refine and assess the robustness of the assay and to determine limits of detection in nasopharyngeal aspirates. Our results demonstrate the applicability of MRM for identification of HMPV, and assignment of genetic lineage, from both viral cultures and clinical samples. More generally, this approach should prove tractable as an alternative to nucleic-acid based sequencing for the multiplexed identification of respiratory virus infections.</t>
  </si>
  <si>
    <t xml:space="preserve">[Foster, Matthew W.; Moseley, M. Arthur] Duke Univ, Med Ctr, Prote &amp; Metabol Shared Resource, Durham, NC 27710 USA; [Foster, Matthew W.] Duke Univ, Med Ctr, Dept Med, Durham, NC 27710 USA; [Gerhardt, Geoff] Waters Corp, Milford, MA 01757 USA; [Robitaille, Lynda; Plante, Pier-Luc; Boivin, Guy; Corbeil, Jacques] Univ Laval, Dept Microbiol Immunol &amp; Infect Dis, Dept Mol Med, Quebec City, PQ G1V 0A6, Canada</t>
  </si>
  <si>
    <t xml:space="preserve">Duke University; Duke University; Waters Corporation; Laval University</t>
  </si>
  <si>
    <t xml:space="preserve">Foster, MW (corresponding author), Duke Univ, Med Ctr, Prote &amp; Metabol Shared Resource, Durham, NC 27710 USA.</t>
  </si>
  <si>
    <t xml:space="preserve">mwfoster@duke.edu</t>
  </si>
  <si>
    <t xml:space="preserve">Corbeil, Jacques/AAW-9739-2020; Foster, Mark/F-6332-2012</t>
  </si>
  <si>
    <t xml:space="preserve">Corbeil, Jacques/0000-0002-9973-2740; Boivin, Guy/0000-0003-3027-4662; Foster, Matthew/0000-0003-0212-2346</t>
  </si>
  <si>
    <t xml:space="preserve">Calcul Quebec; Compute Canada; Canada Foundation for Innovation (CFI); National Science and Engineering Research Council (NSERC); NanoQuebec; Fonds Quebecois de Recherche sur la Nature et les Technologies (FQRNT)</t>
  </si>
  <si>
    <t xml:space="preserve">Calcul Quebec; Compute Canada; Canada Foundation for Innovation (CFI)(Canada Foundation for Innovation); National Science and Engineering Research Council (NSERC)(Natural Sciences and Engineering Research Council of Canada (NSERC)); NanoQuebec; Fonds Quebecois de Recherche sur la Nature et les Technologies (FQRNT)(FQRNT)</t>
  </si>
  <si>
    <t xml:space="preserve">J.C. acknowledges the Canada Research Chair in Medical Genomics, and G.B. acknowledges the Canada Research Chair in Emerging Viruses and Antiviral Resistance. Sequencing data assembly were performed on the Colosse supercomputer at Universite Laval under the auspices of Calcul Quebec and Compute Canada. The operations of Colosse is funded by the Canada Foundation for Innovation (CFI), the National Science and Engineering Research Council (NSERC), NanoQuebec, and the Fonds Quebecois de Recherche sur la Nature et les Technologies (FQRNT).</t>
  </si>
  <si>
    <t xml:space="preserve">0003-2700</t>
  </si>
  <si>
    <t xml:space="preserve">1520-6882</t>
  </si>
  <si>
    <t xml:space="preserve">ANAL CHEM</t>
  </si>
  <si>
    <t xml:space="preserve">Anal. Chem.</t>
  </si>
  <si>
    <t xml:space="preserve">10.1021/acs.analchem.5b01544</t>
  </si>
  <si>
    <t xml:space="preserve">Chemistry, Analytical</t>
  </si>
  <si>
    <t xml:space="preserve">CU2IX</t>
  </si>
  <si>
    <t xml:space="preserve">WOS:000363348300014</t>
  </si>
  <si>
    <t xml:space="preserve">Luo, LZ; Sabara, MI; Li, Y</t>
  </si>
  <si>
    <t xml:space="preserve">Expression of recombinant small hydrophobic protein for serospecific detection of avian pneumovirus subgroup C</t>
  </si>
  <si>
    <t xml:space="preserve">Recombinant DNA; Human metapneumovirus; Virology; Western blot; Molecular biology; Biology; Antibody; Antiserum</t>
  </si>
  <si>
    <t xml:space="preserve">LINKED-IMMUNOSORBENT-ASSAY; AMINO-ACID-SEQUENCE; TURKEY RHINOTRACHEITIS; MATRIX PROTEIN; ANTIGENIC RELATIONSHIP; HUMAN METAPNEUMOVIRUS; NUCLEOCAPSID PROTEIN; GENE; NUCLEOTIDE; ANTIBODIES</t>
  </si>
  <si>
    <t xml:space="preserve">The small hydrophobic (SH) gene of the avian pneumovirus (APV) Colorado isolate (CO), which belongs to subgroup C (APV/C), was expressed with a baculovirus vector. The recombinant SH protein was evaluated as a potential subgroup-specific diagnostic reagent in order to differentiate infections resulting from APV/C from those induced by APV/A, APV/B, and human metapneumovirus (hMPV). When the recombinant baculovirus was used to infect insect cells, a 31- to 38-kDa glycosylated form of the SH protein was produced and subsequently tested for reactivity with antibodies specific for APV/A, APV/B, APV/C, and hMPV. Western blot analysis showed that the expressed recombinant SH protein could only be recognized by APV/C-specific antibodies. This result was consistent with sequence analysis of the APV/C SH protein, which had very low (24%) amino acid identity with the corresponding protein of hMPV and no discernible identity with the SH protein of APV/A or APV/B. A recombinant SH protein-based enzyme-linked inummosorbent assay (ELISA) was developed, and it further confirmed the lack of reactivity of this protein with antisera raised to APV/A, APV/B, and hMPV and supported its designation as a subgroup-specific antigen. This finding indicated that the recombinant SH protein was a suitable antigen for ELISA-based detection of subgroup-specific antibodies in turkeys and could be used for serologically based differential diagnosis of APV and hMPV infections.</t>
  </si>
  <si>
    <t xml:space="preserve">Canadian Food Inspect Agcy, Natl Ctr Foreign Anim Dis, Winnipeg, MB R3E 3M4, Canada; Canadian Sci Ctr Human &amp; Anim Hlth, Natl Microbiol Lab, Winnipeg, MB, Canada</t>
  </si>
  <si>
    <t xml:space="preserve">Canadian Food Inspection Agency; Canadian Science Centre for Human &amp; Animal Health</t>
  </si>
  <si>
    <t xml:space="preserve">Canadian Food Inspect Agcy, Natl Ctr Foreign Anim Dis, Winnipeg, MB R3E 3M4, Canada.</t>
  </si>
  <si>
    <t xml:space="preserve">10.1128/CDLI.12.1.187-191.2005</t>
  </si>
  <si>
    <t xml:space="preserve">WOS:000227271800026</t>
  </si>
  <si>
    <t xml:space="preserve">Sabo, Y; Ehrlich, M; Bacharach, E</t>
  </si>
  <si>
    <t xml:space="preserve">Sabo, Yosef; Ehrlich, Marcelo; Bacharach, Eran</t>
  </si>
  <si>
    <t xml:space="preserve">The Conserved YAGL Motif in Human Metapneumovirus Is Required for Higher-Order Cellular Assemblies of the Matrix Protein and for Virion Production</t>
  </si>
  <si>
    <t xml:space="preserve">Biology; Mutant; ESCRT; Cell biology</t>
  </si>
  <si>
    <t xml:space="preserve">VIRUS-LIKE PARTICLES; RESPIRATORY SYNCYTIAL VIRUS; NEWCASTLE-DISEASE VIRUS; MURINE LEUKEMIA-VIRUS; SENDAI-VIRUS; MEASLES-VIRUS; CLONED CDNA; CYTOPLASMIC DOMAIN; REVERSE-GENETICS; PARAMYXOVIRUS SIMIAN-VIRUS-5</t>
  </si>
  <si>
    <t xml:space="preserve">YXXL motifs in cellular and viral proteins have a variety of functions. The matrix (M) protein of the respiratory pathogen human metapneumovirus (hMPV) contains two such conserved motifs-YSKL and YAGL. We mutated these sequences to analyze their contributions to hMPV infectivity. The mutant clones were capable of intracellular replication; however, the YAGL but not YSKL mutants were defective at spreading in infected cultures. We improved the reverse genetics system for hMPV and generated cell lines that stably expressed selectable, replicating full-length genomes for both the wild type and the mutant clones, allowing microscopic and biochemical analyses of these viruses. YAGL mutants produced normal cellular levels of M protein but failed to release virions, while ectopic coexpression of wild-type M generated particles that were restricted to a single cycle of infection. The YAGL motif did not act as a late (L) domain, however, since hMPV budding was independent of the cellular endosomal sorting complex required for transport (ESCRT) machinery and because replacement of the YAGL motif with classical L domains generated defective viruses. Instead, the YAGL mutants had defective M assemblies lacking a normal filamentous appearance and showed poor extractability from the cell compared to the wild-type protein. The mutant proteins were not grossly misfolded, however, as they interacted with cellular membranes and coassembled with wild-type M proteins. Thus, the YAGL motif is an important determinant of hMPV assembly. Furthermore, the selectable hMPV genomes described here should extend the use of reverse genetics systems in the analysis of spreading-defective viruses.</t>
  </si>
  <si>
    <t xml:space="preserve">[Sabo, Yosef; Ehrlich, Marcelo; Bacharach, Eran] Tel Aviv Univ, Fac Life Sci, Dept Cell Res &amp; Immunol, IL-69978 Tel Aviv, Israel</t>
  </si>
  <si>
    <t xml:space="preserve">Bacharach, E (corresponding author), Tel Aviv Univ, Fac Life Sci, Dept Cell Res &amp; Immunol, IL-69978 Tel Aviv, Israel.</t>
  </si>
  <si>
    <t xml:space="preserve">eranbac@post.tau.ac.il</t>
  </si>
  <si>
    <t xml:space="preserve">Sabo, Yosef/J-3018-2015; Bacharach, Eran/JPL-0522-2023</t>
  </si>
  <si>
    <t xml:space="preserve">Sabo, Yosef/0000-0002-4973-8247; Bacharach, Eran/0000-0001-8341-2833; Ehrlich, Marcelo/0000-0002-2352-1808</t>
  </si>
  <si>
    <t xml:space="preserve">Chief Scientist Office of the Ministry of Health, Israel [3-00000-6192]; United States-Israel Binational Agricultural Research and Development Fund [IS-3682]</t>
  </si>
  <si>
    <t xml:space="preserve">Chief Scientist Office of the Ministry of Health, Israel; United States-Israel Binational Agricultural Research and Development Fund(US-Israel Binational Science Foundation)</t>
  </si>
  <si>
    <t xml:space="preserve">This study was supported in part by grant 3-00000-6192 from the Chief Scientist Office of the Ministry of Health, Israel, and by the United States-Israel Binational Agricultural Research and Development Fund (project IS-3682).</t>
  </si>
  <si>
    <t xml:space="preserve">10.1128/JVI.02694-10</t>
  </si>
  <si>
    <t xml:space="preserve">775CG</t>
  </si>
  <si>
    <t xml:space="preserve">WOS:000291434300047</t>
  </si>
  <si>
    <t xml:space="preserve">Tu, CC; Chen, LK; Lee, YS; Ko, CF; Chen, CM; Yang, HH; Lee, JJ</t>
  </si>
  <si>
    <t xml:space="preserve">Tu, Chuan-Chou; Chen, Li-Kuang; Lee, Yeong-Sheng; Ko, Ching-Fen; Chen, Chun-Min; Yang, Hui-Hua; Lee, Jen-Jyh</t>
  </si>
  <si>
    <t xml:space="preserve">An outbreak of human metapneumovirus infection in hospitalized psychiatric adult patients in Taiwan</t>
  </si>
  <si>
    <t xml:space="preserve">Outbreak; Human metapneumovirus; Medicine; Pneumonia; Virology</t>
  </si>
  <si>
    <t xml:space="preserve">RESPIRATORY-TRACT INFECTION; CHILDREN; FEATURES; ILLNESS; DISEASE; YOUNG</t>
  </si>
  <si>
    <t xml:space="preserve">Human metapneumovirus (hMPV) is a paramyxovirus that is associated with respiratory tract infection (RTI) mostly in children, but these outbreaks have rarely been reported in adults. We encountered an outbreak of this disease involving 10 adults in a psychiatric ward in eastern Taiwan. The nasopharyngeal swab specimens from 13 patients with symptoms of RTI were obtained and analyzed. The RT-PCR tests were negative to influenza virus A/B, adenovirus, RSV, parainfluenza virus, coronavirus, Nipah virus and Legionella. The antigen tests were negative to Legionella, Chlamydia, and Mycoplasma. Blood culture was negative in all except patient no. 1, who was found positive for coagulase-negative staphylococci. The hMPV was identified in 10 of 13 adults (77%), but negative for the other virus. Cough was present in all (100%), fever in 90%, and X-ray evidence of pneumonia in 7 patients. One patient died of respiratory failure. We report this outbreak in a mental hospital to alert the medical profession that this unusual infection of hMPV can occur as an outbreak in an adult setting and is an occupational hazard for healthcare personnel.</t>
  </si>
  <si>
    <t xml:space="preserve">[Lee, Jen-Jyh] Hualien &amp; Tzu Chi Univ, Buddhist Tzu Chi Gen Hosp, Dept Internal Med, Chest Sect, Hualien, Taiwan; [Tu, Chuan-Chou] Taichung Armed Forces Gen Hosp, Dept Internal Med, Chest Sect, Taichung, Taiwan; [Chen, Li-Kuang] Buddhist Tzu Chi Gen Hosp, Dept Emergency Med, Hualien, Taiwan; [Chen, Li-Kuang; Ko, Ching-Fen; Yang, Hui-Hua] Tzu Chi Univ, Inst Med Sci, Hualien, Taiwan; [Lee, Yeong-Sheng; Ko, Ching-Fen] Ctr Dis Control, Branch Off 6, Hualien, Taiwan; [Lee, Yeong-Sheng] Tzu Chi Univ, Inst Publ Hlth, Hualien, Taiwan; [Chen, Chun-Min] Hualien Armed Forces Gen Hosp, Chest Sect, Dept Internal Med, Hualien, Taiwan; [Yang, Hui-Hua] Tzu Chi Gen Hosp, Virol Contract Lab, Ctr Dis Control, Hualien, Taiwan</t>
  </si>
  <si>
    <t xml:space="preserve">Buddhist Tzu Chi General Hospital; Hualien Tzu Chi Hospital; Tzu Chi University; Buddhist Tzu Chi General Hospital; Hualien Tzu Chi Hospital; Tzu Chi University; Centers For Disease Control - Taiwan; Tzu Chi University; Buddhist Tzu Chi General Hospital; Hualien Tzu Chi Hospital; Centers For Disease Control - Taiwan</t>
  </si>
  <si>
    <t xml:space="preserve">Lee, JJ (corresponding author), Hualien &amp; Tzu Chi Univ, Buddhist Tzu Chi Gen Hosp, Dept Internal Med, Chest Sect, Hualien, Taiwan.</t>
  </si>
  <si>
    <t xml:space="preserve">jjlee@cdc.gov.tw</t>
  </si>
  <si>
    <t xml:space="preserve">Chen, Liang-Kung/JBI-8802-2023; wang, wei/JYP-7819-2024</t>
  </si>
  <si>
    <t xml:space="preserve">Chen, Li-Kuang/0000-0002-6343-6026</t>
  </si>
  <si>
    <t xml:space="preserve">Centers for Disease Control, Taiwan</t>
  </si>
  <si>
    <t xml:space="preserve">This study was supported by Centers for Disease Control, Taiwan.</t>
  </si>
  <si>
    <t xml:space="preserve">PII 909786973</t>
  </si>
  <si>
    <t xml:space="preserve">10.1080/00365540902849375</t>
  </si>
  <si>
    <t xml:space="preserve">434VL</t>
  </si>
  <si>
    <t xml:space="preserve">WOS:000265302100006</t>
  </si>
  <si>
    <t xml:space="preserve">Laham, FR; Israele, V; Casellas, JM; Garcia, AM; Prugent, CML; Hoffman, SJ; Hauer, D; Thumar, B; Name, MI; Pascual, A; Taratutto, N; Ishida, MT; Balduzzi, M; Maccarone, M; Jackli, S; Passarino, R; Gaivironsky, RA; Karron, RA; Polack, NR; Polack, FP</t>
  </si>
  <si>
    <t xml:space="preserve">Differential production of inflammatory cytokines in primary infection with human metapneumovirus and with other common respiratory viruses of infancy</t>
  </si>
  <si>
    <t xml:space="preserve">Human metapneumovirus; Immunology; Medicine; Respiratory tract infections; rhinorrhea; Respiratory tract; Respiratory system; Virus</t>
  </si>
  <si>
    <t xml:space="preserve">PLACEBO-CONTROLLED TRIAL; HELPER TYPE-2 CYTOKINES; SYNCYTIAL VIRUS; REVERSE TRANSCRIPTION; PARAINFLUENZA VIRUS; CHILDREN; BRONCHIOLITIS; DISEASE; NASOPHARYNGEAL; CHEMOKINES</t>
  </si>
  <si>
    <t xml:space="preserve">Viral respiratory infections are the most frequent cause of hospital admission for infants and young children during winter. However, the mechanisms of illness that are associated with viral lower-respiratory-tract infection (LRI) are unclear. A widely accepted hypothesis attributes the pathogenesis of viral LRI in infants to the induction of innate inflammatory responses. This theory is supported by studies showing that Toll-like receptor 4 is activated by respiratory syncytial virus (RSV), leading to production of inflammatory cytokines. We prospectively examined previously naive infants in Buenos Aires, Argentina, who had either upper- or lower-respiratory-tract symptoms. Infection with human metapneumovirus (hMPV) was second only to RSV in frequency. Both viruses were associated with rhinorrhea, cough, and wheezing; however, hMPV elicited significantly lower levels of respiratory inflammatory cytokines than did RSV. Symptoms in infants infected with influenza virus were different from those in infants infected with RSV, but cytokine responses were similar. These findings suggest that hMPV and RSV either cause disease via different mechanisms or share a common mechanism that is distinct from innate immune activation.</t>
  </si>
  <si>
    <t xml:space="preserve">INFANT Fdn, Buenos Aires, DF, Argentina; Hosp Materno Infantil San Isidro, Buenos Aires, DF, Argentina; Hosp Frances Riosa, Buenos Aires, DF, Argentina; Univ CAECE, Buenos Aires, DF, Argentina; Hosp Ciudad Boulogne, Buenos Aires, DF, Argentina; Ctr Periferico La Cava, Buenos Aires, DF, Argentina; Johns Hopkins Univ, Dept Pediat, Sch Med, Baltimore, MD 21205 USA; Johns Hopkins Univ, Bloomberg Sch Publ Hlth, Dept Mol Microbiol &amp; Immunol, Baltimore, MD 21205 USA; Johns Hopkins Univ, Bloomberg Sch Publ Hlth, Dept Int Hlth, Baltimore, MD 21205 USA</t>
  </si>
  <si>
    <t xml:space="preserve">Johns Hopkins University; Johns Hopkins University; Johns Hopkins Bloomberg School of Public Health; Johns Hopkins University; Johns Hopkins Bloomberg School of Public Health</t>
  </si>
  <si>
    <t xml:space="preserve">Johns Hopkins Univ, Dept Pediat, Sch Med, 605 N Wolfe St,E5202, Baltimore, MD 21205 USA.</t>
  </si>
  <si>
    <t xml:space="preserve">10.1086/383350</t>
  </si>
  <si>
    <t xml:space="preserve">823ZQ</t>
  </si>
  <si>
    <t xml:space="preserve">WOS:000221653500012</t>
  </si>
  <si>
    <t xml:space="preserve">Renner, M; Bertinelli, M; Leyrat, C; Paesen, GC; de Oliveira, LFS; Huiskonen, JT; Grimes, JM</t>
  </si>
  <si>
    <t xml:space="preserve">Renner, Max; Bertinelli, Mattia; Leyrat, Cedric; Paesen, Guido C.; de Oliveira, Laura Freitas Saraiva; Huiskonen, Juha T.; Grimes, Jonathan M.</t>
  </si>
  <si>
    <t xml:space="preserve">Nucleocapsid assembly in pneumoviruses is regulated by conformational switching of the N protein</t>
  </si>
  <si>
    <t xml:space="preserve">Nucleoprotein; RNA; Human metapneumovirus; Polymerase</t>
  </si>
  <si>
    <t xml:space="preserve">CRYO-EM STRUCTURE; VIRUS NUCLEOPROTEIN; CRYSTAL-STRUCTURE; HUMAN METAPNEUMOVIRUS; CRYSTALLIZATION; IDENTIFICATION; PHOSPHOPROTEIN; CHAPERONE; PEPTIDE; COMPLEX</t>
  </si>
  <si>
    <t xml:space="preserve">Non-segmented, (-)RNA viruses cause serious human diseases. Human metapneumovirus (HMPV), an emerging pathogen of this order of viruses (Mononegavirales) is one of the main causes of respiratory tract illness in children. To help elucidate the assembly mechanism of the nucleocapsid (the viral RNA genome packaged by the nucleoprotein N) we present crystallographic structures of HMPV N in its assembled RNA-bound state and in a monomeric state, bound to the polymerase cofactor P. Our structures reveal molecular details of how P inhibits the self-assembly of N and how N transitions between the RNA-free and RNA-bound conformational state. Notably, we observe a role for the C-terminal extension of N in directly preventing premature uptake of RNA by folding into the RNA-binding cleft. Our structures suggest a common mechanism of how the growth of the nucleocapsid is orchestrated, and highlight an interaction site representing an important target for antivirals.</t>
  </si>
  <si>
    <t xml:space="preserve">[Renner, Max; Bertinelli, Mattia; Leyrat, Cedric; Paesen, Guido C.; de Oliveira, Laura Freitas Saraiva; Huiskonen, Juha T.; Grimes, Jonathan M.] Univ Oxford, Wellcome Trust Ctr Human Genet, Div Struct Biol, Oxford, England; [Grimes, Jonathan M.] Diamond Light Source, Didcot, Oxon, England</t>
  </si>
  <si>
    <t xml:space="preserve">University of Oxford; Wellcome Centre for Human Genetics; Diamond Light Source</t>
  </si>
  <si>
    <t xml:space="preserve">Grimes, JM (corresponding author), Univ Oxford, Wellcome Trust Ctr Human Genet, Div Struct Biol, Oxford, England.</t>
  </si>
  <si>
    <t xml:space="preserve">jonathan@strubi.ox.ac.uk</t>
  </si>
  <si>
    <t xml:space="preserve">Huiskonen, Juha/C-3043-2008; Leyrat, Cedric/G-5559-2017</t>
  </si>
  <si>
    <t xml:space="preserve">Bertinelli, Mattia/0000-0002-6336-6769; Leyrat, Cedric/0000-0003-0189-0562; Huiskonen, Juha T./0000-0002-0348-7323; Renner, Max/0000-0001-9885-8256; Grimes, Jonathan Mark/0000-0001-9698-0389</t>
  </si>
  <si>
    <t xml:space="preserve">Wellcome Trust [090532/Z/09/Z, 099667/Z/12/Z, 060208/Z/00/Z, 093305/Z/10/Z]; Suomen Akatemia [130750]; European Commission [260644]; Wellcome Trust [099667/Z/12/Z] Funding Source: Wellcome Trust; MRC [MR/L017709/1] Funding Source: UKRI</t>
  </si>
  <si>
    <t xml:space="preserve">Wellcome Trust(Wellcome Trust); Suomen Akatemia(Research Council of Finland); European Commission(European Union (EU)European Commission Joint Research Centre); Wellcome Trust(Wellcome Trust); MRC(UK Research &amp; Innovation (UKRI)Medical Research Council UK (MRC))</t>
  </si>
  <si>
    <t xml:space="preserve">Wellcome Trust 090532/Z/09/Z Max Renner Mattia Bertinelli Cedric Leyrat Guido C Paesen Laura Freitas Saraiva de Oliveira Juha T Huiskonen Jonathan M GrimesWellcome Trust 099667/Z/12/Z Max RennerEuropean Commission 260644 Max Renner Mattia Bertinelli Cedric Leyrat Guido C Paesen Laura Freitas Saraiva de Oliveira Juha T Huiskonen Jonathan M GrimesSuomen Akatemia 130750 Juha T HuiskonenWellcome Trust 060208/Z/00/Z Max Renner Mattia Bertinelli Cedric Leyrat Guido C Paesen Laura Freitas Saraiva de Oliveira Juha T Huiskonen Jonathan M GrimesWellcome Trust 093305/Z/10/Z Max Renner Mattia Bertinelli Cedric Leyrat Guido C Paesen Laura Freitas Saraiva de Oliveira Juha T Huiskonen Jonathan M Grimes</t>
  </si>
  <si>
    <t xml:space="preserve">ELIFE SCIENCES PUBLICATIONS LTD</t>
  </si>
  <si>
    <t xml:space="preserve">e12627</t>
  </si>
  <si>
    <t xml:space="preserve">10.7554/eLife.12627</t>
  </si>
  <si>
    <t xml:space="preserve">DG2BC</t>
  </si>
  <si>
    <t xml:space="preserve">WOS:000371870200001</t>
  </si>
  <si>
    <t xml:space="preserve">Le Nouën, C; Hillyer, P; Winter, CC; McCarty, T; Rabin, RL; Collins, PL; Buchholz, UJ</t>
  </si>
  <si>
    <t xml:space="preserve">Le Nouen, Cyril; Hillyer, Philippa; Winter, Christine C.; McCarty, Thomas; Rabin, Ronald L.; Collins, Peter L.; Buchholz, Ursula J.</t>
  </si>
  <si>
    <t xml:space="preserve">Low CCR7-Mediated Migration of Human Monocyte Derived Dendritic Cells in Response to Human Respiratory Syncytial Virus and Human Metapneumovirus</t>
  </si>
  <si>
    <t xml:space="preserve">Human metapneumovirus; CCL19; Biology; C-C chemokine receptor type 7; Virology</t>
  </si>
  <si>
    <t xml:space="preserve">CHEMOKINE RECEPTOR SWITCH; INFLUENZA-VIRUS; CILIATED CELLS; MUCOSAL SITES; LYMPH-NODES; IN-VITRO; T-CELLS; INFECTION; IMMUNITY; GENE</t>
  </si>
  <si>
    <t xml:space="preserve">Human respiratory syncytial virus ( HRSV) and, to a lesser extent, human metapneumovirus (HMPV) and human parainfluenza virus type 3 (HPIV3), can re-infect symptomatically throughout life without significant antigenic change, suggestive of incomplete or short-lived immunity. In contrast, re-infection by influenza A virus (IAV) largely depends on antigenic change, suggestive of more complete immunity. Antigen presentation by dendritic cells ( DC) is critical in initiating the adaptive immune response. Antigen uptake by DC induces maturational changes that include decreased expression of the chemokine receptors CCR1, CCR2, and CCR5 that maintain DC residence in peripheral tissues, and increased expression of CCR7 that mediates the migration of antigen-bearing DC to lymphatic tissue. We stimulated human monocyte-derived DC (MDDC) with virus and found that, in contrast to HPIV3 and IAV, HMPV and HRSV did not efficiently decrease CCR1, 2, and 5 expression, and did not efficiently increase CCR7 expression. Consistent with the differences in CCR7 mRNA and protein expression, MDDC stimulated with HRSV or HMPV migrated less efficiently to the CCR7 ligand CCL19 than did IAV-stimulated MDDC. Using GFP-expressing recombinant virus, we showed that the subpopulation of MDDC that was robustly infected with HRSV was particularly inefficient in chemokine receptor modulation. HMPV- or HRSV-stimulated MDDC responded to secondary stimulation with bacterial lipopolysaccharide or with a cocktail of proinflammatory cytokines by increasing CCR7 and decreasing CCR1, 2 and 5 expression, and by more efficient migration to CCL19, suggesting that HMPV and HRSV suboptimally stimulate rather than irreversibly inhibit MDDC migration. This also suggests that the low concentration of proinflammatory cytokines released from HRSV- and HMPV-stimulated MDDC is partly responsible for the low CCR7-mediated migration. We propose that inefficient migration of HRSV- and HMPV- stimulated DC to lymphatic tissue contributes to reduced adaptive responses to these viruses.</t>
  </si>
  <si>
    <t xml:space="preserve">[Le Nouen, Cyril; Winter, Christine C.; McCarty, Thomas; Collins, Peter L.; Buchholz, Ursula J.] NIAID, Infect Dis Lab, NIH, Bethesda, MD 20892 USA; [Hillyer, Philippa; Rabin, Ronald L.] US FDA, Ctr Biol Evaluat &amp; Res, Bethesda, MD USA</t>
  </si>
  <si>
    <t xml:space="preserve">Le Nouën, C (corresponding author), NIAID, Infect Dis Lab, NIH, Bethesda, MD 20892 USA.</t>
  </si>
  <si>
    <t xml:space="preserve">Buchholz, Ursula/AAA-4547-2022; McCarty, Tom/ABG-6003-2020</t>
  </si>
  <si>
    <t xml:space="preserve">e1002105</t>
  </si>
  <si>
    <t xml:space="preserve">10.1371/journal.ppat.1002105</t>
  </si>
  <si>
    <t xml:space="preserve">787MC</t>
  </si>
  <si>
    <t xml:space="preserve">WOS:000292379600039</t>
  </si>
  <si>
    <t xml:space="preserve">Whitehead, JD; Decool, H; Leyrat, C; Carrique, L; Fix, J; Eleouet, JF; Galloux, M; Renner, M</t>
  </si>
  <si>
    <t xml:space="preserve">Whitehead, Jack D.; Decool, Hortense; Leyrat, Cedric; Carrique, Loic; Fix, Jenna; Eleouet, Jean-Francois; Galloux, Marie; Renner, Max</t>
  </si>
  <si>
    <t xml:space="preserve">Structure of the N-RNA/P interface indicates mode of L/P recruitment to the nucleocapsid of human metapneumovirus</t>
  </si>
  <si>
    <t xml:space="preserve">Human metapneumovirus; RNA; Polymerase; Biology; RNA polymerase</t>
  </si>
  <si>
    <t xml:space="preserve">RESPIRATORY SYNCYTIAL VIRUS; C-TERMINAL DOMAIN; CRYO-EM STRUCTURE; POLYMERASE COFACTOR; CRYSTAL-STRUCTURE; PROTEIN; BINDING; SEQUENCE; PHOSPHOPROTEIN; NUCLEOPROTEIN</t>
  </si>
  <si>
    <t xml:space="preserve">Human metapneumovirus (HMPV) is a major cause of respiratory illness in young children. The HMPV polymerase (L) binds an obligate cofactor, the phosphoprotein (P). During replication and transcription, the L/P complex traverses the viral RNA genome, which is encapsidated within nucleoproteins (N). An essential interaction between N and a C-terminal region of P tethers the L/P polymerase to the template. This N-P interaction is also involved in the formation of cytoplasmic viral factories in infected cells, called inclusion bodies. To define how the polymerase component P recognizes N-encapsidated RNA (N-RNA) we employed cryogenic electron microscopy (cryo-EM) and molecular dynamics simulations, coupled to activity assays and imaging of inclusion bodies in cells. We report a 2.9 angstrom resolution structure of a triple-complex between multimeric N, bound to both RNA and the C-terminal region of P. Furthermore, we also present cryo-EM structures of assembled N in different oligomeric states, highlighting the plasticity of N. Combined with our functional assays, these structural data delineate in molecular detail how P attaches to N-RNA whilst retaining substantial conformational dynamics. Moreover, the N-RNA-P triple complex structure provides a molecular blueprint for the design of therapeutics to potentially disrupt the attachment of L/P to its template. To read and transcribe the viral genome, the polymerase complex of human metapneumovirus (HMPV) needs to attach to the nucleocapsid. Here, the authors define the dynamic basis of how the polymerase cofactor P facilitates this attachment.</t>
  </si>
  <si>
    <t xml:space="preserve">[Whitehead, Jack D.; Carrique, Loic] Univ Oxford, Div Struct Biol, Wellcome Ctr Human Genet, Oxford, England; [Whitehead, Jack D.] Univ Oxford, Sir William Dunn Sch Pathol, Oxford, England; [Decool, Hortense; Fix, Jenna; Eleouet, Jean-Francois; Galloux, Marie] Univ Paris Saclay, INRAE, UVSQ, VIM, F-78350 Jouy En Josas, France; [Leyrat, Cedric] Univ Montpellier, Inst Genom Fonct, CNRS, INSERM, Montpellier, France; [Renner, Max] Umea Univ, Dept Chem, Umea, Sweden; [Renner, Max] Umea Univ, Umea Ctr Microbial Res, Umea, Sweden</t>
  </si>
  <si>
    <t xml:space="preserve">University of Oxford; Wellcome Centre for Human Genetics; University of Oxford; Universite Paris Saclay; Universite Paris Cite; INRAE; Institut National de la Sante et de la Recherche Medicale (Inserm); Universite de Montpellier; Centre National de la Recherche Scientifique (CNRS); Umea University; Umea University</t>
  </si>
  <si>
    <t xml:space="preserve">Galloux, M (corresponding author), Univ Paris Saclay, INRAE, UVSQ, VIM, F-78350 Jouy En Josas, France.;Renner, M (corresponding author), Umea Univ, Dept Chem, Umea, Sweden.;Renner, M (corresponding author), Umea Univ, Umea Ctr Microbial Res, Umea, Sweden.</t>
  </si>
  <si>
    <t xml:space="preserve">marie.galloux@inrae.fr; max.renner@umu.se</t>
  </si>
  <si>
    <t xml:space="preserve">Leyrat, Cedric/G-5559-2017; Eléouët, Jean-François/AAD-1994-2019</t>
  </si>
  <si>
    <t xml:space="preserve">Carrique, Loic/0000-0001-5332-8593; Renner, Max/0000-0001-9885-8256; Whitehead, Jack/0000-0001-8190-9504; Leyrat, Cedric/0000-0003-0189-0562</t>
  </si>
  <si>
    <t xml:space="preserve">Wellcome Trust (Wellcome) [075491/Z/04]; Wellcome Trust [060208/Z/00/Z]; Wellcome JIF award [093305/Z/10/Z]; Wellcome equipment grant [degrees ANR-19-CE11-0017]; French Agence Nationale de la Recherche, specific programs ANR DecRisP; Health Data Research UK; NIHR Oxford Biomedical Research Centre [203141/Z/16/Z]; Wellcome Trust Core Award</t>
  </si>
  <si>
    <t xml:space="preserve">Wellcome Trust (Wellcome)(Wellcome Trust); Wellcome Trust(Wellcome Trust); Wellcome JIF award(Wellcome Trust); Wellcome equipment grant(Wellcome Trust); French Agence Nationale de la Recherche, specific programs ANR DecRisP(Agence Nationale de la Recherche (ANR)); Health Data Research UK; NIHR Oxford Biomedical Research Centre(National Institutes of Health Research (NIHR)); Wellcome Trust Core Award(Wellcome Trust)</t>
  </si>
  <si>
    <t xml:space="preserve">We are grateful to B. van den Hoogen (Erasmus MC, Rotterdam) for providing plasmids of the HMPV NL99-1 strain. JDW is supported by a Wellcome Trust DPhil scholarship (218482/Z/19/Z). Electron microscopy was conducted at the OPIC electron microscopy facility, which was funded by a Wellcome JIF award (060208/Z/00/Z) and was supported by a Wellcome equipment grant (093305/Z/10/Z). The Wellcome Trust is also acknowledged for providing administrative support (Grant 075491/Z/04). The work also received financial support from the French Agence Nationale de la Recherche, specific programs ANR DecRisP n degrees ANR-19-CE11-0017. Computation used the Oxford Biomedical Research Computing (BMRC) facility, a joint development between the Wellcome Centre for Human Genetics and the Big Data Institute, supported by Health Data Research UK and the NIHR Oxford Biomedical Research Centre. Financial support was provided by a Wellcome Trust Core Award (203141/Z/16/Z). The views expressed are those of the author(s) and not necessarily those of the NHS, the NIHR, or the Department of Health.</t>
  </si>
  <si>
    <t xml:space="preserve">10.1038/s41467-023-43434-5</t>
  </si>
  <si>
    <t xml:space="preserve">Y9MQ8</t>
  </si>
  <si>
    <t xml:space="preserve">WOS:001108433300011</t>
  </si>
  <si>
    <t xml:space="preserve">Erickson, JJ; Rogers, MC; Hastings, AK; Tollefson, SJ; Williams, JV</t>
  </si>
  <si>
    <t xml:space="preserve">Erickson, John J.; Rogers, Meredith C.; Hastings, Andrew K.; Tollefson, Sharon J.; Williams, John V.</t>
  </si>
  <si>
    <t xml:space="preserve">Programmed Death-1 Impairs Secondary Effector Lung CD8+ T Cells during Respiratory Virus Reinfection</t>
  </si>
  <si>
    <t xml:space="preserve">Immunology; Biology; Effector; Virus</t>
  </si>
  <si>
    <t xml:space="preserve">HUMAN METAPNEUMOVIRUS INFECTION; CHRONIC VIRAL-INFECTION; RAT SIGMODON-HISPIDUS; SYNCYTIAL VIRUS; INFLUENZA-VIRUS; TRACT INFECTIONS; FUSION PROTEIN; FUNCTIONAL IMPAIRMENT; INHIBITORY RECEPTORS; PROTECTIVE IMMUNITY</t>
  </si>
  <si>
    <t xml:space="preserve">Reinfections with respiratory viruses are common and cause significant clinical illness, yet precise mechanisms governing this susceptibility are ill defined. Lung Ag-specific CD8(+) T cells (T-CD8) are impaired during acute viral lower respiratory infection by the inhibitory receptor programmed death-1 (PD-1). To determine whether PD-1 contributes to recurrent infection, we first established a model of reinfection by challenging B cell-deficient mice with human metapneumovirus (HMPV) several weeks after primary infection, and found that HMPV replicated to high titers in the lungs. A robust secondary effector lung T-CD8 response was generated during reinfection, but these cells were more impaired and more highly expressed the inhibitory receptors PD-1, LAG-3, and 2B4 than primary T-CD8. In vitro blockade demonstrated that PD-1 was the dominant inhibitory receptor early after reinfection. In vivo therapeutic PD-1 blockade during HMPV reinfection restored lung T-CD8 effector functions (i.e., degranulation and cytokine production) and enhanced viral clearance. PD-1 also limited the protective efficacy of HMPV epitope-specific peptide vaccination and impaired lung T-CD8 during heterotypic influenza virus challenge infection. Our results indicate that PD-1 signaling may contribute to respiratory virus reinfection and evasion of vaccine-elicited immune responses. These results have important implications for the design of effective vaccines against respiratory viruses.</t>
  </si>
  <si>
    <t xml:space="preserve">[Erickson, John J.; Rogers, Meredith C.; Hastings, Andrew K.; Williams, John V.] Vanderbilt Univ, Sch Med, Dept Pathol Microbiol &amp; Immunol, Nashville, TN 37232 USA; [Tollefson, Sharon J.; Williams, John V.] Vanderbilt Univ, Sch Med, Dept Pediat, Nashville, TN 37232 USA</t>
  </si>
  <si>
    <t xml:space="preserve">Williams, JV (corresponding author), Vanderbilt Univ, Sch Med, 1161 21st Ave South,D-7235 MCN, Nashville, TN 37232 USA.</t>
  </si>
  <si>
    <t xml:space="preserve">Williams, John/0000-0001-8377-5175; Erickson, John/0000-0001-6189-9302; Rogers, Meredith/0000-0003-1798-6294</t>
  </si>
  <si>
    <t xml:space="preserve">National Institute of Allergy and Infectious Diseases [AI085062]; National Institutes of Health/National Institute of General Medical Sciences [GM007347]; Vanderbilt Ingram Cancer Center [P30 CA68485]; Vanderbilt Digestive Disease Research Center [DK058404]</t>
  </si>
  <si>
    <t xml:space="preserve">National Institute of Allergy and Infectious Diseases(United States Department of Health &amp; Human ServicesNational Institutes of Health (NIH) - USANIH National Institute of Allergy &amp; Infectious Diseases (NIAID)); National Institutes of Health/National Institute of General Medical Sciences(United States Department of Health &amp; Human ServicesNational Institutes of Health (NIH) - USANIH National Institute of General Medical Sciences (NIGMS)); Vanderbilt Ingram Cancer Center; Vanderbilt Digestive Disease Research Center</t>
  </si>
  <si>
    <t xml:space="preserve">This work was supported by National Institute of Allergy and Infectious Diseases Grant AI085062 (to J.V.W.) and National Institutes of Health/National Institute of General Medical Sciences Grant GM007347 for the Vanderbilt Medical Scientist Training Program (to J.J.E. and M.C.R.). The Vanderbilt Medical Center Flow Cytometry Shared Resource is supported by the Vanderbilt Ingram Cancer Center (Grant P30 CA68485) and the Vanderbilt Digestive Disease Research Center (Grant DK058404).</t>
  </si>
  <si>
    <t xml:space="preserve">10.4049/jimmunol.1302208</t>
  </si>
  <si>
    <t xml:space="preserve">AT6BJ</t>
  </si>
  <si>
    <t xml:space="preserve">WOS:000345023400039</t>
  </si>
  <si>
    <t xml:space="preserve">García-García, ML; Calvo, C; Rey, C; Díaz, B; Molinero, MD; Pozo, F; Casas, I</t>
  </si>
  <si>
    <t xml:space="preserve">Luz Garcia-Garcia, Maria; Calvo, Cristina; Rey, Cristina; Diaz, Beatriz; del Mar Molinero, Maria; Pozo, Francisco; Casas, Inmaculada</t>
  </si>
  <si>
    <t xml:space="preserve">Human metapnuemovirus infections in hospitalized children and comparison with other respiratory viruses. 2005-2014 prospective study</t>
  </si>
  <si>
    <t xml:space="preserve">Human metapneumovirus; Rhinovirus; Human bocavirus; Medicine; Coinfection; Bronchiolitis; Respiratory tract infections</t>
  </si>
  <si>
    <t xml:space="preserve">HUMAN METAPNEUMOVIRUS INFECTION; SYNCYTIAL-VIRUS; DISEASE</t>
  </si>
  <si>
    <t xml:space="preserve">Background Human metapneumovirus (HMPV) has an important etiological role in acute lower respiratory infections in children under five years. Our objectives were to estimate the relative contribution of HMPV to hospitalization in children with acute respiratory infection, to define the clinical and epidemiological features of HMPV single and multiple infections, and to compare HMPV infections with respiratory syncytial virus (HRSV), rhinovirus (HRV), adenovirus and human bocavirus infections in the same population. Methods and findings A prospective study performed on all children less than 14 years of age with a respiratory tract disease admitted to a secondary hospital between September 2005-June 2014. Clinical characteristics of patients were analyzed. Nasopharyngeal aspirate was taken at admission for viral study with polymerase chain reaction for 16 respiratory viruses. A total of 3,906 children were included. At least one respiratory virus was detected in 75.2% of them. The most common identified virus was HRSV, followed by HRV. HMPV was detected in 214 cases (5.5%); 133 (62%) were single infections and the remaining were detected in coinfection with other viruses. 90.7% cases were detected between February and May. Children's mean age was 13.83 +/- 18 months. Fever was frequent (69%), and bronchiolitis (27%), and recurrent wheezing (63%) were the main clinical diagnosis. Hypoxia was present in 65% of the patients and 47% of them had an infiltrate in X-ray. Only 6 (2.8%) children were admitted to the intensive care unit. Only the duration of the hospitalization was different, being longer in the coinfections group (p &lt; 0.05). There were many differences in seasonality and clinical characteristics between HMPV and other respiratory viruses being more similar to HRSV. Conclusions HMPV infections accounted for 5.5% of total viral infections in hospitalized children. The clinical characteristics were similar to HRSV infections, but seasonality and clinical data were different from other viral infections.</t>
  </si>
  <si>
    <t xml:space="preserve">[Luz Garcia-Garcia, Maria; Calvo, Cristina] Severo Ochoa Hosp, Dept Pediat, Madrid, Spain; [Luz Garcia-Garcia, Maria; Calvo, Cristina; Rey, Cristina; Diaz, Beatriz] Univ Alfonson X el Sabio, Madrid, Spain; [Luz Garcia-Garcia, Maria; Calvo, Cristina; Pozo, Francisco; Casas, Inmaculada] Traslat Res Network Pediat Infectious Diseases RI, Madrid, Spain; [Luz Garcia-Garcia, Maria; Calvo, Cristina; Rey, Cristina; Diaz, Beatriz] European Network Excellence, Pediat Clin Res, Bari, Italy; [del Mar Molinero, Maria; Pozo, Francisco; Casas, Inmaculada] Natl Microbiol Ctr ISCIII, Respiratory Viruses &amp; Influenza Unit, Madrid, Spain</t>
  </si>
  <si>
    <t xml:space="preserve">Calvo, C (corresponding author), European Network Excellence, Pediat Clin Res, Bari, Italy.</t>
  </si>
  <si>
    <t xml:space="preserve">Pozo, Francisco/0000-0003-1828-733X; Casas, Inmaculada/0000-0003-1840-1198; GARCIA-GARCIA, MARIA LUZ/0000-0003-4906-4227; Calvo, Cristina/0000-0002-6503-3423</t>
  </si>
  <si>
    <t xml:space="preserve">FIS (Fondo de Investigaciones Sanitarias - Spanish Health Research Fund) [PI06/0532, PI09/0246, PI12/0129]</t>
  </si>
  <si>
    <t xml:space="preserve">This study has been supported by FIS (Fondo de Investigaciones Sanitarias - Spanish Health Research Fund) grants no: PI06/0532, PI09/0246, and PI12/0129.</t>
  </si>
  <si>
    <t xml:space="preserve">e0173504</t>
  </si>
  <si>
    <t xml:space="preserve">10.1371/journal.pone.0173504</t>
  </si>
  <si>
    <t xml:space="preserve">EN9KE</t>
  </si>
  <si>
    <t xml:space="preserve">WOS:000396318300046</t>
  </si>
  <si>
    <t xml:space="preserve">El Najjar, F; Cifuentes-Muñoz, N; Chen, J; Zhu, HN; Buchholz, UJ; Moncman, CL; Dutch, RE</t>
  </si>
  <si>
    <t xml:space="preserve">El Najjar, Farah; Cifuentes-Munoz, Nicolas; Chen, Jing; Zhu, Haining; Buchholz, Ursula J.; Moncman, Carole L.; Dutch, Rebecca Ellis</t>
  </si>
  <si>
    <t xml:space="preserve">Human metapneumovirus Induces Reorganization of the Actin Cytoskeleton for Direct Cell-to-Cell Spread</t>
  </si>
  <si>
    <t xml:space="preserve">Human metapneumovirus; Cell biology; Biology; Phosphoprotein; Actin</t>
  </si>
  <si>
    <t xml:space="preserve">RESPIRATORY SYNCYTIAL VIRUS; HUMAN MONOCLONAL-ANTIBODY; FUSION PROTEIN; MEASLES-VIRUS; TUNNELING NANOTUBES; INFLUENZA-VIRUS; MATRIX PROTEIN; F-ACTIN; TRANSMISSION; INFECTION</t>
  </si>
  <si>
    <t xml:space="preserve">Paramyxovirus spread generally involves assembly of individual viral particles which then infect target cells. We show that infection of human bronchial airway cells with human metapneumovirus (HMPV), a recently identified paramyxovirus which causes significant respiratory disease, results in formation of intercellular extensions and extensive networks of branched cell-associated filaments. Formation of these structures is dependent on actin, but not microtubule, polymerization. Interestingly, using a co-culture assay we show that conditions which block regular infection by HMPV particles, including addition of neutralizing antibodies or removal of cell surface heparan sulfate, did not prevent viral spread from infected to new target cells. In contrast, inhibition of actin polymerization or alterations to Rho GTPase signaling pathways significantly decreased cell-to-cell spread. Furthermore, viral proteins and viral RNA were detected in intercellular extensions, suggesting direct transfer of viral genetic material to new target cells. While roles for paramyxovirus matrix and fusion proteins in membrane deformation have been previously demonstrated, we show that the HMPV phosphoprotein extensively co-localized with actin and induced formation of cellular extensions when transiently expressed, supporting a new model in which a paramyxovirus phosphoprotein is a key player in assembly and spread. Our results reveal a novel mechanism for HMPV direct cell-to-cell spread and provide insights into dissemination of respiratory viruses.</t>
  </si>
  <si>
    <t xml:space="preserve">[El Najjar, Farah; Cifuentes-Munoz, Nicolas; Chen, Jing; Zhu, Haining; Moncman, Carole L.; Dutch, Rebecca Ellis] Univ Kentucky, Dept Mol &amp; Cellular Biochem, Lexington, KY 40506 USA; [Buchholz, Ursula J.] NIAID, Infect Dis Lab, Bethesda, MD 20892 USA</t>
  </si>
  <si>
    <t xml:space="preserve">Buchholz, Ursula/AAA-4547-2022; Zhu, Haining/A-6076-2008</t>
  </si>
  <si>
    <t xml:space="preserve">NIH from National Center for Research Resources [R01AI051517, 2P20RR020171]; Intramural Program of the NIH, National Institute of Allergy and Infectious Diseases; COBRE grant from NIH/NIGMS [P20GM103486]</t>
  </si>
  <si>
    <t xml:space="preserve">NIH from National Center for Research Resources(United States Department of Health &amp; Human ServicesNational Institutes of Health (NIH) - USANIH National Center for Research Resources (NCRR)); Intramural Program of the NIH, National Institute of Allergy and Infectious Diseases; COBRE grant from NIH/NIGMS</t>
  </si>
  <si>
    <t xml:space="preserve">RED was supported by NIH grants R01AI051517 and 2P20RR020171 from the National Center for Research Resources. UJB was supported by the Intramural Program of the NIH, National Institute of Allergy and Infectious Diseases. The University of Kentucky Proteomics Core and the Department Imaging Core were partially supported by a COBRE grant from the NIH/NIGMS (P20GM103486). The funders had no role in study design, data collection and analysis, decision to publish, or preparation of the manuscript.</t>
  </si>
  <si>
    <t xml:space="preserve">e1005922</t>
  </si>
  <si>
    <t xml:space="preserve">10.1371/journal.ppat.1005922</t>
  </si>
  <si>
    <t xml:space="preserve">WOS:000385621900061</t>
  </si>
  <si>
    <t xml:space="preserve">Larcher, C; Jeller, V; Fischer, H; Huemer, HP</t>
  </si>
  <si>
    <t xml:space="preserve">Larcher, C.; Jeller, V.; Fischer, H.; Huemer, H. P.</t>
  </si>
  <si>
    <t xml:space="preserve">Prevalence of respiratory viruses, including newly identified viruses, in hospitalised children in Austria</t>
  </si>
  <si>
    <t xml:space="preserve">Human metapneumovirus; Virology; Medical microbiology; Virus; Outbreak; Biology; Enterovirus; Metapneumovirus</t>
  </si>
  <si>
    <t xml:space="preserve">HUMAN METAPNEUMOVIRUS INFECTION; SYNCYTIAL VIRUS; PCR; PERSISTENCE</t>
  </si>
  <si>
    <t xml:space="preserve">The aim of this epidemiological study was to determine the prevalence of respiratory viruses, including new viruses, in hospitalised children in Austria. Two hundred fourteen nasopharyngeal samples from hospitalised children were tested for the presence of viruses using cell culture and PCR and/or viral antigen assays. The results revealed a parainfluenza virus 1 (PIV1) outbreak that ended right before the onset of the influenza season, with nearly no overlapping, moderate respiratory syncytial virus (RSV) activity, and only a few adenoviruses. Human metapneumovirus (hMPV) was present in 14.5% of the total samples but was detected in combination with other viruses in only five cases: with PIV1 in three cases and with RSV in two cases. There were no cases of dual infection with hMPV and flu or adenovirus. This suggests that hMPV alone is a leading cause of hospitalisation in children under 1 year of age. Interestingly, hMPV, in contrast to RSV, coincided with PIV1 but was absent during the community outbreak of the flu. Samples were also tested for Mimiviridae, a group of newly described DNA viruses that are similar to Legionella spp., replicate in water amoebae, and also have been found in alveolar cells. However, mimivirus was detected neither in respiratory samples nor in amoebaecontaining water samples, indicating that this particular type of virus is either not abundant or does not contribute to paediatric respiratory illnesses.</t>
  </si>
  <si>
    <t xml:space="preserve">Univ Innsbruck, Dept Paediat, A-6020 Innsbruck, Austria; Univ Innsbruck, Dept Hyg Microbiol &amp; Social Med, A-6020 Innsbruck, Austria</t>
  </si>
  <si>
    <t xml:space="preserve">University of Innsbruck; University of Innsbruck</t>
  </si>
  <si>
    <t xml:space="preserve">Huemer, HP (corresponding author), Gen Hosp Bolzano, Lab Microbiol &amp; Virol, Bolzano, Italy.</t>
  </si>
  <si>
    <t xml:space="preserve">hartwig.huemer@i-med.ac.at</t>
  </si>
  <si>
    <t xml:space="preserve">10.1007/s10096-006-0214-z</t>
  </si>
  <si>
    <t xml:space="preserve">117ZI</t>
  </si>
  <si>
    <t xml:space="preserve">WOS:000242911400001</t>
  </si>
  <si>
    <t xml:space="preserve">Wen, XW; Mousa, JJ; Bates, JT; Lamb, RA; Crowe, JE; Jardetzky, TS</t>
  </si>
  <si>
    <t xml:space="preserve">Wen, Xiaolin; Mousa, Jarrod J.; Bates, John T.; Lamb, Robert A.; Crowe, James E., Jr.; Jardetzky, Theodore S.</t>
  </si>
  <si>
    <t xml:space="preserve">Structural basis for antibody cross-neutralization of respiratory syncytial virus and human metapneumovirus</t>
  </si>
  <si>
    <t xml:space="preserve">NATURE MICROBIOLOGY</t>
  </si>
  <si>
    <t xml:space="preserve">Human metapneumovirus; Virology; Antibody; Biology; Virus</t>
  </si>
  <si>
    <t xml:space="preserve">FUSION-GLYCOPROTEIN VACCINE; INFECTION; DISEASE; PROTEIN; BURDEN; PHENIX</t>
  </si>
  <si>
    <t xml:space="preserve">Respiratory syncytial virus (RSV) and human metapneumovirus (HMPV) are two closely related viruses that cause bronchiolitis and pneumonia in infants and the elderly(1), with a significant health burden(2-6). There are no licensed vaccines or small-molecule antiviral treatments specific to these two viruses at present. A humanized murine monoclonal antibody (palivizumab) is approved to treat high-risk infants for RSV infection(7,8), but other treatments, as well as vaccines, for both viruses are still in development. Recent epidemiological modelling suggests that cross-immunity between RSV, HMPV and human parainfluenzaviruses may contribute to their periodic outbreaks(9), suggesting that a deeper understanding of host immunity to these viruses may lead to enhanced strategies for their control. Cross-reactive neutralizing antibodies to the RSV and HMPV fusion (F) proteins have been identified(10,11). Here, we examine the structural basis for cross-reactive antibody binding to RSV and HMPV F protein by two related, independently isolated antibodies, MPE8 and 25P13. We solved the structure of the MPE8 antibody bound to RSV F protein and identified the 25P13 antibody from an independent blood donor. Our results indicate that both antibodies use germline residues to interact with a conserved surface on F protein that could guide the emergence of cross-reactivity. The induction of similar cross-reactive neutralizing antibodies using structural vaccinology approaches could enhance intrinsic cross-immunity to these paramyxoviruses</t>
  </si>
  <si>
    <t xml:space="preserve">[Wen, Xiaolin; Jardetzky, Theodore S.] Stanford Univ, Sch Med, Dept Biol Struct, Stanford, CA 94305 USA; [Mousa, Jarrod J.; Bates, John T.; Jardetzky, Theodore S.] Stanford Univ, Sch Med, Vanderbilt Vaccine Ctr, Nashville, TN USA; [Lamb, Robert A.] Northeastern Univ, Howard Hughes Med Inst, Evanston, IL 60208 USA; [Lamb, Robert A.] Northeastern Univ, Dept Mol Biosci, Evanston, IL 60208 USA; [Crowe, James E., Jr.] Vanderbilt Univ, Sch Med, Dept Pediat, Nashville, TN 37232 USA; [Crowe, James E., Jr.] Vanderbilt Univ, Sch Med, Dept Pathol Microbiol &amp; Immunol, Nashville, TN 37232 USA</t>
  </si>
  <si>
    <t xml:space="preserve">Stanford University; Northwestern University; Howard Hughes Medical Institute; Northwestern University; Vanderbilt University; Vanderbilt University</t>
  </si>
  <si>
    <t xml:space="preserve">Jardetzky, TS (corresponding author), Stanford Univ, Sch Med, Dept Biol Struct, Stanford, CA 94305 USA.</t>
  </si>
  <si>
    <t xml:space="preserve">Bates, John/I-8628-2019; Crowe, James/B-5549-2009</t>
  </si>
  <si>
    <t xml:space="preserve">Bates, John/0000-0001-5545-6871; Crowe, James/0000-0002-0049-1079; Mousa, Jarrod/0000-0003-4709-2478; Jardetzky, Theodore/0000-0002-3664-0072</t>
  </si>
  <si>
    <t xml:space="preserve">Jardetzky laboratorie; Lamb laboratorie; Crowe laboratorie; National Institutes of Health [AI-23173, GM-61050]</t>
  </si>
  <si>
    <t xml:space="preserve">Jardetzky laboratorie; Lamb laboratorie; Crowe laboratorie; National Institutes of Health(United States Department of Health &amp; Human ServicesNational Institutes of Health (NIH) - USA)</t>
  </si>
  <si>
    <t xml:space="preserve">The authors acknowledge support from the members of the Jardetzky, Lamb and Crowe laboratories. This research was supported in part by National Institutes of Health research grants AI-23173 ( to R. A. L.) and GM-61050 ( to T. S. J.). R. A. L. is an Investigator of the Howard Hughes Medical Institute.</t>
  </si>
  <si>
    <t xml:space="preserve">2058-5276</t>
  </si>
  <si>
    <t xml:space="preserve">NAT MICROBIOL</t>
  </si>
  <si>
    <t xml:space="preserve">NAT. MICROBIOL</t>
  </si>
  <si>
    <t xml:space="preserve">10.1038/nmicrobiol.2016.272</t>
  </si>
  <si>
    <t xml:space="preserve">EQ6FS</t>
  </si>
  <si>
    <t xml:space="preserve">WOS:000398177800013</t>
  </si>
  <si>
    <t xml:space="preserve">Ditt, V; Lüsebrink, J; Tillmann, RL; Schildgen, V; Schildgen, O</t>
  </si>
  <si>
    <t xml:space="preserve">Ditt, Vanessa; Luesebrink, Jessica; Tillmann, Ramona Liza; Schildgen, Verena; Schildgen, Oliver</t>
  </si>
  <si>
    <t xml:space="preserve">Respiratory Infections by HMPV and RSV Are Clinically Indistinguishable but Induce Different Host Response in Aged Individuals</t>
  </si>
  <si>
    <t xml:space="preserve">Respiratory system; Host response; Host (biology)</t>
  </si>
  <si>
    <t xml:space="preserve">HUMAN METAPNEUMOVIRUS INFECTION; NF-KAPPA-B; SYNCYTIAL VIRUS; BALB/C MICE; NONSTRUCTURAL PROTEINS; IMMUNE-RESPONSE; NS1; IMMUNOSENESCENCE; CHILDREN; DISEASE</t>
  </si>
  <si>
    <t xml:space="preserve">Background: Human metapneumovirus and respiratory syncytial virus can cause severe respiratory diseases, especially in infants, young children, and the elderly. So far it remains unclear why infections in the elderly become life threatening despite the presence of neutralizing antibodies in the serum, and to which extent double infections worsen the clinical course. Methods: Young and aged BALB/c-mice were infected with RSV or/and HMPV. Appearance of the mice was observed during course of infection. On day 5 p.i. animals were dispatched by cervical dislocation and levels of TNF-alpha and NF-kappa B were determined. Results: The observation of activity, weight and appearance of the different mice showed no differences among the tested groups. Despite this, the immunologic response depends on the animals' age and the virus they were infected with. In young animals, NF-kappa B levels were elevated if infected with HMPV and HMPV/RSV but remained low in RSV infections, whereas in aged animals the opposite was observed: solely RSV-infected animals showed elevated levels of NF-kappa B. TNF-alpha was slightly elevated in HMPV-infected young and old animals, but only in young animals this elevation was significant. Conclusions: Contrary to other studies, no weight loss or change in activity despite productive lung infection with the different viruses were observed. This may be due to the weaker anaesthesia or the lesser volume of virus solution used, leading to less stress in the animals. The observed differences in TNF-alpha and NF-kappa B elevation lead to the assumption that young and old individuals have different mechanisms to react against the viruses.</t>
  </si>
  <si>
    <t xml:space="preserve">[Ditt, Vanessa; Luesebrink, Jessica; Tillmann, Ramona Liza; Schildgen, Verena; Schildgen, Oliver] Univ Bonn, Inst Virol, D-5300 Bonn, Germany</t>
  </si>
  <si>
    <t xml:space="preserve">University of Bonn</t>
  </si>
  <si>
    <t xml:space="preserve">Ditt, V (corresponding author), Kliniken Stadt Koln gGmbH, Inst Pathol, Cologne, Germany.</t>
  </si>
  <si>
    <t xml:space="preserve">This work was supported by a grant from the European Commission (RespViruses, LSHM-CT-2006-037276). The funders had no role in study design, data collection and analysis, decision to publish, or preparation of the manuscript.</t>
  </si>
  <si>
    <t xml:space="preserve">JAN 26</t>
  </si>
  <si>
    <t xml:space="preserve">e16314</t>
  </si>
  <si>
    <t xml:space="preserve">10.1371/journal.pone.0016314</t>
  </si>
  <si>
    <t xml:space="preserve">712JL</t>
  </si>
  <si>
    <t xml:space="preserve">WOS:000286662800025</t>
  </si>
  <si>
    <t xml:space="preserve">Renner, M; Paesen, GC; Grison, CM; Granier, S; Grimes, JM; Leyrat, C</t>
  </si>
  <si>
    <t xml:space="preserve">Renner, Max; Paesen, Guido C.; Grison, Claire M.; Granier, Sebastien; Grimes, Jonathan M.; Leyrat, Cedric</t>
  </si>
  <si>
    <t xml:space="preserve">Structural dissection of human metapneumovirus phosphoprotein using small angle x-ray scattering</t>
  </si>
  <si>
    <t xml:space="preserve">Human metapneumovirus; Phosphoprotein</t>
  </si>
  <si>
    <t xml:space="preserve">RESPIRATORY SYNCYTIAL VIRUS; INTRINSICALLY DISORDERED PROTEINS; VESICULAR STOMATITIS-VIRUS; M2-1 PROTEIN; CRYSTAL-STRUCTURE; FUNCTIONAL-CHARACTERIZATION; TRANSCRIPTION TERMINATION; PHASE-TRANSITIONS; INFECTED CELLS; RNA-SYNTHESIS</t>
  </si>
  <si>
    <t xml:space="preserve">The phosphoprotein (P) is the main and essential cofactor of the RNA polymerase (L) of nonsegmented, negative-strand RNA viruses. P positions the viral polymerase onto its nucleoproteinRNA template and acts as a chaperone of the nucleoprotein (N), thereby preventing nonspecific encapsidation of cellular RNAs. The phosphoprotein of human metapneumovirus (HMPV) forms homotetramers composed of a stable oligomerization domain (Pcore) flanked by large intrinsically disordered regions (IDRs). Here we combined x-ray crystallography of Pcore with small angle x-ray scattering (SAXS)-based ensemble modeling of the full-length P protein and several of its fragments to provide a structural description of P that captures its dynamic character, and highlights the presence of varyingly stable structural elements within the IDRs. We discuss the implications of the structural properties of HMPV P for the assembly and functioning of the viral transcription/replication machinery.</t>
  </si>
  <si>
    <t xml:space="preserve">[Renner, Max; Paesen, Guido C.; Grimes, Jonathan M.] Univ Oxford, Div Struct Biol, Wellcome Trust Ctr Human Genet, Roosevelt Dr, Oxford OX3 7BN, England; [Grison, Claire M.; Granier, Sebastien; Leyrat, Cedric] Univ Montpellier, Inst Genom Fonct, CNRS UMR 5203, INSERM U1191, Montpellier, France; [Grimes, Jonathan M.] Diamond Light Source Ltd, Sci Div, Diamond House,Harwell Sci &amp; Innovat Campus, Didcot OX11 0DE, Oxon, England</t>
  </si>
  <si>
    <t xml:space="preserve">University of Oxford; Wellcome Centre for Human Genetics; Centre National de la Recherche Scientifique (CNRS); CNRS - National Institute for Biology (INSB); Institut National de la Sante et de la Recherche Medicale (Inserm); Universite de Montpellier; Diamond Light Source</t>
  </si>
  <si>
    <t xml:space="preserve">Grimes, JM (corresponding author), Univ Oxford, Div Struct Biol, Wellcome Trust Ctr Human Genet, Roosevelt Dr, Oxford OX3 7BN, England.;Leyrat, C (corresponding author), Univ Montpellier, Inst Genom Fonct, CNRS UMR 5203, INSERM U1191, Montpellier, France.;Grimes, JM (corresponding author), Diamond Light Source Ltd, Sci Div, Diamond House,Harwell Sci &amp; Innovat Campus, Didcot OX11 0DE, Oxon, England.</t>
  </si>
  <si>
    <t xml:space="preserve">jonathan@strubi.ox.ac.uk; cedric.leyrat@igf.cnrs.fr</t>
  </si>
  <si>
    <t xml:space="preserve">Granier, Sebastien/J-1089-2016; Leyrat, Cedric/G-5559-2017; Grison, Claire/I-1948-2017</t>
  </si>
  <si>
    <t xml:space="preserve">Leyrat, Cedric/0000-0003-0189-0562; Renner, Max/0000-0001-9885-8256; Grimes, Jonathan Mark/0000-0001-9698-0389; Grison, Claire/0000-0002-3179-2093</t>
  </si>
  <si>
    <t xml:space="preserve">European Union Seventh Framework Programme (FP7) under SILVER [260644]; MRC grant [MR/L017709/1]; Wellcome Trust Fellowship [204703/Z/16/Z]; Labex EpiGenMed; Investissements d'avenir' program [ANR-10-LABX-12-01]; WT [200835/Z/16/Z]; Wellcome Trust [203141/Z/16/Z]; Wellcome Trust [204703/Z/16/Z] Funding Source: Wellcome Trust; MRC [MR/L017709/1] Funding Source: UKRI</t>
  </si>
  <si>
    <t xml:space="preserve">European Union Seventh Framework Programme (FP7) under SILVER(European Union (EU)Marie Curie Actions); MRC grant(UK Research &amp; Innovation (UKRI)Medical Research Council UK (MRC)); Wellcome Trust Fellowship(Wellcome Trust); Labex EpiGenMed; Investissements d'avenir' program(Agence Nationale de la Recherche (ANR)); WT; Wellcome Trust(Wellcome Trust); Wellcome Trust(Wellcome Trust); MRC(UK Research &amp; Innovation (UKRI)Medical Research Council UK (MRC))</t>
  </si>
  <si>
    <t xml:space="preserve">The research leading to these results has received funding from the European Union Seventh Framework Programme (FP7/2007-2013) under SILVER grant agreement no 260644, and MRC grant (MR/L017709/1). MR is funded by a Wellcome Trust Fellowship (204703/Z/16/Z), CMG benefited from the support of the Labex EpiGenMed, an Investissements d'avenir' program, reference ANR-10-LABX-12-01, and JMG by the WT (200835/Z/16/Z). This work was supported by a Wellcome Trust administrative support grant (203141/Z/16/Z). The authors would like to thank the staff of beamline BM29 and former beamline ID14-3 at the European Synchrotron Radiation Facility (Grenoble, France) for assistance with SAXS data collection. The authors would also like to thank Diamond Light Source for beamtime (proposal MX10627), and the staff of beamlines I03 and I04 for assistance with crystal testing and data collection. Finally, the authors would like to thank Dr. Nicolas Martinez for helpful discussions.</t>
  </si>
  <si>
    <t xml:space="preserve">10.1038/s41598-017-14448-z</t>
  </si>
  <si>
    <t xml:space="preserve">FL4XD</t>
  </si>
  <si>
    <t xml:space="preserve">WOS:000414233900010</t>
  </si>
  <si>
    <t xml:space="preserve">Bao, XY; Liu, TS; Shan, YC; Li, K; Garofalo, RP; Casola, A</t>
  </si>
  <si>
    <t xml:space="preserve">Bao, Xiaoyong; Liu, Tianshuang; Shan, Yichu; Li, Kui; Garofalo, Roberto P.; Casola, Antonella</t>
  </si>
  <si>
    <t xml:space="preserve">Human metapneumovirus glycoprotein G inhibits innate immune responses</t>
  </si>
  <si>
    <t xml:space="preserve">Biology; Human metapneumovirus; Innate immune system; Chemokine; Interferon</t>
  </si>
  <si>
    <t xml:space="preserve">RESPIRATORY SYNCYTIAL VIRUS; ALVEOLAR EPITHELIAL-CELLS; NF-KAPPA-B; INFLUENZA-A VIRUS; RIG-I; TRANSCRIPTION FACTOR; NUCLEAR TRANSLOCATION; NS1 PROTEIN; ACTIVATION; INTERFERON</t>
  </si>
  <si>
    <t xml:space="preserve">Human metapneumovirus (hMPV) is a leading cause of acute respiratory tract infection in infants, as well as in the elderly and immunocompromised patients. No effective treatment or vaccine for hMPV is currently available. A recombinant hMPV lacking the G protein (rhMPV-DG) was recently developed as a potential vaccine candidate and shown to be attenuated in the respiratory tract of a rodent model of infection. The mechanism of its attenuation, as well as the role of G protein in modulation of hMPV-induced cellular responses in vitro, as well as in vivo, is currently unknown. In this study, we found that rhMPV-Delta G-infected airway epithelial cells produced higher levels of chemokines and type I interferon (IFN) compared to cells infected with rhMPV-WT. Infection of airway epithelial cells with rhMPV-DG enhanced activation of transcription factors belonging to the nuclear factor (NF)-kappa B and interferon regulatory factor (IRF) families, as revealed by increased nuclear translocation and/or phosphorylation of these transcription factors. Compared to rhMPV-WT, rhMPV-DG also increased IRF-and NF-kappa B-dependent gene transcription, which was reversely inhibited by G protein expression. Since RNA helicases have been shown to play a fundamental role in initiating viral-induced cellular signaling, we investigated whether retinoic induced gene (RIG)- I was the target of G protein inhibitory activity. We found that indeed G protein associated with RIG-I and inhibited RIG-I-dependent gene transcription, identifying an important mechanism by which hMPV affects innate immune responses. This is the first study investigating the role of hMPV G protein in cellular signaling and identifies G as an important virulence factor, as it inhibits the production of important immune and antiviral mediators by targeting RIG-I, a major intracellular viral RNA sensor.</t>
  </si>
  <si>
    <t xml:space="preserve">[Bao, Xiaoyong; Liu, Tianshuang; Shan, Yichu; Garofalo, Roberto P.; Casola, Antonella] Univ Texas Galveston, Med Branch, Galveston, TX 77550 USA; [Li, Kui; Garofalo, Roberto P.; Casola, Antonella] Univ Texas Galveston, Med Branch, Dept Microbiol &amp; Immunol, Galveston, TX 77550 USA; [Garofalo, Roberto P.; Casola, Antonella] Univ Texas Galveston, Med Branch, Sealy Ctr Vaccine Dev, Galveston, TX 77550 USA</t>
  </si>
  <si>
    <t xml:space="preserve">Bao, XY (corresponding author), Univ Texas Galveston, Med Branch, Galveston, TX 77550 USA.</t>
  </si>
  <si>
    <t xml:space="preserve">Garofalo, Roberto/ABL-2322-2022; shan, yichu/Q-9068-2017</t>
  </si>
  <si>
    <t xml:space="preserve">Li, Kui/0000-0002-2413-6020</t>
  </si>
  <si>
    <t xml:space="preserve">NIAID NIH HHS [T32 AI07536, P01 AI062885, N01 12 AI30039, T32 AI007536, N01AI30039] Funding Source: Medline; PHS HHS [P01 062885, 06676] Funding Source: Medline</t>
  </si>
  <si>
    <t xml:space="preserve">e1000077</t>
  </si>
  <si>
    <t xml:space="preserve">10.1371/journal.ppat.1000077</t>
  </si>
  <si>
    <t xml:space="preserve">312JY</t>
  </si>
  <si>
    <t xml:space="preserve">WOS:000256668900003</t>
  </si>
  <si>
    <t xml:space="preserve">Cox, RG; Erickson, JJ; Hastings, AK; Becker, JC; Johnson, M; Craven, RE; Tollefson, SJ; Boyd, KL; Williams, JV</t>
  </si>
  <si>
    <t xml:space="preserve">Cox, Reagan G.; Erickson, John J.; Hastings, Andrew K.; Becker, Jennifer C.; Johnson, Monika; Craven, Ryan E.; Tollefson, Sharon J.; Boyd, Kelli L.; Williams, John V.</t>
  </si>
  <si>
    <t xml:space="preserve">Human Metapneumovirus Virus-Like Particles Induce Protective B and T Cell Responses in a Mouse Model</t>
  </si>
  <si>
    <t xml:space="preserve">Human metapneumovirus; Virology; Biology; Adjuvant; Neutralizing antibody; Antibody; Virus; Immune system; Immunization</t>
  </si>
  <si>
    <t xml:space="preserve">RESPIRATORY SYNCYTIAL VIRUS; FUSION PROTEIN; TRACT INFECTIONS; CROSS-PRESENTATION; INFLUENZA-VIRUS; RSV VACCINE; COTTON RATS; MONOCLONAL-ANTIBODY; ANTIVIRAL IMMUNITY; IN-VITRO</t>
  </si>
  <si>
    <t xml:space="preserve">Human metapneumovirus (HMPV) is a leading cause of respiratory disease in infants, children, and the elderly worldwide, yet no licensed vaccines exist. Live- attenuated vaccines present safety challenges, and protein subunit vaccines induce primarily antibody responses. Virus-like particles (VLPs) are an attractive alternative vaccine approach because of reduced safety concerns compared with live vaccines. We generated HMPV VLPs by expressing viral proteins in suspension- adapted human embryonic kidney epithelial (293-F) cells and found that the viral matrix (M) and fusion (F) proteins were sufficient to form VLPs. We previously reported that the VLPs resemble virus morphology and incorporate fusion-competent F protein (R. G. Cox, S. B. Livesay, M. Johnson, M. D. Ohi, and J.V. Williams, J.Virol. 86: 12148 - 12160, 2012), which we hypothesized would elicit F-specific antibody and T cell responses. In this study, we tested whether VLP immunization could induce protective immunity to HMPV by using a mouse model. C57BL/6 mice were injected twice intraperitoneally with VLPs alone or with adjuvant and subsequently challenged with HMPV. Mice were euthanized 5 days postinfection, and virus titers, levels of neutralizing antibodies, and numbers of CD3(+) T cells were quantified. Mice immunized with VLPs mounted an F-specific antibody response and generated CD8(+) T cells recognizing an F protein-derived epitope. VLP immunization induced a neutralizing-antibody response that was enhanced by the addition of either TiterMax Gold or alpha-galactosylceramide adjuvant, though adjuvant reduced cellular immune responses. Two doses of VLPs conferred complete protection from HMPV replication in the lungs of mice and were not associated with a Th2-skewed cytokine response. These results suggest that nonreplicating VLPs are a promising vaccine candidate for HMPV.</t>
  </si>
  <si>
    <t xml:space="preserve">[Cox, Reagan G.; Erickson, John J.; Hastings, Andrew K.; Becker, Jennifer C.; Craven, Ryan E.; Boyd, Kelli L.; Williams, John V.] Vanderbilt Univ, Sch Med, Dept Pathol Microbiol &amp; Immunol, Nashville, TN 37212 USA; [Johnson, Monika; Tollefson, Sharon J.; Williams, John V.] Vanderbilt Univ, Sch Med, Dept Pediat, Nashville, TN 37212 USA</t>
  </si>
  <si>
    <t xml:space="preserve">Erickson, John/0000-0001-6189-9302; Williams, John/0000-0001-8377-5175</t>
  </si>
  <si>
    <t xml:space="preserve">Public Health Service [Al-085062, T32 AI-007611, T32 HL-069765, GM-007347]</t>
  </si>
  <si>
    <t xml:space="preserve">Public Health Service(United States Department of Health &amp; Human ServicesUnited States Public Health Service)</t>
  </si>
  <si>
    <t xml:space="preserve">This work was financially supported by Public Health Service grants Al-085062 (J.V.W.), T32 AI-007611 (R.G.C.), T32 HL-069765 (J.C.B.), and GM-007347 (J.J.E.). Additional support was provided by a P.E.O. Scholar award from the Philanthropic Educational Organization (R. G. C.). The Vanderbilt Medical Center Flow Cytometry Shared Resource is supported by the Vanderbilt Ingram Cancer Center (NIH P30 CA-68485) and the Vanderbilt Digestive Disease Research Center (NIH DK-058404). The Islet Procurement and Analysis Core is supported by the Vanderbilt Diabetes Research and Training Center (NIH P60 DK-020593).</t>
  </si>
  <si>
    <t xml:space="preserve">10.1128/JVI.00332-14</t>
  </si>
  <si>
    <t xml:space="preserve">WOS:000335970300042</t>
  </si>
  <si>
    <t xml:space="preserve">Leyrat, C; Renner, M; Harlos, K; Huiskonen, JT; Grimes, JM</t>
  </si>
  <si>
    <t xml:space="preserve">Leyrat, Cedric; Renner, Max; Harlos, Karl; Huiskonen, Juha T.; Grimes, Jonathan M.</t>
  </si>
  <si>
    <t xml:space="preserve">Drastic changes in conformational dynamics of the antiterminator M2-1 regulate transcription efficiency in Pneumovirinae</t>
  </si>
  <si>
    <t xml:space="preserve">Zinc finger; Tetramer; Transcription (linguistics); Biophysics; RNA</t>
  </si>
  <si>
    <t xml:space="preserve">RESPIRATORY SYNCYTIAL VIRUS; HUMAN METAPNEUMOVIRUS; CRYSTAL-STRUCTURE; PROTEIN; RNA; PHOSPHOPROTEIN; TERMINATION; RECOGNITION; MODELS; DISSOCIATION</t>
  </si>
  <si>
    <t xml:space="preserve">`The M2-1 protein of human metapneumovirus (HMPV) is a zinc-binding transcription antiterminator which is highly conserved among pneumoviruses. We report the structure of tetrameric HMPV M2-1. Each protomer features a N-terminal zinc finger domain and an alpha-helical tetramerization motif forming a rigid unit, followed by a flexible linker and an alpha-helical core domain. The tetramer is asymmetric, three of the protomers exhibiting a closed conformation, and one an open conformation. Molecular dynamics simulations and SAXS demonstrate a dynamic equilibrium between open and closed conformations in solution. Structures of adenosine monophosphate-and DNA-bound M2-1 establish the role of the zinc finger domain in base-specific recognition of RNA. Binding to 'gene end' RNA sequences stabilized the closed conformation of M2-1 leading to a drastic shift in the conformational landscape of M2-1. We propose a model for recognition of gene end signals and discuss the implications of these findings for transcriptional regulation in pneumoviruses.</t>
  </si>
  <si>
    <t xml:space="preserve">[Leyrat, Cedric; Renner, Max; Harlos, Karl; Huiskonen, Juha T.; Grimes, Jonathan M.] Wellcome Trust Ctr Human Genet, Div Struct Biol, Oxford OX3 7BN, England; [Grimes, Jonathan M.] Diamond Light Source Ltd, Didcot OX11 0DE, Oxon, England</t>
  </si>
  <si>
    <t xml:space="preserve">Grimes, JM (corresponding author), Wellcome Trust Ctr Human Genet, Div Struct Biol, Oxford OX3 7BN, England.</t>
  </si>
  <si>
    <t xml:space="preserve">Leyrat, Cedric/0000-0003-0189-0562; Grimes, Jonathan Mark/0000-0001-9698-0389; Renner, Max/0000-0001-9885-8256; Huiskonen, Juha T./0000-0002-0348-7323</t>
  </si>
  <si>
    <t xml:space="preserve">European Union Seventh Framework Programme under SILVER [FP7/2007-2013, 260644]; Wellcome Trust [090532/Z/09/Z, 099667/Z/12/Z, 060208/Z/00/Z, 093305/Z/10/Z]; Academy of Finland [130750, 218080]; Centre for Innovation [EP/K000144/1, EP/K000136/1]; Wellcome Trust [099667/Z/12/Z] Funding Source: Wellcome Trust</t>
  </si>
  <si>
    <t xml:space="preserve">European Union Seventh Framework Programme under SILVER(European Union (EU)); Wellcome Trust(Wellcome Trust); Academy of Finland(Research Council of Finland); Centre for Innovation; Wellcome Trust(Wellcome Trust)</t>
  </si>
  <si>
    <t xml:space="preserve">We thank Dr Ron Fouchier and Dr Bernadette van den Hoogen for providing us with a plasmid encoding HMPV M2-1, Dr Alistair Siebert for help with electron microscopy, Dr Luigi De Colibus and Prof David Stuart for helpful discussions. The research leading to these results has received funding from the European Union Seventh Framework Programme (FP7/2007-2013) under SILVER grant agreement no 260644. Administrative support came from the Wellcome Trust Core award (090532/Z/09/Z), M.R. was supported by a Wellcome Trust Studentship (099667/Z/12/Z), and J.T.H. by the Academy of Finland (130750 and 218080). The OPIC electron microscopy facility was founded by a Wellcome Trust JIF award (060208/Z/00/Z) and is supported by a WT equipment grant (093305/Z/10/Z). The work presented here made use of the High Performance Computing facility IRIDIS provided by the EPSRC funded Centre for Innovation (EP/K000144/1 and EP/K000136/1) which is owned and operated by the e-Infrastructure South Consortium formed by the universities of Bristol, Oxford, Southampton and UCL in partnership with STFC's Rutherford Appleton Laboratory. The authors thank Diamond Light Source for beamtime (proposal mx8423), and the staff of beamlines I03, I04 and I24 for assistance with crystal testing and data collection, as well as the ESRF for SAXS beamtime, and the staff of beamline BM29 for assistance with SAXS data collection.</t>
  </si>
  <si>
    <t xml:space="preserve">MAY 19</t>
  </si>
  <si>
    <t xml:space="preserve">e02674</t>
  </si>
  <si>
    <t xml:space="preserve">10.7554/eLife.02674</t>
  </si>
  <si>
    <t xml:space="preserve">AH3QT</t>
  </si>
  <si>
    <t xml:space="preserve">WOS:000336040700001</t>
  </si>
  <si>
    <t xml:space="preserve">Vogel, M; Grund, S; Pandey, S; Mayatepek, E; Schroten, H; Tenenbaum, T; Adams, O</t>
  </si>
  <si>
    <t xml:space="preserve">Vogel, Markus; Grund, Sebastian; Pandey, Subashjung; Mayatepek, Ertan; Schroten, Horst; Tenenbaum, Tobias; Adams, Ortwin</t>
  </si>
  <si>
    <t xml:space="preserve">What We Have Learned from the Influenza A pH1N1 2009/10 Pandemic: High Clinical Impact of Human Metapneumovirus and Respiratory Syncytial Virus in Hospitalized Pediatric Patients</t>
  </si>
  <si>
    <t xml:space="preserve">Human metapneumovirus; Medicine; Pandemic; Human Parainfluenza Virus; Pneumonia; Virus; Virology; Respiratory tract infections</t>
  </si>
  <si>
    <t xml:space="preserve">EPIDEMIC SEASONS; YOUNG-CHILDREN; INFECTIONS; ILLNESS; BRONCHIOLITIS; BELGIUM</t>
  </si>
  <si>
    <t xml:space="preserve">The influenza pandemic in 2009/2010 shifted public awareness to respiratory tract infections caused by the influenza virus. A prospective study was conducted during the influenza pandemic from November 2009 through April 2010 to determine the causative pathogens and clinical symptoms present in all children and adolescents admitted to the University Children's Hospital, Duesseldorf, Germany, with signs and symptoms of respiratory tract infection. A total of 272 children and adolescents were admitted with symptomes of acute respiratory tract infection (ARI) or influenza-like illness. Viral pathogens were detected in 80% (218/272). However, influenza A pH1N1 infection was only detected in 11% (30/272) of children. Human metapneumovirus (HMPV) and respiratory syncytial virus (RSV) were the predominant identified pathogens that led to the admission of young tachypneic children with pneumonia in the post pandemic phase and the requirement for more intense treatment. During the pandemic and early post-pandemic phase the clinical impact of other respiratory viruses, such as HMPV and RSV, led to a higher clinical disease burden than pH1N1. Consequently, HMPV testing should be performed as routinely as RSV testing in patients hospitalized for ARI. Even while preparing for pandemics, the awareness of other respiratory viruses must be maintained.</t>
  </si>
  <si>
    <t xml:space="preserve">[Vogel, Markus; Pandey, Subashjung; Mayatepek, Ertan] Univ Childrens Hosp Duesseldorf, Dept Gen Pediat Neonatol &amp; Pediat Cardiol, Dusseldorf, Germany; [Grund, Sebastian; Adams, Ortwin] Univ Dusseldorf, Inst Virol, Dusseldorf, Germany; [Schroten, Horst; Tenenbaum, Tobias] Heidelberg Univ, Univ Childrens Hosp Mannheim, Pediat Infect Dis, Mannheim, Germany</t>
  </si>
  <si>
    <t xml:space="preserve">Heinrich Heine University Dusseldorf; Ruprecht Karls University Heidelberg</t>
  </si>
  <si>
    <t xml:space="preserve">Vogel, M (corresponding author), Univ Dusseldorf, Univ Childrens Hosp Duesseldorf, Dept Gen Pediat Neonatol &amp; Pediat Cardiol, Moorenstr 5, D-40225 Dusseldorf, Germany.</t>
  </si>
  <si>
    <t xml:space="preserve">markus.vogel@uni-duesseldorf.de</t>
  </si>
  <si>
    <t xml:space="preserve">10.7883/yoken.JJID.2014.424</t>
  </si>
  <si>
    <t xml:space="preserve">DC6TX</t>
  </si>
  <si>
    <t xml:space="preserve">WOS:000369353600002</t>
  </si>
  <si>
    <t xml:space="preserve">Ou, L; Chen, SJ; Teng, IT; Yang, LJ; Zhang, BS; Zhou, TQ; Biju, A; Cheng, C; Kong, WP; Morano, NC; Stancofski, ESD; Todd, JP; Tsybovsky, Y; Wang, SS; Zheng, CY; Mascola, JR; Shapiro, L; Woodward, RA; Buchholz, UJ; Kwong, PD</t>
  </si>
  <si>
    <t xml:space="preserve">Ou, Li; Chen, Steven J.; Teng, I-Ting; Yang, Lijuan; Zhang, Baoshan; Zhou, Tongqing; Biju, Andrea; Cheng, Cheng; Kong, Wing-Pui; Morano, Nicholas C.; Stancofski, Erik-Stephane D.; Todd, John-Paul; Tsybovsky, Yaroslav; Wang, Shuishu; Zheng, Cheng-Yan; Mascola, John R.; Shapiro, Lawrence; Woodward, Ruth A.; Buchholz, Ursula J.; Kwong, Peter D.</t>
  </si>
  <si>
    <t xml:space="preserve">Structure-based design of a single-chain triple-disulfide-stabilized fusion-glycoprotein trimer that elicits high-titer neutralizing responses against human metapneumovirus</t>
  </si>
  <si>
    <t xml:space="preserve">Human metapneumovirus; Furin; Immunogen; Virology; Neutralizing antibody; Glycoprotein; Immunogenicity</t>
  </si>
  <si>
    <t xml:space="preserve">F PROTEIN; VIRUS; VACCINE; ANTIBODIES; PATHOGENESIS; CHILDREN; MEASLES; BIOLOGY; MUMPS; HMPV</t>
  </si>
  <si>
    <t xml:space="preserve">The Pneumoviridae family of viruses includes human metapneumovirus (HMPV) and respiratory syncytial virus (RSV). The closely related Paramyxoviridae family includes parainfluenza viruses (PIVs). These three viral pathogens cause acute respiratory tract infections with substantial disease burden in the young, the elderly, and the immune-compromised. While promising subunit vaccines are being developed with prefusion-stabilized forms of the fusion glycoproteins (Fs) of RSV and PIVs, for which neutralizing titers elicited by the prefusion (pre-F) conformation of F are much higher than for the postfusion (post-F) conformation, with HMPV, pre-F and post-F immunogens described thus far elicit similar neutralizing responses, and it has been unclear which conformation, pre-F or post-F, would be the most effective HMPV F-vaccine immunogen. Here, we investigate the impact of further stabilizing HMPV F in the pre-F state. We replaced the furin-cleavage site with a flexible linker, creating a single chain F that yielded increased amounts of pre-F stabilized trimers, enabling the generation and assessment of F trimers stabilized by multiple disulfide bonds. Introduced prolines could increase both expression yields and antigenic recognition by the pre-F specific antibody, MPE8. The cryo-EM structure of a triple disulfide-stabilized pre-F trimer with the variable region of antibody MPE8 at 3.25-&amp; ANGS; resolution confirmed the formation of designed disulfides and provided structural details on the MPE8 interface. Immunogenicity assessments in naive mice showed the triple disulfide-stabilized pre-F trimer could elicit high titer neutralization, &gt;10-fold higher than elicited by post-F. Immunogenicity assessments in pre-exposed rhesus macaques showed the triple disulfide-stabilized pre-F could recall high neutralizing titers after a single immunization, with little discrimination in the recall response between pre-F and post-F immunogens. However, the triple disulfide-stabilized pre-F adsorbed HMPV-directed responses from commercially available pooled human immunoglobulin more fully than post-F. Collectively, these results suggest single-chain triple disulfide-stabilized pre-F trimers to be promising HMPV-vaccine antigens.</t>
  </si>
  <si>
    <t xml:space="preserve">[Ou, Li; Chen, Steven J.; Teng, I-Ting; Zhang, Baoshan; Zhou, Tongqing; Biju, Andrea; Cheng, Cheng; Kong, Wing-Pui; Stancofski, Erik-Stephane D.; Todd, John-Paul; Wang, Shuishu; Zheng, Cheng-Yan; Mascola, John R.; Woodward, Ruth A.; Kwong, Peter D.] NIH, Vaccine Res Ctr, Bethesda, MD 20892 USA; [Yang, Lijuan; Buchholz, Ursula J.] NIAID, Lab Infect Dis, Bethesda, MD USA; [Morano, Nicholas C.; Shapiro, Lawrence] Columbia Univ, Zuckerman Mind Brain Behav Inst, New York, NY USA; [Morano, Nicholas C.; Shapiro, Lawrence] Columbia Univ, Vagelos Coll Phys &amp; Surg, Dept Biochem &amp; Mol Biophys, New York, NY USA; [Tsybovsky, Yaroslav] Frederick Natl Lab Canc Res, Electron Microscopy Lab, Canc Res Technol Program, Frederick, MD USA</t>
  </si>
  <si>
    <t xml:space="preserve">National Institutes of Health (NIH) - USA; National Institutes of Health (NIH) - USA; NIH National Institute of Allergy &amp; Infectious Diseases (NIAID); Columbia University; Columbia University; National Institutes of Health (NIH) - USA; NIH National Cancer Institute (NCI); Frederick National Laboratory for Cancer Research</t>
  </si>
  <si>
    <t xml:space="preserve">Kwong, PD (corresponding author), NIH, Vaccine Res Ctr, Bethesda, MD 20892 USA.</t>
  </si>
  <si>
    <t xml:space="preserve">pdkwong@nih.gov</t>
  </si>
  <si>
    <t xml:space="preserve">Zhang, Baoshan/AES-0794-2022; Buchholz, Ursula/AAA-4547-2022; Shapiro, Lawrence/AAE-7172-2019; Kwong, Peter/ACQ-5047-2022</t>
  </si>
  <si>
    <t xml:space="preserve">Wang, Shuishu/0000-0002-0865-4522; Chen, Steven/0000-0003-4953-599X</t>
  </si>
  <si>
    <t xml:space="preserve">We thank J. Stuckey for assistance with figures, and members of the Virology Laboratory, Vaccine Research Center, NIAID, NIH for helpful comments and discussions. We thank the Columbia University Cryo-Electron Microscopy Center for Cryo-EM data collection.</t>
  </si>
  <si>
    <t xml:space="preserve">e1011584</t>
  </si>
  <si>
    <t xml:space="preserve">10.1371/journal.ppat.1011584</t>
  </si>
  <si>
    <t xml:space="preserve">S4RB6</t>
  </si>
  <si>
    <t xml:space="preserve">WOS:001071044400001</t>
  </si>
  <si>
    <t xml:space="preserve">Weinberg, A; Lyu, DM; Li, S; Marquesen, J; Zamora, MR</t>
  </si>
  <si>
    <t xml:space="preserve">Weinberg, A.; Lyu, D. M.; Li, S.; Marquesen, J.; Zamora, M. R.</t>
  </si>
  <si>
    <t xml:space="preserve">Incidence and morbidity of human metapneumovirus and other community-acquired respiratory viruses in lung transplant recipients</t>
  </si>
  <si>
    <t xml:space="preserve">Human metapneumovirus; Medicine; Ribavirin; Incidence (geometry); Respiratory system; Respiratory tract infections</t>
  </si>
  <si>
    <t xml:space="preserve">REVERSE TRANSCRIPTION-PCR; TRACT INFECTIONS; BRONCHIOLITIS OBLITERANS; VIRAL-INFECTIONS; WORKING FORMULATION; SYNCYTIAL VIRUS; DIAGNOSIS; STANDARDIZATION; IDENTIFICATION; NOMENCLATURE</t>
  </si>
  <si>
    <t xml:space="preserve">To determine the role of human metapneumovirus (HMPV) in respiratory tract infections (RTIs) of lung transplant recipients, 60 patients were prospectively enrolled in this study spanning from September 2005 to November 2007. Community-acquired respiratory viruses (CARVs) were identified by polymerase chain reaction and tissue culture in respiratory secretions. Of 112 RTIs, 51 were associated with &gt; 1 CARV, including 7 HMPV, 13 respiratory syncytial virus (RSV), 19 parainfiuenza virus 1, 2, or 3 (Ply), 16 influenza A or B (FLU), and 3 human rhinoviruses (HRV). Sixteen CARV-RTIs had multiple pathogens.While the standard protocol was to admit all paramyxoviral RTIs for inhaled ribavirin, 16% CARV-RTIs required hospitalization because of the severity of their respiratory compromise, including 25% of HPMV-single-agent RTI, 38% of RSV single-agent RTI, 10% of PIVsingle-agent RTI, and 19% of multiple-agent RTIs. None of those with non-CARV RTIs required hospitalization. The incidence of clinically diagnosed acute graft rejection in the first 2 months after an RTI varied from 0 for single-agent HRV to 88% for single-agent RSV (25% for single-agent HMPV). A new diagnosis of chronic graft rejection in the first year after an RTI was made in approximately 25% of the RTIs and did not significantly vary with the etiologic agent. No deaths occurred during this study. In conclusion, HMPV was associated with 6% of the RTIs in lung transplant recipients and its morbidity was similar to the average moribidity of CARVs.</t>
  </si>
  <si>
    <t xml:space="preserve">[Weinberg, A.; Li, S.] Univ Colorado Denver, Dept Pediat, Aurora, CO USA; [Weinberg, A.; Lyu, D. M.; Marquesen, J.; Zamora, M. R.] Univ Colorado Denver, Dept Med, Aurora, CO USA; [Weinberg, A.] Univ Colorado Denver, Dept Pathol, Aurora, CO USA</t>
  </si>
  <si>
    <t xml:space="preserve">University of Colorado System; University of Colorado Anschutz Medical Campus; Children's Hospital Colorado; University of Colorado System; University of Colorado Anschutz Medical Campus; Children's Hospital Colorado; University of Colorado System; University of Colorado Anschutz Medical Campus; Children's Hospital Colorado</t>
  </si>
  <si>
    <t xml:space="preserve">Weinberg, A (corresponding author), Mail Stop 8604,12700 E 19th Ave, Aurora, CO 80045 USA.</t>
  </si>
  <si>
    <t xml:space="preserve">adriana.weinberg@ucdenver.edu</t>
  </si>
  <si>
    <t xml:space="preserve">This study was supported by an investigator-initiated research grant from MedImmune, LLC, to AW. We thank Drs Dean Erdman and Guy Boivin for providing the HMPV seed for the PCR development.</t>
  </si>
  <si>
    <t xml:space="preserve">10.1111/j.1399-3062.2010.00509.x</t>
  </si>
  <si>
    <t xml:space="preserve">640ON</t>
  </si>
  <si>
    <t xml:space="preserve">WOS:000281061000007</t>
  </si>
  <si>
    <t xml:space="preserve">Miller, SA; Tollefson, S; Crowe, JE; Williams, JV; Wright, DW</t>
  </si>
  <si>
    <t xml:space="preserve">Miller, Scott A.; Tollefson, Sharon; Crowe, James E., Jr.; Williams, John V.; Wright, David W.</t>
  </si>
  <si>
    <t xml:space="preserve">Examination of a fusogenic hexameric core from human metapneumovirus and identification of a potent synthetic peptide inhibitor from the heptad repeat 1 region</t>
  </si>
  <si>
    <t xml:space="preserve">Heptad repeat; Biology; Human metapneumovirus; Peptide; Virology; Metapneumovirus; Identification (biology)</t>
  </si>
  <si>
    <t xml:space="preserve">RESPIRATORY SYNCYTIAL VIRUS; PARAMYXOVIRUS FUSION PROTEIN; VIRAL MEMBRANE-FUSION; HIV-1 ENTRY; TRACT DISEASE; ALPHA-HELIX; GP41; GLYCOPROTEIN; SEQUENCE; DESIGN</t>
  </si>
  <si>
    <t xml:space="preserve">Paramyxoviruses are a leading cause of childhood illness worldwide. A recently discovered paramyxovirus, human metapneumovirus (hMPV), has been studied by our group in order to determine the structural relevance of its fusion (F) protein to other well-characterized viruses utilizing type I integral membrane proteins as fusion aids. Sequence analysis and homology models suggested the presence of requisite heptad repeat (HR) regions. Synthetic peptides from HR regions 1 and 2 (HR-1 and -2, respectively) were induced to form a thermostable (melting temperature, similar to 90'C) helical structure consistent in mass with a hexameric coiled coil. Inhibitory studies of hMPV HR-1 and -2 indicated that the synthetic HR-1 peptide was a significant fusion inhibitor with a 50% inhibitory concentration and a 50% effective concentration of similar to 50 nM. Many viral fusion proteins are type I integral membrane proteins utilizing the formation of a hexameric coiled coil of HR peptides as a major driving force for fusion. Our studies provide evidence that hMPV also uses a coiled-coil structure as a major player in the fusion process. Additionally, viral HR-1 peptide sequences may need further investigation as potent fusion inhibitors.</t>
  </si>
  <si>
    <t xml:space="preserve">Vanderbilt Univ, Dept Chem, Nashville, TN 37235 USA; Vanderbilt Univ, Med Ctr, Dept Pediat, Nashville, TN 37232 USA; Vanderbilt Univ, Med Ctr, Dept Microbiol &amp; Immunol, Nashville, TN 37232 USA</t>
  </si>
  <si>
    <t xml:space="preserve">Wright, DW (corresponding author), Vanderbilt Univ, Dept Chem, Stn B 351822, Nashville, TN 37235 USA.</t>
  </si>
  <si>
    <t xml:space="preserve">David.Wright@Vanderbilt.edu</t>
  </si>
  <si>
    <t xml:space="preserve">NIAID NIH HHS [R01 AI059597, AI-56170, K08 AI056170-03, AI 59597, K08 AI056170] Funding Source: Medline</t>
  </si>
  <si>
    <t xml:space="preserve">10.1128/JVI.01243-06</t>
  </si>
  <si>
    <t xml:space="preserve">118RE</t>
  </si>
  <si>
    <t xml:space="preserve">WOS:000242958600012</t>
  </si>
  <si>
    <t xml:space="preserve">Serafino, RL; Gurgel, RQ; Dove, W; Hart, CA; Cuevas, LE</t>
  </si>
  <si>
    <t xml:space="preserve">Respiratory syncytial virus and metapneumovirus in children over two seasons with a high incidence of respiratory infections in Brazil</t>
  </si>
  <si>
    <t xml:space="preserve">Bronchiolitis; Human metapneumovirus; Metapneumovirus; Medicine; Incidence (geometry); Pneumovirus; Pneumonia; Paramyxoviridae; Respiratory system; Pediatrics; Epidemiology</t>
  </si>
  <si>
    <t xml:space="preserve">GROUP-B; GROUP-A; DISEASE SEVERITY; YOUNG-CHILDREN; UNITED-STATES; SUBGROUP-A; EPIDEMICS; GENOTYPES</t>
  </si>
  <si>
    <t xml:space="preserve">Acute respiratory infections (ARI) are one of the most important causes of death in children. Human metapneumovirus (HMPV), a virus first described in 200 1, has now been detected in almost all continents. HMPV causes bronchiolitis and pneumonia with a clinical spectrum similar to respiratory syncytial virus (RSV). We describe the incidence of HMPV and RSV during two consecutive seasons with a high incidence of ARI in Aracaju, Brazil. HMPV was responsible for 24% of cases of bronchiolitis in the 1st season (April-May 2002) but was not found in the 2nd year (April-May 2003). RSV was recovered from 61 (55%) children with ARI in 2002 and from 72 (68%) in 2003. Children with RSV bronchiolitis in 2002 had more hypoxia but less wheezing than in 2003. The incidence of HMPV and RSV genotypes causing bronchiolitis varied between the years. Long-term prospective studies are required to better describe the epidemiology of these viruses in children.</t>
  </si>
  <si>
    <t xml:space="preserve">Univ Liverpool, Liverpool Sch Trop Med, Liverpool L3 5QA, Merseyside, England; Univ Liverpool, Dept Med Microbiol, Liverpool L3 5QA, Merseyside, England; Univ Fed Sergipe, Aracaju, Brazil</t>
  </si>
  <si>
    <t xml:space="preserve">University of Liverpool; Liverpool School of Tropical Medicine; University of Liverpool; Universidade Federal de Sergipe</t>
  </si>
  <si>
    <t xml:space="preserve">Univ Liverpool, Liverpool Sch Trop Med, Pembroke Pl, Liverpool L3 5QA, Merseyside, England.</t>
  </si>
  <si>
    <t xml:space="preserve">Icuevas@liv.ac.uk</t>
  </si>
  <si>
    <t xml:space="preserve">10.1179/027249304225018957</t>
  </si>
  <si>
    <t xml:space="preserve">858UZ</t>
  </si>
  <si>
    <t xml:space="preserve">WOS:000224218900003</t>
  </si>
  <si>
    <t xml:space="preserve">Hamelin, ME; Cauture, C; Sackett, M; Kiener, P; Suzich, J; Ulbrandt, N; Boivin, G</t>
  </si>
  <si>
    <t xml:space="preserve">Hamelin, Marie-Eve; Cauture, Christian; Sackett, Melanie; Kiener, Peter; Suzich, JoAnn; Ulbrandt, Nancy; Boivin, Guy</t>
  </si>
  <si>
    <t xml:space="preserve">The prophylactic administration of a monoclonal antibody against human metapneumovirus attenuates viral disease and airways hyperresponsiveness in mice</t>
  </si>
  <si>
    <t xml:space="preserve">RESPIRATORY-SYNCYTIAL-VIRUS; YOUNG-CHILDREN; BALB/C MICE; NEUTRALIZING ANTIBODIES; REDUCES HOSPITALIZATION; TRACT DISEASE; F PROTEIN; IN-VITRO; INFECTION; MODEL</t>
  </si>
  <si>
    <t xml:space="preserve">Background: Human metapneumovirus (hMPV) is one of the most frequent causes of respiratory tract infections in children. Our objective was to assess the prophylactic benefit of a monoclonal antibody (mAb) against the hMPV fusion protein in a murine model. Methods: BALB/c mice received one intramuscular injection of either 5 or 10 mg/kg of mAb 338 (MedImmune, Inc.) and were infected intranasally 24 h later with 1x10(8) TCID50 (50% tissue culture infectious dose) of hMPV. On days 5 and 42 post-infection, lung samples were collected for determination of viral titres and for histopathological studies. Pulmonary function was characterized by plethysmography. Results: Mean lung viral titres were significantly lower in mice treated with 5 or 10 mg/kg of mAb 338 compared with infected controls on day 5 (283, 45.6 and 1.49x10(5) TCID50/g, respectively; P&lt;0.05). Similarly, lung viral RNA copies were significantly reduced in treated mice on day 42 (292, 101 and 607 copies per 0.01 g of lungs for mice that received 5 mg/kg, 10 mg/kg or no mAb, respectively; P&lt;0.05). Histopathological changes characterized by important alveolar and interstitial inflammation were less severe in treated mice on days 5 and 42 compared with control. Airways obstruction was also significantly reduced in both treated groups on days 5 and 42, but development of hyperresponsiveness following the acute phase of infection was only significantly reduced in 10 mg/kg treated mice. Conclusions: Prophylactic administration of mAb 338 attenuates acute and late consequences of hMPV disease in this mouse model.</t>
  </si>
  <si>
    <t xml:space="preserve">[Hamelin, Marie-Eve; Boivin, Guy] Ctr Hosp Univ Quebec, Res Ctr Infect Dis, Quebec City, PQ, Canada; [Hamelin, Marie-Eve; Boivin, Guy] Univ Laval, Quebec City, PQ, Canada; [Cauture, Christian; Sackett, Melanie] Univ Laval, Laval Hosp, Serv Anat Pathol, Quebec City, PQ, Canada; [Cauture, Christian; Sackett, Melanie] Univ Laval, Cardiol Pulm Inst, Quebec City, PQ, Canada; [Kiener, Peter; Suzich, JoAnn; Ulbrandt, Nancy] Medimmune Inc, Gaithersburg, MD USA</t>
  </si>
  <si>
    <t xml:space="preserve">Laval University; Laval University; Laval University; Laval University; AstraZeneca; Medimmune</t>
  </si>
  <si>
    <t xml:space="preserve">Boivin, G (corresponding author), Ctr Hosp Univ Quebec, Res Ctr Infect Dis, Quebec City, PQ, Canada.</t>
  </si>
  <si>
    <t xml:space="preserve">274LQ</t>
  </si>
  <si>
    <t xml:space="preserve">WOS:000254003200004</t>
  </si>
  <si>
    <t xml:space="preserve">Lu, MJ; Zhang, ZJ; Xue, MG; Zhao, BS; Harder, O; Li, AZ; Liang, XY; Gao, TZ; Xu, YS; Zhou, JY; Feng, ZD; Niewiesk, S; Peeples, ME; He, C; Li, JR</t>
  </si>
  <si>
    <t xml:space="preserve">Lu, Mijia; Zhang, Zijie; Xue, Miaoge; Zhao, Boxuan Simen; Harder, Olivia; Li, Anzhong; Liang, Xueya; Gao, Thomas Z.; Xu, Yunsheng; Zhou, Jiyong; Feng, Zongdi; Niewiesk, Stefan; Peeples, Mark E.; He, Chuan; Li, Jianrong</t>
  </si>
  <si>
    <t xml:space="preserve">N6-methyladenosine modification enables viral RNA to escape recognition by RNA sensor RIG-I</t>
  </si>
  <si>
    <t xml:space="preserve">N6-Methyladenosine; RNA</t>
  </si>
  <si>
    <t xml:space="preserve">GENE-EXPRESSION; INNATE IMMUNITY; STRANDED-RNA; METHYLATION; ACTIVATION; PATHOGENESIS; SUPPRESSION; BINDING; PROTEIN</t>
  </si>
  <si>
    <t xml:space="preserve">Internal N-6-methyladenosine (m(6)A) modification is one of the most common and abundant modifications of RNA. However, the biological roles of viral RNA m(6)A remain elusive. Here, using human metapneumovirus (HMPV) as a model, we demonstrate that m(6)A serves as a molecular marker for innate immune discrimination of self from non-self RNAs. We show that HMPV RNAs are m(6)A methylated and that viral m(6)A methylation promotes HMPV replication and gene expression. Inactivating m(6)A addition sites with synonymous mutations or demethylase resulted in m(6)A-deficient recombinant HMPVs and virion RNAs that induced increased expression of type I interferon, which was dependent on the cytoplasmic RNA sensor RIG-I, and not on melanoma differentiation-associated protein 5 (MDA5). Mechanistically, m(6)A-deficient virion RNA induces higher expression of RIG-I, binds more efficiently to RIG-I and facilitates the conformational change of RIG-I, leading to enhanced interferon expression. Furthermore, m(6)A-deficient recombinant HMPVs triggered increased interferon in vivo and were attenuated in cotton rats but retained high immunogenicity. Collectively, our results highlight that (1) viruses acquire m(6)A in their RNA as a means of mimicking cellular RNA to avoid detection by innate immunity and (2) viral RNA m(6)A can serve as a target to attenuate HMPV for vaccine purposes. This study reports a novel function for the N-6-methyladenosine RNA modification in allowing RIG-I to discriminate self from non-self RNA and shows that human metapneumovirus induces this modification of its RNA to evade recognition in vivo.</t>
  </si>
  <si>
    <t xml:space="preserve">[Lu, Mijia; Xue, Miaoge; Harder, Olivia; Li, Anzhong; Liang, Xueya; Gao, Thomas Z.; Niewiesk, Stefan; Li, Jianrong] Ohio State Univ, Coll Vet Med, Dept Vet Biosci, Columbus, OH 43210 USA; [Zhang, Zijie; Zhao, Boxuan Simen; He, Chuan] Univ Chicago, Dept Chem, 5735 S Ellis Ave, Chicago, IL 60637 USA; [Xu, Yunsheng] Wenzhou Med Univ, Affiliated Hosp 1, Wenzhou, Peoples R China; [Zhou, Jiyong] Zhejiang Univ, Coll Anim Sci, Hangzhou, Peoples R China; [Feng, Zongdi; Peeples, Mark E.] Nationwide Childrens Hosp, Ctr Vaccines &amp; Immun, Abigail Wexner Res Inst, Columbus, OH USA; [Feng, Zongdi; Peeples, Mark E.] Ohio State Univ, Dept Pediat, Coll Med, Columbus, OH 43210 USA; [He, Chuan] Univ Chicago, Dept Biochem &amp; Mol Biol, 920 E 58Th St, Chicago, IL 60637 USA; [He, Chuan] Univ Chicago, Inst Biophys Dynam, Chicago, IL 60637 USA; [He, Chuan] Univ Chicago, Howard Hughes Med Inst, 5841 S Maryland Ave, Chicago, IL 60637 USA</t>
  </si>
  <si>
    <t xml:space="preserve">University System of Ohio; Ohio State University; University of Chicago; Wenzhou Medical University; Zhejiang University; University System of Ohio; Ohio State University; Nationwide Childrens Hospital; Research Institute at Nationwide Children's Hospital; University System of Ohio; Ohio State University; University of Chicago; University of Chicago; University of Chicago; Howard Hughes Medical Institute</t>
  </si>
  <si>
    <t xml:space="preserve">Feng, Zongdi/Y-7645-2019; Zijie, Zhang/GSD-6080-2022; He, Chuan/HZJ-6319-2023; Zhao, Boxuan/Q-2159-2019; Peeples, Mark/HJB-3610-2022</t>
  </si>
  <si>
    <t xml:space="preserve">Feng, Zongdi/0000-0001-7913-1027; Lu, Mijia/0000-0002-4438-980X; Zhang, Zijie/0000-0002-4900-506X; Peeples, Mark/0000-0002-4582-317X; Gao, Thomas/0000-0001-8053-1378</t>
  </si>
  <si>
    <t xml:space="preserve">National Institutes of Health [R01AI090060, P01 AI112524, R01 HG008688, RM1 HG008935]</t>
  </si>
  <si>
    <t xml:space="preserve">This study was supported by grants from the National Institutes of Health (no. R01AI090060) to J.L., no. P01 AI112524 to M.E.P., S.N. and J.L., and nos. R01 HG008688 and RM1 HG008935 to C.H. C.H. is an investigator of the Howard Hughes Medical Institute. We thank R. A. M. Fouchier for the infectious cDNA clone of HMPV, J. Yount for the RIG-I plasmid and members of the J. Li laboratory for critical readings of the manuscript.</t>
  </si>
  <si>
    <t xml:space="preserve">10.1038/s41564-019-0653-9</t>
  </si>
  <si>
    <t xml:space="preserve">KX4EX</t>
  </si>
  <si>
    <t xml:space="preserve">WOS:000510823400003</t>
  </si>
  <si>
    <t xml:space="preserve">Ali, A; Khowaja, AR; Bashir, MZ; Aziz, F; Mustafa, S; Zaidi, A</t>
  </si>
  <si>
    <t xml:space="preserve">Ali, Asad; Khowaja, Asif Raza; Bashir, Maaman Zahoor; Aziz, Fatima; Mustafa, Sultan; Zaidi, Anita</t>
  </si>
  <si>
    <t xml:space="preserve">Role of Human Metapneumovirus, Influenza A Virus and Respiratory Syncytial Virus in Causing WHO-Defined Severe Pneumonia in Children in a Developing Country</t>
  </si>
  <si>
    <t xml:space="preserve">Human metapneumovirus; Pneumonia; Medicine; Etiology</t>
  </si>
  <si>
    <t xml:space="preserve">YOUNG-CHILDREN; TRACT INFECTIONS; ETIOLOGY; PCR</t>
  </si>
  <si>
    <t xml:space="preserve">Objective: The role of respiratory viruses in causing severe, life threatening pneumonia in children in developing countries is not well established. Our study aims to determine the role of human metapneumovirus (HMPV), influenza A virus and respiratory syncytial virus (RSV) in children, aged 6 weeks to 2 years, hospitalized with WHO defined severe pneumonia (tachypnea plus any general danger sign or chest in-drawing) at a public sector hospital in Karachi, Pakistan. Methods: This study was conducted from November 2010 to September 2011 at Abbassi Shaheed Hospital, a large public tertiary care hospital in Karachi, Pakistan. Children admitted with WHO-defined severe pneumonia were enrolled and throat swabs were obtained to detect respiratory viruses using real time RT-PCR. Chest x-rays of all subjects were obtained and independently interpreted by two radiologists to diagnose radiologic pneumonia. Results: 169 children were enrolled. HMPV was detected in 24 (14.2%), influenza A virus in 9 (5.3%) and RSV in 30 (17.8%) children admitted with severe pneumonia. Of 9 patients with influenza A, 8 tested positive for H1N1. Viral etiology was found in 18% of radiologically confirmed pneumonia. HMPV infections peaked in February and April, influenza A was prevalent in January, June and November and RSV infections were most prevalent from June to September. Conclusion: HMPV, influenza A and RSV are common causes of WHO-defined severe pneumonia in hospitalized children in Karachi. Knowledge regarding the viral etiology of pediatric pneumonia and individual viral seasonality can help in the recommendation and implementation of appropriate management strategies.</t>
  </si>
  <si>
    <t xml:space="preserve">[Ali, Asad; Khowaja, Asif Raza; Bashir, Maaman Zahoor; Aziz, Fatima; Zaidi, Anita] Aga Khan Univ, Dept Paediat &amp; Child Hlth, Karachi, Pakistan; [Mustafa, Sultan] Abbasi Shaheed Hosp, Karachi, Pakistan</t>
  </si>
  <si>
    <t xml:space="preserve">Ali, A (corresponding author), Aga Khan Univ, Dept Paediat &amp; Child Hlth, Karachi, Pakistan.</t>
  </si>
  <si>
    <t xml:space="preserve">asad.ali@aku.edu; anita.zaidi@aku.edu</t>
  </si>
  <si>
    <t xml:space="preserve">PAN, WILLIAM/HTR-1125-2023; Aziz, Fatima/O-9104-2018</t>
  </si>
  <si>
    <t xml:space="preserve">Ali, Syed Asad/0000-0001-5274-7665; Aziz, Fatima/0000-0002-9836-9142</t>
  </si>
  <si>
    <t xml:space="preserve">FIC/NIH [1R01TW008126]; NIH from NCATS/NIH [UL1 TR000445]</t>
  </si>
  <si>
    <t xml:space="preserve">FIC/NIH(United States Department of Health &amp; Human ServicesNational Institutes of Health (NIH) - USANIH Fogarty International Center (FIC)); NIH from NCATS/NIH(United States Department of Health &amp; Human ServicesNational Institutes of Health (NIH) - USAOffice of the Administrator (NIH))</t>
  </si>
  <si>
    <t xml:space="preserve">This study was supported by grant 1R01TW008126 from FIC/NIH, titled 'Burden of Influenza and RSV in Children in Pakistan' (PI Asad Ali). Data was stored and managed using the REDCap electronic data capture tool, funded by an NIH grant UL1 TR000445 from NCATS/NIH. The funders had no role in study design, data collection and analysis, decision to publish, or preparation of the manuscript.</t>
  </si>
  <si>
    <t xml:space="preserve">SEP 18</t>
  </si>
  <si>
    <t xml:space="preserve">e74756</t>
  </si>
  <si>
    <t xml:space="preserve">10.1371/journal.pone.0074756</t>
  </si>
  <si>
    <t xml:space="preserve">221YD</t>
  </si>
  <si>
    <t xml:space="preserve">WOS:000324695900079</t>
  </si>
  <si>
    <t xml:space="preserve">Biacchesi, S; Skiadopoulos, MH; Yang, LJ; Lamirande, EW; Tran, KC; Murphy, BR; Collins, PL; Buchholz, UJ</t>
  </si>
  <si>
    <t xml:space="preserve">Recombinant human metapneumovirus lacking the small hydrophobic SH and/or attachment G glycoprotein: Deletion of G yields a promising vaccine candidate</t>
  </si>
  <si>
    <t xml:space="preserve">Human metapneumovirus; Biology; Virology; Metapneumovirus; Virus</t>
  </si>
  <si>
    <t xml:space="preserve">RESPIRATORY SYNCYTIAL VIRUS; REPLICATION IN-VITRO; SUBGROUP-B; GENETIC DIVERSITY; FUSION PROTEIN; F-PROTEIN; SEQUENCE; IDENTIFICATION; ACTIVATION; INFECTION</t>
  </si>
  <si>
    <t xml:space="preserve">Human metapneumovirus (HMPV) has recently been identified as a significant cause of serious respiratory tract disease in humans. In particular, the emerging information on the contribution of HMPV to pediatric respiratory tract disease suggests that it will be important to develop a vaccine against this virus for use in conjunction with those being developed for human respiratory syncytial virus and the human parainfluenza viruses. A recently described reverse genetic system (S. Biacchesi, M. H. Skiadopoulos, K. C. Tran, B. R. Murphy, P. L. Collins, and U. J. Buchholz, Virology 321:247-259, 2004) was used to generate recombinant HMPVs (rHMPVs) that lack the G gene, the SH gene, or both. The DeltaSH, DeltaG, and DeltaSH/G deletion mutants were readily recovered and were found to replicate efficiently during multicycle growth in cell culture. Thus, the SH and G proteins are not essential for growth in cell culture. Apart from the absence of the deleted protein(s), the virions produced by the gene deletion mutants were similar by protein yield and gel electrophoresis protein profile to wild-type HMPV. When administered intranasally to hamsters, the DeltaG and DeltaSH/G mutants replicated in both the upper and lower respiratory tracts, showing that HMPV containing F as the sole viral surface protein is competent for replication in vivo. However, both viruses were at least 40-fold and 600-fold restricted in replication in the lower and upper respiratory tract, respectively, compared to wild-type rHMPV. They also induced high titers of HMPV-neutralizing serum antibodies and conferred complete protection against replication of wild-type HMPV challenge virus in the lungs. Surprisingly, G is dispensable for protection, and the DeltaG and DeltaSH/G viruses represent promising vaccine candidates. In contrast, DeltaSH replicated somewhat more efficiently in hamster lungs compared to wild-type rHMPV (20-fold increase on day 5 postinfection). This indicates that SH is completely dispensable in vivo and that its deletion does not confer an attenuating effect, at least in this rodent model.</t>
  </si>
  <si>
    <t xml:space="preserve">Bldg 50,Room 6505,50 S Dr,MSC 8007, Bethesda, MD 20892 USA.</t>
  </si>
  <si>
    <t xml:space="preserve">10.1128/JVI.78.23.12877-12887.2004</t>
  </si>
  <si>
    <t xml:space="preserve">870VT</t>
  </si>
  <si>
    <t xml:space="preserve">WOS:000225087500016</t>
  </si>
  <si>
    <t xml:space="preserve">Cai, H; Zhang, Y; Lu, MJ; Liang, XY; Jennings, R; Niewiesk, S; Li, JR</t>
  </si>
  <si>
    <t xml:space="preserve">Cai, Hui; Zhang, Yu; Lu, Mijia; Liang, Xueya; Jennings, Ryan; Niewiesk, Stefan; Li, Jianrong</t>
  </si>
  <si>
    <t xml:space="preserve">Phosphorylation of Human Metapneumovirus M2-1 Protein Upregulates Viral Replication and Pathogenesis</t>
  </si>
  <si>
    <t xml:space="preserve">Human metapneumovirus; Biology; Metapneumovirus; Phosphorylation; Virology; Pathogenesis; Viral replication; Replication (statistics)</t>
  </si>
  <si>
    <t xml:space="preserve">RESPIRATORY SYNCYTIAL VIRUS; VESICULAR STOMATITIS-VIRUS; TRANSCRIPTION ELONGATION-FACTOR; CYS(3)-HIS(1) MOTIF; VACCINE CANDIDATE; BINDING PROTEIN; MESSENGER-RNA; TRACT DISEASE; CLONED CDNA; PHOSPHOPROTEIN</t>
  </si>
  <si>
    <t xml:space="preserve">Human metapneumovirus (hMPV) is a major causative agent of upper-and lower-respiratory-tract infections in infants, the elderly, and immunocompromised individuals worldwide. Like all pneumoviruses, hMPV encodes the zinc binding protein M2-1, which plays important regulatory roles in RNA synthesis. The M2-1 protein is phosphorylated, but the specific role(s) of the phosphorylation in viral replication and pathogenesis remains unknown. In this study, we found that hMPV M2-1 is phosphorylated at amino acid residues S57 and S60. Subsequent mutagenesis found that phosphorylation is not essential for zinc binding activity and oligomerization, whereas inhibition of zinc binding activity abolished the phosphorylation and oligomerization of the M2-1 protein. Using a reverse genetics system, recombinant hMPVs (rhMPVs) lacking either one or both phosphorylation sites in the M2-1 protein were recovered. These recombinant viruses had a significant decrease in both genomic RNA replication and mRNA transcription. In addition, these recombinant viruses were highly attenuated in cell culture and cotton rats. Importantly, rhMPVs lacking phosphorylation in the M2-1 protein triggered high levels of neutralizing antibody and provided complete protection against challenge with wild-type hMPV. Collectively, these data demonstrated that phosphorylation of the M2-1 protein upregulates hMPV RNA synthesis, replication, and pathogenesis in vivo. IMPORTANCE The pneumoviruses include many important human and animal pathogens, such as human respiratory syncytial virus (hRSV), hMPV, bovine RSV, and avian metapneumovirus (aMPV). Among these viruses, hRSV and hMPV are the leading causes of acute respiratory tract infection in infants and children. Currently, there is no antiviral or vaccine to combat these diseases. All known pneumoviruses encode a zinc binding protein, M2-1, which is a transcriptional antitermination factor. In this work, we found that phosphorylation of M2-1 is essential for virus replication and pathogenesis in vivo. Recombinant hMPVs lacking phosphorylation in M2-1 exhibited limited replication in the upper and lower respiratory tract and triggered strong protective immunity in cotton rats. This work highlights the important role of M2-1 phosphorylation in viral replication and that inhibition of M2-1 phosphorylation may serve as a novel approach to develop live attenuated vaccines as well as antiviral drugs for pneumoviruses.</t>
  </si>
  <si>
    <t xml:space="preserve">[Cai, Hui; Zhang, Yu; Liang, Xueya; Jennings, Ryan; Niewiesk, Stefan; Li, Jianrong] Ohio State Univ, Coll Vet Med, Dept Vet Biosci, Columbus, OH 43210 USA; [Lu, Mijia] Zhejiang Acad Med Sci, Lab New Drugs Safety Evaluat, Hangzhou, Zhejiang, Peoples R China</t>
  </si>
  <si>
    <t xml:space="preserve">University System of Ohio; Ohio State University; Zhejiang Academy of Medical Sciences</t>
  </si>
  <si>
    <t xml:space="preserve">HHS \ NIH \ National Institute of Allergy and Infectious Diseases (NIAID) [R01AI090060]</t>
  </si>
  <si>
    <t xml:space="preserve">HHS \ NIH \ National Institute of Allergy and Infectious Diseases (NIAID)</t>
  </si>
  <si>
    <t xml:space="preserve">This work, including the efforts of Jianrong Li, was funded by HHS vertical bar NIH vertical bar National Institute of Allergy and Infectious Diseases (NIAID) (R01AI090060).</t>
  </si>
  <si>
    <t xml:space="preserve">10.1128/JVI.00755-16</t>
  </si>
  <si>
    <t xml:space="preserve">DU6EJ</t>
  </si>
  <si>
    <t xml:space="preserve">WOS:000382306500025</t>
  </si>
  <si>
    <t xml:space="preserve">Aslanzadeh, J; Zheng, XT; Li, HJ; Tetreault, J; Ratkiewicz, I; Meng, SF; Hamilton, P; Tang, YW</t>
  </si>
  <si>
    <t xml:space="preserve">Aslanzadeh, Jaber; Zheng, Xiaotian; Li, Haijing; Tetreault, Janice; Ratkiewicz, Irene; Meng, Shufang; Hamilton, Pamela; Tang, Yi-Wei</t>
  </si>
  <si>
    <t xml:space="preserve">Prospective evaluation of rapid antigen tests for diagnosis of respiratory syncytial virus and human metapneumovirus infections</t>
  </si>
  <si>
    <t xml:space="preserve">Human metapneumovirus; Virology; Medicine; Respiratory tract infections; Immunoassay; Pneumovirinae</t>
  </si>
  <si>
    <t xml:space="preserve">MONOCLONAL-ANTIBODIES; TRACT INFECTIONS; YOUNG; ASSAY; CULTURES; CHILDREN; INFANTS</t>
  </si>
  <si>
    <t xml:space="preserve">Respiratory syncytial virus (RSV) and human metapneumovirus (hMPV) are two important viral pathogens that cause respiratory tract infections in the pediatric population. The rapid detection of these agents allows the prompt isolation and treatment of infected patients. In the present prospective study, we evaluated the performances of four rapid antigen detection assays, including a rapid chromatographic immunoassay (CIA) for RSV (Directigen EZ RSV; Becton Dickinson, Sparks, MD), a direct fluorescent-antibody assay (DFA) for RSV (Bartels; Trinity Biotech, Carlsbad, CA), and two DFAs for hMPV manufactured by Diagnostic Hybrids Inc. (DHI; Athens, OH) and Imagen (Oxoid Ltd., Basingstoke, Hampshire, United Kingdom). The clinical specimens tested comprised 515 nasopharyngeal aspirates submitted to the Clinical Microbiology Laboratory at Hartford Hospital from 1 November 2006 to 21 April 2007. Compared to the results of real-time reverse transcription-PCR (RT-PCR), the CIA had a sensitivity of 79.8% and a specificity of 89.5%. The RSV DFA with Bartels reagents showed a sensitivity of 94.1% and a specificity of 96.8%. For hMPV, the sensitivity and specificity were 62.5% and 99.8%, respectively, for the DHI DFA and 63.2% and 100%, respectively, for the Imagen DFA. The hands-on and test turnaround times for CIA were 10 and 30 to 60 min, respectively, and the hands-on and test turnaround times for the RSV and hMPV DFAs were 30 and 105 min, respectively. We conclude that while the RSV CIA is user-friendly, it lacks sensitivity and specificity, especially during off-peak months. In contrast, the RSV DFA is more sensitive and specific, but interpretation of its results is subjective and it demands technical time and expertise. Similarly, both hMPV DFAs are highly specific in comparison to the results of RT-PCR, but their sensitivities await further improvements.</t>
  </si>
  <si>
    <t xml:space="preserve">[Aslanzadeh, Jaber; Tetreault, Janice; Ratkiewicz, Irene; Hamilton, Pamela] Hartford Hosp, Div Clin Microbiol, Hartford, CT 06102 USA; [Aslanzadeh, Jaber; Tetreault, Janice; Ratkiewicz, Irene; Hamilton, Pamela] Clin Lab Partners, Hartford, CT 06102 USA; [Zheng, Xiaotian] Northwestern Univ, Feinberg Sch Med, Chicago, IL 60614 USA; [Zheng, Xiaotian] Childrens Mem Hosp, Chicago, IL 60614 USA; [Li, Haijing; Meng, Shufang; Tang, Yi-Wei] Vanderbilt Univ, Sch Med, Dept Med, Nashville, TN 37232 USA; [Tang, Yi-Wei] Vanderbilt Univ, Sch Med, Dept Pathol, Nashville, TN 37232 USA</t>
  </si>
  <si>
    <t xml:space="preserve">Hartford Hospital; Northwestern University; Feinberg School of Medicine; Ann &amp; Robert H. Lurie Children's Hospital of Chicago; Vanderbilt University; Vanderbilt University</t>
  </si>
  <si>
    <t xml:space="preserve">Aslanzadeh, J (corresponding author), Hartford Hosp, Div Clin Microbiol, 80 Seymour St, Hartford, CT 06102 USA.</t>
  </si>
  <si>
    <t xml:space="preserve">Jaslanz@harthosp.org</t>
  </si>
  <si>
    <t xml:space="preserve">Li, Huaming/GZG-6983-2022; Zheng, Xiaotian/LVS-0831-2024; Tang, Yiwei/F-6622-2017</t>
  </si>
  <si>
    <t xml:space="preserve">10.1128/JCM.00008-08</t>
  </si>
  <si>
    <t xml:space="preserve">298HV</t>
  </si>
  <si>
    <t xml:space="preserve">WOS:000255678200017</t>
  </si>
  <si>
    <t xml:space="preserve">Jochmans, D; van Nieuwkoop, S; Smits, SL; Neyts, J; Fouchier, RAM; van den Hoogen, BG</t>
  </si>
  <si>
    <t xml:space="preserve">Jochmans, D.; van Nieuwkoop, S.; Smits, S. L.; Neyts, J.; Fouchier, R. A. M.; van den Hoogen, B. G.</t>
  </si>
  <si>
    <t xml:space="preserve">Antiviral Activity of Favipiravir (T-705) against a Broad Range of Paramyxoviruses In Vitro and against Human Metapneumovirus in Hamsters</t>
  </si>
  <si>
    <t xml:space="preserve">Human metapneumovirus; Favipiravir; Virology; Metapneumovirus; Virus; Biology; Paramyxoviridae</t>
  </si>
  <si>
    <t xml:space="preserve">RESPIRATORY SYNCYTIAL VIRUS; YOUNG-CHILDREN; AVIAN METAPNEUMOVIRUSES; INFLUENZA-VIRUS; VIVO ACTIVITIES; RNA-POLYMERASE; INFECTION; BURDEN; EFFICACY; PROTECTION</t>
  </si>
  <si>
    <t xml:space="preserve">The clinical impact of infections with respiratory viruses belonging to the family Paramyxoviridae argues for the development of antiviral therapies with broad-spectrum activity. Favipiravir (T-705) has demonstrated potent antiviral activity against multiple RNA virus families and is presently in clinical evaluation for the treatment of influenza. Here we demonstrate in vitro activity of T-705 against the paramyxoviruses human metapneumovirus (HMPV), respiratory syncytial virus, human parainfluenza virus, measles virus, Newcastle disease virus, and avian metapneumovirus. In addition, we demonstrate activity against HMPV in hamsters. T-705 treatment inhibited replication of all paramyxoviruses tested in vitro, with 90% effective concentration (EC90) values of 8 to 40 mu M. Treatment of HMPV-challenged hamsters with T-705 at 200 mg/kg of body weight/day resulted in 100% protection from infection of the lungs. In all treated and challenged animals, viral RNA remained detectable in the respiratory tract. The observation that T-705 treatment had a significant effect on infectious viral titers, with a limited effect on viral genome titers, is in agreement with its proposed mode of action of viral mutagenesis. However, next-generation sequencing of viral genomes isolated from treated and challenged hamsters did not reveal (hyper)mutation. Polymerase activity assays revealed a specific effect of T-705 on the activity of the HMPV polymerase. With the reported antiviral activity of T-705 against a broad range of RNA virus families, this small molecule is a promising broad-range antiviral drug candidate for limiting the viral burden of paramyxoviruses and for evaluation for treatment of infections with (re)emerging viruses, such as the henipaviruses.</t>
  </si>
  <si>
    <t xml:space="preserve">[Jochmans, D.; Neyts, J.] Univ Leuven, Rega Inst Med Res, KU Leuven, Leuven, Belgium; [van Nieuwkoop, S.; Smits, S. L.; Fouchier, R. A. M.; van den Hoogen, B. G.] Erasmus MC, Dept Virosci, Rotterdam, Netherlands; [Smits, S. L.] Erasmus MC, Ctr Biom, Rotterdam, Netherlands</t>
  </si>
  <si>
    <t xml:space="preserve">KU Leuven; Erasmus University Rotterdam; Erasmus MC; Erasmus University Rotterdam; Erasmus MC</t>
  </si>
  <si>
    <t xml:space="preserve">Smits, Saskia/A-2953-2014; NEYTS, Johan/U-8267-2017; Fouchier, Ron/A-1911-2014; JOCHMANS, DIRK/T-6223-2017</t>
  </si>
  <si>
    <t xml:space="preserve">NEYTS, Johan/0000-0002-0033-7514; Fouchier, Ron/0000-0001-8095-2869; JOCHMANS, DIRK/0000-0002-9265-6028</t>
  </si>
  <si>
    <t xml:space="preserve">European Commission (EC) [260644]</t>
  </si>
  <si>
    <t xml:space="preserve">European Commission (EC)(European Union (EU)European Commission Joint Research Centre)</t>
  </si>
  <si>
    <t xml:space="preserve">This work, including the efforts of D. Jochmans, S. van Nieuwkoop, J. Neyts, R. A. M. Fouchier, and B. G. van den Hoogen, was funded by European Commission (EC) (260644).</t>
  </si>
  <si>
    <t xml:space="preserve">10.1128/AAC.00709-16</t>
  </si>
  <si>
    <t xml:space="preserve">DS5AJ</t>
  </si>
  <si>
    <t xml:space="preserve">WOS:000380792600021</t>
  </si>
  <si>
    <t xml:space="preserve">de Graaf, M; Schrauwen, EJA; Herfst, S; van Amerongen, G; Osterhaus, ADME; Fouchier, RAM</t>
  </si>
  <si>
    <t xml:space="preserve">de Graaf, Miranda; Schrauwen, Eefje J. A.; Herfst, Sander; van Amerongen, Geert; Osterhaus, Albert D. M. E.; Fouchier, Ron A. M.</t>
  </si>
  <si>
    <t xml:space="preserve">Fusion protein is the main determinant of metapneumovirus host tropism</t>
  </si>
  <si>
    <t xml:space="preserve">Metapneumovirus; Biology; Vero cell; Human metapneumovirus; Virology; Tropism; Virus; Tissue tropism</t>
  </si>
  <si>
    <t xml:space="preserve">AVIAN PNEUMOVIRUS INFECTION; SYNCYTIAL VIRUS-INFECTION; SMALL HYDROPHOBIC SH; MEMBRANE-FUSION; RESPIRATORY-TRACT; G-GLYCOPROTEIN; SUBGROUP-C; ATTACHMENT PROTEIN; F-PROTEIN; IN-VITRO</t>
  </si>
  <si>
    <t xml:space="preserve">Human metapneumovirus (HMPV) and avian metapneumovirus subgroup C (AMPV-C) infect humans and birds, respectively. This study confirmed the difference in host range in turkey poults, and analysed the contribution of the individual metapneumovirus genes to host range in an in vitro cell-culture model. Mammalian Vero-118 cells supported replication of both HMPV and AMPV-C in contrast to avian quail fibroblast (QT6) cells in which only AMPV-C replicated to high titres. Inoculation of Vero-118 and QT6 cells with recombinant HMPV in which genes were exchanged with those of AMPV-C revealed that the metapneumovirus fusion (F) protein is the main determinant for host tropism. Chimeric viruses in which polymerase complex proteins were exchanged between HMPV and AMPV-C replicated less efficiently compared with HMPV in QT6 cells. Using mini-genome systems, it was shown that exchanging these polymerase proteins resulted in reduced replication and transcription efficiency in OT6 cells. Examination of infected Vero-118 and QT6 cells revealed that viruses containing the F protein of AMPV-C yielded larger syncytia. compared with viruses containing the HMPV F protein. Cell-content mixing assays revealed that the F protein of AMPV-C was more fusogenic compared with the F protein of HMPV, and that the F2 region is responsible for the difference observed between AMPV-C and HMPV F-promoted fusion in QT6 and Vero-118 cells. This study provides insight into the determinants of host tropism and membrane fusion of metapneumoviruses.</t>
  </si>
  <si>
    <t xml:space="preserve">[de Graaf, Miranda; Schrauwen, Eefje J. A.; Herfst, Sander; van Amerongen, Geert; Osterhaus, Albert D. M. E.; Fouchier, Ron A. M.] Erasmus MC, Dept Virol, NL-3000 CA Rotterdam, Netherlands</t>
  </si>
  <si>
    <t xml:space="preserve">de Graaf, Miranda/K-1262-2018; Herfst, Sander/HZK-7555-2023; Fouchier, Ron/A-1911-2014</t>
  </si>
  <si>
    <t xml:space="preserve">Fouchier, Ron/0000-0001-8095-2869; Osterhaus, Albert/0000-0002-6074-1172</t>
  </si>
  <si>
    <t xml:space="preserve">10.1099/vir.0.009688-0</t>
  </si>
  <si>
    <t xml:space="preserve">453NB</t>
  </si>
  <si>
    <t xml:space="preserve">WOS:000266616200012</t>
  </si>
  <si>
    <t xml:space="preserve">Mizuta, K; Abiko, C; Aoki, Y; Ikeda, T; Matsuzaki, Y; Itagaki, T; Katsushima, F; Katsushima, Y; Noda, M; Kimura, H; Ahiko, T</t>
  </si>
  <si>
    <t xml:space="preserve">Mizuta, Katsumi; Abiko, Chieko; Aoki, Yoko; Ikeda, Tatsuya; Matsuzaki, Yoko; Itagaki, Tsutomu; Katsushima, Fumio; Katsushima, Yuriko; Noda, Masahiro; Kimura, Hirokazu; Ahiko, Tadayuki</t>
  </si>
  <si>
    <t xml:space="preserve">Seasonal Patterns of Respiratory Syncytial Virus, Influenza A Virus, Human Metapneumovirus, and Parainfluenza Virus Type 3 Infections on the Basis of Virus Isolation Data between 2004 and 2011 in Yamagata, Japan</t>
  </si>
  <si>
    <t xml:space="preserve">Human metapneumovirus; Virology; Metapneumovirus; Virus; Pneumovirinae; Outbreak</t>
  </si>
  <si>
    <t xml:space="preserve">VIRAL-INFECTIONS; YOUNG-CHILDREN; COMMON COLD; EPIDEMIOLOGY</t>
  </si>
  <si>
    <t xml:space="preserve">Most acute respiratory infections (ARIs) are thought to be associated with respiratory viruses that cause similar symptoms. Therefore, assessment of clinical and epidemiologic features of these viruses is important for diagnosing a viral infection. We collected 13,325 nasopharyngeal specimens from patients with ARIs and isolated the virus using a microplate method involving 7 cell lines between 2004 and 2011 in Yamagata, Japan. We isolated a total of 5,483 viruses. Respiratory syncytial virus (RSV), influenza A virus (FluA), human metapneumovirus (hMPV), and human parainfluenza virus type 3 (hPIV3) showed clear yearly seasonal patterns; generally, RSV infections peaked at the end of the year, FluA infections peaked between January and March, hMPV infections peaked between March and April, and hPIV3 showed seasonal outbreaks between May and July. Further, RSV, hMPV, and hPIV3 were commonly isolated in 12.0-13.1% of specimens from children aged less than 4 years, whereas FluA was isolated in 7.3-8.2% of specimens from school-aged children. A generalized view of seasonality and age distribution, particularly on the basis of longitudinal epidemiological data, will be helpful for medical decision-making, including decisions related to the use of rapid test kits, selection of antiviral treatments, restriction of antibiotic therapy, and implementation of infection control strategies.</t>
  </si>
  <si>
    <t xml:space="preserve">[Mizuta, Katsumi; Abiko, Chieko; Aoki, Yoko; Ikeda, Tatsuya; Ahiko, Tadayuki] Yamagata Prefectural Inst Publ Hlth, Dept Microbiol, Yamagata 9900031, Japan; [Matsuzaki, Yoko] Yamagata Univ Fac Med, Dept Infect Dis, Yamagata 9909585, Japan; [Itagaki, Tsutomu] Yamanobe Pediat Clin, Yamagata 9900031, Japan; [Katsushima, Fumio; Katsushima, Yuriko] Katsushima Pediat Clin, Yamagata 9902461, Japan; [Noda, Masahiro; Kimura, Hirokazu] Natl Inst Infect Dis, Infect Dis Surveillance Ctr, Tokyo 2080011, Japan</t>
  </si>
  <si>
    <t xml:space="preserve">Yamagata University; National Institute of Infectious Diseases (NIID)</t>
  </si>
  <si>
    <t xml:space="preserve">Japan Society for Promotion of Science; Ministry of Health, Labour and Welfare of Japan</t>
  </si>
  <si>
    <t xml:space="preserve">Japan Society for Promotion of Science(Ministry of Education, Culture, Sports, Science and Technology, Japan (MEXT)Japan Society for the Promotion of Science); Ministry of Health, Labour and Welfare of Japan(Ministry of Health, Labour and Welfare, Japan)</t>
  </si>
  <si>
    <t xml:space="preserve">This work was partially supported by grants-in-aid from the Japan Society for Promotion of Science and for Research on Emerging and Re-emerging Infectious Diseases from the Ministry of Health, Labour and Welfare of Japan.</t>
  </si>
  <si>
    <t xml:space="preserve">10.7883/yoken.66.140</t>
  </si>
  <si>
    <t xml:space="preserve">234XA</t>
  </si>
  <si>
    <t xml:space="preserve">WOS:000325676400010</t>
  </si>
  <si>
    <t xml:space="preserve">Zhang, C; Zhu, N; Xie, ZD; Lu, RJ; He, B; Liu, CY; Ma, XJ; Tan, WJ</t>
  </si>
  <si>
    <t xml:space="preserve">Zhang, Chen; Zhu, Na; Xie, Zhengde; Lu, Roujian; He, Bin; Liu, Chunyan; Ma, Xuejun; Tan, Wenjie</t>
  </si>
  <si>
    <t xml:space="preserve">Viral Etiology and Clinical Profiles of Children with Severe Acute Respiratory Infections in China</t>
  </si>
  <si>
    <t xml:space="preserve">Human metapneumovirus; Rhinovirus; Human bocavirus; Incidence (geometry); Medicine; Enterovirus; Etiology; Virus; Metapneumovirus; Pandemic</t>
  </si>
  <si>
    <t xml:space="preserve">PARAINFLUENZA VIRUS-INFECTION; HUMAN-IMMUNODEFICIENCY-VIRUS; PANEL FAST ASSAY; HOSPITALIZED CHILDREN; SYNCYTIAL VIRUS; HUMAN METAPNEUMOVIRUS; TRANSPLANT RECIPIENTS; MULTIPLEX PCR; ILLNESS; EPIDEMIOLOGY</t>
  </si>
  <si>
    <t xml:space="preserve">Background: No comprehensive analysis is available on the viral etiology and clinical characterization among children with severe acute respiratory infection (SARI) in China during 2009 H1N1 pandemic and post-pandemic period. Methods: Cohort of 370 hospitalized children (1 to 72 months) with SARI from May 2008 to March 2010 was enrolled in this study. Nasopharyngeal aspirate (NPA) specimens were tested by a commercial assay for 18 respiratory viral targets. The viral distribution and its association with clinical character were statistically analyzed. Results: Viral pathogen was detected in 350 (94.29%) of children with SARI. Overall, the most popular viruses were: enterovirus/rhinovirus (EV/RV) (54.05%), respiratory syncytial virus (RSV) (51.08%), human bocavirus (BoCA) (33.78%), human parainfluenzaviruse type 3 (PIV3) (15.41%), and adenovirus (ADV) (12.97%). Pandemic H1N1 was the dominant influenza virus (IFV) but was only detected in 20 (5.41%) of children. Moreover, detection rate of RSV and human metapneumovirus (hMPV) among suburb participants were significantly higher than that of urban area (P&lt;0.05). Incidence of VSARI among suburb participants was also significant higher, especially among those of 24 to 59 months group (P&lt;0.05). Conclusion: Piconaviruses (EV/RV) and paramyxoviruses are the most popular viral pathogens among children with SARI in this study. RSV and hMPV significantly increase the risk of SARI, especially in children younger than 24 months. Higher incidence of VSARI and more susceptibilities to RSV and hMPV infections were found in suburban patients.</t>
  </si>
  <si>
    <t xml:space="preserve">[Zhang, Chen; Zhu, Na; Lu, Roujian; He, Bin; Ma, Xuejun; Tan, Wenjie] China Ctr Dis Control &amp; Prevent CDC, Key Lab Med Virol, Minist Hlth, Natl Inst Viral Dis Control &amp; Prevent, Beijing, Peoples R China; [Xie, Zhengde; Liu, Chunyan] Capital Med Univ, Beijing Childrens Hosp, Beijing Pediat Res Inst, Key Lab Major Dis Child, Beijing, Peoples R China; [Xie, Zhengde; Liu, Chunyan] Capital Med Univ, Beijing Childrens Hosp, Beijing Pediat Res Inst, Natl Key Discipline Pediat, Beijing, Peoples R China; [He, Bin] Huainan Ctr Dis Control &amp; Prevent CDC, Huainan, Anhui, Peoples R China</t>
  </si>
  <si>
    <t xml:space="preserve">Chinese Center for Disease Control &amp; Prevention; National Institute for Viral Disease Control &amp; Prevention, Chinese Center for Disease Control &amp; Prevention; Capital Medical University; Capital Medical University</t>
  </si>
  <si>
    <t xml:space="preserve">Ma, XJ (corresponding author), China Ctr Dis Control &amp; Prevent CDC, Key Lab Med Virol, Minist Hlth, Natl Inst Viral Dis Control &amp; Prevent, Beijing, Peoples R China.</t>
  </si>
  <si>
    <t xml:space="preserve">maxj2004@yahoo.com.cn; tanwj28@yahoo.cn</t>
  </si>
  <si>
    <t xml:space="preserve">State Megaproject for Infectious Disease Research of China [2011ZX10004-0012013ZX1004601]; National 863 Project of China [2007AA02Z464]</t>
  </si>
  <si>
    <t xml:space="preserve">State Megaproject for Infectious Disease Research of China; National 863 Project of China</t>
  </si>
  <si>
    <t xml:space="preserve">The study was funded by grants from the State Megaproject for Infectious Disease Research of China (2011ZX10004-0012013ZX1004601) and National 863 Project of China (2007AA02Z464). The Sponsor had no role in the design and conduct of the study; collection, management, analysis, and interpretation of the data; and preparation, review, or approval of the manuscript. The funders had no role in study design, data collection and analysis, decision to publish, or preparation of the manuscript.</t>
  </si>
  <si>
    <t xml:space="preserve">AUG 22</t>
  </si>
  <si>
    <t xml:space="preserve">e72606</t>
  </si>
  <si>
    <t xml:space="preserve">10.1371/journal.pone.0072606</t>
  </si>
  <si>
    <t xml:space="preserve">218ZA</t>
  </si>
  <si>
    <t xml:space="preserve">WOS:000324470700043</t>
  </si>
  <si>
    <t xml:space="preserve">de Graaf, M; Herfst, S; Schrauwen, EJA; Choi, Y; van den Hoogen, BG; Osterhaus, ADME; Fouchier, RAM</t>
  </si>
  <si>
    <t xml:space="preserve">de Graaf, Miranda; Herfst, Sander; Schrauwen, Eefje J. A.; Choi, Ying; van den Hoogen, Bernadette G.; Osterhaus, Albert D. M. E.; Fouchier, Ron A. M.</t>
  </si>
  <si>
    <t xml:space="preserve">Specificity and functional interaction of the polymerase complex proteins of human and avian metapneumoviruses</t>
  </si>
  <si>
    <t xml:space="preserve">Biology; Metapneumovirus; Polymerase; Virology; Human metapneumovirus; RNA polymerase; Virus</t>
  </si>
  <si>
    <t xml:space="preserve">RESPIRATORY SYNCYTIAL VIRUS; TRANSCRIPTION ELONGATION-FACTOR; AMINO-ACID-SEQUENCE; OPEN READING FRAME; MESSENGER-RNA; SUBGROUP-C; CROSS-RECOGNITION; REVERSE-GENETICS; CAP METHYLATION; CLONED CDNA</t>
  </si>
  <si>
    <t xml:space="preserve">Human metapneumovirus (HMPV) and avian metapneumovirus (AMPV) have a similar genome organization and protein composition, but a different host range. AMPV subgroup C (AMPV-C) is more closely related to HMPV than other AMPVs. To investigate the specificity and functional interaction of the polymerase complex proteins of human and avian metapneumoviruses, a minireplicon system was generated for AMPV-C and used in combination with minireplicon systems for HMPV lineages All and B1. Viral RNA-like molecules representing HMPV-A1 and -B1, AMPV-A and -C and human respiratory syncytial virus were replicated efficiently by polymerase complexes of HMPV-A1 and -B1 and AMPV-C, but not by polymerase complexes of bovine parainfluenza virus 3. Upon exchange of HMPV and AMPV-C polymerase complex components, all chimeric polymerase complexes were functional; exchange between HMPVs did not result in altered polymerase activity, whereas exchange between HMPVs and AMPV-C did. Recombinant HMPV-B1 viruses in which polymerase genes were exchanged with those of HMPV-A1 replicated with normal kinetics in vitro, whilst replacement with AMPV-C genes resulted in moderate differences in virus replication. In hamsters, recombinant HMPV-B1 viruses in which individual polymerase genes were exchanged with those of AMPV-C were attenuated, irrespective of the results obtained with minireplicon systems or in vitro replication assays. This study provides insight into the specificity and functional interaction of polymerase complex proteins of human and avian metapneumoviruses, but neither minireplicon systems nor in vitro replication kinetics were found to be predictive for attenuation in permissive animals.</t>
  </si>
  <si>
    <t xml:space="preserve">[de Graaf, Miranda; Herfst, Sander; Schrauwen, Eefje J. A.; Choi, Ying; van den Hoogen, Bernadette G.; Osterhaus, Albert D. M. E.; Fouchier, Ron A. M.] Erasmus MC, Dept Virol, NL-3000 CA Rotterdam, Netherlands</t>
  </si>
  <si>
    <t xml:space="preserve">10.1099/vir.0.83537-0</t>
  </si>
  <si>
    <t xml:space="preserve">287BI</t>
  </si>
  <si>
    <t xml:space="preserve">WOS:000254890900016</t>
  </si>
  <si>
    <t xml:space="preserve">Leyrat, C; Renner, M; Harlos, K; Grimes, JM</t>
  </si>
  <si>
    <t xml:space="preserve">Leyrat, Cedric; Renner, Max; Harlos, Karl; Grimes, Jonathan M.</t>
  </si>
  <si>
    <t xml:space="preserve">Solution and Crystallographic Structures of the Central Region of the Phosphoprotein from Human Metapneumovirus</t>
  </si>
  <si>
    <t xml:space="preserve">Human metapneumovirus; Small-angle X-ray scattering; Metapneumovirus; Ab initio; Phosphoprotein; Crystallography; Protein structure</t>
  </si>
  <si>
    <t xml:space="preserve">RESPIRATORY SYNCYTIAL VIRUS; C-TERMINAL DOMAIN; BINDING DOMAIN; N-P; PROTEIN; NUCLEOPROTEIN; SCATTERING; DISORDER; IDENTIFICATION; PREDICTION</t>
  </si>
  <si>
    <t xml:space="preserve">Human metapneumovirus (HMPV) of the family Paramyxoviridae is a major cause of respiratory illness worldwide. Phosphoproteins (P) from Paramyxoviridae are essential co-factors of the viral RNA polymerase that form tetramers and possess long intrinsically disordered regions (IDRs). We located the central region of HMPV P (P-ced) which is involved in tetramerization using disorder analysis and modeled its 3D structure ab initio using Rosetta fold-and-dock. We characterized the solution-structure of P-ced using small angle X-ray scattering (SAXS) and carried out direct fitting to the scattering data to filter out incorrect models. Molecular dynamics simulations (MDS) and ensemble optimization were employed to select correct models and capture the dynamic character of P-ced. Our analysis revealed that oligomerization involves a compact central core located between residues 169-194 (P-core), that is surrounded by flexible regions with a-helical propensity. We crystallized this fragment and solved its structure at 3.1 angstrom resolution by molecular replacement, using the folded core from our SAXS-validated ab initio model. The RMSD between modeled and experimental tetramers is as low as 0.9 angstrom, demonstrating the accuracy of the approach. A comparison of the structure of HMPV P to existing mononegavirales P-ced structures suggests that P-ced evolved under weak selective pressure. Finally, we discuss the advantages of using SAXS in combination with ab initio modeling and MDS to solve the structure of small, homo-oligomeric protein complexes.</t>
  </si>
  <si>
    <t xml:space="preserve">[Leyrat, Cedric; Renner, Max; Harlos, Karl; Grimes, Jonathan M.] Univ Oxford, Div Struct Biol, Oxford, England; [Grimes, Jonathan M.] Diamond Light Source Ltd, Div Sci, Didcot, Oxon, England</t>
  </si>
  <si>
    <t xml:space="preserve">University of Oxford; Diamond Light Source</t>
  </si>
  <si>
    <t xml:space="preserve">Leyrat, C (corresponding author), Univ Oxford, Div Struct Biol, Oxford, England.</t>
  </si>
  <si>
    <t xml:space="preserve">cedric@strubi.ox.ac.uk</t>
  </si>
  <si>
    <t xml:space="preserve">Leyrat, Cedric/G-5559-2017</t>
  </si>
  <si>
    <t xml:space="preserve">Renner, Max/0000-0001-9885-8256; Leyrat, Cedric/0000-0003-0189-0562; Grimes, Jonathan Mark/0000-0001-9698-0389</t>
  </si>
  <si>
    <t xml:space="preserve">European Union [260644]; Wellcome trust [099667/Z/12/Z, 090532/Z/09/Z, 075491/Z/04]; Wellcome Trust [099667/Z/12/Z] Funding Source: Wellcome Trust</t>
  </si>
  <si>
    <t xml:space="preserve">European Union(European Union (EU)); Wellcome trust(Wellcome Trust); Wellcome Trust(Wellcome Trust)</t>
  </si>
  <si>
    <t xml:space="preserve">The research leading to these results has received funding from the European Union Seventh Framework Programme (FP7/2007-2013) under SILVER grant agreement no 260644. Max Renner was supported by a Wellcome trust fellowship (099667/Z/12/Z). This work was also supported by the Wellcome Trust Core award (090532/Z/09/Z). Administrative support was provided by the Wellcome Trust (Grant 075491/Z/04). The funders had no role in study design, data collection and analysis, decision to publish, or preparation of the manuscript.</t>
  </si>
  <si>
    <t xml:space="preserve">e80371</t>
  </si>
  <si>
    <t xml:space="preserve">10.1371/journal.pone.0080371</t>
  </si>
  <si>
    <t xml:space="preserve">245ZC</t>
  </si>
  <si>
    <t xml:space="preserve">WOS:000326503400155</t>
  </si>
  <si>
    <t xml:space="preserve">Don, M; Fasoli, L; Paldanius, M; Vainionpää, R; Kleemola, M; Räty, R; Leinonen, M; Korppi, M; Tenore, A; Canciani, M</t>
  </si>
  <si>
    <t xml:space="preserve">Aetiology of community-acquired pneumonia:: Serological results of a paediatric survey</t>
  </si>
  <si>
    <t xml:space="preserve">Mycoplasma pneumoniae; Streptococcus pneumoniae; Serology; Pneumonia; Community-acquired pneumonia; Medicine; Etiology; Immunology</t>
  </si>
  <si>
    <t xml:space="preserve">RESPIRATORY-TRACT INFECTION; MYCOPLASMA-PNEUMONIAE; HUMAN METAPNEUMOVIRUS; CHLAMYDIA-PNEUMONIAE; YOUNG-CHILDREN; DIAGNOSIS; CHILDHOOD; ANTIBODY; ANTIGEN; PNEUMOLYSIN</t>
  </si>
  <si>
    <t xml:space="preserve">Serological methods are routinely used in the diagnosis of viral and atypical bacterial respiratory infections. Recently, they have also been applied to typical bacteria, such as Streptococcus pneumoniae. The aim of this study was to determine the aetiology of paediatric community-acquired pneumonia (CAP) in both ambulatory and hospitalized patients, by using antibody assays. During a 15-month prospective surveillance, paired sera were studied for antibodies to 14 microbes in 101 children with symptoms of acute infection and infiltrates compatible with pneumonia on chest radiographs. A potential causative agent was detected in 66 (65%) patients. Evidence of bacterial, viral and mixed viral-bacterial infection was demonstrated in 44%, 42% and 20% of the CAP cases, respectively. The most commonly found agents included Mycoplasma pneumoniae (27%), Pneumococcus (18%) and respiratory syncytial virus (17%). Human metapneumovirus (hMPV) was detected in 5 (5%) children. Pneumococcal infections were evenly distributed among the age groups studied. Our results confirm the role of S. pneumoniae in paediatric CAP at all ages, those of M. pneumoniae at &gt;2 y of age and emphasize the emerging role of hMPV. The high proportion of mixed viral-bacterial infections highlights the need to treat all children with CAP with antibiotics.</t>
  </si>
  <si>
    <t xml:space="preserve">Univ Udine, Sch Med DPMSC, Dept Paediat, I-33100 Udine, Italy; Natl Publ Hlth Inst, Dept Microbiol, Oulu, Finland; Univ Turku, Dept Virol, Turku, Finland; Univ Kuopio, Dept Paediat, FIN-70211 Kuopio, Finland; Univ Hosp, Kuopio, Finland</t>
  </si>
  <si>
    <t xml:space="preserve">University of Udine; Finland National Institute for Health &amp; Welfare; University of Turku; University of Eastern Finland; Kuopio University Hospital</t>
  </si>
  <si>
    <t xml:space="preserve">Univ Udine, Sch Med DPMSC, Dept Paediat, Ple S Maria Misericordia, I-33100 Udine, Italy.</t>
  </si>
  <si>
    <t xml:space="preserve">10.1080/00365540500262435</t>
  </si>
  <si>
    <t xml:space="preserve">988RQ</t>
  </si>
  <si>
    <t xml:space="preserve">WOS:000233618800002</t>
  </si>
  <si>
    <t xml:space="preserve">Biacchesi, Stphane; Pham, Quynh N.; Skiadopoulos, Mario H.; Murphy, Brian R.; Collins, Peter L.; Buchholz, Ursula J.</t>
  </si>
  <si>
    <t xml:space="preserve">Modification of the trypsin-dependent cleavage activation site of the human metapneumovirus fusion protein to be trypsin independent does not increase replication or spread in rodents or nonhuman primates</t>
  </si>
  <si>
    <t xml:space="preserve">Human metapneumovirus; Metapneumovirus; Biology; Trypsin; Cleavage (geology); Furin; Molecular biology</t>
  </si>
  <si>
    <t xml:space="preserve">RESPIRATORY SYNCYTIAL VIRUS; F-PROTEIN; MAJOR DETERMINANT; GENETIC DIVERSITY; G-GLYCOPROTEIN; AMINO-ACID; VACCINE; TYPE-3; INFECTION; GROWTH</t>
  </si>
  <si>
    <t xml:space="preserve">The contribution of cleavage activation of the fusion F protein of human metapneumovirus (HMPV) to replication and pathogenicity in rodents and nonhuman primates was investigated. Recombinant HMPVs were generated in which the naturally occurring trypsin-dependent cleavage sequence (R-Q-S-R down arrow) was replaced by each of three sequences whose cleavage in vitro does not depend upon added trypsin. Two of these were multibasic sequences derived from avian metapneumovirus type A (R-R-R-R) or type C (R-K-A-R), with the former containing the consensus furin protease cleavage motif (R-X-R/K-R down arrow). The third one (R-Q-P-R) was derived from a recently described trypsin independent HMPV isolate (J. H. Schickli, J. Kaur, N. Ulbrandt, R. R. Spaete, and R. S. Tang, J. Virol. 79:10678-10689, 2005). To preclude the possibility of conferring even greater virulence to this significant human pathogen, the modifications were done in an HMPV variant that was attenuated by the deletion of two of the three envelope glycoproteins, SH and G. Each of the introduced cleavage sequences conferred trypsin independent F cleavage and growth to HMPV in vitro. However, they differed in the efficiency of trypsin independent growth and plaque formation in vitro: R-R-R-R &gt; R-K-A-R &gt; R-Q-P-R &gt; R-Q-S-R. The R-R-R-R mutant was the only one whose growth in vitro was not augmented by added trypsin, indicative of highly efficient trypsin independent cleavage. When inoculated intranasally into hamsters, there was essentially no difference in the magnitude of replication in the upper or lower respiratory tract between the mutants, and virus was not detected in organs outside of the respiratory tract. Evaluation of the most cleavage-efficient mutant, R-R-R-R, in African green monkeys showed that there was no detectable change in the magnitude of replication in the upper and lower respiratory tract or in immunogenicity and protective efficacy against HMPV challenge. These results suggest that cleavage activation is not a major determinant of HMPV virulence.</t>
  </si>
  <si>
    <t xml:space="preserve">Buchholz, UJ (corresponding author), Bldg 50,Room 6505,50 S Dr,MSC 8007, Bethesda, MD 20892 USA.</t>
  </si>
  <si>
    <t xml:space="preserve">10.1128/JVI.00294-06</t>
  </si>
  <si>
    <t xml:space="preserve">050QV</t>
  </si>
  <si>
    <t xml:space="preserve">WOS:000238103900016</t>
  </si>
  <si>
    <t xml:space="preserve">van den Hoogen, BG; Herfst, S; Sprong, L; Cane, PA; Forleo-Neto, E; de Swart, RL; Osterhaus, ADME; Fouchier, RAM</t>
  </si>
  <si>
    <t xml:space="preserve">Antigenic and genetic variability of human metapneumoviruses</t>
  </si>
  <si>
    <t xml:space="preserve">Biology; Genetic diversity; Human metapneumovirus; Virology; Genetic variation; Antigenic variation; Virus; Genetics; Serotype; Phylogenetic tree; Subfamily</t>
  </si>
  <si>
    <t xml:space="preserve">RESPIRATORY SYNCYTIAL VIRUS; AVIAN PNEUMOVIRUS ISOLATE; AMINO-ACID-SEQUENCE; SUBGROUP-A; MONOCLONAL-ANTIBODIES; G-GLYCOPROTEIN; G-PROTEIN; TURKEY RHINOTRACHEITIS; ATTACHMENT PROTEIN; IMMUNE GLOBULIN</t>
  </si>
  <si>
    <t xml:space="preserve">Human metapneumovirus (HMPV) is a member of the subfamily Pneumovirinae within the family Paramyxoviridae. Other members of this subfamily, respiratory syncytial virus and avian pneumovirus, can be divided into subgroups on the basis of genetic or antigenic differences or both. For HIMPV, the existence of different genetic lineages has been described on the basis of variation in a limited set of available sequences. We address the antigenic relationship between genetic lineages in virus neutralization assays. In addition, we analyzed the genetic diversity of HMPV by phylogenetic analysis of sequences obtained for part of the fusion protein (n = 84) and the complete attachment protein open reading frames (n = 35). On the basis of sequence diversity between attachment protein genes and the differences in virus neutralization titers, two HMPV serotypes were defined. Each serotype could be divided into two genetic lineages, but these did not reflect major antigenic differences.</t>
  </si>
  <si>
    <t xml:space="preserve">Erasmus Univ, Ctr Med, Dept Virol, NL-3000 DR Rotterdam, Netherlands; Univ Birmingham, Med Sch Birmingham, Birmingham, W Midlands, England; Vigi Virus, Sao Paulo, Brazil</t>
  </si>
  <si>
    <t xml:space="preserve">Erasmus University Rotterdam - Excl Erasmus MC; Erasmus University Rotterdam; University of Birmingham</t>
  </si>
  <si>
    <t xml:space="preserve">Erasmus Univ, Ctr Med, Dept Virol, POB 1738, NL-3000 DR Rotterdam, Netherlands.</t>
  </si>
  <si>
    <t xml:space="preserve">van den Hoogen, Bernadette/J-5461-2013; Herfst, Sander/HZK-7555-2023; Fouchier, Ron/A-1911-2014; De Swart, Rik/E-6508-2011</t>
  </si>
  <si>
    <t xml:space="preserve">Osterhaus, Albert/0000-0002-6074-1172; Herfst, Sander/0000-0001-9866-8903; Fouchier, Ron/0000-0001-8095-2869; De Swart, Rik/0000-0003-3599-8969</t>
  </si>
  <si>
    <t xml:space="preserve">10.3201/eid1004.030393</t>
  </si>
  <si>
    <t xml:space="preserve">WOS:000220578600015</t>
  </si>
  <si>
    <t xml:space="preserve">Feng, LZ; Li, ZJ; Zhao, SW; Nair, H; Lai, SJ; Xu, WB; Li, MF; Wu, JG; Ren, LL; Liu, W; Yuan, ZH; Chen, Y; Wang, XH; Zhao, Z; Zhang, HL; Li, F; Ye, XF; Li, S; Feikin, D; Yu, HJ; Yang, WZ</t>
  </si>
  <si>
    <t xml:space="preserve">Feng, Luzhao; Li, Zhongjie; Zhao, Shiwen; Nair, Harish; Lai, Shengjie; Xu, Wenbo; Li, Mengfeng; Wu, Jianguo; Ren, Lili; Liu, Wei; Yuan, Zhenghong; Chen, Yu; Wang, Xinhua; Zhao, Zhuo; Zhang, Honglong; Li, Fu; Ye, Xianfei; Li, Sa; Feikin, Daniel; Yu, Hongjie; Yang, Weizhong</t>
  </si>
  <si>
    <t xml:space="preserve">Viral Etiologies of Hospitalized Acute Lower Respiratory Infection Patients in China, 2009-2013</t>
  </si>
  <si>
    <t xml:space="preserve">Human bocavirus; Human metapneumovirus; Etiology; Medicine; Virus; Virology</t>
  </si>
  <si>
    <t xml:space="preserve">SYNCYTIAL VIRUS; YOUNG-CHILDREN; HUMAN METAPNEUMOVIRUS; CHILDHOOD PNEUMONIA; SEASONAL INFLUENZA; GLOBAL BURDEN; MORTALITY; SURVEILLANCE</t>
  </si>
  <si>
    <t xml:space="preserve">Background: Acute lower respiratory infections (ALRIs) are an important cause of acute illnesses and mortality worldwide and in China. However, a large-scale study on the prevalence of viral infections across multiple provinces and seasons has not been previously reported from China. Here, we aimed to identify the viral etiologies associated with ALRIs from 22 Chinese provinces. Methods and Findings: Active surveillance for hospitalized ALRI patients in 108 sentinel hospitals in 24 provinces of China was conducted from January 2009-September 2013. We enrolled hospitalized all-age patients with ALRI, and collected respiratory specimens, blood or serum collected for diagnostic testing for respiratory syncytial virus (RSV), human influenza virus, adenoviruses (ADV), human parainfluenza virus (PIV), human metapneumovirus (hMPV), human coronavirus (hCoV) and human bocavirus (hBoV). We included 28,369 ALRI patients from 81 (of the 108) sentinel hospitals in 22 (of the 24) provinces, and 10,387 (36.6%) were positive for at least one etiology. The most frequently detected virus was RSV (9.9%), followed by influenza (6.6%), PIV (4.8%), ADV (3.4%), hBoV (1.9), hMPV (1.5%) and hCoV (1.4%). Co-detections were found in 7.2% of patients. RSV was the most common etiology (17.0%) in young children aged &lt;2 years. Influenza viruses were the main cause of the ALRIs in adults and elderly. PIV, hBoV, hMPV and ADV infections were more frequent in children, while hCoV infection was distributed evenly in all-age. There were clear seasonal peaks for RSV, influenza, PIV, hBoV and hMPV infections. Conclusions: Our findings could serve as robust evidence for public health authorities in drawing up further plans to prevent and control ALRIs associated with viral pathogens. RSV is common in young children and prevention measures could have large public health impact. Influenza was most common in adults and influenza vaccination should be implemented on a wider scale in China.</t>
  </si>
  <si>
    <t xml:space="preserve">[Feng, Luzhao; Li, Zhongjie; Lai, Shengjie; Zhang, Honglong; Li, Sa; Yu, Hongjie; Yang, Weizhong] Chinese Ctr Dis Control &amp; Prevent, Div Infect Dis, Key Lab Surveillance &amp; Early Warning Infect Dis, Beijing, Peoples R China; [Zhao, Shiwen] Yunnan Prov Ctr Dis Control &amp; Prevent, Kunming, Peoples R China; [Nair, Harish] Univ Edinburgh, Global Hlth Acad, Ctr Populat Hlth Sci, Edinburgh, Midlothian, Scotland; [Nair, Harish] Publ Hlth Fdn India, New Delhi, India; [Xu, Wenbo] Chinese Ctr Dis Control &amp; Prevent, Natl Inst Viral Dis Control &amp; Prevent, Beijing, Peoples R China; [Li, Mengfeng; Li, Fu] Sun Yat Sen Univ, Minist Educ, Key Lab Trop Dis Control, Guangzhou 510275, Guangdong, Peoples R China; [Wu, Jianguo] Wuhan Univ, Coll Life Sci, State Key Lab Virol, Wuhan 430072, Peoples R China; [Ren, Lili] Chinese Acad Med Sci, Inst Pathogen Biol, Beijing 100730, Peoples R China; [Ren, Lili] Peking Union Med Coll, Beijing 100021, Peoples R China; [Liu, Wei] Beijing Inst Microbiol &amp; Epidemiol, State Key Lab Pathogen &amp; Biosecur, Beijing, Peoples R China; [Yuan, Zhenghong; Ye, Xianfei] Shanghai Publ Hlth Clin Ctr, Shanghai, Peoples R China; [Chen, Yu] Zhejiang Univ, Sch Med, Affiliated Hosp 1, State Key Lab Diag &amp; Treatment Infect Dis, Hangzhou 310003, Zhejiang, Peoples R China; [Wang, Xinhua] Gansu Prov Ctr Dis Control &amp; Prevent, Lanzhou, Peoples R China; [Zhao, Zhuo] Liaoning Prov Ctr Dis Control &amp; Prevent, Shenyang, Peoples R China; [Feikin, Daniel] Ctr Dis Control &amp; Prevent, Div Viral Dis, Natl Ctr Immunizat &amp; Resp Dis, Atlanta, GA USA</t>
  </si>
  <si>
    <t xml:space="preserve">Chinese Center for Disease Control &amp; Prevention; University of Edinburgh; Public Health Foundation of India; Chinese Center for Disease Control &amp; Prevention; National Institute for Viral Disease Control &amp; Prevention, Chinese Center for Disease Control &amp; Prevention; Sun Yat Sen University; Wuhan University; Chinese Academy of Medical Sciences - Peking Union Medical College; Institute of Pathogen Biology - CAMS; Chinese Academy of Medical Sciences - Peking Union Medical College; Peking Union Medical College; Beijing Institute of Microbiology &amp; Epidemiology; Zhejiang University; Centers for Disease Control &amp; Prevention - USA</t>
  </si>
  <si>
    <t xml:space="preserve">Yu, HJ (corresponding author), Chinese Ctr Dis Control &amp; Prevent, Div Infect Dis, Key Lab Surveillance &amp; Early Warning Infect Dis, Beijing, Peoples R China.</t>
  </si>
  <si>
    <t xml:space="preserve">yuhj@chinacdc.cn; yangwz@chinacdc.cn</t>
  </si>
  <si>
    <t xml:space="preserve">liu, li/HGC-0900-2022; Ren, Lili/ACL-3052-2022; Li, Zhongjie/J-1474-2018; Wu, Jianzhong/I-5164-2013; Yu, Hongjie/GZK-5351-2022; Chen, Yu/Y-3292-2019; Yu, Hongjie/S-7302-2019; Nair, Harish/E-7431-2010</t>
  </si>
  <si>
    <t xml:space="preserve">Wu, Jianguo/0000-0002-8326-2895; Liu, Wei/0009-0001-6937-2430; Yu, Hongjie/0000-0002-6335-5648; Nair, Harish/0000-0002-9432-9100; Lai, Shengjie/0000-0001-9781-8148</t>
  </si>
  <si>
    <t xml:space="preserve">National Key Science and Technology Project on Infectious Disease Surveillance Technique Platform of China [2009ZX10004-201, 2009ZX10004-202, 2009ZX10004-204, 2009ZX10004-206, 2009ZX10004-207]; [2009ZX10004-208]; [2009ZX10004-209]; [2009ZX10004-210]; [2009ZX10004-211]; [2009ZX10004-212]; [2009ZX10004-213]; [2012ZX10004-201]; [2013ZX10004-202]; [2012ZX10004-206]; [2012ZX10004-207]; [2012ZX10004-208]; [2012ZX10004-209]; [2012ZX10004-210]; [2012ZX10004-211]; [2012ZX10004-212]; [2012ZX10004-213]</t>
  </si>
  <si>
    <t xml:space="preserve">National Key Science and Technology Project on Infectious Disease Surveillance Technique Platform of China; ; ; ; ; ; ; ; ; ; ; ; ; ; ; ;</t>
  </si>
  <si>
    <t xml:space="preserve">This work was supported by grants from the National Key Science and Technology Project on Infectious Disease Surveillance Technique Platform of China (2009ZX10004-201, 2009ZX10004-202, 2009ZX10004-204, 2009ZX10004-206, 2009ZX10004-207, 2009ZX10004-208, 2009ZX10004-209, 2009ZX10004-210, 2009ZX10004-211, 2009ZX10004-212, 2009ZX10004-213, 2012ZX10004-201, 2013ZX10004-202, 2012ZX10004-206, 2012ZX10004-207, 2012ZX10004-208, 2012ZX10004-209, 2012ZX10004-210, 2012ZX10004-211, 2012ZX10004-212, 2012ZX10004-213). The funders had no role in study design, data collection and analysis, decision to publish, or preparation of the manuscript.</t>
  </si>
  <si>
    <t xml:space="preserve">e99419</t>
  </si>
  <si>
    <t xml:space="preserve">10.1371/journal.pone.0099419</t>
  </si>
  <si>
    <t xml:space="preserve">AN6QP</t>
  </si>
  <si>
    <t xml:space="preserve">Green Submitted, Green Published, gold, Green Accepted</t>
  </si>
  <si>
    <t xml:space="preserve">WOS:000340721500019</t>
  </si>
  <si>
    <t xml:space="preserve">Ordás, J; Boga, JA; Alvarez-Argüelles, M; Villa, L; Rodríguez-Dehli, C; de Oña, M; Rodríguez, J; Melón, S</t>
  </si>
  <si>
    <t xml:space="preserve">Ordas, Jose; Antonio Boga, Jose; Alvarez-Argueelles, Marta; Villa, Laura; Rodriguez-Dehli, Cristina; de Ona, Maria; Rodriguez, Julian; Melon, Santiago</t>
  </si>
  <si>
    <t xml:space="preserve">Role of metapneumovirus in viral respiratory infections in young children</t>
  </si>
  <si>
    <t xml:space="preserve">Human metapneumovirus; Virology; Metapneumovirus; Virus; Pneumovirinae; Respiratory system</t>
  </si>
  <si>
    <t xml:space="preserve">POLYMERASE-CHAIN-REACTION; TRACT INFECTIONS; SYNCYTIAL VIRUS; INFANTS; DISEASE; AGE</t>
  </si>
  <si>
    <t xml:space="preserve">The contribution of human metapneumovirus (hMPV) relative to that of other respiratory viruses as a cause of respiratory infections in children less than 1 year old has been evaluated. From October 2003 to April 2004, nasopharyngeal samples from 211 children less than 1 year old were analyzed to detect respiratory viruses. Respiratory syncytial virus (RSV) was the predominant virus isolated (96 children [45.5%]), followed by influenza A virus, parainfluenza virus, adenovirus, cytomegalovirus, and herpes simplex virus type 1, which were only occasionally detected. From January 2004 to April 2004, a nested retrotranscription-PCR, using in-house primers directed to the matrix protein gene of hMPV, was carried out on samples in which no other viruses were detected. hMPV was detected in 18 (16.2%) children, indicating that this virus was the second-most-frequent cause of viral respiratory infections in children less than I year old. The rate of hospitalization for RSV- and hMPV-infected children was higher than 75%. While RSV had a peak from December to February, hMPV was increasingly detected from January to April. The mean age of hMPV-infected children (6.44 +/- 3.64 [mean +/- standard deviation] months) was significantly higher than that of RSV-infected children (3.99 +/- 2.96 [mean +/- standard deviation] months). On the other hand, 64.3% of the RSV-infected children and 12.5% of the hMPV-infected children showed high levels of C-reactive protein. Although several authors have reported that clinical symptoms of hMPV-positive patients mirrored those of RSV-positive patients, differences between the two viruses can be found.</t>
  </si>
  <si>
    <t xml:space="preserve">Hosp Univ Cent Asturias, Microbiol Serv, Secc Virol, Oviedo 33006, Spain; Hosp Univ Cent Asturias, Serv Pediat, Oviedo 33006, Spain</t>
  </si>
  <si>
    <t xml:space="preserve">Central University Hospital Asturias; Central University Hospital Asturias</t>
  </si>
  <si>
    <t xml:space="preserve">Boga, JA (corresponding author), Hosp Univ Cent Asturias, Microbiol Serv, Secc Virol, Celestino Villamil S-N, Oviedo 33006, Spain.</t>
  </si>
  <si>
    <t xml:space="preserve">joseantonio.boga@sespa.princast.es</t>
  </si>
  <si>
    <t xml:space="preserve">Boga, Jose/ABA-2719-2021; Villa, Laura/AAF-3395-2021; Melón, Santiago/AAY-1466-2021; Rodríguez, Julián/W-2440-2019</t>
  </si>
  <si>
    <t xml:space="preserve">Rodriguez, Julian/0000-0003-4621-8905; Melon Garcia, Santiago/0000-0001-5770-7902; Boga, Jose Antonio/0000-0002-5500-9972; VILLA, LAURA/0000-0002-4228-7041</t>
  </si>
  <si>
    <t xml:space="preserve">10.1128/JCM.00164-06</t>
  </si>
  <si>
    <t xml:space="preserve">076UG</t>
  </si>
  <si>
    <t xml:space="preserve">WOS:000239982800010</t>
  </si>
  <si>
    <t xml:space="preserve">Kaye, M; Skidmore, S; Osman, H; Weinbren, M; Warren, R</t>
  </si>
  <si>
    <t xml:space="preserve">Kaye, M.; Skidmore, S.; Osman, H.; Weinbren, M.; Warren, R.</t>
  </si>
  <si>
    <t xml:space="preserve">Surveillance of respiratory virus infections in adult hospital admissions using rapid methods</t>
  </si>
  <si>
    <t xml:space="preserve">Human metapneumovirus; Medicine; Throat; Virus; Respiratory system; Virology; Metapneumovirus</t>
  </si>
  <si>
    <t xml:space="preserve">HUMAN METAPNEUMOVIRUS INFECTION; SYNCYTIAL-VIRUS; YOUNG-CHILDREN; INFLUENZA-A; MULTIPLEX; PCR; PNEUMONIA</t>
  </si>
  <si>
    <t xml:space="preserve">Both influenza and respiratory syncytial virus (RSV) cause epidemics of respiratory illness of variable severity during the winter season. Influenza in particular has been blamed for hospital winter bed pressures, although it is thought that RSV may also play a role. Human metapneumovirus (hMPV) is a new respiratory virus reported to be important in children; only a limited number of studies are available for adult populations. We aimed to determine initially the burden of virologically confirmed infections, i.e. influenza, RSV and hMPV using polymerase chain reaction (PCR) technology and, in addition, to assess the feasibility of this approach as a surveillance tool for these respiratory viruses. Adult patients admitted to hospital in the previous 24 hours with onset of acute respiratory symptoms in the last 14 days were asked to participate. Informed written consent was obtained and nose and throat swabs taken. Multiplex PCR for influenza A (H1N1 and H3N2), influenza B and RSV A and B were carried out together with a separate PCR for hMPV. A total of 219 patients in 2001-2002 and 216 In 2002-2003 were tested and the combined results for both seasons were: 8 positive for influenza A/H1N1, 14 for influenza A/H3N2, 2 for influenza B, 14 for RSV A and 6 for RSV B. Most patients (261/435) were &gt; 65 years and most positives (30/44) were found within this age group. A number of patients aged &gt; 65 years who were positive for influenza (12/15) reported having had vaccine. In total, 373 samples were tested for hMPV and 20 were found positive across all age groups except the 45-54 years age group. As influenza activity was low during the study period the impact of infection on admissions could not be assessed. Nevertheless the viruses studied accounted for 15 % of hospital admissions for respiratory infection. Most patients were aged &gt; 65 years, as expected. In the two years studied RSV and hMPV were each responsible for as many hospitalized cases of respiratory infection as influenza. Influenza infection must be considered even in those who give a history of vaccination. The molecular methods used in this study showed that surveillance of these respiratory viruses can be conducted and may help in the management of patients.</t>
  </si>
  <si>
    <t xml:space="preserve">Princess Royal Hosp, Dept Microbiol, Shrewsbury &amp; Telford Hosp NHS Trust, Telford TF1 6TF, Shrops, England; Birmingham Heartlands &amp; Solihull NHS Trust, HPA W Midlands, Birmingham, W Midlands, England; Coventry &amp; Warwickshire NHS Trust, Dept Microbiol, Coventry, W Midlands, England</t>
  </si>
  <si>
    <t xml:space="preserve">Kaye, M (corresponding author), Princess Royal Hosp, Dept Microbiol, Shrewsbury &amp; Telford Hosp NHS Trust, Apley Castle, Telford TF1 6TF, Shrops, England.</t>
  </si>
  <si>
    <t xml:space="preserve">Moira.Kaye@rsh.nhs.uk</t>
  </si>
  <si>
    <t xml:space="preserve">10.1017/S0950268805005364</t>
  </si>
  <si>
    <t xml:space="preserve">068MJ</t>
  </si>
  <si>
    <t xml:space="preserve">WOS:000239378100018</t>
  </si>
  <si>
    <t xml:space="preserve">Pan, JH; Qian, XL; Lattmann, S; El Sahili, A; Yeo, TH; Jia, H; Cressey, T; Ludeke, B; Noton, S; Kalocsay, M; Fearns, R; Lescar, J</t>
  </si>
  <si>
    <t xml:space="preserve">Pan, Junhua; Qian, Xinlei; Lattmann, Simon; El Sahili, Abbas; Yeo, Tiong Han; Jia, Huan; Cressey, Tessa; Ludeke, Barbara; Noton, Sarah; Kalocsay, Marian; Fearns, Rachel; Lescar, Julien</t>
  </si>
  <si>
    <t xml:space="preserve">Structure of the human metapneumovirus polymerase phosphoprotein complex</t>
  </si>
  <si>
    <t xml:space="preserve">Human metapneumovirus; RNA polymerase; Polymerase; Biology; Ribonucleoprotein; Virology</t>
  </si>
  <si>
    <t xml:space="preserve">VESICULAR STOMATITIS-VIRUS; L PROTEIN; RNA; SEQUENCE; DOMAIN; PHOSPHORYLATION; REPLICATION; FEATURES; M2-1</t>
  </si>
  <si>
    <t xml:space="preserve">Respiratory syncytial virus (RSV) and human metapneumovirus (HMPV) cause severe respiratory diseases in infants and elderly adults(1). No vaccine or effective antiviral therapy currently exists to control RSV or HMPV infections. During viral genome replication and transcription, the tetrameric phosphoprotein P serves as a crucial adaptor between the ribonucleoprotein template and the L protein, which has RNA-dependent RNA polymerase (RdRp), GDP polyribonucleotidyltransferase and cap-specific methyltransferase activities(2,3). How P interacts with L and mediates the association with the free form of N and with the ribonucleoprotein is not clear for HMPV or other major human pathogens, including the viruses that cause measles, Ebola and rabies. Here we report a cryo-electron microscopy reconstruction that shows the ring-shaped structure of the polymerase and capping domains of HMPV-L bound to a tetramer of P. The connector and methyltransferase domains of L are mobile with respect to the core. The putative priming loop that is important for the initiation of RNA synthesis is fully retracted, which leaves space in the active-site cavity for RNA elongation. P interacts extensively with the N-terminal region of L, burying more than 4,016 angstrom(2) of the molecular surface area in the interface. Two of the four helices that form the coiled-coil tetramerization domain of P, and long C-terminal extensions projecting from these two helices, wrap around the L protein in a manner similar to tentacles. The structural versatility of the four P protomers-which are largely disordered in their free state-demonstrates an example of a 'folding-upon-partner-binding' mechanism for carrying out P adaptor functions. The structure shows that P has the potential to modulate multiple functions of L and these results should accelerate the design of specific antiviral drugs.</t>
  </si>
  <si>
    <t xml:space="preserve">[Pan, Junhua] Boston Childrens Hosp, Div Mol Med, Boston, MA 02115 USA; [Pan, Junhua] Harvard Med Sch, Dept Biol Chem &amp; Mol Pharmacol, Boston, MA 02115 USA; [Qian, Xinlei; El Sahili, Abbas; Yeo, Tiong Han; Jia, Huan; Lescar, Julien] Nanyang Technol Univ, Sch Biol Sci, Singapore, Singapore; [Qian, Xinlei; Lattmann, Simon; El Sahili, Abbas; Jia, Huan; Lescar, Julien] Nanyang Technol Univ, NTU Inst Struct Biol, Singapore, Singapore; [Qian, Xinlei; Lescar, Julien] Singapore MIT Alliance Res &amp; Technol, Antimicrobial Resistance Interdisciplinary Res Gr, Singapore, Singapore; [Cressey, Tessa; Ludeke, Barbara; Noton, Sarah; Fearns, Rachel] Boston Univ, Sch Med, Natl Emerging Infect Dis Labs Boston, Boston, MA 02118 USA; [Kalocsay, Marian] Harvard Med Sch, Dept Syst Biol, Lab Syst Pharmacol, Boston, MA 02115 USA</t>
  </si>
  <si>
    <t xml:space="preserve">Harvard University; Boston Children's Hospital; Harvard University; Harvard Medical School; Nanyang Technological University; Nanyang Technological University; Singapore-MIT Alliance for Research &amp; Technology Centre (SMART); Boston University; Harvard University; Harvard Medical School</t>
  </si>
  <si>
    <t xml:space="preserve">Pan, JH (corresponding author), Boston Childrens Hosp, Div Mol Med, Boston, MA 02115 USA.;Pan, JH (corresponding author), Harvard Med Sch, Dept Biol Chem &amp; Mol Pharmacol, Boston, MA 02115 USA.;Lescar, J (corresponding author), Nanyang Technol Univ, Sch Biol Sci, Singapore, Singapore.;Lescar, J (corresponding author), Nanyang Technol Univ, NTU Inst Struct Biol, Singapore, Singapore.;Lescar, J (corresponding author), Singapore MIT Alliance Res &amp; Technol, Antimicrobial Resistance Interdisciplinary Res Gr, Singapore, Singapore.;Fearns, R (corresponding author), Boston Univ, Sch Med, Natl Emerging Infect Dis Labs Boston, Boston, MA 02118 USA.</t>
  </si>
  <si>
    <t xml:space="preserve">pan@crystal.harvard.edu; rfearns@bu.edu; julien@ntu.edu.sg</t>
  </si>
  <si>
    <t xml:space="preserve">JIA, HUAN/JCD-7893-2023; Kalocsay, Marian/ABH-5959-2020; Pan, Junhua/JDM-5670-2023; Lattmann, Simon/G-2914-2010</t>
  </si>
  <si>
    <t xml:space="preserve">Fearns, Rachel/0000-0003-0783-7498; JIA, HUAN/0000-0002-8091-8932; Pan, Junhua/0000-0002-0070-955X; El Sahili, Abbas/0000-0003-3973-686X; qian, xinlei/0000-0002-2032-0736; Kalocsay, Marian/0000-0002-4187-5829; Lattmann, Simon/0000-0002-4639-4602</t>
  </si>
  <si>
    <t xml:space="preserve">NIH [AI089618, AI113321]; Academic Research Grant Tier 3 from the Singapore Minister of Education (MOE) [MOE2016-T3-1-003]; Singapore-MIT Alliance for Research and Technology; [NRF2016NRF-CRP001-063]</t>
  </si>
  <si>
    <t xml:space="preserve">NIH(United States Department of Health &amp; Human ServicesNational Institutes of Health (NIH) - USA); Academic Research Grant Tier 3 from the Singapore Minister of Education (MOE); Singapore-MIT Alliance for Research and Technology(Singapore-MIT Alliance for Research &amp; Technology Centre (SMART));</t>
  </si>
  <si>
    <t xml:space="preserve">We thank S. C. Harrison for support, encouragement, suggestions and reading of the manuscript and acknowledge funding from NIH grant AI089618 (to S. C. Harrison). We thank Z. Li for cryo-EM support, M. Luo and M. Liao for suggestions and help with cryo-EM data acquisition, Y. Liu for suggestions on image-processing strategies, S. Jenni, S. M. Hinshaw and S. P. Lim for suggestions and critiques, and A. Shareef for insights regarding HMPV RNA synthesis assays. The J.L. laboratory was supported by Academic Research Grant Tier 3 (MOE2016-T3-1-003) from the Singapore Minister of Education (MOE) and grant NRF2016NRF-CRP001-063. X.Q. was supported by the Singapore-MIT Alliance for Research and Technology. The R.F. laboratory was supported by NIH grant AI113321.</t>
  </si>
  <si>
    <t xml:space="preserve">10.1038/s41586-019-1759-1</t>
  </si>
  <si>
    <t xml:space="preserve">KB7PM</t>
  </si>
  <si>
    <t xml:space="preserve">WOS:000506682500048</t>
  </si>
  <si>
    <t xml:space="preserve">Tang, RS; Schickli, JH; MacPhail, M; Fernandes, F; Bicha, L; Spaete, J; Fouchier, RAM; Osterhaus, ADME; Spaete, R; Haller, AA</t>
  </si>
  <si>
    <t xml:space="preserve">Effects of human metapneumovirus and respiratory syncytial virus antigen insertion in two 3′ proximal genome positions of bovine/human parainfluenza virus type 3 on virus replication and immunogenicity</t>
  </si>
  <si>
    <t xml:space="preserve">Biology; Virology; Human metapneumovirus; Paramyxoviridae; Virus; Mononegavirales; Human Parainfluenza Virus</t>
  </si>
  <si>
    <t xml:space="preserve">MUCOSAL IMMUNIZATION; RHESUS-MONKEYS; YOUNG-CHILDREN; VACCINE; INFANTS; BRONCHIOLITIS; PROTEIN; FUSION; IDENTIFICATION; GLYCOPROTEINS</t>
  </si>
  <si>
    <t xml:space="preserve">A live attenuated bovine parainfluenza virus type 3 (PIV3), harboring the fusion (F) and hemagglutinin-neuraminidase (HN) genes of human PIV3, was used as a virus vector to express surface glycoproteins derived from two human pathogens, human metapneumovirus (hMPV) and respiratory syncytial virus (RSV). RSV and hMPV are both paramyxoviruses that cause respiratory disease in young children, the elderly, and immunocompromised individuals. RSV has been known for decades to cause acute lower respiratory tract infections in young children, which often result in hospitalization, while hMPV has only been recently identified as a novel human respiratory pathogen. In this study, the ability of bovine/human PIV3 to express three different foreign transmembrane surface glycoproteins and to induce a protective immune response was evaluated. The RNA-dependent RNA polymerase of paramyxoviruses binds to a single site at the 3' end of the viral RNA genome to initiate transcription of viral genes. The genome position of the viral gene determines its level of gene expression. The promoter-proximal gene is transcribed with the highest frequency, and each downstream gene is transcribed less often due to attenuation of transcription at each gene junction. This feature of paramyxoviruses was exploited using the PIV3 vector by inserting the foreign viral genes at the 3' terminus, at position I or 2, of the viral RNA genome. These locations were expected to yield high levels of foreign viral protein expression stimulating a protective immune response. The immunogenicity and protection results obtained with a hamster model showed that bovine/human PIV3 can be employed to generate bivalent PIV3/RSV or PIV3/hMPV vaccine candidates that will be further evaluated for safety and efficacy in primates.</t>
  </si>
  <si>
    <t xml:space="preserve">Haller, AA (corresponding author), MedImmune Vaccines Inc, 297 N Bernardo Ave, Mountain View, CA 94043 USA.</t>
  </si>
  <si>
    <t xml:space="preserve">Osterhaus, Albert/0000-0002-6074-1172; Fouchier, Ron/0000-0001-8095-2869; Tang, Roderick/0000-0003-0018-4869</t>
  </si>
  <si>
    <t xml:space="preserve">NIAID NIH HHS [2R44 AI 46168-02] Funding Source: Medline</t>
  </si>
  <si>
    <t xml:space="preserve">10.1128/JVI.77.20.10819-10828.2003</t>
  </si>
  <si>
    <t xml:space="preserve">727XL</t>
  </si>
  <si>
    <t xml:space="preserve">WOS:000185686100010</t>
  </si>
  <si>
    <t xml:space="preserve">Choi, EH; Lee, HJ; Kim, SJ; Eun, BW; Kim, NH; Lee, JA; Lee, JH; Song, EK; Park, SHKJY; Sung, JY</t>
  </si>
  <si>
    <t xml:space="preserve">Choi, Eun Hwa; Lee, Hoan Jong; Kim, Sun Jung; Eun, Byung Wook; Kim, Nam Hee; Lee, Jin A.; Lee, Jun Ho; Song, Eun Kyung; Park, So Hee Kim Ji Yong; Sung, Ji Yeon</t>
  </si>
  <si>
    <t xml:space="preserve">The association of newly identified respiratory viruses with lower respiratory tract infections in Korean children, 2000-2005</t>
  </si>
  <si>
    <t xml:space="preserve">Rhinovirus; Human bocavirus; Human metapneumovirus; Bronchiolitis; Medicine; Virology; Coinfection; Respiratory tract infections; Virus</t>
  </si>
  <si>
    <t xml:space="preserve">HUMAN CORONAVIRUS NL63; HUMAN METAPNEUMOVIRUS INFECTION; YOUNG-CHILDREN; PEDIATRIC PRACTICE; CLINICAL-FEATURES; SYNCYTIAL VIRUS; DISEASE; RHINOVIRUS; INFANTS; BRONCHIOLITIS</t>
  </si>
  <si>
    <t xml:space="preserve">Background. This study was performed to evaluate the associations of newly recognized viruses, namely, human metapneumovirus (hMPV), human coronavirus (HCoV)-NL63, and human bocavirus (HBoV) with lower respiratory tract infections (LRTIs) in previously healthy children. Methods. To determine the prevalences of 11 viruses-respiratory syncytial virus ( RSV), adenovirus, rhinovirus, parainfluenza viruses (PIVs) 1 and 3, influenza viruses A and B, hMPV, HCoV, HCoV-NL63, and HBoV-among infants or children with LRTIs, in association with their epidemiologic characteristics, we performed multiplex reverse-transcriptase polymerase chain reaction on nasopharyngeal aspirates obtained from 515 children &lt;= 5 years old with LRTIs during the period 2000-2005. Results. Viruses were identified in 312 (60.6%) of the 515 patients. RSV was detected in 122 (23.7%), HBoV in 58 (11.3%), adenovirus in 35 (6.8%), PIV-3 in 32 (6.2%), rhinovirus in 30 (5.8%), hMPV in 24 (4.7%), influenza A in 24 (4.7%), PIV-1 in 9 (1.7%), influenza B in 9 (1.7%), and HCoV-NL63 in 8 (1.6%). Coinfections with &gt;= 2 viruses were observed in 36 patients (11.5%). Twenty-two patients (37.9%) infected with HBoV had a coinfection. Bronchiolitis was frequently diagnosed in patients who tested positive for RSV, PIV-3, or rhinovirus, whereas influenza A, PIV-1, and HCoV-NL63 were commonly found in patients with croup. The age distributions of patients with viral infections differed; notably, RSV was responsible for 77% of LRTIs that occurred in infants &lt;= 3 months old. The number of hMPV infections peaked between February and April, whereas the number of HCoV-NL63 infections peaked between April and May. Conclusions. This study describes the features of LRTIs associated with newly identified viruses in children, compared with those associated with known viruses. Additional investigations are required to define the role of HBoV in LRTI.</t>
  </si>
  <si>
    <t xml:space="preserve">Seoul Natl Univ, Coll Med, Dept Pediat, Seoul 110744, South Korea; Seoul Natl Univ Hosp, Virus Res Ctr, Clin Res Inst, Seoul 110744, South Korea; Seoul Natl Univ, Bundang Hosp, Seoul Med Sci Res Inst, Seoul, South Korea</t>
  </si>
  <si>
    <t xml:space="preserve">Seoul National University (SNU); Seoul National University (SNU); Seoul National University Hospital; Seoul National University (SNU); Seoul National University Hospital</t>
  </si>
  <si>
    <t xml:space="preserve">Lee, HJ (corresponding author), Seoul Natl Univ, Coll Med, Dept Pediat, 28,Yeongeon Dong, Seoul 110744, South Korea.</t>
  </si>
  <si>
    <t xml:space="preserve">Choi, Eun/J-5691-2012; Lee, Hoan/J-5616-2012</t>
  </si>
  <si>
    <t xml:space="preserve">Eun, Byung Wook/0000-0003-3147-9061</t>
  </si>
  <si>
    <t xml:space="preserve">10.1086/506350</t>
  </si>
  <si>
    <t xml:space="preserve">071TY</t>
  </si>
  <si>
    <t xml:space="preserve">WOS:000239627000007</t>
  </si>
  <si>
    <t xml:space="preserve">Ambizas, EM; Etzel, JV</t>
  </si>
  <si>
    <t xml:space="preserve">Ambizas, Emily M.; Etzel, Joseph V.</t>
  </si>
  <si>
    <t xml:space="preserve">Emerging Viral Respiratory Infections</t>
  </si>
  <si>
    <t xml:space="preserve">US PHARMACIST</t>
  </si>
  <si>
    <t xml:space="preserve">INFLUENZA-A H7N9; HUMAN METAPNEUMOVIRUS INFECTION; SYNDROME CORONAVIRUS; UNITED-STATES; VIRUS; RIBAVIRIN; MANAGEMENT; BURDEN; SARS; IDENTIFICATION</t>
  </si>
  <si>
    <t xml:space="preserve">Despite a decline in mortality rates due to infectious disease in the 20th century, emerging and reemerging respiratory tract infections continue to present major challenges in diagnostic, treatment, prevention, and control strategies. Recent events have alerted the world to the dangers of viruses; pathogens can emerge and spread rapidly across continents, threatening global public health security. Several newly discovered viruses, including severe acute respiratory syndrome (SARS), Middle East respiratory syndrome (MERS), and human metapneumovirus (hMPV), have been identified to possess epidemic potential. Certain influenza strains and enterovirus D68 (EV-D68) are also of concern. Clinical management varies and may include supportive care and antivirals. Lessons learned from these potentially dangerous viruses provide us with the knowledge and expertise to rapidly identify and fight future outbreaks.</t>
  </si>
  <si>
    <t xml:space="preserve">[Ambizas, Emily M.; Etzel, Joseph V.] St Johns Univ, Coll Pharm &amp; Hlth Sci, Queens, NY USA; [Ambizas, Emily M.] Rite Aid Pharm, Whitestone, NY USA</t>
  </si>
  <si>
    <t xml:space="preserve">Saint John's University</t>
  </si>
  <si>
    <t xml:space="preserve">Ambizas, EM (corresponding author), St Johns Univ, Coll Pharm &amp; Hlth Sci, Queens, NY USA.</t>
  </si>
  <si>
    <t xml:space="preserve">JOBSON PUBLISHING LLC</t>
  </si>
  <si>
    <t xml:space="preserve">100 AVE OF THE AMERICAS, NEW YORK, NY 10013-1678 USA</t>
  </si>
  <si>
    <t xml:space="preserve">0148-4818</t>
  </si>
  <si>
    <t xml:space="preserve">2331-3501</t>
  </si>
  <si>
    <t xml:space="preserve">US PHARM</t>
  </si>
  <si>
    <t xml:space="preserve">US Pharm.</t>
  </si>
  <si>
    <t xml:space="preserve">DN0JF</t>
  </si>
  <si>
    <t xml:space="preserve">WOS:000376749500016</t>
  </si>
  <si>
    <t xml:space="preserve">Permpalung, N; Sait, AS; Bazemore, K; Avery, RK; Mathew, J; Shah, PD</t>
  </si>
  <si>
    <t xml:space="preserve">Permpalung, Nitipong; Sait, Afrah S.; Bazemore, Katrina; Avery, Robin K.; Mathew, Joby; Shah, Pali D.</t>
  </si>
  <si>
    <t xml:space="preserve">Human Metapneumovirus and Parainfluenza Virus Infections in Lung Transplant Recipients: The Effects on Lung Allograft and Clinical Outcomes</t>
  </si>
  <si>
    <t xml:space="preserve">Human metapneumovirus; Medicine; Internal medicine; Discontinuation</t>
  </si>
  <si>
    <t xml:space="preserve">RESPIRATORY VIRAL-INFECTIONS; BRONCHIOLITIS; MANAGEMENT; DIAGNOSIS</t>
  </si>
  <si>
    <t xml:space="preserve">Background. Human metapneumovirus (HMPVi) and parainfluenza virus (PIVi) infections are common community-acquired infections in lung transplant recipients (LTRs), but data are extremely limited. Methods. A retrospective study including all LTRs at the Johns Hopkins Hospital during July 2010-June 2019 with positive HMPV and PIV polymerase chain reaction respiratory specimens was performed. Results. Thirty-one HMPV- and 53 PIV-infected LTRs were identified. LTRs with HMPVi and PIVi had similar baseline characteristics, infection parameters, treatment allocation, and allograft function outcomes. Among entire cohort, 31.6% had chronic allograft dysfunction (CLAD) stage progression within 1 y postinfections (29.2% versus 35.5% for PIVi versus HMPVi, respectively, P = 0.56). In forced expiratory volume in 1 s percent (FEV1%) trajectory analysis showed steadily decline of FEV1 across time among CLAD stage progressors from both viruses. FEV1% decline &gt;= 10% at 90 d had adjusted hazard ratio for CLAD stage progression of 18.4 (4.98-67.76) and 4.6 (1.36-15.34) for PIVi and HMPVi, respectively. PIVi caused higher donor-specific antigen development (11.8% versus 3.2%, P = 0.18) and 1-y mortality (9.4% versus 0%, P = 0.11), compared with HMPVi, even though the results were not statistically significant. Ribavirin did not show protective effect, and mycophenolate discontinuation during infection did not increase risk of CLAD stage progression. Conclusions. One-third of HMPV- and PIV-infected LTRs developed CLAD stage progression within 1 y. The lack of early lung function recovery may predict long-term CLAD progression.</t>
  </si>
  <si>
    <t xml:space="preserve">[Permpalung, Nitipong; Sait, Afrah S.; Avery, Robin K.] Johns Hopkins Univ, Sch Med, Dept Med, Div Infect Dis, 601 N Wolfe St,Carnegie Bldg Room 340, Baltimore, MD 21205 USA; [Permpalung, Nitipong] Chulalongkorn Univ, Div Mycol, Dept Microbiol, Fac Med, Bangkok, Thailand; [Bazemore, Katrina; Mathew, Joby; Shah, Pali D.] Johns Hopkins Univ, Sch Med, Dept Med, Div Pulm &amp; Crit Care, Baltimore, MD 21205 USA</t>
  </si>
  <si>
    <t xml:space="preserve">Johns Hopkins University; Chulalongkorn University; Johns Hopkins University</t>
  </si>
  <si>
    <t xml:space="preserve">Permpalung, N (corresponding author), Johns Hopkins Univ, Sch Med, Dept Med, Div Infect Dis, 601 N Wolfe St,Carnegie Bldg Room 340, Baltimore, MD 21205 USA.</t>
  </si>
  <si>
    <t xml:space="preserve">npermpa1@jhmi.edu</t>
  </si>
  <si>
    <t xml:space="preserve">Permpalung, Nitipong/R-3686-2018</t>
  </si>
  <si>
    <t xml:space="preserve">Permpalung, Nitipong/0000-0002-0749-7342; Bazemore, Katrina/0000-0002-2006-623X</t>
  </si>
  <si>
    <t xml:space="preserve">Health Systems Research Institute (Thailand); Cystic Fibrosis Foundation; Aicuris; Astellas; Merck; Qiagen; Ansun Biopharma; National Institute of Health [HHSN268201800082P]; Takeda/Shire; Oxford Immunotec</t>
  </si>
  <si>
    <t xml:space="preserve">Health Systems Research Institute (Thailand); Cystic Fibrosis Foundation(Italian Cystic Fibrosis Research Foundation); Aicuris; Astellas(Astellas Pharmaceuticals); Merck(Merck &amp; Company); Qiagen; Ansun Biopharma; National Institute of Health(United States Department of Health &amp; Human ServicesNational Institutes of Health (NIH) - USA); Takeda/Shire; Oxford Immunotec</t>
  </si>
  <si>
    <t xml:space="preserve">N.P. served as a consultant for Alcimed and served on the Advisory Board for Shionogi Inc. N.P. has received research support from Health Systems Research Institute (Thailand) and Cystic Fibrosis Foundation. R.K.A. has received grant support from Aicuris, Astellas, Merck, Oxford Immunotec, Qiagen, and Takeda/Shire. P.D.S. has received grant support from Ansun Biopharma, Cystic Fibrosis Foundation and National Institute of Health (HHSN268201800082P). The other authors declare no conflicts of interest.</t>
  </si>
  <si>
    <t xml:space="preserve">10.1097/TP.0000000000003645</t>
  </si>
  <si>
    <t xml:space="preserve">XC3JZ</t>
  </si>
  <si>
    <t xml:space="preserve">WOS:000721914700043</t>
  </si>
  <si>
    <t xml:space="preserve">Shinoda, D; Tsukagoshi, H; Komuro, K; Yoshida, D; Yanaoka, T; Saito, M; Saruki, N</t>
  </si>
  <si>
    <t xml:space="preserve">Shinoda, Daisuke; Tsukagoshi, Hiroyuki; Komuro, Keiko; Yoshida, Daisuke; Yanaoka, Toshikazu; Saito, Mariko; Saruki, Nobuhiro</t>
  </si>
  <si>
    <t xml:space="preserve">Detection of Respiratory Viruses during the Early Phase of the Coronavirus Disease 2019 Pandemic in Ibaraki and Gunma Prefectures, Japan</t>
  </si>
  <si>
    <t xml:space="preserve">Human metapneumovirus; Rhinovirus; Virology; Coronavirus; Pandemic; Respiratory system; Virus; Outbreak</t>
  </si>
  <si>
    <t xml:space="preserve">HUMAN METAPNEUMOVIRUS; SYNCYTIAL VIRUS; EPIDEMIOLOGY; SYMPTOMS; CHILDREN</t>
  </si>
  <si>
    <t xml:space="preserve">Respiratory infections are common, and the most common causative agent is a virus. Therefore, routine surveillance of respiratory viruses is useful in the case of novel viral diseases such as coronavirus disease 2019 (COVID-19). In this study, to clarify the kind of virus involved in suspected cases of COVID-19 in the early stages of the pandemic, we attempted to detect various respiratory viruses in 613 specimens that tested negative for severe acute respiratory syndrome coronavirus 2 using reverse transcription polymerase chain reaction. As a result, viruses were detected in 59 (9.6%) patients. In addition, human rhinovirus (HRV), human metapneumovirus (HMPV), human respiratory syncytial virus, and human parechovirus were detected in 29, 25, 3, and 2 patients, respectively. Although this study was conducted over a short period of time and not all specimens were tested, these results indicate that various respiratory viruses, especially HRV and HMPV, can be detected even during the early stages of the COVID-19 pandemic. Because various respiratory viruses maintain a constant effect during the outbreak of the newly emerged pandemic, systematic surveillance of respiratory viruses is needed during the normal period to make good use for clinical and public health.</t>
  </si>
  <si>
    <t xml:space="preserve">[Shinoda, Daisuke; Tsukagoshi, Hiroyuki; Saito, Mariko; Saruki, Nobuhiro] Gunma Prefectural Inst Publ Hlth &amp; Environm Sci, Dept Hlth Sci, 378 Kamioki Machi, Maebashi, Gumma 3710052, Japan; [Komuro, Keiko; Yoshida, Daisuke; Yanaoka, Toshikazu] Ibaraki Prefectural Inst Publ Hlth, Dept Virol, Ibaraki, Japan</t>
  </si>
  <si>
    <t xml:space="preserve">Tsukagoshi, H (corresponding author), Gunma Prefectural Inst Publ Hlth &amp; Environm Sci, Dept Hlth Sci, 378 Kamioki Machi, Maebashi, Gumma 3710052, Japan.</t>
  </si>
  <si>
    <t xml:space="preserve">Japan Agency for Medical Research and Development (AMED) [21f1(0108084j0003)]</t>
  </si>
  <si>
    <t xml:space="preserve">Japan Agency for Medical Research and Development (AMED)(Japan Agency for Medical Research and Development (AMED))</t>
  </si>
  <si>
    <t xml:space="preserve">We thank the health workers and the people of Gunma and Ibaraki Prefectures for their cooperation and collaboration in specimen collection. This research was supported in part by the Japan Agency for Medical Research and Development (AMED) under grant number 21f1(0108084j0003.</t>
  </si>
  <si>
    <t xml:space="preserve">10.7883/yoken.JJID.2022.061</t>
  </si>
  <si>
    <t xml:space="preserve">6J7HZ</t>
  </si>
  <si>
    <t xml:space="preserve">WOS:000886993100015</t>
  </si>
  <si>
    <t xml:space="preserve">Farzi, R; Pirbonyeh, N; Kadivar, MR; Moattari, A</t>
  </si>
  <si>
    <t xml:space="preserve">Farzi, Rana; Pirbonyeh, Neda; Kadivar, Mohammad Rahim; Moattari, Afagh</t>
  </si>
  <si>
    <t xml:space="preserve">Prevalence of Influenza Viruses A and B, Adenovirus, Respiratory Syncytial Virus, and Human Metapneumonia Viruses among Children with Acute Respiratory Tract Infection</t>
  </si>
  <si>
    <t xml:space="preserve">ADVANCES IN VIROLOGY</t>
  </si>
  <si>
    <t xml:space="preserve">Human metapneumovirus; Medicine; Virology; Metapneumovirus; Virus; Respiratory system; Respiratory tract infections; Pneumonia</t>
  </si>
  <si>
    <t xml:space="preserve">HOSPITALIZED CHILDREN; VIRAL-INFECTIONS; ETIOLOGY; COINFECTIONS; SEASONALITY; PATHOGENS</t>
  </si>
  <si>
    <t xml:space="preserve">Background. Acute respiratory tract infection (ARTI) is a significant cause of morbidity and mortality among children worldwide. The majority of acute respiratory infections in children are caused by viruses, with respiratory syncytial virus (RSV) being the most frequently encountered. Other important viral pathogens include human metapneumovirus, human coronaviruses, adenovirus, and influenza. These infections can lead to complications such as bronchitis and pneumonia. So, this study aimed to evaluate the prevalence of influenza viruses A and B, adenovirus, respiratory syncytial virus (RSV), and human metapneumovirus (HMPV) in children with ARTI. Methods. The molecular diagnostic of polymerase chain reaction approach was used to detect influenza (A and B), metapneumovirus, respiratory syncytial virus (RSV), and adenovirus in respiratory samples of children with acute respiratory infection hospitalization in a teaching hospital of the Shiraz University of Medical Sciences in January 2016-March 2017. Results. Of the 340 patients examined, 208 (61.20%) were male and the median age was 3.13 +/- 2.38 years. Respiratory viruses were found in 179 (52.64%) patients. The male-to-female ratio was 1.63 : 1 in patients who were viral positive. Detection rates for influenza A, adenovirus, influenza B, RSV, and HMPV were 28.23%, 24.70%, 8.52%, 3.23%, and 2.64%, respectively, and coinfections were detected in 24.02%. The most common combination of two-virus coinfections was IFVA/AdV, followed by IFVB/AdV, AdV, IFVB/IFVA, RSV/IFVA, HMPV/AdV, RSV/AdV, and HMPV/IFVA. Conclusion. The high prevalence of respiratory viruses in children hospitalized with ARTI suggests that viral infection may play a role in disease pathogenesis. This should be confirmed through the conduct of case-control studies and may inform the role of vaccination to prevent respiratory viral infections.</t>
  </si>
  <si>
    <t xml:space="preserve">[Farzi, Rana; Pirbonyeh, Neda; Moattari, Afagh] Shiraz Univ Med Sci, Sch Med, Dept Bacteriol &amp; Virol, Shiraz, Iran; [Pirbonyeh, Neda] Shiraz Univ Med Sci, Burn &amp; Wound Healing Res Ctr, Microbiol Dept, Shiraz, Iran; [Kadivar, Mohammad Rahim] Shiraz Univ Med Sci, Sch Med, Dept Pediat, Shiraz, Iran; [Kadivar, Mohammad Rahim] Shiraz Med Univ, Namazi Hosp, Prof Alborzi Clin Microbiol Res Ctr, Shiraz, Iran</t>
  </si>
  <si>
    <t xml:space="preserve">Shiraz University of Medical Science; Shiraz University of Medical Science; Shiraz University of Medical Science; Shiraz University of Medical Science</t>
  </si>
  <si>
    <t xml:space="preserve">ranafarzi@gmail.com; p.pirbonyeh@yahoo.com; mohammadk@gmail.com; moattaria@sums.ac.ir</t>
  </si>
  <si>
    <t xml:space="preserve">1687-8639</t>
  </si>
  <si>
    <t xml:space="preserve">1687-8647</t>
  </si>
  <si>
    <t xml:space="preserve">ADV VIROL</t>
  </si>
  <si>
    <t xml:space="preserve">Adv. Virol.</t>
  </si>
  <si>
    <t xml:space="preserve">JAN 22</t>
  </si>
  <si>
    <t xml:space="preserve">10.1155/2024/7613948</t>
  </si>
  <si>
    <t xml:space="preserve">GW0Y3</t>
  </si>
  <si>
    <t xml:space="preserve">WOS:001155604100001</t>
  </si>
  <si>
    <t xml:space="preserve">Neu, N; Plaskett, T; Hutcheon, G; Murray, M; Southwick, KL; Saiman, L</t>
  </si>
  <si>
    <t xml:space="preserve">Neu, Natalie; Plaskett, Theresa; Hutcheon, Gordon; Murray, Meghan; Southwick, Karen L.; Saiman, Lisa</t>
  </si>
  <si>
    <t xml:space="preserve">Epidemiology of Human Metapneumovirus in a Pediatric Long-Term Care Facility</t>
  </si>
  <si>
    <t xml:space="preserve">INFECTION CONTROL AND HOSPITAL EPIDEMIOLOGY</t>
  </si>
  <si>
    <t xml:space="preserve">Human metapneumovirus; Medicine; Epidemiology; Odds ratio; Confidence interval; Outbreak; Retrospective cohort study</t>
  </si>
  <si>
    <t xml:space="preserve">RESPIRATORY-TRACT DISEASE; NEW-YORK-CITY; YOUNG-CHILDREN; INFECTION; OUTBREAK; VIRUS; H1N1</t>
  </si>
  <si>
    <t xml:space="preserve">BACKGROUND. Viral respiratory pathogens cause outbreaks in pediatric long-term care facilities (LTCFs), but few studies have used viral diagnostic testing to identify the causative pathogens. We describe the use of such testing during a prolonged period of respiratory illness and elucidate the epidemiology of human metapneumovirus (hMPV) at our LTCF. DESIGN. Retrospective study of influenza-like illness (ILI). SETTING. A 136-bed pediatric LTCF from January 1 through April 30, 2010. METHODS. The ILI case definition included fever, cough, change in oropharyngeal secretions, increase in oxygen requirement, and/or wheezing. RESULTS. During the study period, 69 episodes of ILI occurred in 61 (41%) of 150 residents. A viral pathogen was detected in 27 (39%) of the episodes, including respiratory syncytial virus (RSV) (n = 3), influenza A virus (not typed; n = 2), parainfluenza virus (n = 2), adenovirus (n = 1), and hMPV (n = 19). Twenty-seven of the residents with ILI (44%) required transfer to acute care hospitals (mean length of hospitalization, 12 days; range, 3-47 days). Residents with tracheostomies were more likely to have ILI (adjusted odds ratio [OR], 3.99 [95% confidence interval {CI}, 1.87-8.53]; P = .0004). The mortality rate for residents with ILI was 1.6%. Residents with hMPV were younger (P = .03), more likely to be transferred to an acute care facility (OR, 3.73 [95% CI, 1.17-11.95]; P = .02), and less likely to have a tracheostomy (adjusted OR, 0.19 [95% CI, 0.047-0.757]; P = .02). DISCUSSION. Diverse pathogens, most notably hMPV, caused ILI in our pediatric LTCF during a prolonged period of time. Viral testing was helpful in characterizing the epidemiology of ILI in this population. Infect Control Hosp Epidemiol 2012; 33(6): 545-550</t>
  </si>
  <si>
    <t xml:space="preserve">[Neu, Natalie; Murray, Meghan; Saiman, Lisa] Columbia Univ, Dept Pediat, New York, NY 10027 USA; [Neu, Natalie; Plaskett, Theresa; Hutcheon, Gordon] Elizabeth Seton Pediat Ctr, New York, NY USA; [Hutcheon, Gordon] New York Med Coll, Dept Pediat, Valhalla, NY 10595 USA; [Southwick, Karen L.] New York State Dept Hlth, New Rochelle, NY USA; [Saiman, Lisa] NewYork Presbyterian Hosp, Dept Infect Control &amp; Prevent, New York, NY USA</t>
  </si>
  <si>
    <t xml:space="preserve">Columbia University; New York Medical College; NewYork-Presbyterian Hospital</t>
  </si>
  <si>
    <t xml:space="preserve">Neu, N (corresponding author), 630 W 168th St,PH4-468, New York, NY 10032 USA.</t>
  </si>
  <si>
    <t xml:space="preserve">nn45@columbia.edu</t>
  </si>
  <si>
    <t xml:space="preserve">0899-823X</t>
  </si>
  <si>
    <t xml:space="preserve">INFECT CONT HOSP EP</t>
  </si>
  <si>
    <t xml:space="preserve">Infect. Control Hosp. Epidemiol.</t>
  </si>
  <si>
    <t xml:space="preserve">10.1086/665727</t>
  </si>
  <si>
    <t xml:space="preserve">937NX</t>
  </si>
  <si>
    <t xml:space="preserve">WOS:000303666300002</t>
  </si>
  <si>
    <t xml:space="preserve">Spires, SS; Talbot, HK; Pope, CA; Talbot, TR</t>
  </si>
  <si>
    <t xml:space="preserve">Spires, Steven Schaeffer; Talbot, H. Keipp; Pope, Carolyn A.; Talbot, Thomas R.</t>
  </si>
  <si>
    <t xml:space="preserve">Paramyxovirus Outbreak in a Long-Term Care Facility: The Challenges of Implementing Infection Control Practices in a Congregate Setting</t>
  </si>
  <si>
    <t xml:space="preserve">Medicine; Outbreak; Human metapneumovirus; Infection control; Population; Emergency medicine</t>
  </si>
  <si>
    <t xml:space="preserve">RESPIRATORY SYNCYTIAL VIRUS; HUMAN METAPNEUMOVIRUS INFECTION; TRACT INFECTION; NURSING-HOME; INFLUENZA; HOSPITALIZATIONS; EPIDEMIOLOGY; TRANSMISSION</t>
  </si>
  <si>
    <t xml:space="preserve">OBJECTIVE. We report an outbreak of respiratory syncytial virus (RSV) and human metapneumovirus (HMPV) infections in a dementia care ward containing 2 separately locked units (A and B) to heighten awareness of these pathogens in the older adult population and highlight some of the infection prevention challenges faced during a noninfluenza respiratory viral outbreak in a congregate setting. METHODS. Cases were defined by the presence of new signs or symptoms that included (1) a single oral temperature &gt;= 37.8 degrees C (100.0 degrees F) and (2) the presence of at least 2 of the following symptoms: cough, dyspnea, rhinorrhea, hoarseness, congestion, fatigue, and malaise. Attempted infection-control measures included cohorting patients and staff, empiric isolation precautions, and cessation of group activities. Available nasopharyngeal swab specimens were sent to the Tennessee Department of Health for identification by rT-PCR testing. RESULTS. We identified 30 of the 41 (73%) residents as cases over this 16-day outbreak. Due to high numbers of sick personnel, we were unable to cohort staff to 1 unit. Unit B developed its first case 8 days after infection control measures were implemented. Of the 14 cases with available specimens, 6 patients tested positive for RSV-B, 7 for HMPV and 1 patient test positive for influenza A. Overall, 15 cases (50%) required transfer to acute care facilities; 10 of these patients (34%) had chest x-ray confirmed pulmonary infiltrates; and 5 residents (17%) died. CONCLUSIONS. This case report highlights the importance of RSV and HMPV in causing substantial disease in the older adult population and highlights the challenges in preventing transmission of these viruses.</t>
  </si>
  <si>
    <t xml:space="preserve">[Spires, Steven Schaeffer; Talbot, H. Keipp; Talbot, Thomas R.] Vanderbilt Univ, Sch Med, Dept Med, Nashville, TN 37212 USA; [Talbot, Thomas R.] Vanderbilt Univ, Sch Med, Dept Hlth Policy, Nashville, TN 37212 USA; [Pope, Carolyn A.] Vet Affairs, Tennessee Valley Healthcare Adm, Div Nursing, Nashville, TN USA</t>
  </si>
  <si>
    <t xml:space="preserve">Vanderbilt University; Vanderbilt University; US Department of Veterans Affairs; Veterans Health Administration (VHA); VA Tennessee Valley Healthcare System</t>
  </si>
  <si>
    <t xml:space="preserve">Spires, SS (corresponding author), Vanderbilt Univ, Sch Med, Div Infect Dis, A2200 MCN,1161 21St Ave South, Nashville, TN 37232 USA.</t>
  </si>
  <si>
    <t xml:space="preserve">steven.s.spires@vanderbilt.edu</t>
  </si>
  <si>
    <t xml:space="preserve">Talbot, Helen/KLY-2181-2024; Talbot, Thomas/JKI-2526-2023</t>
  </si>
  <si>
    <t xml:space="preserve">Talbot, Thomas/0000-0002-6139-212X; Talbot, H. Keipp/0000-0003-0141-1760</t>
  </si>
  <si>
    <t xml:space="preserve">1559-6834</t>
  </si>
  <si>
    <t xml:space="preserve">10.1017/ice.2016.316</t>
  </si>
  <si>
    <t xml:space="preserve">EP4LP</t>
  </si>
  <si>
    <t xml:space="preserve">WOS:000397352300003</t>
  </si>
  <si>
    <t xml:space="preserve">Cai, H; Zhang, Y; Ma, YM; Sun, J; Liang, XY; Li, JR</t>
  </si>
  <si>
    <t xml:space="preserve">Cai, Hui; Zhang, Yu; Ma, Yuanmei; Sun, Jing; Liang, Xueya; Li, Jianrong</t>
  </si>
  <si>
    <t xml:space="preserve">Zinc Binding Activity of Human Metapneumovirus M2-1 Protein Is Indispensable for Viral Replication and Pathogenesis In Vivo</t>
  </si>
  <si>
    <t xml:space="preserve">Human metapneumovirus; Biology; Zinc finger; Metapneumovirus</t>
  </si>
  <si>
    <t xml:space="preserve">RESPIRATORY SYNCYTIAL VIRUS; TRANSCRIPTION ELONGATION-FACTOR; V-PROTEIN; CYS(3)-HIS(1) MOTIF; REVERSE-GENETICS; MESSENGER-RNA; TRACT DISEASE; COTTON RATS; CLONED CDNA; VACCINE</t>
  </si>
  <si>
    <t xml:space="preserve">Human metapneumovirus (hMPV) is a member of the Pneumovirinae subfamily in the Paramyxoviridae family that causes respiratory tract infections in humans. Unlike members of the Paramyxovirinae subfamily, the polymerase complex of pneumoviruses requires an additional cofactor, the M2-1 protein, which functions as a transcriptional antitermination factor. The M2-1 protein was found to incorporate zinc ions, although the specific role(s) of the zinc binding activity in viral replication and pathogenesis remains unknown. In this study, we found that the third cysteine (C21) and the last histidine (H25) in the zinc binding motif (CCCH) of hMPV M2-1 were essential for zinc binding activity, whereas the first two cysteines (C7 and C15) play only minor or redundant roles in zinc binding. In addition, the zinc binding motif is essential for the oligomerization of M2-1. Subsequently, recombinant hMPVs (rhMPVs) carrying mutations in the zinc binding motif were recovered. Interestingly, rhMPV-C21S and -H25L mutants, which lacked zinc binding activity, had delayed replication in cell culture and were highly attenuated in cotton rats. In contrast, rhMPV-C7S and -C15S strains, which retained 60% of the zinc binding activity, replicated as efficiently as rhMPV in cotton rats. Importantly, rhMPVs that lacked zinc binding activity triggered high levels of neutralizing antibody and provided complete protection against challenge with rhMPV. Taken together, these results demonstrate that zinc binding activity is indispensable for viral replication and pathogenesis in vivo. These results also suggest that inhibition of zinc binding activity may serve as a novel approach to rationally attenuate hMPV and perhaps other pneumoviruses for vaccine purposes.</t>
  </si>
  <si>
    <t xml:space="preserve">[Cai, Hui; Zhang, Yu; Ma, Yuanmei; Sun, Jing; Liang, Xueya; Li, Jianrong] Ohio State Univ, Coll Vet Med, Dept Vet Biosci, Columbus, OH 43210 USA</t>
  </si>
  <si>
    <t xml:space="preserve">Ma, Yuanmei/O-2720-2015; Li, Jianrong/E-3510-2011</t>
  </si>
  <si>
    <t xml:space="preserve">Sun, Jing/0000-0002-3400-1920</t>
  </si>
  <si>
    <t xml:space="preserve">NIAID NIH HHS [R56 AI090060, R01 AI090060, R01AI090060] Funding Source: Medline</t>
  </si>
  <si>
    <t xml:space="preserve">10.1128/JVI.03488-14</t>
  </si>
  <si>
    <t xml:space="preserve">CI3OU</t>
  </si>
  <si>
    <t xml:space="preserve">WOS:000354657900021</t>
  </si>
  <si>
    <t xml:space="preserve">Litwin, CM; Bosley, JG</t>
  </si>
  <si>
    <t xml:space="preserve">Litwin, Christine M.; Bosley, James G.</t>
  </si>
  <si>
    <t xml:space="preserve">Seasonality and prevalence of respiratory pathogens detected by multiplex PCR at a tertiary care medical center</t>
  </si>
  <si>
    <t xml:space="preserve">Human metapneumovirus; Respiratory tract infections; Multiplex polymerase chain reaction; Medical microbiology; Incidence (geometry)</t>
  </si>
  <si>
    <t xml:space="preserve">HUMAN METAPNEUMOVIRUS INFECTION; REVERSE TRANSCRIPTION-PCR; SYNCYTIAL VIRUS; PARAINFLUENZA VIRUSES; CHILDREN; ADULTS; BRONCHIOLITIS; SYSTEM; CHINA; TIME</t>
  </si>
  <si>
    <t xml:space="preserve">Respiratory tract infections (RTIs) are a leading cause of mortality and morbidity. Seasonality has been reported for many viruses, including influenza virus, respiratory syncytial virus (RSV), and the recently described human metapneumovirus (hMPV). We hypothesize that the availability of rapid, multiplex PCR diagnostics will provide better clinical care and new insights into the etiology and clinical spectrum of RTIs. We conducted a retrospective analysis of the incidence of respiratory pathogens at a 500-bed adult and 154-bed pediatric hospital tertiary care center. A total of 939 specimens from patients with an age range of 5 days to 91 years (median, 2 years) were tested by a multiplex respiratory pathogen PCR from November 14, 2011 to November 13, 2012. Sixty-five percent of specimens were positive for at least one pathogen. As the age of the patient increased, the positivity rate for the PCR decreased proportionately. Rhinoviruses/enteroviruses (Rhino/Entero) were the most prevalent (34.3 %) followed by RSV (19.2 %) and hMPV (6.2 %). Twelve percent of the positive samples were positive for multiple analytes, with Rhino/Entero and RSV being the most common combination. The peak months were September and May for Rhino/Entero infections, January for RSV and February for coronavirus. hMPV peaked 2 months after RSV, as has been observed recently in other studies. Multiplex PCR provides rapid diagnostic information that can be used to make knowledgeable clinical decisions and potentially reduce the use of antibiotics. Active respiratory PCR surveillance could also predict seasonal respiratory epidemics to allow for adequate planning of additional infection control measures.</t>
  </si>
  <si>
    <t xml:space="preserve">[Litwin, Christine M.; Bosley, James G.] Georgia Regents Univ, Dept Pathol, Med Coll Georgia, Augusta, GA 30912 USA</t>
  </si>
  <si>
    <t xml:space="preserve">University System of Georgia; Augusta University</t>
  </si>
  <si>
    <t xml:space="preserve">Litwin, CM (corresponding author), Georgia Regents Univ, Dept Pathol, Med Coll Georgia, 1120 15th St, Augusta, GA 30912 USA.</t>
  </si>
  <si>
    <t xml:space="preserve">clitwin@gru.edu</t>
  </si>
  <si>
    <t xml:space="preserve">Department of Pathology, Medical College of Georgia, Georgia Regents University, Augusta, Georgia</t>
  </si>
  <si>
    <t xml:space="preserve">This study was supported by the Department of Pathology, Medical College of Georgia, Georgia Regents University, Augusta, Georgia.</t>
  </si>
  <si>
    <t xml:space="preserve">10.1007/s00705-013-1794-4</t>
  </si>
  <si>
    <t xml:space="preserve">302EN</t>
  </si>
  <si>
    <t xml:space="preserve">WOS:000330584800006</t>
  </si>
  <si>
    <t xml:space="preserve">Gaunt, ER; Jansen, RR; Poovorawan, Y; Templeton, KE; Toms, GL; Simmonds, P</t>
  </si>
  <si>
    <t xml:space="preserve">Gaunt, Eleanor R.; Jansen, Rogier R.; Poovorawan, Yong; Templeton, Kate E.; Toms, Geoffrey L.; Simmonds, Peter</t>
  </si>
  <si>
    <t xml:space="preserve">Molecular Epidemiology and Evolution of Human Respiratory Syncytial Virus and Human Metapneumovirus</t>
  </si>
  <si>
    <t xml:space="preserve">Human metapneumovirus; Biology; Virology; Virus; Metapneumovirus; GenBank; Clade</t>
  </si>
  <si>
    <t xml:space="preserve">ATTACHMENT G PROTEIN; G-GLYCOPROTEIN; SUBGROUP-A; GENETIC DIVERSITY; CLINICAL-MANIFESTATIONS; STRAIN VARIATION; NEUTRALIZING EPITOPES; ANTIGENIC RELATEDNESS; CIRCULATION PATTERNS; NUCLEOTIDE-SEQUENCE</t>
  </si>
  <si>
    <t xml:space="preserve">Human respiratory syncytial virus (HRSV) and human metapneumovirus (HMPV) are ubiquitous respiratory pathogens of the Pneumovirinae subfamily of the Paramyxoviridae. Two major surface antigens are expressed by both viruses; the highly conserved fusion (F) protein, and the extremely diverse attachment (G) glycoprotein. Both viruses comprise two genetic groups, A and B. Circulation frequencies of the two genetic groups fluctuate for both viruses, giving rise to frequently observed switching of the predominantly circulating group. Nucleotide sequence data for the F and G gene regions of HRSV and HMPV variants from the UK, the Netherlands, Bangkok and data available from Genbank were used to identify clades of both viruses. Several contemporary circulating clades of HRSV and HMPV were identified by phylogenetic reconstructions. The molecular epidemiology and evolutionary dynamics of clades were modelled in parallel. Times of origin were determined and positively selected sites were identified. Sustained circulation of contemporary clades of both viruses for decades and their global dissemination demonstrated that switching of the predominant genetic group did not arise through the emergence of novel lineages each respiratory season, but through the fluctuating circulation frequencies of pre-existing lineages which undergo proliferative and eclipse phases. An abundance of sites were identified as positively selected within the G protein but not the F protein of both viruses. For HRSV, these were discordant with previously identified residues under selection, suggesting the virus can evade immune responses by generating diversity at multiple sites within linear epitopes. For both viruses, different sites were identified as positively selected between genetic groups.</t>
  </si>
  <si>
    <t xml:space="preserve">[Gaunt, Eleanor R.; Simmonds, Peter] Univ Edinburgh, Ctr Infect Dis, Edinburgh, Midlothian, Scotland; [Jansen, Rogier R.] Univ Amsterdam, Acad Med Ctr, Dept Med Microbiol, NL-1105 AZ Amsterdam, Netherlands; [Poovorawan, Yong] Chulalongkorn Univ, Ctr Excellence Clin Virol, Bangkok, Thailand; [Toms, Geoffrey L.] Newcastle Univ, Inst Cellular Med, Newcastle Upon Tyne NE1 7RU, Tyne &amp; Wear, England; [Templeton, Kate E.] Royal Infirm Edinburgh NHS Trust, Specialist Virol Ctr, Edinburgh, Midlothian, Scotland</t>
  </si>
  <si>
    <t xml:space="preserve">University of Edinburgh; University of Amsterdam; Academic Medical Center Amsterdam; Chulalongkorn University; Newcastle University - UK; Royal Infirmary of Edinburgh; University of Edinburgh</t>
  </si>
  <si>
    <t xml:space="preserve">Gaunt, ER (corresponding author), Univ Edinburgh, Ctr Infect Dis, Edinburgh, Midlothian, Scotland.</t>
  </si>
  <si>
    <t xml:space="preserve">e.gaunt@sms.ed.ac.uk</t>
  </si>
  <si>
    <t xml:space="preserve">ภู่วรวรรณ, ศนพ.ยง/GZK-8615-2022; Simmonds, Peter/ACG-0918-2022</t>
  </si>
  <si>
    <t xml:space="preserve">Simmonds, Peter/0000-0002-7964-4700; Gaunt, Eleanor/0000-0002-4473-6373; Templeton, Kate/0000-0001-7414-1277; Poovorawan, Yong/0000-0002-2337-6807</t>
  </si>
  <si>
    <t xml:space="preserve">BBSRC; Thailand Research Fund; Commission on Higher Education, King Chulalongkorn Memorial Hospital; Center of Excellence in Clinical Virology; Chulalongkorn University</t>
  </si>
  <si>
    <t xml:space="preserve">BBSRC(UK Research &amp; Innovation (UKRI)Biotechnology and Biological Sciences Research Council (BBSRC)); Thailand Research Fund(Thailand Research Fund (TRF)); Commission on Higher Education, King Chulalongkorn Memorial Hospital(Office of Higher Education Commission (OHEC)); Center of Excellence in Clinical Virology; Chulalongkorn University(Chulalongkorn University)</t>
  </si>
  <si>
    <t xml:space="preserve">This research was supported by a studentship awarded to E.G. by the BBSRC, the Thailand Research Fund, the Commission on Higher Education, King Chulalongkorn Memorial Hospital, the Center of Excellence in Clinical Virology and CU Centenary Academic Development Project, Chulalongkorn University. The funders had no role in study design, data collection and analysis, decision to publish, or preparation of the manuscript.</t>
  </si>
  <si>
    <t xml:space="preserve">e17427</t>
  </si>
  <si>
    <t xml:space="preserve">10.1371/journal.pone.0017427</t>
  </si>
  <si>
    <t xml:space="preserve">729ET</t>
  </si>
  <si>
    <t xml:space="preserve">WOS:000287932100016</t>
  </si>
  <si>
    <t xml:space="preserve">Lee, YZ; Han, J; Zhang, YN; Ward, G; Gomes, KB; Auclair, S; Stanfield, RL; He, LL; Wilson, IA; Zhu, J</t>
  </si>
  <si>
    <t xml:space="preserve">Lee, Yi-Zong; Han, Jerome; Zhang, Yi-Nan; Ward, Garrett; Gomes, Keegan Braz; Auclair, Sarah; Stanfield, Robyn L.; He, Linling; Wilson, Ian A.; Zhu, Jiang</t>
  </si>
  <si>
    <t xml:space="preserve">Rational design of uncleaved prefusion-closed trimer vaccines for human respiratory syncytial virus and metapneumovirus</t>
  </si>
  <si>
    <t xml:space="preserve">Human metapneumovirus; Virology; Metapneumovirus; Virus</t>
  </si>
  <si>
    <t xml:space="preserve">FUSION-GLYCOPROTEIN VACCINE; YOUNG-CHILDREN; NEUTRALIZING ANTIBODIES; DISEASE SEVERITY; PROTEIN VACCINE; SEX-DIFFERENCES; UNITED-STATES; POSTFUSION F; RISK-FACTORS; INFECTIONS</t>
  </si>
  <si>
    <t xml:space="preserve">Respiratory syncytial virus (RSV) and human metapneumovirus (hMPV) cause human respiratory diseases and are major targets for vaccine development. In this study, we design uncleaved prefusion-closed (UFC) trimers for the fusion protein (F) of both viruses by examining mutations critical to F metastability. For RSV, we assess four previous prefusion F designs, including the first and second generations of DS-Cav1, SC-TM, and 847A. We then identify key mutations that can maintain prefusion F in a native-like, closed trimeric form (up to 76%) without introducing any interprotomer disulfide bond. For hMPV, we develop a stable UFC trimer with a truncated F2-F1 linkage and an interprotomer disulfide bond. Dozens of UFC constructs are characterized by negative-stain electron microscopy (nsEM), x-ray crystallography (11 RSV-F structures and one hMPV-F structure), and antigenic profiling. Using an optimized RSV-F UFC trimer as bait, we identify three potent RSV neutralizing antibodies (NAbs) from a phage-displayed human antibody library, with a public NAb lineage targeting sites &amp; Oslash; and V and two cross-pneumovirus NAbs recognizing site III. In mouse immunization, rationally designed RSV-F and hMPV-F UFC trimers induce robust antibody responses with high neutralizing titers. Our study provides a foundation for future prefusion F-based RSV and hMPV vaccine development. RSV and hMPV infections pose significant health risks in vulnerable populations. Here, the authors used a systematic approach to identify mutations critical for fusion protein metastability and rationally design uncleaved prefusion-closed trimers for RSV and hMPV F proteins that induce robust antibody responses in vivo.</t>
  </si>
  <si>
    <t xml:space="preserve">[Lee, Yi-Zong; Han, Jerome; Zhang, Yi-Nan; Ward, Garrett; Auclair, Sarah; Stanfield, Robyn L.; He, Linling; Wilson, Ian A.; Zhu, Jiang] Scripps Res Inst, Dept Integrat Struct &amp; Computat Biol, La Jolla, CA 92037 USA; [Gomes, Keegan Braz; Zhu, Jiang] Uvax Bio LLC, Newark, DE 19702 USA; [Wilson, Ian A.] Scripps Res Inst, Skaggs Inst Chem Biol, La Jolla, CA 92037 USA; [Zhu, Jiang] Scripps Res Inst, Dept Immunol &amp; Microbiol, La Jolla, CA 92037 USA</t>
  </si>
  <si>
    <t xml:space="preserve">Scripps Research Institute; Scripps Research Institute; Scripps Research Institute</t>
  </si>
  <si>
    <t xml:space="preserve">Zhu, J (corresponding author), Scripps Res Inst, Dept Integrat Struct &amp; Computat Biol, La Jolla, CA 92037 USA.;Zhu, J (corresponding author), Uvax Bio LLC, Newark, DE 19702 USA.;Zhu, J (corresponding author), Scripps Res Inst, Dept Immunol &amp; Microbiol, La Jolla, CA 92037 USA.</t>
  </si>
  <si>
    <t xml:space="preserve">jiang@scripps.edu</t>
  </si>
  <si>
    <t xml:space="preserve">U.S. Department of Energy, Office of Science, Office of Basic Energy Sciences [DE-AC02-76SF00515]; Department of Energy (DOE) Office of Biological and Environmental Research; National Institutes of Health, National Institute of General Medical Sciences [P30GM133894, Ufovax/SFP-2018-1013]</t>
  </si>
  <si>
    <t xml:space="preserve">U.S. Department of Energy, Office of Science, Office of Basic Energy Sciences(United States Department of Energy (DOE)); Department of Energy (DOE) Office of Biological and Environmental Research(United States Department of Energy (DOE)); National Institutes of Health, National Institute of General Medical Sciences(United States Department of Health &amp; Human ServicesNational Institutes of Health (NIH) - USANIH National Institute of General Medical Sciences (NIGMS))</t>
  </si>
  <si>
    <t xml:space="preserve">Diffraction data were collected at the Stanford Synchrotron Radiation Lightsource (SSRL) beamlines 12-1 and 12-2. Use of the SSRL and Stanford Linear Accelerator Center (SLAC) National Accelerator Laboratory is supported by the U.S. Department of Energy, Office of Science, Office of Basic Energy Sciences under Contract No. DE-AC02-76SF00515. The SSRL Structural Molecular Biology Program is supported by the Department of Energy (DOE) Office of Biological and Environmental Research, and by the National Institutes of Health, National Institute of General Medical Sciences (P30GM133894). We thank V. Tong and M. Arends for proofreading the manuscript. This work was supported by Ufovax/SFP-2018-1013 (J.Z.).</t>
  </si>
  <si>
    <t xml:space="preserve">10.1038/s41467-024-54287-x</t>
  </si>
  <si>
    <t xml:space="preserve">M2C3J</t>
  </si>
  <si>
    <t xml:space="preserve">WOS:001355664400013</t>
  </si>
  <si>
    <t xml:space="preserve">Thomazelli, LM; Vieira, S; Leal, AL; Sousa, TS; Oliveira, DBL; Golono, MA; Gillio, AE; Stwienr, KE; Erdman, DD; Durigon, EL</t>
  </si>
  <si>
    <t xml:space="preserve">Thomazelli, Luciano M.; Vieira, Sandra; Leal, Andrea L.; Sousa, Thereza S.; Oliveira, Daniele B. L.; Golono, Miguel A.; Gillio, Alfredo E.; Stwienr, Klaus E.; Erdman, Dean D.; Durigon, Edison L.</t>
  </si>
  <si>
    <t xml:space="preserve">Surveillance of eight respiratory viruses in clinical samples of pediatric patients in southeast Brazil</t>
  </si>
  <si>
    <t xml:space="preserve">REVERSE TRANSCRIPTION-PCR; POLYMERASE-CHAIN-REACTION; HUMAN METAPNEUMOVIRUS; SYNCYTIAL VIRUS; TRACT INFECTIONS; PARAINFLUENZA VIRUS; CHILDREN; YOUNG; ASSAY; IDENTIFICATION</t>
  </si>
  <si>
    <t xml:space="preserve">Objective: Detection of the eight most common respiratory viruses: human respiratory syncytial virus (HRSV), influenza virus A and B (IA and IB), parainfluenza viruses 1, 2 and 3 (HPIV1, 2 and 3), adenovirus (Ad) and human metapneumovirus (HMPV), in order to establish the etiology of acute respiratory infections (ARIs) and the epidemiology of these viruses in young children seen at Hospital Universitario, Universidade de S (a) over tildeo Paulo, in S (a) over tildeo Paulo, Brazil, during 2003. Methods: The epidemiological surveillance was conducted in all children younger than 5 years hospitalized at the Hospital for lower respiratory tract infections (LRTI) from January 1, 2003 to December 30, 2003. Nasal and throat samples were scanned for respiratory viruses by polymerase chain reaction and detected by the GeneScan assay. Results: Of 336 samples collected from 336 patients, 187 (55.6%) were positive for at least one of the respiratory viruses studied. Of all the children, HRSV was identified in 24.1%, HMPV in 17.8%, HPIV3 in 8.3%, Ad in 6.8%, IA in 5%, HPIV1 in 0.6%, but no virus could be detected in 44.1%. Dual virus infections were detected in 7.1% of all samples (12.8% of positive samples). HPIV2 and IB were not detected in the present study. Conclusions: This study confirms that children younger than 5 years and particularly younger than 1 year have a high hospitalization rate due to HRSV, HMPV, HPIV, influenza and adenovirus. We were able to determine the etiology and epidemiology of most ARIs and trace the seasonal profile of the commonest respiratory viruses among young children.</t>
  </si>
  <si>
    <t xml:space="preserve">[Thomazelli, Luciano M.; Leal, Andrea L.; Sousa, Thereza S.; Oliveira, Daniele B. L.; Golono, Miguel A.; Stwienr, Klaus E.; Durigon, Edison L.] Univ Sao Paulo, Inst Ciencias Biomed, BR-09500900 Sao Paulo, Brazil; [Thomazelli, Luciano M.] Univ Sao Paulo, Sao Paulo, SP, Brazil; [Vieira, Sandra; Gillio, Alfredo E.] Univ Sao Paulo, Univ Hosp, BR-09500900 Sao Paulo, Brazil; [Vieira, Sandra] Univ Sao Paulo, Fac Med, Dept Pediat, BR-09500900 Sao Paulo, Brazil; [Leal, Andrea L.; Oliveira, Daniele B. L.; Golono, Miguel A.; Durigon, Edison L.] Univ Sao Paulo, BR-09500900 Sao Paulo, Brazil; [Sousa, Thereza S.] Univ Sao Camillo, Sao Camilo, SP, Brazil; [Gillio, Alfredo E.; Stwienr, Klaus E.] Univ Sao Paulo, Fac Med, BR-09500900 Sao Paulo, SP, Brazil; [Erdman, Dean D.] Univ Georgia, Atlanta, GA USA; [Erdman, Dean D.] Ctr Dis Control &amp; Prevent, Atlanta, GA USA</t>
  </si>
  <si>
    <t xml:space="preserve">Universidade de Sao Paulo; Universidade de Sao Paulo; Universidade de Sao Paulo; Universidade de Sao Paulo; Universidade Federal de Sao Paulo (UNIFESP); Universidade de Sao Paulo; Centro Universitario Sao Camilo; Universidade de Sao Paulo; University System of Georgia; University of Georgia; Centers for Disease Control &amp; Prevention - USA</t>
  </si>
  <si>
    <t xml:space="preserve">Thomazelli, LM (corresponding author), Virol Lab, Av Professor Lineu Prestes,1374,ICB2, Sao Paulo, Brazil.</t>
  </si>
  <si>
    <t xml:space="preserve">lucmt@usp.br</t>
  </si>
  <si>
    <t xml:space="preserve">Gilio, Alfredo/J-4229-2014; vieira, sandra/I-9456-2012; Oliveira, Daniele/JJE-5999-2023; Thomazelli, Luciano Matsumiya/Q-6119-2017</t>
  </si>
  <si>
    <t xml:space="preserve">Oliveira, Danielle/0000-0002-0534-0886; Durigon, Edison/0000-0003-4898-6553; Thomazelli, Luciano Matsumiya/0000-0002-9157-6122</t>
  </si>
  <si>
    <t xml:space="preserve">10.1590/S0021-75572007000600005</t>
  </si>
  <si>
    <t xml:space="preserve">281OG</t>
  </si>
  <si>
    <t xml:space="preserve">WOS:000254506600005</t>
  </si>
  <si>
    <t xml:space="preserve">Kim, JI; Park, S; Lee, I; Park, KS; Kwak, EJ; Moon, KM; Lee, CK; Bae, JY; Park, MS; Song, KJ</t>
  </si>
  <si>
    <t xml:space="preserve">Kim, Jin Il; Park, Sehee; Lee, Ilseob; Park, Kwang Sook; Kwak, Eun Jung; Moon, Kwang Mee; Lee, Chang Kyu; Bae, Joon-Yong; Park, Man-Seong; Song, Ki-Joon</t>
  </si>
  <si>
    <t xml:space="preserve">Genome-Wide Analysis of Human Metapneumovirus Evolution</t>
  </si>
  <si>
    <t xml:space="preserve">Human metapneumovirus; Biology; Phylogenetic tree; Genome; Genetics; Molecular evolution; Metapneumovirus; Evolutionary biology; Genetic diversity; Phylogenetics</t>
  </si>
  <si>
    <t xml:space="preserve">AVIAN METAPNEUMOVIRUS; GENETIC-VARIABILITY; YOUNG-CHILDREN; RNA VIRUSES; INFECTION; SEQUENCE; RECOMBINATION; CIRCULATION; PREVALENCE; DIVERSITY</t>
  </si>
  <si>
    <t xml:space="preserve">Human metapneumovirus (HMPV) has been described as an important etiologic agent of upper and lower respiratory tract infections, especially in young children and the elderly. Most of school-aged children might be introduced to HMPVs, and exacerbation with other viral or bacterial super-infection is common. However, our understanding of the molecular evolution of HMPVs remains limited. To address the comprehensive evolutionary dynamics of HMPVs, we report a genome-wide analysis of the eight genes (N, P, M, F, M2, SH, G, and L) using 103 complete genome sequences. Phylogenetic reconstruction revealed that the eight genes from one HMPV strain grouped into the same genetic group among the five distinct lineages (A1, A2a, A2b, B1, and B2). A few exceptions of phylogenetic incongruence might suggest past recombination events, and we detected possible recombination breakpoints in the F, SH, and G coding regions. The five genetic lineages of HMPVs shared quite remote common ancestors ranging more than 220 to 470 years of age with the most recent origins for the A2b sublineage. Purifying selection was common, but most protein genes except the F and M2-2 coding regions also appeared to experience episodic diversifying selection. Taken together, these suggest that the five lineages of HMPVs maintain their individual evolutionary dynamics and that recombination and selection forces might work on shaping the genetic diversity of HMPVs.</t>
  </si>
  <si>
    <t xml:space="preserve">[Kim, Jin Il; Park, Sehee; Lee, Ilseob; Park, Kwang Sook; Kwak, Eun Jung; Moon, Kwang Mee; Bae, Joon-Yong; Park, Man-Seong; Song, Ki-Joon] Korea Univ, Dept Microbiol, Inst Viral Dis, Seoul 136705, South Korea; [Kim, Jin Il; Park, Sehee; Lee, Ilseob; Park, Kwang Sook; Kwak, Eun Jung; Moon, Kwang Mee; Bae, Joon-Yong; Park, Man-Seong; Song, Ki-Joon] Korea Univ, Coll Med, Korea Bank Pathogen Viruses, Seoul 136705, South Korea; [Lee, Chang Kyu] Korea Univ, Coll Med, Dept Lab Med, Seoul 136705, South Korea</t>
  </si>
  <si>
    <t xml:space="preserve">Song, KJ (corresponding author), Korea Univ, Dept Microbiol, Inst Viral Dis, Seoul 136705, South Korea.;Song, KJ (corresponding author), Korea Univ, Coll Med, Korea Bank Pathogen Viruses, Seoul 136705, South Korea.</t>
  </si>
  <si>
    <t xml:space="preserve">songmicr@korea.ac.kr</t>
  </si>
  <si>
    <t xml:space="preserve">Park, Man-Seong/AAF-1207-2020; Kim, Jin Il/JWP-3629-2024</t>
  </si>
  <si>
    <t xml:space="preserve">Bae, Joon-Yong/0000-0002-2483-4208; Kim, Jin Il/0000-0001-8833-2138</t>
  </si>
  <si>
    <t xml:space="preserve">Bio &amp; Medical Technology Development Program of the NRF - Korean government, MSIP [NRF-2010-0004691]; [PRJNA73051]; [PRJNA237298]</t>
  </si>
  <si>
    <t xml:space="preserve">Bio &amp; Medical Technology Development Program of the NRF - Korean government, MSIP; ;</t>
  </si>
  <si>
    <t xml:space="preserve">This research was supported by the Bio &amp; Medical Technology Development Program of the NRF (http://www.nrf.re.kr/nrf_tot_cms/index.jsp?pmi=sso-return2=none) funded by the Korean government, MSIP (NRF-2010-0004691). The funders had no role in study design, data collection and analysis, decision to publish, or preparation of the manuscript.We would like to thank Dr. Mortimer Poncz (University of Pennsylvania, Department of Pediatrics and Children's Hospital of Philadelphia, PA, USA) for comments on the manuscript. We also would like to thank Dr. John V. Williams and his colleagues for their contribution to providing abundant amount of HMPV complete genome sequences through BioProject PRJNA73051 and to thank Dr. David E. Wentworth and his colleagues for their contribution through BioProject PRJNA237298.</t>
  </si>
  <si>
    <t xml:space="preserve">APR 5</t>
  </si>
  <si>
    <t xml:space="preserve">e0152962</t>
  </si>
  <si>
    <t xml:space="preserve">10.1371/journal.pone.0152962</t>
  </si>
  <si>
    <t xml:space="preserve">DI6HK</t>
  </si>
  <si>
    <t xml:space="preserve">WOS:000373599600052</t>
  </si>
  <si>
    <t xml:space="preserve">Pham, QN; Biacchesi, S; Skiadopoulos, MH; Murphy, BR; Collins, PL; Buchholz, UJ</t>
  </si>
  <si>
    <t xml:space="preserve">Chimeric recombinant human metapneumoviruses with the nucleoprotein or phosphoprotein open reading frame replaced by that of avian metapneumovirus exhibit improved growth in vitro and attenuation in vivo</t>
  </si>
  <si>
    <t xml:space="preserve">Biology; Human metapneumovirus; Virology; Metapneumovirus; Immunogenicity; Chimera (genetics); Titer; Vero cell</t>
  </si>
  <si>
    <t xml:space="preserve">RESPIRATORY SYNCYTIAL VIRUS; VACCINE CANDIDATES; GLYCOPROTEIN GENE; TRACT DISEASE; HOST-RANGE; BOVINE; REPLICATION; PROTEIN; TYPE-3; CHILDREN</t>
  </si>
  <si>
    <t xml:space="preserve">Chimeric versions of recombinant human metapneumovirus (HMPV) were generated by replacing the nucleoprotein (N) or phosphoprotein (P) open reading frame with its counterpart from the closely related avian metapneumovirus (AMPV) subgroup C. In Vero cells, AMPV replicated to an approximately 100-fold-higher titer than HMPV. Surprisingly, the N and P chimeric viruses replicated to a peak titer that was 11- and 25-fold higher, respectively, than that of parental HMPV. The basis for this effect is not known but was not due to obvious changes in the efficiency of gene expression. AMPV and the N and P chimeras were evaluated for replication, immunogenicity, and protective efficacy in hamsters. AMPV was attenuated compared to HMPV in this mammalian host on day 5 postinfection, but not on day 3, and only in the nasal turbinates. In contrast, the N and P chimeras were reduced approximately 100-fold in both the upper and lower respiratory tract on day 3 postinfection, although there was little difference by day 5. The N and P chimeras induced a high level of neutralizing serum antibodies and protective efficacy against HMPV; AMPV was only weakly immunogenic and protective against HMPV challenge, reflecting antigenic differences. In African green monkeys immunized intranasally and intratracheally, the mean peak titer of the P chimera was reduced 100- and 1,000-fold in the upper and lower respiratory tracts, whereas the N chimera was reduced only 10-fold in the lower respiratory tract. Both chimeras were comparable to wild-type HMPV in immunogenicity and protective efficacy. Thus, the P chimera is a promising live HMPV vaccine candidate that paradoxically combines improved growth in vitro with attenuation in vivo.</t>
  </si>
  <si>
    <t xml:space="preserve">Buchholz, Ursula/AAA-4547-2022; Pham, Quynh/AED-1403-2022; BIACCHESI, STEPHANE/A-6924-2010</t>
  </si>
  <si>
    <t xml:space="preserve">10.1128/JVI.79.24.15114-15122.2005</t>
  </si>
  <si>
    <t xml:space="preserve">997VK</t>
  </si>
  <si>
    <t xml:space="preserve">WOS:000234276700013</t>
  </si>
  <si>
    <t xml:space="preserve">Horton, KC; Dueger, EL; Kandeel, A; Abdallat, M; El-Kholy, A; Al-Awaidy, S; Kohlani, AH; Amer, H; El-Khal, AL; Said, M; House, B; Pimentel, G; Talaat, M</t>
  </si>
  <si>
    <t xml:space="preserve">Horton, Katherine C.; Dueger, Erica L.; Kandeel, Amr; Abdallat, Mohamed; El-Kholy, Amani; Al-Awaidy, Salah; Kohlani, Abdul Hakim; Amer, Hanaa; El-Khal, Abel Latif; Said, Mayar; House, Brent; Pimentel, Guillermo; Talaat, Maha</t>
  </si>
  <si>
    <t xml:space="preserve">Viral etiology, seasonality and severity of hospitalized patients with severe acute respiratory infections in the Eastern Mediterranean Region, 2007-2014</t>
  </si>
  <si>
    <t xml:space="preserve">Human metapneumovirus; Etiology; Human Parainfluenza Virus; Medicine; Metapneumovirus; Pathogen</t>
  </si>
  <si>
    <t xml:space="preserve">HUMAN METAPNEUMOVIRUS INFECTIONS; POLYMERASE-CHAIN-REACTION; SYNCYTIAL VIRUS; YOUNG-CHILDREN; EPIDEMIOLOGY; INFANTS; SURVEILLANCE; SYMPTOMS; DISEASE; BURDEN</t>
  </si>
  <si>
    <t xml:space="preserve">Introduction Little is known about the role of viral respiratory pathogens in the etiology, seasonality or severity of severe acute respiratory infections (SARI) in the Eastern Mediterranean Region. Methods Sentinel surveillance for SARI was conducted from December 2007 through February 2014 at 20 hospitals in Egypt, Jordan, Oman, Qatar and Yemen. Nasopharyngeal and oropharyngeal swabs were collected from hospitalized patients meeting SARI case definitions and were analyzed for infection with influenza, respiratory syncytial virus (RSV), adenovirus (AdV), human metapneumovirus (hMPV) and human parainfluenza virus types 1-3 (hPIV1-3). We analyzed surveillance data to calculate positivity rates for viral respiratory pathogens, describe the seasonality of those pathogens and determine which pathogens were responsible for more severe outcomes requiring ventilation and/or intensive care and/or resulting in death. Results At least one viral respiratory pathogen was detected in 8,753/28,508 (30.7%) samples tested for at least one pathogen and 3,497/9,315 (37.5%) of samples tested for all pathogens-influenza in 3,345/28,438 (11.8%), RSV in 3,942/24,503 (16.1%), AdV in 923/9,402 (9.8%), hMPV in 617/9,384 (6.6%), hPIV1 in 159/9,402 (1.7%), hPIV2 in 85/9,402 (0.9%) and hPIV3 in 365/9,402 (3.9%). Multiple pathogens were identified in 501/9,316 (5.4%) participants tested for all pathogens. Monthly variation, indicating seasonal differences in levels of infection, was observed for all pathogens. Participants with hMPV infections and participants less than five years of age were significantly less likely than participants not infected with hMPV and those older than five years of age, respectively, to experience a severe outcome, while participants with a pre-existing chronic disease were at increased risk of a severe outcome, compared to those with no reported pre-existing chronic disease. Conclusions Viral respiratory pathogens are common among SARI patients in the Eastern Mediterranean Region. Ongoing surveillance is important to monitor changes in the etiology, seasonality and severity of pathogens of interest.</t>
  </si>
  <si>
    <t xml:space="preserve">[Horton, Katherine C.; Dueger, Erica L.; Talaat, Maha] US Ctr Dis Control &amp; Prevent, Global Dis Detect Ctr, Cairo, Egypt; [Horton, Katherine C.; Dueger, Erica L.; Said, Mayar; House, Brent; Pimentel, Guillermo; Talaat, Maha] US Naval Med Res Unit, Global Dis Detect &amp; Response Program, Cairo, Egypt; [Dueger, Erica L.] US Ctr Dis Control &amp; Prevent, Global Dis Detect Branch, Atlanta, GA USA; [Kandeel, Amr] Minist Hlth &amp; Populat, Prevent Sect, Cairo, Egypt; [Abdallat, Mohamed] Minist Hlth, Communicable Dis Dept, Amman, Jordan; [El-Kholy, Amani] Cairo Univ Hosp, Clin Pathol Dept, Cairo, Egypt; [Al-Awaidy, Salah] Minist Hlth, Communicable Dis Dept, Muscat, Oman; [Kohlani, Abdul Hakim] Minist Hlth, Communicable Dis Dept, Sanaa, Yemen; [Amer, Hanaa] Ain Shams Univ, Clin Pathol Dept, Cairo, Egypt; [El-Khal, Abel Latif] Hamad Med Corp, Sect Med, Doha, Qatar</t>
  </si>
  <si>
    <t xml:space="preserve">Centers for Disease Control &amp; Prevention - USA; Egyptian Knowledge Bank (EKB); Ministry of Health &amp; Population - Egypt; Egyptian Knowledge Bank (EKB); Cairo University; Egyptian Knowledge Bank (EKB); Ain Shams University; Hamad Medical Corporation</t>
  </si>
  <si>
    <t xml:space="preserve">Horton, KC (corresponding author), US Ctr Dis Control &amp; Prevent, Global Dis Detect Ctr, Cairo, Egypt.;Horton, KC (corresponding author), US Naval Med Res Unit, Global Dis Detect &amp; Response Program, Cairo, Egypt.</t>
  </si>
  <si>
    <t xml:space="preserve">katherinehorton12@gmail.com</t>
  </si>
  <si>
    <t xml:space="preserve">Awaidy, Salah/AAF-5884-2020; Kholy, Amani/ABA-4759-2020</t>
  </si>
  <si>
    <t xml:space="preserve">Horton, Katherine/0000-0002-7542-4065; El Kholy, Amani/0000-0002-0645-7664</t>
  </si>
  <si>
    <t xml:space="preserve">Global Emerging Infections Surveillance Program [GEIS847705.821000.25GB.E0018]; U.S. Centers for Disease Control</t>
  </si>
  <si>
    <t xml:space="preserve">Global Emerging Infections Surveillance Program; U.S. Centers for Disease Control</t>
  </si>
  <si>
    <t xml:space="preserve">The study was funded through the Global Emerging Infections Surveillance Program (GEIS847705.821000.25GB.E0018) and the U.S. Centers for Disease Control. Authors have no commercial or other associations that might pose a conflict of interest.</t>
  </si>
  <si>
    <t xml:space="preserve">JUL 13</t>
  </si>
  <si>
    <t xml:space="preserve">e0180954</t>
  </si>
  <si>
    <t xml:space="preserve">10.1371/journal.pone.0180954</t>
  </si>
  <si>
    <t xml:space="preserve">FA7TL</t>
  </si>
  <si>
    <t xml:space="preserve">gold, Green Submitted, Green Accepted, Green Published</t>
  </si>
  <si>
    <t xml:space="preserve">WOS:000405649700065</t>
  </si>
  <si>
    <t xml:space="preserve">Mathisen, M; Strand, TA; Sharma, BN; Chandyo, RK; Valentiner-Branth, P; Basnet, S; Adhikari, RK; Hvidsten, D; Shrestha, PS; Sommerfelt, H</t>
  </si>
  <si>
    <t xml:space="preserve">Mathisen, Maria; Strand, Tor A.; Sharma, Biswa N.; Chandyo, Ram K.; Valentiner-Branth, Palle; Basnet, Sudha; Adhikari, Ramesh K.; Hvidsten, Dag; Shrestha, Prakash S.; Sommerfelt, Halvor</t>
  </si>
  <si>
    <t xml:space="preserve">RNA viruses in community-acquired childhood pneumonia in semi-urban Nepal; a cross-sectional study</t>
  </si>
  <si>
    <t xml:space="preserve">Human metapneumovirus; Medicine; Pneumonia; Virology; Virus; Metapneumovirus; Epidemiology</t>
  </si>
  <si>
    <t xml:space="preserve">RESPIRATORY SYNCYTIAL VIRUS; HUMAN METAPNEUMOVIRUS INFECTION; CONVENTIONAL VIRAL CULTURE; TRACT INFECTIONS; INFLUENZA-VIRUS; YOUNG-CHILDREN; HUMAN BOCAVIRUS; PCR ASSAY; EPIDEMIOLOGY; SEASONALITY</t>
  </si>
  <si>
    <t xml:space="preserve">Background: Pneumonia is among the main causes of illness and death in children &lt;5 years of age. There is a need to better describe the epidemiology of viral community-acquired pneumonia (CAP) in developing countries. Methods: From July 2004 to June 2007, we examined nasopharyngeal aspirates (NPA) from 2,230 cases of pneumonia (World Health Organization criteria) in children 2 to 35 months old recruited in a randomized trial of zinc supplementation at a field clinic in Bhaktapur, Nepal. The specimens were examined for respiratory syncytial virus (RSV), influenza virus type A (InfA) and B (InfB), parainfluenza virus types 1, 2 and 3 (PIV1, PIV2, and PIV3), and human metapneumovirus (hMPV) using a multiplex reverse transcriptase polymerase chain reaction (PCR) assay. Results: We identified 919 virus isolates in 887 (40.0%) of the 2,219 NPA specimens with a valid PCR result, of which 334 (15.1%) yielded RSV, 164 (7.4%) InfA, 129 (5.8%) PIV3, 98 (4.4%) PIV1, 93 (4.2%) hMPV, 84 (3.8%) InfB, and 17 (0.8%) PIV2. CAP occurred in an epidemic pattern with substantial temporal variation during the three years of study. The largest peaks of pneumonia occurrence coincided with peaks of RSV infection, which occurred in epidemics during the rainy season and in winter. The monthly number of RSV infections was positively correlated with relative humidity (r(s) = 0.40, P = 0.01), but not with temperature or rainfall. An hMPV epidemic occurred during one of the three winter seasons and the monthly number of hMPV cases was also associated with relative humidity (r(s) = 0.55, P = 0.0005). Conclusion: Respiratory RNA viruses were detected from NPA in 40% of CAP cases in our study. The most commonly isolated viruses were RSV, InfA, and PIV3. RSV infections contributed substantially to the observed CAP epidemics. The occurrence of viral CAP in this community seemed to reflect more or less overlapping micro-epidemics with several respiratory viruses, highlighting the challenges of developing and implementing effective public health control measures.</t>
  </si>
  <si>
    <t xml:space="preserve">[Mathisen, Maria; Strand, Tor A.; Chandyo, Ram K.; Sommerfelt, Halvor] Univ Bergen, Ctr Int Hlth, N-5020 Bergen, Norway; [Strand, Tor A.] Sykehuset Innlandet Lillehammer, Dept Lab Med, Lillehammer, Norway; [Sharma, Biswa N.] Tribhuvan Univ, Teaching Hosp, Dept Microbiol, Kathmandu, Nepal; [Chandyo, Ram K.; Basnet, Sudha; Adhikari, Ramesh K.; Shrestha, Prakash S.] Tribhuvan Univ, Teaching Hosp, Inst Med, Dept Child Hlth, Kathmandu, Nepal; [Valentiner-Branth, Palle] Statens Serum Inst, Div Epidemiol, Dept Epidemiol, DK-2300 Copenhagen, Denmark; [Hvidsten, Dag] Univ Hosp N Norway, Dept Microbiol &amp; Infect Control, Tromso, Norway; [Sommerfelt, Halvor] Norwegian Inst Publ Hlth, Div Infect Dis Control, Oslo, Norway</t>
  </si>
  <si>
    <t xml:space="preserve">University of Bergen; Innlandet Hospital Trust; Tribhuvan University; Institute of Medicine (IoM) - Nepal; Tribhuvan University; Institute of Medicine (IoM) - Nepal; Statens Serum Institut; UiT The Arctic University of Tromso; University Hospital of North Norway; Norwegian Institute of Public Health (NIPH)</t>
  </si>
  <si>
    <t xml:space="preserve">Mathisen, M (corresponding author), Univ Bergen, Ctr Int Hlth, POB 7804, N-5020 Bergen, Norway.</t>
  </si>
  <si>
    <t xml:space="preserve">maria.mathisen@cih.uib.no; tor.strand@cih.uib.no; biswasharma@hotmail.com; ram.chandyo@cih.uib.no; PVB@ssi.dk; sudhacbasnet@gmail.com; ramesh@healthnet.org.np; Dag.Hvidsten@unn.no; shresthaps@hotmail.com; halvor.sommerfelt@cih.uib.no</t>
  </si>
  <si>
    <t xml:space="preserve">European Commission (EUINCODC) [INCO-FP6-003740]; Research Council of Norway (RCN) [151054, 172226]; Norwegian Council of Universities' Committee for Development Research and Education (NUFU) [PRO 36/2002]</t>
  </si>
  <si>
    <t xml:space="preserve">European Commission (EUINCODC)(European Union (EU)European Commission Joint Research Centre); Research Council of Norway (RCN)(Research Council of Norway); Norwegian Council of Universities' Committee for Development Research and Education (NUFU)</t>
  </si>
  <si>
    <t xml:space="preserve">This study was supported by a grant from the European Commission (EUINCODC contract number INCO-FP6-003740), grants from the Research Council of Norway (RCN project no 151054 and 172226), as well as from the Norwegian Council of Universities' Committee for Development Research and Education (NUFU project number PRO 36/2002). The sponsors of the study had no role in study design, data collection, data analysis, data interpretation, or writing of the report. The corresponding author had full access to all the data in the study and had final responsibility for the decision to submit for publication.</t>
  </si>
  <si>
    <t xml:space="preserve">10.1186/1741-7015-7-35</t>
  </si>
  <si>
    <t xml:space="preserve">491FA</t>
  </si>
  <si>
    <t xml:space="preserve">WOS:000269561900001</t>
  </si>
  <si>
    <t xml:space="preserve">Hamelin, MÉ; Yim, K; Kuhn, KH; Cragin, RP; Boukhvalova, M; Blanco, JCG; Prince, GA; Boivin, G</t>
  </si>
  <si>
    <t xml:space="preserve">Pathogenesis of human metapneumovirus lung infection in BALB/c mice and cotton rats</t>
  </si>
  <si>
    <t xml:space="preserve">Human metapneumovirus; Biology; Pathogenesis; Metapneumovirus; Cotton rat; Viral replication; Respiratory tract; Virology; Lung; Immunology; Viral load</t>
  </si>
  <si>
    <t xml:space="preserve">RESPIRATORY SYNCYTIAL VIRUS; VACCINE-ENHANCED DISEASE; GENETIC DIVERSITY; YOUNG-CHILDREN; AIRWAY-OBSTRUCTION; EPITHELIAL-CELLS; MOUSE MODEL; CYTOKINE; REPLICATION; EXPRESSION</t>
  </si>
  <si>
    <t xml:space="preserve">Human metapneumovirus (hMPV) is a newly described member of the Paramyxoviridae family causing acute respiratory tract infections, especially in young children. We studied the pathogenesis of this viral infection in two experimental small animal models (BALB/c mice and cotton rats). Significant viral replication in the lungs of both animals was found following an intranasal challenge of 10(8) 50% tissue culture infectious doses (TCID50) and persisted for &lt; 2 and &lt; 3 weeks in the case of cotton rats and mice, respectively. Peak viral loads were found on day 5 postinfection in both mice (mean of 1.92 X 10(7) TCID50/g lung) and cotton rats (mean of 1.03 X 10(5) TCID50/g). Clinical symptoms consisting of breathing difficulties, ruffled fur, and weight loss were noted in mice only around the time of peak viral replication. Most significant pulmonary inflammatory changes and peak expression of macrophage inflammatory protein lot, gamma interferon, and RANTES occurred at the time of maximal viral replication (day 5) in both models. Cellular infiltration occurred predominantly around and within alveoli and persisted for at least 21 days in mice, whereas it was more limited in time with more peribronchiolitis in cotton rats. Both animal models would be of great value in evaluating different therapeutic agents, as well as vaccine candidates against hMPV.</t>
  </si>
  <si>
    <t xml:space="preserve">CHU Quebec, Res Ctr Infect Dis, Quebec City, PQ G1V 4G2, Canada; Univ Laval, Quebec City, PQ G1K 7P4, Canada; Virion Syst Inc, Rockville, MD USA</t>
  </si>
  <si>
    <t xml:space="preserve">CHU Laval, CHUQ, Room RC-709,2705 Blvd Laurier, Ste Foy, PQ G1V 4G2, Canada.</t>
  </si>
  <si>
    <t xml:space="preserve">eve.Hamelin@crchul.ulaval.ca</t>
  </si>
  <si>
    <t xml:space="preserve">Boivin, Guy/0000-0003-3027-4662; Blanco, Jorge/0000-0002-6173-0213</t>
  </si>
  <si>
    <t xml:space="preserve">10.1128/JVI.79.14.8894-8903.2005</t>
  </si>
  <si>
    <t xml:space="preserve">941LM</t>
  </si>
  <si>
    <t xml:space="preserve">WOS:000230216300023</t>
  </si>
  <si>
    <t xml:space="preserve">Njouom, R; Yekwa, EL; Cappy, P; Vabret, A; Boisier, P; Rousset, D</t>
  </si>
  <si>
    <t xml:space="preserve">Njouom, Richard; Yekwa, Elsie Laban; Cappy, Pierre; Vabret, Astrid; Boisier, Pascal; Rousset, Dominique</t>
  </si>
  <si>
    <t xml:space="preserve">Viral Etiology of Influenza-Like Illnesses in Cameroon, January-December 2009</t>
  </si>
  <si>
    <t xml:space="preserve">Human metapneumovirus; Rhinovirus; Enterovirus; Virology; Virus; Etiology; Influenza-like illness; Respiratory tract infections</t>
  </si>
  <si>
    <t xml:space="preserve">RESPIRATORY-TRACT INFECTIONS; CORONAVIRUS INFECTIONS; HUMAN METAPNEUMOVIRUS; VIRUSES; CHILDREN; PCR; SURVEILLANCE; CAMBODIA; SENEGAL</t>
  </si>
  <si>
    <t xml:space="preserve">Background. No information is available on the viral etiology of upper respiratory tract infections in Cameroon. Methods. We prospectively enrolled outpatients with influenza-like illness (ILI) presenting at 14 sentinel clinics located across the country from January through December 2009. The specimens were tested using real-time and multiplex reverse-transcription polymerase chain reaction methods for the detection of 15 RNA respiratory viruses. Results. We detected at least 1 respiratory virus in 365 of 561 specimens (65.1%). Overall, influenza virus was the most commonly detected virus (28.2% of specimens), followed by human rhinovirus (17.8%); parainfluenza virus (PIV) types 1-4 (7.5%); enterovirus (5.9%); respiratory syncytial virus (RSV; 5.7%); human coronavirus (HCoV) OC43, 229E, NL63, and HKU1 (5.3%); and human metapneumovirus (HMPV; 5.0%). RSV (26 of 31 specimens [83.9%]), PIV (30 of 39 [76.9%]), and HRV (64 of 99 [64.6%]) were most common among children &lt; 5 years of age. Coinfections were found in 53 of 365 positive specimens (14.5%), and most (71.7%) were in children &lt; 5 years of age. While influenza virus, enterovirus, RSV, and HMPV had a defined period of circulation, the other viruses were detected throughout the year. Conclusions. We found that respiratory viruses play an important role in the etiology of ILI in Cameroon, particularly in children &lt; 5 years of age.</t>
  </si>
  <si>
    <t xml:space="preserve">[Njouom, Richard; Yekwa, Elsie Laban; Cappy, Pierre; Rousset, Dominique] Ctr Pasteur Cameroun, Serv Virol, Yaounde, Cameroon; [Boisier, Pascal] Ctr Pasteur Cameroun, Serv Epidemiol &amp; Sante Publ, Yaounde, Cameroon; [Vabret, Astrid] Ctr Hosp Univ, Lab Virol Humaine &amp; Mol, Caen, France</t>
  </si>
  <si>
    <t xml:space="preserve">Centre Pasteur du Cameroun; Centre Pasteur du Cameroun; CHU de Caen NORMANDIE</t>
  </si>
  <si>
    <t xml:space="preserve">Njouom, R (corresponding author), Ctr Pasteur Cameroun, Serv Virol, POB 1274, Yaounde, Cameroon.</t>
  </si>
  <si>
    <t xml:space="preserve">Rousset, Dominique/S-5400-2019; BOISIER, PASCAL/A-2922-2009; VABRET, Astrid/HTO-5810-2023; Cappy, Pierre/GZK-2977-2022</t>
  </si>
  <si>
    <t xml:space="preserve">VABRET, Astrid/0000-0002-8940-7645; Rousset, Dominique/0000-0002-1473-3147; Cappy, Pierre/0000-0001-8540-2196</t>
  </si>
  <si>
    <t xml:space="preserve">French Ministry of Health; Office of the Assistant Secretary for Preparedness and Response, US Department of Health and Human Services [6 IDESP060001-01-01]</t>
  </si>
  <si>
    <t xml:space="preserve">French Ministry of Health; Office of the Assistant Secretary for Preparedness and Response, US Department of Health and Human Services</t>
  </si>
  <si>
    <t xml:space="preserve">This work was supported by the French Ministry of Health and by the Office of the Assistant Secretary for Preparedness and Response, US Department of Health and Human Services (grant 6 IDESP060001-01-01).</t>
  </si>
  <si>
    <t xml:space="preserve">S29</t>
  </si>
  <si>
    <t xml:space="preserve">S35</t>
  </si>
  <si>
    <t xml:space="preserve">10.1093/infdis/jis573</t>
  </si>
  <si>
    <t xml:space="preserve">045BA</t>
  </si>
  <si>
    <t xml:space="preserve">WOS:000311667900005</t>
  </si>
  <si>
    <t xml:space="preserve">Phung, E; Chang, LA; Mukhamedova, M; Yang, LJ; Nair, D; Rush, SA; Morabito, KM; McLellan, JS; Buchholz, UJ; Mascola, JR; Crank, MC; Chen, G; Graham, BS; Ruckwardt, TJ</t>
  </si>
  <si>
    <t xml:space="preserve">Phung, Emily; Chang, Lauren A.; Mukhamedova, Maryam; Yang, Lijuan; Nair, Deepika; Rush, Scott A.; Morabito, Kaitlyn M.; McLellan, Jason S.; Buchholz, Ursula J.; Mascola, John R.; Crank, Michelle C.; Chen, Grace; Graham, Barney S.; Ruckwardt, Tracy J.</t>
  </si>
  <si>
    <t xml:space="preserve">Elicitation of pneumovirus-specific B cell responses by a prefusion-stabilized respiratory syncytial virus F subunit vaccine</t>
  </si>
  <si>
    <t xml:space="preserve">SCIENCE TRANSLATIONAL MEDICINE</t>
  </si>
  <si>
    <t xml:space="preserve">Peripheral blood mononuclear cell; Virology; Flow cytometry; Immunization; Pneumovirus; Virus; Medicine; Respiratory system; Immunology; Paramyxoviridae; Mononegavirales</t>
  </si>
  <si>
    <t xml:space="preserve">FUSION GLYCOPROTEIN; ANTIBODY; INFECTION; RSV; NEUTRALIZATION; PALIVIZUMAB; PREVENTION</t>
  </si>
  <si>
    <t xml:space="preserve">Respiratory syncytial virus (RSV) is a substantial cause of morbidity and mortality globally. A candidate RSV prefusion (pre-F)-stabilized subunit vaccine, DS-Cav1, has previously been shown to elicit potent and durable neutralizing activity in a phase 1 clinical trial in healthy adults. Here, we used fluorescently labeled probes and flow cytometry to evaluate the antigen specificity and phenotype of RSV F-specific B cells longitudinally after DS-Cav1 immunization. Peripheral blood mononuclear cells (PBMCs) collected at time points before the first immunization through the end of the trial at 44 weeks were assessed by flow cytometry. Our data demonstrate a rapid increase in the frequency of pre-F-specific IgG(+) and IgA(+) B cells after the first immunization and a modest increase after a second immunization at week 12. Nearly all F-specific B cells down-regulated CD21 and up-regulated the proliferation marker CD71 after the first immunization, with less pronounced activation after the second immunization. Memory B cells (CD27(+)CD21(+)) specific for pre-F remained elevated above baseline at 44 weeks after vaccination. DS-Cav1 vaccination also activated human metapneumovirus (HMPV) cross-reactive B cells capable of binding prefusion-stabilized HMPV F protein and increased HMPV F-binding antibodies and neutralizing activity for HMPV in some participants. In summary, vaccination with RSV pre-F resulted in the expansion and activation of RSV and HMPV F-specific B cells that were maintained above baseline for at least 10 months and could contribute to long-term pneumovirus immunity.</t>
  </si>
  <si>
    <t xml:space="preserve">[Phung, Emily; Chang, Lauren A.; Mukhamedova, Maryam; Nair, Deepika; Morabito, Kaitlyn M.; Mascola, John R.; Crank, Michelle C.; Chen, Grace; Graham, Barney S.; Ruckwardt, Tracy J.] NIAID, Vaccine Res Ctr, NIH, 9000 Rockville Pike, Bethesda, MD 20892 USA; [Yang, Lijuan; Buchholz, Ursula J.] NIAID, RNA Viruses Sect, NIH, 9000 Rockville Pike, Bethesda, MD 20892 USA; [Rush, Scott A.; McLellan, Jason S.] Univ Texas Austin, Dept Mol Biosci, Austin, TX 78712 USA; [Phung, Emily] GlaxoSmithKline, Rockville, MD 20850 USA; [Chang, Lauren A.] Icahn Sch Med Mt Sinai, New York, NY 10029 USA; [Crank, Michelle C.] Inst Asthma &amp; Allergy, Chevy Chase, MD 20815 USA; [Chen, Grace] Moderna, Cambridge, MA 02139 USA</t>
  </si>
  <si>
    <t xml:space="preserve">National Institutes of Health (NIH) - USA; NIH National Institute of Allergy &amp; Infectious Diseases (NIAID); National Institutes of Health (NIH) - USA; NIH National Institute of Allergy &amp; Infectious Diseases (NIAID); University of Texas System; University of Texas Austin; GlaxoSmithKline; Icahn School of Medicine at Mount Sinai</t>
  </si>
  <si>
    <t xml:space="preserve">Ruckwardt, TJ (corresponding author), NIAID, Vaccine Res Ctr, NIH, 9000 Rockville Pike, Bethesda, MD 20892 USA.</t>
  </si>
  <si>
    <t xml:space="preserve">truckwardt@mail.nih.gov</t>
  </si>
  <si>
    <t xml:space="preserve">McLellan, Jason/A-6874-2010; Graham, Barney/AAC-5898-2019; Buchholz, Ursula/AAA-4547-2022; Mascola, John/AAI-7193-2021</t>
  </si>
  <si>
    <t xml:space="preserve">Morabito, Kaitlyn/0000-0002-4849-4690; Chang, Lauren/0000-0002-3287-3987; Phung, Emily/0000-0001-9684-9698; Musayev, Maryam/0000-0002-7510-6016; Rush, Scott/0000-0002-9601-5068; McLellan, Jason/0000-0003-3991-542X</t>
  </si>
  <si>
    <t xml:space="preserve">National Institute of Allergy and Infectious Diseases [1ZIAAI005129-06, 1ZIAAI0003782-39]</t>
  </si>
  <si>
    <t xml:space="preserve">This work was supported by intramural funding from the National Institute of Allergy and Infectious Diseases: 1ZIAAI005129-06 and 1ZIAAI0003782-39.</t>
  </si>
  <si>
    <t xml:space="preserve">AMER ASSOC ADVANCEMENT SCIENCE</t>
  </si>
  <si>
    <t xml:space="preserve">1200 NEW YORK AVE, NW, WASHINGTON, DC 20005 USA</t>
  </si>
  <si>
    <t xml:space="preserve">1946-6234</t>
  </si>
  <si>
    <t xml:space="preserve">1946-6242</t>
  </si>
  <si>
    <t xml:space="preserve">SCI TRANSL MED</t>
  </si>
  <si>
    <t xml:space="preserve">Sci. Transl. Med.</t>
  </si>
  <si>
    <t xml:space="preserve">JUN 22</t>
  </si>
  <si>
    <t xml:space="preserve">eabo5032</t>
  </si>
  <si>
    <t xml:space="preserve">10.1126/scitranslmed.abo5032</t>
  </si>
  <si>
    <t xml:space="preserve">Cell Biology; Medicine, Research &amp; Experimental</t>
  </si>
  <si>
    <t xml:space="preserve">Cell Biology; Research &amp; Experimental Medicine</t>
  </si>
  <si>
    <t xml:space="preserve">2H8AW</t>
  </si>
  <si>
    <t xml:space="preserve">WOS:000814512700006</t>
  </si>
  <si>
    <t xml:space="preserve">Bharaj, P; Sullender, WM; Kabra, SK; Mani, K; Cherian, J; Tyagi, V; Chahar, HS; Kaushik, S; Dar, L; Broor, S</t>
  </si>
  <si>
    <t xml:space="preserve">Bharaj, Preeti; Sullender, Wayne M.; Kabra, Sushil K.; Mani, Kalaivani; Cherian, John; Tyagi, Vikas; Chahar, Harendra S.; Kaushik, Samander; Dar, Lalit; Broor, Shobha</t>
  </si>
  <si>
    <t xml:space="preserve">Respiratory viral infections detected by multiplex PCR among pediatric patients with lower respiratory tract infections seen at an urban hospital in Delhi from 2005 to 2007</t>
  </si>
  <si>
    <t xml:space="preserve">Human metapneumovirus; IIf; Bronchiolitis; Virology; Biology; Multiplex polymerase chain reaction; Respiratory tract infections</t>
  </si>
  <si>
    <t xml:space="preserve">REVERSE TRANSCRIPTION-PCR; POLYMERASE-CHAIN-REACTION; SYNCYTIAL-VIRUS; HUMAN METAPNEUMOVIRUS; PARAINFLUENZA VIRUS; CLINICAL-SAMPLES; INFLUENZA-B; CHILDREN; DIAGNOSIS; ASSAY</t>
  </si>
  <si>
    <t xml:space="preserve">Background: Acute lower respiratory tract infections (ALRI) are the major cause of morbidity and mortality in young children worldwide. Information on viral etiology in ALRI from India is limited. The aim of the present study was to develop a simple, sensitive, specific and cost effective multiplex PCR (mPCR) assay without post PCR hybridization or nested PCR steps for the detection of respiratory syncytial virus (RSV), influenza viruses, parainfluenza viruses (PIV1-3) and human metapneumovirus (hMPV). Nasopharyngeal aspirates (NPAs) were collected from children with ALRI &lt;= 5 years of age. The sensitivity and specificity of mPCR was compared to virus isolation by centrifugation enhanced culture (CEC) followed by indirect immunofluorescence (IIF). Results: From April 2005-March 2007, 301 NPAs were collected from children attending the outpatient department or admitted to the ward of All India Institute of Medical Sciences hospital at New Delhi, India. Multiplex PCR detected respiratory viruses in 106 (35.2%) of 301 samples with 130 viruses of which RSV was detected in 61, PIV3 in 22, PIV2 in 17, hMPV in 11, PIV1 in 10 and influenza A in 9 children. CEC-IIF detected 79 viruses only. The sensitivity of mPCR was 0.1TCID(50) for RSV and influenza A and 1TCID(50) for hMPV, PIV1, PIV2, PIV3 and Influenza B. Mixed infections were detected in 18.8% of the children with viral infections, none detected by CEC-IIF. Bronchiolitis was significantly associated with both total viral infections and RSV infection (p&lt;0.05). History of ARI in family predisposed children to acquire viral infection (p&gt;0.05). Conclusion: Multiplex PCR offers a rapid, sensitive and reasonably priced diagnostic method for common respiratory viruses.</t>
  </si>
  <si>
    <t xml:space="preserve">[Bharaj, Preeti; Chahar, Harendra S.; Kaushik, Samander; Dar, Lalit; Broor, Shobha] All India Inst Med Sci, Dept Microbiol, New Delhi 110029, India; [Sullender, Wayne M.] Univ Alabama Birmingham, Dept Pediat, Birmingham, AL 35294 USA; [Kabra, Sushil K.; Cherian, John; Tyagi, Vikas] All India Inst Med Sci, Dept Pediat, New Delhi 110029, India; [Mani, Kalaivani] All India Inst Med Sci, Dept Biostat, New Delhi 110029, India</t>
  </si>
  <si>
    <t xml:space="preserve">All India Institute of Medical Sciences (AIIMS) New Delhi; University of Alabama System; University of Alabama Birmingham; All India Institute of Medical Sciences (AIIMS) New Delhi; All India Institute of Medical Sciences (AIIMS) New Delhi</t>
  </si>
  <si>
    <t xml:space="preserve">preetibharaj@yahoo.com; wsull@uab.edu; skkabra@hotmail.com; manikalaivani@yahoo.co.in; skkabra@hotmail.com; skkabra@hotmail.com; harendrachahar@gmail.com; samanderkaushik@gmail.com; lalitdar@yahoo.com; shobha.broor@gmail.com</t>
  </si>
  <si>
    <t xml:space="preserve">Bharaj, Preeti/AAX-7394-2020; Tyagi, Dr. Vikas/KYQ-5491-2024; Broor, Shobha/AAX-4163-2021</t>
  </si>
  <si>
    <t xml:space="preserve">Bharaj, Preeti/0000-0002-9411-9373; Kaushik, Samander/0000-0003-4835-6383</t>
  </si>
  <si>
    <t xml:space="preserve">NIH [I R21 AI59792-01]; Indian Council of Medical Research (ICMR), India</t>
  </si>
  <si>
    <t xml:space="preserve">NIH(United States Department of Health &amp; Human ServicesNational Institutes of Health (NIH) - USA); Indian Council of Medical Research (ICMR), India(Indian Council of Medical Research (ICMR))</t>
  </si>
  <si>
    <t xml:space="preserve">The funding for the research was supported by NIH Project No. I R21 AI59792-01.We acknowledge the Indian Council of Medical Research (ICMR), India for supporting Preeti Bharaj via fellowship.</t>
  </si>
  <si>
    <t xml:space="preserve">10.1186/1743-422X-6-89</t>
  </si>
  <si>
    <t xml:space="preserve">476AX</t>
  </si>
  <si>
    <t xml:space="preserve">WOS:000268410200002</t>
  </si>
  <si>
    <t xml:space="preserve">High, KP</t>
  </si>
  <si>
    <t xml:space="preserve">High, Kevin P.</t>
  </si>
  <si>
    <t xml:space="preserve">Pneumonia in older adults - New categories add complexity to diagnosis and care</t>
  </si>
  <si>
    <t xml:space="preserve">POSTGRADUATE MEDICINE</t>
  </si>
  <si>
    <t xml:space="preserve">Medicine; Pneumonia; Human metapneumovirus; Intensive care medicine; Population; Disease</t>
  </si>
  <si>
    <t xml:space="preserve">The microbiology of community-acquired pneumonia (CAP) in older adults, particularly in residents of long-term care facilities, differs from that in the general US population. Respiratory syncytial virus (RSV) and human metapneumovirus (HMPV) are important, newly appreciated causes of pneumonia and triggers of co-morbid disease exacerbations that often lead to hospitalization of high risk elderly patients with underlying heart or lung disease. Here, Dr High examines the diagnostic and treatment strategies that are needed in older adults and outlines preventive methods that may greatly reduce the risk of illness in this population.</t>
  </si>
  <si>
    <t xml:space="preserve">[High, Kevin P.] Wake Forest Univ, Bowman Gray Sch Med, Infect Dis Sect, Winston Salem, NC 27157 USA; [High, Kevin P.] Wake Forest Univ, Bowman Gray Sch Med, Sect Hematol &amp; Oncol, Winston Salem, NC 27157 USA; [High, Kevin P.] Merck &amp; Co Inc, Whitehouse Stn, NJ USA; [High, Kevin P.] Pfizer Inc, New York, NY 10017 USA; [High, Kevin P.] Wyeth Pharmaceut, Washington, DC USA</t>
  </si>
  <si>
    <t xml:space="preserve">Wake Forest University; Wake Forest Baptist Medical Center; Wake Forest University; Wake Forest Baptist Medical Center; Merck &amp; Company; Merck &amp; Company USA; Pfizer; Pfizer</t>
  </si>
  <si>
    <t xml:space="preserve">High, KP (corresponding author), Wake Forest Univ, Bowman Gray Sch Med, Infect Dis Sect, 100 Med Ctr Blvd, Winston Salem, NC 27157 USA.</t>
  </si>
  <si>
    <t xml:space="preserve">khigh@wfubmc.edu</t>
  </si>
  <si>
    <t xml:space="preserve">0032-5481</t>
  </si>
  <si>
    <t xml:space="preserve">1941-9260</t>
  </si>
  <si>
    <t xml:space="preserve">POSTGRAD MED</t>
  </si>
  <si>
    <t xml:space="preserve">Postgrad. Med.</t>
  </si>
  <si>
    <t xml:space="preserve">10.3810/pgm.2005.10.1697</t>
  </si>
  <si>
    <t xml:space="preserve">V44DP</t>
  </si>
  <si>
    <t xml:space="preserve">WOS:000202983700007</t>
  </si>
  <si>
    <t xml:space="preserve">PEDIATRICS IN REVIEW</t>
  </si>
  <si>
    <t xml:space="preserve">Human metapneumovirus; Medicine; Bronchiolitis; Pneumonia; Immunology; Lower respiratory tract infection</t>
  </si>
  <si>
    <t xml:space="preserve">Educational Gaps 1. Respiratory viruses are a leading cause of global pediatric morbidity and mortality. Human metapneumovirus is the second leading cause of pediatric viral lower respiratory tract infection. Because human metapneumovirus is a newly recognized pathogen, many clinicians are unfamiliar with the epidemiology, pathogenesis, and clinical signs and symptoms of infection. 2. Knowledge of the biology of human metapneumovirus is important to understand the pathogenesis of human metapneumovirus and how best to treat it. 3. Diagnosis of human metapneumovirus is challenging, and clinicians should be aware of the sensitivity and specificity of available tests. Objectives After completing this article, readers should be able to: 1. Discuss the current epidemiology of human metapneumovirus. 2. Recognize clinical manifestations of human metapneumovirus. 3. Identify populations most susceptible to human metapneumovirus. 4. Discuss laboratory studies available for the diagnosis of human metapneumovirus.</t>
  </si>
  <si>
    <t xml:space="preserve">[Schuster, Jennifer E.; Williams, John V.] Vanderbilt Univ, Sch Med, Nashville, TN 37212 USA</t>
  </si>
  <si>
    <t xml:space="preserve">Vanderbilt University</t>
  </si>
  <si>
    <t xml:space="preserve">Schuster, JE (corresponding author), Vanderbilt Univ, Sch Med, Nashville, TN 37212 USA.</t>
  </si>
  <si>
    <t xml:space="preserve">0191-9601</t>
  </si>
  <si>
    <t xml:space="preserve">1526-3347</t>
  </si>
  <si>
    <t xml:space="preserve">PEDIATR REV</t>
  </si>
  <si>
    <t xml:space="preserve">Pediatr. Rev.</t>
  </si>
  <si>
    <t xml:space="preserve">10.1542/pir.34-12-558</t>
  </si>
  <si>
    <t xml:space="preserve">V7N5G</t>
  </si>
  <si>
    <t xml:space="preserve">WOS:000421121100003</t>
  </si>
  <si>
    <t xml:space="preserve">Zhang, JH; Dou, Y; Wu, JF; She, WW; Luo, LZ; Zhao, Y; Liu, P; Zhao, XD</t>
  </si>
  <si>
    <t xml:space="preserve">Zhang, Jinhui; Dou, Ying; Wu, Junfeng; She, Weiwei; Luo, Lizhong; Zhao, Yao; Liu, Ping; Zhao, Xiaodong</t>
  </si>
  <si>
    <t xml:space="preserve">Effects of N-linked glycosylation of the fusion protein on replication of human metapneumovirus in vitro and in mouse lungs</t>
  </si>
  <si>
    <t xml:space="preserve">Glycosylation; Biology; Glycoprotein; Virology; Fusion protein; Viral replication; Metapneumovirus; Virus; Cell fusion; Vero cell; Lipid bilayer fusion; N-linked glycosylation</t>
  </si>
  <si>
    <t xml:space="preserve">RESPIRATORY SYNCYTIAL VIRUS; TRACT INFECTIONS; ANIMAL-MODEL; COTTON RATS; CELL-FUSION; IDENTIFICATION; GLYCOPROTEINS; SH; PALIVIZUMAB; MECHANISMS</t>
  </si>
  <si>
    <t xml:space="preserve">The fusion (F) protein is an important membrane glycoprotein necessary for cellular entry and replication of human metapneumovirus (hMPV). Selective prevention of N-linked glycosylation may compromise the catalytic and fusion functions of the F protein. By using site-directed mutagenesis and reverse genetics, recombinant mutant viruses lacking one or two N-linked glycosylation sites in the F protein were constructed. M1, which lacked glycosylation at position 57 of the F protein, had slightly compromised replication, whereas M2 and M4, which lacked glycosylation at position(s) 172 or 57 and 172, respectively, showed profound impairment of replication when compared with wild-type (WT) NL/1/00-GFP virus in both Vero E6 cells and mouse lungs. M2 was less fit than WT virus in vitro and in immunocompromised mouse lungs. The F proteins of WT and mutant viruses were similarly expressed on the infected cell membrane, while the activated fusion protein subunits, F1 of M2 and M4, were produced in lower quantities compared with those of WT and M1 virus. The mutated viruses lacking N-linked glycosylation at position 353, either individually or together with other sites, could not be recovered. Thus, N-linked glycosylation may be involved in the catalysis of the fusion protein from F0 to F1 and F2, which is critical for fusion function. Strategies targeting N-linked glycosylation may be helpful for developing attenuated live vaccines or antiviral drugs for hMPV.</t>
  </si>
  <si>
    <t xml:space="preserve">[Zhang, Jinhui; Dou, Ying; Wu, Junfeng; She, Weiwei; Zhao, Yao; Liu, Ping; Zhao, Xiaodong] Chongqing Med Univ, Childrens Hosp, Chongqing 400014, Peoples R China; [Luo, Lizhong] Canadian Sci Ctr Human &amp; Anim Hlth, Natl Ctr Foreign Anim Dis, Winnipeg, MB R3E 3M4, Canada</t>
  </si>
  <si>
    <t xml:space="preserve">Chongqing Medical University; Canadian Science Centre for Human &amp; Animal Health</t>
  </si>
  <si>
    <t xml:space="preserve">Zhao, XD (corresponding author), Chongqing Med Univ, Childrens Hosp, Chongqing 400014, Peoples R China.</t>
  </si>
  <si>
    <t xml:space="preserve">zhao, xd/HJX-9525-2023; zhang, jinhui/GXF-6528-2022</t>
  </si>
  <si>
    <t xml:space="preserve">National Science Foundation of China [30730098]; Program for the New Century Excellent Talents in University of China [NCET-05-0774]</t>
  </si>
  <si>
    <t xml:space="preserve">National Science Foundation of China(National Natural Science Foundation of China (NSFC)); Program for the New Century Excellent Talents in University of China(Program for New Century Excellent Talents in University (NCET))</t>
  </si>
  <si>
    <t xml:space="preserve">We thank Professor Bu Zhigao and Dr Ge Jinying (HarBin Veterinary research institute, Chinese Agricultural Academy of Science) for resuscitation of WT hMPV and mutant hMPV. This study was supported by the National Science Foundation of China (no. 30730098), the Program for the New Century Excellent Talents in University of China (no. NCET-05-0774).</t>
  </si>
  <si>
    <t xml:space="preserve">10.1099/vir.0.030049-0</t>
  </si>
  <si>
    <t xml:space="preserve">WOS:000292578600020</t>
  </si>
  <si>
    <t xml:space="preserve">Zhang, Y; Wei, YW; Zhang, XD; Cai, H; Niewiesk, S; Li, JR</t>
  </si>
  <si>
    <t xml:space="preserve">Zhang, Yu; Wei, Yongwei; Zhang, Xiaodong; Cai, Hui; Niewiesk, Stefan; Li, Jianrong</t>
  </si>
  <si>
    <t xml:space="preserve">Rational Design of Human Metapneumovirus Live Attenuated Vaccine Candidates by Inhibiting Viral mRNA Cap Methyltransferase</t>
  </si>
  <si>
    <t xml:space="preserve">Human metapneumovirus; Biology; Virology; Recombinant DNA; Methylation</t>
  </si>
  <si>
    <t xml:space="preserve">RESPIRATORY SYNCYTIAL VIRUS; VESICULAR STOMATITIS-VIRUS; RAT SIGMODON-HISPIDUS; GROWTH IN-VITRO; AVIAN METAPNEUMOVIRUS; PROTECTIVE IMMUNITY; POLYMERASE PROTEIN; REVERSE GENETICS; 2'-O METHYLATION; ANIMAL-MODEL</t>
  </si>
  <si>
    <t xml:space="preserve">The paramyxoviruses human respiratory syncytial virus (hRSV), human metapneumovirus (hMPV), and human parainfluenza virus type 3 (hPIV3) are responsible for the majority of pediatric respiratory diseases and inflict significant economic loss, health care costs, and emotional burdens. Despite major efforts, there are no vaccines available for these viruses. The conserved region VI (CR VI) of the large (L) polymerase proteins of paramyxoviruses catalyzes methyltransferase (MTase) activities that typically methylate viral mRNAs at positions guanine N-7 (G-N-7) and ribose 2'-O. In this study, we generated a panel of recombinant hMPVs carrying mutations in the S-adenosylmethionine (SAM) binding site in CR VI of L protein. These recombinant viruses were specifically defective in ribose 2'-O methylation but not G-N-7 methylation and were genetically stable and highly attenuated in cell culture and viral replication in the upper and lower respiratory tracts of cotton rats. Importantly, vaccination of cotton rats with these recombinant hMPVs (rhMPVs) with defective MTases triggered a high level of neutralizing antibody, and the rats were completely protected from challenge with wild-type rhMPV. Collectively, our results indicate that (i) amino acid residues in the SAM binding site in the hMPV L protein are essential for 2'-O methylation and (ii) inhibition of mRNA cap MTase can serve as a novel target to rationally design live attenuated vaccines for hMPV and perhaps other paramyxoviruses, such as hRSV and hPIV3. IMPORTANCE Human paramyxoviruses, including hRSV, hMPV, and hPIV3, cause the majority of acute upper and lower respiratory tract infections in humans, particularly in infants, children, the elderly, and immunocompromised individuals. Currently, there is no licensed vaccine available. A formalin-inactivated vaccine is not suitable for these viruses because it causes enhanced lung damage upon reinfection with the same virus. A live attenuated vaccine is the most promising vaccine strategy for human paramyxoviruses. However, it remains a challenge to identify an attenuated virus strain that has an optimal balance between attenuation and immunogenicity. Using reverse genetics, we generated a panel of recombinant hMPVs that were specifically defective in ribose 2'-O methyltransferase (MTase) but not G-N-7 MTase. These MTase-defective hMPVs were genetically stable and sufficiently attenuated but retained high immunogenicity. This work highlights a critical role of 2=-O MTase in paramyxovirus replication and pathogenesis and a new avenue for the development of safe and efficacious live attenuated vaccines for hMPV and other human paramyxoviruses.</t>
  </si>
  <si>
    <t xml:space="preserve">[Zhang, Yu; Wei, Yongwei; Zhang, Xiaodong; Cai, Hui; Niewiesk, Stefan; Li, Jianrong] Ohio State Univ, Coll Vet Med, Dept Vet Biosci, Columbus, OH 43210 USA; [Zhang, Yu] Ohio State Univ, Program Food Sci &amp; Technol, Columbus, OH 43210 USA</t>
  </si>
  <si>
    <t xml:space="preserve">NIH [R01AI090060]; pilot grant from the OSU Center for Clinical and Translational Science (CCTS)</t>
  </si>
  <si>
    <t xml:space="preserve">NIH(United States Department of Health &amp; Human ServicesNational Institutes of Health (NIH) - USA); pilot grant from the OSU Center for Clinical and Translational Science (CCTS)</t>
  </si>
  <si>
    <t xml:space="preserve">This study was supported by grants from the NIH (R01AI090060) and a pilot grant from the OSU Center for Clinical and Translational Science (CCTS) to J.L. Yu Zhang is a fellow of the Center for RNA Biology at The Ohio State University.</t>
  </si>
  <si>
    <t xml:space="preserve">10.1128/JVI.00876-14</t>
  </si>
  <si>
    <t xml:space="preserve">AP1ZX</t>
  </si>
  <si>
    <t xml:space="preserve">WOS:000341872700035</t>
  </si>
  <si>
    <t xml:space="preserve">Govindarajan, D; Buchholz, UJ; Samal, SK</t>
  </si>
  <si>
    <t xml:space="preserve">Govindarajan, Dhanasekaran; Buchholz, Ursula J.; Samal, Siba K.</t>
  </si>
  <si>
    <t xml:space="preserve">Recovery of avian metapneumovirus subgroup C from cDNA: Cross-recognition of avian and human metapneumovirus support proteins</t>
  </si>
  <si>
    <t xml:space="preserve">Metapneumovirus; Biology; Virology; Human metapneumovirus; Virus; Plasmid; Complementary DNA</t>
  </si>
  <si>
    <t xml:space="preserve">RESPIRATORY SYNCYTIAL VIRUS; TURKEY RHINOTRACHEITIS VIRUS; NEWCASTLE-DISEASE VIRUS; SWOLLEN HEAD SYNDROME; SMALL HYDROPHOBIC SH; GROWTH IN-VITRO; REVERSE-GENETICS; G-GLYCOPROTEIN; G-GENES; PNEUMOVIRUS</t>
  </si>
  <si>
    <t xml:space="preserve">Avian metapneumovirus (AMPV) causes an acute respiratory disease in turkeys and is associated with swollen head syndrome in chickens, contributing to significant economic losses for the U.S. poultry industry. With a long-term goal of developing a better vaccine for controlling AMPV in the United States, we established a reverse genetics system to produce infectious AMPV of subgroup C entirely from cDNA. A cDNA clone encoding the entire 14,150-nucleotide genome of AMPV subgroup C strain Colorado (AMPV/CO) was generated by assembling five cDNA fragments between the T7 RNA polymerase promoter and the autocatalytic hepatitis delta virus rihozyme of a transcription plasmid, pBR 322. Transfection of this plasmid, along with the expression plasmids encoding the N, P, M2-1, and L proteins of AMPV/CO, into cells stably expressing T7 RNA polymerase resulted in the recovery of infectious AMPV/CO. Characterization of the recombinant AMPV/CO showed that its growth properties in tissue culture were similar to those of the parental virus. The potential of AMPV/CO to serve as a viral vector was also assessed by generating another recombinant virus, rAMPV/CO-GFP, that expressed the enhanced green fluorescent protein (GFP) as a foreign protein. Interestingly, GFP-expressing AMPV and GFP-expressing human metapneumovirus (HMPV) could be recovered using the support plasmids of either virus, denoting that the genome promoters are conserved between the two metapneumoviruses and can be cross-recognized by the polymerase complex proteins of either virus. These results indicate a close functional relationship between AMPV/CO and HMPV.</t>
  </si>
  <si>
    <t xml:space="preserve">Univ Maryland, Virginia Maryland Reg Coll Vet Med, College Pk, MD 20742 USA; NIAID, Infect Dis Lab, Bethesda, MD 20892 USA</t>
  </si>
  <si>
    <t xml:space="preserve">University System of Maryland; University of Maryland College Park; National Institutes of Health (NIH) - USA; NIH National Institute of Allergy &amp; Infectious Diseases (NIAID)</t>
  </si>
  <si>
    <t xml:space="preserve">Samal, SK (corresponding author), Univ Maryland, Virginia Maryland Reg Coll Vet Med, 8075 Greenmead Dr, College Pk, MD 20742 USA.</t>
  </si>
  <si>
    <t xml:space="preserve">10.1128/JVI.00138-06</t>
  </si>
  <si>
    <t xml:space="preserve">WOS:000238103900015</t>
  </si>
  <si>
    <t xml:space="preserve">Folgueira, L; Moral, N; Pascual, C; Delgado, R</t>
  </si>
  <si>
    <t xml:space="preserve">Folgueira, Lola; Moral, Noelia; Pascual, Consuelo; Delgado, Rafael</t>
  </si>
  <si>
    <t xml:space="preserve">Comparison of the Panther Fusion and Allplex assays for the detection of respiratory viruses in clinical samples</t>
  </si>
  <si>
    <t xml:space="preserve">Human metapneumovirus; Rhinovirus; Medicine; Virology; Concordance; Metapneumovirus</t>
  </si>
  <si>
    <t xml:space="preserve">HUMAN METAPNEUMOVIRUS; HOSPITALIZED CHILDREN; INFLUENZA; INFECTIONS; DIAGNOSIS; IMPACT</t>
  </si>
  <si>
    <t xml:space="preserve">Respiratory viral infections are the most frequent clinical syndrome affecting both children and adults, and early detection is fundamental to avoid infection-related risks and reduce the healthcare costs incurred by unnecessary antibiotic treatments. In this study, performance characteristics of two commercial methods, the Panther Fusion(R) assay (Hologic Inc., San Diego, CA, USA) were compared to Allplex (TM) respiratory panels (Seegene, Seoul, South Korea) for the detection of influenza A (Flu A), influenza B (Flu B), respiratory syncytial virus (RSV), parainfluenza virus (PIV), human metapneumovirus (hMPV), rhinovirus (RV) and adenovirus (AdV) targets. A total of 865 specimens collected prospectively and retrospectively were included, and discordant results were further examined using another commercial product, R-GENE (TM) respiratory kits (bioMerieux, Marcy l'Etoile, France). There was high agreement between both methods, with 98.6% concordance and a kappa (k) value of 0.9 (95% CI: 0.89-0.92). A specific analysis of both methods for each viral agent demonstrated comparable sensitivity and specificity, both ranging from 0.83 to 1 with good predictive values for the prospective part of the study. Good agreement between both methods was also found for the kappa values obtained (ranging from 97.55% to 98.9%), with the lowest for hMPV (k = 0.83, 95% CI: 0.75-0.91) and RV (k = 0.73, 95% CI: 0.65-0.81). Amplification efficiency, measured according to the value of the cycle threshold (C-t) obtained in each of the amplifications in both tests, was significantly better with Panther Fusion for Flu A, Flu B, hMPV and RV. Regarding discordant results, R-GENE showed higher agreement with Panther Fusion-positive specimens (negative for Allplex; n = 28/71, 34.9%) than with Allplex-positive samples (negative for Panther Fusion; n = 7/49, 14.3%). In summary, Panther Fusion proved to be a more efficient fully-automated methodology, requiring shorter hands-on and turnaround times than Allplex.</t>
  </si>
  <si>
    <t xml:space="preserve">[Folgueira, Lola; Moral, Noelia; Pascual, Consuelo; Delgado, Rafael] Hosp Univ 12 Octubre, Microbiol Dept, Madrid, Spain; [Folgueira, Lola; Delgado, Rafael] Hosp Univ 12 Octubre, Biomed Res Inst Imas12, Madrid, Spain; [Folgueira, Lola; Delgado, Rafael] Univ Complutense, Sch Med, Dept Med, Madrid, Spain</t>
  </si>
  <si>
    <t xml:space="preserve">Hospital Universitario 12 de Octubre; Hospital Universitario 12 de Octubre; Complutense University of Madrid</t>
  </si>
  <si>
    <t xml:space="preserve">Folgueira, L (corresponding author), Hosp Univ 12 Octubre, Microbiol Dept, Madrid, Spain.;Folgueira, L (corresponding author), Hosp Univ 12 Octubre, Biomed Res Inst Imas12, Madrid, Spain.;Folgueira, L (corresponding author), Univ Complutense, Sch Med, Dept Med, Madrid, Spain.</t>
  </si>
  <si>
    <t xml:space="preserve">mfolgueira@salud.madrid.org</t>
  </si>
  <si>
    <t xml:space="preserve">Folgueira, Lola/C-7958-2016; Delgado, Rafael/C-4910-2016</t>
  </si>
  <si>
    <t xml:space="preserve">Folgueira, Lola/0000-0002-3730-015X; Delgado, Rafael/0000-0002-6912-4736</t>
  </si>
  <si>
    <t xml:space="preserve">Hologic Inc., (San Diego, CA, USA)</t>
  </si>
  <si>
    <t xml:space="preserve">This study was funded by Hologic Inc., (San Diego, CA, USA). The funder had no role in study design, data collection and analysis, decision to published, or preparation of the manuscript.</t>
  </si>
  <si>
    <t xml:space="preserve">DEC 27</t>
  </si>
  <si>
    <t xml:space="preserve">e0226403</t>
  </si>
  <si>
    <t xml:space="preserve">10.1371/journal.pone.0226403</t>
  </si>
  <si>
    <t xml:space="preserve">KN8IR</t>
  </si>
  <si>
    <t xml:space="preserve">WOS:000515089200019</t>
  </si>
  <si>
    <t xml:space="preserve">Thammawat, S; Sadlon, TA; Adamson, P; Gordon, DL</t>
  </si>
  <si>
    <t xml:space="preserve">Thammawat, Sutthiwan; Sadlon, Tania A.; Adamson, Penelope; Gordon, David L.</t>
  </si>
  <si>
    <t xml:space="preserve">Effect of sialidase fusion protein (DAS 181) on human metapneumovirus infection of Hep-2 cells</t>
  </si>
  <si>
    <t xml:space="preserve">ANTIVIRAL CHEMISTRY &amp; CHEMOTHERAPY</t>
  </si>
  <si>
    <t xml:space="preserve">Metapneumovirus; Virology; Human metapneumovirus; Microbiology; Biology</t>
  </si>
  <si>
    <t xml:space="preserve">Human metapneumovirus is an emerging cause of lower respiratory disease in infants, young children, and immuno-compromised adults. We have previously demonstrated that human metapneumovirus infection is mediated by interaction of human metapneumovirus attachment (G) and/or fusion (F) proteins with cellular glycosaminoglycans. We report here the activity of an investigational sialidase fusion protein, DAS181, on human metapneumovirus infection of Hep-2 cells. These results suggest that human metapneumovirus infection may involve sialic acids, providing a new therapeutic strategy for human metapneumovirus for which there is currently no available treatment. Methods: Hep-2 cells were preincubated with DAS181 or control DAS185 (a mutated sialidase) prior to inoculation with human metapneumovirus strains. Infectivity was assessed by a cell-based ELISA quantitating human metapneumovirus matrix protein. The effect of DAS181 on binding of recombinant G attachment protein was also determined. Results: DAS181 blocked infection of human metapneumovirus strains A2, B1, and B2 at low concentrations. No effect of DAS185 was observed. Binding of MPV G protein to Hep-2 cells was also markedly inhibited by preincubation of cells with DAS181. Conclusions: These results suggest that human metapneumovirus may utilize sialic acids as an entry cofactor. DAS181 may thus represent a new therapeutic agent useful for the treatment of human metapneumovirus.</t>
  </si>
  <si>
    <t xml:space="preserve">[Thammawat, Sutthiwan; Sadlon, Tania A.; Adamson, Penelope; Gordon, David L.] Flinders Univ S Australia, Dept Microbiol &amp; Infect Dis, Adelaide, SA, Australia; [Thammawat, Sutthiwan] Mahasarakham Univ, Fac Med, Maha Sarakham, Thailand</t>
  </si>
  <si>
    <t xml:space="preserve">Flinders University South Australia; Mahasarakham University</t>
  </si>
  <si>
    <t xml:space="preserve">Gordon, DL (corresponding author), Flinders Univ S Australia, Dept Microbiol &amp; Infect Dis, Bedford Pk, SA 5042, Australia.</t>
  </si>
  <si>
    <t xml:space="preserve">Flinders University Faculty of Health Sciences Research Grant</t>
  </si>
  <si>
    <t xml:space="preserve">The author(s) disclosed receipt of the following financial support for the research, authorship, and/or publication of this article: Supported by a Flinders University Faculty of Health Sciences Research Grant.</t>
  </si>
  <si>
    <t xml:space="preserve">0956-3202</t>
  </si>
  <si>
    <t xml:space="preserve">2040-2066</t>
  </si>
  <si>
    <t xml:space="preserve">ANTIVIR CHEM CHEMOTH</t>
  </si>
  <si>
    <t xml:space="preserve">Antivir. Chem. Chemother.</t>
  </si>
  <si>
    <t xml:space="preserve">5-6</t>
  </si>
  <si>
    <t xml:space="preserve">10.1177/2040206616665971</t>
  </si>
  <si>
    <t xml:space="preserve">Biochemistry &amp; Molecular Biology; Pharmacology &amp; Pharmacy; Virology</t>
  </si>
  <si>
    <t xml:space="preserve">V46EM</t>
  </si>
  <si>
    <t xml:space="preserve">WOS:000209867500005</t>
  </si>
  <si>
    <t xml:space="preserve">Pavlova, S; Hadzhiolova, T; Abadjieva, P; Kotseva, R</t>
  </si>
  <si>
    <t xml:space="preserve">Pavlova, S.; Hadzhiolova, T.; Abadjieva, P.; Kotseva, R.</t>
  </si>
  <si>
    <t xml:space="preserve">APPLICATION OF RT-PCR FOR DIAGNOSIS OF RESPIRATORY SYNCYTIAL VIRUS AND HUMAN METAPNEUMOVIRUS INFECTIONS IN BULGARIA, 2006-7 AND 2007-8</t>
  </si>
  <si>
    <t xml:space="preserve">Human metapneumovirus; Etiology; Virus; Metapneumovirus; Respiratory system; Virology</t>
  </si>
  <si>
    <t xml:space="preserve">CLINICAL CHARACTERISTICS; HOSPITALIZED INFANTS; TRACT INFECTIONS; INFLUENZA; YOUNG; CHILDREN; SURVEILLANCE; PREVALENCE; OUTBREAK</t>
  </si>
  <si>
    <t xml:space="preserve">We describe here the results of respiratory syncytial virus (RSV) detection by reverse transcription polymerase chain reaction (RT-PCR) during two consecutive seasons, from December 2006 to February 2007 and from October 2007 to March 2008, performed in the National Laboratory of Influenza and Acute Respiratory Diseases, Bulgaria. A total number of 278 nasopharyngeal samples obtained from hospitalised children up to the age of five years were investigated for these two seasons. During the first season, the aetiological role of RSV was confirmed in 56 of 148 samples (37.8%) compared to 11 of 130 samples (8.5%) during the second season. Since the beginning of January 2008, RT-PCR for the detection of the recently identified human metapneumovirus (HMPV) has also been introduced in Bulgaria. This virus has been demonstrated as the aetiological agent in 13 out of 81 samples (16%) from children of the same age group. The use of RT-PCR allows the detection of a broader spectrum of viruses causing respiratory diseases, as well as better discrimination of the aetiological agents in clinically similar cases.</t>
  </si>
  <si>
    <t xml:space="preserve">[Pavlova, S.; Hadzhiolova, T.; Kotseva, R.] Natl Ctr Infect &amp; Parasit Dis, Natl Lab Influenza &amp; Acute Resp Dis, Sofia, Bulgaria; [Abadjieva, P.] Second Multiprofile Hosp Act Treatment, Sofia, Bulgaria</t>
  </si>
  <si>
    <t xml:space="preserve">Pavlova, S (corresponding author), Natl Ctr Infect &amp; Parasit Dis, Natl Lab Influenza &amp; Acute Resp Dis, Sofia, Bulgaria.</t>
  </si>
  <si>
    <t xml:space="preserve">slavapavlova@ymail.com</t>
  </si>
  <si>
    <t xml:space="preserve">10.2807/ese.14.23.19233-en</t>
  </si>
  <si>
    <t xml:space="preserve">470YK</t>
  </si>
  <si>
    <t xml:space="preserve">WOS:000268018200004</t>
  </si>
  <si>
    <t xml:space="preserve">Kaida, A; Kubo, H; Takakura, KI; Sekiguchi, JI; Yamamoto, SP; Kohdera, U; Togawa, M; Amo, K; Shiomi, M; Ohyama, M; Goto, K; Hase, A; Kageyama, T; Iritani, N</t>
  </si>
  <si>
    <t xml:space="preserve">Kaida, Atsushi; Kubo, Hideyuki; Takakura, Koh-ichi; Sekiguchi, Jun-ichiro; Yamamoto, Seiji P.; Kohdera, Urara; Togawa, Masao; Amo, Kiyoko; Shiomi, Masashi; Ohyama, Minori; Goto, Kaoru; Hase, Atsushi; Kageyama, Tsutomu; Iritani, Nobuhiro</t>
  </si>
  <si>
    <t xml:space="preserve">Associations between Co-Detected Respiratory Viruses in Children with Acute Respiratory Infections</t>
  </si>
  <si>
    <t xml:space="preserve">Human metapneumovirus; Rhinovirus; Virology; Human bocavirus; Virus; Metapneumovirus; Respiratory system; Human Parainfluenza Virus</t>
  </si>
  <si>
    <t xml:space="preserve">REAL-TIME PCR; SYNCYTIAL VIRUS; TRACT INFECTIONS; HUMAN BOCAVIRUS; COMMON COLD; OSAKA CITY; COINFECTION; INFLUENZA; SAMPLES; JAPAN</t>
  </si>
  <si>
    <t xml:space="preserve">Viruses are the major etiological agents of acute respiratory infections (ARIs) in young children. Although respiratory virus co-detections are common, analysis of combinations of co-detected viruses has never been conducted in Japan. Nineteen respiratory viruses or subtypes were surveyed using multiplex real-time PCR on 1,044 pediatric (patient age &lt; 6 years) ARI specimens collected in Osaka City, Japan between January 2010 and December 2011. In total, 891 specimens (85.3%) were virus positive (1,414 viruses were detected), and 388 of the virus-positive specimens (43.5%, 388/891) were positive for multiple viruses. The ratio of multiple/total respiratory virus-positive specimens was high in children aged 0-35 months. Statistical analyses revealed that human bocavirus 1 and human adenovirus were synchronously co-detected. On the other hand, co-detections of human parainfluenza virus type 1 (HPIV-1) with HPIV-3, HPIV-3 with human metapneumovirus (hMPV), hMPV with respiratory syncytial virus A (RSV A), hMPV with influenza virus A (H1N1) 2009 (FLUA (H1N1) 2009), RSV A with RSV B, and human rhinovirus and FLUA (H1N1) 2009 were exclusive. These results suggest that young children ( &lt;3 years) are highly susceptible to respiratory viruses, and some combinations of viruses are synchronously or exclusively co-detected.</t>
  </si>
  <si>
    <t xml:space="preserve">[Kaida, Atsushi; Kubo, Hideyuki; Takakura, Koh-ichi; Sekiguchi, Jun-ichiro; Yamamoto, Seiji P.; Ohyama, Minori; Goto, Kaoru; Hase, Atsushi; Iritani, Nobuhiro] Osaka City Inst Publ Hlth &amp; Environm Sci, Dept Microbiol, Osaka 5430026, Japan; [Kohdera, Urara] Nakano Childrens Hosp, Osaka 5350022, Japan; [Togawa, Masao; Amo, Kiyoko] Osaka City Gen Hosp, Osaka 5340021, Japan; [Shiomi, Masashi] Aizenbashi Hosp, Osaka 5560005, Japan; [Kageyama, Tsutomu] Natl Inst Infect Dis, Influenza Virus Res Ctr, Tokyo 2080011, Japan</t>
  </si>
  <si>
    <t xml:space="preserve">Osaka City General Hospital; National Institute of Infectious Diseases (NIID)</t>
  </si>
  <si>
    <t xml:space="preserve">Ministry of Education, Culture, Sports, Science and Technology of Japan [23790720]; Ministry of Health, Labour and Welfare of Japan [H23-Shinko-Japan-004]; Grants-in-Aid for Scientific Research [26460819, 23790720] Funding Source: KAKEN</t>
  </si>
  <si>
    <t xml:space="preserve">Ministry of Education, Culture, Sports, Science and Technology of Japan(Ministry of Education, Culture, Sports, Science and Technology, Japan (MEXT)); Ministry of Health, Labour and Welfare of Japan(Ministry of Health, Labour and Welfare, Japan); Grants-in-Aid for Scientific Research(Ministry of Education, Culture, Sports, Science and Technology, Japan (MEXT)Japan Society for the Promotion of ScienceGrants-in-Aid for Scientific Research (KAKENHI))</t>
  </si>
  <si>
    <t xml:space="preserve">This work was supported in part by a Grant-in-Aid for Young Scientists (B) (23790720) from the Ministry of Education, Culture, Sports, Science and Technology of Japan and by a Grant-in-Aid for Emerging and Re-emerging Infectious Diseases (H23-Shinko-Japan-004) from the Ministry of Health, Labour and Welfare of Japan.</t>
  </si>
  <si>
    <t xml:space="preserve">10.7883/yoken.67.469</t>
  </si>
  <si>
    <t xml:space="preserve">AU9YS</t>
  </si>
  <si>
    <t xml:space="preserve">WOS:000345948500010</t>
  </si>
  <si>
    <t xml:space="preserve">Mousa, JJ; Binshtein, E; Human, S; Fong, RH; Alvarado, G; Doranz, BJ; Moore, ML; Ohi, MD; Crowe, JE</t>
  </si>
  <si>
    <t xml:space="preserve">Mousa, Jarrod J.; Binshtein, Elad; Human, Stacey; Fong, Rachel H.; Alvarado, Gabriela; Doranz, Benjamin J.; Moore, Martin L.; Ohi, Melanie D.; Crowe, James E., Jr.</t>
  </si>
  <si>
    <t xml:space="preserve">Human antibody recognition of antigenic site IV on Pneumovirus fusion proteins</t>
  </si>
  <si>
    <t xml:space="preserve">Epitope; Human metapneumovirus; Virology; Monoclonal antibody; Antigen; Antibody; Biology</t>
  </si>
  <si>
    <t xml:space="preserve">SYNCYTIAL VIRUS-INFECTION; MONOCLONAL-ANTIBODY; F PROTEIN; IN-VITRO; GLYCOPROTEIN; NEUTRALIZATION; VACCINE; SYSTEM; PREVENTION</t>
  </si>
  <si>
    <t xml:space="preserve">Respiratory syncytial virus (RSV) is a major human pathogen that infects the majority of children by two years of age. The RSV fusion (F) protein is a primary target of human antibodies, and it has several antigenic regions capable of inducing neutralizing antibodies. Antigenic site IV is preserved in both the pre-fusion and post-fusion conformations of RSV F. Antibodies to antigenic site IV have been described that bind and neutralize both RSV and human metapneumovirus (hMPV). To explore the diversity of binding modes at antigenic site IV, we generated a panel of four new human monoclonal antibodies (mAbs) and competition-binding suggested the mAbs bind at antigenic site IV. Mutagenesis experiments revealed that binding and neutralization of two mAbs (3M3 and 6F18) depended on arginine (R) residue R429. We discovered two R429-independent mAbs (17E10 and 2N6) at this site that neutralized an RSV R429A mutant strain, and one of these mAbs (17E10) neutralized both RSV and hMPV. To determine the mechanism of cross-reactivity, we performed competition-binding, recombinant protein mutagenesis, peptide binding, and electron microscopy experiments. It was determined that the human cross-reactive mAb 17E10 binds to RSV F with a binding pose similar to 101F, which may be indicative of cross-reactivity with hMPV F. The data presented provide new concepts in RSV immune recognition and vaccine design, as we describe the novel idea that binding pose may influence mAb cross-reactivity between RSV and hMPV. Characterization of the site IV epitope bound by human antibodies may inform the design of a pan-Pneumovirus vaccine.</t>
  </si>
  <si>
    <t xml:space="preserve">[Mousa, Jarrod J.; Crowe, James E., Jr.] Vanderbilt Univ, Med Ctr, Vanderbilt Vaccine Ctr, Nashville, TN 37232 USA; [Binshtein, Elad; Ohi, Melanie D.] Vanderbilt Univ, Med Ctr, Dept Cell &amp; Dev Biol, Nashville, TN USA; [Human, Stacey; Moore, Martin L.] Emory Univ, Sch Med, Dept Pediat, Atlanta, GA USA; [Human, Stacey; Moore, Martin L.] Childrens Healthcare Atlanta, Atlanta, GA USA; [Fong, Rachel H.; Doranz, Benjamin J.] Integral Mol Inc, Philadelphia, PA USA; [Alvarado, Gabriela; Crowe, James E., Jr.] Vanderbilt Univ, Dept Pathol Microbiol &amp; Immunol, 221 Kirkland Hall, Nashville, TN 37235 USA; [Crowe, James E., Jr.] Vanderbilt Univ, Sch Med, Dept Pediat, Nashville, TN 37212 USA</t>
  </si>
  <si>
    <t xml:space="preserve">Vanderbilt University; Vanderbilt University; Emory University; Children's Healthcare of Atlanta (CHOA); Vanderbilt University; Vanderbilt University</t>
  </si>
  <si>
    <t xml:space="preserve">Crowe, JE (corresponding author), Vanderbilt Univ, Med Ctr, Vanderbilt Vaccine Ctr, Nashville, TN 37232 USA.;Crowe, JE (corresponding author), Vanderbilt Univ, Dept Pathol Microbiol &amp; Immunol, 221 Kirkland Hall, Nashville, TN 37235 USA.;Crowe, JE (corresponding author), Vanderbilt Univ, Sch Med, Dept Pediat, Nashville, TN 37212 USA.</t>
  </si>
  <si>
    <t xml:space="preserve">Human, Stacey/AAR-6094-2020; Crowe, James/B-5549-2009</t>
  </si>
  <si>
    <t xml:space="preserve">Ohi, Melanie/0000-0003-1750-4793; Crowe, James/0000-0002-0049-1079; Mousa, Jarrod/0000-0003-4709-2478; Human, Stacey/0000-0003-4735-2065; Binshtein, Elad/0000-0003-2745-104X</t>
  </si>
  <si>
    <t xml:space="preserve">NIGMS NIH HHS [R25 GM062459] Funding Source: Medline</t>
  </si>
  <si>
    <t xml:space="preserve">NIGMS NIH HHS(United States Department of Health &amp; Human ServicesNational Institutes of Health (NIH) - USANIH National Institute of General Medical Sciences (NIGMS))</t>
  </si>
  <si>
    <t xml:space="preserve">e1006837</t>
  </si>
  <si>
    <t xml:space="preserve">10.1371/journal.ppat.1006837</t>
  </si>
  <si>
    <t xml:space="preserve">FY0CH</t>
  </si>
  <si>
    <t xml:space="preserve">WOS:000426477000012</t>
  </si>
  <si>
    <t xml:space="preserve">Di Paola, N; Cunha, MD; Durigon, GS; Berezin, EN; Durigon, E; Oliveira, DBL; Zanotto, PMD</t>
  </si>
  <si>
    <t xml:space="preserve">Di Paola, Nicholas; Cunha, Marielton dos Passos; Durigon, Giuliana Stravinskas; Berezin, Eitan Naaman; Durigon, Edison; Leal Oliveira, Danielle Bruna; de Andrade Zanotto, Paolo Marinho</t>
  </si>
  <si>
    <t xml:space="preserve">Complete Genome Sequence of a Human Metapneumovirus Isolate Collected in Brazil</t>
  </si>
  <si>
    <t xml:space="preserve">Human metapneumovirus; Metapneumovirus; Whole genome sequencing; Biology; Sequence (biology); Virology; Genome</t>
  </si>
  <si>
    <t xml:space="preserve">Here, we present the complete genome sequence of a human metapneumovirus isolate collected from a hospitalized infant suffering from acute respiratory disease. This is the first complete genome sequence of human metapneumovirus originating from Brazil.</t>
  </si>
  <si>
    <t xml:space="preserve">[Di Paola, Nicholas; Cunha, Marielton dos Passos; Durigon, Edison; Leal Oliveira, Danielle Bruna; de Andrade Zanotto, Paolo Marinho] Univ Sao Paulo, Inst Biomed Sci, Dept Microbiol, Sao Paulo, Brazil; [Durigon, Giuliana Stravinskas; Berezin, Eitan Naaman] Santa Casa de Misericordia Hosp, Dept Pediat, Sao Paulo, Brazil; [Durigon, Giuliana Stravinskas] Univ Sao Paulo, HC FMUSP, Childrens Inst, Infect Dis Div, Sao Paulo, Brazil</t>
  </si>
  <si>
    <t xml:space="preserve">Zanotto, PMD (corresponding author), Univ Sao Paulo, Inst Biomed Sci, Dept Microbiol, Sao Paulo, Brazil.</t>
  </si>
  <si>
    <t xml:space="preserve">pzanotto@usp.br</t>
  </si>
  <si>
    <t xml:space="preserve">Oliveira, Danielle/H-8030-2015; de A. Zanotto, Paolo/B-9286-2019; Cunha, Marielton/G-8715-2016</t>
  </si>
  <si>
    <t xml:space="preserve">Oliveira, Danielle/0000-0002-0534-0886</t>
  </si>
  <si>
    <t xml:space="preserve">Fundacao de Amparo a Pesquisa do Estado de Sao Paulo (FAPESP) [2013/22136-1, 2016/08204-2, 2014/17766-9]; Conselho Nacional de Desenvolvimento Cientifico e Tecnologico (CNPq) [441105/2016-5]</t>
  </si>
  <si>
    <t xml:space="preserve">Fundacao de Amparo a Pesquisa do Estado de Sao Paulo (FAPESP)(Fundacao de Amparo a Pesquisa do Estado de Sao Paulo (FAPESP)); Conselho Nacional de Desenvolvimento Cientifico e Tecnologico (CNPq)(Conselho Nacional de Desenvolvimento Cientifico e Tecnologico (CNPQ))</t>
  </si>
  <si>
    <t xml:space="preserve">This work was supported by the Fundacao de Amparo a Pesquisa do Estado de Sao Paulo (FAPESP) (projects 2013/22136-1, 2016/08204-2, and 2014/17766-9) and the Conselho Nacional de Desenvolvimento Cientifico e Tecnologico (CNPq) (process number 441105/2016-5). The funders had no role in the data collection or analysis, decision to publish, or preparation of the manuscript.</t>
  </si>
  <si>
    <t xml:space="preserve">e01597-17</t>
  </si>
  <si>
    <t xml:space="preserve">10.1128/genomeA.01597-17</t>
  </si>
  <si>
    <t xml:space="preserve">HD2CM</t>
  </si>
  <si>
    <t xml:space="preserve">WOS:000452318700026</t>
  </si>
  <si>
    <t xml:space="preserve">Price, RHM; Graham, C; Ramalingam, S</t>
  </si>
  <si>
    <t xml:space="preserve">Price, Rory Henry Macgregor; Graham, Catriona; Ramalingam, Sandeep</t>
  </si>
  <si>
    <t xml:space="preserve">Association between viral seasonality and meteorological factors</t>
  </si>
  <si>
    <t xml:space="preserve">Human metapneumovirus; Metapneumovirus; Rhinovirus; Virology; Virus; Seasonality; Respiratory tract infections; Humidity</t>
  </si>
  <si>
    <t xml:space="preserve">RESPIRATORY SYNCYTIAL VIRUS; RELATIVE-HUMIDITY; COMMON COLD; INFLUENZA SEASONALITY; AEROSOL STABILITY; TRANSMISSION; INFECTIONS; EPIDEMIOLOGY; SURVEILLANCE; TEMPERATURE</t>
  </si>
  <si>
    <t xml:space="preserve">Numerous viruses can cause upper respiratory tract infections. They often precede serious lower respiratory tract infections. Each virus has a seasonal pattern, with peaks in activity in different seasons. We examined the effects of daily local meteorological data (temperature, relative humidity, humidityrange and dew point) from Edinburgh, Scotland on the seasonal variations in viral transmission. We identified the seasonality of rhinovirus, adenovirus, influenza A and B viruses, human parainfluenza viruses 1-3 (HPIV), respiratory syncytial virus (RSV) and human metapneumovirus (HMPV) from the 52060 respiratory samples tested between 2009 and 2015 and then confirmed the same by a generalised linear model. We also investigated the relationship between meteorological factors and viral seasonality. Non-enveloped viruses were present throughout the year. Following logistic regression adenovirus, influenza viruses A, B, RSV and HMPV preferred low temperatures; RSV and influenza A virus preferred a narrow humidity-range and HPIV type 3 preferred the season with lower humidity. A change (i.e. increase or decrease) in specific meteorological factors is associated with an increase in activity of specific viruses at certain times of the year.</t>
  </si>
  <si>
    <t xml:space="preserve">[Price, Rory Henry Macgregor; Ramalingam, Sandeep] Royal Infirm Edinburgh NHS Trust, Dept Lab Med, Edinburgh, Midlothian, Scotland; [Price, Rory Henry Macgregor; Ramalingam, Sandeep] Univ Edinburgh, Edinburgh Med Sch, Div Infect &amp; Pathway Med, Edinburgh, Midlothian, Scotland; [Graham, Catriona] Univ Edinburgh, Wellcome Trust Clin Res Facil, Edinburgh, Midlothian, Scotland</t>
  </si>
  <si>
    <t xml:space="preserve">University of Edinburgh; Royal Infirmary of Edinburgh; University of Edinburgh; University of Edinburgh</t>
  </si>
  <si>
    <t xml:space="preserve">Ramalingam, S (corresponding author), Royal Infirm Edinburgh NHS Trust, Dept Lab Med, Edinburgh, Midlothian, Scotland.;Ramalingam, S (corresponding author), Univ Edinburgh, Edinburgh Med Sch, Div Infect &amp; Pathway Med, Edinburgh, Midlothian, Scotland.</t>
  </si>
  <si>
    <t xml:space="preserve">Sandeep.Ramalingam@nhslothian.scot.nhs.uk</t>
  </si>
  <si>
    <t xml:space="preserve">Ramalingam, Sandeep/0000-0001-7676-4267</t>
  </si>
  <si>
    <t xml:space="preserve">10.1038/s41598-018-37481-y</t>
  </si>
  <si>
    <t xml:space="preserve">HJ4FF</t>
  </si>
  <si>
    <t xml:space="preserve">WOS:000457128700006</t>
  </si>
  <si>
    <t xml:space="preserve">Biacchesi, S; Murphy, BR; Collins, PL; Buchholz, UJ</t>
  </si>
  <si>
    <t xml:space="preserve">Biacchesi, Stephane; Murphy, Brian R.; Collins, Peter L.; Buchholz, Ursula J.</t>
  </si>
  <si>
    <t xml:space="preserve">Frequent frameshift and point mutations in the SH gene of human metapneumovirus passaged in vitro</t>
  </si>
  <si>
    <t xml:space="preserve">Biology; Frameshift mutation; Gene; Point mutation; Genetics; Recombinant DNA; Nucleic acid sequence; Molecular biology; Mutant; Human metapneumovirus</t>
  </si>
  <si>
    <t xml:space="preserve">RESPIRATORY SYNCYTIAL VIRUS; SMALL HYDROPHOBIC PROTEIN; GLYCOPROTEIN; REPLICATION; ATTENUATION; DIVERSITY; INFECTION; CHILDREN; RECOVERY; DELETION</t>
  </si>
  <si>
    <t xml:space="preserve">During the preparation of recombinant derivatives of the CAN97-83 clinical isolate of human metapneumovirus (HMPV), consensus nucleotide sequencing of the recovered RNA genomes provided evidence of frequent sequence heterogeneity at a number of genome positions. This heterogeneity was suggestive of sizable subpopulations containing mutations. An analysis of molecularly cloned cDNAs confirmed the presence of mixed populations. The biologically derived virus on which the recombinant system is based also contained sizeable mutant subpopulations, whose presence was confirmed by biological cloning and nucleotide sequencing. Most of the mutations occurred in the SH gene. For example, partial consensus sequencing of 40 independent preparations of recombinant HMPV (wild-type and various derivatives) showed that 31 of these preparations contained a total of 41 instances of small insertions in the SH gene and a total of five small insertions elsewhere. In each of these 31 preparations, there was at least one insert in SH that changed the reading frame and would yield a truncated protein. Nearly all of these insertions involved adding one or more A residues to various tracks of four or more A residues, with the most frequent site being a tract of seven A residues. There were also two instances of nucleotide deletions and numerous instances of nucleotide substitution point mutations, mostly in the SH gene. The occurrence of mutant subpopulations was greatly reduced by the replacement of the SH gene with a synthetic version in which these oligonucleotide tracts were eliminated by silent nucleotide changes. We suggest that we frequently detected subpopulations in which the expression of full-length SH protein was ablated because it provided a modest selective advantage to this clinical isolate in vitro. Adaptation involving the functional loss of a gene is unusual for an RNA virus.</t>
  </si>
  <si>
    <t xml:space="preserve">Buchholz, UJ (corresponding author), Bldg 50,Room 6505,50 South Dr,MSC 8007, Bethesda, MD 20892 USA.</t>
  </si>
  <si>
    <t xml:space="preserve">10.1128/JVI.00128-07</t>
  </si>
  <si>
    <t xml:space="preserve">173II</t>
  </si>
  <si>
    <t xml:space="preserve">WOS:000246866300059</t>
  </si>
  <si>
    <t xml:space="preserve">Wei, YW; Feng, K; Yao, XJ; Cai, H; Li, JN; Mirza, AM; Iorio, RM; Li, JR</t>
  </si>
  <si>
    <t xml:space="preserve">Wei, Yongwei; Feng, Kurtis; Yao, Xiangjie; Cai, Hui; Li, Junan; Mirza, Anne M.; Iorio, Ronald M.; Li, Jianrong</t>
  </si>
  <si>
    <t xml:space="preserve">Localization of a Region in the Fusion Protein of Avian Metapneumovirus That Modulates Cell-Cell Fusion</t>
  </si>
  <si>
    <t xml:space="preserve">Biology; Cell fusion; Metapneumovirus; Virology; Human metapneumovirus; Cell; Fusion protein</t>
  </si>
  <si>
    <t xml:space="preserve">NEWCASTLE-DISEASE VIRUS; PARAMYXOVIRUS MEMBRANE-FUSION; F-PROTEIN; HEMAGGLUTININ-NEURAMINIDASE; RECEPTOR RECOGNITION; HISTIDINE-RESIDUES; STRUCTURAL BASIS; ACTIVATION SITE; GLYCOPROTEIN; PNEUMOVIRUS</t>
  </si>
  <si>
    <t xml:space="preserve">The genus Metapneumovirus within the subfamily Pneumovirinae of the family Paramyxoviridae includes two members, human metapneumovirus (hMPV) and avian metapneumovirus (aMPV), causing respiratory tract infections in humans and birds, respectively. Paramyxoviruses enter host cells by fusing the viral envelope with a host cell membrane. Membrane fusion of hMPV appears to be unique, in that fusion of some hMPV strains requires low pH. Here, we show that the fusion (F) proteins of aMPV promote fusion in the absence of the attachment protein and low pH is not required. Furthermore, there are notable differences in cell-cell fusion among aMPV subtypes. Trypsin was required for cell-cell fusion induced by subtype B but not subtypes A and C. The F protein of aMPV subtype A was highly fusogenic, whereas those from subtypes B and C were not. By construction and evaluation of chimeric F proteins composed of domains from the F proteins of subtypes A and B, we localized a region composed of amino acid residues 170 to 338 in the F protein that is responsible for the hyperfusogenic phenotype of the F from subtype A. Further mutagenesis analysis revealed that residues R295, G297, and K323 in this region collectively contributed to the hyperfusogenicity. Taken together, we have identified a region in the aMPV F protein that modulates the extent of membrane fusion. A model for fusion consistent with these data is presented.</t>
  </si>
  <si>
    <t xml:space="preserve">[Wei, Yongwei; Feng, Kurtis; Yao, Xiangjie; Cai, Hui; Li, Jianrong] Ohio State Univ, Dept Food Sci &amp; Technol, Coll Food Agr &amp; Environm Sci, Columbus, OH 43210 USA; [Li, Junan; Li, Jianrong] Ohio State Univ, Div Environm Hlth Sci, Coll Publ Hlth, Columbus, OH 43210 USA; [Li, Jianrong] Ohio State Univ, Ctr RNA Biol, Columbus, OH 43210 USA; [Mirza, Anne M.; Iorio, Ronald M.] Univ Massachusetts, Sch Med, Dept Microbiol &amp; Physiol Syst, Worcester, MA USA; [Iorio, Ronald M.] Univ Massachusetts, Sch Med, Program Immunol &amp; Virol, Worcester, MA USA</t>
  </si>
  <si>
    <t xml:space="preserve">University System of Ohio; Ohio State University; University System of Ohio; Ohio State University; University System of Ohio; Ohio State University; University of Massachusetts System; University of Massachusetts Worcester; University of Massachusetts System; University of Massachusetts Worcester</t>
  </si>
  <si>
    <t xml:space="preserve">Li, JR (corresponding author), Ohio State Univ, Dept Food Sci &amp; Technol, Coll Food Agr &amp; Environm Sci, Columbus, OH 43210 USA.</t>
  </si>
  <si>
    <t xml:space="preserve">Feng, KH/HJH-8892-2023; Li, Jianrong/E-3510-2011</t>
  </si>
  <si>
    <t xml:space="preserve">Feng, Kurtis/0000-0002-5174-9009</t>
  </si>
  <si>
    <t xml:space="preserve">This study was supported in part by grants from the NIH (R01AI090060) and the USDA Agriculture and Food Research Initiative (2010-65119-20602) and a pilot grant from the OSU Center for Clinical and Translational Science (CCTS) to J.L.</t>
  </si>
  <si>
    <t xml:space="preserve">10.1128/JVI.00232-12</t>
  </si>
  <si>
    <t xml:space="preserve">018JT</t>
  </si>
  <si>
    <t xml:space="preserve">WOS:000309657100037</t>
  </si>
  <si>
    <t xml:space="preserve">Sama, IE; Huynen, MA</t>
  </si>
  <si>
    <t xml:space="preserve">Sama, Iziah Edwin; Huynen, Martijn A.</t>
  </si>
  <si>
    <t xml:space="preserve">Measuring the physical cohesiveness of proteins using physical interaction enrichment</t>
  </si>
  <si>
    <t xml:space="preserve">BIOINFORMATICS</t>
  </si>
  <si>
    <t xml:space="preserve">Interaction network; Computational biology; Normalization (sociology)</t>
  </si>
  <si>
    <t xml:space="preserve">INTERACTION NETWORKS; FUNCTIONAL MODULES; EPITHELIAL-CELLS; DATABASE; DISEASE; IDENTIFICATION; TRANSCRIPTOME; EXPRESSION; CENTRALITY; CYTOSCAPE</t>
  </si>
  <si>
    <t xml:space="preserve">Motivation: Protein-protein interaction (PPI) networks are a valuable resource for the interpretation of genomics data. However, such networks have interaction enrichment biases for proteins that are often studied. These biases skew quantitative results from comparing PPI networks with genomics data. Here, we introduce an approach named physical interaction enrichment (PIE) to eliminate these biases. Methodology: PIE employs a normalization that ensures equal node degree (edge) distribution of a test set and of the random networks it is compared with. It quantifies whether a set of proteins have more interactions between themselves than proteins in random networks, and can therewith be regarded as physically cohesive. Results: Among other datasets, we applied PIE to genetic morbid disease (GMD) genes and to genes whose expression is induced upon infection with human-metapneumovirus (HMPV). Both sets contain proteins that are often studied and that have relatively many interactions in the PPI network. Although interactions between proteins of both sets are found to be overrepresented in PPI networks, the GMD proteins are not more likely to interact with each other than random proteins when this overrepresentation is taken into account. In contrast the HMPV-induced genes, representing a biologically more coherent set, encode proteins that do tend to interact with each other and can be used to predict new HMPV-induced genes. By handling biases in PPI networks, PIE can be a valuable tool to quantify the degree to which a set of genes are involved in the same biological process.</t>
  </si>
  <si>
    <t xml:space="preserve">[Sama, Iziah Edwin; Huynen, Martijn A.] Radboud Univ Nijmegen, Med Ctr, Ctr Mol &amp; Biomol Informat, Nijmegen Ctr Mol Life Sci, NL-6500 HB Nijmegen, Netherlands</t>
  </si>
  <si>
    <t xml:space="preserve">Radboud University Nijmegen</t>
  </si>
  <si>
    <t xml:space="preserve">Sama, IE (corresponding author), Radboud Univ Nijmegen, Med Ctr, Ctr Mol &amp; Biomol Informat, Nijmegen Ctr Mol Life Sci, POB 9101, NL-6500 HB Nijmegen, Netherlands.</t>
  </si>
  <si>
    <t xml:space="preserve">i.sama@cmbi.ru.nl; m.huynen@cmbi.ru.nl</t>
  </si>
  <si>
    <t xml:space="preserve">; Huynen, Martijn/A-1530-2014</t>
  </si>
  <si>
    <t xml:space="preserve">Sama, Iziah/0000-0002-9056-7152; Huynen, Martijn/0000-0001-6189-5491</t>
  </si>
  <si>
    <t xml:space="preserve">This work was supported by the VIRGO consortium, an Innovative Cluster approved by the Netherlands Genomics Initiative and partially funded by the Dutch Government (BSIK 03012), The Netherlands.</t>
  </si>
  <si>
    <t xml:space="preserve">1367-4803</t>
  </si>
  <si>
    <t xml:space="preserve">1460-2059</t>
  </si>
  <si>
    <t xml:space="preserve">Bioinformatics</t>
  </si>
  <si>
    <t xml:space="preserve">10.1093/bioinformatics/btq474</t>
  </si>
  <si>
    <t xml:space="preserve">Biochemical Research Methods; Biotechnology &amp; Applied Microbiology; Computer Science, Interdisciplinary Applications; Mathematical &amp; Computational Biology; Statistics &amp; Probability</t>
  </si>
  <si>
    <t xml:space="preserve">Biochemistry &amp; Molecular Biology; Biotechnology &amp; Applied Microbiology; Computer Science; Mathematical &amp; Computational Biology; Mathematics</t>
  </si>
  <si>
    <t xml:space="preserve">673LT</t>
  </si>
  <si>
    <t xml:space="preserve">WOS:000283665000013</t>
  </si>
  <si>
    <t xml:space="preserve">Fok, A; Mateevici, C; Lin, B; Chandra, RV; Chong, VHT</t>
  </si>
  <si>
    <t xml:space="preserve">Fok, Anthony; Mateevici, Cristina; Lin, Belinda; Chandra, Ronil V.; Chong, Victor H. T.</t>
  </si>
  <si>
    <t xml:space="preserve">Encephalitis-Associated Human Metapneumovirus Pneumonia in Adult, Australia</t>
  </si>
  <si>
    <t xml:space="preserve">Human metapneumovirus; Metapneumovirus; Encephalitis; Pneumonia; Medicine; Virology</t>
  </si>
  <si>
    <t xml:space="preserve">INFECTION; ENCEPHALOPATHY; CHILDREN; PATIENT; VIRUS; YOUNG</t>
  </si>
  <si>
    <t xml:space="preserve">Human metapneumovirus pneumonia, most commonly found in children, was diagnosed in an adult with encephalitis. This case suggests that testing for human metapneumovirus RNA in nasopharyngeal aspirate and cerebrospinal fluid samples should be considered in adults with encephalitis who have a preceding respiratory infection,</t>
  </si>
  <si>
    <t xml:space="preserve">[Fok, Anthony; Mateevici, Cristina; Lin, Belinda; Chong, Victor H. T.] Western Hlth, Melbourne, Vic, Australia; [Chandra, Ronil V.] Monash Univ, Monash Hlth, Melbourne, Vic, Australia</t>
  </si>
  <si>
    <t xml:space="preserve">Western Health; Monash University; Monash Health</t>
  </si>
  <si>
    <t xml:space="preserve">Fok, A (corresponding author), Eye Care Ctr, Fac Med, Dept Ophthalmol &amp; Visual Sci, 550 Willow S, Vancouver, BC V5Z 3N9, Canada.</t>
  </si>
  <si>
    <t xml:space="preserve">anfernee45@hotmail.com</t>
  </si>
  <si>
    <t xml:space="preserve">Chandra, Ronil/GPK-0357-2022</t>
  </si>
  <si>
    <t xml:space="preserve">Chandra, Ronil/0000-0001-7555-2297</t>
  </si>
  <si>
    <t xml:space="preserve">Medical Insurance Group Australia; Merck Serono; Bayer</t>
  </si>
  <si>
    <t xml:space="preserve">Medical Insurance Group Australia; Merck Serono(Merck &amp; Company); Bayer(Bayer AG)</t>
  </si>
  <si>
    <t xml:space="preserve">A.F. received a Doctor's in Training Grant from Medical Insurance Group Australia. V.H.T.C. received travel grants from Merck Serono and Bayer.</t>
  </si>
  <si>
    <t xml:space="preserve">10.3201/eid2111.150608</t>
  </si>
  <si>
    <t xml:space="preserve">CU5WA</t>
  </si>
  <si>
    <t xml:space="preserve">WOS:000363601500029</t>
  </si>
  <si>
    <t xml:space="preserve">Köndgeni, S; Calvignac-Spencer, S; Grützmacherl, K; Keil, V; Mätz-Rensing, K; Nowak, K; Metzger, S; Kiyangs, J; Becker, AL; Deschner, T; Wittig, RM; Lankester, F; Leendertz, FH</t>
  </si>
  <si>
    <t xml:space="preserve">Koendgeni, Sophie; Calvignac-Spencer, Sebastien; Gruetzmacherl, Kim; Keil, Verena; Maetz-Rensing, Kerstin; Nowak, Kathrin; Metzger, Sonja; Kiyangs, John; Becker, Antina Luebke; Deschner, Tobias; Wittig, Roman M.; Lankester, Felix; Leendertz, Fabian H.</t>
  </si>
  <si>
    <t xml:space="preserve">Evidence for Human Streptococcus pneumoniae in wild and captive chimpanzees: A potential threat to wild populations</t>
  </si>
  <si>
    <t xml:space="preserve">Biology; Streptococcus pneumoniae; Outbreak; Coinfection; Transmission (telecommunications); Population</t>
  </si>
  <si>
    <t xml:space="preserve">RESPIRATORY SYNCYTIAL VIRUS; HUMAN METAPNEUMOVIRUS INFECTION; GREAT APES; SEQUENCE ALIGNMENT; PAN-TROGLODYTES; DISEASE; COLONIZATION; EPIDEMIOLOGY; CHILDREN; GORILLAS</t>
  </si>
  <si>
    <t xml:space="preserve">Habituation of wild great apes for tourism and research has had a significant positive effect on the conservation of these species. However, risks associated with such activities have been identified, specifically the transmission of human respiratory viruses to wild great apes, causing high morbidity and, occasionally, mortality. Here, we investigate the source of bacterial-viral co-infections in wild and captive chimpanzee communities in the course of several respiratory disease outbreaks. Molecular analyses showed that human respiratory syncytial viruses (HRSV) and human metapneumoviruses (HMPV) were involved in the etiology of the disease. In addition our analysis provide evidence for coinfection with Streptococcus (S.) pneumoniae. Characterisation of isolates from wild chimpanzees point towards a human origin of these bacteria. Transmission of these bacteria is of concern because - in contrast to HRSV and HMPV - S. pneumoniae can become part of the nasopharyngeal flora, contributing to the severity of respiratory disease progression. Furthermore these bacteria have the potential to spread to other individuals in the community and ultimately into the population. Targeted vaccination programs could be used to vaccinate habituated great apes but also human populations around great ape habitats, bringing health benefits to both humans and wild great apes.</t>
  </si>
  <si>
    <t xml:space="preserve">[Koendgeni, Sophie; Calvignac-Spencer, Sebastien; Gruetzmacherl, Kim; Keil, Verena; Nowak, Kathrin; Leendertz, Fabian H.] Robert Koch Inst, Epidemiol Highly Pathogen Microorganisms, D-13353 Berlin, Germany; [Koendgeni, Sophie] Charite, Inst Med Virol, D-10117 Berlin, Germany; [Maetz-Rensing, Kerstin] German Primate Ctr, Dept Pathol, D-37077 Gottingen, Germany; [Metzger, Sonja; Deschner, Tobias; Wittig, Roman M.] Max Planck Inst Evolutionary Anthropol, Dept Primatol, D-04103 Leipzig, Germany; [Kiyangs, John; Lankester, Felix] Limbe Wildlife Ctr, Limbe, Sw Region, Cameroon; [Becker, Antina Luebke] Free Univ Berlin, Berlin Inst Microbiol &amp; Epizoot, D-14163 Berlin, Germany; [Wittig, Roman M.] Ctr Suisse Rech Sci, Tai Chimpanzee Project, 01 BP 1303, Abidjan, Cote Ivoire; [Lankester, Felix] Washington State Univ, Paul G Allen Sch Global Anim Hlth, Pullman, WA 99164 USA; [Nowak, Kathrin] Robert Koch Inst, Dept Infect Dis Epidemiol, D-13353 Berlin, Germany; [Metzger, Sonja] Leipniz Inst Zoo &amp; Wildlife Res, Evolutionary Ecol, D-10315 Berlin, Germany</t>
  </si>
  <si>
    <t xml:space="preserve">Robert Koch Institute; Berlin Institute of Health; Free University of Berlin; Humboldt University of Berlin; Charite Universitatsmedizin Berlin; Deutsches Primatenzentrum (DPZ); Max Planck Society; Free University of Berlin; Centre Suisse de Recherches Scientifiques en Cote d'Ivoire (CSRS); Washington State University; Robert Koch Institute</t>
  </si>
  <si>
    <t xml:space="preserve">Leendertz, FH (corresponding author), Robert Koch Inst, Epidemiol Highly Pathogen Microorganisms, D-13353 Berlin, Germany.</t>
  </si>
  <si>
    <t xml:space="preserve">Calvignac-Spencer, Sebastien/D-2313-2010; Leendertz, Fabian/H-8902-2019</t>
  </si>
  <si>
    <t xml:space="preserve">Lankester, Felix/0000-0002-0802-0693; Calvignac-Spencer, Sebastien/0000-0003-4834-0509; Nowak, Kathrin/0000-0001-7537-5200</t>
  </si>
  <si>
    <t xml:space="preserve">ARCUS Foundation; Robert Koch-Institute; Max-Planck-Institute for evolutionary anthropology; Ministry of the Environment and Forests; Ministry of Research; Office Ivorien des Parcs et Reserves</t>
  </si>
  <si>
    <t xml:space="preserve">ARCUS Foundation; Robert Koch-Institute; Max-Planck-Institute for evolutionary anthropology; Ministry of the Environment and Forests; Ministry of Research(Ministry of Research and Technology of the Republic of Indonesia (RISTEK)); Office Ivorien des Parcs et Reserves</t>
  </si>
  <si>
    <t xml:space="preserve">We thank the Ivorian authorities for their long-term support, especially the Ministry of the Environment and Forests as well as the Ministry of Research, the Office Ivorien des Parcs et Reserves, and the director of the Tai National Park. We are grateful to the Centre Suisse de Recherches Scientifiques and the staff of the Tai Chimpanzee Project. We also thank the according authorities from Cameroon. For sequencing we thank the staff of the RKIs sequencing laboratory. This work was supported by the ARCUS Foundation, the Robert Koch-Institute and the Max-Planck-Institute for evolutionary anthropology.</t>
  </si>
  <si>
    <t xml:space="preserve">10.1038/s41598-017-14769-z</t>
  </si>
  <si>
    <t xml:space="preserve">FL7GN</t>
  </si>
  <si>
    <t xml:space="preserve">WOS:000414415000081</t>
  </si>
  <si>
    <t xml:space="preserve">Weng, YJ; Lu, WX; Harmon, A; Xiang, XX; Deng, QJ; Song, MX; Wang, D; Yu, QZ; Li, F</t>
  </si>
  <si>
    <t xml:space="preserve">Weng, Yuejin; Lu, Wuxun; Harmon, Aaron; Xiang, Xiaoxiao; Deng, Qiji; Song, Minxun; Wang, Dan; Yu, Qingzhong; Li, Feng</t>
  </si>
  <si>
    <t xml:space="preserve">The cellular endosomal sorting complex required for transport pathway is not involved in avian metapneumovirus budding in a virus-like-particle expression system</t>
  </si>
  <si>
    <t xml:space="preserve">Metapneumovirus; Human metapneumovirus; ESCRT; Biology; Virology; Paramyxoviridae; Mononegavirales; Budding</t>
  </si>
  <si>
    <t xml:space="preserve">INFECTIOUS-ANEMIA VIRUS; SMALL HYDROPHOBIC SH; MATRIX PROTEIN; VACCINE CANDIDATES; LATE DOMAINS; SUBTYPE-C; G-GENES; SEQUENCE; TSG101; PARAMYXOVIRUS</t>
  </si>
  <si>
    <t xml:space="preserve">Avian metapneumovirus (AMPV) is a paramyxovirus that principally causes respiratory disease and egg production drops in turkeys and chickens. Together with its closely related human metapneumovirus (HMPV), they comprise the genus Metapneumovirus in the family Paramyxoviridae. Little is currently known about the mechanisms involved in the budding of metapneumovirus. By using AMPV as a model system, we showed that the matrix (M) protein by itself was insufficient to form virus-like-particles (VLPs). The incorporation of M into VLPs was shown to occur only when both the viral nucleoprotein (N) and the fusion (F) proteins were co-expressed. Furthermore, we provided evidence indicating that two YSKL and YAGL segments encoded within the M protein were not a functional late domain, and the endosomal sorting complex required for transport (ESCRT) machinery was not involved in metapneumovirus budding, consistent with a recent observation that human respiratory syncytial virus, closely related to HMPV, uses an ESCRT-independent budding mechanism. Taken together, these results suggest that metapneumovirus budding is independent of the ESCRT pathway and the minimal budding machinery described here will aid our future understanding of metapneumovirus assembly and egress.</t>
  </si>
  <si>
    <t xml:space="preserve">[Weng, Yuejin; Lu, Wuxun; Harmon, Aaron; Xiang, Xiaoxiao; Wang, Dan; Li, Feng] S Dakota State Univ, Dept Biol &amp; Microbiol, Brookings, SD 57007 USA; [Weng, Yuejin; Harmon, Aaron; Deng, Qiji; Li, Feng] S Dakota State Univ, Dept Vet &amp; Biomed Sci, Brookings, SD 57007 USA; [Weng, Yuejin; Lu, Wuxun; Harmon, Aaron; Xiang, Xiaoxiao; Deng, Qiji; Wang, Dan; Li, Feng] S Dakota State Univ, Ctr Infect Dis Res &amp; Vaccinol, Brookings, SD 57007 USA; [Song, Minxun] Shandong Acad Agr Sci, Inst Poultry Sci, Jinan 250023, Peoples R China; [Yu, Qingzhong] ARS, SE Poultry Res Lab, USDA, Athens, GA 30605 USA</t>
  </si>
  <si>
    <t xml:space="preserve">South Dakota State University; South Dakota State University; South Dakota State University; Shandong Academy of Agricultural Sciences; United States Department of Agriculture (USDA)</t>
  </si>
  <si>
    <t xml:space="preserve">Li, F (corresponding author), S Dakota State Univ, Dept Biol &amp; Microbiol, Brookings, SD 57007 USA.</t>
  </si>
  <si>
    <t xml:space="preserve">feng.li@sdstate.edu</t>
  </si>
  <si>
    <t xml:space="preserve">Uprety, Tirth/HII-3097-2022; xiang, xiaoxiao/KHD-3898-2024</t>
  </si>
  <si>
    <t xml:space="preserve">Wang, Dan/0000-0002-7263-8420; Li, Feng/0000-0002-8904-2893; Yu, Qingzhong/0000-0003-0386-793X</t>
  </si>
  <si>
    <t xml:space="preserve">SDSU [AES 3AH-203]; USDA; ARS [6612-32000-056-00D]</t>
  </si>
  <si>
    <t xml:space="preserve">SDSU; USDA(United States Department of Agriculture (USDA)); ARS(United States Department of Agriculture (USDA)USDA Agricultural Research Service)</t>
  </si>
  <si>
    <t xml:space="preserve">We thank Xiuqin Xia for outstanding technical assistance, and Elizabeth Kolb for editing the manuscript. We thank Eric Freed (NCI) for providing the TSG-5', TSG-3' and Alix fragment plasmids, and W. Sundquist (University of Utah) for providing the Vps4A (E228Q) plasmid. We acknowledge use of the SDSU-FGCF Core. This work was supported by SDSU AES 3AH-203 to F. L., and USDA, ARS CRIS project 6612-32000-056-00D (to Q. Y.).</t>
  </si>
  <si>
    <t xml:space="preserve">10.1099/vir.0.029306-0</t>
  </si>
  <si>
    <t xml:space="preserve">770JV</t>
  </si>
  <si>
    <t xml:space="preserve">WOS:000291083700021</t>
  </si>
  <si>
    <t xml:space="preserve">Fernández, IS; Polo, MR; Muñoz-Almagro, C; Carretero, LM; Ureña, SF; Muñoz, AR; Roura, RC; Dueñas, BP</t>
  </si>
  <si>
    <t xml:space="preserve">Sanchez Fernandez, Ivan; Rebollo Polo, Monica; Munoz-Almagro, Carmen; Monfort Carretero, Laura; Fernandez Urena, Sergio; Rueda Munoz, Adela; Colome Roura, Roser; Perez Duenas, Belen</t>
  </si>
  <si>
    <t xml:space="preserve">Human Metapneumovirus in the Cerebrospinal Fluid of a Patient With Acute Encephalitis</t>
  </si>
  <si>
    <t xml:space="preserve">ARCHIVES OF NEUROLOGY</t>
  </si>
  <si>
    <t xml:space="preserve">Human metapneumovirus; Encephalitis; Cerebrospinal fluid; Medicine; Metapneumovirus</t>
  </si>
  <si>
    <t xml:space="preserve">RESPIRATORY-TRACT DISEASE; CHILDREN; INFECTION; YOUNG</t>
  </si>
  <si>
    <t xml:space="preserve">Objective: To report, to our knowledge, the first case of detection of human metapneumovirus in the cerebrospinal fluid of a patient during acute encephalitis. Design: Case report. Setting: University hospital. Patient: A 10-year-old girl with acute encephalitis. Results: Human metapneumovirus was detected in cerebrospinal fluid and nasal-wash specimens during the initial phase of mild encephalitis. Abrupt clinical deterioration was associated with the presence of multiple areas of demyelination and cortical abnormalities. Demyelinated areas improved after immunomodulatory therapy, but cortical lesions spread in both hemispheres. Surprisingly, clinical worsening occurred when the virus became undetectable in cerebrospinal fluid. Conclusions: The detection of human metapneumovirus in cerebrospinal fluid strongly suggests its causative role in acute encephalitis. The evolution of the clinical and radiological features provided insight into the pathogenesis of human metapneumovirus encephalitis.</t>
  </si>
  <si>
    <t xml:space="preserve">[Sanchez Fernandez, Ivan; Colome Roura, Roser; Perez Duenas, Belen] Hosp St Joan de Deu, Dept Child Neurol, Barcelona 08950, Spain; [Rebollo Polo, Monica] Hosp St Joan de Deu, Dept Radiol, Barcelona 08950, Spain; [Munoz-Almagro, Carmen] Hosp St Joan de Deu, Dept Clin Lab, Barcelona 08950, Spain; [Monfort Carretero, Laura; Fernandez Urena, Sergio] Hosp St Joan de Deu, Intens Care Unit, Barcelona 08950, Spain; [Rueda Munoz, Adela] Hosp St Joan de Deu, Area Basica Salud Pou Torres, Barcelona 08950, Spain</t>
  </si>
  <si>
    <t xml:space="preserve">University of Barcelona</t>
  </si>
  <si>
    <t xml:space="preserve">Fernández, IS (corresponding author), Hosp St Joan de Deu, Dept Child Neurol, Passeig St Joan de Deu 2, Barcelona 08950, Spain.</t>
  </si>
  <si>
    <t xml:space="preserve">ivan.sanchezfernandez@yahoo.es</t>
  </si>
  <si>
    <t xml:space="preserve">Rebollo-Polo, Monica/GLT-1012-2022; Perez-Duenas, Belen/AAG-9054-2019; Munoz-Almagro, Carmen/N-7248-2015</t>
  </si>
  <si>
    <t xml:space="preserve">Munoz-Almagro, Carmen/0000-0001-5586-404X; Rebollo Polo, Monica/0000-0001-9756-9671; PEREZ DUENAS, BELEN/0000-0002-4979-2788</t>
  </si>
  <si>
    <t xml:space="preserve">515 N STATE ST, CHICAGO, IL 60654-0946 USA</t>
  </si>
  <si>
    <t xml:space="preserve">0003-9942</t>
  </si>
  <si>
    <t xml:space="preserve">ARCH NEUROL-CHICAGO</t>
  </si>
  <si>
    <t xml:space="preserve">Arch. Neurol.</t>
  </si>
  <si>
    <t xml:space="preserve">10.1001/archneurol.2011.1094</t>
  </si>
  <si>
    <t xml:space="preserve">Clinical Neurology</t>
  </si>
  <si>
    <t xml:space="preserve">Neurosciences &amp; Neurology</t>
  </si>
  <si>
    <t xml:space="preserve">941ZO</t>
  </si>
  <si>
    <t xml:space="preserve">WOS:000304009100014</t>
  </si>
  <si>
    <t xml:space="preserve">Loeffelholz, MJ; Pong, DL; Pyles, RB; Xiong, Y; Miller, AL; Bufton, KK; Chonmaitree, T</t>
  </si>
  <si>
    <t xml:space="preserve">Loeffelholz, M. J.; Pong, D. L.; Pyles, R. B.; Xiong, Y.; Miller, A. L.; Bufton, K. K.; Chonmaitree, T.</t>
  </si>
  <si>
    <t xml:space="preserve">Comparison of the FilmArray Respiratory Panel and Prodesse Real-Time PCR Assays for Detection of Respiratory Pathogens</t>
  </si>
  <si>
    <t xml:space="preserve">Human metapneumovirus; Virology; Rhinovirus; Mycoplasma pneumoniae; Metapneumovirus; Virus; Microbiology; Human Parainfluenza Virus</t>
  </si>
  <si>
    <t xml:space="preserve">VIRUS-INFECTIONS; CHILDREN; PERSISTENCE; BOCAVIRUS; SPECIMENS; ILLNESS; SYSTEM</t>
  </si>
  <si>
    <t xml:space="preserve">We compared the diagnostic performance and overall respiratory pathogen detection rate of the premarket version of the FilmArray Respiratory Panel (RP) multiplex PCR assay (Idaho Technology, Inc., Salt Lake City, UT) with those of the Food and Drug Administration (FDA)-cleared Prodesse ProFlu+, ProFAST+, ProParaflu+, Pro hMPV+, and ProAdeno+ real-time PCR assays (Gen-Probe, San Diego, CA). The assays were performed on a panel of 192 nasopharyngeal-secretion specimens collected from 81 children under 1 year of age with upper respiratory tract symptoms. To resolve discordant results and confirm pathogens detected only by the larger FilmArray panel, we performed laboratory-developed real-time PCR assays. Among viruses detectable by both commercial assays (adenovirus, human metapneumovirus, influenza A virus, influenza B virus, parainfluenza viruses 1 to 3, and respiratory syncytial virus), the FilmArray and Prodesse assays showed good overall agreement (181/192 [94.3%]; kappa = 0.87; 95% CI, 0.79 to 0.94). FilmArray RP detected more parainfluenza viruses 1 and 3 than ProParaflu+ (18 versus 13) while ProAdeno+ detected more adenoviruses (11 versus 6), but these differences were not statistically significant. Additionally, FilmArray RP detected 138 pathogens (confirmed as true positives) not included in the Prodesse assays (rhinovirus [RV]/enterovirus [EV], 118; bocavirus, 8; coronavirus, 7; parainfluenza virus 4, 4; Mycoplasma pneumoniae, 1). FilmArray RP was cleared by the FDA following the completion of this study. The FDA-cleared version includes the following targets: adenovirus, coronaviruses HKU1 and NL63, human metapneumovirus (hMPV), influenza A virus (to type level only), influenza A H1 seasonal virus, influenza A H3 seasonal virus, influenza A virus H1-2009, influenza B virus, parainfluenza viruses 1 to 4, respiratory syncytial virus (RSV), and RV/EV (no differentiation). The larger panel in the FilmArray RP assay allowed the detection of additional respiratory pathogens compared to the Prodesse assays. In this population of young children with upper respiratory tract infection, RV/EV accounted for the majority of the additional pathogens detected by FilmArray RP.</t>
  </si>
  <si>
    <t xml:space="preserve">[Loeffelholz, M. J.; Bufton, K. K.; Chonmaitree, T.] Univ Texas Med Branch, Dept Pathol, Galveston, TX 77555 USA; [Pyles, R. B.; Miller, A. L.] Univ Texas Med Branch, Dept Microbiol &amp; Immunol, Galveston, TX 77555 USA; [Xiong, Y.; Chonmaitree, T.] Univ Texas Med Branch, Dept Pediat, Galveston, TX 77555 USA; [Pong, D. L.] Univ Texas Med Branch, Sch Med, Galveston, TX 77555 USA</t>
  </si>
  <si>
    <t xml:space="preserve">Loeffelholz, MJ (corresponding author), Univ Texas Med Branch, Dept Pathol, 301 Univ Blvd, Galveston, TX 77555 USA.</t>
  </si>
  <si>
    <t xml:space="preserve">mjloeffe@utmb.edu</t>
  </si>
  <si>
    <t xml:space="preserve">Pong, Dan/F-6446-2012</t>
  </si>
  <si>
    <t xml:space="preserve">NIH [R01 DC005841, UL1 RR029876]; Idaho Technology, Inc.</t>
  </si>
  <si>
    <t xml:space="preserve">NIH(United States Department of Health &amp; Human ServicesNational Institutes of Health (NIH) - USA); Idaho Technology, Inc.</t>
  </si>
  <si>
    <t xml:space="preserve">The clinical specimens were from a prospective longitudinal study funded by NIH grants R01 DC005841 and UL1 RR029876. The study was supported in part by a grant from Idaho Technology, Inc.</t>
  </si>
  <si>
    <t xml:space="preserve">10.1128/JCM.05010-11</t>
  </si>
  <si>
    <t xml:space="preserve">862SC</t>
  </si>
  <si>
    <t xml:space="preserve">WOS:000298113400010</t>
  </si>
  <si>
    <t xml:space="preserve">Al-Romaihi, HE; Smatti, MK; Ganesan, N; Nadeem, S; Farag, E; Coyle, PV; Nader, JD; Al-Khatib, HA; Elmagboul, EB; Al Dhahry, S; Al-Marri, SA; Al Thani, AA; Al Khal, A; Al Maslamani, MA; Yassine, HM</t>
  </si>
  <si>
    <t xml:space="preserve">Al-Romaihi, Hamad Eid; Smatti, Maria K.; Ganesan, Nandakumar; Nadeem, Shazia; Farag, Elmoubasher; Coyle, Peter V.; Nader, Joanne Daghfal; Al-Khatib, Hebah A.; Elmagboul, Emad B.; Al Dhahry, Said; Al-Marri, Salih A.; Al Thani, Asmaa A.; Al Khal, Abdullatif; Al Maslamani, Muna A.; Yassine, Hadi M.</t>
  </si>
  <si>
    <t xml:space="preserve">Epidemiology of respiratory infections among adults in Qatar (2012-2017)</t>
  </si>
  <si>
    <t xml:space="preserve">Human metapneumovirus; Epidemiology; Virology; Rhinovirus; Influenza-like illness; Pneumonia; Etiology; Virus; Respiratory tract infections; Medicine</t>
  </si>
  <si>
    <t xml:space="preserve">INFLUENZA-LIKE-ILLNESS; A H1N1 VIRUS; SEASONAL INFLUENZA; SURVEILLANCE; PROVINCES; DIAGNOSIS; EMERGENCE; ETIOLOGY; CHILDREN</t>
  </si>
  <si>
    <t xml:space="preserve">Background Limited data is available about the etiology of influenza like illnesses (ILIs) in Qatar. Objectives This study aimed at providing preliminary estimates of influenza and other respiratory infections circulating among adults in Qatar. Methods We retrospectively collected data of about 44,000 patients who visited Hamad General Hospital clinics, sentinel sites, and all primary healthcare centers in Qatar between 2012 and 2017. All samples were tested for influenza viruses, whereas about 38,000 samples were tested for influenza and a panel of respiratory viruses using Fast Track Diagnostics (FTD) RT-PCR kit. Results Among all ILIs cases, 20,278 (46.5%) tested positive for at least one respiratory pathogen. Influenza virus was predominating (22.6%), followed by human rhinoviruses (HRVs) (9.5%), and human coronaviruses (HCoVs) (5%). A detection rate of 2-3% was recorded for mycoplasma pneumonia, adenoviruses, human parainfluenza viruses (HPIVs), respiratory syncytial virus (RSV), and human metapneumovirus (HMPV). ILIs cases were reported throughout the year, however, influenza, RSV, and HMPV exhibited strong seasonal peaks in the winter, while HRVs circulated more during fall and spring. Elderly (&gt; 50 years) had the lowest rates of influenza A (13.9%) and B (4.2%), while presenting the highest rates of RSV (3.4%) and HMPV (3.3%). While males had higher rates of HRVs (11.9%), enteroviruses (1.1%) and MERS CoV (0.2%), females had higher proportions of influenza (26.3%), HPIVs (3.2%) and RSV (3.6%) infections. Conclusion This report provides a comprehensive insight about the epidemiology of ILIs among adults in the Qatar, as a representative of Gulf States. These results would help in improvement and optimization of diagnostic procedures, as well as control and prevention of the respiratory infections.</t>
  </si>
  <si>
    <t xml:space="preserve">[Al-Romaihi, Hamad Eid; Ganesan, Nandakumar; Nadeem, Shazia; Farag, Elmoubasher; Al-Marri, Salih A.] Minist Publ Hlth, Doha, Qatar; [Smatti, Maria K.; Al Thani, Asmaa A.; Yassine, Hadi M.] Qatar Univ, Biomed Res Ctr, Doha, Qatar; [Coyle, Peter V.; Nader, Joanne Daghfal; Elmagboul, Emad B.; Al Dhahry, Said; Al Khal, Abdullatif; Al Maslamani, Muna A.] Hamad Med Corp, Doha, Qatar; [Al-Khatib, Hebah A.] Hamad Bin Khalifa Univ, Doha, Qatar; [Al Thani, Asmaa A.; Yassine, Hadi M.] Qatar Univ, Coll Hlth Sci, QU Hlth, Doha, Qatar</t>
  </si>
  <si>
    <t xml:space="preserve">Qatar University; Hamad Medical Corporation; Qatar Foundation (QF); Hamad Bin Khalifa University-Qatar; Qatar University</t>
  </si>
  <si>
    <t xml:space="preserve">Yassine, HM (corresponding author), Qatar Univ, Biomed Res Ctr, Doha, Qatar.;Al Maslamani, MA (corresponding author), Hamad Med Corp, Doha, Qatar.;Yassine, HM (corresponding author), Qatar Univ, Coll Hlth Sci, QU Hlth, Doha, Qatar.</t>
  </si>
  <si>
    <t xml:space="preserve">malmaslamani@hamad.qa; hyassine@qu.edu.qa</t>
  </si>
  <si>
    <t xml:space="preserve">Smatti, Maria/0000-0002-7621-0130; Al Khatib, Hebah/0000-0003-3321-7364; YASSINE, HADI M./0000-0001-7592-2788</t>
  </si>
  <si>
    <t xml:space="preserve">Hamad Medical Corporation [16335/16]; Qatar University [QUCG-BRC-2018/2019-1]</t>
  </si>
  <si>
    <t xml:space="preserve">Hamad Medical Corporation(Hamad Medical Corporation); Qatar University(Qatar UniversityQatar National Research Fund (QNRF))</t>
  </si>
  <si>
    <t xml:space="preserve">This study was supported by funds from Hamad Medical Corporation (grant #16335/16) and Qatar University (grant #QUCG-BRC-2018/2019-1).</t>
  </si>
  <si>
    <t xml:space="preserve">e0218097</t>
  </si>
  <si>
    <t xml:space="preserve">10.1371/journal.pone.0218097</t>
  </si>
  <si>
    <t xml:space="preserve">IC8NN</t>
  </si>
  <si>
    <t xml:space="preserve">WOS:000471238300046</t>
  </si>
  <si>
    <t xml:space="preserve">Nguyen-Van-Tam, JS; Sellwood, C</t>
  </si>
  <si>
    <t xml:space="preserve">Nguyen-Van-Tam, Jonathan S.; Sellwood, Chloe</t>
  </si>
  <si>
    <t xml:space="preserve">Intervention strategies for emerging respiratory virus infections: policy and public health considerations</t>
  </si>
  <si>
    <t xml:space="preserve">Human metapneumovirus; Pandemic; Public health; Biology; Intervention (counseling); Psychological intervention</t>
  </si>
  <si>
    <t xml:space="preserve">INFLUENZA-A VIRUS; PANDEMIC H1N1 2009; CORONAVIRUS; IDENTIFICATION; TRANSMISSION; PNEUMONIA; EMERGENCE; OUTBREAK; DISEASE; HUMANS</t>
  </si>
  <si>
    <t xml:space="preserve">Respiratory viruses have emerged and re-emerged in humans for hundreds of years. In the recent past avian and animal influenza viruses have caused human disease ranging from conjunctivitis to respiratory illnesses, including the 2009-10 A(H1N1)pdm09 pandemic. Coronaviruses, human metapneumovirus (hMPV) and enteroviruses have also impacted humans globally. Since the likely public health impacts are common, plans and policies for intervention strategies can be developed, encompassing early detection through surveillance and diagnostics, as well as treatment and prevention through clinical and non-clinical interventions. The global comprehensiveness of these varies according to differing resources, competing health priorities and the causative agent, yet, irrespective of this, activities must be proportional to the threat. Pandemics and severe epidemics enable policies to be tested and gaps identified.</t>
  </si>
  <si>
    <t xml:space="preserve">[Nguyen-Van-Tam, Jonathan S.] Univ Nottingham, Sch Med, Div Epidemiol &amp; Publ Hlth, Hlth Protect Res Grp, Nottingham NG7 2RD, England; [Sellwood, Chloe] NHS London, London, England</t>
  </si>
  <si>
    <t xml:space="preserve">University of Nottingham</t>
  </si>
  <si>
    <t xml:space="preserve">Nguyen-Van-Tam, JS (corresponding author), Univ Nottingham, Sch Med, Div Epidemiol &amp; Publ Hlth, Hlth Protect Res Grp, Nottingham NG7 2RD, England.</t>
  </si>
  <si>
    <t xml:space="preserve">jvt@nottingham.ac.uk</t>
  </si>
  <si>
    <t xml:space="preserve">Nguyen-Van-Tam, Jonathan/I-2162-2019</t>
  </si>
  <si>
    <t xml:space="preserve">Nguyen-Van-Tam, Jonathan/0000-0003-2579-4655</t>
  </si>
  <si>
    <t xml:space="preserve">Baxter AG; Novartis; Sanofi Pasteur MSD; GlaxoSmithKline; Solvay; F.Hoffmann-La Roche; Astra-Zeneca</t>
  </si>
  <si>
    <t xml:space="preserve">Baxter AG; Novartis(Novartis); Sanofi Pasteur MSD; GlaxoSmithKline(GlaxoSmithKline); Solvay(Solvay SA); F.Hoffmann-La Roche(Hoffmann-La Roche); Astra-Zeneca(AstraZeneca)</t>
  </si>
  <si>
    <t xml:space="preserve">JSN-V-T has received funding to attend influenza related meetings, lecture and consultancy fees and research funding from several influenza antiviral drug and vaccine manufacturers (Baxter AG, Novartis, Sanofi Pasteur MSD, GlaxoSmithKline, Solvay and F.Hoffmann-La Roche). Research funding from GlaxoSmithKline, Astra-Zeneca and F Hoffmann-La Roche is ongoing; all forms of personal remuneration ceased in September 2010. He is a former employee of SmithKline Beecham plc. (now GlaxoSmithKline), Roche Products Ltd (UK) and Aventis-Pasteur MSD (now Sanofi-Pasteur MSD), all before 2005, with no remaining pecuniary interests by way of share holdings, share options and accrued pension rights. CS has received lecture fees from Baxter AG.</t>
  </si>
  <si>
    <t xml:space="preserve">10.1016/j.coviro.2013.02.004</t>
  </si>
  <si>
    <t xml:space="preserve">146ND</t>
  </si>
  <si>
    <t xml:space="preserve">WOS:000319096900014</t>
  </si>
  <si>
    <t xml:space="preserve">Breiman, RF; Cosmas, L; Njenga, MK; Williamson, J; Mott, JA; Katz, MA; Erdman, DD; Schneider, E; Oberste, MS; Neatherlin, JC; Njuguna, H; Ondari, DM; Odero, K; Okoth, GO; Olack, B; Wamola, N; Montgomery, JM; Fields, BS; Feikin, DR</t>
  </si>
  <si>
    <t xml:space="preserve">Breiman, Robert F.; Cosmas, Leonard; Njenga, M. Kariuki; Williamson, John; Mott, Joshua A.; Katz, Mark A.; Erdman, Dean D.; Schneider, Eileen; Oberste, M. Steven; Neatherlin, John C.; Njuguna, Henry; Ondari, Daniel M.; Odero, Kennedy; Okoth, George O.; Olack, Beatrice; Wamola, Newton; Montgomery, Joel M.; Fields, Barry S.; Feikin, Daniel R.</t>
  </si>
  <si>
    <t xml:space="preserve">Severe acute respiratory infection in children in a densely populated urban slum in Kenya, 2007-2011</t>
  </si>
  <si>
    <t xml:space="preserve">Medicine; Human metapneumovirus; Mycoplasma pneumoniae; Incidence (geometry); Human bocavirus</t>
  </si>
  <si>
    <t xml:space="preserve">SYNCYTIAL VIRUS; CHILDHOOD PNEUMONIA; YOUNG-CHILDREN; MYCOPLASMA-PNEUMONIAE; HOSPITALIZED CHILDREN; TRACT INFECTIONS; NATIONAL CAUSES; DISEASE; INFLUENZA; ETIOLOGY</t>
  </si>
  <si>
    <t xml:space="preserve">Background: Reducing acute respiratory infection burden in children in Africa remains a major priority and challenge. We analyzed data from population-based infectious disease surveillance for severe acute respiratory illness (SARI) among children &lt; 5 years of age in Kibera, a densely populated urban slum in Nairobi, Kenya. Methods: Surveillance was conducted among a monthly mean of 5,874 (range = 5,778-6,411) children &lt; 5 years old in two contiguous villages in Kibera. Participants had free access to the study clinic and their health events and utilization were noted during biweekly home visits. Patients meeting criteria for SARI (WHO-defined severe or very severe pneumonia, or oxygen saturation &lt; 90%) from March 1, 2007-February 28, 2011 had blood cultures processed for bacteria, and naso-and oro-pharyngeal swabs collected for quantitative real-time reverse transcription polymerase chain reaction testing for influenza viruses, parainfluenza viruses (PIV), respiratory syncytial virus (RSV), adenovirus, and human metapneumovirus (hMPV). Swabs collected during January 1, 2009 -February 28, 2010 were also tested for rhinoviruses, enterovirus, parechovirus, Mycoplasma pneumoniae, and Legionella species. Swabs were collected for simultaneous testing from a selected group of control-children visiting the clinic without recent respiratory or diarrheal illnesses. Results: SARI overall incidence was 12.4 cases/100 person-years of observation (PYO) and 30.4 cases/100 PYO in infants. When comparing detection frequency in swabs from 815 SARI cases and 115 healthy controls, only RSV and influenza A virus were significantly more frequently detected in cases, although similar trends neared statistical significance for PIV, adenovirus and hMPV. The incidence for RSV was 2.8 cases/100 PYO and for influenza A was 1.0 cases/100 PYO. When considering all PIV, the rate was 1.1 case/100 PYO and the rate per 100 PYO for SARI-associated disease was 1.5 for adenovirus and 0.9 for hMPV. RSV and influenza A and B viruses were estimated to account for 16.2% and 6.7% of SARI cases, respectively; when taken together, PIV, adenovirus, and hMPV may account for &gt;20% additional cases. Conclusions: Influenza viruses and RSV (and possibly PIV, hMPV and adenoviruses) are important pathogens to consider when developing technologies and formulating strategies to treat and prevent SARI in children.</t>
  </si>
  <si>
    <t xml:space="preserve">[Breiman, Robert F.; Cosmas, Leonard; Njenga, M. Kariuki; Williamson, John; Mott, Joshua A.; Katz, Mark A.; Neatherlin, John C.; Njuguna, Henry; Montgomery, Joel M.; Fields, Barry S.; Feikin, Daniel R.] US Ctr Dis Control &amp; Prevent, CDC Kenya Off, Global Dis Detect Div, Nairobi, Kenya; [Breiman, Robert F.; Cosmas, Leonard; Njenga, M. Kariuki; Williamson, John; Mott, Joshua A.; Katz, Mark A.; Neatherlin, John C.; Njuguna, Henry; Montgomery, Joel M.; Fields, Barry S.; Feikin, Daniel R.] US Ctr Dis Control &amp; Prevent, CDC Kenya Off, Influenza Div, Nairobi, Kenya; [Breiman, Robert F.; Njenga, M. Kariuki; Williamson, John; Katz, Mark A.; Neatherlin, John C.; Njuguna, Henry; Montgomery, Joel M.; Fields, Barry S.; Feikin, Daniel R.] Ctr Dis Control &amp; Prevent, Global Dis Detect Branch, Div Global Hlth Protect, Ctr Global Hlth, Atlanta, GA USA; [Erdman, Dean D.; Schneider, Eileen; Oberste, M. Steven; Feikin, Daniel R.] Ctr Dis Control &amp; Prevent, Div Viral Dis, Natl Ctr Immunizat &amp; Resp Dis, Atlanta, GA USA; [Njenga, M. Kariuki; Ondari, Daniel M.; Odero, Kennedy; Okoth, George O.; Olack, Beatrice; Wamola, Newton] Kenya Med Res Inst KEMRI, Nairobi, Kenya</t>
  </si>
  <si>
    <t xml:space="preserve">Centers for Disease Control &amp; Prevention - USA; Centers for Disease Control &amp; Prevention - USA; Kenya Medical Research Institute</t>
  </si>
  <si>
    <t xml:space="preserve">Breiman, RF (corresponding author), Emory Univ, Emory Global Hlth Inst, 1599 Clifton Rd, Atlanta, GA 30322 USA.</t>
  </si>
  <si>
    <t xml:space="preserve">rfbreiman@emory.edu</t>
  </si>
  <si>
    <t xml:space="preserve">Montgomery, Joel/ITU-0254-2023; njuguna, henry/JVN-5166-2024; Breiman, Robert/ISS-4450-2023</t>
  </si>
  <si>
    <t xml:space="preserve">Mogeni, Daniel/0000-0001-5133-3735; Breiman, Robert/0000-0002-7099-2936</t>
  </si>
  <si>
    <t xml:space="preserve">US Centers for Disease Control and Prevention (CDC)</t>
  </si>
  <si>
    <t xml:space="preserve">The authors would like to thank the people living in the Gatwikera and Soweto villages of Kibera and the community leaders, who, over the years, have graciously allowed our field teams to enter their homes on a regular basis to collect information on their health. This study was funded by the US Centers for Disease Control and Prevention (CDC), which contributed to study design, collection, analysis and interpretation of data, as well as the writing of the manuscript, since several of the authors are employees of CDC. The authors would also like to thank the Kenya Medical Research Institute (KEMRI), its leadership and staff; without the collaboration between KEMRI and CDC, this work would not have been possible.</t>
  </si>
  <si>
    <t xml:space="preserve">10.1186/s12879-015-0827-x</t>
  </si>
  <si>
    <t xml:space="preserve">CC8DB</t>
  </si>
  <si>
    <t xml:space="preserve">WOS:000350597200001</t>
  </si>
  <si>
    <t xml:space="preserve">Maertzdorf, J; Wang, CK; Brown, JB; Quinto, JD; Chu, M; de Graaf, M; van den Hoogen, BG; Spaete, R; Osterhaus, ADME; Fouchier, RAM</t>
  </si>
  <si>
    <t xml:space="preserve">Real-time reverse transcriptase PCR assay for detection of human metapneumoviruses from all known genetic lineages</t>
  </si>
  <si>
    <t xml:space="preserve">Human metapneumovirus; Metapneumovirus; Biology; Virology; Reverse transcriptase; Pneumovirinae</t>
  </si>
  <si>
    <t xml:space="preserve">YOUNG-CHILDREN; INFECTION; PREVALENCE; SEQUENCE</t>
  </si>
  <si>
    <t xml:space="preserve">The discovery of human metapneumovirus and its implications for respiratory tract disease have emphasized the need for a sensitive, specific, and rapid assay to detect this virus in a clinical setting. It recently became clear that human metapneumovirus can be grouped into at least four genetic lineages. Previously described assays for the detection of human metapneumovirus were developed by using limited sequence information and failed to detect viruses from all four genetic lineages with comparable sensitivities. Here we describe the development and evaluation of a real-time reverse transcriptase PCR assay that detects human metapneumovirus from the four known genetic lineages with equal specificities and sensitivities.</t>
  </si>
  <si>
    <t xml:space="preserve">Erasmus MC, Dept Virol, NL-3015 GE Rotterdam, Netherlands; Erasmus MC, Vironovat BV, NL-3015 GE Rotterdam, Netherlands; MedImmune, Mountain View, CA USA</t>
  </si>
  <si>
    <t xml:space="preserve">Erasmus University Rotterdam; Erasmus MC; Erasmus University Rotterdam; Erasmus MC; AstraZeneca; Medimmune</t>
  </si>
  <si>
    <t xml:space="preserve">Erasmus MC, Dept Virol, Dr Molewaterpl 50, NL-3015 GE Rotterdam, Netherlands.</t>
  </si>
  <si>
    <t xml:space="preserve">de Graaf, Miranda/K-1262-2018; van den Hoogen, Bernadette/J-5461-2013; Fouchier, Ron/A-1911-2014</t>
  </si>
  <si>
    <t xml:space="preserve">10.1128/JCM.42.3.981-986.2004</t>
  </si>
  <si>
    <t xml:space="preserve">805OZ</t>
  </si>
  <si>
    <t xml:space="preserve">WOS:000220376900006</t>
  </si>
  <si>
    <t xml:space="preserve">Ali, SA; Gern, JE; Hartert, TV; Edwards, KM; Griffin, MR; Miller, EK; Gebretsadik, T; Pappas, T; Lee, WM; Williams, JV</t>
  </si>
  <si>
    <t xml:space="preserve">Ali, S. Asad; Gern, James E.; Hartert, Tina V.; Edwards, Kathryn M.; Griffin, Marie R.; Miller, E. Kathryn; Gebretsadik, Tebeb; Pappas, Tressa; Lee, Wai-ming; Williams, John V.</t>
  </si>
  <si>
    <t xml:space="preserve">Real-world comparison of two molecular methods for detection of respiratory viruses</t>
  </si>
  <si>
    <t xml:space="preserve">Human metapneumovirus; Virology; Multiplex; Biology; Gold standard (test); Real-time polymerase chain reaction; Primer (cosmetics); Polymerase chain reaction; Metapneumovirus</t>
  </si>
  <si>
    <t xml:space="preserve">REVERSE TRANSCRIPTION-PCR; POLYMERASE-CHAIN-REACTION; HUMAN RHINOVIRUSES; TRACT INFECTIONS; YOUNG-CHILDREN; COMPREHENSIVE DETECTION; FREQUENT DETECTION; HUMAN CORONAVIRUS; VIRAL PATHOGENS; HIGH-THROUGHPUT</t>
  </si>
  <si>
    <t xml:space="preserve">Background: Molecular polymerase chain reaction (PCR) based assays are increasingly used to diagnose viral respiratory infections and conduct epidemiology studies. Molecular assays have generally been evaluated by comparing them to conventional direct fluorescent antibody (DFA) or viral culture techniques, with few published direct comparisons between molecular methods or between institutions. We sought to perform a real-world comparison of two molecular respiratory viral diagnostic methods between two experienced respiratory virus research laboratories. Methods: We tested nasal and throat swab specimens obtained from 225 infants with respiratory illness for 11 common respiratory viruses using both a multiplex assay (Respiratory MultiCode-PLx Assay [RMA]) and individual real-time RT-PCR (RT-rtPCR). Results: Both assays detected viruses in more than 70% of specimens, but there was discordance. The RMA assay detected significantly more human metapneumovirus (HMPV) and respiratory syncytial virus (RSV), while RT-rtPCR detected significantly more influenza A. We speculated that primer differences accounted for these discrepancies and redesigned the primers and probes for influenza A in the RMA assay, and for HMPV and RSV in the RT-rtPCR assay. The tests were then repeated and again compared. The new primers led to improved detection of HMPV and RSV by RT-rtPCR assay, but the RMA assay remained similar in terms of influenza detection. Conclusions: Given the absence of a gold standard, clinical and research laboratories should regularly correlate the results of molecular assays with other PCR based assays, other laboratories, and with standard virologic methods to ensure consistency and accuracy.</t>
  </si>
  <si>
    <t xml:space="preserve">[Ali, S. Asad; Edwards, Kathryn M.; Miller, E. Kathryn; Williams, John V.] Vanderbilt Univ, Dept Pediat, Sch Med, Nashville, TN 37232 USA; [Hartert, Tina V.; Griffin, Marie R.; Gebretsadik, Tebeb] Vanderbilt Univ, Dept Med, Sch Med, Nashville, TN 37232 USA; [Griffin, Marie R.] Vanderbilt Univ, Dept Prevent Med, Sch Med, Nashville, TN 37232 USA; [Williams, John V.] Vanderbilt Univ, Dept Microbiol &amp; Immunol, Sch Med, Nashville, TN 37232 USA; [Gern, James E.; Pappas, Tressa; Lee, Wai-ming] Univ Wisconsin, Sch Med &amp; Publ Hlth, Dept Pediat, Madison, WI 53705 USA; [Gern, James E.] Univ Wisconsin, Sch Med &amp; Publ Hlth, Dept Med, Madison, WI 53705 USA</t>
  </si>
  <si>
    <t xml:space="preserve">Vanderbilt University; Vanderbilt University; Vanderbilt University; Vanderbilt University; University of Wisconsin System; University of Wisconsin Madison; University of Wisconsin System; University of Wisconsin Madison</t>
  </si>
  <si>
    <t xml:space="preserve">Williams, JV (corresponding author), Vanderbilt Univ, Dept Pediat, Sch Med, 1161 21st Ave S, Nashville, TN 37232 USA.</t>
  </si>
  <si>
    <t xml:space="preserve">Williams, John/ABE-3227-2020; Gern, James/AGR-3937-2022; Gebretsadik, Tebeb/KUC-9494-2024; Williams, John/F-6962-2010</t>
  </si>
  <si>
    <t xml:space="preserve">Williams, John/0000-0001-8377-5175; Gebretsadik, Tebeb/0000-0003-4548-3010</t>
  </si>
  <si>
    <t xml:space="preserve">Vanderbilt CTSA [NIH/NCRR UL1-RR024975]; Thrasher Research Fund; NIH [AI-077930, U01 HL-072471, AI-082417]</t>
  </si>
  <si>
    <t xml:space="preserve">Vanderbilt CTSA(United States Department of Health &amp; Human ServicesNational Institutes of Health (NIH) - USANIH National Center for Advancing Translational Sciences (NCATS)); Thrasher Research Fund; NIH(United States Department of Health &amp; Human ServicesNational Institutes of Health (NIH) - USA)</t>
  </si>
  <si>
    <t xml:space="preserve">This work was supported by Vanderbilt CTSA grant NIH/NCRR UL1-RR024975, Thrasher Research Fund Clinical Research Grant (TVH), NIH AI-077930 (TVH), NIH U01 HL-072471 (TVH), and NIH AI-082417 (JVW).</t>
  </si>
  <si>
    <t xml:space="preserve">10.1186/1743-422X-8-332</t>
  </si>
  <si>
    <t xml:space="preserve">805OI</t>
  </si>
  <si>
    <t xml:space="preserve">WOS:000293737900001</t>
  </si>
  <si>
    <t xml:space="preserve">Hombrouck, A; Sabbe, M; Van Casteren, V; Wuillaume, F; Hue, D; Reynders, M; Gérard, C; Brochier, B; Van Eldere, J; Van Ranst, M; Thomas, I</t>
  </si>
  <si>
    <t xml:space="preserve">Hombrouck, A.; Sabbe, M.; Van Casteren, V.; Wuillaume, F.; Hue, D.; Reynders, M.; Gerard, C.; Brochier, B.; Van Eldere, J.; Van Ranst, M.; Thomas, I.</t>
  </si>
  <si>
    <t xml:space="preserve">Viral aetiology of influenza-like illness in Belgium during the influenza A(H1N1)2009 pandemic</t>
  </si>
  <si>
    <t xml:space="preserve">Rhinovirus; Human metapneumovirus; Influenza-like illness; Medicine; Virology; Pandemic; Virus; Medical microbiology</t>
  </si>
  <si>
    <t xml:space="preserve">CLINICAL PREDICTORS; H1N1 VIRUS; CHILDREN; INFECTION</t>
  </si>
  <si>
    <t xml:space="preserve">The purpose of this investigation was to determine the proportion of influenza-like illness (ILI) attributable to specific viruses during the influenza A(H1N1)2009 pandemic and to describe the demographic and clinical characteristics of ILI due to respiratory viruses in Belgium. Nasopharyngeal swabs were collected from ILI patients by general practitioners (GPs) and paediatricians (PediSurv) and analysed for viruses. Of 139 samples collected from children &lt; 5 years of age by PediSurv, 86 were positive, including 28 influenza (20%), 27 respiratory syncytial virus (RSV) (19%), 21 rhinovirus (17%), 12 human metapneumovirus (hMPV) (9%) and ten parainfluenza virus (PIV) (7%). Of 810 samples received from GPs, 426 were influenza (53%). Of 312 influenza-negative samples, 41 were rhinovirus (13%), 13 RSV (4%), 11 PIV (4%) and three hMPV (1%). Influenza mostly affected the 6-15 years old age group. Other respiratory viruses were commonly detected in the youngest patients. Similar clinical symptoms were associated with different respiratory viruses. Influenza A(H1N1)2009 was the most detected virus in ILI patients during the 2009-2010 winter, suggesting a good correlation between ILI case definition and influenza diagnosis. However, in children under 5 years of age, other respiratory viruses such as RSV were frequently diagnosed. Furthermore, our findings do not suggest that the early occurrence of the influenza A(H1N1)2009 epidemic impacted the RSV epidemic in Belgium.</t>
  </si>
  <si>
    <t xml:space="preserve">[Hombrouck, A.; Gerard, C.; Brochier, B.; Thomas, I.] Sci Inst Publ Hlth, Serv Viral Dis, B-1050 Brussels, Belgium; [Sabbe, M.; Van Casteren, V.; Wuillaume, F.; Hue, D.] Sci Inst Publ Hlth, OD Publ Hlth &amp; Surveillance, B-1050 Brussels, Belgium; [Reynders, M.] Acad Hosp St Jan, Microbiol Lab, B-8000 Brugge, Belgium; [Van Eldere, J.] UZ Leuven, CEMOL Lab, B-3000 Louvain, Belgium; [Van Ranst, M.] Rega Inst, Lab Clin Virol, B-3000 Louvain, Belgium</t>
  </si>
  <si>
    <t xml:space="preserve">KU Leuven; University Hospital Leuven; KU Leuven</t>
  </si>
  <si>
    <t xml:space="preserve">Hombrouck, A (corresponding author), Sci Inst Publ Hlth, Serv Viral Dis, Juliette Wytsmanstr 14, B-1050 Brussels, Belgium.</t>
  </si>
  <si>
    <t xml:space="preserve">Anneleen.hombrouck@wiv-isp.be</t>
  </si>
  <si>
    <t xml:space="preserve">Eldere, Johan/AAI-8965-2020; Van Ranst, Marc/P-7522-2017</t>
  </si>
  <si>
    <t xml:space="preserve">Reynders, Marijke/0000-0003-2079-1279; SABBE, MARTINE/0000-0003-2824-1087; Van Ranst, Marc/0000-0002-1674-4157</t>
  </si>
  <si>
    <t xml:space="preserve">Directorate-General for Primary Health Care and Crisis Management (DG2) from Federal Public Service Health, Food Chain Safety and Environment; French Community; EPIWORK of European Commission; Institute for the Promotion of Innovation by Science and Technology (IWT) in Flanders; Flemish Community</t>
  </si>
  <si>
    <t xml:space="preserve">Directorate-General for Primary Health Care and Crisis Management (DG2) from Federal Public Service Health, Food Chain Safety and Environment; French Community; EPIWORK of European Commission; Institute for the Promotion of Innovation by Science and Technology (IWT) in Flanders(Institute for the Promotion of Innovation by Science and Technology in Flanders (IWT)); Flemish Community</t>
  </si>
  <si>
    <t xml:space="preserve">Special thanks go to all of the general practitioners and paediatricians who participated in the surveillance. Both surveillance networks were financially supported by the Directorate-General for Primary Health Care and Crisis Management (DG2) from the Federal Public Service Health, Food Chain Safety and Environment, and by the French and Flemish Communities. The study was cofunded by the EPIWORK project (Seventh Framework Programme of the European Commission) and by the Institute for the Promotion of Innovation by Science and Technology (IWT) in Flanders (strategic basic research project SIMID). Many thanks go to Christophe Van den Poel, Ilham Fdillate, Mona Abady, Regine De Bruyn, Jeanine Weyckmans, Yvonne Ronflette and Kurt Beuselinck for their excellent technical assistance.</t>
  </si>
  <si>
    <t xml:space="preserve">10.1007/s10096-011-1398-4</t>
  </si>
  <si>
    <t xml:space="preserve">940GQ</t>
  </si>
  <si>
    <t xml:space="preserve">WOS:000303878400016</t>
  </si>
  <si>
    <t xml:space="preserve">Williams, JV; Harris, PA; Tollefson, SJ; Halburnt-Rush, LL; Pingsterhaus, JM; Edwards, KM; Wright, PF; Crowe, JE</t>
  </si>
  <si>
    <t xml:space="preserve">Human metapneumovirus and lower respiratory tract disease in otherwise healthy infants and children</t>
  </si>
  <si>
    <t xml:space="preserve">Human metapneumovirus; Medicine; Bronchiolitis; Respiratory tract infections; Pneumonia; Metapneumovirus; Lower respiratory tract infection</t>
  </si>
  <si>
    <t xml:space="preserve">POLYMERASE-CHAIN-REACTION; SYNCYTIAL VIRUS; YOUNG-CHILDREN; INFECTIONS; RHINOVIRUS; ADENOVIRUS; INFLUENZA; ASSAY</t>
  </si>
  <si>
    <t xml:space="preserve">BACKGROUND: We sought to determine the role of human metapneumovirus in lower respiratory tract illness in previously healthy infants and children. METHODS: We tested nasal-wash specimens, obtained over a 25-year period from otherwise healthy children presenting with acute respiratory tract illness, for human metapneumovirus. RESULTS: A viral cause other than human metapneumovirus was determined for 279 of 687 visits for acute lower respiratory tract illness (41 percent) by 463 children in a population of 2009 infants and children prospectively seen from 1976 to 2001. There were 408 visits for lower respiratory tract illness by 321 children for which no cause was identified. Of these 321 children, specimens from 248 were available. Forty-nine of these 248 specimens (20 percent) contained human metapneumovirus RNA or viable virus. Thus, 20 percent of all previously virus-negative lower respiratory tract illnesses were attributable to human metapneumovirus, which means that 12 percent of all lower respiratory tract illnesses in this cohort were most likely due to this virus. The mean age of human metapneumovirus-infected children was 11.6 months, the male:female ratio was 1.8:1, 78 percent of illnesses occurred between December and April, and the hospitalization rate was 2 percent. The virus was associated with bronchiolitis in 59 percent of cases, pneumonia in 8 percent, croup in 18 percent, and an exacerbation of asthma in 14 percent. We also detected human metapneumovirus in 15 percent of samples from 261 patients with upper respiratory tract infection but in only 1 of 86 samples from asymptomatic children. CONCLUSIONS: Human metapneumovirus infection is a leading cause of respiratory tract infection in the first years of life, with a spectrum of disease similar to that of respiratory syncytial virus.</t>
  </si>
  <si>
    <t xml:space="preserve">Vanderbilt Univ, Med Ctr, Dept Pediat, Div Infect Dis, Nashville, TN 37232 USA; Vanderbilt Univ, Med Ctr, Dept Biomed Engn, Div Infect Dis, Nashville, TN 37232 USA; Vanderbilt Univ, Med Ctr, Dept Microbiol &amp; Immunol, Div Infect Dis, Nashville, TN 37232 USA</t>
  </si>
  <si>
    <t xml:space="preserve">Vanderbilt Univ, Med Ctr, Dept Pediat, Div Infect Dis, D-7235 Med Ctr N,1161 21st Ave S, Nashville, TN 37232 USA.</t>
  </si>
  <si>
    <t xml:space="preserve">NIAID NIH HHS [R03 AI054790] Funding Source: Medline</t>
  </si>
  <si>
    <t xml:space="preserve">1533-4406</t>
  </si>
  <si>
    <t xml:space="preserve">10.1056/NEJMoa025472</t>
  </si>
  <si>
    <t xml:space="preserve">767QJ</t>
  </si>
  <si>
    <t xml:space="preserve">WOS:000188463900006</t>
  </si>
  <si>
    <t xml:space="preserve">Le Nouën, C; Hillyer, P; Munir, S; Winter, CC; McCarty, T; Bukreyev, A; Collins, PL; Rabin, RL; Buchholz, UJ</t>
  </si>
  <si>
    <t xml:space="preserve">Le Nouen, Cyril; Hillyer, Philippa; Munir, Shirin; Winter, Christine C.; McCarty, Thomas; Bukreyev, Alexander; Collins, Peter L.; Rabin, Ronald L.; Buchholz, Ursula J.</t>
  </si>
  <si>
    <t xml:space="preserve">Effects of Human Respiratory Syncytial Virus, Metapneumovirus, Parainfluenza Virus 3 and Influenza Virus on CD4+T Cell Activation by Dendritic Cells</t>
  </si>
  <si>
    <t xml:space="preserve">Human metapneumovirus; Virology; Biology; Virus; Influenza A virus</t>
  </si>
  <si>
    <t xml:space="preserve">T-HELPER TYPE-1; IN-VITRO; DIFFERENTIAL RESPONSE; CILIATED CELLS; HUMAN NAIVE; INFECTION; CD4(+); MEMORY; INTERFERON; LYMPHOCYTES</t>
  </si>
  <si>
    <t xml:space="preserve">Background: Human respiratory syncytial virus (HRSV), and to a lesser extent human metapneumovirus (HMPV) and human parainfluenza virus type 3 (HPIV3), re-infect symptomatically throughout life without antigenic change, suggestive of incomplete immunity. One causative factor is thought to be viral interference with dendritic cell (DC)-mediated stimulation of CD4+ T cells. Methodology, Principal Findings: We infected human monocyte-derived DC with purified HRSV, HMPV, HPIV3, or influenza A virus (IAV) and compared their ability to induce activation and proliferation of autologous CD4+ T cells in vitro. IAV was included because symptomatic re-infection without antigenic change is less frequent, suggesting that immune protection is more complete and durable. We examined virus-specific memory responses and superantigen-induced responses by multiparameter flow cytometry. Live virus was more stimulatory than inactivated virus in inducing DC-mediated proliferation of virus-specific memory CD4+ T cells, suggesting a lack of strong suppression by live virus. There were trends of increasing proliferation in the order: HMPV, HRSV, HPIV3, IAV, and greater production of interferon-gamma c and tumor necrosis factor-alpha by proliferating cells in response to IAV, but differences were not significant. Exposure of DC to HRSV, HPIV3, or IAV reduced CD4+ T cell proliferation in response to secondary stimulus with superantigen, but the effect was transitory and greatest for IAV. T cell cytokine production was similar, with no evidence of Th2 or Th17 skewing. Conclusions, Significance: Understanding the basis for the ability of HRSV in particular to symptomatically re-infect without significant antigenic change is of considerable interest. The present results show that these common respiratory viruses are similar in their ability to induce DC to activate CD4+ T cells. Thus, the results do not support the common model in which viral suppression of CD4+ T cell activation and proliferation by HRSV, HMPV, and HPIV3 is a major factor in the difference in re-infectability compared to IAV.</t>
  </si>
  <si>
    <t xml:space="preserve">[Le Nouen, Cyril; Munir, Shirin; Winter, Christine C.; McCarty, Thomas; Bukreyev, Alexander; Collins, Peter L.; Buchholz, Ursula J.] NIAID, Infect Dis Lab, NIH, Bethesda, MD 20892 USA; [Hillyer, Philippa; Rabin, Ronald L.] US FDA, Ctr Biol Evaluat &amp; Res, Bethesda, MD USA</t>
  </si>
  <si>
    <t xml:space="preserve">McCarty, Tom/0000-0001-5815-2531; Rabin, Ronald/0000-0003-3496-0504; Tripp, Ralph/0000-0002-2924-9956</t>
  </si>
  <si>
    <t xml:space="preserve">This research was supported by the Intramural Research Program of the NIAID, NIH. Disclaimer: The views expressed in this report are the personal opinions of the authors and are not the official opinion of the U.S. Food and Drug Administration, the National Institutes of Health, or the Department of Health and Human Services. The funders had no role in study design, data collection and analysis, decision to publish, or preparation of the manuscript.</t>
  </si>
  <si>
    <t xml:space="preserve">NOV 29</t>
  </si>
  <si>
    <t xml:space="preserve">e15017</t>
  </si>
  <si>
    <t xml:space="preserve">10.1371/journal.pone.0015017</t>
  </si>
  <si>
    <t xml:space="preserve">686HD</t>
  </si>
  <si>
    <t xml:space="preserve">WOS:000284686500016</t>
  </si>
  <si>
    <t xml:space="preserve">Lu, YQ; Wang, SF; Zhang, LH; Xu, C; Bian, CR; Wang, ZX; Ma, YH; Wang, K; Ma, LX; Meng, C; Ni, CY; Tong, JB; Li, GC; Han, JX</t>
  </si>
  <si>
    <t xml:space="preserve">Lu, Yanqin; Wang, Shifu; Zhang, Lehai; Xu, Chao; Bian, Cuirong; Wang, Zhaoxia; Ma, Yanhui; Wang, Ke; Ma, Lixia; Meng, Chen; Ni, Caiyun; Tong, Jiabei; Li, Gongchao; Han, Jinxiang</t>
  </si>
  <si>
    <t xml:space="preserve">Epidemiology of Human Respiratory Viruses in Children with Acute Respiratory Tract Infections in Jinan, China</t>
  </si>
  <si>
    <t xml:space="preserve">CLINICAL &amp; DEVELOPMENTAL IMMUNOLOGY</t>
  </si>
  <si>
    <t xml:space="preserve">Coinfection; Respiratory tract infections; Virology; Epidemiology; Human metapneumovirus; Pneumonia; Incidence (geometry); Virus</t>
  </si>
  <si>
    <t xml:space="preserve">COMMUNITY-ACQUIRED PNEUMONIA; POLYMERASE-CHAIN-REACTION; HUMAN BOCAVIRUS INFECTION; HUMAN METAPNEUMOVIRUS; SYNCYTIAL-VIRUS; HOSPITALIZED CHILDREN; YOUNG-CHILDREN; SEVERE BRONCHIOLITIS; INFLUENZA-A; CORONAVIRUS</t>
  </si>
  <si>
    <t xml:space="preserve">The viral etiologies of UTRIs and LTRIs in children in Jinan city were investigated between July 2009 and June 2010. Nasal and throat swabs were collected from 397 children with URTIs and bronchoalveolar lavage fluid specimens were collected from 323 children with LRTIs. RT-PCR/PCR was used to examine all samples for IFV, PIV, RSV, RV, hMPV, HBoV, CoV, ADV, RSV, and EV. Viral pathogens were detected in 47.10% of URTI samples and 66.57% samples, and the incidence of viral coinfection was 5.29% and 21.05%, respectively. IFV was the most common virus in URTIs, with a detection rate of 19.40%, followed by PIV (10.83%), RV (10.58%), and EV (6.30%). For LRTIs, PIV and RV were both detected in 27% of samples, followed by RSV (9.91%), HBoV (8.36%), IFV (5.57%), and hMPV (5.57%). RSV and HBoV were more prevalent in the youngest children of no more than six months. Meanwhile, RV, PIV, and RSV were the most frequent viruses combined with bacterial pathogens in LRTIs. In conclusion, the spectrum of respiratory virus infections in URTIs and LRTIs differed in terms of the most common pathogens, seasonal distribution, and coinfection rate.</t>
  </si>
  <si>
    <t xml:space="preserve">[Lu, Yanqin; Xu, Chao; Wang, Ke; Tong, Jiabei; Li, Gongchao; Han, Jinxiang] Shandong Acad Med Sci, Key Lab Rare &amp; Uncommon Dis Shandong Prov,Minist, Key Lab Modern Med &amp; Technol Shandong Prov,Key La, Shandong Med Biotechnol Ctr,Key Lab Virol Shandon, Jinan 250062, Peoples R China; [Lu, Yanqin; Xu, Chao; Wang, Ke; Tong, Jiabei; Li, Gongchao; Han, Jinxiang] Univ Jinan, Shandong Acad Med Sci, Sch Med &amp; Life Sci, Jinan 250200, Peoples R China; [Wang, Shifu; Zhang, Lehai] Shandong Univ, Dept Lab, Qilu Childrens Hosp, Jinan 250022, Peoples R China; [Bian, Cuirong] Shandong Univ, Sch Dent Med, Jinan 250012, Peoples R China; [Wang, Zhaoxia] Shandong Acad Med Sci, Inst Basic Med, Jinan 250062, Peoples R China; [Ma, Yanhui; Ma, Lixia; Meng, Chen; Ni, Caiyun] Shandong Univ, Resp Dept, Qilu Childrens Hosp, Jinan 250022, Peoples R China</t>
  </si>
  <si>
    <t xml:space="preserve">University of Jinan; Shandong First Medical University &amp; Shandong Academy of Medical Sciences; University of Jinan; Shandong First Medical University &amp; Shandong Academy of Medical Sciences; Shandong University; Shandong University; University of Jinan; Shandong First Medical University &amp; Shandong Academy of Medical Sciences; Shandong University</t>
  </si>
  <si>
    <t xml:space="preserve">Han, JX (corresponding author), Shandong Acad Med Sci, Key Lab Rare &amp; Uncommon Dis Shandong Prov,Minist, Key Lab Modern Med &amp; Technol Shandong Prov,Key La, Shandong Med Biotechnol Ctr,Key Lab Virol Shandon, 18877 Jingshi Rd, Jinan 250062, Peoples R China.</t>
  </si>
  <si>
    <t xml:space="preserve">samshjx@sina.com</t>
  </si>
  <si>
    <t xml:space="preserve">Wang, Siqi/ABE-3341-2020; Lu, Yanqin/AAO-5454-2020; Wang, Zilong/IQV-2260-2023; liu, yichen/GVT-6262-2022</t>
  </si>
  <si>
    <t xml:space="preserve">wang, shifu/0000-0002-2131-9518</t>
  </si>
  <si>
    <t xml:space="preserve">State Major Infectious Disease Research Program (China Central Government) [2009ZX10004206, 2012ZX10004206]; Nature Science Fund of Shandong Province [ZR2009CZ011]</t>
  </si>
  <si>
    <t xml:space="preserve">State Major Infectious Disease Research Program (China Central Government); Nature Science Fund of Shandong Province</t>
  </si>
  <si>
    <t xml:space="preserve">The authors thank the clinicians of Qilu Children's Hospital of Shandong University for their assistance in sample collection. This study was supported by Grants from the State Major Infectious Disease Research Program (China Central Government, 2009ZX10004206 and 2012ZX10004206) and the Key Projects of Nature Science Fund of Shandong Province (ZR2009CZ011).</t>
  </si>
  <si>
    <t xml:space="preserve">1740-2522</t>
  </si>
  <si>
    <t xml:space="preserve">1740-2530</t>
  </si>
  <si>
    <t xml:space="preserve">CLIN DEV IMMUNOL</t>
  </si>
  <si>
    <t xml:space="preserve">Clin. Dev. Immunol.</t>
  </si>
  <si>
    <t xml:space="preserve">10.1155/2013/210490</t>
  </si>
  <si>
    <t xml:space="preserve">271OG</t>
  </si>
  <si>
    <t xml:space="preserve">WOS:000328400800001</t>
  </si>
  <si>
    <t xml:space="preserve">Fuchs, A; McLaren, R; Saunders, P; Karakash, S; Minkoff, H</t>
  </si>
  <si>
    <t xml:space="preserve">Fuchs, Alina; McLaren, Rodney, Jr.; Saunders, Paul; Karakash, Scarlett; Minkoff, Howard</t>
  </si>
  <si>
    <t xml:space="preserve">Human Metapneumovirus Infection and Acute Respiratory Distress Syndrome During Pregnancy</t>
  </si>
  <si>
    <t xml:space="preserve">OBSTETRICS AND GYNECOLOGY</t>
  </si>
  <si>
    <t xml:space="preserve">Human metapneumovirus; Medicine; Extracorporeal membrane oxygenation; Respiratory distress; Pregnancy; Intensive care unit; Intensive care medicine</t>
  </si>
  <si>
    <t xml:space="preserve">BACKGROUND: Human metapneumovirus has recently been recognized as an important cause of severe respiratory viral infections and of viral infections in patients admitted to intensive care units. Little is known about the course of this infection in pregnancy. CASE: A late-preterm primigravid woman was admitted to the intensive care unit for acute respiratory distress syndrome and subsequently diagnosed with human metapneumovirus. Because of worsening maternal respiratory status, she was intubated and a primary cesarean delivery was performed. The patient's respiratory status continued to decline postpartum, and she ultimately required extra corporeal membrane oxygenation. She was treated supportively until her respiratory status improved, at which time she was extubated and weaned off extracorporeal membrane oxygenation and subsequently discharged home. CONCLUSION: Human metapneumovirus can lead to severe respiratory illness during pregnancy.</t>
  </si>
  <si>
    <t xml:space="preserve">[Fuchs, Alina; McLaren, Rodney, Jr.; Saunders, Paul; Karakash, Scarlett; Minkoff, Howard] Maimonides Hosp, Dept Obstet &amp; Gynecol &amp; Cardiothorac Surg, Brooklyn, NY 11219 USA</t>
  </si>
  <si>
    <t xml:space="preserve">Maimonides Medical Center</t>
  </si>
  <si>
    <t xml:space="preserve">McLaren, R (corresponding author), Maimonides Hosp, Dept Obstet &amp; Gynecol, 4802 Tenth Ave, Brooklyn, NY 11219 USA.</t>
  </si>
  <si>
    <t xml:space="preserve">rmclaren624@gmail.com</t>
  </si>
  <si>
    <t xml:space="preserve">McLaren, Rodney/0000-0002-5013-3456</t>
  </si>
  <si>
    <t xml:space="preserve">0029-7844</t>
  </si>
  <si>
    <t xml:space="preserve">OBSTET GYNECOL</t>
  </si>
  <si>
    <t xml:space="preserve">Obstet. Gynecol.</t>
  </si>
  <si>
    <t xml:space="preserve">10.1097/AOG.0000000000002165</t>
  </si>
  <si>
    <t xml:space="preserve">FE3XZ</t>
  </si>
  <si>
    <t xml:space="preserve">WOS:000408150300027</t>
  </si>
  <si>
    <t xml:space="preserve">Zhou, HY; Zhao, MC; Li, XN; Zhang, D; Zhou, SF; Chen, C; Feng, ZS; Ma, XJ</t>
  </si>
  <si>
    <t xml:space="preserve">Zhou, Hangyu; Zhao, Mengchuan; Li, Xinna; Zhang, Dan; Zhou, Shuaifeng; Chen, Chen; Feng, Zhishan; Ma, Xuejun</t>
  </si>
  <si>
    <t xml:space="preserve">Clinical evaluation of the isothermal amplification assays for the detection of four common respiratory viruses in children with pneumonia</t>
  </si>
  <si>
    <t xml:space="preserve">Biology; Virology; Pneumonia; Medical microbiology; Respiratory system; Loop-mediated isothermal amplification</t>
  </si>
  <si>
    <t xml:space="preserve">TIME RT-PCR; SYNCYTIAL VIRUS; HUMAN METAPNEUMOVIRUS; DIAGNOSIS; INFLUENZA; DISEASE</t>
  </si>
  <si>
    <t xml:space="preserve">Respiratory viruses are recognized as serious causes of morbidity and mortality in lower respiratory tract infections in patients. Isothermal amplification assays are increasingly used in their detection because of their rapidity, simplicity and cost-effectiveness, when compared to traditional molecular diagnostic methods. However, systematic assessment of these assays in the clinical settings is rarely reported. MEDLINE (Pubmed) searches were done analysing subject headings and words in the abstract related to isothermal amplification assay and virus. Selected loop-mediated isothermal amplification assays (LAMP) for respiratory syncytial virus (RSV), human metapneumovirus (HMPV) and adenovirus (ADV) as well as a reverse transcription genome exponential amplification reaction assay (GEAR) for human rhinovirus (HRV) were clinically evaluated in a head to head comparison against a two-tube multiplex reverse transcription-PCR (RT-PCR) assay (two-tube assay) using 634 respiratory specimens from children with pneumonia from different regions in China. Discrepant results between isothermal amplification assays and the two-tube assay were resolved by sequencing. A comparison of sensitivities of each selected isothermal amplification assay among province, gender, and age groups was also analyzed. A total of 634 respiratory specimens selected from Hebei Province children's hospital and Hunan Provincial Center for Disease Control and Prevention were tested. The overall detection rate (number of positive specimens/total specimens) for viruses tested by Reverse transcription (RT)-LAMP/LAMP/RT-GEAR was 35.9% while the detection rate was 46.2% by the two-tube assay. The sensitivity of each isothermal amplification assay was 88.4%, 74.3%, 100% and 73.6% for RSV, HMPV, ADV and HRV, respectively. No false positives were found in isothermal amplification assays. All the discrepant negative results by isothermal amplification assays were confirmed false negatives by sequencing. The LAMP assay for ADV showed significant consistency with the two-tube assay. A higher sensitivity of RSV detection was found in Hunan Province than in Hebei Province (P = 0.01). Among different age groups, a higher sensitivity of RSV detection was also found in children older than 1 year, when compared to children less than 1 year (P = 0.01). The clinical performance of the selected isothermal amplification assays for different viruses varies. Multiple-center assessment is critical to evaluate isothermal amplification assays, especially for RNA viruses, for their broad use in clinical hospital. The selected LAMP assay for the detection of ADV is reliable and has great potential for use in clinics; however, the sensitivities of the LAMP/GEAR assays for the detection of RSV, HMPV and HRV need to be further improved to meet clinical requirements, although a statistical difference in sensitivity was only found for the selected LAMP assay for RSV.</t>
  </si>
  <si>
    <t xml:space="preserve">[Zhou, Hangyu; Zhao, Mengchuan; Li, Xinna; Zhang, Dan; Zhou, Shuaifeng; Chen, Chen; Ma, Xuejun] Chinese Ctr Dis Control &amp; Prevent, Natl Inst Viral Dis Control &amp; Prevent, Natl Hlth &amp; Family Planning Commiss, Key Lab Med Virol, Beijing 102206, Peoples R China; [Zhao, Mengchuan; Feng, Zhishan] Childrens Hosp Hebei Prov, Pediat Res Inst, Shijiazhuang 050031, Hebei, Peoples R China; [Zhou, Shuaifeng] Ctr Dis Control &amp; Prevent Hunan, Dept Microbiol, Changsha, Hunan, Peoples R China</t>
  </si>
  <si>
    <t xml:space="preserve">Ma, XJ (corresponding author), Chinese Ctr Dis Control &amp; Prevent, Natl Inst Viral Dis Control &amp; Prevent, Natl Hlth &amp; Family Planning Commiss, Key Lab Med Virol, Beijing 102206, Peoples R China.;Feng, ZS (corresponding author), Childrens Hosp Hebei Prov, Pediat Res Inst, Shijiazhuang 050031, Hebei, Peoples R China.</t>
  </si>
  <si>
    <t xml:space="preserve">zhouhangyuzi@126.com; zhaomengchuan1989@163.com; 1054245959@qq.com; zhangdan9769@163.com; cat.zsf@163.com; cc930829shirley@163.com; 15131129999@139.com; maxj@ivdc.chinacdc.cn</t>
  </si>
  <si>
    <t xml:space="preserve">China Mega-Project for Infectious Disease [2016ZX10004-101]; State key project [2016TFC1202700]; Beijing Municipal Science and Technology Commission project [D151100002115003]; Guangzhou Municipal Science and Technology Commission project [2015B2150820]</t>
  </si>
  <si>
    <t xml:space="preserve">China Mega-Project for Infectious Disease; State key project; Beijing Municipal Science and Technology Commission project; Guangzhou Municipal Science and Technology Commission project</t>
  </si>
  <si>
    <t xml:space="preserve">This work was supported by the China Mega-Project for Infectious Disease [Grant Numbers 2016ZX10004-101], State key project [Grand Number 2016TFC1202700], Beijing Municipal Science and Technology Commission project [Grant Numbers D151100002115003] and Guangzhou Municipal Science and Technology Commission project (Grant Numbers 2015B2150820).</t>
  </si>
  <si>
    <t xml:space="preserve">10.1007/s00705-017-3227-2</t>
  </si>
  <si>
    <t xml:space="preserve">ES0EV</t>
  </si>
  <si>
    <t xml:space="preserve">WOS:000399200000015</t>
  </si>
  <si>
    <t xml:space="preserve">Yun, BL; Guan, XL; Liu, YZ; Gao, YN; Wang, YQ; Qi, XL; Cui, HY; Liu, CJ; Zhang, YP; Gao, L; Li, K; Gao, HL; Gao, YL; Wang, XM</t>
  </si>
  <si>
    <t xml:space="preserve">Yun, Bingling; Guan, Xiaolu; Liu, Yongzhen; Gao, Yanni; Wang, Yongqiang; Qi, Xiaole; Cui, Hongyu; Liu, Changjun; Zhang, Yanping; Gao, Li; Li, Kai; Gao, Honglei; Gao, Yulong; Wang, Xiaomei</t>
  </si>
  <si>
    <t xml:space="preserve">Trypsin- and low pH-mediated fusogenicity of avian metapneumovirus fusion proteins is determined by residues at positions 100, 101 and 294</t>
  </si>
  <si>
    <t xml:space="preserve">Metapneumovirus; Trypsin</t>
  </si>
  <si>
    <t xml:space="preserve">SMALL HYDROPHOBIC SH; MEMBRANE-FUSION; F-PROTEIN; PARAMYXOVIRUS FUSION; CELL-FUSION; TRANSMEMBRANE DOMAIN; FUNCTIONAL-ANALYSIS; STRUCTURAL BASIS; INFLUENZA-VIRUS; IN-VITRO</t>
  </si>
  <si>
    <t xml:space="preserve">Avian metapneumovirus (aMPV) and human metapneumovirus (hMPV) are members of the genus Metapneumovirus in the subfamily Pneumovirinae. Metapneumovirus fusion (F) protein mediates the fusion of host cells with the virus membrane for infection. Trypsin- and/or low pH-induced membrane fusion is a strain-dependent phenomenon for hMPV. Here, we demonstrated that three subtypes of aMPV (aMPV/A, aMPV/B, and aMPV/C) F proteins promoted cell-cell fusion in the absence of trypsin. Indeed, in the presence of trypsin, only aMPV/C F protein fusogenicity was enhanced. Mutagenesis of the amino acids at position 100 and/or 101, located at a putative cleavage region in aMPV F proteins, revealed that the trypsin-mediated fusogenicity of aMPV F proteins is regulated by the residues at positions 100 and 101. Moreover, we demonstrated that aMPV/A and aMPV/B F proteins mediated cell-cell fusion independent of low pH, whereas the aMPV/C F protein did not. Mutagenesis of the residue at position 294 in the aMPV/A, aMPV/B, and aMPV/C F proteins showed that 294G played a critical role in F protein-mediated fusion under low pH conditions. These findings on aMPV F protein-induced cell-cell fusion provide new insights into the molecular mechanisms underlying membrane fusion and pathogenesis of aMPV.</t>
  </si>
  <si>
    <t xml:space="preserve">[Yun, Bingling; Guan, Xiaolu; Liu, Yongzhen; Gao, Yanni; Wang, Yongqiang; Qi, Xiaole; Cui, Hongyu; Liu, Changjun; Zhang, Yanping; Gao, Li; Li, Kai; Gao, Honglei; Gao, Yulong; Wang, Xiaomei] Chinese Acad Agr Sci, Div Avian Infect Dis, State Key Lab Vet Biotechnol, Harbin Vet Res Inst, Harbin 150001, Heilongjiang Pr, Peoples R China</t>
  </si>
  <si>
    <t xml:space="preserve">Chinese Academy of Agricultural Sciences; Harbin Veterinary Research Institute, CAAS</t>
  </si>
  <si>
    <t xml:space="preserve">Gao, YL (corresponding author), Chinese Acad Agr Sci, Div Avian Infect Dis, State Key Lab Vet Biotechnol, Harbin Vet Res Inst, 427 Maduan St, Harbin 150001, Heilongjiang Pr, Peoples R China.</t>
  </si>
  <si>
    <t xml:space="preserve">ylg@hvri.ac.cn; xmw@hvri.ac.cn</t>
  </si>
  <si>
    <t xml:space="preserve">Liu, Yongzhen/GVR-8280-2022; ZHANG, YANPING/HKN-1180-2023; Wang, Xiaomei/ABD-4974-2020; Liu, Changjun/M-3272-2013; GAO, YULONG/HGE-6271-2022</t>
  </si>
  <si>
    <t xml:space="preserve">GAO, YULONG/0000-0002-0448-8467</t>
  </si>
  <si>
    <t xml:space="preserve">[nycytx-42-G3-01]</t>
  </si>
  <si>
    <t xml:space="preserve">This work was supported by the fund for the Modern Agro-industry Technology Research System (no. nycytx-42-G3-01). We are grateful to Dr. Yuliang Liu and Dr. Baoshan Zhang for critical revising of the manuscript.</t>
  </si>
  <si>
    <t xml:space="preserve">OCT 26</t>
  </si>
  <si>
    <t xml:space="preserve">10.1038/srep15584</t>
  </si>
  <si>
    <t xml:space="preserve">CU3BG</t>
  </si>
  <si>
    <t xml:space="preserve">WOS:000363397800003</t>
  </si>
  <si>
    <t xml:space="preserve">Wen, XL; Krause, JC; Leser, GP; Cox, RG; Lamb, RA; Williams, JV; Crowe, JE; Jardetzky, TS</t>
  </si>
  <si>
    <t xml:space="preserve">Wen, Xiaolin; Krause, Jens C.; Leser, George P.; Cox, Reagan G.; Lamb, Robert A.; Williams, John V.; Crowe, James E., Jr.; Jardetzky, Theodore S.</t>
  </si>
  <si>
    <t xml:space="preserve">Structure of the human metapneumovirus fusion protein with neutralizing antibody identifies a pneumovirus antigenic site</t>
  </si>
  <si>
    <t xml:space="preserve">NATURE STRUCTURAL &amp; MOLECULAR BIOLOGY</t>
  </si>
  <si>
    <t xml:space="preserve">Human metapneumovirus; Virology; Metapneumovirus; Epitope; Paramyxoviridae; Lipid bilayer fusion; Antibody; Glycoprotein; Neutralizing antibody; Virus</t>
  </si>
  <si>
    <t xml:space="preserve">F-PROTEIN; MONOCLONAL-ANTIBODIES; IN-VITRO; PREFUSION; DISEASE</t>
  </si>
  <si>
    <t xml:space="preserve">Human metapneumovirus and respiratory syncytial virus cause lower respiratory tract infections. The virus fusion (F) glycoprotein promotes membrane fusion by refolding from a metastable pre-fusion to a stable post-fusion conformation. F is also a major target of the neutralizing antibody response. Here we show that a potently neutralizing anti-human metapneumovirus antibody (DS7) binds a structurally invariant domain of F, revealing a new epitope that could be targeted in vaccine development.</t>
  </si>
  <si>
    <t xml:space="preserve">[Wen, Xiaolin; Jardetzky, Theodore S.] Stanford Univ, Sch Med, Dept Biol Struct, Stanford, CA 94305 USA; [Krause, Jens C.; Williams, John V.; Crowe, James E., Jr.] Vanderbilt Univ, Sch Med, Dept Pediat, Nashville, TN 37212 USA; [Krause, Jens C.; Williams, John V.; Crowe, James E., Jr.] Monroe Carell Jr Childrens Hosp Vanderbilt, Nashville, TN USA; [Leser, George P.; Lamb, Robert A.] Northwestern Univ, Howard Hughes Med Inst, Evanston, IL USA; [Leser, George P.; Lamb, Robert A.] Northwestern Univ, Dept Mol Biosci, Evanston, IL USA; [Cox, Reagan G.; Williams, John V.; Crowe, James E., Jr.] Vanderbilt Univ, Sch Med, Dept Pathol Microbiol &amp; Immunol, Nashville, TN 37212 USA</t>
  </si>
  <si>
    <t xml:space="preserve">Williams, John/0000-0001-8377-5175; Jardetzky, Theodore/0000-0002-3664-0072; Crowe, James/0000-0002-0049-1079</t>
  </si>
  <si>
    <t xml:space="preserve">US National Institutes of Health [AI-085062, AI-073697, AI-072414, AI-23173, GM-61050]</t>
  </si>
  <si>
    <t xml:space="preserve">US National Institutes of Health(United States Department of Health &amp; Human ServicesNational Institutes of Health (NIH) - USA)</t>
  </si>
  <si>
    <t xml:space="preserve">We thank past and present members of the Jardetzky, Crowe, Williams and Lamb laboratories. This research was supported in part by US National Institutes of Health research grants to J.V.W. (AI-085062, AI-073697 and AI-072414), R.A.L. (AI-23173) and T.S.J. (GM-61050). R.A.L. is an investigator of the Howard Hughes Medical Institute, J.E.C. is a Burroughs Wellcome Fund Clinical Scientist in Translational Research.</t>
  </si>
  <si>
    <t xml:space="preserve">75 VARICK ST, 9TH FLR, NEW YORK, NY 10013-1917 USA</t>
  </si>
  <si>
    <t xml:space="preserve">1545-9993</t>
  </si>
  <si>
    <t xml:space="preserve">1545-9985</t>
  </si>
  <si>
    <t xml:space="preserve">NAT STRUCT MOL BIOL</t>
  </si>
  <si>
    <t xml:space="preserve">Nat. Struct. Mol. Biol.</t>
  </si>
  <si>
    <t xml:space="preserve">10.1038/nsmb.2250</t>
  </si>
  <si>
    <t xml:space="preserve">Biochemistry &amp; Molecular Biology; Biophysics; Cell Biology</t>
  </si>
  <si>
    <t xml:space="preserve">921YQ</t>
  </si>
  <si>
    <t xml:space="preserve">WOS:000302514400017</t>
  </si>
  <si>
    <t xml:space="preserve">Liu, P; Shu, Z; Qin, X; Dou, Y; Zhao, Y; Zhao, XD</t>
  </si>
  <si>
    <t xml:space="preserve">Liu, Ping; Shu, Zhou; Qin, Xian; Dou, Ying; Zhao, Yao; Zhao, Xiaodong</t>
  </si>
  <si>
    <t xml:space="preserve">A Live Attenuated Human Metapneumovirus Vaccine Strain Provides Complete Protection against Homologous Viral Infection and Cross-Protection against Heterologous Viral Infection in BALB/c Mice</t>
  </si>
  <si>
    <t xml:space="preserve">Heterologous; Virology; Biology</t>
  </si>
  <si>
    <t xml:space="preserve">RESPIRATORY-TRACT INFECTIONS; OBSTRUCTIVE PULMONARY-DISEASE; CLEAVAGE-ACTIVATION SITE; FUSION PROTEIN; IN-VITRO; INACTIVATED VIRUS; NONHUMAN-PRIMATES; GENETIC LINEAGES; ANIMAL-MODEL; COTTON RATS</t>
  </si>
  <si>
    <t xml:space="preserve">A live attenuated vaccine candidate strain (M2) of human metapneumovirus (hMPV) was generated by removing the N-linked carbohydrate at amino acid 172 in the fusion (F) protein. Previously, replication of M2 in mouse lungs could be detected by molecular assays but not by viral titration. In the present study, the protective effects of M2 against infection by homologous or heterologous viruses were evaluated in BALB/c mice. Immunization with M2 produced a high titer of serum virus-neutralizing antibodies in BALB/c mice at 4 and 8 weeks postimmunization, with the titers against the homologous virus being higher than those against the heterologous virus. Challenges at 4 and 8 weeks postinoculation with M2 or wild-type virus led to no replication when mice were challenged with a homologous virus and extremely reduced replication when mice were challenged with a heterologous virus, as determined by the detection of viral genomic RNA copies in the lungs, as well as significantly milder pulmonary pathology. Thus, M2, with only one N-linked carbohydrate removed in the F protein, provides complete protection from homologous virus infection and substantial cross-protection from heterologous virus infection for at least 56 days after inoculation. This vaccine strain may therefore be a candidate for further preclinical study. Furthermore, this attenuating strategy (changing the glycosylation of a major viral protein) may be useful in the development of other viral vaccines.</t>
  </si>
  <si>
    <t xml:space="preserve">[Liu, Ping; Shu, Zhou; Qin, Xian; Dou, Ying; Zhao, Yao; Zhao, Xiaodong] Chongqing Med Univ, Childrens Hosp, Minist Educ, Key Lab Child Dev &amp; Disorders, Chongqing, Peoples R China</t>
  </si>
  <si>
    <t xml:space="preserve">zhao, xd/HJX-9525-2023; Qin, XIan/JUU-4649-2023</t>
  </si>
  <si>
    <t xml:space="preserve">National Natural Science Foundation of China [30730098, 30800972]; Natural Science Foundation project of the Chongqing Scientific Committee (CSTC) [2010BB5372, 2012BB2145]</t>
  </si>
  <si>
    <t xml:space="preserve">National Natural Science Foundation of China(National Natural Science Foundation of China (NSFC)); Natural Science Foundation project of the Chongqing Scientific Committee (CSTC)</t>
  </si>
  <si>
    <t xml:space="preserve">This work was supported by the National Natural Science Foundation of China (30730098, 30800972) and the Natural Science Foundation project of the Chongqing Scientific Committee (CSTC; 2010BB5372, 2012BB2145).</t>
  </si>
  <si>
    <t xml:space="preserve">10.1128/CVI.00145-13</t>
  </si>
  <si>
    <t xml:space="preserve">190CY</t>
  </si>
  <si>
    <t xml:space="preserve">WOS:000322316800020</t>
  </si>
  <si>
    <t xml:space="preserve">Pretorius, MA; Madhi, SA; Cohen, C; Naidoo, D; Groome, M; Moyes, J; Buys, A; Walaza, S; Dawood, H; Chhagan, M; Haffjee, S; Kahn, K; Puren, A; Venter, M</t>
  </si>
  <si>
    <t xml:space="preserve">Pretorius, Marthi A.; Madhi, Shabir A.; Cohen, Cheryl; Naidoo, Dhamari; Groome, Michelle; Moyes, Jocelyn; Buys, Amelia; Walaza, Sibongile; Dawood, Halima; Chhagan, Meera; Haffjee, Sumayya; Kahn, Kathleen; Puren, Adrian; Venter, Marietjie</t>
  </si>
  <si>
    <t xml:space="preserve">Respiratory Viral Coinfections Identified by a 10-Plex Real-Time Reverse-Transcription Polymerase Chain Reaction Assay in Patients Hospitalized With Severe Acute Respiratory Illness-South Africa, 2009-2010</t>
  </si>
  <si>
    <t xml:space="preserve">Human metapneumovirus; Virology; Rhinovirus; Virus; Pneumonia; Influenza-like illness; Influenza A virus; Multiplex</t>
  </si>
  <si>
    <t xml:space="preserve">QUANTITATIVE PCR; TRACT INFECTIONS; RAPID DETECTION; CHILDREN; VIRUSES; SURVEILLANCE; DNA</t>
  </si>
  <si>
    <t xml:space="preserve">Background. Data about respiratory coinfections with 2009 pandemic influenza A virus subtype H1N1 during the 2009-2010 influenza pandemic in Africa are limited. We used an existing surveillance program for severe acute respiratory illness to evaluate a new multiplex real-time polymerase chain reaction assay and investigate the role of influenza virus and other respiratory viruses in pneumonia hospitalizations during and after the influenza pandemic in South Africa. Methods. The multiplex assay was developed to detect 10 respiratory viruses, including influenza A and B viruses, parainfluenza virus types 1-3, respiratory syncytial virus (RSV), enterovirus, human metapneumovirus (hMPV), adenovirus (AdV), and rhinovirus (RV), followed by influenza virus subtyping. Nasopharyngeal and oropharyngeal specimens were collected from patients hospitalized with pneumonia at 6 hospitals during 2009-2010. Results. Validation against external quality controls confirmed the high sensitivity (91%) and specificity (100%) and user-friendliness, compared with other PCR technologies. Of 8173 patients, 40% had single-virus infections, 17% had coinfections, and 43% remained negative. The most common viruses were RV (25%), RSV (14%), AdV (13%), and influenza A virus (5%). Influenza virus, RSV, PIV type 3, and hMPV showed seasonal patterns. Conclusion. The data provide a better understanding of the viral etiology of hospitalized cases of pneumonia and demonstrate the usefulness of this multiplex assay in respiratory disease surveillance in South Africa.</t>
  </si>
  <si>
    <t xml:space="preserve">[Venter, Marietjie] Natl Inst Communicable Dis, Resp Virus Unit, Natl Hlth Lab Serv, ZA-2131 Johannesburg, South Africa; [Madhi, Shabir A.; Groome, Michelle] Natl Res Fdn Vaccine Preventable Dis, Dept Sci &amp; Technol, Johannesburg, South Africa; [Kahn, Kathleen] Univ Witwatersrand, Fac Hlth Sci, Sch Publ Hlth, MRC Wits Rural Publ Hlth &amp; Hlth Transit Res Unit, ZA-2050 Johannesburg, South Africa; [Haffjee, Sumayya] NHLS Complex, Pietermaritzburg Metropolitan Hosp, Edendale, England; [Chhagan, Meera] Univ KwaZulu Natal, Maternal &amp; Child Hlth Unit, Durban, South Africa; [Venter, Marietjie] Univ Pretoria, Dept Med Virol, ZA-0002 Pretoria, South Africa</t>
  </si>
  <si>
    <t xml:space="preserve">National Institute for Communicable Diseases (NICD); National Health Laboratory Service; National Research Foundation - South Africa; University of Witwatersrand; University of Kwazulu Natal; University of Pretoria</t>
  </si>
  <si>
    <t xml:space="preserve">Venter, M (corresponding author), Natl Inst Communicable Dis, Resp Virus Unit, Natl Hlth Lab Serv, Private Bag X 4 Sandringham, ZA-2131 Johannesburg, South Africa.</t>
  </si>
  <si>
    <t xml:space="preserve">Puren, Adrian/AAC-2065-2020; Moyes, Jocelyn/AAF-7882-2019; Walaza, Sibongile/HKP-0810-2023; Groome, Michelle/AAI-9967-2021; Dawood, Halima/AAF-6045-2020; Venter, Marietjie/P-9604-2016; Cohen, Cheryl/HKV-1000-2023; Puren, Adrian/W-1679-2018</t>
  </si>
  <si>
    <t xml:space="preserve">Madhi, Shabir/0000-0002-7629-0636; Groome, Michelle/0000-0001-5893-3725; Venter, Marietjie/0000-0003-2696-824X; Cohen, Cheryl/0000-0003-0376-2302; Walaza, Sibongile/0000-0001-7588-2480; Kahn, Kathleen/0000-0003-3339-3931; Puren, Adrian/0000-0001-7531-4010; Pretorius, Marthi/0000-0003-2163-6158</t>
  </si>
  <si>
    <t xml:space="preserve">CDC [5U51/IP000155]</t>
  </si>
  <si>
    <t xml:space="preserve">CDC(Centre National de la Recherche Scientifique (CNRS)United States Department of Health &amp; Human ServicesCenters for Disease Control &amp; Prevention - USA)</t>
  </si>
  <si>
    <t xml:space="preserve">This work was supported by a cooperative agreement (5U51/IP000155) with the CDC.</t>
  </si>
  <si>
    <t xml:space="preserve">S159</t>
  </si>
  <si>
    <t xml:space="preserve">S165</t>
  </si>
  <si>
    <t xml:space="preserve">10.1093/infdis/jis538</t>
  </si>
  <si>
    <t xml:space="preserve">Green Submitted, Bronze</t>
  </si>
  <si>
    <t xml:space="preserve">WOS:000311667900025</t>
  </si>
  <si>
    <t xml:space="preserve">Homaira, N; Luby, SP; Petri, WA; Vainionpaa, R; Rahman, M; Hossain, K; Snider, CB; Rahman, M; Alamgir, ASM; Zesmin, F; Alam, M; Gurley, ES; Zaman, RU; Azim, T; Erdman, DD; Fry, AM; Bresee, J; Widdowson, MA; Haque, R; Azziz-Baumgartner, E</t>
  </si>
  <si>
    <t xml:space="preserve">Homaira, Nusrat; Luby, Stephen P.; Petri, William A.; Vainionpaa, Raija; Rahman, Mustafizur; Hossain, Kamal; Snider, Cynthia B.; Rahman, Mahmudur; Alamgir, A. S. M.; Zesmin, Farzina; Alam, Masud; Gurley, Emily S.; Zaman, Rashid Uz; Azim, Tasnim; Erdman, Dean D.; Fry, Alicia M.; Bresee, Joseph; Widdowson, Marc-Alain; Haque, Rashidul; Azziz-Baumgartner, Eduardo</t>
  </si>
  <si>
    <t xml:space="preserve">Incidence of Respiratory Virus-Associated Pneumonia in Urban Poor Young Children of Dhaka, Bangladesh, 2009-2011</t>
  </si>
  <si>
    <t xml:space="preserve">Human metapneumovirus; Medicine; Pneumonia; Rhinovirus; Human Parainfluenza Virus; Incidence (geometry); Metapneumovirus</t>
  </si>
  <si>
    <t xml:space="preserve">COMMUNITY-ACQUIRED PNEUMONIA; RISK-FACTORS; INFECTION; EPIDEMIOLOGY; ETIOLOGY; COHORT</t>
  </si>
  <si>
    <t xml:space="preserve">Background: Pneumonia is the leading cause of childhood death in Bangladesh. We conducted a longitudinal study to estimate the incidence of virus-associated pneumonia in children aged &lt;2 years in a low-income urban community in Dhaka, Bangladesh. Methods: We followed a cohort of children for two years. We collected nasal washes when children presented with respiratory symptoms. Study physicians diagnosed children with cough and age-specific tachypnea and positive lung findings as pneumonia case-patients. We tested respiratory samples for respiratory syncytial virus (RSV), rhinoviruses, human metapneumovirus (HMPV), influenza viruses, human parainfluenza viruses (HPIV 1, 2, 3), and adenoviruses using real-time reverse transcription polymerase chain reaction assays. Results: Between April 2009-March 2011, we followed 515 children for 730 child-years. We identified a total of 378 pneumonia episodes, 77% of the episodes were associated with a respiratory viral pathogen. The overall incidence of pneumonia associated with a respiratory virus infection was 40/100 child-years. The annual incidence of pneumonia/100 child-years associated with a specific respiratory virus in children aged &lt;2years was 12.5 for RSV, 6 for rhinoviruses, 6 for HMPV, 4 for influenza viruses, 3 for HPIV and 2 for adenoviruses. Conclusion: Young children in Dhaka are at high risk of childhood pneumonia and the majority of these episodes are associated with viral pathogens. Developing effective low-cost strategies for prevention are a high priority.</t>
  </si>
  <si>
    <t xml:space="preserve">[Homaira, Nusrat; Luby, Stephen P.; Rahman, Mustafizur; Hossain, Kamal; Zesmin, Farzina; Alam, Masud; Gurley, Emily S.; Zaman, Rashid Uz; Azim, Tasnim; Haque, Rashidul; Azziz-Baumgartner, Eduardo] Int Ctr Diarrhoeal Dis Res, Dhaka 1000, Bangladesh; [Luby, Stephen P.; Erdman, Dean D.; Fry, Alicia M.; Bresee, Joseph; Widdowson, Marc-Alain; Azziz-Baumgartner, Eduardo] Ctr Dis Control &amp; Prevent CDC, Atlanta, GA USA; [Petri, William A.; Snider, Cynthia B.] Univ Virginia, Jack Jouett, VA USA; [Vainionpaa, Raija] Univ Turku, Turku, Finland; [Rahman, Mahmudur; Alamgir, A. S. M.] Inst Epidemiol Dis Control &amp; Res, Dhaka, Bangladesh</t>
  </si>
  <si>
    <t xml:space="preserve">International Centre for Diarrhoeal Disease Research (ICDDR); Centers for Disease Control &amp; Prevention - USA; University of Virginia; University of Turku</t>
  </si>
  <si>
    <t xml:space="preserve">Homaira, N (corresponding author), Int Ctr Diarrhoeal Dis Res, GPO Box 128, Dhaka 1000, Bangladesh.</t>
  </si>
  <si>
    <t xml:space="preserve">nhomaira@icddrb.org</t>
  </si>
  <si>
    <t xml:space="preserve">Petri, William/D-3639-2019; Zaman, Rashid/AAM-5209-2020; Homaira, Nusrat/U-4526-2019; Rahman, Md Mahmudur/AAB-7011-2021; Bresee, Joseph/LMP-2347-2024; rahman, mustafizur/E-6918-2010; Gurley, Emily/B-7903-2010; Alam, Dr Asraful/HTO-1913-2023</t>
  </si>
  <si>
    <t xml:space="preserve">Zaman, Rashid/0000-0002-8556-4993; Hossain, Kamal/0000-0001-5260-2140; Bresee, Joseph/0000-0002-6133-0797; Homaira, Nusrat/0000-0003-3341-7964; Widdowson, Marc-Alain/0000-0002-0682-6933</t>
  </si>
  <si>
    <t xml:space="preserve">Influenza Division of Centers for Disease Control and Prevention (CDC), Atlanta [1U01CI000628-01]; University of Virginia (UVA) under the NIH [RO1 AI043596]</t>
  </si>
  <si>
    <t xml:space="preserve">Influenza Division of Centers for Disease Control and Prevention (CDC), Atlanta; University of Virginia (UVA) under the NIH</t>
  </si>
  <si>
    <t xml:space="preserve">This study was funded by the Influenza Division of Centers for Disease Control and Prevention (CDC), Atlanta under the co-operative agreement number 1U01CI000628-01 and University of Virginia (UVA) under the NIH grant RO1 AI043596 to WAP. The funders had no role in study design, data collection and analysis, decision to publish, or preparation of the manuscript.</t>
  </si>
  <si>
    <t xml:space="preserve">e32056</t>
  </si>
  <si>
    <t xml:space="preserve">10.1371/journal.pone.0032056</t>
  </si>
  <si>
    <t xml:space="preserve">926ZZ</t>
  </si>
  <si>
    <t xml:space="preserve">WOS:000302875500068</t>
  </si>
  <si>
    <t xml:space="preserve">Vinh, DC; Newby, D; Charest, H; McDonald, J</t>
  </si>
  <si>
    <t xml:space="preserve">Vinh, Donald C.; Newby, Diane; Charest, Hugues; McDonald, Jane</t>
  </si>
  <si>
    <t xml:space="preserve">Evaluation of a commercial direct fluorescent-antibody assay for human metapneumovirus in respiratory specimens</t>
  </si>
  <si>
    <t xml:space="preserve">Human metapneumovirus; Metapneumovirus; Virology; Gold standard (test); Antibody; Direct fluorescent antibody</t>
  </si>
  <si>
    <t xml:space="preserve">INFECTIONS; AGE</t>
  </si>
  <si>
    <t xml:space="preserve">The performance of a commercially manufactured direct fluorescent-antibody assay kit for human metapneumovirus was compared to that of reverse transcriptase PCR, the current gold standard. The kit demonstrated a sensitivity of 95.2%, a specificity of 100%, and an accuracy of 98.9%.</t>
  </si>
  <si>
    <t xml:space="preserve">[Vinh, Donald C.; Newby, Diane; McDonald, Jane] McGill Univ, Ctr Hlth, Dept Med Microbiol, Clin Virol Lab, Montreal, PQ, Canada; [Charest, Hugues] Inst Natl Sante Publ Quebec, Lab Sante Publ Quebec, Ste Anne De Bellevue, PQ, Canada</t>
  </si>
  <si>
    <t xml:space="preserve">McGill University; Institut national de sante publique du Quebec (INSPQ)</t>
  </si>
  <si>
    <t xml:space="preserve">McDonald, J (corresponding author), Montreal Childrens Hosp, 2300 Tupper,C-1341, Montreal, PQ H3H 1P3, Canada.</t>
  </si>
  <si>
    <t xml:space="preserve">jane.mcdonald@muhc.mcgill.ca</t>
  </si>
  <si>
    <t xml:space="preserve">VINH, DONALD/0000-0003-1347-7767</t>
  </si>
  <si>
    <t xml:space="preserve">10.1128/JCM.01554-07</t>
  </si>
  <si>
    <t xml:space="preserve">WOS:000255678200042</t>
  </si>
  <si>
    <t xml:space="preserve">Ahmed, JA; Katz, MA; Auko, E; Njenga, MK; Weinberg, M; Kapella, BK; Burke, H; Nyoka, R; Gichangi, A; Waiboci, LW; Mahamud, A; Qassim, M; Swai, B; Wagacha, B; Mutonga, D; Nguhi, M; Breiman, RF; Eidex, RB</t>
  </si>
  <si>
    <t xml:space="preserve">Ahmed, Jamal A.; Katz, Mark A.; Auko, Eric; Njenga, M. Kariuki; Weinberg, Michelle; Kapella, Bryan K.; Burke, Heather; Nyoka, Raymond; Gichangi, Anthony; Waiboci, Lilian W.; Mahamud, Abdirahman; Qassim, Mohamed; Swai, Babu; Wagacha, Burton; Mutonga, David; Nguhi, Margaret; Breiman, Robert F.; Eidex, Rachel B.</t>
  </si>
  <si>
    <t xml:space="preserve">Epidemiology of respiratory viral infections in two long-term refugee camps in Kenya, 2007-2010</t>
  </si>
  <si>
    <t xml:space="preserve">Human metapneumovirus; Medicine; Epidemiology</t>
  </si>
  <si>
    <t xml:space="preserve">SYNCYTIAL VIRUS-INFECTION; COMPLEX EMERGENCIES; TRACT INFECTIONS; CHILDREN; HOSPITALIZATIONS; SURVEILLANCE; HEALTH</t>
  </si>
  <si>
    <t xml:space="preserve">Background: Refugees are at risk for poor outcomes from acute respiratory infections (ARI) because of overcrowding, suboptimal living conditions, and malnutrition. We implemented surveillance for respiratory viruses in Dadaab and Kakuma refugee camps in Kenya to characterize their role in the epidemiology of ARI among refugees. Methods: From 1 September 2007 through 31 August 2010, we obtained nasopharyngeal (NP) and oropharyngeal (OP) specimens from patients with influenza-like illness (ILI) or severe acute respiratory infections (SARI) and tested them by RT-PCR for adenovirus (AdV), respiratory syncytial virus (RSV), human metapneumovirus (hMPV), parainfluenza viruses (PIV), and influenza A and B viruses. Definitions for ILI and SARI were adapted from those of the World Health Organization. Proportions of cases associated with viral aetiology were calculated by camp and by clinical case definition. In addition, for children &lt; 5 years only, crude estimates of rates due to SARI per 1000 were obtained. Results: We tested specimens from 1815 ILI and 4449 SARI patients (median age = 1 year). Proportion positive for virus were AdV, 21.7%; RSV, 12.5%; hMPV, 5.7%; PIV, 9.4%; influenza A, 9.7%; and influenza B, 2.6%; 49.8% were positive for at least one virus. The annual rate of SARI hospitalisation for 2007-2010 was 57 per 1000 children per year. Virus-positive hospitalisation rates were 14 for AdV; 9 for RSV; 6 for PIV; 4 for hMPV; 5 for influenza A; and 1 for influenza B. The rate of SARI hospitalisation was highest in children &lt; 1 year old (156 per 1000 child-years). The ratio of rates for children &lt; 1 year and 1 to &lt; 5 years old was 3.7:1 for AdV, 5.5:1 for RSV, 4.4:1 for PIV, 5.1:1 for hMPV, 3.2:1 for influenza A, and 2.2:1 for influenza B. While SARI hospitalisation rates peaked from November to February in Dadaab, no distinct seasonality was observed in Kakuma. Conclusions: Respiratory viral infections, particularly RSV and AdV, were associated with high rates of illness and make up a substantial portion of respiratory infection in these two refugee settings.</t>
  </si>
  <si>
    <t xml:space="preserve">[Ahmed, Jamal A.; Katz, Mark A.; Njenga, M. Kariuki; Burke, Heather; Nyoka, Raymond; Gichangi, Anthony; Waiboci, Lilian W.; Breiman, Robert F.; Eidex, Rachel B.] US Ctr Dis Control &amp; Prevent, Nairobi, Kenya; [Auko, Eric; Mahamud, Abdirahman] Kenya Govt Med Res Ctr, Nairobi, Kenya; [Weinberg, Michelle; Kapella, Bryan K.] US Ctr Dis Control &amp; Prevent, Atlanta, GA USA; [Qassim, Mohamed; Swai, Babu; Wagacha, Burton] United Nations High Commissioner Refugees, Nairobi, Kenya; [Mutonga, David] Minist Publ Hlth &amp; Sanitat, Nairobi, Kenya; [Nguhi, Margaret] Int Rescue Comm, Nairobi, Kenya; [Ahmed, Jamal A.] KEMRI Compound, KEMRI CDC, Nairobi 00621, Kenya</t>
  </si>
  <si>
    <t xml:space="preserve">Kenya Medical Research Institute; Centers for Disease Control &amp; Prevention - USA</t>
  </si>
  <si>
    <t xml:space="preserve">Ahmed, JA (corresponding author), US Ctr Dis Control &amp; Prevent, Nairobi, Kenya.</t>
  </si>
  <si>
    <t xml:space="preserve">JAhmed@ke.cdc.gov</t>
  </si>
  <si>
    <t xml:space="preserve">Gichangi, Anthony/ITV-3577-2023; Breiman, Robert/ISS-4450-2023</t>
  </si>
  <si>
    <t xml:space="preserve">Musyoka, Dr. Raymond/0000-0001-6881-9555; Breiman, Robert/0000-0002-7099-2936</t>
  </si>
  <si>
    <t xml:space="preserve">US Centers for Disease Control and Prevention; International Rescue Committee; Kenya Medical Research Institute</t>
  </si>
  <si>
    <t xml:space="preserve">US Centers for Disease Control and Prevention(United States Department of Health &amp; Human ServicesCenters for Disease Control &amp; Prevention - USA); International Rescue Committee; Kenya Medical Research Institute</t>
  </si>
  <si>
    <t xml:space="preserve">Support for this activity was provided through cooperative agreements among the US Centers for Disease Control and Prevention, the International Rescue Committee, and the Kenya Medical Research Institute. This manuscript is published with permission of the director of the Kenya Medical Research Institute. The findings and conclusions in this report are those of the authors and do not necessarily represent the official position of the Centers for Disease Control and Prevention or other institutions with which the authors are affiliated.</t>
  </si>
  <si>
    <t xml:space="preserve">10.1186/1471-2334-12-7</t>
  </si>
  <si>
    <t xml:space="preserve">902SK</t>
  </si>
  <si>
    <t xml:space="preserve">WOS:000301060100001</t>
  </si>
  <si>
    <t xml:space="preserve">Tak, R; Semmekrot, B; Warris, A; Yntema, JB; Stelma, F; Neeleman, C</t>
  </si>
  <si>
    <t xml:space="preserve">Tak, Ramon; Semmekrot, Ben; Warris, Adilia; Yntema, Jan Bart; Stelma, Foekje; Neeleman, Chris</t>
  </si>
  <si>
    <t xml:space="preserve">Bacterial Tracheitis and Septic Shock</t>
  </si>
  <si>
    <t xml:space="preserve">Medicine; Septic shock; Stridor; Tracheitis</t>
  </si>
  <si>
    <t xml:space="preserve">[Tak, Ramon; Warris, Adilia; Yntema, Jan Bart] Radboud Univ Nijmegen, Med Ctr, Dept Pediat, NL-6525 ED Nijmegen, Netherlands; [Semmekrot, Ben] Canisius Wilhelmina Hosp, Dept Pediat, Nijmegen, Netherlands; [Stelma, Foekje] Radboud Univ Nijmegen, Dept Intens Care, Med Ctr, NL-6525 ED Nijmegen, Netherlands; [Neeleman, Chris] Radboud Univ Nijmegen, Dept Intens Care, Med Ctr, NL-6525 ED Nijmegen, Netherlands</t>
  </si>
  <si>
    <t xml:space="preserve">Radboud University Nijmegen; Canisius-Wilhelmina Hospital; Radboud University Nijmegen; Radboud University Nijmegen</t>
  </si>
  <si>
    <t xml:space="preserve">Tak, R (corresponding author), Radboud Univ Nijmegen, Med Ctr, Dept Pediat, NL-6525 ED Nijmegen, Netherlands.</t>
  </si>
  <si>
    <t xml:space="preserve">rtak@zuwehofpoort.nl</t>
  </si>
  <si>
    <t xml:space="preserve">Stelma, Foekje/L-4674-2015; Warris, A./L-4745-2015</t>
  </si>
  <si>
    <t xml:space="preserve">Warris, Adilia/0000-0001-6586-3358</t>
  </si>
  <si>
    <t xml:space="preserve">Medical Research Council [MR/N006364/1] Funding Source: Medline; MRC [MR/N006364/1] Funding Source: UKRI</t>
  </si>
  <si>
    <t xml:space="preserve">Medical Research Council(UK Research &amp; Innovation (UKRI)Medical Research Council UK (MRC)); MRC(UK Research &amp; Innovation (UKRI)Medical Research Council UK (MRC))</t>
  </si>
  <si>
    <t xml:space="preserve">10.1097/INF.0000000000000981</t>
  </si>
  <si>
    <t xml:space="preserve">DB7WL</t>
  </si>
  <si>
    <t xml:space="preserve">WOS:000368727500027</t>
  </si>
  <si>
    <t xml:space="preserve">Slater, OM; Terio, KA; Zhang, YG; Erdman, DD; Schneider, E; Kuypers, JM; Wolinsky, SM; Kunstman, KJ; Kunstman, J; Kinsel, MJ; Gamble, KC</t>
  </si>
  <si>
    <t xml:space="preserve">Slater, Owen M.; Terio, Karen A.; Zhang, Yange; Erdman, Dean D.; Schneider, Eileen; Kuypers, Jane M.; Wolinsky, Steven M.; Kunstman, Kevin J.; Kunstman, Jennifer; Kinsel, Michael J.; Gamble, Kathryn C.</t>
  </si>
  <si>
    <t xml:space="preserve">Human Metapneumovirus Infection in Chimpanzees, United States</t>
  </si>
  <si>
    <t xml:space="preserve">Human metapneumovirus; Biosecurity; Outbreak; Metapneumovirus; Virology; Transmission (telecommunications); Zoonotic disease</t>
  </si>
  <si>
    <t xml:space="preserve">WILD CHIMPANZEES; PAN-TROGLODYTES; VIRUSES</t>
  </si>
  <si>
    <t xml:space="preserve">Zoonotic disease transmission and infections are of particular concern for humans and closely related great apes. In 2009, an outbreak of human metapneumovirus infection was associated with the death of a captive chimpanzee in Chicago, Illinois, USA. Biosecurity and surveillance for this virus in captive great ape populations should be considered.</t>
  </si>
  <si>
    <t xml:space="preserve">[Slater, Owen M.; Gamble, Kathryn C.] Lincoln Pk Zoo, Chicago, IL USA; [Terio, Karen A.; Kinsel, Michael J.] Univ Illinois, Maywood, IL USA; [Erdman, Dean D.; Schneider, Eileen] Ctr Dis Control &amp; Prevent, Atlanta, GA USA; [Kuypers, Jane M.] Univ Washington, Seattle, WA 98195 USA; [Wolinsky, Steven M.; Kunstman, Kevin J.; Kunstman, Jennifer] Northwestern Univ, Chicago, IL 60611 USA</t>
  </si>
  <si>
    <t xml:space="preserve">University of Illinois System; University of Illinois Urbana-Champaign; Centers for Disease Control &amp; Prevention - USA; University of Washington; University of Washington Seattle; Northwestern University</t>
  </si>
  <si>
    <t xml:space="preserve">Slater, OM (corresponding author), Univ Calgary, Fac Vet Med, 1-202 11th Ave NW, Calgary, AB T2M 0B8, Canada.</t>
  </si>
  <si>
    <t xml:space="preserve">owenslater@yahoo.com</t>
  </si>
  <si>
    <t xml:space="preserve">Wolinsky, Steven/B-2893-2012; Terio, Karen/AAC-5376-2019</t>
  </si>
  <si>
    <t xml:space="preserve">Wolinsky, Steven/0000-0002-9625-6697</t>
  </si>
  <si>
    <t xml:space="preserve">10.3201/eid2012.140408</t>
  </si>
  <si>
    <t xml:space="preserve">AU6RP</t>
  </si>
  <si>
    <t xml:space="preserve">WOS:000345729900025</t>
  </si>
  <si>
    <t xml:space="preserve">Jonnalagadda, S; Rodríguez, O; Estrella, B; Sabin, LL; Sempértegui, F; Hamer, DH</t>
  </si>
  <si>
    <t xml:space="preserve">Jonnalagadda, Sivani; Rodriguez, Oswaldo; Estrella, Bertha; Sabin, Lora L.; Sempertegui, Fernando; Hamer, Davidson H.</t>
  </si>
  <si>
    <t xml:space="preserve">Etiology of severe pneumonia in Ecuadorian children</t>
  </si>
  <si>
    <t xml:space="preserve">Medicine; Etiology; Human metapneumovirus; Mycoplasma pneumoniae; Pneumonia; Streptococcus pneumoniae</t>
  </si>
  <si>
    <t xml:space="preserve">RESPIRATORY SYNCYTIAL VIRUS; COMMUNITY-ACQUIRED PNEUMONIA; BACTEREMIC PNEUMOCOCCAL PNEUMONIA; MULTIPLEX PCR ASSAY; RISK-FACTORS; STREPTOCOCCUS-PNEUMONIAE; CHILDHOOD PNEUMONIA; TRACT INFECTIONS; CLINICAL CHARACTERISTICS; HUMAN METAPNEUMOVIRUS</t>
  </si>
  <si>
    <t xml:space="preserve">Background In Latin America, community-acquired pneumonia remains a major cause of morbidity and mortality among children. Few studies have examined the etiology of pneumonia in Ecuador. Methods This observational study was part of a randomized, double blind, placebo-controlled clinical trial conducted among children aged 2-59 months with severe pneumonia in Quito, Ecuador. Nasopharyngeal and blood samples were tested for bacterial and viral etiology by polymerase chain reaction. Risk factors for specific respiratory pathogens were also evaluated. Results Among 406 children tested, 159 (39.2%) had respiratory syncytial virus (RSV), 71 (17.5%) had human metapneumovirus (hMPV), and 62 (15.3%) had adenovirus. Streptococcus pneumoniae was identified in 37 (9.2%) samples and Mycoplasma pneumoniae in three (0.74%) samples. The yearly circulation pattern of RSV (P = 0.0003) overlapped with S. pneumoniae, (P = 0.03) with most cases occurring in the rainy season. In multivariable analysis, risk factors for RSV included younger age (adjusted odds ratio [aOR] = 1.9, P = 0.01) and being underweight (aOR = 1.8, P = 0.04). Maternal education (aOR = 0.82, P = 0.003), pulse oximetry (aOR = 0.93, P = 0.005), and rales (aOR = 0.25, P = 0.007) were associated with influenza A. Younger age (aOR = 3.5, P = 0.007) and elevated baseline respiratory rate were associated with HPIV-3 infection (aOR = 0.94, P = 0.03). Conclusion These results indicate the importance of RSV and influenza, and potentially modifiable risk factors including undernutrition and future use of a RSV vaccine, when an effective vaccine becomes available.</t>
  </si>
  <si>
    <t xml:space="preserve">[Jonnalagadda, Sivani; Sabin, Lora L.; Hamer, Davidson H.] Boston Univ, Sch Publ Hlth, Ctr Global Hlth &amp; Dev, Boston, MA 02215 USA; [Rodriguez, Oswaldo; Estrella, Bertha; Sempertegui, Fernando] Crp Ecuatoriana Biotecnol, Quito, Ecuador; [Estrella, Bertha; Sempertegui, Fernando] Univ Cent Ecuador, Escuela Med, Quito, Ecuador; [Sabin, Lora L.; Hamer, Davidson H.] Boston Univ, Sch Publ, Dept Global Hlth, Boston, MA 02215 USA; [Hamer, Davidson H.] Boston Univ, Sch Med, Dept Med, Infect Dis Sect, Boston, MA 02115 USA; [Hamer, Davidson H.] Tufts Univ, Gerald J &amp; Dorothy R Friedman Sch Nutr Sci &amp; Poli, Boston, MA 02155 USA</t>
  </si>
  <si>
    <t xml:space="preserve">Boston University; Universidad Central del Ecuador; Boston University; Boston University; Tufts University</t>
  </si>
  <si>
    <t xml:space="preserve">Hamer, DH (corresponding author), Boston Univ, Sch Publ Hlth, Ctr Global Hlth &amp; Dev, Boston, MA 02215 USA.;Hamer, DH (corresponding author), Boston Univ, Sch Publ, Dept Global Hlth, Boston, MA 02215 USA.;Hamer, DH (corresponding author), Boston Univ, Sch Med, Dept Med, Infect Dis Sect, Boston, MA 02115 USA.;Hamer, DH (corresponding author), Tufts Univ, Gerald J &amp; Dorothy R Friedman Sch Nutr Sci &amp; Poli, Boston, MA 02155 USA.</t>
  </si>
  <si>
    <t xml:space="preserve">dhamer@bu.edu</t>
  </si>
  <si>
    <t xml:space="preserve">Thrasher Research Fund [028257]</t>
  </si>
  <si>
    <t xml:space="preserve">Thrasher Research Fund</t>
  </si>
  <si>
    <t xml:space="preserve">The Thrasher Research Fund provided financial support for this study (grant number 028257). The sponsors of the study had no role in study design, data collection, data analysis, or manuscript writing.</t>
  </si>
  <si>
    <t xml:space="preserve">e0171687</t>
  </si>
  <si>
    <t xml:space="preserve">10.1371/journal.pone.0171687</t>
  </si>
  <si>
    <t xml:space="preserve">EK9GJ</t>
  </si>
  <si>
    <t xml:space="preserve">WOS:000394231800089</t>
  </si>
  <si>
    <t xml:space="preserve">Chowdhury, F; Bin Shahid, AMS; Ghosh, PK; Rahman, M; Hassan, Z; Akhtar, MZ; Mah-E-Muneer, S; Shahrin, L; Ahmed, T; Chisti, MJ</t>
  </si>
  <si>
    <t xml:space="preserve">Chowdhury, Fahmida; Bin Shahid, Abu Sadat Mohammad Sayeem; Ghosh, Probir Kumar; Rahman, Mustafizur; Hassan, Zakiul; Akhtar, Md Zubair; Mah-E-Muneer, S.; Shahrin, Lubaba; Ahmed, Tahmeed; Chisti, Mohammod Jobayer</t>
  </si>
  <si>
    <t xml:space="preserve">Viral etiology of pneumonia among severely malnourished under-five children in an urban hospital, Bangladesh</t>
  </si>
  <si>
    <t xml:space="preserve">Human metapneumovirus; Medicine; Pneumonia; Etiology; Pediatrics; Odds ratio</t>
  </si>
  <si>
    <t xml:space="preserve">COMMUNITY-ACQUIRED PNEUMONIA; RESPIRATORY VIRUS DETECTION; REQUIRING HOSPITALIZATION; CHILDHOOD PNEUMONIA; MORTALITY; DIARRHEA; INFANTS; RSV; INFECTIONS; CHALLENGES</t>
  </si>
  <si>
    <t xml:space="preserve">Background In Bangladesh, pneumonia has a higher mortality among malnourished children aged &lt;5 years. Evaluating pneumonia etiology among malnourished children may help improve empiric treatment guidelines. Methods During April 2015-December 2017, we conducted a case-control study among severe acute malnourished (SAM) children aged &lt;5 years admitted to the Dhaka hospital of International Centre for Diarrhoeal Disease Research, Bangladesh (icddr,b). We enrolled hospital admitted SAM children with clinical or radiological pneumonia as cases (during April 2015 to March 2017) and hospital admitted SAM children without any respiratory symptom in the past 10 days before admission as controls (during February 2016 to December 2017). We tested nasopharyngeal wash from both case and control for respiratory syncytial virus (RSV), human metapneumovirus (HMPV), influenza viruses, human parainfluenza viruses (HPIV), rhinovirus and adenovirus by singleplex real-time reverse transcriptase polymerase chain reaction. To identify the independent association of pneumonia with viral pathogens during February 2016 to March 2017, we used multivariable logistic regression for calculating adjusted odds ratios. Results We enrolled 360 cases and 334 controls. For case and control the median age was 8 months (IQR: 5-13) and 11 months (IQR: 6-18) (p = 0.001) respectively. Weight/age Z-score was -4.3 (SD +/- 0.7) for cases and -4.1 (SD +/- 1.1) for controls (p = 0.01). Among cases 68% had both clinical and radiological pneumonia, 1% had clinical pneumonia and 31% had only radiological pneumonia. Respiratory virus detection was high in cases compared to controls [69.9% (251) vs. 44.8% (148), p = 0.0001]. The most frequently detected viruses among cases were rhinoviruses (79, 22.0%) followed by RSV (32, 8.9%), adenovirus (23, 6.4%), HPIV (22, 6.1%), influenza virus (16, 4.5%), and HMPV (16, 4.5%). Among the controls, rhinoviruses (82, 24.8%) were most commonly detected one followed by adenovirus (26,7.9%), HMPV (5, 1.5%), HPIV (4, 1.2%), RSV (3, 0.9%), and influenza virus (2, 0.6%). RSV (OR 13.1; 95% CI: 1.6, 106.1), influenza virus (OR 8.7; 95% CI: 1.0, 78.9), HPIV (3.8; 95% CI: 1.0, 14.8), and HMPV (2.7; 95% CI: 1.3, 5.5) were independently associated with pneumonia while compared between 178 cases and 174 controls. Conclusion Viral etiology of pneumonia in SAM children were mainly attributable to RSV, influenza, HPIV and HMPV. Our study findings may help in planning further studies targeting vaccines or drugs against common respiratory viruses responsible for pneumonia among SAM children.</t>
  </si>
  <si>
    <t xml:space="preserve">[Chowdhury, Fahmida; Ghosh, Probir Kumar; Rahman, Mustafizur; Hassan, Zakiul; Akhtar, Md Zubair; Mah-E-Muneer, S.] Int Ctr Diarrhoea Dis Res Bangladesh Icddr B, Infect Dis Div, Dhaka, Bangladesh; [Bin Shahid, Abu Sadat Mohammad Sayeem; Shahrin, Lubaba; Ahmed, Tahmeed; Chisti, Mohammod Jobayer] Int Ctr Diarrhoea Dis Res Bangladesh Icddr B, Nutr &amp; Clin Serv Div, Dhaka, Bangladesh</t>
  </si>
  <si>
    <t xml:space="preserve">International Centre for Diarrhoeal Disease Research (ICDDR); International Centre for Diarrhoeal Disease Research (ICDDR)</t>
  </si>
  <si>
    <t xml:space="preserve">Chowdhury, F (corresponding author), Int Ctr Diarrhoea Dis Res Bangladesh Icddr B, Infect Dis Div, Dhaka, Bangladesh.</t>
  </si>
  <si>
    <t xml:space="preserve">fahmida_chow@icddrb.org</t>
  </si>
  <si>
    <t xml:space="preserve">Shahrin, Lubaba/AAF-1019-2020; Ghosh, Probir Kumar/HZL-0862-2023; Chisti, Mohammod/A-7216-2018</t>
  </si>
  <si>
    <t xml:space="preserve">Shahrin, Lubaba/0000-0002-5676-3280; Ghosh, Probir Kumar/0000-0003-1580-5883; Hassan, Md. Zakiul/0000-0001-5888-1558; Zubair Akhtar, Abu Muhammad/0000-0001-5054-9243; Mah-E-Muneer, Syeda/0000-0001-8871-3184</t>
  </si>
  <si>
    <t xml:space="preserve">Centers for Disease Control and Prevention (CDC) [1U51GH00120901]</t>
  </si>
  <si>
    <t xml:space="preserve">This research study was funded by Centers for Disease Control and Prevention (CDC), grant number CDC Cooperative #1U51GH00120901. US CDC provided technical support in the study design and had no role in data collection and analysis, decision to publish, or preparation of the manuscript.</t>
  </si>
  <si>
    <t xml:space="preserve">FEB 4</t>
  </si>
  <si>
    <t xml:space="preserve">e0228329</t>
  </si>
  <si>
    <t xml:space="preserve">10.1371/journal.pone.0228329</t>
  </si>
  <si>
    <t xml:space="preserve">LP9EF</t>
  </si>
  <si>
    <t xml:space="preserve">WOS:000534618100018</t>
  </si>
  <si>
    <t xml:space="preserve">Greensill, J; McNamara, PS; Dove, W; Flanagan, B; Smyth, RL; Hart, CA</t>
  </si>
  <si>
    <t xml:space="preserve">Human metapneumovirus in severe respiratory syncytial virus bronchiolitis</t>
  </si>
  <si>
    <t xml:space="preserve">Human metapneumovirus; Bronchiolitis; Metapneumovirus; Virology; Coinfection; Paramyxoviridae; Virus; Bronchoalveolar lavage</t>
  </si>
  <si>
    <t xml:space="preserve">TRACT DISEASE; CHILDREN; INFECTION</t>
  </si>
  <si>
    <t xml:space="preserve">Reverse transcription-polymerase chain reaction was used to detect segments of the M (matrix), IN (nucleoprotein), and F (fusion) genes of human metapneumovirus in bronchoalveolar fluid from 30 infants with severe respiratory syncytial virus bronchiolitis. Seventy percent of them were coinfected with metapneumovirus. Such coinfection might be a factor influencing the severity of bronchiolitis.</t>
  </si>
  <si>
    <t xml:space="preserve">Univ Liverpool, Dept Med Microbiol, Liverpool L69 3GA, Merseyside, England</t>
  </si>
  <si>
    <t xml:space="preserve">Univ Liverpool, Dept Med Microbiol, Daulby St, Liverpool L69 3GA, Merseyside, England.</t>
  </si>
  <si>
    <t xml:space="preserve">cahmm@liv.ac.uk</t>
  </si>
  <si>
    <t xml:space="preserve">10.3201/eid0903.020289</t>
  </si>
  <si>
    <t xml:space="preserve">654QN</t>
  </si>
  <si>
    <t xml:space="preserve">gold, Green Published, Green Accepted</t>
  </si>
  <si>
    <t xml:space="preserve">WOS:000181507700015</t>
  </si>
  <si>
    <t xml:space="preserve">Boivin, G; Mackay, I; Sloots, TP; Madhi, S; Freymuth, F; Wolf, D; Shemer-Avni, Y; Ludewick, H; Gray, GC; LeBlanc, É</t>
  </si>
  <si>
    <t xml:space="preserve">Global genetic diversity of human metapneumovirus fusion gene</t>
  </si>
  <si>
    <t xml:space="preserve">Human metapneumovirus; Metapneumovirus; Phylogenetic tree; Genetic diversity; Virology; Biology</t>
  </si>
  <si>
    <t xml:space="preserve">RESPIRATORY-TRACT INFECTIONS; CHILDREN</t>
  </si>
  <si>
    <t xml:space="preserve">We analyzed 64 human metapneumovirus strains from eight countries. Phylogenetic analysis identified two groups (A and B, amino acid identity 93%-96%) and four subgroups. Although group A strains predominated, accounting for 69% of all strains, as many B as A strains were found in persons greater than or equal to3 years of age.</t>
  </si>
  <si>
    <t xml:space="preserve">CHU Quebec, Quebec City, PQ, Canada; Univ Laval, Quebec City, PQ, Canada; Royal Childrens Hosp, Herston, Qld, Australia; Univ Witwatersrand, ZA-2050 Bertsham, South Africa; CHU Caen, F-14032 Caen, France; Hadassah Univ Hosp, IL-91120 Jerusalem, Israel; Soroka Med Ctr, IL-84101 Beer Sheva, Israel; Univ Iowa, Iowa City, IA USA</t>
  </si>
  <si>
    <t xml:space="preserve">Laval University; Laval University; Royal Children's Hospital Brisbane; University of Witwatersrand; Universite de Caen Normandie; CHU de Caen NORMANDIE; Hebrew University of Jerusalem; Ben Gurion University; Soroka Medical Center; University of Iowa</t>
  </si>
  <si>
    <t xml:space="preserve">CHU Laval, 2705 Blvd Laurier, Quebec City, PQ G1V 4G2, Canada.</t>
  </si>
  <si>
    <t xml:space="preserve">AVNI, YONAT/F-1772-2012; Sloots, Theo/E-6118-2011; Gray, Gregory/ABF-1298-2020; Mackay, Ian M./B-2537-2010</t>
  </si>
  <si>
    <t xml:space="preserve">Mackay, Ian M./0000-0003-3598-2350; Ludewick, Herbert/0000-0001-5398-5112; Gray, Gregory/0000-0002-4628-5908; Boivin, Guy/0000-0003-3027-4662; Madhi, Shabir/0000-0002-7629-0636</t>
  </si>
  <si>
    <t xml:space="preserve">10.3201/eid1006.031097</t>
  </si>
  <si>
    <t xml:space="preserve">825IH</t>
  </si>
  <si>
    <t xml:space="preserve">Green Published, Green Accepted, gold, Green Submitted</t>
  </si>
  <si>
    <t xml:space="preserve">WOS:000221749300031</t>
  </si>
  <si>
    <t xml:space="preserve">Kumari, S; Crim, RL; Kulkarni, A; Audet, SA; Mdluli, T; Murata, H; Beeler, JA</t>
  </si>
  <si>
    <t xml:space="preserve">Kumari, Sangeeta; Crim, Roberta Lynne; Kulkarni, Ashwin; Audet, Susette A.; Mdluli, Thembi; Murata, Haruhiko; Beeler, Judy A.</t>
  </si>
  <si>
    <t xml:space="preserve">Development of a Luciferase Immunoprecipitation System Assay To Detect IgG Antibodies against Human Respiratory Syncytial Virus Nucleoprotein</t>
  </si>
  <si>
    <t xml:space="preserve">Virology; Nucleoprotein; Antiserum; Biology; Antibody; Virus; Human metapneumovirus; Paramyxoviridae; Immunoprecipitation; Monoclonal antibody; Vaccinia</t>
  </si>
  <si>
    <t xml:space="preserve">LINKED-IMMUNOSORBENT-ASSAY; HUMAN METAPNEUMOVIRUS; PROTEINS; IMMUNOGENICITY; GLYCOPROTEIN; EXPRESSION; DIAGNOSIS; ANTIGEN; DEFINE; 22K</t>
  </si>
  <si>
    <t xml:space="preserve">The nucleoprotein of respiratory syncytial virus (RSV-N) is immunogenic and elicits an IgG response following infection. The RSV-N gene was cloned into a mammalian expression vector, pREN2, and the expressed luciferase-tagged protein (Ruc-N) detected anti-RSV-N-specific IgG antibodies using a high-throughput immunoprecipitation method (the luciferase immunoprecipitation system [LIPS]-N-RSV assay). The specificity of the assay was evaluated using monoclonal antibodies (MAbs) and monospecific pre-and postimmunization rabbit antisera. Blood serum samples from chimpanzees and humans with proven/probable RSV infection were also tested. The pre- and postimmunization serum samples from rabbits given human metapneumovirus (HMPV) or measles virus were negative when tested by the LIPS-N-RSV assay, while antisera obtained after immunization with either the RSV-A or RSV-B strain gave positive signals in a dose-dependent manner. RSV-N MAb 858-3 gave a positive signal in the LIPS-N-RSV assay, while MAbs against other paramyxovirus nucleoproteins or RSV-F or RSV-G did not. Serum samples from chimpanzees simultaneously immunized with vaccinia-RSV-F and vaccinia-RSV-G recombinant viruses were negative in the LIPS-NRSV assay; however, anti-RSV-N IgG responses were detected following subsequent RSV challenge. Seven of the 12 infants who were seronegative at 9 months of age had detectable anti-RSV-N antibodies when they were retested at 15 to 18 months of age. The LIPS-N-RSV assay detects specific anti-RSV-N IgG responses that may be used as a biomarker of RSV infection.</t>
  </si>
  <si>
    <t xml:space="preserve">[Kumari, Sangeeta; Crim, Roberta Lynne; Kulkarni, Ashwin; Audet, Susette A.; Mdluli, Thembi; Beeler, Judy A.] US FDA, Lab Pediat &amp; Resp Virus Dis, Div Viral Prod, Off Vaccines Res &amp; Review,CBER, Bethesda, MD 20014 USA; [Murata, Haruhiko] US FDA, Lab DNA Viruses, Div Viral Prod, Off Vaccines Res &amp; Review,CBER, Bethesda, MD 20014 USA</t>
  </si>
  <si>
    <t xml:space="preserve">US Food &amp; Drug Administration (FDA); US Food &amp; Drug Administration (FDA)</t>
  </si>
  <si>
    <t xml:space="preserve">Beeler, JA (corresponding author), US FDA, Lab Pediat &amp; Resp Virus Dis, Div Viral Prod, Off Vaccines Res &amp; Review,CBER, Bethesda, MD 20014 USA.</t>
  </si>
  <si>
    <t xml:space="preserve">judy.beeler@fda.hhs.gov</t>
  </si>
  <si>
    <t xml:space="preserve">Mdluli, Thembi/AAW-1275-2021</t>
  </si>
  <si>
    <t xml:space="preserve">10.1128/CVI.00594-13</t>
  </si>
  <si>
    <t xml:space="preserve">AB8JT</t>
  </si>
  <si>
    <t xml:space="preserve">WOS:000332036900015</t>
  </si>
  <si>
    <t xml:space="preserve">Palacios, G; Lowenstine, LJ; Cranfield, MR; Gilardi, KVK; Spelman, L; Lukasik-Braum, M; Kinani, JF; Mudakikwa, A; Nyirakaragire, E; Bussetti, AV; Savji, N; Hutchison, S; Egholm, M; Lipkin, WI</t>
  </si>
  <si>
    <t xml:space="preserve">Palacios, Gustavo; Lowenstine, Linda J.; Cranfield, Michael R.; Gilardi, Kirsten V. K.; Spelman, Lucy; Lukasik-Braum, Magda; Kinani, Jean-Felix; Mudakikwa, Antoine; Nyirakaragire, Elisabeth; Bussetti, Ana Valeria; Savji, Nazir; Hutchison, Stephen; Egholm, Michael; Lipkin, W. Ian</t>
  </si>
  <si>
    <t xml:space="preserve">Human Metapneumovirus Infection in Wild Mountain Gorillas, Rwanda</t>
  </si>
  <si>
    <t xml:space="preserve">Human metapneumovirus; Gorilla; Metapneumovirus; Outbreak; Transmission (telecommunications); Virology</t>
  </si>
  <si>
    <t xml:space="preserve">PAN-TROGLODYTES</t>
  </si>
  <si>
    <t xml:space="preserve">The genetic relatedness of mountain gorillas and humans has led to concerns about interspecies transmission of infectious agents. Human-to-gorilla transmission may explain human metapneumovirus in 2 wild mountain gorillas that died during a respiratory disease outbreak in Rwanda in 2009. Surveillance is needed to ensure survival of these critically endangered animals.</t>
  </si>
  <si>
    <t xml:space="preserve">[Palacios, Gustavo] Columbia Univ, Ctr Infect &amp; Immun, Mailman Sch Publ Hlth, New York, NY 10032 USA; [Lowenstine, Linda J.; Cranfield, Michael R.; Gilardi, Kirsten V. K.] Univ Calif Davis, Davis, CA 95616 USA; [Spelman, Lucy; Lukasik-Braum, Magda; Kinani, Jean-Felix] Mt Gorilla Vet Project, Davis, CA USA; [Mudakikwa, Antoine; Nyirakaragire, Elisabeth] Rwanda Dev Board, Kigali, Rwanda</t>
  </si>
  <si>
    <t xml:space="preserve">Columbia University; University of California System; University of California Davis</t>
  </si>
  <si>
    <t xml:space="preserve">Palacios, G (corresponding author), Columbia Univ, Ctr Infect &amp; Immun, Mailman Sch Publ Hlth, Rm 1709,722 W 168th St, New York, NY 10032 USA.</t>
  </si>
  <si>
    <t xml:space="preserve">gp2050@columbia.edu</t>
  </si>
  <si>
    <t xml:space="preserve">Lipkin, W./ABE-6216-2020; Palacios, Gustavo/I-7773-2015</t>
  </si>
  <si>
    <t xml:space="preserve">Lipkin, W. Ian/0000-0002-8768-9386; Palacios, Gustavo/0000-0001-5062-1938</t>
  </si>
  <si>
    <t xml:space="preserve">Google.org; National Institutes of Health (Northeast Biodefense Center) [A157158]; US Agency for International Development (Center for Infection and Immunity) [07-301-7119-52258]; US Agency for International Development Predict Emerging Pandemic Threats (University of California, Davis); David and Lucile Packard Foundation</t>
  </si>
  <si>
    <t xml:space="preserve">Google.org; National Institutes of Health (Northeast Biodefense Center)(United States Department of Health &amp; Human ServicesNational Institutes of Health (NIH) - USA); US Agency for International Development (Center for Infection and Immunity)(United States Agency for International Development (USAID)); US Agency for International Development Predict Emerging Pandemic Threats (University of California, Davis)(University of California System); David and Lucile Packard Foundation(The David &amp; Lucile Packard Foundation)</t>
  </si>
  <si>
    <t xml:space="preserve">This work was supported by Google.org, National Institutes of Health award A157158 (Northeast Biodefense Center to W.I.L), US Agency for International Development Predict funding source code 07-301-7119-52258 (Center for Infection and Immunity), US Agency for International Development Predict Emerging Pandemic Threats (University of California, Davis), and a grant from the David and Lucile Packard Foundation to the Mountain Gorilla One Health Program.</t>
  </si>
  <si>
    <t xml:space="preserve">10.3201/eid1704.100883</t>
  </si>
  <si>
    <t xml:space="preserve">742WF</t>
  </si>
  <si>
    <t xml:space="preserve">WOS:000288975300025</t>
  </si>
  <si>
    <t xml:space="preserve">Krishnan, A; Kumar, R; Broor, S; Gopal, G; Saha, S; Amarchand, R; Choudekar, A; Purkayastha, DR; Whitaker, B; Pandey, B; Narayan, VV; Kabra, SK; Sreenivas, V; Widdowson, MA; Lindstrom, S; Lafond, KE; Jain, S</t>
  </si>
  <si>
    <t xml:space="preserve">Krishnan, Anand; Kumar, Rakesh; Broor, Shobha; Gopal, Giridara; Saha, Siddhartha; Amarchand, Ritvik; Choudekar, Avinash; Purkayastha, Debjani R.; Whitaker, Brett; Pandey, Bharti; Narayan, Venkatesh Vinayak; Kabra, Sushil K.; Sreenivas, Vishnubhatla; Widdowson, Marc-Alain; Lindstrom, Stephen; Lafond, Kathryn E.; Jain, Seema</t>
  </si>
  <si>
    <t xml:space="preserve">Epidemiology of viral acute lower respiratory infections in a community-based cohort of rural north Indian children</t>
  </si>
  <si>
    <t xml:space="preserve">JOURNAL OF GLOBAL HEALTH</t>
  </si>
  <si>
    <t xml:space="preserve">Medicine; Incidence (geometry); Odds ratio; Human metapneumovirus; Pediatrics; Epidemiology; Confidence interval; Sore throat</t>
  </si>
  <si>
    <t xml:space="preserve">REAL-TIME PCR; ACQUIRED PNEUMONIA; CAUSATIVE AGENTS; ETIOLOGY; VIRUSES</t>
  </si>
  <si>
    <t xml:space="preserve">Background In India, community-based acute lower respiratory infections (ALRI) burden studies are limited, hampering development of prevention and control strategies. Methods We surveyed children &lt;10 years old at home weekly from August 2012-August 2014, for cough, sore throat, rhinorrhoea, ear discharge, and shortness of breath. Symptomatic children were assessed for ALRI using World Health Organization definitions. Nasal and throat swabs were obtained from all ALRI cases and asymptomatic controls and tested using polymerase chain reaction for respiratory syncytial virus (RSV), human metapneumovirus (hMPV), parainfluenza viruses (PIV), and influenza viruses (IV). We estimated adjusted odds ratios (aOR) using logistic regression to calculate etiologic fractions (EF). We multiplied agent-specific ALRI incidence rates by EF to calculate t he adjusted incidence as episodes per child-year. Results ALRI incidence was 0.19 (95% confidence interval (CI) = 0.18-0.20) episode per child-year. Association between virus and ALRI was strongest for RSV (aOR= 15.9; 95% 0=7.3-34.7; EF =94%) and least for IV (aOR =4.6; 95% CI = 2.0-10.6; EF= 78%). Adjusted agent-specific ALRI incidences were RSV (0.03, 95% CI =0.02-0.03), hMPV (0.02, 95% CI =0.01-0.02), PIV (0.02, 95% CI = 0.01-0.02), and IV (0.01, 95% CI = 0.01-0.01) episode per child-year. Conclusions ALRI among children in rural India was high; RSV was a significant contributor.</t>
  </si>
  <si>
    <t xml:space="preserve">[Krishnan, Anand; Kumar, Rakesh; Gopal, Giridara; Amarchand, Ritvik; Choudekar, Avinash; Purkayastha, Debjani R.; Pandey, Bharti; Narayan, Venkatesh Vinayak; Kabra, Sushil K.; Sreenivas, Vishnubhatla] All India Inst Med Sci, New Delhi, India; [Broor, Shobha] Hosp &amp; Res Inst, SGT Med Coll, Gurgaon, India; [Saha, Siddhartha; Jain, Seema] US Ctr Dis Control &amp; Prevent, India Country Off, Influenza Div, New Delhi, India; [Whitaker, Brett; Widdowson, Marc-Alain; Lindstrom, Stephen; Lafond, Kathryn E.; Jain, Seema] US Ctr Dis Control &amp; Prevent, Atlanta, GA USA; [Widdowson, Marc-Alain] US Ctr Dis Control &amp; Prevent, Div Global Hlth Protect, Atlanta, GA USA</t>
  </si>
  <si>
    <t xml:space="preserve">All India Institute of Medical Sciences (AIIMS) New Delhi; Centers for Disease Control &amp; Prevention - USA; Centers for Disease Control &amp; Prevention - USA</t>
  </si>
  <si>
    <t xml:space="preserve">Krishnan, A (corresponding author), All India Inst Med Sci, Ctr Community Med, Room 13,Old OT Block, New Delhi 110029, India.</t>
  </si>
  <si>
    <t xml:space="preserve">anand.drk@gmail.com</t>
  </si>
  <si>
    <t xml:space="preserve">Kumar Sinha, Ranjeet/AAY-1094-2021; Choudekar, Avinash/M-2682-2019; Broor, Shobha/AAX-4163-2021; Krishnan, Anand/D-8537-2012</t>
  </si>
  <si>
    <t xml:space="preserve">Saha, Siddhartha/0000-0002-7494-267X; Ram Purakayastha, Debjani/0000-0003-0120-7612; Krishnan, Anand/0000-0002-9173-7811</t>
  </si>
  <si>
    <t xml:space="preserve">United States Centers for Disease Control and Prevention (CDC); All India Institute of Medical Sciences (AIIMS), New Delhi; United States Centers for Disease Control and Prevention [U01 IP000492]</t>
  </si>
  <si>
    <t xml:space="preserve">United States Centers for Disease Control and Prevention (CDC)(United States Department of Health &amp; Human ServicesCenters for Disease Control &amp; Prevention - USA); All India Institute of Medical Sciences (AIIMS), New Delhi; United States Centers for Disease Control and Prevention(United States Department of Health &amp; Human ServicesCenters for Disease Control &amp; Prevention - USA)</t>
  </si>
  <si>
    <t xml:space="preserve">The study is funded by a co-operative agreement between the United States Centers for Disease Control and Prevention (CDC) and the All India Institute of Medical Sciences (AIIMS), New Delhi. This work was supported by the United States Centers for Disease Control and Prevention [U01 IP000492].</t>
  </si>
  <si>
    <t xml:space="preserve">UNIV EDINBURGH, GLOBAL HEALTH SOC</t>
  </si>
  <si>
    <t xml:space="preserve">EDINBURGH</t>
  </si>
  <si>
    <t xml:space="preserve">CENTRE POPULATION HEALTH SCIENCES, OLD MEDICAL SCH, TEVIOT PL, EDINBURGH, EH8 9AG, SCOTLAND</t>
  </si>
  <si>
    <t xml:space="preserve">2047-2978</t>
  </si>
  <si>
    <t xml:space="preserve">2047-2986</t>
  </si>
  <si>
    <t xml:space="preserve">J GLOB HEALTH</t>
  </si>
  <si>
    <t xml:space="preserve">J. Glob. Health</t>
  </si>
  <si>
    <t xml:space="preserve">10.7189/jogh.09.010433</t>
  </si>
  <si>
    <t xml:space="preserve">IK5QU</t>
  </si>
  <si>
    <t xml:space="preserve">WOS:000476640500058</t>
  </si>
  <si>
    <t xml:space="preserve">Hata, M; Ito, M; Kiyosawa, S; Kimpara, Y; Tanaka, S; Yamashita, T; Hasegawa, A; Kobayashi, S; Koyama, N; Minagawa, H</t>
  </si>
  <si>
    <t xml:space="preserve">Hata, Mami; Ito, Miyabi; Kiyosawa, Shusuke; Kimpara, Yuri; Tanaka, Seidai; Yamashita, Teruo; Hasegawa, Akiko; Kobayashi, Shinichi; Koyama, Norihisa; Minagawa, Hiroko</t>
  </si>
  <si>
    <t xml:space="preserve">A fatal case of encephalopathy possibly associated with human Metapneumovirus infection</t>
  </si>
  <si>
    <t xml:space="preserve">Aichi Prefectural Inst Publ Hlth, Dept Microbiol, Nagoya, Aichi 4628576, Japan; Toyohashi Municipal Hosp, Dept Pediat, Toyohashi, Aichi 4418570, Japan</t>
  </si>
  <si>
    <t xml:space="preserve">Hata, M (corresponding author), Aichi Prefectural Inst Publ Hlth, Dept Microbiol, 7-6 Tsujimachi, Nagoya, Aichi 4628576, Japan.</t>
  </si>
  <si>
    <t xml:space="preserve">mami_hata@pref.aichi.lg.jp</t>
  </si>
  <si>
    <t xml:space="preserve">215UD</t>
  </si>
  <si>
    <t xml:space="preserve">WOS:000249833600023</t>
  </si>
  <si>
    <t xml:space="preserve">Al-Sonboli, N; Hart, CA; Al-Aghbari, N; Al-Ansi, A; Ashoor, O; Cuevas, LE</t>
  </si>
  <si>
    <t xml:space="preserve">Al-Sonboli, Najla; Hart, Charles A.; Al-Aghbari, Nasher; Al-Ansi, Ahmed; Ashoor, Omar; Cuevas, Luis E.</t>
  </si>
  <si>
    <t xml:space="preserve">Human metapneumovirus and respiratory syncytial virus disease in children, Yemen</t>
  </si>
  <si>
    <t xml:space="preserve">Human metapneumovirus; Metapneumovirus; Virology; Medicine; Virus; Paramyxoviridae; Pneumovirinae; Respiratory system</t>
  </si>
  <si>
    <t xml:space="preserve">ACUTE BRONCHIOLITIS; TRACT INFECTIONS; RISK-FACTORS; INFANTS; SEVERITY</t>
  </si>
  <si>
    <t xml:space="preserve">Factors increasing the severity of respiratory infections in developing countries are poorly described. We report factors associated with severe acute respiratory illness in Yemeni children (266 infected with respiratory syncytial virus and 66 with human metapneumovirus). Age, indoor air pollution, and incomplete vaccinations were risk factors and differed from those in industrialized countries.</t>
  </si>
  <si>
    <t xml:space="preserve">Univ Liverpool Liverpool Sch Trop Med, Liverpool L3 5QA, Merseyside, England; Sanaa Univ, Sanaa, Yemen; Univ Liverpool, Liverpool L69 3BX, Merseyside, England; Al Sabeen Hosp Women &amp; Children, Sanaa, Yemen</t>
  </si>
  <si>
    <t xml:space="preserve">10.3201/eid1209.060207</t>
  </si>
  <si>
    <t xml:space="preserve">078DJ</t>
  </si>
  <si>
    <t xml:space="preserve">Green Accepted, Green Published, gold</t>
  </si>
  <si>
    <t xml:space="preserve">WOS:000240081400022</t>
  </si>
  <si>
    <t xml:space="preserve">Kashiwa, H; Shimozono, H; Takao, S</t>
  </si>
  <si>
    <t xml:space="preserve">Clinical pictures of children with human metapneumovirus infection: Comparison with respiratory syncytial virus infection</t>
  </si>
  <si>
    <t xml:space="preserve">Mazda Motor Corp, Mazda Hosp, Hiroshima 7358585, Japan; Hiroshima Prefectural Inst Hlth &amp; Environm, Div Microbiol 2, Hiroshima 7340007, Japan</t>
  </si>
  <si>
    <t xml:space="preserve">Mazda Motor Corporation</t>
  </si>
  <si>
    <t xml:space="preserve">Kashiwa, H (corresponding author), Mazda Motor Corp, Mazda Hosp, Aosakiminami 2-15,Fuchu Cho, Hiroshima 7358585, Japan.</t>
  </si>
  <si>
    <t xml:space="preserve">kashiwa.h@mazda.co.jp</t>
  </si>
  <si>
    <t xml:space="preserve">816VT</t>
  </si>
  <si>
    <t xml:space="preserve">WOS:000221138100015</t>
  </si>
  <si>
    <t xml:space="preserve">Marguet, C; Lubrano, M; Gueudin, M; Le Roux, P; Deschildre, A; Forget, C; Couderc, L; Siret, D; Donnou, MD; Bubenheim, M; Vabret, A; Freymuth, F</t>
  </si>
  <si>
    <t xml:space="preserve">Marguet, Christophe; Lubrano, Marc; Gueudin, Marie; Le Roux, Pascal; Deschildre, Antoine; Forget, Chantal; Couderc, Laure; Siret, Daniel; Donnou, Marie-Dominique; Bubenheim, Michael; Vabret, Astrid; Freymuth, Francois</t>
  </si>
  <si>
    <t xml:space="preserve">In Very Young Infants Severity of Acute Bronchiolitis Depends On Carried Viruses</t>
  </si>
  <si>
    <t xml:space="preserve">Bronchiolitis; Medicine; Acute Bronchiolitis; Prospective cohort study</t>
  </si>
  <si>
    <t xml:space="preserve">RESPIRATORY SYNCYTIAL VIRUS; HUMAN METAPNEUMOVIRUS; INFECTION; CHILDREN; IMPACT; PCR; ASSOCIATION; DISEASE; SINGLE</t>
  </si>
  <si>
    <t xml:space="preserve">Background: RI amplification reaction has revealed that various single viruses or viral co-infections caused acute bronchiolitis in infants, and RV appeared to have a growing involvement in early respiratory diseases. Because remaining controversial, the objective was to determine prospectively the respective role of RSV, RV, hMPV and co-infections on the severity of acute bronchiolitis in very young infants. Methods and Principal Findings: 209 infants (median age: 2.4 months) were enrolled in a prospective study of infants &lt;1 year old, hospitalized for a first episode of bronchiolitis during the winter epidemic season and with no high risk for severe disease. The severity was assessed by recording SaO(2)% at admission, a daily clinical score (scale 0-18), the duration of oxygen supplementation and the length of hospitalization. Viruses were identified in 94.7% by RT amplification reaction: RSV only (45.8%), RV only (7.2%), hMPV only (3.8%), dual RSV/RV (14.3%), and other virus only (2%) or coinfections (9%). RV compared respectively with RSV and dual RSV/RV infection caused a significant less severe disease with a lower clinical score (5[3.2-6] vs. 6[4-8], p=0.01 and 5.5[5-7], p=0.04), a shorter time in oxygen supplementation (0[0-1] days vs. 2[0-3] days, p=0.02 and 2[0-3] days, p=0.03) and a shorter hospital stay (3[3-4.7] days vs.6 [5-8] days, p=0.001 and 5[4-6] days, p=0.04). Conversely, RSV infants had also longer duration of hospitalization in comparison with RSV/RV (p=0.01) and hMPV (p=0.04). The multivariate analyses showed that the type of virus carried was independently associated with the duration of hospitalization. Conclusion: This study underlined the role of RV in early respiratory diseases, as frequently carried by young infants with a first acute bronchiolitis. RSV caused the more severe disease and conversely RV the lesser severity. No additional effect of dual RSV/RV infection was observed on the severity.</t>
  </si>
  <si>
    <t xml:space="preserve">[Marguet, Christophe; Lubrano, Marc; Couderc, Laure] Rouen Univ Hosp Charles Nicolle, Dept Pediat, Resp Dis Allergy &amp; CF Unit, Rouen, France; [Gueudin, Marie] Rouen Univ Hosp Charles Nicolle, Dept Virol, Rouen, France; [Le Roux, Pascal] Reg Hosp Flaubert, Dept Pediat, Resp Dis Allergy &amp; CF Unit, Le Havre, France; [Deschildre, Antoine] Lille Univ Hosp Jeanne de Flandres, Dept Pediat, Resp Dis Allergy &amp; CF Unit, Lille, France; [Forget, Chantal] Reg Hosp, Dept Pediat, Resp Dis &amp; Allergy Unit, Elbeuf, France; [Siret, Daniel] Reg Hosp Moulin du Pre, Dept Pediat, Resp Dis Allergy &amp; CF Unit, St Nazaire, France; [Donnou, Marie-Dominique] Brest Univ Hosp, Pediat Lung Funct Tests &amp; Resp Dis Unit, Brest, France; [Bubenheim, Michael] Rouen Univ Hosp Charles Nicolle, Dept Biostat, Rouen, France; [Vabret, Astrid; Freymuth, Francois] Caen Univ Hosp Clemenceau, Lab Human &amp; Mol Virol, Caen, France</t>
  </si>
  <si>
    <t xml:space="preserve">Universite de Rouen Normandie; CHU de Rouen; Universite de Rouen Normandie; CHU de Rouen; Universite de Lille; CHU Lille; CHU Brest; Universite de Rouen Normandie; CHU de Rouen; Universite de Caen Normandie; CHU de Caen NORMANDIE</t>
  </si>
  <si>
    <t xml:space="preserve">Marguet, C (corresponding author), Rouen Univ Hosp Charles Nicolle, Dept Pediat, Resp Dis Allergy &amp; CF Unit, Rouen, France.</t>
  </si>
  <si>
    <t xml:space="preserve">christophe.marguet@chu-rouen.fr</t>
  </si>
  <si>
    <t xml:space="preserve">Gueudin, Marie/0009-0001-1095-7821; VABRET, Astrid/0000-0002-8940-7645</t>
  </si>
  <si>
    <t xml:space="preserve">French National Clinical Research Program [2000/020/HP]</t>
  </si>
  <si>
    <t xml:space="preserve">French National Clinical Research Program</t>
  </si>
  <si>
    <t xml:space="preserve">This work has been funded by the French National Clinical Research Program n. 2000/020/HP. The funders had no role in study design, data collection and analysis, decision to publish, or preparation of the manuscript.</t>
  </si>
  <si>
    <t xml:space="preserve">e4596</t>
  </si>
  <si>
    <t xml:space="preserve">10.1371/journal.pone.0004596</t>
  </si>
  <si>
    <t xml:space="preserve">601TH</t>
  </si>
  <si>
    <t xml:space="preserve">WOS:000278086700011</t>
  </si>
  <si>
    <t xml:space="preserve">Sun, Q; Liu, Z; Jiang, M; Lu, QH; Tu, YY</t>
  </si>
  <si>
    <t xml:space="preserve">Sun, Qian; Liu, Zhen; Jiang, Min; Lu, Qinhong; Tu, Yanye</t>
  </si>
  <si>
    <t xml:space="preserve">The circulating characteristics of common respiratory pathogens in Ningbo, China, both before and following the cessation of COVID-19 containment measures</t>
  </si>
  <si>
    <t xml:space="preserve">Coronavirus disease 2019 (COVID-19); Respiratory system; China; Containment (computer programming); 2019-20 coronavirus outbreak</t>
  </si>
  <si>
    <t xml:space="preserve">INFECTIONS; INFLUENZA; CHILDREN; TRANSMISSION</t>
  </si>
  <si>
    <t xml:space="preserve">To assess the circulating characteristics of common respiratory pathogens following the complete relaxation of non-pharmaceutical interventions (NPIs) and the cessation of the dynamic zero-COVID policy. The retrospective analysis was conducted from 14,412 patients with acute respiratory infections (ARIs) from January 24, 2020, to December 31, 2023, including Influenza A virus (IFV-A), Influenza B virus (IFV-B), Respiratory Syncytial Virus (RSV), Human Rhinovirus (HRV), Human Parainfluenza Virus (HPIV), Human Metapneumovirus (HMPV), Human Coronavirus (HCoV), Human Bocavirus (HBoV), Human Adenovirus (HAdV), and Mycoplasma pneumoniae (MP). Compared with 2020-2022, Joinpoint analysis indicated a monthly increase in overall pathogen activity in 2023, rising from an average of 43.05% to an average of 68.46%. The positive rates of IFV-A, IFV-B, HMPV, HPIV, HCoV, and MP increased, while those of HRV and RSV decreased, and no differences in HAdV and HBoV. The outbreak of IFV-A and MP was observed, the positive rate of MP has surpassed pre-COVID-19 pandemic levels and the spread of RSV was interrupted by IFV-A. Infants and toddlers were primarily infected by HRV and RSV, Children and adolescents exhibited a higher prevalence of infections with MP, IFV-A, and HRV, whereas Adults and the elderly were primarily infected by IFV-A. The incidence of co-infections rose from 4.25 to 13.73%. Restricted cubic spline models showed that the susceptible age ranges for multiple pathogens expanded. These changes serve as a reminder to stay alert in the future and offer clinicians a useful guide for diagnosing and treating.</t>
  </si>
  <si>
    <t xml:space="preserve">[Sun, Qian; Liu, Zhen; Jiang, Min; Lu, Qinhong; Tu, Yanye] Ningbo Univ, Affiliated LiHuiLi Hosp, Dept Clin Lab, Ningbo 315040, Peoples R China</t>
  </si>
  <si>
    <t xml:space="preserve">Ningbo University</t>
  </si>
  <si>
    <t xml:space="preserve">Lu, QH; Tu, YY (corresponding author), Ningbo Univ, Affiliated LiHuiLi Hosp, Dept Clin Lab, Ningbo 315040, Peoples R China.</t>
  </si>
  <si>
    <t xml:space="preserve">19564814933@163.com; tuyanye9199@126.com</t>
  </si>
  <si>
    <t xml:space="preserve">Medical and Health Research Project of Zhejiang Province</t>
  </si>
  <si>
    <t xml:space="preserve">Thanks to all my colleagues in the laboratory.</t>
  </si>
  <si>
    <t xml:space="preserve">OCT 28</t>
  </si>
  <si>
    <t xml:space="preserve">10.1038/s41598-024-77456-w</t>
  </si>
  <si>
    <t xml:space="preserve">K7N9V</t>
  </si>
  <si>
    <t xml:space="preserve">WOS:001345716800006</t>
  </si>
  <si>
    <t xml:space="preserve">Bao, XY; Kolli, D; Liu, TS; Shan, YC; Garofalo, RP; Casola, A</t>
  </si>
  <si>
    <t xml:space="preserve">Bao, Xiaoyong; Kolli, Deepthi; Liu, Tianshuang; Shan, Yichu; Garofalo, Roberto P.; Casola, Antonella</t>
  </si>
  <si>
    <t xml:space="preserve">Human metapneumovirus small hydrophobic protein inhibits NF-κB transcriptional activity</t>
  </si>
  <si>
    <t xml:space="preserve">Biology; Metapneumovirus; Human metapneumovirus; NFKB1; NF-κB</t>
  </si>
  <si>
    <t xml:space="preserve">RESPIRATORY SYNCYTIAL VIRUS; ALVEOLAR EPITHELIAL-CELLS; INTERLEUKIN-8 TRANSCRIPTION; TRACT INFECTIONS; GENE-EXPRESSION; PHOSPHORYLATION; ACTIVATION; MECHANISM; KINASE; ALPHA</t>
  </si>
  <si>
    <t xml:space="preserve">Human metapneumovirus, a leading cause of respiratory tract infections in infants, encodes a small hydrophobic (SH) protein of unknown function. In this study, we showed that infection of airway epithelial cells or mice with recombinant human metapneumovirus lacking SH expression (rhMPV-Delta SH) enhanced secretion of proinflammatory mediators, including interleukin 6 (IL-6) and IL-8, encoded by two NF-kappa B-dependent genes, compared to infection with wild-type rhMPV. RhMPV-Delta SH infection resulted in enhanced NF-kappa B-dependent gene transcription and in increased levels of phosphorylated and acetylated NF-kB without affecting its nuclear translocation, identifying a possible novel mechanism by which paramyxovirus SH proteins modulate NF-kB activation.</t>
  </si>
  <si>
    <t xml:space="preserve">[Casola, Antonella] Univ Texas Galveston, Med Branch, Dept Pediat, Div Child Hlth Res Ctr, Galveston, TX 77555 USA; [Garofalo, Roberto P.; Casola, Antonella] Univ Texas Galveston, Med Branch, Dept Microbiol &amp; Immunol, Galveston, TX 77555 USA; [Garofalo, Roberto P.; Casola, Antonella] Univ Texas Galveston, Sealy Ctr Vaccine Dev, Med Branch, Galveston, TX 77555 USA</t>
  </si>
  <si>
    <t xml:space="preserve">Casola, A (corresponding author), Univ Texas Galveston, Med Branch, Dept Pediat, Div Child Hlth Res Ctr, 301 Univ Blvd, Galveston, TX 77555 USA.</t>
  </si>
  <si>
    <t xml:space="preserve">shan, yichu/Q-9068-2017; Kolli, Deepthi/B-6008-2009; Garofalo, Roberto/ABL-2322-2022</t>
  </si>
  <si>
    <t xml:space="preserve">NIAID NIH HHS [N01 AI030039, T32 AI007536, P01 AI062885] Funding Source: Medline</t>
  </si>
  <si>
    <t xml:space="preserve">10.1128/JVI.02584-07</t>
  </si>
  <si>
    <t xml:space="preserve">333QF</t>
  </si>
  <si>
    <t xml:space="preserve">WOS:000258166500046</t>
  </si>
  <si>
    <t xml:space="preserve">Takao, S; Shimozono, H; Kashiwa, H; Shimazu, Y; Fukuda, S; Kuwayama, M; Miyazaki, K</t>
  </si>
  <si>
    <t xml:space="preserve">Clinical study of pediatric cases of acute respiratory diseases associated with human metapneumovirus in Japan</t>
  </si>
  <si>
    <t xml:space="preserve">BRONCHIOLITIS; CHILDREN</t>
  </si>
  <si>
    <t xml:space="preserve">Hiroshima Prefectural Inst Hlth &amp; Environm, Div Microbiol 2, Minami Ku, Hiroshima 7340007, Japan; Mazda Motor Corp, Mazda Hosp, Dept Pediat, Hiroshima 7358585, Japan</t>
  </si>
  <si>
    <t xml:space="preserve">Takao, S (corresponding author), Hiroshima Prefectural Inst Hlth &amp; Environm, Div Microbiol 2, Minami Ku, Minami Machi 1-6-29, Hiroshima 7340007, Japan.</t>
  </si>
  <si>
    <t xml:space="preserve">takao@urban.ne.jp</t>
  </si>
  <si>
    <t xml:space="preserve">718BL</t>
  </si>
  <si>
    <t xml:space="preserve">WOS:000185125200013</t>
  </si>
  <si>
    <t xml:space="preserve">Luck, MI; Subillaga, EJ; Borenstein, R; Sabo, Y</t>
  </si>
  <si>
    <t xml:space="preserve">Luck, Maria I.; Subillaga, Erick J.; Borenstein, Ronen; Sabo, Yosef</t>
  </si>
  <si>
    <t xml:space="preserve">Ginkgolic acid inhibits orthopneumo- and metapneumo- virus infectivity</t>
  </si>
  <si>
    <t xml:space="preserve">Human metapneumovirus; Infectivity; Virus; Virology; Respiratory tract infections; Metapneumovirus; Biology; Viral replication</t>
  </si>
  <si>
    <t xml:space="preserve">RESPIRATORY SYNCYTIAL VIRUS; CHILDREN; PROTEIN; RISK; NIRSEVIMAB; PREVENTION; BLOCKING; PRETERM; BURDEN; SYSTEM</t>
  </si>
  <si>
    <t xml:space="preserve">The human respiratory syncytial virus (hRSV) and the human metapneumovirus (hMPV) are important human respiratory pathogens from the Pneumoviridae family. Both are responsible for severe respiratory tract infections in infants, young children, elderly individuals, adults with chronic medical conditions, and immunocompromised patients. Despite their large impact on human health, vaccines for hRSV were only recently introduced, and only limited treatment options exist. Here we show that Ginkgolic acid (GA), a natural compound from the extract of Ginkgo biloba, with known antiviral properties for several viruses, efficiently inhibits these viruses' infectivity and spread in cultures in a dose-dependent manner. We demonstrate that the drug specifically affects the entry step during the early stages on the viruses' life cycle with no effect on post-entry and late stage events, including viral gene transcription, genome replication, assembly and particles release. We provide evidence that GA acts as an efficient antiviral for members of the Pneumoviridae family and has the potential to be used to treat acute infections.</t>
  </si>
  <si>
    <t xml:space="preserve">[Luck, Maria I.; Subillaga, Erick J.; Sabo, Yosef] Columbia Univ, Aaron Diamond AIDS Res Ctr, Vagelos Coll Phys &amp; Surg, New York, NY 10032 USA; [Luck, Maria I.; Subillaga, Erick J.; Sabo, Yosef] Columbia Univ, Vagelos Coll Phys &amp; Surg, Dept Med, Div Infect Dis, New York, NY 10032 USA; [Borenstein, Ronen] Loyola Univ Chicago, Dept Med Stritch, Program Expt &amp; Theoret Modeling, Div Hepatol,Sch Med, Maywood, IL 60153 USA</t>
  </si>
  <si>
    <t xml:space="preserve">Columbia University; Columbia University; Loyola University Chicago</t>
  </si>
  <si>
    <t xml:space="preserve">Sabo, Y (corresponding author), Columbia Univ, Aaron Diamond AIDS Res Ctr, Vagelos Coll Phys &amp; Surg, New York, NY 10032 USA.;Sabo, Y (corresponding author), Columbia Univ, Vagelos Coll Phys &amp; Surg, Dept Med, Div Infect Dis, New York, NY 10032 USA.</t>
  </si>
  <si>
    <t xml:space="preserve">ys2581@cumc.columbia.edu</t>
  </si>
  <si>
    <t xml:space="preserve">Sabo, Yosef/J-3018-2015; Borenstein, Ronen/KCL-5581-2024</t>
  </si>
  <si>
    <t xml:space="preserve">NIH/NIAID [1U19AI1711401]; NIAID</t>
  </si>
  <si>
    <t xml:space="preserve">NIH/NIAID(United States Department of Health &amp; Human ServicesNational Institutes of Health (NIH) - USANIH National Institute of Allergy &amp; Infectious Diseases (NIAID)); NIAID(United States Department of Health &amp; Human ServicesNational Institutes of Health (NIH) - USANIH National Institute of Allergy &amp; Infectious Diseases (NIAID))</t>
  </si>
  <si>
    <t xml:space="preserve">Y.S is supported by funding from NIAID (1U19AI1711401). We thank Dr. Martine Moore for the bacterial artificial chromosome system to generate recombinant hRSV-mKate2 and Dr. Stephen P. Goff for insightful discussions.</t>
  </si>
  <si>
    <t xml:space="preserve">10.1038/s41598-024-58032-8</t>
  </si>
  <si>
    <t xml:space="preserve">NE7I6</t>
  </si>
  <si>
    <t xml:space="preserve">WOS:001198838600002</t>
  </si>
  <si>
    <t xml:space="preserve">Chan, PKS; To, KF; Wu, A; Tse, GMK; Chan, KF; Lui, SF; Sung, JJY; Tam, JS; Tomlinson, B</t>
  </si>
  <si>
    <t xml:space="preserve">Human metapneumovirus-associated atypical pneumonia and SARS</t>
  </si>
  <si>
    <t xml:space="preserve">Human metapneumovirus; Pneumonia; Metapneumovirus; Atypical pneumonia; Outbreak; Medicine; Virology; Pathogen</t>
  </si>
  <si>
    <t xml:space="preserve">INFECTIONS; CHILDREN; YOUNG</t>
  </si>
  <si>
    <t xml:space="preserve">Acute pneumonia developed in a previously healthy man during the outbreak of severe acute respiratory syndrome (SARS) in southern China in March 2003. Antibiotic treatment was ineffective, and he died 8 days after illness onset. Human metapneumovirus was isolated from lung tissue. No other pathogen was found. Other etiologic agents should thus be sought in apparent SARS cases when coronavirus infection cannot be confirmed.</t>
  </si>
  <si>
    <t xml:space="preserve">Chinese Univ Hong Kong, Prince Wales Hosp, Dept Microbiol, Hong Kong, Hong Kong, Peoples R China</t>
  </si>
  <si>
    <t xml:space="preserve">Chinese Univ Hong Kong, Prince Wales Hosp, Dept Microbiol, Hong Kong, Hong Kong, Peoples R China.</t>
  </si>
  <si>
    <t xml:space="preserve">Tomlinson, Brian/AAD-9404-2019; Chan, Paul/J-9360-2013; To, Ka Fai/JTT-7693-2023; SUNG, Joseph J Y/R-3203-2018</t>
  </si>
  <si>
    <t xml:space="preserve">Chan, Paul/0000-0002-6360-4608; Tse, Gary/0000-0002-9405-9665; To, Ka Fai/0000-0003-4919-3707; SUNG, Joseph J Y/0000-0003-3125-5199</t>
  </si>
  <si>
    <t xml:space="preserve">10.3201/eid1003.030513</t>
  </si>
  <si>
    <t xml:space="preserve">801EO</t>
  </si>
  <si>
    <t xml:space="preserve">WOS:000220079400020</t>
  </si>
  <si>
    <t xml:space="preserve">Ehrenzeller, S; Zaffini, R; Pecora, ND; Kanjilal, S; Rhee, C; Klompas, M</t>
  </si>
  <si>
    <t xml:space="preserve">Ehrenzeller, Selina; Zaffini, Rebecca; Pecora, Nicole D.; Kanjilal, Sanjat; Rhee, Chanu; Klompas, Michael</t>
  </si>
  <si>
    <t xml:space="preserve">Cycle threshold dynamics of non-severe acute respiratory coronavirus virus 2 (SARS-CoV-2) respiratory viruses</t>
  </si>
  <si>
    <t xml:space="preserve">INFECTION CONTROL &amp; HOSPITAL EPIDEMIOLOGY</t>
  </si>
  <si>
    <t xml:space="preserve">Rhinovirus; Human metapneumovirus; Medicine; Respiratory system; Virus; Virology</t>
  </si>
  <si>
    <t xml:space="preserve">TIME RT-PCR; VIRAL LOAD; INFLUENZA; VALUES</t>
  </si>
  <si>
    <t xml:space="preserve">Objective:Many providers use severe acute respiratory coronavirus virus 2 (SARS-CoV-2) cycle thresholds (Ct values) as approximate measures of viral burden in association with other clinical data to inform decisions about treatment and isolation. We characterized temporal changes in Ct values for non-SARS-CoV-2 respiratory viruses as a first step to determine whether cycle thresholds could play a similar role in the management of non-SARS-CoV-2 respiratory viruses.Design:Retrospective cohort study.Setting:Brigham and Women's Hospital, Boston.Methods:We retrospectively identified all adult patients with positive nasopharyngeal PCRs for influenza, respiratory syncytial virus (RSV), parainfluenza, human metapneumovirus (HMPV), rhinovirus, or adenovirus between January 2022 and March 2023. We plotted Ct distributions relative to days since symptom onset, and we assessed whether distributions varied by immunosuppression and other comorbidities.Results:We analyzed 1,863 positive samples: 506 influenza, 502 rhinovirus, 430 RSV, 219 HMPV, 180 parainfluenza, 26 adenovirus. Ct values were generally 25-30 on the day of symptom onset, lower over the ensuing 1-3 days, and progressively higher thereafter with Ct values &gt;= 30 after 1 week for most viruses. Ct values were generally higher and more stable over time for rhinovirus. There was no association between immunocompromised status and median intervals from symptom onset until Ct values were &gt;= 30.Conclusions:Ct values relative to symptom onset for influenza, RSV, and other non-SARS-CoV-2 respiratory viruses generally mirror patterns seen with SARS-CoV-2. Further data on associations between Ct values and viral viability, transmissibility, host characteristics, and response to treatment for non-SARS-CoV-2 respiratory viruses are needed to determine how clinicians and infection preventionists might integrate Ct values into treatment and isolation decisions.</t>
  </si>
  <si>
    <t xml:space="preserve">[Ehrenzeller, Selina; Kanjilal, Sanjat; Rhee, Chanu; Klompas, Michael] Harvard Med Sch, Dept Populat Med, Boston, MA 02115 USA; [Ehrenzeller, Selina; Kanjilal, Sanjat; Rhee, Chanu; Klompas, Michael] Harvard Pilgrim Hlth Care Inst, Boston, MA 02215 USA; [Ehrenzeller, Selina; Kanjilal, Sanjat; Rhee, Chanu; Klompas, Michael] Brigham &amp; Womens Hosp, Dept Med, Boston, MA 02115 USA; [Ehrenzeller, Selina] Univ Basel, Univ Hosp Basel, Div Infect Dis &amp; Hosp Epidemiol, Basel, Switzerland; [Ehrenzeller, Selina] Limmattal Hosp Zurich, Dept Med, Schlieren, Switzerland; [Zaffini, Rebecca; Pecora, Nicole D.] Brigham &amp; Womens Hosp, Dept Pathol, Boston, MA USA</t>
  </si>
  <si>
    <t xml:space="preserve">Harvard University; Harvard Medical School; Harvard Pilgrim Health Care; Harvard University; Brigham &amp; Women's Hospital; University of Basel; Harvard University; Brigham &amp; Women's Hospital</t>
  </si>
  <si>
    <t xml:space="preserve">Klompas, M (corresponding author), Harvard Med Sch, Dept Populat Med, Boston, MA 02115 USA.;Klompas, M (corresponding author), Harvard Pilgrim Hlth Care Inst, Boston, MA 02215 USA.;Klompas, M (corresponding author), Brigham &amp; Womens Hosp, Dept Med, Boston, MA 02115 USA.</t>
  </si>
  <si>
    <t xml:space="preserve">mklompas@bwh.harvard.edu</t>
  </si>
  <si>
    <t xml:space="preserve">Ehrenzeller, Selina/HKN-9591-2023; Rhee, Chanu/AAO-8368-2020; Klompas, Michael/Z-2415-2019</t>
  </si>
  <si>
    <t xml:space="preserve">Pecora, Nicole/0000-0001-5633-8746; Kanjilal, Sanjat/0000-0002-1221-5725; Ehrenzeller, Selina/0000-0001-8726-9050; Rhee, Chanu/0000-0002-9537-4245</t>
  </si>
  <si>
    <t xml:space="preserve">Swiss Study Foundation for a research stay in the United States</t>
  </si>
  <si>
    <t xml:space="preserve">No specific funding was obtained for this study. S.E. received nondirected funding from the Swiss Study Foundation for a research stay in the United States.</t>
  </si>
  <si>
    <t xml:space="preserve">10.1017/ice.2023.286</t>
  </si>
  <si>
    <t xml:space="preserve">OD3B3</t>
  </si>
  <si>
    <t xml:space="preserve">WOS:001144099500001</t>
  </si>
  <si>
    <t xml:space="preserve">Coverstone, AM; Wilson, B; Burgdorf, D; Schechtman, KB; Storch, GA; Holtzman, MJ; Castro, M; Bacharier, LB; Sumino, K</t>
  </si>
  <si>
    <t xml:space="preserve">Coverstone, Andrea M.; Wilson, Brad; Burgdorf, Dana; Schechtman, Kenneth B.; Storch, Gregory A.; Holtzman, Michael J.; Castro, Mario; Bacharier, Leonard B.; Sumino, Kaharu</t>
  </si>
  <si>
    <t xml:space="preserve">Recurrent wheezing in children following human metapneumovirus infection</t>
  </si>
  <si>
    <t xml:space="preserve">Bronchiolitis; Human metapneumovirus; Medicine; Metapneumovirus; Respiratory tract infections; Pediatrics; Asthma; Rhinovirus</t>
  </si>
  <si>
    <t xml:space="preserve">SYNCYTIAL-VIRUS BRONCHIOLITIS; IMPORTANT RISK-FACTOR; ASTHMA; INFANCY; ALLERGY</t>
  </si>
  <si>
    <t xml:space="preserve">[Coverstone, Andrea M.; Wilson, Brad; Burgdorf, Dana; Schechtman, Kenneth B.; Storch, Gregory A.; Holtzman, Michael J.; Castro, Mario; Bacharier, Leonard B.; Sumino, Kaharu] Washington Univ, Sch Med St Louis, St Louis, MO 63130 USA</t>
  </si>
  <si>
    <t xml:space="preserve">Saint Louis University; Washington University (WUSTL)</t>
  </si>
  <si>
    <t xml:space="preserve">Sumino, K (corresponding author), Washington Univ, Sch Med St Louis, St Louis, MO 63130 USA.</t>
  </si>
  <si>
    <t xml:space="preserve">ksumino@dom.wustl.edu</t>
  </si>
  <si>
    <t xml:space="preserve">Sumino, Kaharu/AAA-2028-2021; Castro, Mario/ABD-7776-2021</t>
  </si>
  <si>
    <t xml:space="preserve">Sumino, Kaharu/0000-0002-6214-2966; Bacharier, Leonard/0000-0003-0432-2704; Castro, Mario/0000-0001-6328-8994</t>
  </si>
  <si>
    <t xml:space="preserve">National Institutes of Health [1KM1CA156708-1]; National Institute of Allergy and Infectious Diseases [U19 AI070489]; National Center for Advancing Translational Sciences [5UL1 TR000448-07]</t>
  </si>
  <si>
    <t xml:space="preserve">National Institutes of Health(United States Department of Health &amp; Human ServicesNational Institutes of Health (NIH) - USA); National Institute of Allergy and Infectious Diseases(United States Department of Health &amp; Human ServicesNational Institutes of Health (NIH) - USANIH National Institute of Allergy &amp; Infectious Diseases (NIAID)); National Center for Advancing Translational Sciences(United States Department of Health &amp; Human ServicesNational Institutes of Health (NIH) - USANIH National Center for Advancing Translational Sciences (NCATS))</t>
  </si>
  <si>
    <t xml:space="preserve">This work was supported by the National Institutes of Health (grant no. 1KM1CA156708-1 to K.S.), the National Institute of Allergy and Infectious Diseases (grant no. U19 AI070489), and the National Center for Advancing Translational Sciences (grant no. 5UL1 TR000448-07).</t>
  </si>
  <si>
    <t xml:space="preserve">10.1016/j.jaci.2018.02.008</t>
  </si>
  <si>
    <t xml:space="preserve">GM1OC</t>
  </si>
  <si>
    <t xml:space="preserve">WOS:000437837500036</t>
  </si>
  <si>
    <t xml:space="preserve">Shapiro, D; Bodinayake, CK; Nagahawatte, A; Devasiri, V; Kurukulasooriya, R; Hsiang, J; Nicholson, B; De Silva, AD; Ostbye, T; Reller, ME; Woods, CW; Tillekeratne, LG</t>
  </si>
  <si>
    <t xml:space="preserve">Shapiro, David; Bodinayake, Champica K.; Nagahawatte, Ajith; Devasiri, Vasantha; Kurukulasooriya, Ruvini; Hsiang, Jeremy; Nicholson, Bradley; De Silva, Aruna Dharshan; Ostbye, Truls; Reller, Megan E.; Woods, Christopher W.; Tillekeratne, L. Gayani</t>
  </si>
  <si>
    <t xml:space="preserve">Burden and Seasonality of Viral Acute Respiratory Tract Infections among Outpatients in Southern Sri Lanka</t>
  </si>
  <si>
    <t xml:space="preserve">Sri lanka; Respiratory tract infections</t>
  </si>
  <si>
    <t xml:space="preserve">INFLUENZA-LIKE ILLNESS; MIDDLE-INCOME COUNTRIES; VERITOR(TM) SYSTEM FLU; VIRUS-INFECTIONS; PLUS B; DISEASE; SURVEILLANCE; CIRCULATION; VACCINATION; SUBTROPICS</t>
  </si>
  <si>
    <t xml:space="preserve">In tropical and subtropical settings, the epidemiology of viral acute respiratory tract infections varies widely between countries. We determined the etiology, seasonality, and clinical presentation of viral acute respiratory tract infections among outpatients in southern Sri Lanka. From March 2013 to January 2015, we enrolled outpatients presenting with influenza-like illness (ILI). Nasal/nasopharyngeal samples were tested in duplicate using antigen-based rapid influenza testing and multiplex polymerase chain reaction (PCR) for respiratory viruses. Monthly proportion positive was calculated for each virus. Bivariable and multivariable logistic regression were used to identify associations between sociodemographic/clinical information and viral detection. Of 571 subjects, most (470, 82.3%) were &gt;= 5 years of age and 53.1% were male. Arespiratory virus was detected byPCRin 63.6% (N= 363). Commonviral etiologies included influenza (223, 39%), human enterovirus/rhinovirus (HEV/HRV, 14.5%), respiratory syncytial virus (RSV, 4.2%), and human metapneumovirus (hMPV, 3.9%). Both ILI and influenza showed clear seasonal variation, with peaks from March to June each year. RSV and hMPV activity peaked from May to July, whereas HEV/HRV was seen year-round. Patients with respiratory viruses detected were more likely to report pain with breathing (odds ratio [OR] = 2.60, P = 0.003), anorexia (OR = 2.29, P &lt; 0.001), and fatigue (OR = 2.00, P = 0.002) compared with patients with no respiratory viruses detected. ILI showed clear seasonal variation in southern Sri Lanka, with most activity during March to June; peak activity was largely due to influenza. Targeted infection prevention activities such as influenza vaccination in January-February may have a large public health impact in this region.</t>
  </si>
  <si>
    <t xml:space="preserve">[Shapiro, David] Duke Univ, Dept Pediat, Durham, NC 27706 USA; [Bodinayake, Champica K.] Ruhuna Univ, Fac Med, Dept Med, Galle, Sri Lanka; [Nagahawatte, Ajith] Ruhuna Univ, Fac Med, Dept Microbiol, Galle, Sri Lanka; [Nagahawatte, Ajith] Ruhuna Univ, Fac Med, Dept Pediat, Galle, Sri Lanka; [Kurukulasooriya, Ruvini] Ruhuna Univ, Collaborat Res Ctr, Galle, Sri Lanka; [Hsiang, Jeremy; Nicholson, Bradley] Durham Vet Affairs Med Ctr, Durham, NC USA; [De Silva, Aruna Dharshan] Genetech Res Inst, Colombo, Sri Lanka; [Ostbye, Truls; Woods, Christopher W.; Tillekeratne, L. Gayani] Duke Global Hlth Inst, Durham, NC USA; [Ostbye, Truls] Duke Univ, Dept Community &amp; Family Med, Durham, NC USA; [Reller, Megan E.; Woods, Christopher W.; Tillekeratne, L. Gayani] Duke Univ, Dept Med, Durham, NC USA; [Bodinayake, Champica K.] Ruhuna Univ, Dept Med, Galle, Sri Lanka; [Nagahawatte, Ajith] Ruhuna Univ, Dept Microbiol, Galle, Sri Lanka; [Devasiri, Vasantha] Ruhuna Univ, Dept Pediat, Galle, Sri Lanka; [Kurukulasooriya, Ruvini] Univ Ruhuna, Duke Ruhuna Collaborat Res Ctr, Galle, Sri Lanka; [Ostbye, Truls; Woods, Christopher W.; Tillekeratne, L. Gayani] Duke Univ, Global Hlth Inst, Durham, NC USA</t>
  </si>
  <si>
    <t xml:space="preserve">Duke University; University Ruhuna; University Ruhuna; University Ruhuna; University Ruhuna; US Department of Veterans Affairs; Veterans Health Administration (VHA); Durham VA Medical Center; Duke University; Duke University; Duke University; University Ruhuna; University Ruhuna; University Ruhuna; University Ruhuna; Duke University</t>
  </si>
  <si>
    <t xml:space="preserve">Shapiro, D (corresponding author), Duke Univ, Med Ctr, Div Pediat Infect Dis, 2301 Erwin Rd,CHC T Level Suite 0915, Durham, NC 27708 USA.;Tillekeratne, LG (corresponding author), Duke Univ, Med Ctr, Div Infect Dis, Durham, NC 27708 USA.</t>
  </si>
  <si>
    <t xml:space="preserve">david.j.shapiro@duke.edu; bodinayake@yahoo.co.uk; ajithnagahawatte@yahoo.co.uk; vdevasiri@gmail.com; ruhunasearch@gmail.com; jeremyhsiang8@gmail.com; brad.nicholson@duke.edu; dslv90@yahoo.com; truls.ostbye@dm.duke.edu; megan.reller@duke.edu; chris.woods@duke.edu; gayani.tillekeratne@dm.duke.edu</t>
  </si>
  <si>
    <t xml:space="preserve">Bodinayake, Champica/0000-0003-1339-1883; Tillekeratne, L Gayani/0000-0001-6012-7271; Ostbye, Truls/0000-0002-0662-7440</t>
  </si>
  <si>
    <t xml:space="preserve">NIH Research Training Grant - Fogarty International Center [R25 TW009337]; National Institute of Mental Health</t>
  </si>
  <si>
    <t xml:space="preserve">NIH Research Training Grant - Fogarty International Center; National Institute of Mental Health(United States Department of Health &amp; Human ServicesNational Institutes of Health (NIH) - USANIH National Institute of Mental Health (NIMH))</t>
  </si>
  <si>
    <t xml:space="preserve">This work was supported by the NIH Research Training Grant no. R25 TW009337 funded by the Fogarty International Center and the National Institute of Mental Health.</t>
  </si>
  <si>
    <t xml:space="preserve">1476-1645</t>
  </si>
  <si>
    <t xml:space="preserve">10.4269/ajtmh.17-0032</t>
  </si>
  <si>
    <t xml:space="preserve">FG1AB</t>
  </si>
  <si>
    <t xml:space="preserve">WOS:000409523900017</t>
  </si>
  <si>
    <t xml:space="preserve">de Graaf, M; Osterhaus, ADME; Fouchier, RAM; Holmes, EC</t>
  </si>
  <si>
    <t xml:space="preserve">de Graaf, Miranda; Osterhaus, Albert D. M. E.; Fouchier, Ron A. M.; Holmes, Edward C.</t>
  </si>
  <si>
    <t xml:space="preserve">Evolutionary dynamics of human and avian metapneumoviruses</t>
  </si>
  <si>
    <t xml:space="preserve">Biology; Metapneumovirus; Genetic diversity; Most recent common ancestor; Virology</t>
  </si>
  <si>
    <t xml:space="preserve">RESPIRATORY SYNCYTIAL VIRUS; AMINO-ACID-SEQUENCE; SUBGROUP-C; RNA VIRUSES; INDIVIDUAL CONTRIBUTIONS; EPIDEMIOLOGIC DYNAMICS; MOLECULAR EVOLUTION; G-GLYCOPROTEIN; PROTEIN GENE; IN-VITRO</t>
  </si>
  <si>
    <t xml:space="preserve">Human (HMPV) and avian (AMPV) metapneumoviruses are closely related viruses that cause respiratory tract illnesses in humans and birds, respectively. Although HMPV was first discovered in 2001, retrospective studies have shown that HMPV has been circulating in humans for at least 50 years. AMPV was first isolated in the 1970s, and can be classified into four subgroups, A-D. AMPV subgroup C is more closely related to HMPV than to any other AMPV subgroup, suggesting that HMPV has emerged from AMPV-C upon zoonosis. Presently, at least four genetic lineages of HMPV circulate in human populations - A1, A2, B1 and B2 - of which lineages A and B are antigenically distinct. We used a Bayesian Markov Chain Monte Carlo (MCMC) framework to determine the evolutionary and epidemiological dynamics of HMPV and AMPV-C. The rates of nucleotide substitution, relative genetic diversity and time to the most recent common ancestor (TMRCA) were estimated using large sets of sequences of the nucleoprotein, the fusion protein and attachment protein genes. The sampled genetic diversity of HMPV was found to have arisen within the past 119-133 years, with consistent results across all three genes, while the TMRCA for HMPV and AMPV-C was estimated to have existed around 200 years ago. The relative genetic diversity observed in the four HMPV lineages was low, most likely reflecting continual population bottlenecks, with only limited evidence for positive selection.</t>
  </si>
  <si>
    <t xml:space="preserve">[de Graaf, Miranda; Osterhaus, Albert D. M. E.; Fouchier, Ron A. M.] Erasmus MC, Dept Virol, NL-3000 CA Rotterdam, Netherlands; [Holmes, Edward C.] Penn State Univ, Dept Biol, Mueller Lab, Ctr Infect Dis Dynam, University Pk, PA 16802 USA; [Holmes, Edward C.] NIH, Fogarty Int Ctr, Bethesda, MD 20892 USA</t>
  </si>
  <si>
    <t xml:space="preserve">Erasmus University Rotterdam; Erasmus MC; Pennsylvania Commonwealth System of Higher Education (PCSHE); Pennsylvania State University; Pennsylvania State University - University Park; National Institutes of Health (NIH) - USA; NIH Fogarty International Center (FIC)</t>
  </si>
  <si>
    <t xml:space="preserve">de Graaf, Miranda/K-1262-2018; Holmes, Edward/Y-2789-2019; Fouchier, Ron/A-1911-2014</t>
  </si>
  <si>
    <t xml:space="preserve">Osterhaus, Albert/0000-0002-6074-1172; Holmes, Edward/0000-0001-9596-3552; Fouchier, Ron/0000-0001-8095-2869</t>
  </si>
  <si>
    <t xml:space="preserve">10.1099/vir.0.2008/006957-0</t>
  </si>
  <si>
    <t xml:space="preserve">WOS:000261527800002</t>
  </si>
  <si>
    <t xml:space="preserve">Ibrahim, S; Scott, M; Bixler, D; Pedersen, R; Tripp, J; Carter, K; Erdman, D; Schneider, E; Britton, C</t>
  </si>
  <si>
    <t xml:space="preserve">Ibrahim, Sherif; Scott, Melissa; Bixler, Danae; Pedersen, Randi; Tripp, Jennifer; Carter, Kris; Erdman, Dean; Schneider, Eileen; Britton, Carla</t>
  </si>
  <si>
    <t xml:space="preserve">Outbreaks of Human Metapneumovirus in Two Skilled Nursing Facilities - West Virginia and Idaho, 2011-2012</t>
  </si>
  <si>
    <t xml:space="preserve">MMWR-MORBIDITY AND MORTALITY WEEKLY REPORT</t>
  </si>
  <si>
    <t xml:space="preserve">TERM-CARE FACILITY; INFECTION</t>
  </si>
  <si>
    <t xml:space="preserve">[Carter, Kris] CDC, Atlanta, GA 30333 USA</t>
  </si>
  <si>
    <t xml:space="preserve">carterk1@dhw.idaho.gov</t>
  </si>
  <si>
    <t xml:space="preserve">CENTER DISEASE CONTROL &amp; PREVENTION</t>
  </si>
  <si>
    <t xml:space="preserve">MAILSTOP E-90, ATLANTA, GA 30333 USA</t>
  </si>
  <si>
    <t xml:space="preserve">0149-2195</t>
  </si>
  <si>
    <t xml:space="preserve">1545-861X</t>
  </si>
  <si>
    <t xml:space="preserve">MMWR-MORBID MORTAL W</t>
  </si>
  <si>
    <t xml:space="preserve">MMWR-Morb. Mortal. Wkly. Rep.</t>
  </si>
  <si>
    <t xml:space="preserve">259NQ</t>
  </si>
  <si>
    <t xml:space="preserve">WOS:000327534000001</t>
  </si>
  <si>
    <t xml:space="preserve">Akiyoshi, K; Tamura, T; Haruta, T</t>
  </si>
  <si>
    <t xml:space="preserve">Akiyoshi, Kyoko; Tamura, Takuya; Haruta, Tsunekazu</t>
  </si>
  <si>
    <t xml:space="preserve">Kobe Inst Hlth</t>
  </si>
  <si>
    <t xml:space="preserve">Virus-Related Lower Respiratory Inflammation: Detection of Human Metapneumovirus from Severe Pneumonia Cases with A/H1N1pdm Virus</t>
  </si>
  <si>
    <t xml:space="preserve">H1N1; INFLUENZA</t>
  </si>
  <si>
    <t xml:space="preserve">[Akiyoshi, Kyoko] Kobe Inst Hlth, Chuo Ku, Kobe, Hyogo 6500046, Japan; [Tamura, Takuya; Haruta, Tsunekazu] Kobe City Med Ctr Gen Hosp, Kobe, Hyogo 6500046, Japan</t>
  </si>
  <si>
    <t xml:space="preserve">Kobe City Medical Center General Hospital</t>
  </si>
  <si>
    <t xml:space="preserve">Akiyoshi, K (corresponding author), Kobe Inst Hlth, Chuo Ku, 4-6 Minatojima Nakamachi, Kobe, Hyogo 6500046, Japan.</t>
  </si>
  <si>
    <t xml:space="preserve">kyoko_akiyoshi@office.city.kobe.lg.jp</t>
  </si>
  <si>
    <t xml:space="preserve">717OX</t>
  </si>
  <si>
    <t xml:space="preserve">WOS:000287058400020</t>
  </si>
  <si>
    <t xml:space="preserve">Varman, M; Truemper, EJ; Chatterjee, A</t>
  </si>
  <si>
    <t xml:space="preserve">Varman, Meera; Truemper, Edward J.; Chatterjee, Archana</t>
  </si>
  <si>
    <t xml:space="preserve">Severe Human Metapneumovirus Pneumonia in a Child With Chronic Illness</t>
  </si>
  <si>
    <t xml:space="preserve">Medicine; Human metapneumovirus; Pneumonia</t>
  </si>
  <si>
    <t xml:space="preserve">RESPIRATORY-TRACT INFECTIONS; SYNCYTIAL VIRUS; YOUNG-CHILDREN; BRONCHIOLITIS</t>
  </si>
  <si>
    <t xml:space="preserve">[Varman, Meera; Chatterjee, Archana] Creighton Univ, Dept Pediat Infect Dis, Omaha, NE 68131 USA; [Varman, Meera; Truemper, Edward J.; Chatterjee, Archana] Creighton Univ, Med Ctr, Omaha, NE 68131 USA; [Truemper, Edward J.] Childrens Hosp &amp; Med Ctr, Div Pediat Crit Care, Omaha, NE USA</t>
  </si>
  <si>
    <t xml:space="preserve">Creighton University; Creighton University</t>
  </si>
  <si>
    <t xml:space="preserve">Varman, M (corresponding author), Creighton Univ, Dept Pediat Infect Dis, 601 N 30th St,Suite 2321, Omaha, NE 68131 USA.</t>
  </si>
  <si>
    <t xml:space="preserve">mvarman@creighton.edu</t>
  </si>
  <si>
    <t xml:space="preserve">10.1177/0009922810368559</t>
  </si>
  <si>
    <t xml:space="preserve">662OA</t>
  </si>
  <si>
    <t xml:space="preserve">WOS:000282815700012</t>
  </si>
  <si>
    <t xml:space="preserve">Hamelin, ME; Côté, S; Laforge, J; Lampron, N; Bourbeau, J; Weiss, K; Gilca, R; DeSerres, G; Boivin, G</t>
  </si>
  <si>
    <t xml:space="preserve">Human metapneumovirus infection in adults with community-acquired pneumonia and exacerbation of chronic obstructive pulmonary disease</t>
  </si>
  <si>
    <t xml:space="preserve">Human metapneumovirus; Medicine; Pneumonia; Exacerbation; Respiratory disease; Community-acquired pneumonia</t>
  </si>
  <si>
    <t xml:space="preserve">RESPIRATORY-TRACT DISEASE; CHILDREN; YOUNG</t>
  </si>
  <si>
    <t xml:space="preserve">We tested nasopharyngeal aspirate specimens by real-time polymerase chain reaction assays and paired serum samples by enzyme-linked immunosorbent assays. Acute human metapneumovirus infections were identified in 6 (4.1%) of 145 adult patients who presented to the emergency department for pneumonia or acute exacerbation of chronic obstructive pulmonary disease during 2 winter/spring seasons in Quebec, Canada.</t>
  </si>
  <si>
    <t xml:space="preserve">Ctr Hosp Univ Quebec, Ste Foy, PQ G1V 4G2, Canada; Univ Laval, Quebec City, PQ G1K 7P4, Canada; Hop Laval, Laval, PQ, Canada; Inst Natl Sante Publ Quebec, Quebec City, PQ, Canada; McGill Univ, Ctr Hlth, Thorac Inst, Montreal, PQ H3A 2T5, Canada; Hop Maison Neuve Rosemont, Montreal, PQ, Canada; Univ Montreal, Montreal, PQ H3C 3J7, Canada</t>
  </si>
  <si>
    <t xml:space="preserve">Laval University; Laval University; Laval University; Institut national de sante publique du Quebec (INSPQ); McGill University; Universite de Montreal; Universite de Montreal</t>
  </si>
  <si>
    <t xml:space="preserve">Ctr Hosp Univ Quebec, Rm RC-709,27705 Blvd Laurier, Ste Foy, PQ G1V 4G2, Canada.</t>
  </si>
  <si>
    <t xml:space="preserve">10.1086/431981</t>
  </si>
  <si>
    <t xml:space="preserve">946ZE</t>
  </si>
  <si>
    <t xml:space="preserve">WOS:000230611000012</t>
  </si>
  <si>
    <t xml:space="preserve">Wenzel, RP; Fowler, AA</t>
  </si>
  <si>
    <t xml:space="preserve">Wenzel, Richard P.; Fowler, Alpha A., III</t>
  </si>
  <si>
    <t xml:space="preserve">Acute bronchitis</t>
  </si>
  <si>
    <t xml:space="preserve">Medicine; Auscultation; Sputum; Bronchitis; Respiratory distress; Respiratory rate; Exertion</t>
  </si>
  <si>
    <t xml:space="preserve">RESPIRATORY-TRACT INFECTIONS; SYNCYTIAL VIRUS-INFECTIONS; DOUBLE-BLIND; HUMAN METAPNEUMOVIRUS; PULMONARY-FUNCTION; ANTIBIOTIC USE; PERTUSSIS; ADULTS; INFLUENZA; COMMUNITY</t>
  </si>
  <si>
    <t xml:space="preserve">Virginia Commonwealth Univ, Dept Internal Med, Richmond, VA 23298 USA</t>
  </si>
  <si>
    <t xml:space="preserve">Virginia Commonwealth University</t>
  </si>
  <si>
    <t xml:space="preserve">Wenzel, RP (corresponding author), Virginia Commonwealth Univ, Dept Internal Med, 1101 E Broad St,POB 980663, Richmond, VA 23298 USA.</t>
  </si>
  <si>
    <t xml:space="preserve">rwenzel@mcvh-vcu.edu</t>
  </si>
  <si>
    <t xml:space="preserve">10.1056/NEJMcp061493</t>
  </si>
  <si>
    <t xml:space="preserve">104YU</t>
  </si>
  <si>
    <t xml:space="preserve">WOS:000241997300008</t>
  </si>
  <si>
    <t xml:space="preserve">Willis, KC</t>
  </si>
  <si>
    <t xml:space="preserve">Willis, Kerry C.</t>
  </si>
  <si>
    <t xml:space="preserve">Bronchiolitis: Advanced practice focus in the emergency department</t>
  </si>
  <si>
    <t xml:space="preserve">JOURNAL OF EMERGENCY NURSING</t>
  </si>
  <si>
    <t xml:space="preserve">Bronchiolitis; Medicine</t>
  </si>
  <si>
    <t xml:space="preserve">RESPIRATORY-SYNCYTIAL-VIRUS; HUMAN METAPNEUMOVIRUS INFECTION; CHILDREN; ASTHMA; COMPLICATIONS; EPINEPHRINE; INFANTS</t>
  </si>
  <si>
    <t xml:space="preserve">Lehigh Valley Hosp Ctr, Emergency Dept, Allentown, PA USA; Lehigh Valley Hosp Univ, Allentown, PA USA</t>
  </si>
  <si>
    <t xml:space="preserve">Lehigh Valley Hospital; Lehigh Valley Hospital</t>
  </si>
  <si>
    <t xml:space="preserve">Willis, KC (corresponding author), Lehigh Valley Hosp Ctr, Dept Emergency Med, CC &amp; I-78, Allentown, PA USA.</t>
  </si>
  <si>
    <t xml:space="preserve">kcw0143@yahoo.com</t>
  </si>
  <si>
    <t xml:space="preserve">0099-1767</t>
  </si>
  <si>
    <t xml:space="preserve">1527-2966</t>
  </si>
  <si>
    <t xml:space="preserve">J EMERG NURS</t>
  </si>
  <si>
    <t xml:space="preserve">J. Emerg. Nurs.</t>
  </si>
  <si>
    <t xml:space="preserve">10.1016/j.jen.2007.03.004</t>
  </si>
  <si>
    <t xml:space="preserve">Emergency Medicine; Nursing</t>
  </si>
  <si>
    <t xml:space="preserve">197JI</t>
  </si>
  <si>
    <t xml:space="preserve">WOS:000248550500012</t>
  </si>
  <si>
    <t xml:space="preserve">Toda, S; Kimura, H; Noda, M; Mizuta, K; Matsumoto, T; Suzuki, E; Shirabe, K</t>
  </si>
  <si>
    <t xml:space="preserve">Toda, Shoichi; Kimura, Hirokazu; Noda, Masahiro; Mizuta, Katsumi; Matsumoto, Tomomi; Suzuki, Eitaro; Shirabe, Komei</t>
  </si>
  <si>
    <t xml:space="preserve">Phylogenetic Analysis of Human Metapneumovirus from Children with Acute Respiratory Infection in Yamaguchi, Japan, during Summer 2009</t>
  </si>
  <si>
    <t xml:space="preserve">[Toda, Shoichi; Matsumoto, Tomomi; Shirabe, Komei] Yamaguchi Prefectural Inst Publ Hlth &amp; Environm, Div Virol, Yamaguchi 7530821, Japan; [Kimura, Hirokazu] Natl Inst Infect Dis, Infect Dis Surveillance Ctr, Tokyo 2080011, Japan; [Noda, Masahiro] Natl Inst Infect Dis, Dept Virol 3, Tokyo 2080011, Japan; [Mizuta, Katsumi] Yamagata Prefectural Inst Publ Hlth, Yamaguchi 9900031, Japan; [Suzuki, Eitaro] Suzuki Pediat Clin, Yamaguchi 7550151, Japan</t>
  </si>
  <si>
    <t xml:space="preserve">Shirabe, K (corresponding author), Yamaguchi Prefectural Inst Publ Hlth &amp; Environm, Div Virol, 2-5-67 Aoi, Yamaguchi 7530821, Japan.</t>
  </si>
  <si>
    <t xml:space="preserve">Ministry of Health, Labour and Welfare of Japan [24-19211301]</t>
  </si>
  <si>
    <t xml:space="preserve">This work was supported in part by a Grant-in-Aid for Research on Emerging and Re-emerging Infectious Diseases, Labour and Welfare Programs from the Ministry of Health, Labour and Welfare of Japan (24-19211301)</t>
  </si>
  <si>
    <t xml:space="preserve">578XY</t>
  </si>
  <si>
    <t xml:space="preserve">WOS:000276331700014</t>
  </si>
  <si>
    <t xml:space="preserve">Raymond, F; Carbonneau, J; Boucher, N; Robitaille, L; Boisvert, S; Wu, WK; De Serres, G; Boivin, G; Corbeil, J</t>
  </si>
  <si>
    <t xml:space="preserve">Raymond, Frederic; Carbonneau, Julie; Boucher, Nancy; Robitaille, Lynda; Boisvert, Sebastien; Wu, Whei-Kuo; De Serres, Gaston; Boivin, Guy; Corbeil, Jacques</t>
  </si>
  <si>
    <t xml:space="preserve">Comparison of Automated Microarray Detection with Real-Time PCR Assays for Detection of Respiratory Viruses in Specimens Obtained from Children</t>
  </si>
  <si>
    <t xml:space="preserve">Virology; Multiplex; Biology; Respiratory tract infections; TaqMan; Human metapneumovirus; Human bocavirus</t>
  </si>
  <si>
    <t xml:space="preserve">REVERSE TRANSCRIPTION-PCR; TRACT INFECTIONS; SYNCYTIAL VIRUS; HUMAN METAPNEUMOVIRUS; HOSPITALIZED CHILDREN; INFLUENZA-VIRUSES; RAPID DIAGNOSIS; MULTIPLEX PCR; RNA VIRUSES; RVP ASSAY</t>
  </si>
  <si>
    <t xml:space="preserve">Respiratory virus infections are a major health concern and represent the primary cause of testing consultation and hospitalization for young children. We developed and compared two assays that allow the detection of up to 23 different respiratory viruses that frequently infect children. The first method consisted of single TaqMan quantitative real-time PCR assays in a 96-well-plate format. The second consisted of a multiplex PCR followed by primer extension and microarray hybridization in an integrated molecular diagnostic device, the Infiniti analyzer. Both of our assays can detect adenoviruses of groups A, B, C, and E; coronaviruses HKU1, 229E, NL63, and OC43; enteroviruses A, B, C, and D; rhinoviruses of genotypes A and B; influenza viruses A and B; human metapneumoviruses (HMPV) A and B, human respiratory syncytial viruses (HRSV) A and B; and parainfluenza viruses of types 1, 2, and 3. These tests were used to identify viruses in 221 nasopharyngeal aspirates obtained from children hospitalized for respiratory tract infections. Respiratory viruses were detected with at least one of the two methods in 81.4% of the 221 specimens: 10.0% were positive for HRSV A, 38.0% for HRSV B, 13.1% for influenzavirus A, 8.6% for any coronaviruses, 13.1% for rhinoviruses or enteroviruses, 7.2% for adenoviruses, 4.1% for HMPV, and 1.5% for parainfluenzaviruses. Multiple viral infections were found in 13.1% of the specimens. The two methods yielded concordant results for 94.1% of specimens. These tests allowed a thorough etiological assessment of respiratory viruses infecting children in hospital settings and would assist public health interventions.</t>
  </si>
  <si>
    <t xml:space="preserve">[Raymond, Frederic; Carbonneau, Julie; Boucher, Nancy; Robitaille, Lynda; Boisvert, Sebastien; Boivin, Guy; Corbeil, Jacques] CHUO CHUL, Infect Dis Res Ctr, Ste Foy, PQ G1V 4G2, Canada; [Raymond, Frederic; Carbonneau, Julie; Boucher, Nancy; Robitaille, Lynda; Boisvert, Sebastien; Boivin, Guy; Corbeil, Jacques] Univ Laval, Ste Foy, PQ G1V 4G2, Canada; [Wu, Whei-Kuo] AutoGenomics Inc, Carlsbad, CA USA; [De Serres, Gaston] Inst Natl Sante Publ Quebec, Quebec City, PQ, Canada</t>
  </si>
  <si>
    <t xml:space="preserve">Boivin, G (corresponding author), CHUO CHUL, Infect Dis Res Ctr, 2705 Blvd Laurier, Ste Foy, PQ G1V 4G2, Canada.</t>
  </si>
  <si>
    <t xml:space="preserve">guy.boivin@crchul.ulaval.ca; jacques.corbeil@crchul.ulaval.ca</t>
  </si>
  <si>
    <t xml:space="preserve">Corbeil, Jacques/AAW-9739-2020; Raymond, Frederic/I-4135-2019</t>
  </si>
  <si>
    <t xml:space="preserve">Raymond, Frederic/0000-0002-3606-4060; Boivin, Guy/0000-0003-3027-4662; Corbeil, Jacques/0000-0002-9973-2740</t>
  </si>
  <si>
    <t xml:space="preserve">Canadian Institutes of Health Research; Canadian Foundation for Innovation</t>
  </si>
  <si>
    <t xml:space="preserve">Canadian Institutes of Health Research(Canadian Institutes of Health Research (CIHR)); Canadian Foundation for Innovation(Canada Foundation for Innovation)</t>
  </si>
  <si>
    <t xml:space="preserve">F. R. holds a Ph. D. scholarship from the Canadian Institutes of Health Research. G. B. is the holder of the Canada Research Chair in Emerging Viruses and Antiviral Resistance. J. C. is the holder of the Canada Research Chair in Medical Genomics and is supported by the Canadian Institute of Health Research and the Canadian Foundation for Innovation. G. D. S. holds a clinical researcher scholarship from the Fond de la Recherche en Sante du Quebec.We thank AutoGenomics, Inc., for providing reagents necessary to conduct this study.</t>
  </si>
  <si>
    <t xml:space="preserve">10.1128/JCM.01297-08</t>
  </si>
  <si>
    <t xml:space="preserve">413UU</t>
  </si>
  <si>
    <t xml:space="preserve">WOS:000263818800034</t>
  </si>
  <si>
    <t xml:space="preserve">Goutagny, N; Jiang, ZZ; Tian, J; Parroche, P; Schickli, J; Monks, BG; Ulbrandt, N; Ji, H; Kiener, PA; Coyle, AJ; Fitzgerald, KA</t>
  </si>
  <si>
    <t xml:space="preserve">Goutagny, Nadege; Jiang, Zhaozhao; Tian, Jane; Parroche, Peggy; Schickli, Jeanne; Monks, Brian G.; Ulbrandt, Nancy; Ji, Hong; Kiener, Peter A.; Coyle, Anthony J.; Fitzgerald, Katherine A.</t>
  </si>
  <si>
    <t xml:space="preserve">Cell Type-Specific Recognition of Human Metapneumoviruses (HMPVs) by Retinoic Acid-Inducible Gene I (RIG-I) and TLR7 and Viral Interference of RIG-I Ligand Recognition by HMPV-B1 Phosphoprotein</t>
  </si>
  <si>
    <t xml:space="preserve">RIG-I; Biology; Virology; Phosphoprotein</t>
  </si>
  <si>
    <t xml:space="preserve">PLASMACYTOID DENDRITIC CELLS; TOLL-LIKE RECEPTORS; HEPATITIS-C VIRUS; NF-KAPPA-B; ANTIVIRAL RESPONSES; ADAPTER PROTEIN; FUSION PROTEIN; RNA VIRUSES; LOW-PH; ACTIVATION</t>
  </si>
  <si>
    <t xml:space="preserve">Human metapneumoviruses (HMPVs) are recently identified Paramyxoviridae that contribute to respiratory tract infections in children. No effective treatments or vaccines are available. Successful defense against virus infection relies on early detection by germ line-encoded pattern recognition receptors and activation of cytokine and type I IFN genes. Recently, the RNA helicase retinoic acid-inducible gene I (RIG-I) has been shown to sense HMPV. In this study, we investigated the abilities of two prototype strains of HMPV (A1 [NL\1\00] and 131 [NL\1\99]) to activate RIG-I and induce type I IFNs. Despite the abilities of both HMPV-A1 and HMPV-B1 to infect and replicate in cell lines and primary cells, only the HMPV-A1 strain triggered RIG-I to induce IFNA/B gene transcription. The failure of the HMPV-B1 strain to elicit type I IFN production was dependent on the B1 phosphoprotein, which specifically prevented RIG-I-mediated sensing of HMPV viral 5' triphosphate RNA. In contrast to most cell types, plasmacytoid, dendritic cells displayed a unique ability to sense both HMPV-A1 and HMPV-B1 and in this case sensing was via TLR7 rather than RIG-I. Collectively, these data reveal differential mechanisms of sensing for two closely related viruses, which operate in cell type-specific manners. The Journal of Immunology, 2010, 184: 1168-1179.</t>
  </si>
  <si>
    <t xml:space="preserve">[Goutagny, Nadege; Jiang, Zhaozhao; Parroche, Peggy; Monks, Brian G.; Fitzgerald, Katherine A.] Univ Massachusetts, Sch Med, Dept Med, Div Infect Dis &amp; Immunol, Worcester, MA 01605 USA; [Tian, Jane; Schickli, Jeanne; Ulbrandt, Nancy; Ji, Hong; Coyle, Anthony J.] Medimmune Inc, Gaithersburg, MD 20878 USA; [Kiener, Peter A.] Zyngenia, Rockville, MD 20850 USA</t>
  </si>
  <si>
    <t xml:space="preserve">University of Massachusetts System; University of Massachusetts Worcester; AstraZeneca; Medimmune</t>
  </si>
  <si>
    <t xml:space="preserve">Fitzgerald, KA (corresponding author), Univ Massachusetts, Sch Med, Dept Med, Div Infect Dis &amp; Immunol, Worcester, MA 01605 USA.</t>
  </si>
  <si>
    <t xml:space="preserve">kate.fitzgerald@umassmed.edu</t>
  </si>
  <si>
    <t xml:space="preserve">Monks, Brian/B-8362-2015; Fitzgerald, Katherine/ABE-6317-2020</t>
  </si>
  <si>
    <t xml:space="preserve">Fitzgerald, Kate/0000-0003-3175-609X</t>
  </si>
  <si>
    <t xml:space="preserve">National Institutes of Health [AI-067497]; MedImmune Research Award</t>
  </si>
  <si>
    <t xml:space="preserve">National Institutes of Health(United States Department of Health &amp; Human ServicesNational Institutes of Health (NIH) - USA); MedImmune Research Award(AstraZenecaMedimmune)</t>
  </si>
  <si>
    <t xml:space="preserve">This work was supported by National Institutes of Health Grant AI-067497 and by a MedImmune Research Award (both to K.A.F).</t>
  </si>
  <si>
    <t xml:space="preserve">10.4049/jimmunol.0902750</t>
  </si>
  <si>
    <t xml:space="preserve">548JA</t>
  </si>
  <si>
    <t xml:space="preserve">Green Submitted, Green Accepted, Bronze</t>
  </si>
  <si>
    <t xml:space="preserve">WOS:000273956400008</t>
  </si>
  <si>
    <t xml:space="preserve">Noor, A; Fiorito, T; Krilov, LR</t>
  </si>
  <si>
    <t xml:space="preserve">Noor, Asif; Fiorito, Theresa; Krilov, Leonard R.</t>
  </si>
  <si>
    <t xml:space="preserve">Cold Weather Viruses</t>
  </si>
  <si>
    <t xml:space="preserve">Cold weather</t>
  </si>
  <si>
    <t xml:space="preserve">RESPIRATORY SYNCYTIAL VIRUS; HUMAN METAPNEUMOVIRUS INFECTION; REAL-TIME PCR; RHINOVIRUS INFECTIONS; SEASONAL INFLUENZA; UNITED-STATES; EFFICACY; PNEUMONIA; INFANTS; ADULTS</t>
  </si>
  <si>
    <t xml:space="preserve">[Noor, Asif; Fiorito, Theresa; Krilov, Leonard R.] NYU, Winthrop Hosp, Childrens Med Ctr, Dept Pediat, Mineola, NY 11501 USA; [Krilov, Leonard R.] SUNY Stony Brook, Dept Pediat, Sch Med, Stony Brook, NY 11794 USA</t>
  </si>
  <si>
    <t xml:space="preserve">Northwell Health; North Shore University Hospital; Steven &amp; Alexandra Cohen Children's Medical Center of New York; New York University; State University of New York (SUNY) System; Stony Brook University</t>
  </si>
  <si>
    <t xml:space="preserve">Noor, A (corresponding author), NYU, Winthrop Hosp, Childrens Med Ctr, Dept Pediat, Mineola, NY 11501 USA.</t>
  </si>
  <si>
    <t xml:space="preserve">Fiorito, Theresa/0000-0003-2751-6819; Noor, Asif/0000-0002-1593-0943</t>
  </si>
  <si>
    <t xml:space="preserve">10.1542/pir.2018-0237</t>
  </si>
  <si>
    <t xml:space="preserve">IZ9KA</t>
  </si>
  <si>
    <t xml:space="preserve">WOS:000487424200002</t>
  </si>
  <si>
    <t xml:space="preserve">Marinari, LA; Danny, MA; Simpson, SA; Schmitt, JE; Miller, WT</t>
  </si>
  <si>
    <t xml:space="preserve">Marinari, Lawrence A.; Danny, Madeline A.; Simpson, Scott A.; Schmitt, James E.; Miller, Wallace T., Jr.</t>
  </si>
  <si>
    <t xml:space="preserve">Lower Respiratory Tract Infection with Human Metapneumovirus: Chest CT Imaging Features and Comparison with Other Viruses</t>
  </si>
  <si>
    <t xml:space="preserve">Human metapneumovirus; Medicine; Metapneumovirus; Bronchiolitis; Paramyxoviridae; Respiratory tract infections; Human bocavirus</t>
  </si>
  <si>
    <t xml:space="preserve">COMMUNITY-ACQUIRED PNEUMONIA; ADULTS; CHILDREN; RSV</t>
  </si>
  <si>
    <t xml:space="preserve">[Marinari, Lawrence A.] Bryn Mawr Hosp, Dept Med, Bryn Mawr, PA 19010 USA; [Danny, Madeline A.] Bryn Mawr Coll, Dept Hlth Serv, Bryn Mawr, PA 19010 USA; [Simpson, Scott A.; Schmitt, James E.; Miller, Wallace T., Jr.] Univ Penn, Perlelman Sch Med, Dept Radiol, Silverstein 1,3400 Spruce St, Philadelphia, PA 19104 USA</t>
  </si>
  <si>
    <t xml:space="preserve">Bryn Mawr College; University of Pennsylvania</t>
  </si>
  <si>
    <t xml:space="preserve">Miller, WT (corresponding author), Univ Penn, Perlelman Sch Med, Dept Radiol, Silverstein 1,3400 Spruce St, Philadelphia, PA 19104 USA.</t>
  </si>
  <si>
    <t xml:space="preserve">marinaril@mlhs.org; dannym@mlhs.org; scott.simpson@pennmedicine.upenn.edu; james.schmitt@pennmedicine.upenn.edu; millerw@uphs.upenn.edu</t>
  </si>
  <si>
    <t xml:space="preserve">Miller, Wallace/AAT-4915-2021</t>
  </si>
  <si>
    <t xml:space="preserve">Miller, Wallace/0000-0001-7403-9969; Schmitt, James/0000-0002-7487-227X</t>
  </si>
  <si>
    <t xml:space="preserve">Sharpe-Strumia Research Foundation of The Bryn Mawr Hospital</t>
  </si>
  <si>
    <t xml:space="preserve">This study was supported by a grant from the Sharpe-Strumia Research Foundation of The Bryn Mawr Hospital.</t>
  </si>
  <si>
    <t xml:space="preserve">1872-7727</t>
  </si>
  <si>
    <t xml:space="preserve">10.1016/j.ejrad.2020.108988</t>
  </si>
  <si>
    <t xml:space="preserve">LY3UQ</t>
  </si>
  <si>
    <t xml:space="preserve">WOS:000540454100017</t>
  </si>
  <si>
    <t xml:space="preserve">Schildgen, O; Geikowski, T; Glatzel, T; Schuster, J; Simon, A</t>
  </si>
  <si>
    <t xml:space="preserve">Frequency of human metapneumovirus in the upper respiratory tract of children with symptoms of an acute otitis media</t>
  </si>
  <si>
    <t xml:space="preserve">Medicine; Otitis; Acute otitis media; Respiratory tract infections; Respiratory tract; Human metapneumovirus</t>
  </si>
  <si>
    <t xml:space="preserve">MIDDLE-EAR; VIRUSES</t>
  </si>
  <si>
    <t xml:space="preserve">Univ Bonn, Inst Med Mikrobiol &amp; Immunol, D-53105 Bonn, Germany; Praxis Dr Nick Dr Schuster Dr Ahl, Darmstadt, Germany; Univ Bonn, Univ Kinderklin, D-5300 Bonn, Germany</t>
  </si>
  <si>
    <t xml:space="preserve">Univ Bonn, Inst Med Mikrobiol &amp; Immunol, Sigmund Freud Str 25, D-53105 Bonn, Germany.</t>
  </si>
  <si>
    <t xml:space="preserve">10.1007/s00431-005-1655-6</t>
  </si>
  <si>
    <t xml:space="preserve">935RT</t>
  </si>
  <si>
    <t xml:space="preserve">WOS:000229801800014</t>
  </si>
  <si>
    <t xml:space="preserve">Fernandes-Matano, L; Monroy-Muñoz, IE; Angeles-Martínez, J; Sarquiz-Martinez, B; Palomec-Nava, ID; Pardavé-Alejandre, HD; Coy-Arechavaleta, AS; Santacruz-Tinoco, CE; González-Ibarra, J; Gonzalez-Bonilla, CR; Muñoz-Medina, JE</t>
  </si>
  <si>
    <t xml:space="preserve">Fernandes-Matano, Larissa; Eloisa Monroy-Munoz, Irma; Angeles-Martinez, Javier; Sarquiz-Martinez, Brenda; Donaji Palomec-Nava, Iliana; Daniel Pardave-Alejandre, Hector; Santos Coy-Arechavaleta, Andrea; Esperanza Santacruz-Tinoco, Clara; Gonzalez-Ibarra, Joaquin; Raul Gonzalez-Bonilla, Cesar; Esteban Munoz-Medina, Jose</t>
  </si>
  <si>
    <t xml:space="preserve">Prevalence of non-influenza respiratory viruses in acute respiratory infection cases in Mexico</t>
  </si>
  <si>
    <t xml:space="preserve">Rhinovirus; Human metapneumovirus; Respiratory system; Virus; Virology; Medicine</t>
  </si>
  <si>
    <t xml:space="preserve">HUMAN METAPNEUMOVIRUS; HUMAN BOCAVIRUS; VIRAL ETIOLOGY; TRACT INFECTIONS; SYNCYTIAL VIRUS; HOSPITALIZED CHILDREN; SYMPTOMATIC CHILDREN; DISEASE SEVERITY; RHINOVIRUS; SEASONALITY</t>
  </si>
  <si>
    <t xml:space="preserve">Background Acute respiratory infections are the leading cause of morbidity and mortality worldwide. Although a viral aetiological agent is estimated to be involved in up to 80% of cases, the majority of these agents have never been specifically identified. Since 2009, diagnostic and surveillance efforts for influenza virus have been applied worldwide. However, insufficient epidemiological information is available for the many other respiratory viruses that can cause Acute respiratory infections. Methods This study evaluated the presence of 14 non-influenza respiratory viruses in 872 pharyngeal exudate samples using RT-qPCR. All samples met the operational definition of a probable case of an influenza-like illness or severe acute respiratory infection and had a previous negative result for influenza by RT-qPCR. Results The presence of at least one non-influenza virus was observed in 312 samples (35.8%). The most frequent viruses were rhinovirus (RV; 33.0%), human respiratory syncytial virus (HRSV; 30.8%) and human metapneumovirus (HMPV; 10.6%). A total of 56 cases of coinfection (17.9%) caused by 2, 3, or 4 viruses were identified. Approximately 62.5% of all positive cases were in children under 9 years of age. Conclusion In this study, we identified 13 non-influenza respiratory viruses that could occur in any season of the year. This study provides evidence for the prevalence and seasonality of a wide range of respiratory viruses that circulate in Mexico and constitute a risk for the population. Additionally, our data suggest that including these tests more widely in the diagnostic algorithm for influenza may reduce the use of unnecessary antibiotics, reduce the hospitalisation time, and enrich national epidemiological data with respect to the infections caused by these viruses.</t>
  </si>
  <si>
    <t xml:space="preserve">[Fernandes-Matano, Larissa] Univ Valle Mexico, Campus Chapultepec, Mexico City, DF, Mexico; [Eloisa Monroy-Munoz, Irma] Inst Nacl Perinatol Isidro Espinosa de los Reyes, Lab Genom, Dept Genet &amp; Genom Humana, Mexico City, DF, Mexico; [Angeles-Martinez, Javier] Inst Nacl Cardiol Ignacio Chavez, Lab Genom, Dept Biol Mol, Mexico City, DF, Mexico; [Sarquiz-Martinez, Brenda; Donaji Palomec-Nava, Iliana; Daniel Pardave-Alejandre, Hector; Santos Coy-Arechavaleta, Andrea; Esperanza Santacruz-Tinoco, Clara; Esteban Munoz-Medina, Jose] Inst Mexicano Seguro Social, Ctr Med Nacl La Raza, Lab Cent Epidemiol, Mexico City, DF, Mexico; [Gonzalez-Ibarra, Joaquin; Raul Gonzalez-Bonilla, Cesar] Inst Mexicano Seguro Social, Div Labs Vigilancia &amp; Invest Epidemiol, Mexico City, DF, Mexico</t>
  </si>
  <si>
    <t xml:space="preserve">Universidade del Valle de Mexico; National Institute of Cardiology - Mexico; Instituto Mexicano del Seguro Social; Instituto Mexicano del Seguro Social</t>
  </si>
  <si>
    <t xml:space="preserve">Muñoz-Medina, JE (corresponding author), Inst Mexicano Seguro Social, Ctr Med Nacl La Raza, Lab Cent Epidemiol, Mexico City, DF, Mexico.</t>
  </si>
  <si>
    <t xml:space="preserve">eban10@hotmail.com</t>
  </si>
  <si>
    <t xml:space="preserve">Bonilla, Cesar/B-4972-2015; Munoz Medina, Jose Esteban/B-6186-2015</t>
  </si>
  <si>
    <t xml:space="preserve">Gonzalez Bonilla, Cesar/0000-0002-2225-5069; Angeles Martinez, Javier/0000-0001-5405-0482; Sarquiz, Brenda/0000-0003-1931-0781; Santos Coy-Arechavaleta, Andrea/0000-0001-7096-2545; Munoz Medina, Jose Esteban/0000-0002-1289-4457</t>
  </si>
  <si>
    <t xml:space="preserve">MAY 3</t>
  </si>
  <si>
    <t xml:space="preserve">e0176298</t>
  </si>
  <si>
    <t xml:space="preserve">10.1371/journal.pone.0176298</t>
  </si>
  <si>
    <t xml:space="preserve">ET9SB</t>
  </si>
  <si>
    <t xml:space="preserve">WOS:000400647000047</t>
  </si>
  <si>
    <t xml:space="preserve">Yang, ZF; Suzuki, A; Watanabe, O; Okamoto, M; Ohmi, A; Huang, WB; Nishimura, H</t>
  </si>
  <si>
    <t xml:space="preserve">Yang, Zifeng; Suzuki, Akira; Watanabe, Oshi; Okamoto, Michiko; Ohmi, Akira; Huang, Wenbo; Nishimura, Hidekazu</t>
  </si>
  <si>
    <t xml:space="preserve">Outbreak of Human Metapneumovirus Infection in a Severe Motor-and-Intellectual Disabilities Ward in Japan</t>
  </si>
  <si>
    <t xml:space="preserve">Human metapneumovirus; Outbreak; Metapneumovirus; Virology; Medicine</t>
  </si>
  <si>
    <t xml:space="preserve">TERM-CARE FACILITY; RESPIRATORY-TRACT INFECTION; CHILDREN; ADULTS; YOUNG</t>
  </si>
  <si>
    <t xml:space="preserve">[Yang, Zifeng; Huang, Wenbo] Guangzhou Med Univ, Affiliated Hosp 1, Div Clin Virol, State Key Lab Resp Dis, Guangzhou, Guangdong, Peoples R China; [Suzuki, Akira; Watanabe, Oshi; Okamoto, Michiko; Ohmi, Akira; Nishimura, Hidekazu] Sendai Med Ctr, Virus Res Ctr, Div Clin Res, Sendai, Miyagi 9838520, Japan</t>
  </si>
  <si>
    <t xml:space="preserve">State Key Laboratory of Respiratory Disease; Guangzhou Medical University</t>
  </si>
  <si>
    <t xml:space="preserve">Suzuki, A (corresponding author), Sendai Med Ctr, Virus Res Ctr, Div Clin Res, Miyagino Ku, 2-8-8 Miyagino, Sendai, Miyagi 9838520, Japan.</t>
  </si>
  <si>
    <t xml:space="preserve">akiras@snh.go.jp</t>
  </si>
  <si>
    <t xml:space="preserve">10.7883/yoken.67.318</t>
  </si>
  <si>
    <t xml:space="preserve">AM5WD</t>
  </si>
  <si>
    <t xml:space="preserve">WOS:000339930800016</t>
  </si>
  <si>
    <t xml:space="preserve">Pritt, BS; Aubry, MC</t>
  </si>
  <si>
    <t xml:space="preserve">Pritt, Bobbi S.; Aubry, Marie Christine</t>
  </si>
  <si>
    <t xml:space="preserve">Histopathology of viral infections of the lung</t>
  </si>
  <si>
    <t xml:space="preserve">SEMINARS IN DIAGNOSTIC PATHOLOGY</t>
  </si>
  <si>
    <t xml:space="preserve">Viral pneumonia; Medicine; Pneumonia; Rhinovirus; Virus</t>
  </si>
  <si>
    <t xml:space="preserve">COMMUNITY-ACQUIRED PNEUMONIA; HERPES-SIMPLEX-VIRUS; HUMAN METAPNEUMOVIRUS; TRANSPLANT RECIPIENTS; RESPIRATORY VIRUSES; ADULTS; PATHOLOGY; CYTOMEGALOVIRUS; METAANALYSIS; PREVALENCE</t>
  </si>
  <si>
    <t xml:space="preserve">[Pritt, Bobbi S.] Mayo Clin, Div Clin Microbiol, Dept Lab Med &amp; Pathol, 200 First St SW, Rochester, MN 55905 USA; [Aubry, Marie Christine] Mayo Clin, Div Anat Pathol, Dept Lab Med &amp; Pathol, Rochester, MN USA</t>
  </si>
  <si>
    <t xml:space="preserve">Mayo Clinic; Mayo Clinic</t>
  </si>
  <si>
    <t xml:space="preserve">Pritt, BS (corresponding author), Mayo Clin, Div Clin Microbiol, Dept Lab Med &amp; Pathol, 200 First St SW, Rochester, MN 55905 USA.</t>
  </si>
  <si>
    <t xml:space="preserve">Pritt.bobbi@mayo.edu</t>
  </si>
  <si>
    <t xml:space="preserve">Pritt, Bobbi/0000-0003-0261-1326</t>
  </si>
  <si>
    <t xml:space="preserve">0740-2570</t>
  </si>
  <si>
    <t xml:space="preserve">1930-1111</t>
  </si>
  <si>
    <t xml:space="preserve">SEMIN DIAGN PATHOL</t>
  </si>
  <si>
    <t xml:space="preserve">Semin. Diagn. Pathol.</t>
  </si>
  <si>
    <t xml:space="preserve">10.1053/j.semdp.2017.06.005</t>
  </si>
  <si>
    <t xml:space="preserve">Medical Laboratory Technology; Pathology</t>
  </si>
  <si>
    <t xml:space="preserve">FP3WN</t>
  </si>
  <si>
    <t xml:space="preserve">WOS:000417548800003</t>
  </si>
  <si>
    <t xml:space="preserve">Omura, T; Iizuka, S; Tabara, K; Tsukagoshi, H; Mizuta, K; Matsuda, S; Noda, M; Kimura, H</t>
  </si>
  <si>
    <t xml:space="preserve">Omura, Tamaki; Iizuka, Setsuko; Tabara, Kenji; Tsukagoshi, Hiroyuki; Mizuta, Katsumi; Matsuda, Shunji; Noda, Masahiro; Kimura, Hirokazu</t>
  </si>
  <si>
    <t xml:space="preserve">Detection of Human Metapneumovirus Genomes during an Outbreak of Bronchitis and Pneumonia in a Geriatric Care Home in Shimane, Japan, in Autumn 2009</t>
  </si>
  <si>
    <t xml:space="preserve">[Kimura, Hirokazu] Natl Inst Infect Dis, Infect Dis Surveillance Ctr, Musashimurayama, Tokyo 2080011, Japan; [Omura, Tamaki; Iizuka, Setsuko; Tabara, Kenji] Shimane Prefectural Inst Publ Hlth &amp; Environm Sci, Matsue, Shimane 6900122, Japan; [Tsukagoshi, Hiroyuki; Kimura, Hirokazu] Gunma Prefectural Inst Publ Hlth &amp; Environm Sci, Maebashi, Gunma 3710052, Japan; [Mizuta, Katsumi] Yamagata Prefectural Inst Publ Hlth, Yamagata 9900031, Japan; [Matsuda, Shunji] Ehime Natl Hosp, Natl Hosp Org, Toon City, Ehime 7910281, Japan; [Noda, Masahiro] Natl Inst Infect Dis, Dept Virol 3, Musashimurayama, Tokyo 2080011, Japan</t>
  </si>
  <si>
    <t xml:space="preserve">Kimura, H (corresponding author), Natl Inst Infect Dis, Infect Dis Surveillance Ctr, 4-7-1 Gakuen, Musashimurayama, Tokyo 2080011, Japan.</t>
  </si>
  <si>
    <t xml:space="preserve">WOS:000287058400018</t>
  </si>
  <si>
    <t xml:space="preserve">Bhuiyan, MU; Snelling, TL; West, R; Lang, J; Rahman, T; Granland, C; de Gier, C; Borland, ML; Thornton, RB; Kirkham, LAS; Sikazwe, C; Martin, AC; Richmond, PC; Smith, DW; Jaffe, A; Blyth, CC</t>
  </si>
  <si>
    <t xml:space="preserve">Bhuiyan, Mejbah Uddin; Snelling, Thomas L.; West, Rachel; Lang, Jurissa; Rahman, Tasmina; Granland, Caitlyn; de Gier, Camilla; Borland, Meredith L.; Thornton, Ruth B.; Kirkham, Lea-Ann S.; Sikazwe, Chisha; Martin, Andrew C.; Richmond, Peter C.; Smith, David W.; Jaffe, Adam; Blyth, Christopher C.</t>
  </si>
  <si>
    <t xml:space="preserve">The contribution of viruses and bacteria to community-acquired pneumonia in vaccinated children: a case-control study</t>
  </si>
  <si>
    <t xml:space="preserve">Mycoplasma pneumoniae; Medicine; Human metapneumovirus; Pneumonia; Odds ratio; Mycoplasma; Community-acquired pneumonia</t>
  </si>
  <si>
    <t xml:space="preserve">LOWER RESPIRATORY-INFECTIONS; ETIOLOGY; HOSPITALIZATION; ASSOCIATION; BURDEN; TRACT</t>
  </si>
  <si>
    <t xml:space="preserve">Introduction Respiratory pathogens associated with childhood pneumonia are often detected in the upper respiratory tract of healthy children, making their contribution to pneumonia difficult to determine. We aimed to determine the contribution of common pathogens to pneumonia adjusting for rates of asymptomatic detection to inform future diagnosis, treatment and preventive strategies. Methods A case-control study was conducted among children &lt;18 years in Perth, Western Australia. Cases were children hospitalised with radiologically confirmed pneumonia; controls were healthy children identified from outpatient and local immunisation clinics. Nasopharyngeal swabs were collected and tested for 14 respiratory viruses and 6 bacterial species by Polymerase chain reaction (PCR). For each pathogen, adjusted odds ratio (aOR; 95% CI) was calculated using multivariate logistic regression and population-attributable fraction (95% CI) for pneumonia was estimated. Results From May 2015 to October 2017, 230 cases and 230 controls were enrolled. At least one respiratory virus was identified in 57% of cases and 29% of controls (aOR: 4.7; 95% CI: 2.8 to 7.8). At least one bacterial species was detected in 72% of cases and 80% of controls (aOR: 0.7; 95% CI: 0.4 to 1.2). Respiratory syncytial virus (RSV) detection was most strongly associated with pneumonia (aOR: 58.4; 95% CI: 15.6 to 217.5). Mycoplasma pneumoniae was the only bacteria associated with pneumonia (aOR: 14.5; 95% CI: 2.2 to 94.8). We estimated that RSV, human metapneumovirus (HMPV), influenza, adenovirus and Mycoplasma pneumoniae were responsible for 20.2% (95% CI: 14.6 to 25.5), 9.8% (5.6% to 13.7%), 6.2% (2.5% to 9.7%), 4% (1.1% to 7.1%) and 7.2% (3.5% to 10.8%) of hospitalisations for childhood pneumonia, respectively. Conclusions Respiratory viruses, particularly RSV and HMPV, are major contributors to pneumonia in Australian children.</t>
  </si>
  <si>
    <t xml:space="preserve">[Bhuiyan, Mejbah Uddin; Borland, Meredith L.; Richmond, Peter C.; Blyth, Christopher C.] Univ Western Australia, Fac Hlth &amp; Med Sci, Div Paediat, Sch Med, Perth, WA 6009, Australia; [Bhuiyan, Mejbah Uddin; Snelling, Thomas L.; West, Rachel; Rahman, Tasmina; Granland, Caitlyn; de Gier, Camilla; Thornton, Ruth B.; Kirkham, Lea-Ann S.; Richmond, Peter C.; Blyth, Christopher C.] Telethon Kids Inst, Wesfarmers Ctr Vaccines &amp; Infect Dis, Perth, WA, Australia; [Snelling, Thomas L.; Blyth, Christopher C.] Perth Childrens Hosp, Dept Infect Dis, Perth, WA, Australia; [Lang, Jurissa; Sikazwe, Chisha; Smith, David W.] PathWest Lab Med WA, Dept Microbiol, Perth, WA, Australia; [Rahman, Tasmina; de Gier, Camilla; Thornton, Ruth B.; Kirkham, Lea-Ann S.; Sikazwe, Chisha; Smith, David W.] Univ Western Australia, Fac Hlth &amp; Med Sci, Sch Biomed Sci, Perth, WA, Australia; [Borland, Meredith L.] Perth Childrens Hosp, Emergency Dept, Perth, WA, Australia; [Borland, Meredith L.] Univ Western Australia, Fac Hlth &amp; Med Sci, Div Emergency Med, Sch Med, Perth, WA, Australia; [Martin, Andrew C.; Richmond, Peter C.] Perth Childrens Hosp, Dept Gen Paediat, Perth, WA, Australia; [Jaffe, Adam] Univ New South Wales, Sch Womens &amp; Childrens Hlth, Fac Med, Sydney, NSW, Australia</t>
  </si>
  <si>
    <t xml:space="preserve">University of Western Australia; University of Western Australia; Wesfarmers Limited; The Kids Research Institute Australia; Perth Childrens Hospital; University of Western Australia; Perth Childrens Hospital; University of Western Australia; Perth Childrens Hospital; University of New South Wales Sydney</t>
  </si>
  <si>
    <t xml:space="preserve">Bhuiyan, MU (corresponding author), Univ Western Australia, Fac Hlth &amp; Med Sci, Div Paediat, Sch Med, Perth, WA 6009, Australia.</t>
  </si>
  <si>
    <t xml:space="preserve">mejbah.bhuiyan@uwa.edu.au</t>
  </si>
  <si>
    <t xml:space="preserve">Kirkham, Lea-Ann/A-5847-2013; Blyth, Christopher/ABG-8231-2020; Bhuiyan, Mejbah/AAY-1238-2020; Snelling, Tom/Y-2162-2019; Martin, Andrew/AFW-4966-2022; Thornton, Ruth/GOP-2314-2022; Richmond, Peter/G-3379-2012</t>
  </si>
  <si>
    <t xml:space="preserve">Kirkham, Lea-Ann/0000-0001-5421-8126; Sikazwe, Chisha/0000-0002-1052-9018; Blyth, Christopher Charles/0000-0003-2017-0683; Snelling, Thomas/0000-0003-4670-0638; Smith, David/0000-0002-3107-5182; Jaffe, Adam/0000-0002-1963-5415; Thornton, Ruth/0000-0001-9852-8310; Bhuiyan, Mejbah/0000-0002-8274-6265; Richmond, Peter/0000-0001-7562-7228</t>
  </si>
  <si>
    <t xml:space="preserve">Telethon-Perth Children's Hospital Research Fund, Perth Children's Hospital Foundation; Telethon Kids Institute; NHMRC Career Development Fellowships</t>
  </si>
  <si>
    <t xml:space="preserve">Telethon-Perth Children's Hospital Research Fund, Perth Children's Hospital Foundation; Telethon Kids Institute; NHMRC Career Development Fellowships(National Health &amp; Medical Research Council (NHMRC) of Australia)</t>
  </si>
  <si>
    <t xml:space="preserve">Funding for the study has been provided by the Telethon-Perth Children's Hospital Research Fund, Perth Children's Hospital Foundation and Telethon Kids Institute. TLS and CCB are supported by NHMRC Career Development Fellowships.</t>
  </si>
  <si>
    <t xml:space="preserve">10.1136/thoraxjnl-2018-212096</t>
  </si>
  <si>
    <t xml:space="preserve">HX3XM</t>
  </si>
  <si>
    <t xml:space="preserve">WOS:000467327800010</t>
  </si>
  <si>
    <t xml:space="preserve">Esperante, SA; Alvarez-Paggi, D; Salgueiro, M; Gay, GD</t>
  </si>
  <si>
    <t xml:space="preserve">Esperante, Sebastian A.; Alvarez-Paggi, Damian; Salgueiro, Mariano; de Prat Gay, Gonzalo</t>
  </si>
  <si>
    <t xml:space="preserve">Mechanism of Tetramer Dissociation, Unfolding, and Oligomer Assembly of Pneumovirus M2-1 Transcription Antiterminators</t>
  </si>
  <si>
    <t xml:space="preserve">ACS OMEGA</t>
  </si>
  <si>
    <t xml:space="preserve">Tetramer; Oligomer; Dissociation (chemistry); Transcription (linguistics)</t>
  </si>
  <si>
    <t xml:space="preserve">RESPIRATORY SYNCYTIAL VIRUS; QUATERNARY STRUCTURE; RNA RECOGNITION; YOUNG-CHILDREN; PROTEIN</t>
  </si>
  <si>
    <t xml:space="preserve">Among Mononegavirales, the Pneumovirus family stands out by its RNA polymerase processivity that relies on a transcription antiterminator, the M2-1 protein, which also plays a key role in viral particle assembly. Biophysical and structural evidence shows that this RNAbinding tetramer is strongly modulated by a CCCH Zn-2(+) binding motif. We show that while the global dissociation/unfolding free energy is 10 kcal mol(-1), more stable for the respiratory syncytial virus M2-1, the human metapneumovirus (HMPV) counterpart shows a 7 kcal mol(-1) higher intersubunit affinity. Removal of Zn-2(+) from both homologues leads to an apo-monomer of identical secondary structure that further undergoes a slow irreversible oligomerization. Mutation of the histidine residue of the Zn2+ motif to cysteine or alanine leads directly to large oligomers, strongly suggesting that metal coordination has an exquisite precision for modulating the quaternary arrangement. Zn2+ removal is very slow and requires subdenaturing concentrations of guanidine chloride, suggesting a likely local folding energy barrier. Exploring a broad combination of denaturant and ethylenediaminetetraacetic acid conditions, we showed that the metapneumovirus protein has to overcome a higher energy barrier to trigger Zn2+ removal-driven dissociation, in concordance with a slower dissociation kinetics. In silico modeling of open and close conformations for both M2-1 tetramers together with interaction energy calculations reveals that the gradual opening of protomers decreases the number of intersubunit contacts. Half of the interaction energy holding each protomer in the tetramer comes from the CCCH motif, while HMPV-M2-1 harbors additional contacts between the CCCH motif of one subunit and the core domain of a protomer located in trans, allowing the rationalization of the experimental data obtained. Overall, the evidence points at a key role of the CCCH motif in switching between structural and consequently functional alternatives of the M2-1 protein.</t>
  </si>
  <si>
    <t xml:space="preserve">[Esperante, Sebastian A.; Alvarez-Paggi, Damian; Salgueiro, Mariano; de Prat Gay, Gonzalo] Fdn Inst Leloir, IIBBA, Funct &amp; Engn Lab, Prot Struct, Ave Patricias Argentinas 435, RA-1405 Caba, Argentina</t>
  </si>
  <si>
    <t xml:space="preserve">Leloir Institute</t>
  </si>
  <si>
    <t xml:space="preserve">Esperante, SA; Gay, GD (corresponding author), Fdn Inst Leloir, IIBBA, Funct &amp; Engn Lab, Prot Struct, Ave Patricias Argentinas 435, RA-1405 Caba, Argentina.</t>
  </si>
  <si>
    <t xml:space="preserve">sesperante@leloir.org.ar; gpg@leloir.org.ar</t>
  </si>
  <si>
    <t xml:space="preserve">; Alvarez Paggi, Damian/N-7549-2018</t>
  </si>
  <si>
    <t xml:space="preserve">Prat Gay, Gonzalo/0000-0001-5748-6863; Alvarez Paggi, Damian/0000-0002-1507-9685</t>
  </si>
  <si>
    <t xml:space="preserve">ANPCyT [PICT-2016-4605]; Consejo Nacional de Investigaciones Cientificas y Tecnicas (CONICET)</t>
  </si>
  <si>
    <t xml:space="preserve">ANPCyT(ANPCyT); Consejo Nacional de Investigaciones Cientificas y Tecnicas (CONICET)(Consejo Nacional de Investigaciones Cientificas y Tecnicas (CONICET))</t>
  </si>
  <si>
    <t xml:space="preserve">This work was supported by grant: PICT-2016-4605 from ANPCyT. M.S. holds a graduate fellowship from Consejo Nacional de Investigaciones Cientificas y Tecnicas (CONICET); S.A.E., D.A.-P. and G.d.P.G. are CONICET Career Investigators.</t>
  </si>
  <si>
    <t xml:space="preserve">2470-1343</t>
  </si>
  <si>
    <t xml:space="preserve">ACS Omega</t>
  </si>
  <si>
    <t xml:space="preserve">10.1021/acsomega.8b01600</t>
  </si>
  <si>
    <t xml:space="preserve">HC7PB</t>
  </si>
  <si>
    <t xml:space="preserve">WOS:000451992500021</t>
  </si>
  <si>
    <t xml:space="preserve">Bimouhen, A; Regragui, Z; El Falaki, F; Ihazmade, H; Benkerroum, S; Cherkaoui, I; Rguig, A; Ezzine, H; Benamar, T; Triki, S; Bakri, Y; Oumzil, H</t>
  </si>
  <si>
    <t xml:space="preserve">Bimouhen, Abderrahman; Regragui, Zakia; El Falaki, Fatima; Ihazmade, Hassan; Benkerroum, Samira; Cherkaoui, Imad; Rguig, Ahmed; Ezzine, Hind; Benamar, Touria; Triki, Soumia; Bakri, Youssef; Oumzil, Hicham</t>
  </si>
  <si>
    <t xml:space="preserve">Viral aetiology of influenza-like illnesses and severe acute respiratory illnesses in Morocco, September 2014 to December 2016</t>
  </si>
  <si>
    <t xml:space="preserve">Etiology; Medicine; Respiratory system</t>
  </si>
  <si>
    <t xml:space="preserve">SYNCYTIAL VIRUS-INFECTION; TRACT INFECTIONS; EPIDEMIOLOGY; PNEUMONIA; CHILDREN; IMPACT; PCR</t>
  </si>
  <si>
    <t xml:space="preserve">Background There is a scarcity of information on the viral aetiology of influenza-like illness (III) and severe acute respiratory infection (SARI) among patients in Morocco. Methods From September 2014 to December 2016, we prospectively enrolled in-patients and outpatients from all age groups meeting the World Health Organiza-tion (WHO) case definition for III and SARI from 59 sentinel sites. The specimens were tested using real-time monoplex reverse-transcription polymerase chain reac-tion method for detecting 16 relevant respiratory viruses. Results At least one respiratory virus was detected in 1423 (70.8%) of 2009 spec-imens. Influenza viruses were the most common, detected in 612 (30.4%) of pro-cessed samples, followed by respiratory syncytial virus (RSV) in 359 (17.9%), human rhinovirus (HRV) in 263 (13.1%), adenovirus (HAdV) in 124 (6.2%), parainfluenza viruses (HPIV) in 107 (5.3%), coronaviruses (HCoV) in 94 (4.7%), human bocavirus (HBoV) in 92 (4.6%), and human metapneumovirus (HMPV) in 74 (3.7%). From 770 samples from children under 5 years old, RSV (288, 36.6%), influenza viruses (106, 13.8%), HRV (96, 12.5%) and HAdV (91, 11.8%) were most prevalent. Among 955 samples from adults, Influenza viruses (506, 53.0%), and HRV (167, 17.5%) were most often detected. Co-infections were found in 268 (18.8%) of 1423 positive spec-imens, and most (60.4%) were in children under 5 years of age. While influenza vi-ruses, RSV, and HMPV had a defined period of circulation, the other viruses did not display clear seasonal patterns. Conclusions We found that RSV was predominant among SARI cases in Morocco, particularly in children under 5 years of age. Our results are in line with reported data from other parts of the world, stating that RSV is the leading cause of lower re-spiratory tract infections in infants and young children.</t>
  </si>
  <si>
    <t xml:space="preserve">[Bimouhen, Abderrahman; Bakri, Youssef] Mohammed V Univ Rabat, Lab Human Pathol Biol, Fac Sci, Rabat, Morocco; [Cherkaoui, Imad; Rguig, Ahmed; Ezzine, Hind; Benamar, Touria] Minist Hlth, Directorate Epidemiol &amp; Dis Control, Rabat, Morocco; [Bimouhen, Abderrahman; Regragui, Zakia; El Falaki, Fatima; Ihazmade, Hassan; Benkerroum, Samira; Oumzil, Hicham] Minist Hlth, Natl Inst Hyg, Virol Dept, Natl Influenza Ctr, Rabat, Morocco; [Triki, Soumia] WHO Country Off Morocco, Rabat, Morocco; [Oumzil, Hicham] Mohammed V Univ Rabat, Sch Med &amp; Pharm, Pedag &amp; Res Unit Microbiol, Rabat, Morocco</t>
  </si>
  <si>
    <t xml:space="preserve">Mohammed V University in Rabat; Mohammed V University in Rabat</t>
  </si>
  <si>
    <t xml:space="preserve">Bimouhen, A (corresponding author), Natl Inst Hyg, Natl Influenza Ctr, Rabat, Morocco.</t>
  </si>
  <si>
    <t xml:space="preserve">bimouhen@yahoo.fr</t>
  </si>
  <si>
    <t xml:space="preserve">REGRAGUI, ZAKIA/0000-0003-2639-7563; OUMZIL, Hicham/0000-0003-0981-3457; BENAMAR, Touria/0000-0002-8284-6821; Fatima, Elfalaki/0000-0001-6978-4681</t>
  </si>
  <si>
    <t xml:space="preserve">Centers for Disease Control and Prevention (CDC) [5U51CI000469]; PIP</t>
  </si>
  <si>
    <t xml:space="preserve">Centers for Disease Control and Prevention (CDC)(United States Department of Health &amp; Human ServicesCenters for Disease Control &amp; Prevention - USA); PIP</t>
  </si>
  <si>
    <t xml:space="preserve">This work was supported through funding by the Centers for Disease Control and Prevention (CDC) grant No. 5U51CI000469 and PIP.</t>
  </si>
  <si>
    <t xml:space="preserve">INT SOC GLOBAL HEALTH</t>
  </si>
  <si>
    <t xml:space="preserve">CALEDONIAN EXCHANGE, 19A CANNING ST, EDINBURGH, Lothian, ENGLAND</t>
  </si>
  <si>
    <t xml:space="preserve">10.7189/jogh.12.04062</t>
  </si>
  <si>
    <t xml:space="preserve">3F4QG</t>
  </si>
  <si>
    <t xml:space="preserve">WOS:000830654200001</t>
  </si>
  <si>
    <t xml:space="preserve">Gruteke, P; Glas, AS; Dierdorp, M; Vreede, WB; Pilon, JW; Bruisten, SM</t>
  </si>
  <si>
    <t xml:space="preserve">Practical implementation of a multiplex PCR for acute respiratory tract infections in children</t>
  </si>
  <si>
    <t xml:space="preserve">Rhinovirus; Human metapneumovirus; Medicine; Respiratory tract infections; Multiplex polymerase chain reaction; Throat</t>
  </si>
  <si>
    <t xml:space="preserve">REVERSE TRANSCRIPTION-PCR; POLYMERASE CHAIN-REACTION; RHINOVIRUS INFECTION; PARAINFLUENZA VIRUS; VIRAL-INFECTIONS; YOUNG-CHILDREN; ASSAY; SPECIMENS; BRONCHIOLITIS; ILLNESS</t>
  </si>
  <si>
    <t xml:space="preserve">Molecular testing for acute respiratory infections (ARIs) has documented value but limited implementation due to questions that typically slow the acceptance of new tests. This study sought to address these questions and achieve implementation. Rhinovirus was added to a nested multiplex PCR (M-PCR), increasing its diagnostic yield. Over one winter, three hospital pediatric departments used the M-PCR to complement their direct fluorescent-antibody assay (DFA) for respiratory syncytial virus (RSV). Clinicians recorded pretest probability estimates (using continuous scales for various pathogen groups) for comparison with test results; treatments and test turnaround times were also recorded. Transnasal and throat swabs, with or without nasopharyngeal aspirate (NPA), were M-PCR tested. NPA-containing sample sets found to be RSV positive by DFA were not further tested. Single PCR for human metapneumovirus (hMPV) was performed retrospectively. Of 178 ARI episodes representing 172 patients, NPA was included in 97 sample sets; 54 (56%) were determined to be RSV positive. The other NPA-containing sample sets (n = 43) yielded 27 findings (63%), and the swab-only sets (n = 81) yielded 47 findings (58%); rhinovirus was found most often. Testing for hMPV yielded seven positive results. M-PCR median turnaround times were 4 days in swab-only samples and 5 days with NPA. Antibiotics were prescribed in 50 episodes, at rates similar for RSV and rhinovirus. Pretest probability estimates of a viral cause were lower in episodes caused by rhinovirus than in episodes caused by RSV. The hospitals continued to use M-PCR for NPA-containing samples found to be RSV negative by DFA. Test implementation is more likely with higher diagnostic yield and a protocol that reflects day-to-day clinical and laboratory operations.</t>
  </si>
  <si>
    <t xml:space="preserve">Municipal Publ Hlth Lab Amsterdam, Municipal Hlth Serv, NL-1000 CE Amsterdam, Netherlands; Univ Amsterdam, Acad Med Ctr, Clin Epidemiol &amp; Biostat, NL-1105 AZ Amsterdam, Netherlands; Flevo Hosp, Almere, Netherlands; IJsselmeer Hosp, Lelystad, Netherlands; IJsselmeer Hosp, Emmeloord, Netherlands</t>
  </si>
  <si>
    <t xml:space="preserve">Municipal Publ Hlth Lab Amsterdam, Municipal Hlth Serv, Nieuwe Achtergracht 100,POB 2200, NL-1000 CE Amsterdam, Netherlands.</t>
  </si>
  <si>
    <t xml:space="preserve">pgruteke@gggd.amsterdam.nl</t>
  </si>
  <si>
    <t xml:space="preserve">Gruteke, Paul/0000-0003-1788-5960</t>
  </si>
  <si>
    <t xml:space="preserve">10.1128/JCM.42.12.5596-5603.2004</t>
  </si>
  <si>
    <t xml:space="preserve">WOS:000226035800026</t>
  </si>
  <si>
    <t xml:space="preserve">Gioula, G; Chatzidimitriou, D; Melidou, A; Exindari, M; Kyriazopoulou-Dalaina, V</t>
  </si>
  <si>
    <t xml:space="preserve">Gioula, G.; Chatzidimitriou, D.; Melidou, A.; Exindari, M.; Kyriazopoulou-Dalaina, V.</t>
  </si>
  <si>
    <t xml:space="preserve">Contribution of human metapneumovirus to influenza-like infections in North Greece, 2005-2008</t>
  </si>
  <si>
    <t xml:space="preserve">RESPIRATORY SYNCYTIAL VIRUS; TRACT DISEASE; CHILDREN; SURVEILLANCE; PNEUMOVIRUS; PREVALENCE; PATHOGEN; INFANTS; IMPACT; PCR</t>
  </si>
  <si>
    <t xml:space="preserve">[Gioula, G.; Chatzidimitriou, D.; Melidou, A.; Exindari, M.; Kyriazopoulou-Dalaina, V.] Aristotle Univ Thessaloniki, Sch Med, Natl Influenza Ctr N Greece, Lab Microbiol B, GR-54006 Thessaloniki, Greece</t>
  </si>
  <si>
    <t xml:space="preserve">Aristotle University of Thessaloniki</t>
  </si>
  <si>
    <t xml:space="preserve">Gioula, G (corresponding author), Aristotle Univ Thessaloniki, Sch Med, Natl Influenza Ctr N Greece, Lab Microbiol B, GR-54006 Thessaloniki, Greece.</t>
  </si>
  <si>
    <t xml:space="preserve">ggioula@med.auth.gr</t>
  </si>
  <si>
    <t xml:space="preserve">Chatzidimitriou, Dimitris/AAA-9865-2019</t>
  </si>
  <si>
    <t xml:space="preserve">Gioula, Georgia/0000-0002-9344-3956</t>
  </si>
  <si>
    <t xml:space="preserve">MAR 4</t>
  </si>
  <si>
    <t xml:space="preserve">10.2807/ese.15.09.19499-en</t>
  </si>
  <si>
    <t xml:space="preserve">580LB</t>
  </si>
  <si>
    <t xml:space="preserve">WOS:000276448700003</t>
  </si>
  <si>
    <t xml:space="preserve">Hurwitz, JL; Jones, BG; Penkert, RR; Gansebom, S; Sun, YL; Tang, L; Bramley, AM; Jain, S; McCullers, JA; Arnold, SR</t>
  </si>
  <si>
    <t xml:space="preserve">Hurwitz, Julia L.; Jones, Bart G.; Penkert, Rhiannon R.; Gansebom, Shane; Sun, Yilun; Tang, Li; Bramley, Anna M.; Jain, Seema; McCullers, Jonathan A.; Arnold, Sandra R.</t>
  </si>
  <si>
    <t xml:space="preserve">Low Retinol-Binding Protein and Vitamin D Levels Are Associated with Severe Outcomes in Children Hospitalized with Lower Respiratory Tract Infection and Respiratory Syncytial Virus or Human Metapneumovirus Detection</t>
  </si>
  <si>
    <t xml:space="preserve">Human metapneumovirus; Medicine; Respiratory system; Metapneumovirus; Respiratory tract; Respiratory tract infections; Vitamin; Retinol binding protein; Lower respiratory tract infection</t>
  </si>
  <si>
    <t xml:space="preserve">A-DEFICIENCY; ANTIBODY-RESPONSES; SURROGATE MEASURE; EPITHELIAL-CELLS; PLASMA RETINOL; SENDAI-VIRUS; VACCINE; SUPPLEMENTATION; RSV; BRONCHIOLITIS</t>
  </si>
  <si>
    <t xml:space="preserve">Retinol binding protein and vitamin D were measured in children aged &lt;5 years hospitalized with lower respiratory tract infection and respiratory syncytial virus and/or human metapneumovirus detections. Low vitamin levels were observed in 50% of the children and were associated with significantly elevated risk of the need for intensive care unit admission and invasive mechanical ventilation.</t>
  </si>
  <si>
    <t xml:space="preserve">[Hurwitz, Julia L.; Jones, Bart G.; Penkert, Rhiannon R.; Gansebom, Shane; McCullers, Jonathan A.] St Jude Childrens Res Hosp, Dept Infect Dis, 332 N Lauderdale St, Memphis, TN 38105 USA; [Hurwitz, Julia L.] Univ Tennessee, Ctr Hlth Sci, Dept Microbiol Immunol &amp; Biochem, Memphis, TN 38163 USA; [Sun, Yilun; Tang, Li] St Jude Childrens Res Hosp, Dept Biostat, 332 N Lauderdale St, Memphis, TN 38105 USA; [Bramley, Anna M.; Jain, Seema] Ctr Dis Control &amp; Prevent, Influenza Div, Atlanta, GA USA; [McCullers, Jonathan A.; Arnold, Sandra R.] UTHSC, Dept Pediat, Memphis, TN USA; [McCullers, Jonathan A.; Arnold, Sandra R.] Le Bonheur Childrens Hosp, Memphis, TN USA; [Gansebom, Shane] Ctr Dis Control &amp; Prevent, Atlanta, GA USA</t>
  </si>
  <si>
    <t xml:space="preserve">St Jude Children's Research Hospital; University of Tennessee System; University of Tennessee Health Science Center; St Jude Children's Research Hospital; Centers for Disease Control &amp; Prevention - USA; University of Tennessee System; University of Tennessee Health Science Center; Centers for Disease Control &amp; Prevention - USA</t>
  </si>
  <si>
    <t xml:space="preserve">Hurwitz, JL (corresponding author), St Jude Childrens Res Hosp, Dept Infect Dis, 332 N Lauderdale St, Memphis, TN 38105 USA.;Hurwitz, JL (corresponding author), Univ Tennessee, Ctr Hlth Sci, Dept Microbiol Immunol &amp; Biochem, Memphis, TN 38163 USA.</t>
  </si>
  <si>
    <t xml:space="preserve">Hurwitz, Julia/N-2301-2018; Arnold, Sandra/O-4712-2014; Tang, Li/N-8123-2018</t>
  </si>
  <si>
    <t xml:space="preserve">Sun, Yilun/0000-0003-1905-9216</t>
  </si>
  <si>
    <t xml:space="preserve">National Cancer Institute [P30 CA21765]; ALSAC; Influenza Division in the National Center for Immunizations and Respiratory Diseases at the Centers for Disease Control and Prevention; [1U18 IP-000489]</t>
  </si>
  <si>
    <t xml:space="preserve">National Cancer Institute(United States Department of Health &amp; Human ServicesNational Institutes of Health (NIH) - USANIH National Cancer Institute (NCI)); ALSAC(American Lebanese Syrian Associated Charities (ALSAC)); Influenza Division in the National Center for Immunizations and Respiratory Diseases at the Centers for Disease Control and Prevention;</t>
  </si>
  <si>
    <t xml:space="preserve">Funded by the National Cancer Institute (P30 CA21765) and the ALSAC (to J.H., B.J., R.P., S.G., Y.S., L.T., and J.M.). The EPIC Study was supported by the Influenza Division in the National Center for Immunizations and Respiratory Diseases at the Centers for Disease Control and Prevention through cooperative agreements with each study site and was based on a competitive research funding opportunity. The Memphis site for patient sample collection was supported by 1U18 IP-000489 to J.M. The authors declare no conflicts of interest.</t>
  </si>
  <si>
    <t xml:space="preserve">1097-6833</t>
  </si>
  <si>
    <t xml:space="preserve">10.1016/j.jpeds.2017.04.061</t>
  </si>
  <si>
    <t xml:space="preserve">FE4ZL</t>
  </si>
  <si>
    <t xml:space="preserve">WOS:000408221700055</t>
  </si>
  <si>
    <t xml:space="preserve">Park, SY; Baek, S; Lee, SO; Choi, SH; Kim, YS; Woo, JH; Sung, H; Kim, MN; Kim, DY; Lee, JH; Lee, JH; Lee, KH; Kim, SH</t>
  </si>
  <si>
    <t xml:space="preserve">Park, So-Youn; Baek, Seunghee; Lee, Sang-Oh; Choi, Sang-Ho; Kim, Yang Soo; Woo, Jun Hee; Sung, Heungsup; Kim, Mi-Na; Kim, Dae-Young; Lee, Jung-Hee; Lee, Je-Hwan; Lee, Kyoo-Hyung; Kim, Sung-Han</t>
  </si>
  <si>
    <t xml:space="preserve">Efficacy of Oral Ribavirin in Hematologic Disease Patients with Paramyxovirus Infection: Analytic Strategy Using Propensity Scores</t>
  </si>
  <si>
    <t xml:space="preserve">Ribavirin; Medicine; Internal medicine; Odds ratio; Human metapneumovirus; Confidence interval</t>
  </si>
  <si>
    <t xml:space="preserve">RESPIRATORY SYNCYTIAL VIRUS; STEM-CELL TRANSPLANTATION; STAPHYLOCOCCUS-AUREUS BACTEREMIA; COMMUNITY-ACQUIRED PNEUMONIA; TRACT INFECTION; INTRAVENOUS RIBAVIRIN; LUNG TRANSPLANTATION; SINGLE-CENTER; THERAPY; RECIPIENTS</t>
  </si>
  <si>
    <t xml:space="preserve">Few antiviral agents are available for treating paramyxovirus infections, such as those involving respiratory syncytial virus (RSV), parainfluenza virus (PIV), and human metapneumovirus (hMPV). We evaluated the effect of oral ribavirin on clinical outcomes of paramyxovirus infections in patients with hematological diseases. All adult patients with paramyxovirus were retrospectively reviewed over a 2-year period. Patients who received oral ribavirin were compared to those who received supportive care without ribavirin therapy. A propensity-matched case-control study and a logistic regression model with inverse probability of treatment weighting (IPTW) were performed to reduce the effect of selection bias in assignment for oral ribavirin therapy. A total of 145 patients, including 64 (44%) with PIV, 60 (41%) with RSV, and 21 (15%) with hMPV, were analyzed. Of these 145 patients, 114 (78%) received oral ribavirin and the remaining 31 (21%) constituted the nonribavirin group. Thirty-day mortality and underlying respiratory death rates were 31% (35/114) and 12% (14/114), respectively, for the oral ribavirin group versus 19% (6/31) and 16% (5/31), respectively, for the nonribavirin group (P = 0.21 and P = 0.56). In the case-control study, the 30-day mortality rate in the ribavirin group was 24% (5/21) versus 19% (4/21) in the nonribavirin group (P = 0.71). In addition, the logistic regression model with IPTW revealed no significant difference in 30-day mortality (adjusted hazard ratio of 1.3; 95% confidence interval [95% CI] of 0.3 to 5.8) between the two groups. Steroid use (adjusted odds ratio, 5.67; P = 0.01) and upper respiratory tract infection (adjusted odds ratio, 0.07; P = 0.001) was independently associated with mortality. Our data suggest that oral ribavirin therapy may not improve clinical outcomes in hematologic disease patients infected with paramyxovirus.</t>
  </si>
  <si>
    <t xml:space="preserve">[Park, So-Youn; Lee, Sang-Oh; Choi, Sang-Ho; Kim, Yang Soo; Woo, Jun Hee; Kim, Sung-Han] Univ Ulsan, Coll Med, Dept Infect Dis, Asan Med Ctr, Seoul, South Korea; [Baek, Seunghee] Univ Ulsan, Coll Med, Dept Clin Epidemiol &amp; Biostat, Asan Med Ctr, Seoul, South Korea; [Sung, Heungsup; Kim, Mi-Na] Univ Ulsan, Coll Med, Dept Lab Med, Asan Med Ctr, Seoul, South Korea; [Kim, Dae-Young; Lee, Jung-Hee; Lee, Je-Hwan; Lee, Kyoo-Hyung] Univ Ulsan, Coll Med, Dept Hematol, Asan Med Ctr, Seoul, South Korea</t>
  </si>
  <si>
    <t xml:space="preserve">University of Ulsan; University of Ulsan; University of Ulsan; University of Ulsan</t>
  </si>
  <si>
    <t xml:space="preserve">Kim, SH (corresponding author), Univ Ulsan, Coll Med, Dept Infect Dis, Asan Med Ctr, Seoul, South Korea.</t>
  </si>
  <si>
    <t xml:space="preserve">kimsunghanmd@hotmail.com</t>
  </si>
  <si>
    <t xml:space="preserve">choi, su/AAD-7186-2020; Park, Jae-Hyeong/AAD-9015-2021; Lee, Sang-Oh/AGV-5413-2022; Kim, Dokyun/IYJ-2278-2023; Kim, yang-soo/HSC-8295-2023; Kim, Kihyun/D-5175-2013; Lee, Jae Lyun/AGI-4843-2022</t>
  </si>
  <si>
    <t xml:space="preserve">Choi, Sang-Ho/0000-0002-4972-4531; Lee, Je-Hwan/0000-0002-7060-1675</t>
  </si>
  <si>
    <t xml:space="preserve">10.1128/AAC.01961-12</t>
  </si>
  <si>
    <t xml:space="preserve">075ON</t>
  </si>
  <si>
    <t xml:space="preserve">WOS:000313896500039</t>
  </si>
  <si>
    <t xml:space="preserve">Nahi, H; Chrobok, M; Gran, C; Lund, J; Gruber, A; Gahrton, G; Ljungman, P; Wagner, AK; Alici, E</t>
  </si>
  <si>
    <t xml:space="preserve">Nahi, Hareth; Chrobok, Michael; Gran, Charlotte; Lund, Johan; Gruber, Astrid; Gahrton, Gosta; Ljungman, Per; Wagner, Arnika Kathleen; Alici, Evren</t>
  </si>
  <si>
    <t xml:space="preserve">Infectious complications and NK cell depletion following daratumumab treatment of Multiple Myeloma</t>
  </si>
  <si>
    <t xml:space="preserve">Daratumumab; Immunology; Medicine; Virology; Human metapneumovirus</t>
  </si>
  <si>
    <t xml:space="preserve">NATURAL-KILLER-CELLS; CYTOMEGALOVIRUS-INFECTION; MONOTHERAPY; DEXAMETHASONE; BORTEZOMIB; LENALIDOMIDE; THERAPY</t>
  </si>
  <si>
    <t xml:space="preserve">Treatment with Daratumumab (Dara), a monoclonal anti-CD38 antibody of IgG1 subtype, is effective in patients with multiple myeloma (MM). However, Dara also impairs the cellular immunity, which in turn may lead to higher susceptibility to infections. The exact link between immune impairment and infectious complications is unclear. In this study, we report that nine out of 23 patients (39%) with progressive MM had infectious complications after Dara treatment. Five of these patients had viral infections, two developed with bacterial infections and two with both bacterial and viral infections. Two of the viral infections were exogenous, i.e. acute respiratory syncytial virus (RSV) and human metapneumovirus (hMPV), while five consisted of reactivations, i.e. one herpes simplex (HSV), 1 varicella-zoster (VZV) and three cytomegalovirus (CMV). Infections were solely seen in patients with partial response or worse. Assessment of circulating lymphocytes indicated a selective depletion of NK cells and viral reactivation after Dara treatment, however this finding does not exclude the multiple components of viral immune-surveillance that may get disabled during this monoclonal treatment in this patient cohort. These results suggest that the use of antiviral and antibacterial prophylaxis and screening of the patients should be considered.</t>
  </si>
  <si>
    <t xml:space="preserve">[Nahi, Hareth; Chrobok, Michael; Gran, Charlotte; Lund, Johan; Gahrton, Gosta; Ljungman, Per; Wagner, Arnika Kathleen; Alici, Evren] Karolinska Inst, Div Hematol, Dept Med Huddinge, Stockholm, Sweden; [Nahi, Hareth; Lund, Johan; Gruber, Astrid; Ljungman, Per; Alici, Evren] Karolinska Univ Hosp, Dept Hematol, Stockholm, Sweden; [Gran, Charlotte] Karolinska Univ Hosp, Dept Clin Chem, Stockholm, Sweden; [Ljungman, Per] Karolinska Univ Hosp, Dept Cellular Therapy &amp; Allogene Stem Cell Transp, Stockholm, Sweden; [Alici, Evren] Nova Southeastern Univ, Coll Allopath Med, Cell Therapies Inst, Ft Lauderdale, FL 33314 USA</t>
  </si>
  <si>
    <t xml:space="preserve">Karolinska Institutet; Karolinska Institutet; Karolinska University Hospital; Karolinska Institutet; Karolinska University Hospital; Karolinska Institutet; Karolinska University Hospital; Nova Southeastern University</t>
  </si>
  <si>
    <t xml:space="preserve">Alici, E (corresponding author), Karolinska Inst, Div Hematol, Dept Med Huddinge, Stockholm, Sweden.;Alici, E (corresponding author), Karolinska Univ Hosp, Dept Hematol, Stockholm, Sweden.;Alici, E (corresponding author), Nova Southeastern Univ, Coll Allopath Med, Cell Therapies Inst, Ft Lauderdale, FL 33314 USA.</t>
  </si>
  <si>
    <t xml:space="preserve">evren.alici@ki.se</t>
  </si>
  <si>
    <t xml:space="preserve">Alici, Evren/A-4696-2010; nahi, hareth/AAA-3445-2020; Gran, Charlotte/AAI-3242-2020</t>
  </si>
  <si>
    <t xml:space="preserve">nahi, hareth/0000-0003-4711-5094; Wagner, Arnika/0000-0002-0339-8259; Alici, Evren/0000-0001-5307-6648; Gran, Charlotte/0000-0002-6069-6615</t>
  </si>
  <si>
    <t xml:space="preserve">Cancerfonden; Radumhemmet cancerforeningen (Cancer society of Stockholm)</t>
  </si>
  <si>
    <t xml:space="preserve">Cancerfonden(Swedish Cancer Society); Radumhemmet cancerforeningen (Cancer society of Stockholm)</t>
  </si>
  <si>
    <t xml:space="preserve">This study was funded by Cancerfonden and Radumhemmet cancerforeningen (Cancer society of Stockholm). Genmab A/S and Janssen Biotech provided support by providing free materials. The funders had no role in study design, data collection and analysis, decision to publish, or preparation of the manuscript.</t>
  </si>
  <si>
    <t xml:space="preserve">e0211927</t>
  </si>
  <si>
    <t xml:space="preserve">10.1371/journal.pone.0211927</t>
  </si>
  <si>
    <t xml:space="preserve">HL5IX</t>
  </si>
  <si>
    <t xml:space="preserve">WOS:000458761300062</t>
  </si>
  <si>
    <t xml:space="preserve">Yu, XY; Lu, RJ; Wang, Z; Zhu, N; Wang, W; Julian, D; Chris, B; Lv, JX; Tan, WJ</t>
  </si>
  <si>
    <t xml:space="preserve">Yu, Xiaoyan; Lu, Roujian; Wang, Zhong; Zhu, Na; Wang, Wen; Julian, Druce; Chris, Birch; Lv, Jianxin; Tan, Wenjie</t>
  </si>
  <si>
    <t xml:space="preserve">Etiology and Clinical Characterization of Respiratory Virus Infections in Adult Patients Attending an Emergency Department in Beijing</t>
  </si>
  <si>
    <t xml:space="preserve">Human metapneumovirus; Rhinovirus; Virology; Virus; Respiratory tract infections; Medicine</t>
  </si>
  <si>
    <t xml:space="preserve">HUMAN CORONAVIRUSES; TRACT INFECTIONS; PCR; DIAGNOSIS; CHILDREN; IDENTIFICATION; ASSAY; HKU1</t>
  </si>
  <si>
    <t xml:space="preserve">Background: Acute respiratory tract infections (ARTIs) represent a serious global health burden. To date, few reports have addressed the prevalence of respiratory viruses (RVs) in adults with ARTIs attending an emergency department (ED). Therefore, the potential impact of respiratory virus infections on such patients remains unknown. Methodology/Principal Findings: To determine the epidemiological and clinical profiles of common and recently discovered respiratory viruses in adults with ARTIs attending an ED in Beijing, a 1-year consecutive study was conducted from May, 2010, to April, 2011. Nose and throat swab samples from 416 ARTI patients were checked for 13 respiratory viruses using multiple reverse transcription polymerase chain reaction(RT-PCR) assays for common respiratory viruses, including influenza viruses (Flu) A, B, and adenoviruses (ADVs), picornaviruses (PICs), respiratory syncytial virus (RSV), parainfluenza viruses (PIVs) 1-3, combined with real-time RT-PCR for human metapneumovirus (HMPV) and human coronaviruses (HCoVs, -OC43, -229E, -NL63, and -HKU1). Viral pathogens were detected in 52.88% (220/416) of patient samples, and 7.21% (30/416) of patients tested positive for more than one virus. PICs (17.79%) were the dominant agents detected, followed by FluA (16.11%), HCoVs (11.78%), and ADV (11.30%). HMPV, PIVs, and FluB were also detected (&lt;3%), but not RSV. The total prevalence and the dominant virus infections detected differed significantly between ours and a previous report. Co-infection rates were high for HCoV-229E (12/39, 30.76%), PIC (22/74, 29.73%), ADV (12/47, 25.53%) and FluA (15/67, 22.39%). Different patterns of clinical symptoms were associated with different respiratory viruses. Conclusions: The pattern of RV involvement in adults with ARTIs attending an ED in China differs from that previously reported. The high prevalence of viruses (PIC, FluA, HCoVs and ADV) reported here strongly highlight the need for the development of safe and effective therapeutic approaches for these viruses.</t>
  </si>
  <si>
    <t xml:space="preserve">[Yu, Xiaoyan; Lv, Jianxin; Tan, Wenjie] Wenzhou Med Coll, Inst Med Virol, Minist Educ, Key Lab Lab Med, Wenzhou, Zhejiang, Peoples R China; [Yu, Xiaoyan; Lu, Roujian; Zhu, Na; Wang, Wen; Tan, Wenjie] China CDC, Natl Inst Viral Dis Control &amp; Prevent, Beijing, Peoples R China; [Wang, Zhong] CAMS, Peking Union Med Coll Hosp, Beijing, Peoples R China; [Julian, Druce; Chris, Birch] Victorian Infect Dis Reference Lab, Dept Virol, Melbourne, Vic, Australia</t>
  </si>
  <si>
    <t xml:space="preserve">Wenzhou Medical University; Chinese Center for Disease Control &amp; Prevention; National Institute for Viral Disease Control &amp; Prevention, Chinese Center for Disease Control &amp; Prevention; Chinese Academy of Medical Sciences - Peking Union Medical College; Peking Union Medical College Hospital; Victorian Infectious Diseases Reference Laboratory</t>
  </si>
  <si>
    <t xml:space="preserve">Yu, XY (corresponding author), Wenzhou Med Coll, Inst Med Virol, Minist Educ, Key Lab Lab Med, Wenzhou, Zhejiang, Peoples R China.</t>
  </si>
  <si>
    <t xml:space="preserve">jxlu313@163.com; tanwj28@yahoo.cn</t>
  </si>
  <si>
    <t xml:space="preserve">Wang, Zhaohua/JJE-6996-2023; Tan, Wenjie/JOZ-1821-2023</t>
  </si>
  <si>
    <t xml:space="preserve">Druce, Julian/0000-0002-3521-3298</t>
  </si>
  <si>
    <t xml:space="preserve">China-Australia Health and HIV/AIDSFacility [EID07]; 973 Program of China [2011CB504704]; National Science Foundation [81100062]; 863 Hi-Tech Research and Development Program of China [2007AA02Z463, 2007AA02Z-464]</t>
  </si>
  <si>
    <t xml:space="preserve">China-Australia Health and HIV/AIDSFacility; 973 Program of China(National Basic Research Program of China); National Science Foundation(National Science Foundation (NSF)); 863 Hi-Tech Research and Development Program of China(National High Technology Research and Development Program of China)</t>
  </si>
  <si>
    <t xml:space="preserve">This study was supported by a grant provided by the China-Australia Health and HIV/AIDSFacility program (Item no. EID07), 973 Program of China (Grant numbers: 2011CB504704), National Science Foundation Program of China (81100062) and the 863 Hi-Tech Research and Development Program of China (2007AA02Z463,2007AA02Z-464). The funders had no role in study design, data collection and analysis, decision to publish, or preparation of the manuscript.</t>
  </si>
  <si>
    <t xml:space="preserve">e32174</t>
  </si>
  <si>
    <t xml:space="preserve">10.1371/journal.pone.0032174</t>
  </si>
  <si>
    <t xml:space="preserve">928RC</t>
  </si>
  <si>
    <t xml:space="preserve">WOS:000302999600023</t>
  </si>
  <si>
    <t xml:space="preserve">Rawlinson, WD; Waliuzzaman, Z; Carter, IW; Belessis, YC; Gilbert, KM; Morton, JR</t>
  </si>
  <si>
    <t xml:space="preserve">Asthma exacerbations in children associated with rhinovirus but not human metapneumovirus infection</t>
  </si>
  <si>
    <t xml:space="preserve">Rhinovirus; Human metapneumovirus; Metapneumovirus; Virology; Medicine; Asthma; Immunology</t>
  </si>
  <si>
    <t xml:space="preserve">RESPIRATORY VIRUSES; VIRAL-INFECTIONS; SYMPTOMS; INFANTS; RISK</t>
  </si>
  <si>
    <t xml:space="preserve">Children with asthma were studied during the Southern hemisphere winter and summer of 2001-2002. Human rhinovirus (hRV) was significantly associated (P = .0001) with asthma exacerbations in winter and spring/summer, but not in intervening asymptomatic periods. Although hRV was also found in children with upper respiratory tract infection (URTI) who underwent sampling at the same time, it was present in significantly higher numbers of children with symptomatic asthma (P &lt; .0001). Human metapneumovirus was also found in small numbers of children with URTI, but significantly less frequently in children with asthma.</t>
  </si>
  <si>
    <t xml:space="preserve">Prince Wales Hosp, Dept Microbiol, Div Virol, SE Area Lab Serv, Randwick, NSW 2031, Australia; Sydney Childrens Hosp, Dept Resp Med, Randwick, NSW, Australia; Univ New S Wales, Sch Childrens &amp; Womens Hlth, Randwick, NSW, Australia; Univ New S Wales, Sch Med Sci, Fac Med, Kensington, NSW 2033, Australia; Univ New S Wales, Sch Biotechnol &amp; Biomol Sci, Fac Sci, Kensington, NSW 2033, Australia</t>
  </si>
  <si>
    <t xml:space="preserve">University of New South Wales Sydney; Prince of Wales Hospital (POWH); NSW Health; Sydney Childrens Hospitals Network; University of New South Wales Sydney; University of New South Wales Sydney; University of New South Wales Sydney</t>
  </si>
  <si>
    <t xml:space="preserve">Prince Wales Hosp, Dept Microbiol, Div Virol, SE Area Lab Serv, Randwick, NSW 2031, Australia.</t>
  </si>
  <si>
    <t xml:space="preserve">Rawlinson, William/0000-0003-0988-7827; CARTER, IAN/0000-0002-1911-3561</t>
  </si>
  <si>
    <t xml:space="preserve">APR 15</t>
  </si>
  <si>
    <t xml:space="preserve">10.1086/368411</t>
  </si>
  <si>
    <t xml:space="preserve">662WL</t>
  </si>
  <si>
    <t xml:space="preserve">WOS:000181972000018</t>
  </si>
  <si>
    <t xml:space="preserve">Respiratory picornavirus infections in Korean children with lower respiratory tract infections</t>
  </si>
  <si>
    <t xml:space="preserve">Human metapneumovirus; Rhinovirus; Virology; Respiratory tract infections; Enterovirus; Picornavirus; Virus</t>
  </si>
  <si>
    <t xml:space="preserve">COMMUNITY-ACQUIRED PNEUMONIA; RHINOVIRUS INFECTIONS; RNA; PCR; ENTEROVIRUSES; ASSOCIATION; FREQUENCY; DIAGNOSIS; ETIOLOGY; ASTHMA</t>
  </si>
  <si>
    <t xml:space="preserve">Recently, human rhinoviruses (RVs) and enteroviruses have been suggested as important etiological agents in young children with lower respiratory tract infections (LRTIs). We investigated the role of respiratory picornaviruses in hospitalized children with LRTI. A total of 233 nasopharyngeal samples were collected from hospitalized children with LRTIs from July 2004 to January 2006. All specimens were tested for the presence of human respiratory syncytial virus (hRSV), influenza virus A, influenza B, parainfluenzavirus, and adenovirus using direct immunofluorescent assay, and for human metapneumovirus (HMPV) by RT-PCR. Detection of RV was performed in nasopharyngeal samples by a RT-PCR assay that incorporated a BglI restriction enzyme digestion of the picornavirus RT-PCR amplicon, and detection of enterovirus was accomplished by hemi-nested RT-PCR using specific primers. Viral agents were detected in 70.4% (164/233) of the study population. The most frequently detected viruses were RV (64/233, 27.4%), hRSV (48/233, 20.6%), and enterovirus (43/233, 18.4%). Picornaviruses were detected as the sole viral agents in 27.0% (63/233) of children, whereas mixed viral infection was detected in 12.0%. These results suggest that picronavirus infection is an important etiological cause of LRTIs in Korean children.</t>
  </si>
  <si>
    <t xml:space="preserve">Inje Univ, Coll Med, Dept Pediat, Sanggyepaik Hosp, Seoul, South Korea; Seoul Natl Univ, Coll Med, Dept Microbiol, Seoul, South Korea</t>
  </si>
  <si>
    <t xml:space="preserve">Chung, JY (corresponding author), Inje Univ, Coll Med, Dept Pediat, Sanggyepaik Hosp, Seoul, South Korea.</t>
  </si>
  <si>
    <t xml:space="preserve">10.1080/00365540600999126</t>
  </si>
  <si>
    <t xml:space="preserve">150RS</t>
  </si>
  <si>
    <t xml:space="preserve">WOS:000245235300010</t>
  </si>
  <si>
    <t xml:space="preserve">Branche, AR; Walsh, EE; Formica, MA; Falsey, AR</t>
  </si>
  <si>
    <t xml:space="preserve">Branche, Angela R.; Walsh, Edward E.; Formica, Maria A.; Falsey, Ann R.</t>
  </si>
  <si>
    <t xml:space="preserve">Detection of Respiratory Viruses in Sputum from Adults by Use of Automated Multiplex PCR</t>
  </si>
  <si>
    <t xml:space="preserve">Sputum; Human metapneumovirus; Virology; Medicine</t>
  </si>
  <si>
    <t xml:space="preserve">REAL-TIME PCR; OBSTRUCTIVE PULMONARY-DISEASE; SYNCYTIAL-VIRUS; MOLECULAR-DETECTION; RAPID DIAGNOSIS; VIRAL DETECTION; INFLUENZA-A; INFECTIONS; SAMPLES; HOSPITALIZATIONS</t>
  </si>
  <si>
    <t xml:space="preserve">Respiratory tract infections (RTI) frequently cause hospital admissions among adults. Diagnostic viral reverse transcriptase PCR (RT-PCR) of nose and throat swabs (NTS) is useful for patient care by informing antiviral use and appropriate isolation. However, automated RT-PCR systems are not amenable to utilizing sputum due to its viscosity. We evaluated a simple method of processing sputum samples in a fully automated respiratory viral panel RT-PCR assay (FilmArray). Archived sputum and NTS samples collected in 2008-2012 from hospitalized adults with RTI were evaluated. A subset of sputum samples positive for 10 common viruses by a uniplex RT-PCR was selected. A sterile cotton-tip swab was dunked in sputum, swirled in 700 mu L of sterile water (dunk and swirl method) and tested by the FilmArray assay. Quantitative RT-PCR was performed on dunked sputum and NTS samples for influenza A (Flu A), respiratory syncytial virus (RSV), coronavirus OC43 (OC43), and human metapneumovirus (HMPV). Viruses were identified in 31% of 965 illnesses using a uniplex RT-PCR. The sputum sample was the only sample positive for 105 subjects, including 35% (22/64) of influenza cases and significantly increased the diagnostic yield of NTS alone (302/965 [31%] versus 197/965 [20%]; P = 0.0001). Of 108 sputum samples evaluated by the FilmArray assay using the dunk and swirl method, 99 (92%) were positive. Quantitative RT-PCR revealed higher mean viral loads in dunked sputum samples compared to NTS samples for Flu A, RSV, and HMPV (P = 0.0001, P = 0.006, and P = 0.011, respectively). The dunk and swirl method is a simple and practical method for reliably processing sputum samples in a fully automated PCR system. The higher viral loads in sputa may increase detection over NTS testing alone.</t>
  </si>
  <si>
    <t xml:space="preserve">[Branche, Angela R.; Walsh, Edward E.; Falsey, Ann R.] Univ Rochester, Dept Med, Rochester, NY 14627 USA; [Walsh, Edward E.; Formica, Maria A.; Falsey, Ann R.] Rochester Gen Hosp, Rochester, NY 14621 USA</t>
  </si>
  <si>
    <t xml:space="preserve">Branche, AR (corresponding author), Univ Rochester, Dept Med, Rochester, NY 14627 USA.</t>
  </si>
  <si>
    <t xml:space="preserve">angela_branche@urmc.rochester.edu</t>
  </si>
  <si>
    <t xml:space="preserve">National Institute of Allergy and Infectious Diseases [HHSN272201200005C NIH/NIAID, 1R01AI079446-01]</t>
  </si>
  <si>
    <t xml:space="preserve">This work was supported by National Institute of Allergy and Infectious Diseases grants HHSN272201200005C NIH/NIAID and 1R01AI079446-01.</t>
  </si>
  <si>
    <t xml:space="preserve">10.1128/JCM.01523-14</t>
  </si>
  <si>
    <t xml:space="preserve">AP9AX</t>
  </si>
  <si>
    <t xml:space="preserve">WOS:000342371700011</t>
  </si>
  <si>
    <t xml:space="preserve">Adachi, H; Minagawa, H; Hirose, E; Nakamura, N; Niimi, H; Saito, N; Ito, M; Sato, K; Yasui, Y</t>
  </si>
  <si>
    <t xml:space="preserve">Adachi, Hirokazu; Minagawa, Hiroko; Hirose, Emi; Nakamura, Noriko; Niimi, Hitomi; Saito, Noriko; Ito, Miyabi; Sato, Katsuhiko; Yasui, Yoshihiro</t>
  </si>
  <si>
    <t xml:space="preserve">Genetic Comparison of Human Parainfluenza Virus Type 3 Detected in Respiratory Samples from Patients with Encephalopathy and Airway Inflammation in Aichi Prefecture, Japan</t>
  </si>
  <si>
    <t xml:space="preserve">Virology; Virus; Encephalopathy; Human Parainfluenza Virus; Medicine; Respiratory system</t>
  </si>
  <si>
    <t xml:space="preserve">INFECTIONS; COMMUNITY; SYMPTOMS; CHILDREN</t>
  </si>
  <si>
    <t xml:space="preserve">Human parainfluenza virus type 3 (HPIV-3, human respirovirus 3) is the second most frequently detected virus in lower respiratory tract infections in children after human respiratory syncytial virus (HRSV). HPIV-3, similar to related respiratory viruses such as HRSV and influenza virus, may cause encephalopathy; however, the relevance of HPIV-3 as a pathogenic factor in encephalopathy is unknown. We attempted to detect HPIV-1, HPIV-2, HPIV-3, HPIV-4, HRSV, and human metapneumovirus (HMPV) in 136 patients with encephalitis/encephalopathy or suspected encephalitis/encephalopathy during a 6-year period from 2014 to 2019. HPIV-3 was detected in 6 patients, followed by HRSV in 3 patients. The HPIV-3 strains detected were closely related to those detected in a patient with respiratory disease during the same period. Although HPIV-3 is less widely recognized than HRSV as a triggering virus of encephalopathy, our results suggest that HPIV-3 is as important as HRSV. Surveillance of the causative viruses of encephalopathy, including HPIV-3, would help clarify the causes of encephalopathy in Japan, as the cause is currently reported in less than half of cases in Japan.</t>
  </si>
  <si>
    <t xml:space="preserve">[Adachi, Hirokazu; Minagawa, Hiroko; Hirose, Emi; Nakamura, Noriko; Niimi, Hitomi; Saito, Noriko; Ito, Miyabi; Sato, Katsuhiko; Yasui, Yoshihiro] Aichi Prefectural Inst Publ Hlth, Virol Lab, Dept Microbiol &amp; Med Zool, 7-6 Nagare,Tsuji Cho,Kita Ku, Nagoya, Aichi 4628576, Japan</t>
  </si>
  <si>
    <t xml:space="preserve">Adachi, H (corresponding author), Aichi Prefectural Inst Publ Hlth, Virol Lab, Dept Microbiol &amp; Med Zool, 7-6 Nagare,Tsuji Cho,Kita Ku, Nagoya, Aichi 4628576, Japan.</t>
  </si>
  <si>
    <t xml:space="preserve">hirokazu_adachi@pref.aichi.lg.jp</t>
  </si>
  <si>
    <t xml:space="preserve">10.7883/yoken.JJID.2023.265</t>
  </si>
  <si>
    <t xml:space="preserve">WOS:001312464900005</t>
  </si>
  <si>
    <t xml:space="preserve">Bénet, T; Picot, VS; Awasthi, S; Pandey, N; Bavdekar, A; Kawade, A; Robinson, A; Rakoto-Andrianarivelo, M; Sylla, M; Diallo, S; Russomando, G; Basualdo, W; Komurian-Pradel, F; Endtz, H; Vanhems, P; Paranhos-Baccalà, G</t>
  </si>
  <si>
    <t xml:space="preserve">Benet, Thomas; Picot, Valentina Sanchez; Awasthi, Shally; Pandey, Nitin; Bavdekar, Ashish; Kawade, Anand; Robinson, Annick; Rakoto-Andrianarivelo, Mala; Sylla, Maryam; Diallo, Souleymane; Russomando, Graciela; Basualdo, Wilma; Komurian-Pradel, Florence; Endtz, Hubert; Vanhems, Philippe; Paranhos-Baccala, Glaucia</t>
  </si>
  <si>
    <t xml:space="preserve">GABRIEL Network</t>
  </si>
  <si>
    <t xml:space="preserve">Severity of Pneumonia in Under 5-Year-Old Children from Developing Countries: A Multicenter, Prospective, Observational Study</t>
  </si>
  <si>
    <t xml:space="preserve">Observational study; Pneumonia; Multicenter study; Developing country; Medicine</t>
  </si>
  <si>
    <t xml:space="preserve">CHILDHOOD PNEUMONIA; STREPTOCOCCUS-PNEUMONIAE; INFECTIOUS-DISEASES; PULSE OXIMETRY; HYPOXEMIA; COLONIZATION; DIAGNOSIS; BACTERIAL; ETIOLOGY; INFANTS</t>
  </si>
  <si>
    <t xml:space="preserve">Pneumonia is the leading cause of death in children. The objectives were to evaluate the microbiological agents linked with hypoxemia in hospitalized children with pneumonia from developing countries, to identify predictors of hypoxemia, and to characterize factors associated with in-hospital mortality. A multicenter, observational study was conducted in five hospitals, from India (Lucknow, Vadu), Madagascar (Antananarivo), Mali (Bamako), and Paraguay (San Lorenzo). Children aged 2-60 months with radiologically confirmed pneumonia were enrolled prospectively. Respiratory and whole blood specimens were collected, identifying viruses and bacteria by real-time multiplex polymerase chain reaction (PCR). Microbiological agents linked with hypoxemia at admission (oxygen saturation &lt; 90%) were analyzed by multivariate logistic regression, and factors associated with 14-day in-hospital mortality were assessed by bivariate Cox regression. Overall, 405 pneumonia cases (3,338 hospitalization days) were analyzed; 13 patients died within 14 days of hospitalization. Hypoxemia prevalence was 17.3%. Detection of human metapneumovirus (hMPV) and respiratory syncytial virus (RSV) in respiratory samples was independently associated with increased risk of hypoxemia (adjusted odds ratio [aOR] = 2.4, 95% confidence interval [95% CI] = 1.0-5.8 and aOR = 2.5, 95% CI = 1.1-5.3, respectively). Lower chest indrawing and cyanosis were predictive of hypoxemia (positive likelihood ratios = 2.3 and 2.4, respectively). Predictors of death were Streptococcus pneumoniae detection by blood PCR (crude hazard ratio [cHR] = 4.6, 95% CI = 1.5-14.0), procalcitonin &gt;= 50 ng/ mL (cHR = 22.4,95% CI = 7.3-68.5) and hypoxemia (cHR = 4.8,95% CI = 1.6-14.4). These findings were consistent on bivariate analysis. hMPV and RSV in respiratory samples were linked with hypoxemia, and S. pneumoniae in blood was associated with increased risk of death among hospitalized children with pneumonia in developing countries.</t>
  </si>
  <si>
    <t xml:space="preserve">[Benet, Thomas; Picot, Valentina Sanchez; Komurian-Pradel, Florence; Endtz, Hubert; Vanhems, Philippe; Paranhos-Baccala, Glaucia] UCBL1, ENS Lyon, UMR5308,CNRS,INSERM, CIRI,Lab Pathogenes Emergents,Fdn Merieux,U1111, Lyon, France; [Benet, Thomas; Vanhems, Philippe] Hosp Civils Lyon, Hop Edouard Herriot, Serv Hyg Epidemiol &amp; Prevent, Lyon, France; [Awasthi, Shally; Pandey, Nitin] Chhatrapati Shahu Ji Maharaj Univ, Lucknow, Uttar Pradesh, India; [Bavdekar, Ashish; Kawade, Anand] KEM Hosp, Res Ctr, Pune, Maharashtra, India; [Robinson, Annick] Hop Femme Mere Enfant, Antananarivo, Madagascar; [Rakoto-Andrianarivelo, Mala] Fdn Merieux, CICM, Antananarivo, Madagascar; [Sylla, Maryam] Gabriel Toure Hosp, Bamako, Mali; [Diallo, Souleymane] CICM, Bamako, Mali; [Russomando, Graciela] Hlth Res Inst, Asuncion, Paraguay; [Basualdo, Wilma] Hosp Pediat Ninos Acosta Nu, San Lorenzo, Paraguay; [Endtz, Hubert] Erasmus MC, Dept Med Microbiol &amp; Infect Dis, Rotterdam, Netherlands</t>
  </si>
  <si>
    <t xml:space="preserve">Institut National de la Sante et de la Recherche Medicale (Inserm); Ecole Normale Superieure de Lyon (ENS de LYON); Universite Claude Bernard Lyon 1; Centre National de la Recherche Scientifique (CNRS); CNRS - National Institute for Biology (INSB); CHU Lyon; Erasmus University Rotterdam; Erasmus MC</t>
  </si>
  <si>
    <t xml:space="preserve">Paranhos-Baccalà, G (corresponding author), Med Diagnost Discovery Dept MD3, Ctr Excellence Trop Infect Dis, BioMerieux Brasil Av Dr Cardoso Melo,900 Cj 42, BR-04548003 Sao Paulo, SP, Brazil.</t>
  </si>
  <si>
    <t xml:space="preserve">thomas.benet@chu-lyon.fr; valentina.picot@fondation-merieux.org; shally07@gmail.com; drnitinpandey@gmail.com; bavdekar@vsnl.com; askawade@yahoo.com; annicklalaina@yahoo.fr; mala@cicm-madagascar.com; dr_mame@yahoo.fr; souleymane.diallo@fondationmerieux-mali.org; grusso@rieder.net.py; wilmabasualdo@gmail.com; florence.pradel@fondation-merieux.org; hubert.endtz@fondation-merieux.org; philippe.vanhems@chu-lyon.fr; glaucia.baccala@biomerieux.com</t>
  </si>
  <si>
    <t xml:space="preserve">KAWADE, ANAND/AAY-1006-2021; Diallo, Souleymane/AAG-8133-2019; Bénet, Thomas/G-8128-2012</t>
  </si>
  <si>
    <t xml:space="preserve">Benet, Thomas/0000-0002-3143-6582; Russomando, Graciela/0000-0003-4107-2038; Rakoto Andrianarivelo, Mala/0000-0001-6767-9554; Pradel, Florence/0000-0002-1023-0796</t>
  </si>
  <si>
    <t xml:space="preserve">Fondation Merieux; GABRIEL Network</t>
  </si>
  <si>
    <t xml:space="preserve">This study was funded by Fondation Merieux and the GABRIEL Network.</t>
  </si>
  <si>
    <t xml:space="preserve">10.4269/ajtmh.16-0733</t>
  </si>
  <si>
    <t xml:space="preserve">WOS:000409523900014</t>
  </si>
  <si>
    <t xml:space="preserve">Rogers, MC; Williams, JV</t>
  </si>
  <si>
    <t xml:space="preserve">Rogers, Meredith C.; Williams, John V.</t>
  </si>
  <si>
    <t xml:space="preserve">Reining in the CD8+T cell: Respiratory virus infection and PD-1-mediated T-cell impairment</t>
  </si>
  <si>
    <t xml:space="preserve">T cell; Cytotoxic T cell; CD8; Respiratory system; Immunology</t>
  </si>
  <si>
    <t xml:space="preserve">HUMAN METAPNEUMOVIRUS; SYNCYTIAL VIRUS; INFLUENZA-VIRUS; EXPRESSION; PD-1; ACTIVATION; CLEARANCE; RESPONSES; PROVIDE; MEMORY</t>
  </si>
  <si>
    <t xml:space="preserve">[Rogers, Meredith C.; Williams, John V.] Univ Pittsburgh, Dept Pediat, Sch Med, Pittsburgh, PA 15260 USA; [Rogers, Meredith C.] Vanderbilt Univ, Med Ctr, Dept Pathol Microbiol &amp; Immunol, Nashville, TN 37235 USA; [Williams, John V.] UPMC, Childrens Hosp Pittsburgh, Pittsburgh, PA 15213 USA</t>
  </si>
  <si>
    <t xml:space="preserve">Pennsylvania Commonwealth System of Higher Education (PCSHE); University of Pittsburgh; Vanderbilt University; Pennsylvania Commonwealth System of Higher Education (PCSHE); University of Pittsburgh</t>
  </si>
  <si>
    <t xml:space="preserve">Rogers, MC; Williams, JV (corresponding author), Univ Pittsburgh, Dept Pediat, Sch Med, Pittsburgh, PA 15260 USA.;Rogers, MC (corresponding author), Vanderbilt Univ, Med Ctr, Dept Pathol Microbiol &amp; Immunol, Nashville, TN 37235 USA.;Williams, JV (corresponding author), UPMC, Childrens Hosp Pittsburgh, Pittsburgh, PA 15213 USA.</t>
  </si>
  <si>
    <t xml:space="preserve">meredith.rogers@vanderbilt.edu; jvw@chp.edu</t>
  </si>
  <si>
    <t xml:space="preserve">Rogers, Meredith/0000-0003-1798-6294; Williams, John/0000-0001-8377-5175</t>
  </si>
  <si>
    <t xml:space="preserve">NIH/NIAID [AI085062]; Henry L. Hillman Chair in Pediatric Immunology from the Henry L. Hillman Foundation [GM007347]; NIH/NIGMS</t>
  </si>
  <si>
    <t xml:space="preserve">NIH/NIAID(United States Department of Health &amp; Human ServicesNational Institutes of Health (NIH) - USANIH National Institute of Allergy &amp; Infectious Diseases (NIAID)); Henry L. Hillman Chair in Pediatric Immunology from the Henry L. Hillman Foundation; NIH/NIGMS(United States Department of Health &amp; Human ServicesNational Institutes of Health (NIH) - USANIH National Institute of General Medical Sciences (NIGMS))</t>
  </si>
  <si>
    <t xml:space="preserve">JVW was supported by grant number AI085062 from the NIH/NIAID (https://www.niaid.nih.gov) and the Henry L. Hillman Chair in Pediatric Immunology from the Henry L. Hillman Foundation (https://hillmanfamilyfoundations.org/foundations/henry-l-hillman-foundation/).MCR was supported by grant number GM007347 from the NIH/NIGMS (https://www.nigms.nih.gov).The funders had no role in study design, data collection and analysis, decision to publish, or preparation of the manuscript.</t>
  </si>
  <si>
    <t xml:space="preserve">e1007387</t>
  </si>
  <si>
    <t xml:space="preserve">10.1371/journal.ppat.1007387</t>
  </si>
  <si>
    <t xml:space="preserve">HJ7TK</t>
  </si>
  <si>
    <t xml:space="preserve">WOS:000457400000004</t>
  </si>
  <si>
    <t xml:space="preserve">Alto, WA</t>
  </si>
  <si>
    <t xml:space="preserve">Human metapneumovirus: A newly described respiratory tract pathogen</t>
  </si>
  <si>
    <t xml:space="preserve">JOURNAL OF THE AMERICAN BOARD OF FAMILY PRACTICE</t>
  </si>
  <si>
    <t xml:space="preserve">Human metapneumovirus; Medicine; Metapneumovirus; Respiratory tract infections; Respiratory tract; Immunology; Serology</t>
  </si>
  <si>
    <t xml:space="preserve">YOUNG-CHILDREN; INFECTIONS; PNEUMONIA; INFANTS; DISEASE</t>
  </si>
  <si>
    <t xml:space="preserve">Human metapneumovirus is an emerging human respiratory pathogen first discovered in 2001. It clinically resembles respiratory syncytial virus, can cause both upper and lower tract disease, and has been associated with serious illness in the young, among the immunosuppressed, and in the chronically ill. Cough and congestion are frequently reported, and respiratory failure may occur. Initial infection occurs during early childhood, and repeated infections throughout life impart only transient immunity. Diagnosis is by reverse transcription-polymerase chain reaction or rising serologic titers. No commercial laboratory tests or treatments are available. Primary care physicians should maintain vigilance for outbreaks of newly discovered and emerging respiratory illnesses.</t>
  </si>
  <si>
    <t xml:space="preserve">Maine Dartmouth Family Practice Residency, Fairfield, ME 04937 USA</t>
  </si>
  <si>
    <t xml:space="preserve">Maine Dartmouth Family Practice Residency, 4 Sheridan Dr, Fairfield, ME 04937 USA.</t>
  </si>
  <si>
    <t xml:space="preserve">waalto@dartmouth.edu</t>
  </si>
  <si>
    <t xml:space="preserve">AMER BOARD FAMILY MEDICINE</t>
  </si>
  <si>
    <t xml:space="preserve">LEXINGTON</t>
  </si>
  <si>
    <t xml:space="preserve">2228 YOUNG DR, LEXINGTON, KY 40505 USA</t>
  </si>
  <si>
    <t xml:space="preserve">0893-8652</t>
  </si>
  <si>
    <t xml:space="preserve">J AM BOARD FAM PRACT</t>
  </si>
  <si>
    <t xml:space="preserve">J. Am. Board Fam. Pract.</t>
  </si>
  <si>
    <t xml:space="preserve">10.3122/jabfm.17.6.466</t>
  </si>
  <si>
    <t xml:space="preserve">875YE</t>
  </si>
  <si>
    <t xml:space="preserve">WOS:000225458200009</t>
  </si>
  <si>
    <t xml:space="preserve">Leyrat, C; Paesen, GC; Charleston, J; Renner, M; Grimes, JM</t>
  </si>
  <si>
    <t xml:space="preserve">Leyrat, Cedric; Paesen, Guido C.; Charleston, James; Renner, Max; Grimes, Jonathan M.</t>
  </si>
  <si>
    <t xml:space="preserve">Structural Insights into the Human Metapneumovirus Glycoprotein Ectodomain</t>
  </si>
  <si>
    <t xml:space="preserve">Ectodomain; Biology; Human metapneumovirus; Glycoprotein; Metapneumovirus; Innate immune system; Immune system</t>
  </si>
  <si>
    <t xml:space="preserve">INTRINSICALLY DISORDERED PROTEINS; ATTACHMENT G-GLYCOPROTEIN; CYSTEINE-RICH REGION; F-PROTEIN; FUSION PROTEIN; MEMBRANE-FUSION; GENETIC-VARIABILITY; RSV F; VIRUS; BINDING</t>
  </si>
  <si>
    <t xml:space="preserve">Human metapneumovirus is a major cause of respiratory tract infections worldwide. Previous reports have shown that the viral attachment glycoprotein (G) modulates innate and adaptive immune responses, leading to incomplete immunity and promoting reinfection. Using bioinformatics analyses, static light scattering, and small-angle X-ray scattering, we show that the extracellular region of G behaves as a heavily glycosylated, intrinsically disordered polymer. We discuss potential implications of these findings for the modulation of immune responses by G.</t>
  </si>
  <si>
    <t xml:space="preserve">[Leyrat, Cedric; Paesen, Guido C.; Charleston, James; Renner, Max; Grimes, Jonathan M.] Univ Oxford, Wellcome Trust Ctr Human Genet, Div Struct Biol, Oxford, England; [Grimes, Jonathan M.] Diamond Light Source Ltd, Didcot, Oxon, England</t>
  </si>
  <si>
    <t xml:space="preserve">Grimes, Jonathan Mark/0000-0001-9698-0389; Renner, Max/0000-0001-9885-8256; Leyrat, Cedric/0000-0003-0189-0562</t>
  </si>
  <si>
    <t xml:space="preserve">European Union [260644]; Wellcome Trust [090532/Z/09/Z, 099667/Z/12/Z]; Wellcome Trust [099667/Z/12/Z] Funding Source: Wellcome Trust</t>
  </si>
  <si>
    <t xml:space="preserve">European Union(European Union (EU)); Wellcome Trust(Wellcome Trust); Wellcome Trust(Wellcome Trust)</t>
  </si>
  <si>
    <t xml:space="preserve">The research leading to these results has received funding from the European Union Seventh Framework Programme (FP7/2007-2013) under SILVER grant agreement no. 260644. The work was also supported by the Wellcome Trust Core award (090532/Z/09/Z). M.R. was supported by a Wellcome Trust fellowship (099667/Z/12/Z).</t>
  </si>
  <si>
    <t xml:space="preserve">10.1128/JVI.01726-14</t>
  </si>
  <si>
    <t xml:space="preserve">WOS:000341872700051</t>
  </si>
  <si>
    <t xml:space="preserve">Domachowske, JB; Rosenberg, HF</t>
  </si>
  <si>
    <t xml:space="preserve">Advances in the treatment and prevention of severe viral bronchiolitis</t>
  </si>
  <si>
    <t xml:space="preserve">PEDIATRIC ANNALS</t>
  </si>
  <si>
    <t xml:space="preserve">Medicine; Bronchiolitis; Palivizumab; Monoclonal antibody</t>
  </si>
  <si>
    <t xml:space="preserve">SYNCYTIAL VIRUS BRONCHIOLITIS; RESPIRATORY-TRACT INFECTION; RANDOMIZED CONTROLLED-TRIAL; PLACEBO-CONTROLLED TRIAL; DOUBLE-BLIND; AEROSOLIZED RIBAVIRIN; HUMAN METAPNEUMOVIRUS; NEBULIZED BUDESONIDE; ORAL DEXAMETHASONE; CHILDREN</t>
  </si>
  <si>
    <t xml:space="preserve">SUNY Syracuse, Upstate Med Univ, Dept Pediat, Syracuse, NY 13210 USA; NIAID, NIH, Lab Allerg Dis, Bethesda, MD 20892 USA</t>
  </si>
  <si>
    <t xml:space="preserve">Domachowske, JB (corresponding author), SUNY Syracuse, Upstate Med Univ, Dept Pediat, 5th Floor,750 E Adams St, Syracuse, NY 13210 USA.</t>
  </si>
  <si>
    <t xml:space="preserve">SLACK INC</t>
  </si>
  <si>
    <t xml:space="preserve">THOROFARE</t>
  </si>
  <si>
    <t xml:space="preserve">6900 GROVE RD, THOROFARE, NJ 08086 USA</t>
  </si>
  <si>
    <t xml:space="preserve">0090-4481</t>
  </si>
  <si>
    <t xml:space="preserve">PEDIATR ANN</t>
  </si>
  <si>
    <t xml:space="preserve">Pediatr. Annu.</t>
  </si>
  <si>
    <t xml:space="preserve">10.3928/0090-4481-20050101-10</t>
  </si>
  <si>
    <t xml:space="preserve">889IH</t>
  </si>
  <si>
    <t xml:space="preserve">WOS:000226436200006</t>
  </si>
  <si>
    <t xml:space="preserve">Liao, S; Bao, X; Liu, T; Lai, S; Li, K; Garofalo, RP; Casola, A</t>
  </si>
  <si>
    <t xml:space="preserve">Liao, S.; Bao, X.; Liu, T.; Lai, S.; Li, K.; Garofalo, R. P.; Casola, A.</t>
  </si>
  <si>
    <t xml:space="preserve">Role of retinoic acid inducible gene-I in human metapneumovirus-induced cellular signalling</t>
  </si>
  <si>
    <t xml:space="preserve">Biology; Interferon; RIG-I; Interferon regulatory factors; Virology; Small interfering RNA</t>
  </si>
  <si>
    <t xml:space="preserve">RESPIRATORY-SYNCYTIAL-VIRUS; NF-KAPPA-B; ALVEOLAR EPITHELIAL-CELLS; RIG-I; INNATE IMMUNITY; TRANSCRIPTION FACTOR; ANTIVIRAL RESPONSES; RNA VIRUSES; IKK-EPSILON; V-PROTEINS</t>
  </si>
  <si>
    <t xml:space="preserve">[Liao, S.; Bao, X.; Liu, T.; Lai, S.; Garofalo, R. P.; Casola, A.] Univ Texas Galveston, Med Branch, Dept Pediat, Galveston, TX 77550 USA; [Liao, S.; Lai, S.] Chang Gung Childrens Hosp, Dept Pediat, Tao Yuan, Taiwan; [Liao, S.; Lai, S.] Chang Gung Univ, Tao Yuan, Taiwan; [Li, K.; Garofalo, R. P.; Casola, A.] Univ Texas Galveston, Med Branch, Dept Microbiol &amp; Immunol, Galveston, TX 77550 USA; [Garofalo, R. P.; Casola, A.] Univ Texas Galveston, Med Branch, Sealy Ctr Vaccine Dev, Galveston, TX 77550 USA</t>
  </si>
  <si>
    <t xml:space="preserve">University of Texas System; University of Texas Medical Branch Galveston; Chang Gung Memorial Hospital; Chang Gung University; University of Texas System; University of Texas Medical Branch Galveston; University of Texas System; University of Texas Medical Branch Galveston</t>
  </si>
  <si>
    <t xml:space="preserve">NIAID NIH HHS [T32 AI07536, P01 AI062885-010003, P01 AI062885-020003, P01 AI062885-030003, P01 AI062885, T32 AI007536, P01 AI062885-050003, P01 AI062885-040003] Funding Source: Medline; PHS HHS [NIEHS 06676, NIAID P01 062885] Funding Source: Medline</t>
  </si>
  <si>
    <t xml:space="preserve">10.1099/vir.0.2008/000778-0</t>
  </si>
  <si>
    <t xml:space="preserve">WOS:000258301800022</t>
  </si>
  <si>
    <t xml:space="preserve">Fujitsuka, A; Tsukagoshi, H; Arakawa, M; Goto-Sugai, K; Ryo, A; Okayama, Y; Mizuta, K; Nishina, A; Yoshizumi, M; Kaburagi, Y; Noda, M; Tashiro, M; Okabe, N; Mori, M; Yokota, S; Kimura, H</t>
  </si>
  <si>
    <t xml:space="preserve">Fujitsuka, Asako; Tsukagoshi, Hiroyuki; Arakawa, Mika; Goto-Sugai, Kazuko; Ryo, Akihide; Okayama, Yoshimichi; Mizuta, Katsumi; Nishina, Atsuyoshi; Yoshizumi, Masakazu; Kaburagi, Yoichi; Noda, Masahiro; Tashiro, Masato; Okabe, Nobuhiko; Mori, Masaaki; Yokota, Shumpei; Kimura, Hirokazu</t>
  </si>
  <si>
    <t xml:space="preserve">A molecular epidemiological study of respiratory viruses detected in Japanese children with acute wheezing illness</t>
  </si>
  <si>
    <t xml:space="preserve">Rhinovirus; Human metapneumovirus; Virology; Respiratory system; Medical microbiology; Asthma; Virus; Epidemiology</t>
  </si>
  <si>
    <t xml:space="preserve">PHYLOGENETIC ANALYSIS; VIRAL-INFECTIONS; TRACT INFECTIONS; CLINICAL-SAMPLES; INFANTS; RHINOVIRUS; ASTHMA; IDENTIFICATION; EXACERBATION; ASSOCIATION</t>
  </si>
  <si>
    <t xml:space="preserve">Background: Recent studies strongly suggest that some respiratory viruses are associated with the induction of acute wheezing and/or exacerbation of bronchial asthma. However, molecular epidemiology of these viruses is not exactly known. Methods: Using PCR technology, we attempted to detect various respiratory viruses from 115 Japanese children. Furthermore, the detected viruses were subjected to homology, pairwise distance, and phylogenetic analysis. Results: Viruses were detected from 99 (86.1%) patients. Respiratory syncytial virus (RSV) alone and human rhinovirus (HRV) alone were detected in 47 (40.9%) and 36 (31.3%) patients, respectively. Both RSV and HRV were detected in 14 (12.2%) patients. Human metapneumovirus (HMPV) alone and human parainfluenza virus (HPIV) alone were detected in 1 (0.9%) patient each, respectively. Homology and phylogenetic analyses showed that the RSV and HRV strains were classified into genetically diverse species or subgroups. In addition, RSV was the dominant virus detected in patients with no history of wheezing, whereas HRV was dominant in patients with a history of wheezing. Conclusions: The results suggested that these genetically diverse respiratory viruses, especially RSV and HRV, might be associated with wheezing in Japanese children.</t>
  </si>
  <si>
    <t xml:space="preserve">[Tsukagoshi, Hiroyuki; Yoshizumi, Masakazu; Kimura, Hirokazu] Gunma Prefectural Inst Publ Hlth &amp; Environm Sci, Dept Hlth Sci, Maebashi, Gunma 3710052, Japan; [Fujitsuka, Asako; Goto-Sugai, Kazuko; Kaburagi, Yoichi] Natl Hosp Org, Yokohama Med Ctr, Dept Pediat, Totsuka Ku, Kanagawa 2458575, Japan; [Fujitsuka, Asako; Goto-Sugai, Kazuko; Mori, Masaaki; Yokota, Shumpei] Yokohama City Univ, Grad Sch Med, Dept Pediat, Kanazawa Ku, Kanagawa 2360004, Japan; [Arakawa, Mika] Tochigi Prefectural Inst Publ, Dept Microbiol, Utsunomiya, Tochigi 3291196, Japan; [Ryo, Akihide] Yokohama City Univ, Grad Sch Med, Dept Mol Biodef Res, Kanazawa Ku, Kanagawa 2360004, Japan; [Okayama, Yoshimichi] Nihon Univ, Grad Sch Med Sci, Adv Med Res Ctr, Div Mol Cell Immunol &amp; Allergol,Itabashi Ku, Tokyo 1738610, Japan; [Mizuta, Katsumi] Yamagata Prefectural Inst Publ Hlth, Dept Microbiol, Yamagata 9900031, Japan; [Nishina, Atsuyoshi] Yamagata Prefectural Yonezawa Womens Jr Coll, Dept Hlth &amp; Nutr, Yonezawa, Yamagata 9920025, Japan; [Noda, Masahiro] Natl Inst Infect Dis, Dept Virol 3, Musashimurayama, Tokyo 2080011, Japan; [Tashiro, Masato] Natl Inst Infect Dis, Influenza Virus Res Ctr, Musashimurayama, Tokyo 2080011, Japan; [Okabe, Nobuhiko; Kimura, Hirokazu] Natl Inst Infect Dis, Infect Dis Surveillance Ctr, Musashimurayama, Tokyo 2080011, Japan</t>
  </si>
  <si>
    <t xml:space="preserve">Yokohama City University; Yokohama City University; Nihon University; National Institute of Infectious Diseases (NIID); National Institute of Infectious Diseases (NIID); National Institute of Infectious Diseases (NIID)</t>
  </si>
  <si>
    <t xml:space="preserve">Kimura, H (corresponding author), Gunma Prefectural Inst Publ Hlth &amp; Environm Sci, Dept Hlth Sci, 378 Kamioki Machi, Maebashi, Gunma 3710052, Japan.</t>
  </si>
  <si>
    <t xml:space="preserve">hkimura0511@gmail.com</t>
  </si>
  <si>
    <t xml:space="preserve">atsu, nishi/L-4874-2019; Okayama, Yoshimichi/AAG-4352-2021</t>
  </si>
  <si>
    <t xml:space="preserve">Japan Society for Promotion of Science; Ministry of Health, Labour and Welfare; Grants-in-Aid for Scientific Research [23591545] Funding Source: KAKEN</t>
  </si>
  <si>
    <t xml:space="preserve">Japan Society for Promotion of Science(Ministry of Education, Culture, Sports, Science and Technology, Japan (MEXT)Japan Society for the Promotion of Science); Ministry of Health, Labour and Welfare(Ministry of Health, Labour and Welfare, Japan); Grants-in-Aid for Scientific Research(Ministry of Education, Culture, Sports, Science and Technology, Japan (MEXT)Japan Society for the Promotion of ScienceGrants-in-Aid for Scientific Research (KAKENHI))</t>
  </si>
  <si>
    <t xml:space="preserve">We thank Drs. Hirotaka Motoi and Yoshinori Kobayashi for constructive discussion. This work was supported by a Grant-in-Aid from the Japan Society for Promotion of Science and for Research on Emerging and Re-emerging Infectious Diseases from the Ministry of Health, Labour and Welfare.</t>
  </si>
  <si>
    <t xml:space="preserve">JUN 10</t>
  </si>
  <si>
    <t xml:space="preserve">10.1186/1471-2334-11-168</t>
  </si>
  <si>
    <t xml:space="preserve">783KU</t>
  </si>
  <si>
    <t xml:space="preserve">WOS:000292082000001</t>
  </si>
  <si>
    <t xml:space="preserve">Jartti, T; van den Hoogen, B; Garofalo, RP; Osterhaus, ADME; Ruuskanen, O</t>
  </si>
  <si>
    <t xml:space="preserve">Metapneumovirus and acute wheezing in children</t>
  </si>
  <si>
    <t xml:space="preserve">LANCET</t>
  </si>
  <si>
    <t xml:space="preserve">Human metapneumovirus; Medicine; Metapneumovirus; White blood cell; Respiratory system</t>
  </si>
  <si>
    <t xml:space="preserve">A new respiratory virus, human metapneumovirus, was recently identified. We detected this virus by PCR in ten (8%) of 132 consecutive children admitted to Turku Hospital, Finland, for acute expiratory wheezing (median age 7 months, range 4-25). The mean duration of hospital stay was 2.5 days (SD 1-6) and mean duration of respiratory symptoms was 19 days (8). The white blood cell count, C-reactive protein, and regulated upon activation, normal T-cell-expressed and T-cell-secreted (RANTES) concentrations in nasal secretion remained low, whereas interleukin 8 concentrations in nasal secretion were high. Human metapneumovirus is a clinically important causative agent of acute wheezing in young children.</t>
  </si>
  <si>
    <t xml:space="preserve">Turku Univ Hosp, Dept Paediat, Turku 20521, Finland; Univ Texas, Med Branch, Childrens Hosp, Galveston, TX 77550 USA; Erasmus Med Ctr, Dept Virol, Rotterdam, Netherlands</t>
  </si>
  <si>
    <t xml:space="preserve">University of Turku; University of Texas System; University of Texas Medical Branch Galveston; Erasmus University Rotterdam; Erasmus MC</t>
  </si>
  <si>
    <t xml:space="preserve">Jartti, T (corresponding author), Turku Univ Hosp, Dept Paediat, PL 52, Turku 20521, Finland.</t>
  </si>
  <si>
    <t xml:space="preserve">Garofalo, Roberto/ABL-2322-2022; van den Hoogen, Bernadette/J-5461-2013</t>
  </si>
  <si>
    <t xml:space="preserve">Osterhaus, Albert/0000-0002-6074-1172</t>
  </si>
  <si>
    <t xml:space="preserve">NIAID NIH HHS [P01 AI 46004, AI 15939] Funding Source: Medline</t>
  </si>
  <si>
    <t xml:space="preserve">LANCET LTD</t>
  </si>
  <si>
    <t xml:space="preserve">0140-6736</t>
  </si>
  <si>
    <t xml:space="preserve">Lancet</t>
  </si>
  <si>
    <t xml:space="preserve">10.1016/S0140-6736(02)11391-2</t>
  </si>
  <si>
    <t xml:space="preserve">612ND</t>
  </si>
  <si>
    <t xml:space="preserve">WOS:000179081600014</t>
  </si>
  <si>
    <t xml:space="preserve">Li, H; Ma, YH; Escaffre, O; Ivanciuc, T; Komaravelli, N; Kelley, JP; Coletta, C; Szabo, C; Rockx, B; Garofalo, RP; Casola, A</t>
  </si>
  <si>
    <t xml:space="preserve">Li, Hui; Ma, Yinghong; Escaffre, Oliver; Ivanciuc, Teodora; Komaravelli, Narayana; Kelley, John P.; Coletta, Ciro; Szabo, Csaba; Rockx, Barry; Garofalo, Roberto P.; Casola, Antonella</t>
  </si>
  <si>
    <t xml:space="preserve">Role of Hydrogen Sulfide in Paramyxovirus Infections</t>
  </si>
  <si>
    <t xml:space="preserve">Proinflammatory cytokine; Biology; Chemokine; Viral replication; Virus; Paramyxoviridae; Virology</t>
  </si>
  <si>
    <t xml:space="preserve">RESPIRATORY SYNCYTIAL VIRUS; NF-KAPPA-B; AIRWAY EPITHELIAL-CELLS; INDUCED PULMONARY-FIBROSIS; RANTES GENE-EXPRESSION; HUMAN METAPNEUMOVIRUS; LUNG INFLAMMATION; ACTIVATION; METABOLISM; MICE</t>
  </si>
  <si>
    <t xml:space="preserve">Hydrogen sulfide (H2S) is an endogenous gaseous mediator that has gained increasing recognition as an important player in modulating acute and chronic inflammatory diseases. However, its role in virus-induced lung inflammation is currently unknown. Respiratory syncytial virus (RSV) is a major cause of upper and lower respiratory tract infections in children for which no vaccine or effective treatment is available. Using the slow-releasing H2S donor GYY4137 and propargylglycin (PAG), an inhibitor of cystathionine-gamma-lyase (CSE), a key enzyme that produces intracellular H2S, we found that RSV infection led to a reduced ability to generate and maintain intracellular (HS)-S-2 levels in airway epithelial cells (AECs). Inhibition of CSE with PAG resulted in increased viral replication and chemokine secretion. On the other hand, treatment of AECs with the H2S donor GYY4137 reduced proinflammatory mediator production and significantly reduced viral replication, even when administered several hours after viral absorption. GYY4137 also significantly reduced replication and inflammatory chemokine production induced by human metapneumovirus (hMPV) and Nipah virus (NiV), suggesting a broad inhibitory effect of H2S on paramyxovirus infections. GYY4137 treatment had no effect on RSV genome replication or viral mRNA and protein synthesis, but it inhibited syncytium formation and virus assembly/release. GYY4137 inhibition of proinflammatory gene expression occurred by modulation of the activation of the key transcription factors nuclear factor kappa B (NF-kappa B) and interferon regulatory factor 3 (IRF-3) at a step subsequent to their nuclear translocation. H2S antiviral and immunoregulatory properties could represent a novel treatment strategy for paramyxovirus infections. IMPORTANCE RSV is a global health concern, causing significant morbidity and economic losses as well as mortality in developing countries. After decades of intensive research, no vaccine or effective treatment, with the exception of immunoprophylaxis, is available for this infection as well as for other important respiratory mucosal viruses. This study identifies hydrogen sulfide as a novel cellular mediator that can modulate viral replication and proinflammatory gene expression, both important determinants of lung injury in respiratory viral infections, with potential for rapid translation of such findings into novel therapeutic approaches for viral bronchiolitis and pneumonia.</t>
  </si>
  <si>
    <t xml:space="preserve">[Li, Hui; Ma, Yinghong; Ivanciuc, Teodora; Komaravelli, Narayana; Kelley, John P.; Garofalo, Roberto P.; Casola, Antonella] Univ Texas Med Branch, Dept Pediat, Galveston, TX 77555 USA; [Escaffre, Oliver; Rockx, Barry] Univ Texas Med Branch, Dept Pathol, Galveston, TX 77555 USA; [Coletta, Ciro; Szabo, Csaba] Univ Texas Med Branch, Dept Anesthesiol, Galveston, TX 77555 USA; [Garofalo, Roberto P.; Casola, Antonella] Univ Texas Med Branch, Sealy Ctr Vaccine Dev, Galveston, TX 77555 USA; [Garofalo, Roberto P.; Casola, Antonella] Univ Texas Med Branch, Sealy Ctr Mol Med, Galveston, TX 77555 USA; [Rockx, Barry] Natl Inst Publ Hlth &amp; Environm, Ctr Infect Dis Control, Dept Rare &amp; Emerging Viral Infect &amp; Response, NL-3720 BA Bilthoven, Netherlands</t>
  </si>
  <si>
    <t xml:space="preserve">University of Texas System; University of Texas Medical Branch Galveston; University of Texas System; University of Texas Medical Branch Galveston; University of Texas System; University of Texas Medical Branch Galveston; University of Texas System; University of Texas Medical Branch Galveston; University of Texas System; University of Texas Medical Branch Galveston; Netherlands National Institute for Public Health &amp; the Environment</t>
  </si>
  <si>
    <t xml:space="preserve">Garofalo, Roberto/ABL-2322-2022; Szabo, Csaba/ABG-2644-2021</t>
  </si>
  <si>
    <t xml:space="preserve">Szabo, Csaba/0000-0003-3110-4235; Rockx, Barry/0000-0003-2463-027X</t>
  </si>
  <si>
    <t xml:space="preserve">UTMB John Sealy Memorial Endowment Fund; UTMB Center for Tropical Diseases postdoctoral fellowship; [R01 AI062885]; [R21 AI111042]; [R21 AI103565]; [P01 AI07924602]; [GM107846]; [P30 ES006676]; [W81XWH1010146-DoD]</t>
  </si>
  <si>
    <t xml:space="preserve">UTMB John Sealy Memorial Endowment Fund; UTMB Center for Tropical Diseases postdoctoral fellowship; ; ; ; ; ; ;</t>
  </si>
  <si>
    <t xml:space="preserve">This project was supported by grants R01 AI062885, R21 AI111042, R21 AI103565, P01 AI07924602, GM107846, P30 ES006676, and W81XWH1010146-DoD; the UTMB John Sealy Memorial Endowment Fund (A.C.); and a UTMB Center for Tropical Diseases postdoctoral fellowship (O.E.).</t>
  </si>
  <si>
    <t xml:space="preserve">10.1128/JVI.00264-15</t>
  </si>
  <si>
    <t xml:space="preserve">CG5KB</t>
  </si>
  <si>
    <t xml:space="preserve">WOS:000353329300033</t>
  </si>
  <si>
    <t xml:space="preserve">Hindiyeh, M; Mor, O; Pando, R; Mannasse, B; Kabat, A; Assraf-Zarfati, H; Mendelson, E; Sofer, D; Mandelboim, M</t>
  </si>
  <si>
    <t xml:space="preserve">Hindiyeh, Musa; Mor, Orna; Pando, Rakefet; Mannasse, Batya; Kabat, Areej; Assraf-Zarfati, Hadar; Mendelson, Ella; Sofer, Danit; Mandelboim, Michal</t>
  </si>
  <si>
    <t xml:space="preserve">Comparison of the new fully automated extraction platform eMAG to the MagNA PURE 96 and the well-established easyMAG for detection of common human respiratory viruses</t>
  </si>
  <si>
    <t xml:space="preserve">Human metapneumovirus; Virology; Extraction (chemistry)</t>
  </si>
  <si>
    <t xml:space="preserve">NUCLEIC-ACID EXTRACTION; NUCLISENS EASYMAG; INFLUENZA; PERFORMANCE; INFECTIONS; CHILDREN</t>
  </si>
  <si>
    <t xml:space="preserve">Respiratory viral infections constitute the majority of samples tested in the clinical virology laboratory during the winter season, and are mainly diagnosed using molecular assays, namely real-time PCR (qPCR). Therefore, a high-quality extraction process is critical for successful, reliable and sensitive qPCR results. Here we aimed to evaluate the performance of the newly launched eMAG compared to the fully automated MagNA PURE 96 (Roche, Germany) and to the semi-automated easyMAG (bioMerieux, France) extraction platforms. For this analysis, we assessed and compared the analytic and clinical performance of the three platforms, using 262 archived respiratory samples positive or negative to common viruses regularly examined in our laboratory (influenza A, B, H1N1 pdm, Respiratory Syncytial Virus (RSV), human Metapneumovirus (hMPV), parainfluenza-3, adenovirus and negative samples). In addition, quantitated virus controls were used to determine the limit of detection of each extraction method. In all categories tested, eMAG results were comparable to those of the easyMAG and MagNa PURE 96, highly sensitive for all viruses and over 98% clinical specificity and sensitivity for all viruses tested. Together with its high level of automation, the bioMerieux eMAG is a high-quality extraction platform enabling effective molecular analysis and is mostly suitable for medium-sized laboratories.</t>
  </si>
  <si>
    <t xml:space="preserve">[Hindiyeh, Musa; Mor, Orna; Pando, Rakefet; Mannasse, Batya; Kabat, Areej; Assraf-Zarfati, Hadar; Mendelson, Ella; Sofer, Danit; Mandelboim, Michal] Chaim Sheba Med Ctr, Cent Virol Lab, Minist Hlth, Ramat- Gan, Israel; [Hindiyeh, Musa; Mor, Orna; Kabat, Areej; Mendelson, Ella; Mandelboim, Michal] Tel Aviv Univ, Sch Publ Hlth, Dept Epidemiol &amp; Prevent Med, Sackler Fac Med, Tel Aviv, Israel; [Pando, Rakefet] Israel Minist Hlth, Israel Ctr Dis Control, Tel Hashomer, Israel</t>
  </si>
  <si>
    <t xml:space="preserve">Mandelboim, M (corresponding author), Chaim Sheba Med Ctr, Cent Virol Lab, Minist Hlth, Ramat- Gan, Israel.;Mandelboim, M (corresponding author), Tel Aviv Univ, Sch Publ Hlth, Dept Epidemiol &amp; Prevent Med, Sackler Fac Med, Tel Aviv, Israel.</t>
  </si>
  <si>
    <t xml:space="preserve">Mor, Orna/0000-0003-3207-4226</t>
  </si>
  <si>
    <t xml:space="preserve">bioMerieux Israel Representative Ilex</t>
  </si>
  <si>
    <t xml:space="preserve">The authors want to thank bioMerieux Israel Representative Ilex for their generous support of eMAG kits and to Roche Israel representative Gamidor for supplying part of MagNA 96 kits.</t>
  </si>
  <si>
    <t xml:space="preserve">e0211079</t>
  </si>
  <si>
    <t xml:space="preserve">10.1371/journal.pone.0211079</t>
  </si>
  <si>
    <t xml:space="preserve">HL9KY</t>
  </si>
  <si>
    <t xml:space="preserve">WOS:000459062900010</t>
  </si>
  <si>
    <t xml:space="preserve">De Vos, N; Vankeerberghen, A; Vaeyens, F; Van Vaerenbergh, K; Boel, A; De Beenhouwer, H</t>
  </si>
  <si>
    <t xml:space="preserve">De Vos, N.; Vankeerberghen, A.; Vaeyens, F.; Van Vaerenbergh, K.; Boel, A.; De Beenhouwer, H.</t>
  </si>
  <si>
    <t xml:space="preserve">Simultaneous detection of human bocavirus and adenovirus by multiplex real-time PCR in a Belgian paediatric population</t>
  </si>
  <si>
    <t xml:space="preserve">Human bocavirus; Human metapneumovirus; Virology; Multiplex polymerase chain reaction; Multiplex; Biology; Respiratory tract infections</t>
  </si>
  <si>
    <t xml:space="preserve">RESPIRATORY-TRACT INFECTIONS; CHILDREN; VIRUS; PARVOVIRUS; DNA; ASSAYS</t>
  </si>
  <si>
    <t xml:space="preserve">Since the discovery of human bocavirus (hBoV), the virus has been detected worldwide in respiratory tract samples from young children by various polymerase chain reaction (PCR) assays and real-time PCRs (Q-PCR). Until now, no data have been reported on the presence of hBoV in Belgium and the detection of hBoV in a multiplex Q-PCR setting has not been described. The aim of this study was to develop a fast and reliable multiplex Q-PCR for the simultaneous detection of hBoV DNA and adenovirus (AdV) DNA. During the winter of 2004-2005, 445 nasopharyngeal aspirates (NPAs) were analysed from 404 Belgian children up to 5 years old with acute respiratory tract infections (ARTIs). (Co)infections with hBoV, AdV, respiratory syncytial virus (RSV), human metapneumovirus (hMPV) and influenza A virus were investigated. A viral agent was detected in 61% (n = 272/445) of the NPAs. Multiplex Q-PCR found a prevalence of 11% (n = 51/445) hBoV and 13% (n = 58/445) AdV. Coinfections were more frequently found with AdV (62%; n = 36/58) than with hBoV (49%; n = 25/51). Follow-up samples were available from 22 patients with ARTIs. In three patients, hBoV DNA persisted for one month. Multiplex Q-PCR may help in closing the diagnostic gap by addressing a broader range of potential respiratory pathogens.</t>
  </si>
  <si>
    <t xml:space="preserve">[De Vos, N.; Vankeerberghen, A.; Vaeyens, F.; Van Vaerenbergh, K.; Boel, A.; De Beenhouwer, H.] Onze Lieve Vrouw Hosp, Dept Microbiol &amp; Mol Biol, Lab Clin Biol, B-9300 Aalst, Belgium</t>
  </si>
  <si>
    <t xml:space="preserve">De Beenhouwer, H (corresponding author), Onze Lieve Vrouw Hosp, Dept Microbiol &amp; Mol Biol, Lab Clin Biol, Moorselbaan 164, B-9300 Aalst, Belgium.</t>
  </si>
  <si>
    <t xml:space="preserve">hans.de.beenhouwer@olvz-aalst.be</t>
  </si>
  <si>
    <t xml:space="preserve">De Vos, Nathalie/0000-0003-0723-5673</t>
  </si>
  <si>
    <t xml:space="preserve">10.1007/s10096-009-0780-y</t>
  </si>
  <si>
    <t xml:space="preserve">514ON</t>
  </si>
  <si>
    <t xml:space="preserve">WOS:000271404400004</t>
  </si>
  <si>
    <t xml:space="preserve">Henrickson, KJ</t>
  </si>
  <si>
    <t xml:space="preserve">Cost-effective use of rapid diagnostic techniques in the treatment and prevention of viral respiratory infections</t>
  </si>
  <si>
    <t xml:space="preserve">Medicine; Reimbursement; Intensive care medicine; Point-of-care testing</t>
  </si>
  <si>
    <t xml:space="preserve">REVERSE TRANSCRIPTION-PCR; POLYMERASE-CHAIN-REACTION; ENZYME HYBRIDIZATION ASSAY; SYNCYTIAL VIRUS; TRACT INFECTIONS; HUMAN METAPNEUMOVIRUS; INFLUENZA INFECTION; PEDIATRIC-PATIENTS; UNITED-STATES; CHILDREN</t>
  </si>
  <si>
    <t xml:space="preserve">Med Coll Wisconsin, Dept Pediat, Milwaukee, WI 53226 USA</t>
  </si>
  <si>
    <t xml:space="preserve">Medical College of Wisconsin</t>
  </si>
  <si>
    <t xml:space="preserve">Henrickson, KJ (corresponding author), Med Coll Wisconsin, Dept Pediat, MFRC 3093,8701 Watertown Plank Rd, Milwaukee, WI 53226 USA.</t>
  </si>
  <si>
    <t xml:space="preserve">10.3928/0090-4481-20050101-08</t>
  </si>
  <si>
    <t xml:space="preserve">WOS:000226436200005</t>
  </si>
  <si>
    <t xml:space="preserve">Yun, BL; Gao, YN; Liu, YZ; Guan, XL; Wang, YQ; Qi, XL; Gao, HL; Liu, CJ; Cui, HY; Zhang, YP; Gao, YL; Wang, XM</t>
  </si>
  <si>
    <t xml:space="preserve">Yun, Bingling; Gao, Yanni; Liu, Yongzhen; Guan, Xiaolu; Wang, Yongqiang; Qi, Xiaole; Gao, Honglei; Liu, Changjun; Cui, Hongyu; Zhang, Yanping; Gao, Yulong; Wang, Xiaomei</t>
  </si>
  <si>
    <t xml:space="preserve">Effect of amino acid sequence variations at position 149 on the fusogenic activity of the subtype B avian metapneumovirus fusion protein</t>
  </si>
  <si>
    <t xml:space="preserve">Metapneumovirus; Biology; Virology; Lipid bilayer fusion; Virus; Glycoprotein</t>
  </si>
  <si>
    <t xml:space="preserve">NEWCASTLE-DISEASE VIRUS; CELL-CELL FUSION; MEMBRANE-FUSION; HEMAGGLUTININ-NEURAMINIDASE; PARAMYXOVIRUS FUSION; SYNCYTIUM FORMATION; LOW-PH; CHICKENS; GLYCOPROTEIN; PNEUMOVIRUS</t>
  </si>
  <si>
    <t xml:space="preserve">The entry of enveloped viruses into host cells requires the fusion of viral and cell membranes. These membrane fusion reactions are mediated by virus-encoded glycoproteins. In the case of avian metapneumovirus (aMPV), the fusion (F) protein alone can mediate virus entry and induce syncytium formation in vitro. To investigate the fusogenic activity of the aMPV F protein, we compared the fusogenic activities of three subtypes of aMPV F proteins using a TCSD50 assay developed in this study. Interestingly, we found that the F protein of aMPV subtype B (aMPV/B) strain VCO3/60616 (aMPV/vB) was hyperfusogenic when compared with F proteins of aMPV/B strain aMPV/f (aMPV/fB), aMPV subtype A (aMPV/A), and aMPV subtype C (aMPV/C). We then further demonstrated that the amino acid (aa) residue 149F contributed to the hyperfusogenic activity of the aMPV/vB F protein. Moreover, we revealed that residue 149F had no effect on the fusogenic activities of aMPV/A, aMPV/C, and human metapneumovirus (hMPV) F proteins. Collectively, we provide the first evidence that the amino acid at position 149 affects the fusogenic activity of the aMPV/B F protein, and our findings will provide new insights into the fusogenic mechanism of this protein.</t>
  </si>
  <si>
    <t xml:space="preserve">[Yun, Bingling; Gao, Yanni; Liu, Yongzhen; Guan, Xiaolu; Wang, Yongqiang; Qi, Xiaole; Gao, Honglei; Liu, Changjun; Cui, Hongyu; Zhang, Yanping; Gao, Yulong; Wang, Xiaomei] Chinese Acad Agr Sci, Harbin Vet Res Inst, Div Avian Infect Dis, State Key Lab Vet Biotechnol, Harbin 150001, Heilongjiang, Peoples R China; [Wang, Xiaomei] Jiangsu Coinnovat Ctr Prevent &amp; Control Important, Yangzhou 225009, Peoples R China</t>
  </si>
  <si>
    <t xml:space="preserve">Gao, YL (corresponding author), Chinese Acad Agr Sci, Harbin Vet Res Inst, Div Avian Infect Dis, State Key Lab Vet Biotechnol, 427 Maduan St, Harbin 150001, Heilongjiang, Peoples R China.</t>
  </si>
  <si>
    <t xml:space="preserve">yunbingling2010@126.com; yngao03@sina.com; yongzhenhvri@163.com; guanxiaolu07@163.com; yqw@hvri.ac.cn; qxl@hvri.ac.cn; ghl@hvri.ac.cn; liucj93711@hvri.ac.cn; cuihongyu@caas.cn; zhangyanping03@caas.cn; ylg@hvri.ac.cn; xmw@hvri.ac.cn</t>
  </si>
  <si>
    <t xml:space="preserve">Liu, Changjun/M-3272-2013; ZHANG, YANPING/HKN-1180-2023; Wang, Xiaomei/ABD-4974-2020; Liu, Yongzhen/GVR-8280-2022; GAO, YULONG/HGE-6271-2022</t>
  </si>
  <si>
    <t xml:space="preserve">Modern Agro-Industry Technology Research System [nycytx-42-G3-01]</t>
  </si>
  <si>
    <t xml:space="preserve">Modern Agro-Industry Technology Research System</t>
  </si>
  <si>
    <t xml:space="preserve">This work was supported by the Fund for the Modern Agro-Industry Technology Research System (no. nycytx-42-G3-01). We are grateful to Dr. Pinghuang Liu for critical revision of the manuscript.</t>
  </si>
  <si>
    <t xml:space="preserve">10.1007/s00705-015-2524-x</t>
  </si>
  <si>
    <t xml:space="preserve">CS1IN</t>
  </si>
  <si>
    <t xml:space="preserve">WOS:000361817600006</t>
  </si>
  <si>
    <t xml:space="preserve">Dagan, R; van der Beek, BA; Ben-Shimol, S; Greenberg, D; Shemer-Avni, Y; Weinberger, DM; Danino, D</t>
  </si>
  <si>
    <t xml:space="preserve">Dagan, Ron; van der Beek, Bart Adriaan; Ben-Shimol, Shalom; Greenberg, David; Shemer-Avni, Yonat; Weinberger, Daniel M.; Danino, Dana</t>
  </si>
  <si>
    <t xml:space="preserve">The COVID-19 pandemic as an opportunity for unravelling the causative association between respiratory viruses and pneumococcus-associated disease in young children: a prospective study</t>
  </si>
  <si>
    <t xml:space="preserve">EBIOMEDICINE</t>
  </si>
  <si>
    <t xml:space="preserve">Medicine; Rhinovirus; Pneumonia; Human metapneumovirus; Pandemic</t>
  </si>
  <si>
    <t xml:space="preserve">ACQUIRED ALVEOLAR PNEUMONIA; STREPTOCOCCUS-PNEUMONIAE; PCV7/PCV13 INTRODUCTION; CONJUGATE VACCINES; CHEST RADIOGRAPHS; TRACT INFECTIONS; IMPACT; CARRIAGE; CHILDHOOD; SEROTYPES</t>
  </si>
  <si>
    <t xml:space="preserve">Background In young children, rates of lower respiratory infections (LRI) and invasive pneumococcal disease (IPD) have been associated with respiratory syncytial virus (RSV), human metapneumovirus (hMPV), influenza (flu), and parainfluenza (PIV) (collectively termed here as pneumonia and pneumococcal disease-associated viruses [PDA-viruses]). However, their contribution to the pathogenesis of these disease endpoints has not yet been elucidated. The COVID-19 pandemic provided a unique opportunity to examine the question.Methods This prospective study comprised all children &lt;5 years, living in southern Israel, during 2016 through 2021. The data were previously collected in multiple ongoing prospective surveillance programs and include: hospital visits for community-acquired alveolar pneumonia (CAAP), non-CAAP LRI; nasopharyngeal pneumococcal carriage (&lt;3 years of age); respiratory virus activity; and nationwide, all-ages COVID-19 episodes and IPD in children &lt;5 years. A hierarchical statistical model was developed to estimate the proportion of the different clinical endpoints attributable to each virus from monthly time series data, stratified by age and ethnicity. A separate model was fit for each endpoint, with covariates that included a linear time trend, 12-month harmonic variables to capture unexplained seasonal variations, and the proportion of tests positive for each virus in that month. Findings During 2016 through 2021, 3,204, 26,695, 257, and 619 episodes of CAAP, non-CAAP LRI, pneumococcal bacteremic pneumonia and non-pneumonia IPD, respectively, were reported. Compared to 2016-2019, broad declines in the disease endpoints were observed shortly after the pandemic surge, coincident with a complete disappearance of all PDA-viruses and continued circulation of rhinovirus (RhV) and adenovirus (AdV). From April 2021, off-season and abrupt surges of all disease endpoints occurred, associated with similar dynamics among the PDA-viruses, which re-emerged sequentially. Using our model fit to the entire 2016-2021 period, 82% (95% CI, 75-88%) of CAAP episodes in 2021 were attributable to the common respiratory viruses, as were 22%-31% of the other disease endpoints. Virus-specific contributions to CAAP were: RSV, 49% (95% CI, 43-55%); hMPV, 13% (10-17%); PIV, 11% (7-15%); flu, 7% (1-13%). RhV and AdV did not contribute. RSV was the main contributor in all endpoints, especially in infants. Pneumococcal carriage prevalence remained largely stable throughout the study.Interpretation RSV and hMPV play a critical role in the burden of CAAP and pneumococcal disease in children. Interventions targeting these viruses could have a secondary effect on the burden of disease typically attributed to bacteria. 2023;90: 1016/j.ebiom.2023. 104493</t>
  </si>
  <si>
    <t xml:space="preserve">[Dagan, Ron; van der Beek, Bart Adriaan] Ben Gurion Univ Negev, Fac Hlth Sci, Shraga Segal Deptartment Microbiol Immunol &amp; Genet, Beer Sheva, Israel; [Ben-Shimol, Shalom; Greenberg, David; Shemer-Avni, Yonat; Danino, Dana] Ben Gurion Univ Negev, Fac Hlth Sci, Beer Sheva, Israel; [Ben-Shimol, Shalom; Greenberg, David; Danino, Dana] Soroka Univ, Med Ctr, Pediat Infect Dis Unit, Beer Sheva, Israel; [Shemer-Avni, Yonat] Soroka Univ, Med Ctr, Clin Virol Lab, Beer Sheva, Israel; [Weinberger, Daniel M.] Yale Sch Publ Hlth, Dept Epidemiol Microbial Dis, New Haven, CT USA; [Dagan, Ron] Ben Gurion Univ Negev, Fac Hlth Sci, Shraga Segal Dept Microbiol Immunol &amp; Genet, David Ben Gurion Blvd 1,POB 653, IL-8410500 Beer Sheva, Israel</t>
  </si>
  <si>
    <t xml:space="preserve">Ben Gurion University; Ben Gurion University; Ben Gurion University; Soroka Medical Center; Ben Gurion University; Soroka Medical Center; Yale University; Ben Gurion University</t>
  </si>
  <si>
    <t xml:space="preserve">Dagan, R (corresponding author), Ben Gurion Univ Negev, Fac Hlth Sci, Shraga Segal Dept Microbiol Immunol &amp; Genet, David Ben Gurion Blvd 1,POB 653, IL-8410500 Beer Sheva, Israel.</t>
  </si>
  <si>
    <t xml:space="preserve">van der Beek, Bart/AAA-6486-2021; Ben-Shimol, Shalom/G-3368-2015</t>
  </si>
  <si>
    <t xml:space="preserve">2352-3964</t>
  </si>
  <si>
    <t xml:space="preserve">EBioMedicine</t>
  </si>
  <si>
    <t xml:space="preserve">e104493</t>
  </si>
  <si>
    <t xml:space="preserve">10.1016/j.ebiom.2023.104493</t>
  </si>
  <si>
    <t xml:space="preserve">9X7JJ</t>
  </si>
  <si>
    <t xml:space="preserve">WOS:000949942300001</t>
  </si>
  <si>
    <t xml:space="preserve">Lu, YQ; Tong, JB; Pei, FY; Yang, YP; Xu, D; Ji, MY; Xing, CY; Jia, PD; Xu, C; Wang, YS; Li, GC; Chai, ZB; Liu, Y; Han, JX</t>
  </si>
  <si>
    <t xml:space="preserve">Lu, Yanqin; Tong, Jiabei; Pei, Fengyan; Yang, Yanping; Xu, Dong; Ji, Mingyu; Xing, Chunyan; Jia, Pingdong; Xu, Chao; Wang, Yunshan; Li, Gongchao; Chai, Zhenbin; Liu, Yan; Han, Jinxiang</t>
  </si>
  <si>
    <t xml:space="preserve">Viral Aetiology in Adults with Acute Upper Respiratory Tract Infection in Jinan, Northern China</t>
  </si>
  <si>
    <t xml:space="preserve">Respiratory tract infections; Respiratory tract; Respiratory system; Incidence (geometry); Virus</t>
  </si>
  <si>
    <t xml:space="preserve">HUMAN METAPNEUMOVIRUS; SYNCYTIAL-VIRUS; HUMAN BOCAVIRUS; SEVERE BRONCHIOLITIS; YOUNG-CHILDREN; DISEASE; INFANTS; INFLUENZA; SAMPLES; ADENOVIRUSES</t>
  </si>
  <si>
    <t xml:space="preserve">Our study investigated the epidemiology of respiratory viruses in adult patients with upper respiratory tract infection (URTI) between August 2009 and September 2010 in Jinan, northern China. Nasal and throat swabs (n = 596) were collected from adult patients with URTIs. Nine respiratory-related viruses, including IFV, PIV, HRV, HMPV, HBoV, HCoV, ADV, RSV, and EV, were detected in all samples by conventional and reverse transcription polymerase chain reactions. Positive detection rate for respiratory virus was 38.76% and codetection rate was 4.70% in adults with acute respiratory tract infections. IFV (20.81%) was the dominant agent detected and IFVB had a higher incidence (12.58%) than IFVA (7.72%). Detection rates of 8.22%, 5.03%, 3.69%, and 2.52% were observed for HBoV, HRV, EV, and RSV, respectively. HCoV had the lowest detection rate of 0.50%. HBoV, HRV, EV, and ADV infection rates were higher in the 14-25-year-old group than in the 26-65-year-old group. Codetection rates were higher (7.52%) in the 14-25-year-old group than in the older age group (2.64%). The spectrum of respiratory virus infection in adult patients with URTIs was different in Jinan compared with other cities in China.</t>
  </si>
  <si>
    <t xml:space="preserve">[Lu, Yanqin; Tong, Jiabei; Xu, Chao; Li, Gongchao; Chai, Zhenbin; Han, Jinxiang] Shandong Acad Med Sci, Key Lab Modern Med &amp; Technol Shandong Prov, Shandong Med Biotechnol Ctr,Minist Hlth, Key Lab Virol Shandong Prov,Key Lab Biotech Drugs, Jinan 250062, Peoples R China; [Pei, Fengyan; Ji, Mingyu; Wang, Yunshan; Liu, Yan] Shandong Univ, Affiliated Jinan Cent Hosp, Cent Lab, Jinan 250013, Peoples R China; [Yang, Yanping; Xu, Dong; Xing, Chunyan; Jia, Pingdong] Shandong Univ, Affiliated Jinan Cent Hosp, Dept Resp, Jinan 250013, Peoples R China</t>
  </si>
  <si>
    <t xml:space="preserve">University of Jinan; Shandong First Medical University &amp; Shandong Academy of Medical Sciences; Shandong University; Shandong First Medical University &amp; Shandong Academy of Medical Sciences; Shandong First Medical University &amp; Shandong Academy of Medical Sciences; Shandong University</t>
  </si>
  <si>
    <t xml:space="preserve">Han, JX (corresponding author), Shandong Acad Med Sci, Key Lab Modern Med &amp; Technol Shandong Prov, Shandong Med Biotechnol Ctr,Minist Hlth, Key Lab Virol Shandong Prov,Key Lab Biotech Drugs, Jinan 250062, Peoples R China.</t>
  </si>
  <si>
    <t xml:space="preserve">liu, yichen/GVT-6262-2022; Liu, Ying/HMD-5234-2023; Lu, Yanqin/AAO-5454-2020</t>
  </si>
  <si>
    <t xml:space="preserve">State Major Infectious Disease Research Program (China Central Government) [2009ZX10004206-006, 2012ZX10004206-007]; Key Projects of Nature Science Fund of Shandong Province [ZR2009CZ011]</t>
  </si>
  <si>
    <t xml:space="preserve">State Major Infectious Disease Research Program (China Central Government); Key Projects of Nature Science Fund of Shandong Province</t>
  </si>
  <si>
    <t xml:space="preserve">The authors thank the clinicians of Jinan Central Hospital of Shandong University for their assistance in sample collection. This study was supported by Grants from the State Major Infectious Disease Research Program (China Central Government, 2009ZX10004206-006 and 2012ZX10004206-007) and Key Projects of Nature Science Fund of Shandong Province (ZR2009CZ011).</t>
  </si>
  <si>
    <t xml:space="preserve">10.1155/2013/869521</t>
  </si>
  <si>
    <t xml:space="preserve">132OK</t>
  </si>
  <si>
    <t xml:space="preserve">WOS:000318078200001</t>
  </si>
  <si>
    <t xml:space="preserve">Stockman, LJ; Brooks, WA; Streatfield, PK; Rahman, M; Goswami, D; Nahar, K; Rahman, MZ; Luby, SP; Anderson, LJ</t>
  </si>
  <si>
    <t xml:space="preserve">Stockman, Lauren J.; Brooks, W. Abdullah; Streatfield, Peter K.; Rahman, Mustafizur; Goswami, Doli; Nahar, Kamrun; Rahman, Mohammed Z.; Luby, Stephen P.; Anderson, Larry J.</t>
  </si>
  <si>
    <t xml:space="preserve">Challenges to Evaluating Respiratory Syncytial Virus Mortality in Bangladesh, 2004-2008</t>
  </si>
  <si>
    <t xml:space="preserve">Verbal autopsy; Human metapneumovirus; Respiratory system; Human Parainfluenza Virus; Outbreak; Medicine; Population</t>
  </si>
  <si>
    <t xml:space="preserve">CHILDHOOD PNEUMONIA; YOUNG-CHILDREN; ETIOLOGY; INFECTIONS; INFLUENZA; BURDEN; INFANTS; SEASON; URBAN</t>
  </si>
  <si>
    <t xml:space="preserve">Background: Acute lower respiratory illness is the most common cause of death among children, globally. Data are not available to make accurate estimates on the global mortality from respiratory syncytial virus (RSV), specifically. Methods: Respiratory samples collected from children under 5 years of age during 2004 to 2008 as part of population-based respiratory disease surveillance in an urban community in Dhaka, Bangladesh were tested for RSV, human metapneumovirus (HMPV), human parainfluenza virus (PIV) types 1, 2, and 3, influenza and adenovirus by RT-PCR. Verbal autopsy data were used to identify children who died from respiratory illness in a nearby rural community. Significance of the correlation between detections and community respiratory deaths was determined using Spearman's coefficient. Results: RSV activity occurred during defined periods lasting approximately three months but with no clear seasonal pattern. There was no significant correlation between respiratory deaths and detection of any of the respiratory viruses studied. Conclusion: Outbreaks of respiratory viruses may not be associated with deaths in children in the study site; however, the few respiratory deaths observed and community-to-community variation in the timing of outbreaks may have obscured an association. An accurate assessment of respiratory virus-associated deaths will require detections and death data to come from the same location and a larger study population.</t>
  </si>
  <si>
    <t xml:space="preserve">[Stockman, Lauren J.; Anderson, Larry J.] Ctr Dis Control &amp; Prevent, Natl Ctr Immunizat &amp; Resp Dis, Atlanta, GA 30333 USA; [Brooks, W. Abdullah; Streatfield, Peter K.; Rahman, Mustafizur; Goswami, Doli; Nahar, Kamrun; Rahman, Mohammed Z.; Luby, Stephen P.] Int Ctr Diarrhoeal Dis Res, Dhaka 1000, Bangladesh</t>
  </si>
  <si>
    <t xml:space="preserve">Centers for Disease Control &amp; Prevention - USA; International Centre for Diarrhoeal Disease Research (ICDDR)</t>
  </si>
  <si>
    <t xml:space="preserve">Stockman, LJ (corresponding author), Ctr Dis Control &amp; Prevent, Natl Ctr Immunizat &amp; Resp Dis, Atlanta, GA 30333 USA.</t>
  </si>
  <si>
    <t xml:space="preserve">lstockman@cdc.gov</t>
  </si>
  <si>
    <t xml:space="preserve">rahman, mustafizur/E-6918-2010; Brooks, W./AAD-3876-2021; Nahar, Dr.Kamrun/JFS-9212-2023</t>
  </si>
  <si>
    <t xml:space="preserve">Bill &amp; Melinda Gates Foundation</t>
  </si>
  <si>
    <t xml:space="preserve">Bill &amp; Melinda Gates Foundation(Bill &amp; Melinda Gates FoundationBill &amp; Melinda Gates Foundation Grand Challenges Explorations InitiativeCGIAR)</t>
  </si>
  <si>
    <t xml:space="preserve">This study was funded by a grant from the Bill &amp; Melinda Gates Foundation to the International Center for Diarrheal Diseases Research, Bangladesh. The funders had no role in study design, data collection and analysis, decision to publish, or preparation of the manuscript.</t>
  </si>
  <si>
    <t xml:space="preserve">JAN 24</t>
  </si>
  <si>
    <t xml:space="preserve">e53857</t>
  </si>
  <si>
    <t xml:space="preserve">10.1371/journal.pone.0053857</t>
  </si>
  <si>
    <t xml:space="preserve">077JK</t>
  </si>
  <si>
    <t xml:space="preserve">WOS:000314023600023</t>
  </si>
  <si>
    <t xml:space="preserve">Phommasone, K; Xaiyaphet, X; Garcia-Rivera, JA; Hontz, RD; Pathavongsa, V; Keomoukda, P; Vongsouvath, M; Mayxay, M; Vongsouvath, M; Newton, PN; Ashley, EA; Dubot-Pérès, A</t>
  </si>
  <si>
    <t xml:space="preserve">Phommasone, Koukeo; Xaiyaphet, Xaipasong; Garcia-Rivera, Jose A.; Hontz, Robert D.; Pathavongsa, Viengmone; Keomoukda, Patsalin; Vongsouvath, Malavanh; Mayxay, Mayfong; Vongsouvath, Manivanh; Newton, Paul N.; Ashley, Elizabeth A.; Dubot-Peres, Audrey</t>
  </si>
  <si>
    <t xml:space="preserve">A case-control study of the causes of acute respiratory infection among hospitalized patients in Northeastern Laos</t>
  </si>
  <si>
    <t xml:space="preserve">Medicine; Etiology; Sore throat; Internal medicine; Odds ratio; Respiratory tract infections</t>
  </si>
  <si>
    <t xml:space="preserve">MOLECULAR-DETECTION; PNEUMONIA; ETIOLOGY; VIRUSES; INFLUENZA; CHILDREN</t>
  </si>
  <si>
    <t xml:space="preserve">With the advent of highly sensitive real-time PCR, multiple pathogens have been identified from nasopharyngeal swabs of patients with acute respiratory infections (ARIs). However, the detection of microorganisms in the upper respiratory tract does not necessarily indicate disease causation. We conducted a matched case-control study, nested within a broader fever aetiology project, to facilitate determination of the aetiology of ARIs in hospitalised patients in Northeastern Laos. Consenting febrile patients of any age admitted to Xiengkhuang Provincial Hospital were included if they met the inclusion criteria for ARI presentation (at least one of the following: cough, rhinorrhoea, nasal congestion, sore throat, difficulty breathing, and/or abnormal chest auscultation). One healthy control for each patient, matched by sex, age, and village of residence, was recruited for the study. Nasopharyngeal swabs were collected from participants and tested for 33 pathogens by probe-based multiplex real-time RT-PCR (FastTrack Diagnostics Respiratory pathogen 33 kit). Attributable fraction of illness for a given microorganism was calculated by comparing results between patients and controls (= 100 * [OR - 1]/OR) (OR = odds ratio). Between 24th June 2019 and 24th June 2020, 205 consenting ARI patients and 205 matching controls were recruited. After excluding eight pairs due to age mismatch, 197 pairs were included in the analysis. Males were predominant with sex ratio 1.2:1 and children &lt; 5 years old accounted for 59% of participants. At least one potential pathogen was detected in 173 (88%) patients and 175 (89%) controls. ARI in admitted patients were attributed to influenza B virus, influenza A virus, human metapneumovirus (HMPV), and respiratory syncytial virus (RSV) in 17.8%, 17.2%, 7.5%, and 6.5% of participants, respectively. SARS-CoV-2 was not detected in any cases or controls. Determining ARI aetiology in individual patients remains challenging. Among hospitalised patients with ARI symptoms presenting to a provincial hospital in Northeastern Laos, half were determined to be caused by one of several respiratory viruses, in particular influenza A virus, influenza B virus, HMPV, and RSV.</t>
  </si>
  <si>
    <t xml:space="preserve">[Phommasone, Koukeo; Xaiyaphet, Xaipasong; Keomoukda, Patsalin; Vongsouvath, Malavanh; Mayxay, Mayfong; Vongsouvath, Manivanh; Newton, Paul N.; Ashley, Elizabeth A.; Dubot-Peres, Audrey] Mahosot Hosp, Lao Oxford Mahosot Hosp, Microbiol Lab, Wellcome Trust Res Unit, Viangchan, Laos; [Garcia-Rivera, Jose A.; Hontz, Robert D.] Singapore &amp; Phnom Penh, US Naval Med Res Unit NAMRU2, Phnom Penh, Cambodia; [Pathavongsa, Viengmone] Xiengkhuang Prov Hosp, Phonsavan, Xiengkhuang, Laos; [Mayxay, Mayfong] Minist Hlth, Inst Res &amp; Educ Dev IRED, Viangchan, Laos; [Mayxay, Mayfong] Univ Hlth Sci, Minist Hlth, Viangchan, Laos; [Mayxay, Mayfong; Newton, Paul N.; Ashley, Elizabeth A.] Univ Oxford, Nuffield Dept Med, Ctr Trop Med &amp; Global Hlth, Oxford, England; [Dubot-Peres, Audrey] Unite Virus Emergents, UVE Aix Marseille Univ 190 Inserm 1207, Marseille, France</t>
  </si>
  <si>
    <t xml:space="preserve">University of Oxford; Aix-Marseille Universite; Institut National de la Sante et de la Recherche Medicale (Inserm)</t>
  </si>
  <si>
    <t xml:space="preserve">Phommasone, K (corresponding author), Mahosot Hosp, Lao Oxford Mahosot Hosp, Microbiol Lab, Wellcome Trust Res Unit, Viangchan, Laos.</t>
  </si>
  <si>
    <t xml:space="preserve">Koukeo@tropmedres.ac</t>
  </si>
  <si>
    <t xml:space="preserve">U.S. Naval Medical Research Unit TWO [D0016]; Institute of Research for Development; Aix-Marseille University; Wellcome Trust; Wellcome Trust [220211/Z/20/Z]; Wellcome Trust [220211/Z/20/Z] Funding Source: Wellcome Trust</t>
  </si>
  <si>
    <t xml:space="preserve">U.S. Naval Medical Research Unit TWO; Institute of Research for Development; Aix-Marseille University; Wellcome Trust(Wellcome Trust); Wellcome Trust(Wellcome Trust); Wellcome Trust(Wellcome Trust)</t>
  </si>
  <si>
    <t xml:space="preserve">We would like to thank all the participants to this study and the Director and staff of the Xiengkhuang Provincial Hospital, and Mavuto Mukaka for his advice on statistical analysis. The Expanded Fever and Acute Respiratory Infection Surveillance study was funded by the U.S. Naval Medical Research Unit TWO, work unit number D0016, the Institute of Research for Development, and Aix-Marseille University. The Lao-Oxford-Mahosot Hospital-Wellcome Trust Research Unit is part of the MORU Tropical Health Network, funded by the Wellcome Trust. This research was funded in whole, or in part, by the Wellcome Trust [Grant number 220211/Z/20/Z]. For the purpose of open access, the author has applied a CC BY public copyright licence to any Author Accepted Manuscript version arising from this submission.</t>
  </si>
  <si>
    <t xml:space="preserve">10.1038/s41598-022-04816-9</t>
  </si>
  <si>
    <t xml:space="preserve">YI8VH</t>
  </si>
  <si>
    <t xml:space="preserve">WOS:000744120000029</t>
  </si>
  <si>
    <t xml:space="preserve">Kikuta, H</t>
  </si>
  <si>
    <t xml:space="preserve">MAb 9B10 against hMPV F antigen</t>
  </si>
  <si>
    <t xml:space="preserve">977EK</t>
  </si>
  <si>
    <t xml:space="preserve">WOS:000232785000009</t>
  </si>
  <si>
    <t xml:space="preserve">MAb 1G3 against hMPV F antigen</t>
  </si>
  <si>
    <t xml:space="preserve">WOS:000232785000008</t>
  </si>
  <si>
    <t xml:space="preserve">Nolte, FS; Marshall, DJ; Rasberry, C; Schievelbein, S; Banks, GG; Storch, GA; Arens, MQ; Buller, RS; Prudent, JR</t>
  </si>
  <si>
    <t xml:space="preserve">Nolte, Frederick S.; Marshall, David J.; Rasberry, Christopher; Schievelbein, Sabina; Banks, Grier G.; Storch, Gregory A.; Arens, Max Q.; Buller, Richard S.; Prudent, James R.</t>
  </si>
  <si>
    <t xml:space="preserve">MultiCode-PLx system for multiplexed detection of seventeen respiratory viruses</t>
  </si>
  <si>
    <t xml:space="preserve">Human metapneumovirus; Virology; Rhinovirus; Multiplex</t>
  </si>
  <si>
    <t xml:space="preserve">POLYMERASE-CHAIN-REACTION; REAL-TIME PCR; RAPID DETECTION; CORONAVIRUS; ASSAY; IDENTIFICATION; INFECTIONS; INFLUENZA; DIAGNOSIS; DISEASE</t>
  </si>
  <si>
    <t xml:space="preserve">The MultiCode-PLx system (EraGen Biosciences, Inc., Madison, WI) for the detection of respiratory viruses uses an expanded genetic alphabet, multiplex PCR chemistry, and microsphere flow cytometry to rapidly detect and specifically identify 17 different respiratory viruses directly in clinical specimens. The MultiCode-PLx system was tested in parallel with direct fluorescent-antibody (DFA) staining and rapid shell vial culture (R-mix cells; Diagnostic Hybrids, Inc. Athens, OH) with 354 respiratory specimens from adult patients that were submitted to the clinical virology laboratory at the Emory University Hospital. Single-target PCRs were performed with retained samples to confirm the positive results obtained with the MultiCode-PLx system for viruses not covered by DFA and R-mix culture (metapneumovirus, coronaviruses [CoV], parainfluenza viruses 4a and 4b, and rhinoviruses) and to resolve any discrepancies between the DFA and R-mix culture and the MultiCode-PLx results for viruses common to both systems. Respiratory viruses were detected in 77 (21.8%) and 116 (32.7%) specimens by DFA and R-mix culture and with the MultiCode-PLx system, respectively. Among the viruses common to both systems, the MultiCode-PLx system detected significantly more influenza A viruses (P = 0.0026). An additional increased diagnostic yield with the MultiCode-PLx system resulted from the detection of human metapneumovirus (HMPV) in 9 specimens, human CoV (HCoV) in 3 specimens, and human rhinovirus (HRV) in 16 specimens. Also, two mixed viral infections were detected by the MultiCode-PLx system (HCoV OC43 and HRV infections and HMPV and HRV infections), but none were detected by DFA and R-mix culture. Single-target PCRs verified the results obtained with the MultiCode-PLx system for 73 of 81 (90.1%) specimens that had discordant results or that were not covered by DFA and R-mix culture. The MultiCode-PLx system provides clinical laboratories with a practical, rapid, and sensitive means for the massively multiplexed molecular detection of common respiratory viruses.</t>
  </si>
  <si>
    <t xml:space="preserve">Emory Univ, Sch Med, Dept Pathol &amp; Lab Med, Atlanta, GA 30322 USA; EraGen Biosci Inc, Madison, WI USA; Washington Univ, Sch Med, Dept Mol Microbiol, St Louis, MO 63110 USA; Washington Univ, Sch Med, Dept Med, St Louis, MO 63110 USA; Washington Univ, Sch Med, Dept Pediat, St Louis, MO 63110 USA</t>
  </si>
  <si>
    <t xml:space="preserve">Emory University; Washington University (WUSTL); Washington University (WUSTL); Washington University (WUSTL)</t>
  </si>
  <si>
    <t xml:space="preserve">Nolte, FS (corresponding author), Med Univ S Carolina, 165 Ashley Ave,Suite 309,POB 250908, Charleston, SC 29425 USA.</t>
  </si>
  <si>
    <t xml:space="preserve">nolte@musc.edu</t>
  </si>
  <si>
    <t xml:space="preserve">Prudent, James/0000-0002-8948-1781</t>
  </si>
  <si>
    <t xml:space="preserve">10.1128/JCM.00669-07</t>
  </si>
  <si>
    <t xml:space="preserve">211EK</t>
  </si>
  <si>
    <t xml:space="preserve">WOS:000249506900004</t>
  </si>
  <si>
    <t xml:space="preserve">Miyashita, K; Ehara, H; Tomioka, K; Uchida, K; Fukushima, H; Kishimoto, T; Honda, A</t>
  </si>
  <si>
    <t xml:space="preserve">Miyashita, Kodai; Ehara, Hayato; Tomioka, Kyoko; Uchida, Kazue; Fukushima, Hirokazu; Kishimoto, Tsuyoshi; Honda, Asao</t>
  </si>
  <si>
    <t xml:space="preserve">Pathogens detected from patients with acute respiratory infections negative for SARS-CoV-2, Saitama, Japan, 2020</t>
  </si>
  <si>
    <t xml:space="preserve">WESTERN PACIFIC SURVEILLANCE AND RESPONSE</t>
  </si>
  <si>
    <t xml:space="preserve">Human metapneumovirus; Mycoplasma pneumoniae; Rhinovirus; Virology; Medicine; Coronavirus; Respiratory system</t>
  </si>
  <si>
    <t xml:space="preserve">Objective: During the coronavirus disease pandemic in Japan, all patients with respiratory symptoms were initially tested for severe acute respiratory syndrome coronavirus 2 (SARS-CoV-2). This study describes the respiratory pathogens detected from patients who tested negative for SARS-CoV-2 at the Saitama Institute of Public Health from January to December 2020.Methods: We performed pathogen retrieval using multiplex real-time polymerase chain reaction on samples from patients with acute respiratory diseases who tested negative for SARS-CoV-2 in Saitama in 2020 and analysed the results by age and symptoms. Results: There were 1530 patients aged 0-104 years (1727 samples), with 14 pathogens detected from 213 patients (245 samples). Most pathogens were human metapneumovirus (25.4%, 54 cases), rhinovirus (16.4%, 35 cases) and Mycoplasma pneumoniae (13.1%, 23 cases). Human metapneumovirus, human coronavirus (but not NL63) and M. pneumoniae were detected in almost all age groups without any significant bias. Seasonal human coronaviruses, human metapneumovirus, M. pneumoniae and several other pathogens were detected until April 2020.Discussion: Multiple respiratory pathogens were circulating during 2020 in Saitama, including SARS-CoV-2 and influenza viruses. We suggest introducing a system that can comprehensively monitor the regional prevalence of all viruses that cause acute respiratory infections.</t>
  </si>
  <si>
    <t xml:space="preserve">[Miyashita, Kodai; Ehara, Hayato; Tomioka, Kyoko; Uchida, Kazue; Fukushima, Hirokazu; Kishimoto, Tsuyoshi; Honda, Asao] Saitama Inst Publ Hlth, Saitama, Japan</t>
  </si>
  <si>
    <t xml:space="preserve">Miyashita, K (corresponding author), Saitama Inst Publ Hlth, Saitama, Japan.</t>
  </si>
  <si>
    <t xml:space="preserve">miyashita.kodai@pref.saitama.lg.jp</t>
  </si>
  <si>
    <t xml:space="preserve">WORLD HEALTH ORGANIZATION, REGIONAL OFFICE WESTERN PACIFIC</t>
  </si>
  <si>
    <t xml:space="preserve">MANILA</t>
  </si>
  <si>
    <t xml:space="preserve">PO BOX 2932, MANILA, 1000, PHILIPPINES</t>
  </si>
  <si>
    <t xml:space="preserve">2094-7321</t>
  </si>
  <si>
    <t xml:space="preserve">2094-7313</t>
  </si>
  <si>
    <t xml:space="preserve">WEST PAC SURVEILL RE</t>
  </si>
  <si>
    <t xml:space="preserve">West. Pa. Surveill. Response</t>
  </si>
  <si>
    <t xml:space="preserve">10.5365/wpsar.2023.14.4.1057</t>
  </si>
  <si>
    <t xml:space="preserve">CQ5G8</t>
  </si>
  <si>
    <t xml:space="preserve">WOS:001126717000001</t>
  </si>
  <si>
    <t xml:space="preserve">Kikuta, Hideaki</t>
  </si>
  <si>
    <t xml:space="preserve">MAb 5B10 and 3D1 against hMPV N antigen</t>
  </si>
  <si>
    <t xml:space="preserve">Monoclonal antibody; Antigen</t>
  </si>
  <si>
    <t xml:space="preserve">Touei Hosp, Pediat Clin, Higashi Ku, Sapporo, Hokkaido 0070841, Japan</t>
  </si>
  <si>
    <t xml:space="preserve">Kikuta, H (corresponding author), Touei Hosp, Pediat Clin, Higashi Ku, N-41-E-16, Sapporo, Hokkaido 0070841, Japan.</t>
  </si>
  <si>
    <t xml:space="preserve">10.1089/hyb.2006.034.1</t>
  </si>
  <si>
    <t xml:space="preserve">WOS:000244402600011</t>
  </si>
  <si>
    <t xml:space="preserve">Takayama, I; Semba, S; Yokono, K; Saito, S; Nakauchi, M; Kubo, H; Kaida, A; Shiomi, M; Terada, A; Murakami, K; Kaji, K; Kiya, K; Sawada, Y; Oba, K; Asai, S; Yonekawa, T; Watanabe, H; Segawa, Y; Notomi, T; Kageyama, T</t>
  </si>
  <si>
    <t xml:space="preserve">Takayama, Ikuyo; Semba, Shohei; Yokono, Kota; Saito, Shinji; Nakauchi, Mina; Kubo, Hideyuki; Kaida, Atsushi; Shiomi, Masashi; Terada, Akihiro; Murakami, Kiyotaka; Kaji, Katsushi; Kiya, Keiichi; Sawada, Yoshitaka; Oba, Kunihiro; Asai, Sadasaburo; Yonekawa, Toshihiro; Watanabe, Hidetoshi; Segawa, Yuji; Notomi, Tsugunori; Kageyama, Tsutomu</t>
  </si>
  <si>
    <t xml:space="preserve">Clinical evaluation of fully automated molecular diagnostic system Simprova for influenza virus, respiratory syncytial virus, and human metapneumovirus</t>
  </si>
  <si>
    <t xml:space="preserve">Human metapneumovirus; Point-of-care testing; Virology; Virus; Loop-mediated isothermal amplification; Medicine; Paramyxoviridae; Respiratory tract infections</t>
  </si>
  <si>
    <t xml:space="preserve">DETECTION TESTS; YOUNG-CHILDREN; RAPID TESTS; INFECTION; MANAGEMENT; IMPACT</t>
  </si>
  <si>
    <t xml:space="preserve">Influenza virus, respiratory syncytial virus, and human metapneumovirus commonly cause acute upper and lower respiratory tract infections, especially in children and the elderly. Although rapid antigen detection tests for detecting these infections have been introduced recently, these are less sensitive than nucleic acid amplification tests. More recently, highly sensitive point-of-care testings (POCTs) have been developed based on nucleic acid amplification tests, which are easy to use in clinical settings. In this study, loop-mediated isothermal amplification (LAMP)-based POCT Simprova to detect influenza A and B viruses, respiratory syncytial virus, and human metapneumovirus was developed. Simprova system is fully automated and does not require skilled personnel. In addition, positive results can be achieved faster than with PCR. In this study, the accuracy of the POCT was retrospectively analyzed using 241 frozen stocked specimens. Additionally, the usability of the Simprova at clinical sites was assessed in a prospective clinical study using 380 clinical specimens and compared to those of real-time PCR and rapid antigen detection test. The novel LAMP-based POCT demonstrated high sensitivity and specificity in characterizing clinical specimens from patients with influenza-like illnesses. The Simprova is a powerful tool for early diagnosis of respiratory viral infections in point-of-care settings.</t>
  </si>
  <si>
    <t xml:space="preserve">[Takayama, Ikuyo; Saito, Shinji; Nakauchi, Mina; Kageyama, Tsutomu] Natl Inst Infect Dis, Influenza Virus Res Ctr, Tokyo, Japan; [Semba, Shohei; Yokono, Kota; Yonekawa, Toshihiro; Watanabe, Hidetoshi; Segawa, Yuji; Notomi, Tsugunori] Eiken Chem Co Ltd, Tokyo, Japan; [Kubo, Hideyuki; Kaida, Atsushi] Osaka Inst Publ Hlth, Div Microbiol, Osaka, Japan; [Shiomi, Masashi; Terada, Akihiro] Aizenbashi Hosp, Osaka, Japan; [Murakami, Kiyotaka; Kaji, Katsushi] Nakano Childrens Hosp, Osaka, Japan; [Kiya, Keiichi; Sawada, Yoshitaka] Nishi Tokyo Cent Gen Hosp, Tokyo, Japan; [Oba, Kunihiro] Showa Gen Hosp, Dept Pediat, Tokyo, Japan; [Asai, Sadasaburo] Asai Childrens Clin, Osaka, Japan</t>
  </si>
  <si>
    <t xml:space="preserve">National Institute of Infectious Diseases (NIID); Osaka Prefectural Institute of Public Health</t>
  </si>
  <si>
    <t xml:space="preserve">Takayama, I (corresponding author), Natl Inst Infect Dis, Influenza Virus Res Ctr, Tokyo, Japan.;Semba, S (corresponding author), Eiken Chem Co Ltd, Tokyo, Japan.</t>
  </si>
  <si>
    <t xml:space="preserve">i-taka@nih.go.jp; Syouhei_Senba@eiken.co.jp</t>
  </si>
  <si>
    <t xml:space="preserve">Nakauchi, Mina/0000-0001-6545-7448</t>
  </si>
  <si>
    <t xml:space="preserve">AMED [JP19fk0108030]</t>
  </si>
  <si>
    <t xml:space="preserve">AMED</t>
  </si>
  <si>
    <t xml:space="preserve">The authors thank Dr. Satoka Akiyama and Dr. Masahiro Noda at Showa General Hospital for the clinical specimens. This research was supported by AMED under Grant Number JP19fk0108030.</t>
  </si>
  <si>
    <t xml:space="preserve">10.1038/s41598-020-70090-2</t>
  </si>
  <si>
    <t xml:space="preserve">NC3SV</t>
  </si>
  <si>
    <t xml:space="preserve">WOS:000561135700005</t>
  </si>
  <si>
    <t xml:space="preserve">Martinez, ME; Harder, OE; Rosas, LE; Joseph, L; Davis, IC; Niewiesk, S</t>
  </si>
  <si>
    <t xml:space="preserve">Martinez, Margaret E.; Harder, Olivia E.; Rosas, Lucia E.; Joseph, Lisa; Davis, Ian C.; Niewiesk, Stefan</t>
  </si>
  <si>
    <t xml:space="preserve">Pulmonary function analysis in cotton rats after respiratory syncytial virus infection</t>
  </si>
  <si>
    <t xml:space="preserve">Cotton rat; Respiratory system; Medicine; Pulmonary function testing; Immunology; Pulmonary edema</t>
  </si>
  <si>
    <t xml:space="preserve">FORCED OSCILLATION TECHNIQUE; AIRWAY HYPERRESPONSIVENESS; LUNG-FUNCTION; ANTI-G; MONOCLONAL-ANTIBODY; MICE; RSV; PROTEIN; BRONCHIOLITIS; SENSITIZATION</t>
  </si>
  <si>
    <t xml:space="preserve">The cotton rat (Sigmodon hispidus) is an excellent small animal model for human respiratory viral infections such as human respiratory syncytial virus (RSV) and human metapneumovirus (HMPV). These respiratory viral infections, as well as other pulmonary inflammatory diseases such as asthma, are associated with lung mechanic disturbances. So far, the pathophysiological effects of viral infection and allergy on cotton rat lungs have not been measured, although this information might be an important tool to determine the efficacy of vaccine and drug candidates. To characterize pulmonary function in the cotton rat, we established forced oscillation technique in uninfected, RSV infected and HDM sensitized cotton rats, and characterized pulmonary inflammation, mucus production, pulmonary edema, and oxygenation. There was a gender difference after RSV infection, with females demonstrating airway hyper-responsiveness while males did not. Female cotton rats 2dpi had a mild increase in pulmonary edema (wet: dry weight ratios). At day 4 post infection, female cotton rats demonstrated mild pulmonary inflammation, no increase in mucus production or reduction in oxygenation. Pulmonary function was not significantly impaired after RSV infection. In contrast, cotton rats sensitized to HDM demonstrated airway hyper-responsiveness with a significant increase in pulmonary inflammation, increase in baseline tissue damping, and a decrease in baseline pulmonary compliance. In summary, we established baseline data for forced oscillation technique and other respiratory measures in the cotton rat and used it to analyze respiratory diseases in cotton rats.</t>
  </si>
  <si>
    <t xml:space="preserve">[Martinez, Margaret E.; Harder, Olivia E.; Rosas, Lucia E.; Joseph, Lisa; Davis, Ian C.; Niewiesk, Stefan] Ohio State Univ, Coll Vet Med, Dept Vet Biosci, Columbus, OH 43210 USA</t>
  </si>
  <si>
    <t xml:space="preserve">Martinez, ME (corresponding author), Ohio State Univ, Coll Vet Med, Dept Vet Biosci, Columbus, OH 43210 USA.</t>
  </si>
  <si>
    <t xml:space="preserve">Martinez.610@osu.edu</t>
  </si>
  <si>
    <t xml:space="preserve">Genetech Fellowship from Genentech [GRT00044407]; National Institute of Health National Institute of Allergy and Infectious Diseases [P01AI112524]; National Institutes of Health/National Heart Lung &amp; Blood Institute [HL137090]</t>
  </si>
  <si>
    <t xml:space="preserve">Genetech Fellowship from Genentech; National Institute of Health National Institute of Allergy and Infectious Diseases(United States Department of Health &amp; Human ServicesNational Institutes of Health (NIH) - USANIH National Institute of Allergy &amp; Infectious Diseases (NIAID)); National Institutes of Health/National Heart Lung &amp; Blood Institute(United States Department of Health &amp; Human ServicesNational Institutes of Health (NIH) - USANIH National Heart Lung &amp; Blood Institute (NHLBI))</t>
  </si>
  <si>
    <t xml:space="preserve">M.E.M. was funded through the Genetech Fellowship under grant number GRT00044407 from Genentech (https://www.gene.com/).O.E.H.and S.N. were funded through grant number P01AI112524 from the National Institute of Health National Institute of Allergy and Infectious Diseases (https://www.niaid.nih.gov/).L.E.R., L. J. and I.C.D. were funded through grant number HL137090 from National Institutes of Health/National Heart Lung &amp; Blood Institute (https://www.nhlbi.nih.gov/). The funders had no role in study design, data collection and analysis, decision to publish, or preparation of the manuscript.</t>
  </si>
  <si>
    <t xml:space="preserve">e0237404</t>
  </si>
  <si>
    <t xml:space="preserve">10.1371/journal.pone.0237404</t>
  </si>
  <si>
    <t xml:space="preserve">NC7KJ</t>
  </si>
  <si>
    <t xml:space="preserve">WOS:000561393800030</t>
  </si>
  <si>
    <t xml:space="preserve">van den Hoogen, BG; de Jong, J; Groen, J; Kuiken, T; de Groot, R; Fouchier, RAM; Osterhaus, ADME</t>
  </si>
  <si>
    <t xml:space="preserve">A newly discovered human pneumovirus isolated from young children with respiratory tract disease</t>
  </si>
  <si>
    <t xml:space="preserve">NATURE MEDICINE</t>
  </si>
  <si>
    <t xml:space="preserve">Human metapneumovirus; Bronchiolitis; Pneumovirus; Metapneumovirus; Paramyxoviridae; Virology; Virus; Pneumonia; Pneumovirinae; Serology; Respiratory disease; Respiratory tract infections; Biology</t>
  </si>
  <si>
    <t xml:space="preserve">TURKEY RHINOTRACHEITIS VIRUS; GENE ORDER DIFFERENT; AVIAN PNEUMOVIRUS; SYNCYTIAL VIRUS; INFECTION; REVEAL; PCR</t>
  </si>
  <si>
    <t xml:space="preserve">From 28 young children in the Netherlands, we isolated a paramyxovirus that was identified as a tentative new member of the Metapneumovirus genus based on virological data, sequence homology and gene constellation. Previously, avian pneumovirus was the sole member of this recently assigned genus, hence the provisional name for the newly discovered virus: human metapneumovirus. The clinical symptoms of the children from whom the virus was isolated were similar to those caused by human respiratory syncytial virus infection, ranging from upper respiratory tract disease to severe bronchiolitis and pneumonia. Serological studies showed that by the age of five years, virtually all children in the Netherlands have been exposed to human metapneumovirus and that the virus has been circulating in humans for at least 50 years.</t>
  </si>
  <si>
    <t xml:space="preserve">Erasmus Sch Ctr, Dept Virol, Rotterdam, Netherlands; Erasmus Sch Ctr, Dept Pediat, Rotterdam, Netherlands</t>
  </si>
  <si>
    <t xml:space="preserve">Erasmus University Rotterdam - Excl Erasmus MC; Erasmus University Rotterdam; Erasmus University Rotterdam - Excl Erasmus MC; Erasmus University Rotterdam</t>
  </si>
  <si>
    <t xml:space="preserve">Erasmus Sch Ctr, Dept Virol, Rotterdam, Netherlands.</t>
  </si>
  <si>
    <t xml:space="preserve">osterhaus@viro.fgg.eur.nl</t>
  </si>
  <si>
    <t xml:space="preserve">Kuiken, Todd/U-3476-2019; van den Hoogen, Bernadette/J-5461-2013; Fouchier, Ron/A-1911-2014</t>
  </si>
  <si>
    <t xml:space="preserve">1078-8956</t>
  </si>
  <si>
    <t xml:space="preserve">1546-170X</t>
  </si>
  <si>
    <t xml:space="preserve">NAT MED</t>
  </si>
  <si>
    <t xml:space="preserve">Nat. Med.</t>
  </si>
  <si>
    <t xml:space="preserve">10.1038/89098</t>
  </si>
  <si>
    <t xml:space="preserve">Biochemistry &amp; Molecular Biology; Cell Biology; Medicine, Research &amp; Experimental</t>
  </si>
  <si>
    <t xml:space="preserve">Biochemistry &amp; Molecular Biology; Cell Biology; Research &amp; Experimental Medicine</t>
  </si>
  <si>
    <t xml:space="preserve">438YH</t>
  </si>
  <si>
    <t xml:space="preserve">WOS:000169081500041</t>
  </si>
  <si>
    <t xml:space="preserve">Louie, JK; Hacker, JK; Gonzales, R; Mark, J; Maselli, JH; Yagi, S; Drew, WL</t>
  </si>
  <si>
    <t xml:space="preserve">Characterization of viral agents causing acute respiratory infection in a San Francisco University medical center clinic during the influenza season</t>
  </si>
  <si>
    <t xml:space="preserve">Medicine; Respiratory system; Center (category theory)</t>
  </si>
  <si>
    <t xml:space="preserve">POLYMERASE-CHAIN-REACTION; REAL-TIME PCR; RHINOVIRUS INFECTIONS; SYNCYTIAL VIRUS; HUMAN METAPNEUMOVIRUS; OSELTAMIVIR TREATMENT; HUMAN CORONAVIRUSES; TRACT INFECTIONS; COMMUNITY; DIAGNOSIS</t>
  </si>
  <si>
    <t xml:space="preserve">Background. With use of polymerase chain reaction (PCR) and a centrifugation-enhanced viral culture method, we characterized the viruses causing acute respiratory infection in adults during an influenza season. Methods. During January - March 2002, nasopharyngeal wash specimens from previously healthy adults presenting with respiratory symptoms were evaluated for viral pathogens with centrifugation-enhanced viral culture and PCR. Results The diagnoses in 266 cases included unspecified upper respiratory infection (in 142 [54%] of the cases), acute bronchitis (42 [16%]), sinusitis (23 [9%]), pharyngitis (22 [8%]), and pneumonia (17 [6%]). The use of a shell vial assay and PCR identified a pathogen in 103 (39%) of the patients, including influenza A or B in 54, picornavirus in 28 ( including rhinovirus in 24), respiratory syncytial virus (RSV) in 12, human metapneumovirus in 4, human coronavirus OC43 in 2, adenovirus in 2, parainfluenza virus type 1 in 1, and coinfection with influenza and parainfluenza virus type 1 in 2. Conclusion. Our findings demonstrate that, even during the influenza season, rhinovirus and RSV are prevalent and must be considered in the differential diagnosis of adult acute respiratory infection before prescribing antiviral medication. Human coronavirus and human metapneumovirus did not play a substantial role. PCR was an especially useful tool in the identification of influenza and other viral pathogens not easily detected by traditional testing methods.</t>
  </si>
  <si>
    <t xml:space="preserve">Calif Dept Hlth Serv, Viral &amp; Rickettsial Dis Lab, Richmond, CA 94804 USA; Calif Emerging Infect Program, Richmond, CA USA; Univ Calif San Francisco, Div Gen Internal Med, San Francisco, CA 94143 USA; Univ Calif San Francisco, Dept Lab Med, San Francisco, CA 94143 USA</t>
  </si>
  <si>
    <t xml:space="preserve">California Department of Health Care Services; California Emerging Infections Program; University of California System; University of California San Francisco; University of California System; University of California San Francisco</t>
  </si>
  <si>
    <t xml:space="preserve">Calif Dept Hlth Serv, Viral &amp; Rickettsial Dis Lab, 850 Marina Bay Pkwy, Richmond, CA 94804 USA.</t>
  </si>
  <si>
    <t xml:space="preserve">10.1086/432800</t>
  </si>
  <si>
    <t xml:space="preserve">956QB</t>
  </si>
  <si>
    <t xml:space="preserve">WOS:000231313800009</t>
  </si>
  <si>
    <t xml:space="preserve">Kakuya, F; Okubo, H; Fujiyasu, H; Wakabayashi, I; Syouji, M; Kinebuchi, T</t>
  </si>
  <si>
    <t xml:space="preserve">Kakuya, Fujio; Okubo, Hitoshi; Fujiyasu, Hiroaki; Wakabayashi, Iori; Syouji, Masayo; Kinebuchi, Takahiro</t>
  </si>
  <si>
    <t xml:space="preserve">The First Pediatric Patients with Coronavirus Disease 2019 (COVID-19) in Japan: Risk of Co-Infection with Other Respiratory Viruses</t>
  </si>
  <si>
    <t xml:space="preserve">Human metapneumovirus; Metapneumovirus; Coronavirus; Medicine; Respiratory system; Virology; Coronavirus disease 2019 (COVID-19); Respiratory tract infections; Disease; Respiratory tract</t>
  </si>
  <si>
    <t xml:space="preserve">Coronavirus disease 2019 (COVID-19) is a severe infectious disease of the respiratory tract caused by a novel coronavirus, severe acute respiratory syndrome coronavirus 2, and has a high mortality rate. The disease emerged from Wuhan, China, in late 2019, and spread to Japan, including Hokkaido, in January 2020. In February 2020, 3 children were diagnosed with COVID-19 in Furano, Hokkaido, Japan. During this period, influenza and human metapneumovirus infections were prevalent among children in the Furano region. Two of the 3 patients experienced co-infection with other respiratory viruses, including influenza virus A or human metapneumovirus. To the authors' knowledge, the cases described in the present report were the first pediatric patients with COVID-19 in Japan. In children with COVID-19, the possibility of co-infection with other respiratory pathogens should be considered.</t>
  </si>
  <si>
    <t xml:space="preserve">[Kakuya, Fujio; Okubo, Hitoshi; Fujiyasu, Hiroaki; Wakabayashi, Iori] Furano Kyokai Hosp, Dept Pediat, 1-30 Sumiyoshi Cho, Furano, Hokkaido 0768765, Japan; [Syouji, Masayo] Furano Kyokai Hosp, Dept Nursing, Furano, Hokkaido, Japan; [Kinebuchi, Takahiro] Furano Kyokai Hosp, Dept Clin Lab, Furano, Hokkaido, Japan</t>
  </si>
  <si>
    <t xml:space="preserve">Kakuya, F (corresponding author), Furano Kyokai Hosp, Dept Pediat, 1-30 Sumiyoshi Cho, Furano, Hokkaido 0768765, Japan.</t>
  </si>
  <si>
    <t xml:space="preserve">f768fk@furano.ne.jp</t>
  </si>
  <si>
    <t xml:space="preserve">10.7883/yoken.JJID.2020.181</t>
  </si>
  <si>
    <t xml:space="preserve">PN3TR</t>
  </si>
  <si>
    <t xml:space="preserve">WOS:000604405300012</t>
  </si>
  <si>
    <t xml:space="preserve">Williams, JV</t>
  </si>
  <si>
    <t xml:space="preserve">The clinical presentation and outcomes of children infected with newly identified respiratory tract viruses</t>
  </si>
  <si>
    <t xml:space="preserve">Medicine; Outbreak; Respiratory tract infections; Respiratory tract; Human metapneumovirus; Metapneumovirus; Virology</t>
  </si>
  <si>
    <t xml:space="preserve">HUMAN METAPNEUMOVIRUS INFECTION; INFLUENZA-A H5N1; INTENSIVE-CARE UNIT; SYNCYTIAL VIRUS; HUMAN CORONAVIRUS; YOUNG-CHILDREN; DISEASE; INFANTS; BRONCHIOLITIS; FEATURES</t>
  </si>
  <si>
    <t xml:space="preserve">Numerous emerging respiratory tract viruses have been identified as significant causes of acute upper and lower respiratory tract illness in children. Human metapneumovirus is a paramyxovirus discovered in 2001 in the Netherlands, with a seasonal occurrence and spectrum of clinical illness most similar to the closely related respiratory syncytial virus. Several new members of the coronavirus family have been identified, including the truly novel agent of severe acute respiratory syndrome and others that probably have been circulating undetected. Avian influenza strains have caused numerous outbreaks with high mortality, including children, and are potential causes of pandemic influenza. Several zoonotic paramyxoviruses, including Nipah and Hendra viruses, have emerged as occasional causes of severe outbreaks of respiratory tract illness in children and adults.</t>
  </si>
  <si>
    <t xml:space="preserve">Vanderbilt Univ, Med Ctr, Dept Pediat, Div Pediat Infect Dis, Nashville, TN 37232 USA</t>
  </si>
  <si>
    <t xml:space="preserve">Vanderbilt Univ, Med Ctr, Dept Pediat, Div Pediat Infect Dis, D-7235 Med Ctr N,1161 21st Ave S, Nashville, TN 37232 USA.</t>
  </si>
  <si>
    <t xml:space="preserve">NIAID NIH HHS [K08 AI056170] Funding Source: Medline</t>
  </si>
  <si>
    <t xml:space="preserve">10.1016/j.idc.2005.05.009</t>
  </si>
  <si>
    <t xml:space="preserve">964MO</t>
  </si>
  <si>
    <t xml:space="preserve">WOS:000231885400002</t>
  </si>
  <si>
    <t xml:space="preserve">Brown, PA; Lemaitre, E; Briand, FX; Courtillon, C; Guionie, O; Allée, C; Toquin, D; Bayon-Auboyer, MH; Jestin, V; Eterradossi, N</t>
  </si>
  <si>
    <t xml:space="preserve">Brown, Paul A.; Lemaitre, Evelyne; Briand, Francois-Xavier; Courtillon, Celine; Guionie, Olivier; Allee, Chantal; Toquin, Didier; Bayon-Auboyer, Marie-Helene; Jestin, Veronique; Eterradossi, Nicolas</t>
  </si>
  <si>
    <t xml:space="preserve">Molecular Comparisons of Full Length Metapneumovirus (MPV) Genomes, Including Newly Determined French AMPV-C and -D Isolates, Further Supports Possible Subclassification within the MPV Genus</t>
  </si>
  <si>
    <t xml:space="preserve">Metapneumovirus; Human metapneumovirus; Biology; Virology; Genome</t>
  </si>
  <si>
    <t xml:space="preserve">RESPIRATORY SYNCYTIAL VIRUS; TURKEY RHINOTRACHEITIS VIRUS; SMALL HYDROPHOBIC PROTEIN; AVIAN-METAPNEUMOVIRUS; FUSION PROTEIN; SUBGROUP-C; SUBTYPE-C; GLYCOPROTEIN GENE; IN-VITRO; ATTACHMENT GLYCOPROTEIN</t>
  </si>
  <si>
    <t xml:space="preserve">Four avian metapneumovirus (AMPV) subgroups (A-D) have been reported previously based on genetic and antigenic differences. However, until now full length sequences of the only known isolates of European subgroup C and subgroup D viruses (duck and turkey origin, respectively) have been unavailable. These full length sequences were determined and compared with other full length AMPV and human metapneumoviruses (HMPV) sequences reported previously, using phylogenetics, comparisons of nucleic and amino acid sequences and study of codon usage bias. Results confirmed that subgroup C viruses were more closely related to HMPV than they were to the other AMPV subgroups in the study. This was consistent with previous findings using partial genome sequences. Closer relationships between AMPV-A, B and D were also evident throughout the majority of results. Three metapneumovirus clusters'' HMPV, AMPV-C and AMPV-A, B and D were further supported by codon bias and phylogenetics. The data presented here together with those of previous studies describing antigenic relationships also between AMPV-A, B and D and between AMPV-C and HMPV may call for a subclassification of metapneumoviruses similar to that used for avian paramyxoviruses, grouping AMPV-A, B and D as type I metapneumoviruses and AMPV-C and HMPV as type II.</t>
  </si>
  <si>
    <t xml:space="preserve">[Brown, Paul A.; Lemaitre, Evelyne; Briand, Francois-Xavier; Courtillon, Celine; Guionie, Olivier; Allee, Chantal; Toquin, Didier; Bayon-Auboyer, Marie-Helene; Jestin, Veronique; Eterradossi, Nicolas] Univ Europeenne Bretagne, French Agcy Food Environm &amp; Occupat Hlth Safety A, Avian &amp; Rabbit Virol Immunol &amp; Parasitol Unit VIP, Ploufragan Plouzane Lab, Ploufragan, France</t>
  </si>
  <si>
    <t xml:space="preserve">Universite de Bretagne Occidentale</t>
  </si>
  <si>
    <t xml:space="preserve">Brown, PA (corresponding author), Univ Europeenne Bretagne, French Agcy Food Environm &amp; Occupat Hlth Safety A, Avian &amp; Rabbit Virol Immunol &amp; Parasitol Unit VIP, Ploufragan Plouzane Lab, Ploufragan, France.</t>
  </si>
  <si>
    <t xml:space="preserve">Courtillon, Celine/0000-0002-3006-764X; BRIAND, Francois-Xavier/0000-0002-8094-9368</t>
  </si>
  <si>
    <t xml:space="preserve">Regional Council of Brittany (Region Bretagne) SAD METABE 7160 programme; Departement des Cotes d'Armor</t>
  </si>
  <si>
    <t xml:space="preserve">Regional Council of Brittany (Region Bretagne) SAD METABE 7160 programme(Region Bretagne); Departement des Cotes d'Armor(Region Bretagne)</t>
  </si>
  <si>
    <t xml:space="preserve">Regional Council of Brittany (Region Bretagne) SAD METABE 7160 programme and of Departement des Cotes d'Armor. The funders had no role in study design, data collection and analysis, decision to publish, or preparation of the manuscript.</t>
  </si>
  <si>
    <t xml:space="preserve">e102740</t>
  </si>
  <si>
    <t xml:space="preserve">10.1371/journal.pone.0102740</t>
  </si>
  <si>
    <t xml:space="preserve">AM1OC</t>
  </si>
  <si>
    <t xml:space="preserve">WOS:000339615200082</t>
  </si>
  <si>
    <t xml:space="preserve">Li, K; Bai, Z; Zhu, H; Di, B</t>
  </si>
  <si>
    <t xml:space="preserve">Li, K.; Bai, Z.; Zhu, H.; Di, B.</t>
  </si>
  <si>
    <t xml:space="preserve">Prospective Evaluation of Rapid Antigen Tests for Diagnosis of Respiratory Viral Pathogens</t>
  </si>
  <si>
    <t xml:space="preserve">TRANSPLANTATION PROCEEDINGS</t>
  </si>
  <si>
    <t xml:space="preserve">Human metapneumovirus; Virology; Virus; Monoclonal antibody; Metapneumovirus; Respiratory system; Human bocavirus</t>
  </si>
  <si>
    <t xml:space="preserve">PROTEIN MICROARRAY TECHNOLOGY; ACID AMPLIFICATION TESTS; SYNCYTIAL VIRUS; HUMAN METAPNEUMOVIRUS; MOLECULAR DIAGNOSIS; TRACT-INFECTIONS; IDENTIFICATION; CHILDREN; DISEASE; RHINOVIRUS</t>
  </si>
  <si>
    <t xml:space="preserve">Acute respiratory infection is a frequently transmitted illness of concern to doctors and patients. Considering its airborne transmission, early diagnosis of such disease is particularly important. This study explored respiratory viral infections with influenza virus, parainfluenza virus, respiratory syncytial virus, human metapneumovirus, human bocavirus, coronavirus, and other early diagnostic substances as confirmed by literature resources. This study also used the corresponding monoclonal antibodies that were produced with the use of hybridoma technology, which were fixed on the chip after purification, for further serum detection. Using this method, a new technique to simultaneously detect 6 kinds of febrile respiratory viruses in a protein chip was developed. The accuracy rate of this method can be &gt;99.65%. This product is inexpensive and capable of high-precision and high-throughput screening, which are prominent advantages.</t>
  </si>
  <si>
    <t xml:space="preserve">[Li, K.; Bai, Z.; Di, B.] Guangzhou Ctr Dis Control &amp; Prevent, Dept Clin Lab, Guangzhou 510440, Guangdong, Peoples R China; [Zhu, H.] Shenzhen Bioeasy Biotechnol Co, R&amp;D Ctr 11, Shenzhen, Guangdong, Peoples R China</t>
  </si>
  <si>
    <t xml:space="preserve">Di, B (corresponding author), Guangzhou Ctr Dis Control &amp; Prevent, Dept Clin Lab, 1 Qide Rd, Guangzhou 510440, Guangdong, Peoples R China.</t>
  </si>
  <si>
    <t xml:space="preserve">dibiaogz@126.com</t>
  </si>
  <si>
    <t xml:space="preserve">Bai, Zhe/AAF-7591-2020</t>
  </si>
  <si>
    <t xml:space="preserve">0041-1345</t>
  </si>
  <si>
    <t xml:space="preserve">1873-2623</t>
  </si>
  <si>
    <t xml:space="preserve">TRANSPL P</t>
  </si>
  <si>
    <t xml:space="preserve">Transplant. Proc.</t>
  </si>
  <si>
    <t xml:space="preserve">10.1016/j.transproceed.2015.05.009</t>
  </si>
  <si>
    <t xml:space="preserve">CQ7IR</t>
  </si>
  <si>
    <t xml:space="preserve">WOS:000360776700042</t>
  </si>
  <si>
    <t xml:space="preserve">Klein, MB; Yang, H; DelBalso, L; Carbonneau, J; Frost, E; Boivin, G</t>
  </si>
  <si>
    <t xml:space="preserve">Klein, Marina B.; Yang, Hong; DelBalso, Lina; Carbonneau, Julie; Frost, Eric; Boivin, Guy</t>
  </si>
  <si>
    <t xml:space="preserve">Viral Pathogens Including Human Metapneumovirus Are the Primary Cause of Febrile Respiratory Illness in HIV-Infected Adults Receiving Antiretroviral Therapy</t>
  </si>
  <si>
    <t xml:space="preserve">Human metapneumovirus; Rhinovirus; Sputum; Virology; Medicine; Human bocavirus</t>
  </si>
  <si>
    <t xml:space="preserve">TRACT INFECTIONS; SYNCYTIAL VIRUS; CHILDREN; ASSOCIATION</t>
  </si>
  <si>
    <t xml:space="preserve">To determine the spectrum of pathogens causing acute febrile respiratory illness in human immunodeficiency virus (HIV)infected adults, we re-analyzed data from a prospective surveillance study involving 50 outpatients (90% of whom received highly active antiretroviral therapy). Nasopharyngeal samples were tested for 23 respiratory viruses by multiplex reverse-transcriptase polymerase chain reaction (PCR) and for atypical bacteria by PCR. Sputum cultures and serological testing were performed. Viruses accounted for 64% of infections. After influenza (22 cases), human metapneumovirus infection (6 cases) was most common and was associated with bronchospasm. Bacterial infections occurred in 6 patients (3 of whom had concurrent viral infection). Over 80% of patients received antibiotics. Rapid testing to identify specific viral pathogens could aid in patient management and reduce unnecessary antibiotic exposure.</t>
  </si>
  <si>
    <t xml:space="preserve">[Klein, Marina B.; Yang, Hong; DelBalso, Lina] McGill Univ, Royal Victoria Hosp, Dept Med, Div Infect Dis Immunodeficiency,Hlth Ctr, Montreal, PQ H3A 1A1, Canada; [Carbonneau, Julie; Boivin, Guy] Univ Laval, Fac Med, Ctr Rech Infectiol, CHU Laval, Quebec City, PQ G1K 7P4, Canada; [Frost, Eric] Univ Sherbrooke, Dept Microbiol &amp; Infectiol, Sherbrooke, PQ J1K 2R1, Canada</t>
  </si>
  <si>
    <t xml:space="preserve">McGill University; Royal Victoria Hospital; Laval University; University of Sherbrooke</t>
  </si>
  <si>
    <t xml:space="preserve">Klein, MB (corresponding author), Montreal Chest Inst, Immunodeficiency Serv, 3650 St Urbain St, Montreal, PQ H2X 2P4, Canada.</t>
  </si>
  <si>
    <t xml:space="preserve">marina.klein@mcgill.ca</t>
  </si>
  <si>
    <t xml:space="preserve">Frost, Eric/0000-0001-8958-4388; Boivin, Guy/0000-0003-3027-4662; Klein, Marina/0000-0002-3063-8430</t>
  </si>
  <si>
    <t xml:space="preserve">Canadian Foundation for AIDS Research (CANFAR); Le Fonds de la recherche en sante du Quebec (FRSQ); Canadian Institutes of Health Research</t>
  </si>
  <si>
    <t xml:space="preserve">Canadian Foundation for AIDS Research (CANFAR); Le Fonds de la recherche en sante du Quebec (FRSQ)(Fonds de recherche du Quebec (FRQ)Fonds de recherche du Quebec - Sante (FRQS)); Canadian Institutes of Health Research(Canadian Institutes of Health Research (CIHR))</t>
  </si>
  <si>
    <t xml:space="preserve">Financial support: Canadian Foundation for AIDS Research (CANFAR) and infrastructure funding from Le Fonds de la recherche en sante du Quebec (FRSQ). M. K. is the recipient of a checheur-boursier clincien salary award from the FRSQ. G. B. is the recipient of a Canada Research Chair on Emerging Viruses and Antiviral Resistance from the Canadian Institutes of Health Research.</t>
  </si>
  <si>
    <t xml:space="preserve">10.1086/649587</t>
  </si>
  <si>
    <t xml:space="preserve">536NN</t>
  </si>
  <si>
    <t xml:space="preserve">WOS:000273051200017</t>
  </si>
  <si>
    <t xml:space="preserve">Rogers, MC; Lamens, KD; Shafagati, N; Johnson, M; Oury, TD; Joyce, S; Williams, JV</t>
  </si>
  <si>
    <t xml:space="preserve">Rogers, Meredith C.; Lamens, Kristina D.; Shafagati, Nazly; Johnson, Monika; Oury, Tim D.; Joyce, Sebastian; Williams, John V.</t>
  </si>
  <si>
    <t xml:space="preserve">CD4+ Regulatory T Cells Exert Differential Functions during Early and Late Stages of the Immune Response to Respiratory Viruses</t>
  </si>
  <si>
    <t xml:space="preserve">Immune system; Biology; CD8; Immunology; Priming (agriculture); T cell; Cytotoxic T cell</t>
  </si>
  <si>
    <t xml:space="preserve">INNATE LYMPHOID-CELLS; SYNCYTIAL VIRUS; HUMAN METAPNEUMOVIRUS; ALPHA CHEMOATTRACTANT; LUNG INFLAMMATION; PD-L1 EXPRESSION; VIRAL-INFECTION; DENDRITIC CELLS; MICE; IMMUNOPATHOLOGY</t>
  </si>
  <si>
    <t xml:space="preserve">Acute respiratory virus infection (ARI) induces CD8(+) T cells with diminished cytokine production and functional impairment. The role of cellular mediators of immune impairment, specifically CD4(+) regulatory T cells (Tregs), is incompletely understood in ARI. Tregs are known suppressors of effector T cell function, but whether they are detrimental or beneficial in ARI remains controversial. We show in this paper that Treg depletion leads to increased CD8(+) T cell function and lower virus titer in mice infected with human metapneumovirus. We further demonstrate that Tregs play a temporal role in the immune response to human metapneumovirus and influenza: Treg depletion before infection pathologically reduces virus-specific CD8(+) T cell numbers and delays virus clearance, whereas depletion 2 d postinoculation enhances CD8(+) T cell functionality without reducing virus-specific CD8(+) T cell numbers. Mechanistically, Treg depletion during immune priming led to impaired dendritic cell and CD8(+) T cell migration. Further, early Treg depletion was associated with immune skewing toward a type 2 phenotype characterized by increased type 2 innate lymphoid cells and T(H)2 CD4(+) T cells, which was not observed when Treg depletion was delayed until after inoculation. These results indicate that the presence of Tregs at inoculation is critical for efficient priming of the CD8(+) T cell response to ARI, whereas later in infection, Tregs are dispensable for virus clearance.</t>
  </si>
  <si>
    <t xml:space="preserve">[Rogers, Meredith C.; Lamens, Kristina D.; Shafagati, Nazly; Johnson, Monika; Williams, John V.] Univ Pittsburgh, Sch Med, Childrens Hosp Pittsburgh, Dept Pediat,UPMC, Pittsburgh, PA 15224 USA; [Rogers, Meredith C.; Joyce, Sebastian] Vanderbilt Univ, Med Ctr, Dept Pathol Microbiol &amp; Immunol, Nashville, TN 37212 USA; [Lamens, Kristina D.] Univ Pittsburgh, Sch Med, Dept Immunol, Pittsburgh, PA 15213 USA; [Oury, Tim D.] Univ Pittsburgh, Sch Med, Dept Pathol, Pittsburgh, PA 15261 USA; [Joyce, Sebastian] Tennessee Valley Healthcare Syst, Dept Vet Affairs, Nashville, TN 37212 USA</t>
  </si>
  <si>
    <t xml:space="preserve">Pennsylvania Commonwealth System of Higher Education (PCSHE); University of Pittsburgh; Vanderbilt University; Pennsylvania Commonwealth System of Higher Education (PCSHE); University of Pittsburgh; Pennsylvania Commonwealth System of Higher Education (PCSHE); University of Pittsburgh; US Department of Veterans Affairs; Veterans Health Administration (VHA); VA Tennessee Valley Healthcare System</t>
  </si>
  <si>
    <t xml:space="preserve">Williams, JV (corresponding author), UPMC, Childrens Hosp Pittsburgh, 4401 Penn Ave,Rangos 9122, Pittsburgh, PA 15224 USA.</t>
  </si>
  <si>
    <t xml:space="preserve">Lamens, Kristina/0000-0002-2582-8010; JOYCE, Sebastian/0000-0002-3183-1451; Williams, John/0000-0001-8377-5175; Rogers, Meredith/0000-0003-1798-6294</t>
  </si>
  <si>
    <t xml:space="preserve">National Institutes of Health (NIH) [AI085062, T32GM007347]; Veterans Affairs Merit Award; Vanderbilt Ingram Cancer Center (under NIH) [P30 CA68485]; Vanderbilt Digestive Disease Research Center (under NIH) [DK058404]; [P30CA047904]</t>
  </si>
  <si>
    <t xml:space="preserve">National Institutes of Health (NIH)(United States Department of Health &amp; Human ServicesNational Institutes of Health (NIH) - USA); Veterans Affairs Merit Award(US Department of Veterans Affairs); Vanderbilt Ingram Cancer Center (under NIH); Vanderbilt Digestive Disease Research Center (under NIH);</t>
  </si>
  <si>
    <t xml:space="preserve">This work was supported by National Institutes of Health (NIH) Grants AI085062 (to J.V.W.) and T32GM007347 for the Vanderbilt Medical Scientist Training Program (to M.C.R.). S.J. is supported by a Veterans Affairs Merit Award. This project used the UPMC Hillman Cancer Center and Tissue and Research Pathology/Health Sciences Tissue Bank shared resource, which is supported in part by Award P30CA047904. The Vanderbilt Medical Center Flow Cytometry Shared Resource is supported by the Vanderbilt Ingram Cancer Center (under NIH Grant P30 CA68485) and the Vanderbilt Digestive Disease Research Center (under NIH Grant DK058404).</t>
  </si>
  <si>
    <t xml:space="preserve">10.4049/jimmunol.1800096</t>
  </si>
  <si>
    <t xml:space="preserve">GS4DI</t>
  </si>
  <si>
    <t xml:space="preserve">WOS:000443583400015</t>
  </si>
  <si>
    <t xml:space="preserve">Toquin, D; de Boisseson, C; Beven, V; Senne, DA; Eterradossi, N</t>
  </si>
  <si>
    <t xml:space="preserve">Subgroup C avian metapneumovirus (MPV) and the recently isolated human MPV exhibit a common organization but have extensive sequence divergence in their putative SH and G genes</t>
  </si>
  <si>
    <t xml:space="preserve">Biology; Human metapneumovirus; Metapneumovirus; Virology; Sequence (biology); Gene</t>
  </si>
  <si>
    <t xml:space="preserve">RESPIRATORY SYNCYTIAL VIRUS; TURKEY RHINOTRACHEITIS VIRUS; G-PROTEIN; MONOCLONAL-ANTIBODIES; FUNCTIONAL-ANALYSIS; ORDER DIFFERENT; GLYCOPROTEIN-G; PNEUMOVIRUS; NUCLEOTIDE; PREDICTION</t>
  </si>
  <si>
    <t xml:space="preserve">The genes encoding the putative small hydrophobic (SH), attachment (G) and polymerase (L) proteins of the Colorado isolate of subgroup C avian pneumovirus (APV) were entirely or partially sequenced, They all included metapneumovirus (MPV)-like gene start and gene end sequences. The deduced Colorado SH protein shared 26(.)9 and 21(.)7% aa identity with its counterpart in human MPV (hMPV) and APV subgroup A, respectively, but its only significant aa similarities were to hMPV. Conserved features included a common hydrophobicity profile with an unique transmembrane domain and the conservation of most extracellular cysteine residues. The Colorado putative G gene encoded several ORFs, the longer of which encoded a 252 aa long type II glycoprotein with aa similarities to hMPV G only (20(.)6% overall aa identity with seven conserved N-terminal residues). The putative Colorado G protein shared, at best, 21(.)0% aa identity with its counterparts in the other APV subgroups and did not contain the extracellular cysteine residues and short aa stretch highly conserved in other APVs. The N-terminal end of the Colorado L protein exhibited 73(.)6 and 54(.)9% aa identity with hMPV and APV subgroup A, respectively, with four aa blocks highly conserved among Pneumovirinae. Phylogenetic analysis performed on the nt sequences confirmed that the L sequences from MPVs were genetically related, whereas analysis of the G sequences revealed that among MPVs, only APV subgroups A, B and D clustered together, independently of both the Colorado isolate and hMPV, which shared weak genetic relatedness at the G gene level.</t>
  </si>
  <si>
    <t xml:space="preserve">French Agcy Food Safety, AFSSA, Avian &amp; Rabbit Virol Immunol &amp; Parasitol Unit, VIPAC, F-22440 Ploufragan, France; UGVB, Virus Genet &amp; Biosecur Unit, F-22440 Ploufragan, France; USDA, Natl Vet Serv Labs, Ames, IA 50010 USA</t>
  </si>
  <si>
    <t xml:space="preserve">Agence Nationale de Securite Sanitaire de l'Alimentation, de l'Environnement du Travail (ANSES); United States Department of Agriculture (USDA)</t>
  </si>
  <si>
    <t xml:space="preserve">French Agcy Food Safety, AFSSA, Avian &amp; Rabbit Virol Immunol &amp; Parasitol Unit, VIPAC, BP53, F-22440 Ploufragan, France.</t>
  </si>
  <si>
    <t xml:space="preserve">n.eterradossi@ploufragan.afssa.fr</t>
  </si>
  <si>
    <t xml:space="preserve">10.1099/vir.0.19043-0</t>
  </si>
  <si>
    <t xml:space="preserve">705TR</t>
  </si>
  <si>
    <t xml:space="preserve">WOS:000184411600026</t>
  </si>
  <si>
    <t xml:space="preserve">Nicolai, A; Ferrara, M; Schiavariello, C; Gentile, F; Grande, ME; Alessandroni, C; Midulla, F</t>
  </si>
  <si>
    <t xml:space="preserve">Nicolai, A.; Ferrara, M.; Schiavariello, C.; Gentile, F.; Grande, M. E.; Alessandroni, C.; Midulla, F.</t>
  </si>
  <si>
    <t xml:space="preserve">Viral bronchiolitis in children: A common condition with few therapeutic options</t>
  </si>
  <si>
    <t xml:space="preserve">EARLY HUMAN DEVELOPMENT</t>
  </si>
  <si>
    <t xml:space="preserve">Bronchiolitis; Medicine; Hypertonic saline; Nasal cannula; Pediatrics; Disease; Asthma; Intensive care medicine</t>
  </si>
  <si>
    <t xml:space="preserve">RESPIRATORY SYNCYTIAL VIRUS; RECOMBINANT HUMAN DEOXYRIBONUCLEASE; WHEEZING RHINOVIRUS ILLNESSES; EARLY-LIFE; FOLLOW-UP; HUMAN METAPNEUMOVIRUS; HOSPITALIZED INFANTS; RSV BRONCHIOLITIS; DISEASE SEVERITY; CONTROLLED-TRIAL</t>
  </si>
  <si>
    <t xml:space="preserve">Even though bronchiolitis is a disease that has been recognized for many years, there are still few therapeutic strategies beyond supportive therapies. Bronchiolitis is the most frequent cause of hospital admission in children less than 1 year of age. The incidence is estimated to be about 150 million cases a year worldwide, and 2-3% of these cases require hospitalization. It is acknowledged that viruses cause bronchiolitis, but most of the studies focus on RSV. The RSV causes a more severe form of bronchiolitis in children with risk factors including prematurity, cardiovascular disease and immunodeficiency. Other viruses involved in causing bronchiolitis include RV, hMPV, hBoV and co-infections. The RV seems to be associated with a less severe acute disease, but there is a correlation between the early infection and subsequent wheezing bronchitis and asthma in later childhood and adulthood. The supportive therapies used are intravenous fluids and oxygen supplement administered by nasal cannula or CPAP in most complicated patients. Additional pharmacological therapies include epinephrine, 3% hypertonic saline and corticosteroids. The Epinephrine seems to have the greatest short-term benefits and reduces the need of hospital admission, whereas hypertonic saline and codicosteroids seem to reduce the length of hospital stay. As bronchiolitis is such a prevalent disease in children and RV seems to play an important role, perhaps more studies should center around the RV's contribution to the initial disease and following pathology. (C) 2013 Elsevier Ireland Ltd. All rights reserved.</t>
  </si>
  <si>
    <t xml:space="preserve">[Nicolai, A.; Ferrara, M.; Schiavariello, C.; Gentile, F.; Grande, M. E.; Alessandroni, C.; Midulla, F.] Univ Roma La Sapienza, Dept Paediat, I-00161 Rome, Italy</t>
  </si>
  <si>
    <t xml:space="preserve">Sapienza University Rome</t>
  </si>
  <si>
    <t xml:space="preserve">Midulla, F (corresponding author), Univ Roma La Sapienza, Dept Paediat, Viale Regina Elena 324, I-00161 Rome, Italy.</t>
  </si>
  <si>
    <t xml:space="preserve">Nicolai, Ambra/AAD-6243-2020; Midulla, Fabio/AAL-4391-2020; Schiavariello, Concetta/JHT-0044-2023</t>
  </si>
  <si>
    <t xml:space="preserve">Gentile, Federico/0000-0002-7143-0572; Midulla, Fabio/0000-0001-7476-5266; Nicolai, Ambra/0000-0002-8583-9088; schiavariello, concetta/0000-0001-9778-5905</t>
  </si>
  <si>
    <t xml:space="preserve">0378-3782</t>
  </si>
  <si>
    <t xml:space="preserve">1872-6232</t>
  </si>
  <si>
    <t xml:space="preserve">EARLY HUM DEV</t>
  </si>
  <si>
    <t xml:space="preserve">Early Hum. Dev.</t>
  </si>
  <si>
    <t xml:space="preserve">S11</t>
  </si>
  <si>
    <t xml:space="preserve">10.1016/j.earlhumdev.2013.07.016</t>
  </si>
  <si>
    <t xml:space="preserve">Obstetrics &amp; Gynecology; Pediatrics</t>
  </si>
  <si>
    <t xml:space="preserve">262RR</t>
  </si>
  <si>
    <t xml:space="preserve">WOS:000327755800003</t>
  </si>
  <si>
    <t xml:space="preserve">Cunha, BA; Connolly, JJ; Irshad, N</t>
  </si>
  <si>
    <t xml:space="preserve">Cunha, B. A.; Connolly, J. J.; Irshad, N.</t>
  </si>
  <si>
    <t xml:space="preserve">The clinical usefulness of lymphocyte: monocyte ratios in differentiating influenza from viral non-influenza-like illnesses in hospitalized adults during the 2015 influenza A (H3N2) epidemic: the uniqueness of HPIV-3 mimicking influenza A</t>
  </si>
  <si>
    <t xml:space="preserve">Human metapneumovirus; Virology; Medicine; Virus</t>
  </si>
  <si>
    <t xml:space="preserve">LEGIONNAIRES-DISEASE; RELATIVE LYMPHOPENIA; H1N1 PNEUMONIA; HERALD WAVE; DIAGNOSIS; INFECTIONS; VIRUSES; MARKER; TRIAD</t>
  </si>
  <si>
    <t xml:space="preserve">During influenza epidemics, influenza-like illnesses (ILIs) viruses cocirculate with influenza strains. If positive, rapid influenza diagnostic tests (RIDTs) identify influenza A/B, but false-negative RIDTs require retesting by viral polymerase chain reaction (PCR). Patient volume limits testing during influenza epidemics, and non-specific laboratory findings have been used for presumptive diagnosis pending definitive viral testing. In adults, the most useful laboratory abnormalities in influenza include relative lymphopenia, monocytosis, and thrombocytopenia. Lymphocyte: monocyte (L:M) ratios may be even more useful. L: M ratios &lt;2 have been used as a surrogate marker for influenza, but there are no longitudinal data on L: M ratios in hospitalized adults with viral ILIs. During the 2015 influenza A (H3N2) epidemic at our hospital, we reviewed our experience with L: M ratios in 37 hospitalized adults with non-influenza viral ILIs. In hospitalized adults with non-influenza A ILIs, the L: M ratios were &gt;2 with human metapneumovirus (hMPV), rhinoviruses/enteroviruses (R/E), and respiratory syncytial virus (RSV), but not human parainfluenza virus type 3 (HPIV3), which had L: M ratios &lt;2. HPIV-3, like influenza, was accompanied by L: M ratios &lt;2, mimicking influenza A (H3N2). In influenza A admitted adults, L: M ratios &lt;2 did not continue for &gt;3 days, whereas with HPIV-3, L: M ratios &lt; 2 persisted for &gt;3 days of hospitalization.</t>
  </si>
  <si>
    <t xml:space="preserve">[Cunha, B. A.; Connolly, J. J.; Irshad, N.] Winthrop Univ Hosp, Div Infect Dis, 222 Stn Plaza North Suite 432, Mineola, NY 11501 USA; [Cunha, B. A.; Connolly, J. J.; Irshad, N.] SUNY Stony Brook, Sch Med, Stony Brook, NY 11794 USA</t>
  </si>
  <si>
    <t xml:space="preserve">Cunha, BA (corresponding author), Winthrop Univ Hosp, Div Infect Dis, 222 Stn Plaza North Suite 432, Mineola, NY 11501 USA.;Cunha, BA (corresponding author), SUNY Stony Brook, Sch Med, Stony Brook, NY 11794 USA.</t>
  </si>
  <si>
    <t xml:space="preserve">10.1007/s10096-015-2521-8</t>
  </si>
  <si>
    <t xml:space="preserve">DB9CM</t>
  </si>
  <si>
    <t xml:space="preserve">WOS:000368813700018</t>
  </si>
  <si>
    <t xml:space="preserve">Rhedin, S; Lindstrand, A; Hjelmgren, A; Ryd-Rinder, M; Öhrmalm, L; Tolfvenstam, T; Örtqvist, Å; Rotzén-Östlund, M; Zweygberg-Wirgart, B; Henriques-Normark, B; Broliden, K; Naucler, P</t>
  </si>
  <si>
    <t xml:space="preserve">Rhedin, Samuel; Lindstrand, Ann; Hjelmgren, Annie; Ryd-Rinder, Malin; Ohrmalm, Lars; Tolfvenstam, Thomas; Ortqvist, Ake; Rotzen-Ostlund, Maria; Zweygberg-Wirgart, Benita; Henriques-Normark, Birgitta; Broliden, Kristina; Naucler, Pontus</t>
  </si>
  <si>
    <t xml:space="preserve">Respiratory viruses associated with community-acquired pneumonia in children: matched case-control study</t>
  </si>
  <si>
    <t xml:space="preserve">Human metapneumovirus; Medicine; Rhinovirus; Community-acquired pneumonia; Enterovirus; Pneumonia</t>
  </si>
  <si>
    <t xml:space="preserve">HUMAN METAPNEUMOVIRUS INFECTION; REQUIRING HOSPITALIZATION; ETIOLOGY; BOCAVIRUS; INFANTS</t>
  </si>
  <si>
    <t xml:space="preserve">Background Community-acquired pneumonia (CAP) is the leading cause of death in children worldwide and a substantial proportion of childhood CAP is caused by viruses. A better understanding of the role of virus infections in this condition is needed to improve clinical management and preventive measures. The aim of the study was therefore to assess the association between specific respiratory viruses and childhood CAP. Methods A case-control study was conducted during 3 years in Stockholm, Sweden. Cases were children aged &lt;= 5 years with radiological CAP. Healthy controls were consecutively enrolled at child health units during routine visits and matched to cases on age and calendar time. Nasopharyngeal aspirates were obtained and analysed by real-time PCR for 15 viruses. Multivariate conditional logistic regression was used to account for coinfections with other viruses and baseline characteristics. Results A total of 121 cases, of which 93 cases met the WHO criteria for radiological pneumonia, and 240 controls were included in the study. Viruses were detected in 81% of the cases (n=98) and 56% of the controls (n=134). Influenza virus, metapneumovirus and respiratory syncytial virus were detected in 60% of cases and were significantly associated with CAP with ORs &gt;10. There was no association with parainfluenza virus, human enterovirus or rhinovirus and coronavirus and bocavirus were negatively associated with CAP. Conclusions Our study indicates viral CAP is an underestimated disease and points out hMPV as a new important target for the prevention of childhood CAP.</t>
  </si>
  <si>
    <t xml:space="preserve">[Rhedin, Samuel; Hjelmgren, Annie; Ohrmalm, Lars; Tolfvenstam, Thomas; Ortqvist, Ake; Broliden, Kristina; Naucler, Pontus] Karolinska Inst, Infect Dis Unit, Dept Med Solna, S-17176 Stockholm, Sweden; [Rhedin, Samuel; Hjelmgren, Annie; Ohrmalm, Lars; Tolfvenstam, Thomas; Ortqvist, Ake; Broliden, Kristina; Naucler, Pontus] Karolinska Univ Hosp, Stockholm, Sweden; [Lindstrand, Ann; Tolfvenstam, Thomas] Publ Hlth Agcy Sweden, Stockholm, Sweden; [Lindstrand, Ann] Karolinska Inst, Dept Publ Hlth Sci, Stockholm, Sweden; [Ryd-Rinder, Malin] South Gen Hosp, Sachs Children &amp; Youth Hosp, Karolinska Inst, Dept Clin Sci &amp; Educ, Stockholm, Sweden; [Ortqvist, Ake] Stockholm Cty Council, Dept Communicable Dis &amp; Control, Stockholm, Sweden; [Rotzen-Ostlund, Maria; Zweygberg-Wirgart, Benita; Henriques-Normark, Birgitta] Karolinska Univ Hosp, Dept Clin Microbiol, Stockholm, Sweden; [Rotzen-Ostlund, Maria; Zweygberg-Wirgart, Benita; Henriques-Normark, Birgitta] Karolinska Inst, Dept Microbiol Tumor &amp; Cell Biol, Stockholm, Sweden</t>
  </si>
  <si>
    <t xml:space="preserve">Karolinska Institutet; Karolinska Institutet; Karolinska University Hospital; Public Health Agency of Sweden; Karolinska Institutet; Karolinska Institutet; Stockholm County Council; Karolinska Institutet; Karolinska University Hospital; Karolinska Institutet</t>
  </si>
  <si>
    <t xml:space="preserve">Rhedin, S (corresponding author), Karolinska Inst, Infect Dis Unit, Dept Med Solna, S-17176 Stockholm, Sweden.</t>
  </si>
  <si>
    <t xml:space="preserve">Stockholm County Council; Shizu Matsumura Donation; Swedish Society of Medicine; Swedish Childhood Cancer Foundation</t>
  </si>
  <si>
    <t xml:space="preserve">Stockholm County Council(Stockholm County Council); Shizu Matsumura Donation; Swedish Society of Medicine; Swedish Childhood Cancer Foundation</t>
  </si>
  <si>
    <t xml:space="preserve">The study was supported by grants from the Stockholm County Council, the Shizu Matsumura Donation, the Swedish Society of Medicine and the Swedish Childhood Cancer Foundation.</t>
  </si>
  <si>
    <t xml:space="preserve">10.1136/thoraxjnl-2015-206933</t>
  </si>
  <si>
    <t xml:space="preserve">CP3UR</t>
  </si>
  <si>
    <t xml:space="preserve">WOS:000359808600009</t>
  </si>
  <si>
    <t xml:space="preserve">O'Meara, WP; Mott, JA; Laktabai, J; Wamburu, K; Fields, B; Armstrong, J; Taylor, SM; MacIntyre, C; Sen, R; Menya, D; Pan, W; Nicholson, BP; Woods, CW; Holland, TL</t>
  </si>
  <si>
    <t xml:space="preserve">O'Meara, Wendy P.; Mott, Joshua A.; Laktabai, Jeremiah; Wamburu, Kabura; Fields, Barry; Armstrong, Janice; Taylor, Steve M.; MacIntyre, Charles; Sen, Reeshi; Menya, Diana; Pan, William; Nicholson, Bradly P.; Woods, Christopher W.; Holland, Thomas L.</t>
  </si>
  <si>
    <t xml:space="preserve">Etiology of Pediatric Fever in Western Kenya: A Case-Control Study of Falciparum Malaria, Respiratory Viruses, and Streptococcal Pharyngitis</t>
  </si>
  <si>
    <t xml:space="preserve">FEBRILE ILLNESS; SEVERE PNEUMONIA; HEALTH-CARE; INFLUENZA; EPIDEMIOLOGY; DYNAMICS; CHILDREN; BURDEN</t>
  </si>
  <si>
    <t xml:space="preserve">In Kenya, more than 10 million episodes of acute febrile illness are treated annually among children under 5 years, Most are clinically managed as malaria without parasitological confirmation. There is an unmet need to describe pathogen-specific etiologies of fever. We enrolled 370 febrile children and 184 healthy controls. We report demographic and clinical characteristics of patients with Plasmodium falciparum, group A streptococcal (GAS) pharyngitis, and respiratory viruses (influenza A and B, respiratory syncytial virus [RSV], parainfluenza [PIV] types 1-3, adenovirus, human metapneumovirus [hMPV]), as well as those with undifferentiated fever. Of febrile children, 79.7% were treated for malaria. However, P. falciparum was detected infrequently in both cases and controls (14/268 [5.2%] versus 3/133 [2.3%], P = 0.165), whereas 41% (117/282) of febrile children had a respiratory viral infection, compared with 24.8% (29/117) of controls (P = 0.002). Only 9/515 (1.7%) children had streptococcal infection. Of febrile children, 22/269 (8.2%) were infected with &gt; 1 pathogen, and 102/275 (37.1%) had fevers of unknown etiology. Respiratory viruses were common in both groups, but only influenza or parainfluenza was more likely to be associated with symptomatic disease (attributable fraction [AF] 67.5% and 59%, respectively). Malaria was overdiagnosed and overtreated. Few children presented to the hospital with GAS pharyngitis. An enhanced understanding of carriage of common pathogens, improved diagnostic capacity, and better-informed clinical algorithms for febrile illness are needed.</t>
  </si>
  <si>
    <t xml:space="preserve">[O'Meara, Wendy P.; Holland, Thomas L.] Duke Univ, Med Ctr, Div Infect Dis &amp; Int Hlth, Durham, NC USA; [MacIntyre, Charles; Sen, Reeshi; Pan, William] Duke Global Hlth Inst, Durham, NC USA; [O'Meara, Wendy P.; Menya, Diana] Moi Univ, Sch Publ Hlth, Coll Hlth Sci, Eldoret, Kenya; [Mott, Joshua A.; Wamburu, Kabura; Fields, Barry] Ctr Dis Control &amp; Prevent, Nairobi, Kenya; [Laktabai, Jeremiah; Armstrong, Janice] Moi Univ, Sch Med, Coll Hlth Sci, Eldoret, Kenya; Durham Vet Affairs Med Ctr, Durham, NC USA; [Taylor, Steve M.; Woods, Christopher W.] Duke Univ, Med Ctr, Div Infect Dis &amp; Int Hlth, Duke Global Hlth Inst,Durham Vet Affairs Med Ctr, Durham, NC USA; [Nicholson, Bradly P.] Duke Univ, Med Ctr, Div Infect Dis &amp; Int Hlth, Durham Vet Affairs Med Ctr, Durham, NC USA</t>
  </si>
  <si>
    <t xml:space="preserve">Duke University; Duke University; Moi University; Moi University; US Department of Veterans Affairs; Veterans Health Administration (VHA); Durham VA Medical Center; US Department of Veterans Affairs; Veterans Health Administration (VHA); Durham VA Medical Center; Duke University; US Department of Veterans Affairs; Veterans Health Administration (VHA); Durham VA Medical Center; Duke University</t>
  </si>
  <si>
    <t xml:space="preserve">O'Meara, WP (corresponding author), Duke Univ, Box 5760, Eldoret 30100, Kenya.</t>
  </si>
  <si>
    <t xml:space="preserve">wpo@duke.ed; zud9@cdc.gov; drlaktabai@yahoo.com; WKabura@kemricdc.org; bsf2@cdc.gov; janasimiyu@yahoo.com; steve.taylor@duke.edu; cwmacintyre@gmail.com; reeshisen00@gmail.com; dianamenya@gmail.com; william.pan@duke.edu; brad.nicholson@duke.edu; chris.woods@duke.edu; Thomas.Holland@duke.edu</t>
  </si>
  <si>
    <t xml:space="preserve">laktabai, jeremiah/LTF-0814-2024; Holland, Thomas/AAA-6096-2022; PAN, WILLIAM/HTR-1125-2023</t>
  </si>
  <si>
    <t xml:space="preserve">Holland, Thomas/0000-0001-7745-9010</t>
  </si>
  <si>
    <t xml:space="preserve">Duke Global Health Institute</t>
  </si>
  <si>
    <t xml:space="preserve">This study was supported by a pilot grant from Duke Global Health Institute.</t>
  </si>
  <si>
    <t xml:space="preserve">10.4269/ajtmh.14.0560</t>
  </si>
  <si>
    <t xml:space="preserve">CH5KQ</t>
  </si>
  <si>
    <t xml:space="preserve">WOS:000354074900028</t>
  </si>
  <si>
    <t xml:space="preserve">Tanner, H; Boxall, E; Osman, H</t>
  </si>
  <si>
    <t xml:space="preserve">Tanner, H.; Boxall, E.; Osman, H.</t>
  </si>
  <si>
    <t xml:space="preserve">Respiratory viral infections during the 2009-2010 winter season in Central England, UK: incidence and patterns of multiple virus co-infections</t>
  </si>
  <si>
    <t xml:space="preserve">Rhinovirus; Virology; Virus; Human metapneumovirus; Respiratory system; Medical microbiology; Metapneumovirus; Biology</t>
  </si>
  <si>
    <t xml:space="preserve">COMMON COLD; CHILDREN; INFANTS; BRONCHIOLITIS; SYMPTOMS; IMPACT</t>
  </si>
  <si>
    <t xml:space="preserve">Acute viral respiratory infections are the most common infections in humans. Co-infection with different respiratory viruses is well documented but not necessarily well understood. The aim of this study was to utilise laboratory data from the winter season following the 2009 influenza A(H1N1) outbreak to investigate rates of respiratory virus co-infections, virus prevalence in different age groups and temporal variations in virus detection. The Health Protection Agency Public Health Laboratory (HPA PHL) Birmingham, UK, routinely uses polymerase chain reaction (PCR) to detect common respiratory viruses. The results from specimens received for respiratory virus investigations from late September 2009 to April 2010 were analysed. A total of 4,821 specimen results were analysed. Of these, 323 (13.2 %) had co-detections of two viruses, 22 (0.9 %) had three viruses and four (0.2 %) had four viruses. Reciprocal patterns of positive or negative associations between different virus pairs were found. Statistical analysis confirmed the significance of negative associations between influenza A and human metapneumovirus (HMPV), and influenza A and rhinovirus. Positive associations between parainfluenza with rhinovirus, rhinovirus with respiratory syncytial virus (RSV) and adenovirus with rhinovirus, parainfluenza and RSV were also significant. Age and temporal distributions of the different viruses were typical. This study found that the co-detection of different respiratory viruses is not random and most associations are reciprocal, either positively or negatively. The pandemic strain of influenza A(H1N1) was notable in that it was the least likely to be co-detected with another respiratory virus.</t>
  </si>
  <si>
    <t xml:space="preserve">[Tanner, H.; Boxall, E.; Osman, H.] Heartlands Hosp, Hlth Protect Agcy, Publ Hlth Lab Birmingham, Birmingham B9 5SS, W Midlands, England</t>
  </si>
  <si>
    <t xml:space="preserve">Health Protection Agency; Heart of England NHS Foundation Trust</t>
  </si>
  <si>
    <t xml:space="preserve">Tanner, H (corresponding author), Heartlands Hosp, Hlth Protect Agcy, Publ Hlth Lab Birmingham, Birmingham B9 5SS, W Midlands, England.</t>
  </si>
  <si>
    <t xml:space="preserve">hannah.tanner@heartofengland.nhs.uk</t>
  </si>
  <si>
    <t xml:space="preserve">Tanner, Hannah/0000-0003-3378-3219</t>
  </si>
  <si>
    <t xml:space="preserve">10.1007/s10096-012-1653-3</t>
  </si>
  <si>
    <t xml:space="preserve">026CB</t>
  </si>
  <si>
    <t xml:space="preserve">WOS:000310247800018</t>
  </si>
  <si>
    <t xml:space="preserve">Sloots, TP; Mackay, IM; Bialasiewicz, S; Jacob, KC; McQueen, E; Harnett, GB; Siebert, DJ; Masters, IB; Young, PR; Nissen, MD</t>
  </si>
  <si>
    <t xml:space="preserve">Sloots, Theo P.; Mackay, Ian M.; Bialasiewicz, Seweryn; Jacob, Kevin C.; McQueen, Emily; Harnett, Gerald B.; Siebert, David J.; Masters, I. Brent; Young, Paul R.; Nissen, Michael D.</t>
  </si>
  <si>
    <t xml:space="preserve">Human metapneumovirus, Australia, 2001-2004</t>
  </si>
  <si>
    <t xml:space="preserve">Human metapneumovirus; Metapneumovirus; Genotyping; Virology; Incidence (geometry); Genotype</t>
  </si>
  <si>
    <t xml:space="preserve">RESPIRATORY SYNCYTIAL VIRUS; INFECTION; CHILDREN; SEVERITY</t>
  </si>
  <si>
    <t xml:space="preserve">We examined 10,025 respiratory samples collected for 4 years (2001-2004) and found a 7.1% average annual incidence of human meta pneumovirus. The epidemic peak of infection was late winter to spring, and genotyping showed a change in predominant viral genotype in 3 of the 4 years.</t>
  </si>
  <si>
    <t xml:space="preserve">Royal Childrens Hosp &amp; Hlth Serv Dist, Brisbane, Qld, Australia; Univ Queensland, Clin Med Virol Ctr, Brisbane, Qld, Australia; Queensland Hlth Pathol Serv, Brisbane, Qld, Australia; PathW Lab Med, Perth, WA, Australia</t>
  </si>
  <si>
    <t xml:space="preserve">University of Queensland; Queensland Health; University of Western Australia</t>
  </si>
  <si>
    <t xml:space="preserve">Sloots, TP (corresponding author), Royal Childrens Hosp &amp; Hlth Serv Dist, Queensland Paediat Infect Dis Lab, Sir Albert Sakzewski Virus Res Ctr, Herston Rd, Herston, Qld 4029, Australia.</t>
  </si>
  <si>
    <t xml:space="preserve">t.sloots@uq.edu.au</t>
  </si>
  <si>
    <t xml:space="preserve">Sloots, Theo/E-6118-2011; masters, ian/E-6071-2013; Bialasiewicz, Seweryn/F-1414-2010; Mackay, Ian M./B-2537-2010; Nissen, Michael/M-6823-2013; Young, Paul/A-6176-2010</t>
  </si>
  <si>
    <t xml:space="preserve">Mackay, Ian M./0000-0003-3598-2350; Bialasiewicz, Seweryn/0000-0001-9474-6943; Nissen, Michael/0000-0003-1686-3313; Young, Paul/0000-0002-2040-5190</t>
  </si>
  <si>
    <t xml:space="preserve">10.3201/eid1708.051239</t>
  </si>
  <si>
    <t xml:space="preserve">068FQ</t>
  </si>
  <si>
    <t xml:space="preserve">WOS:000239358500017</t>
  </si>
  <si>
    <t xml:space="preserve">Corral, T; Ver, LS; Mottet, G; Cano, O; García-Barreno, B; Calder, LJ; Skehel, JJ; Roux, L; Melero, JA</t>
  </si>
  <si>
    <t xml:space="preserve">Corral, Teresa; Ver, Lorena S.; Mottet, Genevieve; Cano, Olga; Garcia-Barreno, Blanca; Calder, Lesley J.; Skehel, John J.; Roux, Laurent; Melero, Jose A.</t>
  </si>
  <si>
    <t xml:space="preserve">High level expression of soluble glycoproteins in the allantoic fluid of embryonated chicken eggs using a Sendai virus minigenome system</t>
  </si>
  <si>
    <t xml:space="preserve">BMC BIOTECHNOLOGY</t>
  </si>
  <si>
    <t xml:space="preserve">Embryonated; Biology; Sendai virus; Glycoprotein; Virology</t>
  </si>
  <si>
    <t xml:space="preserve">RESPIRATORY SYNCYTIAL-VIRUS; 2 DISTINCT SITES; FUSION PROTEIN; ELECTRON-MICROSCOPY; INFLUENZA-VIRUS; IN-VITRO; MEMBRANE; RNA; REPLICATION; GENERATION</t>
  </si>
  <si>
    <t xml:space="preserve">Background: Embryonated chicken eggs have been used since the mid-20th century to grow a wide range of animal viruses to high titers. However, eggs have found so far only limited use in the production of recombinant proteins. We now describe a system, based on a Sendai virus minigenome, to produce large amounts of heterologous viral glycoproteins in the allantoic cavity of embryonated eggs. Results: Soluble forms of human respiratory syncytial virus (HRSV) and human metapneumovirus (HMPV) fusion (F) proteins, devoid of their transmembrane and cytoplasmic domains, were produced in allantoic fluids using the Sendai minigenome system. The first step was rescuing in cell cultures Sendai virus minigenomes encoding the proteins of interest, with the help of wild type Sendai virus. The second step was propagating such recombinant defective viruses, together with the helper virus, in the allantoic cavity of chicken embryonated eggs, and passage to optimize protein production. When compared with the production of the same proteins in the culture supernatant of cells infected with vaccinia recombinants, the yield in the allantoic fluid was 5-10 fold higher. Mutant forms of these soluble proteins were easily constructed by site-directed mutagenesis and expressed in eggs using the same approach. Conclusion: The simplicity and economy of the Sendai minigenome system, together with the high yield achieved in the allantoic fluid of eggs, makes it an attractive method to express soluble glycoproteins aimed for structural studies.</t>
  </si>
  <si>
    <t xml:space="preserve">Inst Salud Carlos III, Ctr Nacl Microbiol, Madrid 28220, Spain; Univ Geneva, Sch Med, Dept Microbiol &amp; Mol Med, CMU, CH-1211 Geneva, Switzerland; Natl Inst Med Res, London NW7 1AA, England</t>
  </si>
  <si>
    <t xml:space="preserve">Instituto de Salud Carlos III; Centro Nacional de Microbiologia (CNM); University of Geneva; MRC National Institute for Medical Research</t>
  </si>
  <si>
    <t xml:space="preserve">tcorral@isciii.es; lorenaver@isciii.es; Genevieve.Mottet@medecine.unige.ch; olgacm@isciii.es; Laurent.Roux@medecine.unige.ch; lcalder@nimr.mrc.ac.uk; skeheljj@nimr.mrc.ac.uk; Laurent.Roux@medecine.unige.ch; jmelero@isciii.es</t>
  </si>
  <si>
    <t xml:space="preserve">Garcia-Barreno, Blanca/AAF-5554-2019</t>
  </si>
  <si>
    <t xml:space="preserve">Melero, Jose A./0000-0001-8148-6521; CANO MORATO, OLGA/0000-0003-4281-7572; Corral, Teresa/0000-0003-2959-9910</t>
  </si>
  <si>
    <t xml:space="preserve">MRC [MC_U117512711] Funding Source: UKRI; Medical Research Council [MC_U117512711] Funding Source: Medline</t>
  </si>
  <si>
    <t xml:space="preserve">MRC(UK Research &amp; Innovation (UKRI)Medical Research Council UK (MRC)); Medical Research Council(UK Research &amp; Innovation (UKRI)Medical Research Council UK (MRC))</t>
  </si>
  <si>
    <t xml:space="preserve">1472-6750</t>
  </si>
  <si>
    <t xml:space="preserve">BMC BIOTECHNOL</t>
  </si>
  <si>
    <t xml:space="preserve">BMC Biotechnol.</t>
  </si>
  <si>
    <t xml:space="preserve">10.1186/1472-6750-7-17</t>
  </si>
  <si>
    <t xml:space="preserve">159JP</t>
  </si>
  <si>
    <t xml:space="preserve">WOS:000245862200001</t>
  </si>
  <si>
    <t xml:space="preserve">Zhang, D; Feng, ZS; Zhao, MC; Wang, H; Wang, L; Yang, S; Li, GX; Lu, L; Ma, XJ</t>
  </si>
  <si>
    <t xml:space="preserve">Zhang, Dan; Feng, Zhishan; Zhao, Mengchuan; Wang, Hao; Wang, Le; Yang, Shuo; Li, Guixia; Lu, Li; Ma, Xuejun</t>
  </si>
  <si>
    <t xml:space="preserve">Clinical Evaluation of a Single-Tube Multiple RT-PCR Assay for the Detection of 13 Common Virus Types/Subtypes Associated with Acute Respiratory Infection</t>
  </si>
  <si>
    <t xml:space="preserve">Human metapneumovirus; Rhinovirus; Virology; Multiplex; Virus; Multiplex polymerase chain reaction; Respiratory system</t>
  </si>
  <si>
    <t xml:space="preserve">ARMORED RNA; SEEPLEX RV15; CHILDREN</t>
  </si>
  <si>
    <t xml:space="preserve">Respiratory viruses are among the most important causes of human morbidity and mortality worldwide, especially for infants and young children. In the past years, a few commercial multiplex RT-PCR assays have been used to detect respiratory viruses in spite of the high cost. In the present study, an improved single-tube multiplex reverse transcription PCR assay for simultaneous detection of 13 respiratory viruses was evaluated and compared with a previously reported two-tube assay as the reference method using clinical nasopharyngeal aspirates samples. Of 310 prospectively tested respiratory specimens selected from children hospitalized with acute respiratory illness, 226 (72.90%, 226/310) and 214 (69.03%, 214/310) positive for one or more viruses were identified by the single-tube and the two-tube assays, respectively, with combined test results showing good concordance (Kappa value = 0.874). Individually, the single-tube assay for adenovirus (Adv), human metapneumovirus (HMPV), human rhinovirus (HRV), parainfluenza virus type 1 (PIV1), parainfluenza virus type 3 (PIV3) and parainfluenza virus type 4 (PIV4) showed the significantly superior sensitivities to those of the two-tube assay. No false positives were found. In conclusion, our results demonstrates the one-tube assay revealed significant improvements over the two-tube assay in terms of the better sensitivity, more accurate quality control, less nonspecific amplification, more cost-effective and shorter turn-around time and will be a valuable tool for routine surveillance of respiratory virus infection in China.</t>
  </si>
  <si>
    <t xml:space="preserve">[Zhang, Dan; Lu, Li] Guangzhou Med Univ, Dept Pathophysiol, Guangzhou, Guangdong, Peoples R China; [Zhang, Dan; Zhao, Mengchuan; Wang, Hao; Ma, Xuejun] Chinese Ctr Dis Control &amp; Prevent, Natl Inst Viral Dis Control &amp; Prevent, Natl Hlth &amp; Family Planning Commiss, Key Lab Med Virol, Beijing, Peoples R China; [Feng, Zhishan; Zhao, Mengchuan; Wang, Le; Yang, Shuo; Li, Guixia] Hebei Med Univ, Childrens Hosp Hebei Prov, Pediat Res Inst, Shijiazhuang, Peoples R China; [Wang, Hao] Univ Gothenburg, Sahlgrenska Acad, Inst Biomed, Dept Infect Dis, Gothenburg, Sweden</t>
  </si>
  <si>
    <t xml:space="preserve">Guangzhou Medical University; Chinese Center for Disease Control &amp; Prevention; National Institute for Viral Disease Control &amp; Prevention, Chinese Center for Disease Control &amp; Prevention; Hebei Medical University; University of Gothenburg</t>
  </si>
  <si>
    <t xml:space="preserve">Lu, L (corresponding author), Guangzhou Med Univ, Dept Pathophysiol, Guangzhou, Guangdong, Peoples R China.;Ma, XJ (corresponding author), Chinese Ctr Dis Control &amp; Prevent, Natl Inst Viral Dis Control &amp; Prevent, Natl Hlth &amp; Family Planning Commiss, Key Lab Med Virol, Beijing, Peoples R China.</t>
  </si>
  <si>
    <t xml:space="preserve">925295339@qq.com; maxj@ivdc.chinacdc.cn</t>
  </si>
  <si>
    <t xml:space="preserve">Wang, Le/JEZ-8047-2023; Wang, Hao/HMW-0093-2023</t>
  </si>
  <si>
    <t xml:space="preserve">Wang, Hao/0000-0001-9425-4666</t>
  </si>
  <si>
    <t xml:space="preserve">China Mega-Project for Infectious Disease [2016ZX10004-101, 2016 ZX10004-215, 2013ZX10004804-007]; Beijing Municipal Science &amp; Technology Commission project [D151100002115003]</t>
  </si>
  <si>
    <t xml:space="preserve">China Mega-Project for Infectious Disease; Beijing Municipal Science &amp; Technology Commission project(Beijing Municipal Science &amp; Technology Commission)</t>
  </si>
  <si>
    <t xml:space="preserve">This work was supported by grants from China Mega-Project for Infectious Disease (2016ZX10004-101, 2016 ZX10004-215, 2013ZX10004-202, and 2013ZX10004804-007) and Beijing Municipal Science &amp; Technology Commission project (D151100002115003). The funders had no role in study design, data collection and analysis, decision to publish, or preparation of the manuscript.</t>
  </si>
  <si>
    <t xml:space="preserve">e0152702</t>
  </si>
  <si>
    <t xml:space="preserve">10.1371/journal.pone.0152702</t>
  </si>
  <si>
    <t xml:space="preserve">DI6EN</t>
  </si>
  <si>
    <t xml:space="preserve">WOS:000373592100027</t>
  </si>
  <si>
    <t xml:space="preserve">Tejedor, JR; Roberti, A; Mangas, C; Alvarez-Argüelles, ME; Rojo-Alba, S; Boga, JA; Fernández, AF; Melón, S; Rodríguez, M; Fraga, MF</t>
  </si>
  <si>
    <t xml:space="preserve">Tejedor, Juan R.; Roberti, Annalisa; Mangas, Cristina; Alvarez-Arguelles, Marta E.; Rojo-Alba, Susana; Boga, Jose A.; Fernandez, Agustin F.; Melon, Santiago; Rodriguez, Mercedes; Fraga, Mario F.</t>
  </si>
  <si>
    <t xml:space="preserve">A FokI-driven signal amplification platform for the simultaneous detection of multiple viral RNA pathogens</t>
  </si>
  <si>
    <t xml:space="preserve">SENSORS &amp; DIAGNOSTICS</t>
  </si>
  <si>
    <t xml:space="preserve">FokI; SIGNAL (programming language); Computational biology</t>
  </si>
  <si>
    <t xml:space="preserve">GLOBAL BURDEN; INFECTION; DIAGNOSTICS; POLYMERASE; CHILDREN; VIRUS</t>
  </si>
  <si>
    <t xml:space="preserve">Accurate signal quantification is a critical parameter for precise pathogen diagnosis. Furthermore, the development of novel diagnostic methods amenable for portable or scalable purposes may facilitate the real-time surveillance of emerging pathogenic threats. Here, we extrapolated the use of a FokI-driven signal amplification approach, powered by the nickase activity of the FokI restriction endonuclease, to enhance the signal detection of multiple respiratory viral pathogens relevant to human health. This approach utilises a set of dumbbell-like fluorescent oligonucleotides against three families of human single-stranded RNA respiratory viruses (Coronaviridae, Paramyxoviridae, and Pneumoviridae), including human betacoronaviruses (OC43/HKU1), human betacoronavirus SARS-CoV-2, human parainfluenza viruses (HPIV1/HPIV3/HPIV2/HPIV4), and human metapneumovirus (HMPV)/respiratory syncytial virus (HRSV). FokI-assisted digestion of these dumbbell-like fluorescent probes in the presence of their respective viral targets enhanced their detectable signal in a highly specific manner. In addition, this technique exhibited high multiplex potential to detect multiple viral targets in a single assay. A molecular coupling between the FokI-assisted reaction and the isothermal rolling circle amplification technique significantly improved the limit of detection in samples from infected patients, ensuring adequate specificity and sensitivity. These results highlight the diagnostic potential of this methodology, representing a cost-effective alternative for the identification of respiratory viral pathogens of interest to the public healthcare system. The combination of a nucleic acid amplification method through multiplexed RCA, coupled with signal amplification mediated by FokI-assisted digestion of dumbbell-like oligonucleotides, enhances the detection of multiple human respiratory viruses.</t>
  </si>
  <si>
    <t xml:space="preserve">[Tejedor, Juan R.; Roberti, Annalisa; Fernandez, Agustin F.; Fraga, Mario F.] CSIC, Nanomat &amp; Nanotechnol Res Ctr CINN, El Entrego 33940, Spain; [Tejedor, Juan R.; Roberti, Annalisa; Mangas, Cristina; Alvarez-Arguelles, Marta E.; Rojo-Alba, Susana; Boga, Jose A.; Fernandez, Agustin F.; Melon, Santiago; Rodriguez, Mercedes; Fraga, Mario F.] Hlth Res Inst Asturias ISPA, Ave Hosp Univ S-N, Oviedo 33011, Spain; [Tejedor, Juan R.; Mangas, Cristina; Fernandez, Agustin F.; Fraga, Mario F.] Univ Inst Oncol IUOPA, Univ Oviedo, Oviedo 33006, Spain; [Tejedor, Juan R.; Fernandez, Agustin F.; Fraga, Mario F.] Ctr Biomed Network Res Rare Dis CIBERER, Madrid 28029, Spain; [Alvarez-Arguelles, Marta E.; Rojo-Alba, Susana; Boga, Jose A.; Melon, Santiago; Rodriguez, Mercedes] Cent Univ Hosp Asturias HUCA Oviedo, Oviedo 33011, Spain</t>
  </si>
  <si>
    <t xml:space="preserve">Consejo Superior de Investigaciones Cientificas (CSIC); CSIC - Centro de Investigacion en Nanomateriales y Nanotecnologia (CINN); University of Oviedo; Instituto Universitario de Oncologia de Asturias; CIBER - Centro de Investigacion Biomedica en Red; CIBERER</t>
  </si>
  <si>
    <t xml:space="preserve">Tejedor, JR; Fraga, MF (corresponding author), CSIC, Nanomat &amp; Nanotechnol Res Ctr CINN, El Entrego 33940, Spain.;Tejedor, JR; Fraga, MF (corresponding author), Hlth Res Inst Asturias ISPA, Ave Hosp Univ S-N, Oviedo 33011, Spain.;Tejedor, JR; Fraga, MF (corresponding author), Univ Inst Oncol IUOPA, Univ Oviedo, Oviedo 33006, Spain.;Tejedor, JR; Fraga, MF (corresponding author), Ctr Biomed Network Res Rare Dis CIBERER, Madrid 28029, Spain.</t>
  </si>
  <si>
    <t xml:space="preserve">jr.tejedor@cinn.es; mffraga@cinn.es</t>
  </si>
  <si>
    <t xml:space="preserve">Boga, Jose/ABA-2719-2021; Melón, Santiago/AAY-1466-2021; Fernandez, Agustin/N-7302-2014; Roberti, Annalisa/AAB-4278-2021; Tejedor, Juan Ramon/AAI-4086-2020</t>
  </si>
  <si>
    <t xml:space="preserve">Fernandez, Agustin/0000-0002-3792-4085; Melon Garcia, Santiago/0000-0001-5770-7902; ROJO, SUSANA/0000-0001-9696-600X; Boga, Jose Antonio/0000-0002-5500-9972; Roberti, Annalisa/0000-0001-8442-7228; Tejedor, Juan Ramon/0000-0002-4061-9698</t>
  </si>
  <si>
    <t xml:space="preserve">Fundacin General CSIC; European Commission [GL2021-03-39, GL2021-03-40]; Spanish Ministry of Science and Innovation under the Recovery, Transformation, and Resilience Plan [COV00624, PI21/01067]; ISCIII [202020E092]; CSIC [2018-2022/FEDER (IDI/2021/000077)]; PCTI from the Asturias Government; IUOPA [RYC2021-031799-I]; Spanish Ministry of Science and Innovation; PTI Salud Global</t>
  </si>
  <si>
    <t xml:space="preserve">Fundacin General CSIC; European Commission(European Union (EU)European Commission Joint Research Centre); Spanish Ministry of Science and Innovation under the Recovery, Transformation, and Resilience Plan(Ministry of Science and Innovation, Spain (MICINN)); ISCIII(Instituto de Salud Carlos IIISpanish Government); CSIC; PCTI from the Asturias Government; IUOPA; Spanish Ministry of Science and Innovation(Ministry of Science and Innovation, Spain (MICINN)Spanish Government); PTI Salud Global</t>
  </si>
  <si>
    <t xml:space="preserve">The authors would like to thank Jennifer Kefauver for manuscript editing. This work received support from the European Commission - NextGenerationEU, through CSIC's Global Health Platform (PTI Salud Global), and the Spanish Ministry of Science and Innovation under the Recovery, Transformation, and Resilience Plan (GL2021-03-39 and GL2021-03-40). ISCIII provided funding (COV00624 to J. R. T. and M. F. F., PI21/01067 to M. F. F.), along with support from CSIC (202020E092 to M. F. F.), the PCTI from the Asturias Government co-funded by 2018-2022/FEDER (IDI/2021/000077 to M. F. F.), and the IUOPA. J. R. T. has an RyC contract from the Spanish Ministry of Science and Innovation (RYC2021-031799-I). A. R. receives support from the PTI Salud Global.</t>
  </si>
  <si>
    <t xml:space="preserve">ROYAL SOC CHEMISTRY</t>
  </si>
  <si>
    <t xml:space="preserve">THOMAS GRAHAM HOUSE, SCIENCE PARK, MILTON RD, CAMBRIDGE CB4 0WF, CAMBS, ENGLAND</t>
  </si>
  <si>
    <t xml:space="preserve">2635-0998</t>
  </si>
  <si>
    <t xml:space="preserve">SENS DIAGN</t>
  </si>
  <si>
    <t xml:space="preserve">Sens. Diagn.</t>
  </si>
  <si>
    <t xml:space="preserve">10.1039/d3sd00316g</t>
  </si>
  <si>
    <t xml:space="preserve">KT8U5</t>
  </si>
  <si>
    <t xml:space="preserve">WOS:001166397700001</t>
  </si>
  <si>
    <t xml:space="preserve">Falsey, AR; Walsh, EE</t>
  </si>
  <si>
    <t xml:space="preserve">Viral pneumonia in older adults</t>
  </si>
  <si>
    <t xml:space="preserve">Human metapneumovirus; Pneumonia; Viral pneumonia; Medicine; Virus; Immunology</t>
  </si>
  <si>
    <t xml:space="preserve">RESPIRATORY SYNCYTIAL VIRUS; TERM-CARE FACILITY; INFLUENZA VACCINATION; HUMAN METAPNEUMOVIRUS; ELDERLY-PEOPLE; RHINOVIRUS OUTBREAK; PARAINFLUENZA VIRUS; UNITED-STATES; INFECTION; COMMUNITY</t>
  </si>
  <si>
    <t xml:space="preserve">Viruses account for a substantial portion of respiratory illnesses, including pneumonia, in the elderly population. Presently, influenza virus A H3N2 and respiratory syncytial virus are the most commonly identified viral pathogens in older adults with viral pneumonia. As diagnostic tests such as reverse-transcription polymerase chain reaction become more widely used, the relative importance of additional viruses ( such as parainfluenza, rhinoviruses, coronaviruses, and human metapneumovirus) will likely increase. Influenza virus should be considered as a cause of pneumonia during the winter months, especially during periods of peak activity. Patients with high-grade fever, myalgias, and cough should arouse the highest suspicion. Respiratory syncytial virus pneumonia should also be suspected during the winter in patients with coryza, wheezing, low-grade fever, and patchy infiltrates, especially if negative for influenza on rapid testing. Because clinical features and periods of activity for many viruses overlap, laboratory confirmation of influenza is recommended for cases involving seriously ill or institutionalized patients.</t>
  </si>
  <si>
    <t xml:space="preserve">Rochester Gen Hosp, Infect Dis Unit, Dept Med, Rochester, NY 14621 USA; Univ Rochester, Sch Med &amp; Dent, Dept Med, Rochester, NY 14642 USA</t>
  </si>
  <si>
    <t xml:space="preserve">10.1086/499955</t>
  </si>
  <si>
    <t xml:space="preserve">004HO</t>
  </si>
  <si>
    <t xml:space="preserve">WOS:000234742800013</t>
  </si>
  <si>
    <t xml:space="preserve">Cesario, TC</t>
  </si>
  <si>
    <t xml:space="preserve">Cesario, Thomas C.</t>
  </si>
  <si>
    <t xml:space="preserve">Viruses Associated With Pneumonia in Adults</t>
  </si>
  <si>
    <t xml:space="preserve">Human metapneumovirus; Medicine; Pneumonia; Virus; Virology; Metapneumovirus; Viral pneumonia</t>
  </si>
  <si>
    <t xml:space="preserve">COMMUNITY-ACQUIRED PNEUMONIA; RESPIRATORY SYNCYTIAL VIRUS; HUMAN METAPNEUMOVIRUS INFECTION; INFLUENZA-A H1N1; PULMONARY COMPLICATIONS; PATHOLOGICAL FEATURES; CLINICAL-FEATURES; HUMAN BOCAVIRUS; RISK-FACTORS; OUTBREAK</t>
  </si>
  <si>
    <t xml:space="preserve">Viral pneumonia, which is typically associated with disease in childhood, is increasingly recognized as causing problems in adults. Certain viruses, such as influenza virus, can attack fully immunocompetent adults, but many viruses take advantage of more-vulnerable patients. The latter include patients receiving immunosuppressive therapy and elderly subjects, particularly those residing in long-term care facilities. The range of viruses producing pneumonia in adults includes common agents, such as varicella-zoster virus and influenza virus, as well as respiratory syncytial virus, human metapneumovirus, adenoviruses, picornaviruses, and coronaviruses. The roles played by other agents, such as rhinoviruses and human bocaviruses, in pneumonia are still under study. While therapy for most of theses agents, at least in adults, has not yet been fully clarified, it is reasonable to assume antivirals may work in certain situations if they are introduced early enough in the course of infection.</t>
  </si>
  <si>
    <t xml:space="preserve">[Cesario, Thomas C.] Univ Calif Irvine, Dept Med, Irvine, CA 92717 USA</t>
  </si>
  <si>
    <t xml:space="preserve">Cesario, TC (corresponding author), City Tower,Ste 110,333 City Dr W, Orange, CA 92868 USA.</t>
  </si>
  <si>
    <t xml:space="preserve">tccesari@uci.edu</t>
  </si>
  <si>
    <t xml:space="preserve">10.1093/cid/cis297</t>
  </si>
  <si>
    <t xml:space="preserve">956KM</t>
  </si>
  <si>
    <t xml:space="preserve">WOS:000305088500018</t>
  </si>
  <si>
    <t xml:space="preserve">Erickson, JJ; Rogers, MC; Tollefson, SJ; Boyd, KL; Williams, JV</t>
  </si>
  <si>
    <t xml:space="preserve">Erickson, John J.; Rogers, Meredith C.; Tollefson, Sharon J.; Boyd, Kelli L.; Williams, John V.</t>
  </si>
  <si>
    <t xml:space="preserve">Multiple Inhibitory Pathways Contribute to Lung CD8+ T Cell Impairment and Protect against Immunopathology during Acute Viral Respiratory Infection</t>
  </si>
  <si>
    <t xml:space="preserve">Biology; Immunology; Immunopathology</t>
  </si>
  <si>
    <t xml:space="preserve">HUMAN METAPNEUMOVIRUS INFECTION; SYNCYTIAL VIRUS; TRACT INFECTIONS; FUSION PROTEIN; EPITHELIAL-CELLS; INFLUENZA-VIRUS; DENDRITIC CELL; YOUNG-CHILDREN; EXHAUSTION; RESPONSES</t>
  </si>
  <si>
    <t xml:space="preserve">Viruses are frequent causes of lower respiratory infection (LRI). Programmed cell death-1 (PD-1) signaling contributes to pulmonary CD8(+) T cell (T-CD8) functional impairment during acute viral LRI, but the role of T-CD8 impairment in viral clearance and immunopathology is unclear. We now find that human metapneumovirus infection induces virus-specific lung T-CD8 that fail to produce effector cytokines or degranulate late postinfection, with minimally increased function even in the absence of PD-1 signaling. Impaired lung T-CD8 upregulated multiple inhibitory receptors, including PD-1, lymphocyte activation gene 3 (LAG-3), T cell Ig mucin 3, and 2B4. Moreover, coexpression of these receptors continued to increase even after viral clearance, with most virus-specific lung T-CD8 expressing three or more inhibitory receptors on day 14 postinfection. Viral infection also increased expression of inhibitory ligands by both airway epithelial cells and APCs, further establishing an inhibitory environment. In vitro Ab blockade revealed that multiple inhibitory receptors contribute to T-CD8 impairment induced by either human metapneumovirus or influenza virus infection. In vivo blockade of T cell Ig mucin 3 signaling failed to enhance T-CD8 function or reduce viral titers. However, blockade of LAG-3 in PD-1-deficient mice restored T-CD8 effector functions but increased lung pathology, indicating that LAG-3 mediates lung Tam impairment in vivo and contributes to protection from immunopathology during viral clearance. These results demonstrate that an orchestrated network of pathways modifies lung T-CD8 functionality during viral LRI, with PD-1 and LAG-3 serving prominent roles. Lung Tam impairment may prevent immunopathology but also contributes to recurrent lung infections.</t>
  </si>
  <si>
    <t xml:space="preserve">[Erickson, John J.; Rogers, Meredith C.; Boyd, Kelli L.] Vanderbilt Univ, Sch Med, Dept Pathol Microbiol &amp; Immunol, Nashville, TN 37232 USA; [Rogers, Meredith C.; Williams, John V.] Univ Pittsburgh, Sch Med, Dept Pediat, Childrens Hosp Pittsburgh UPMC, Pittsburgh, PA 15224 USA; [Tollefson, Sharon J.; Williams, John V.] Vanderbilt Univ, Dept Pediat, Sch Med, Nashville, TN 37232 USA</t>
  </si>
  <si>
    <t xml:space="preserve">Vanderbilt University; Pennsylvania Commonwealth System of Higher Education (PCSHE); University of Pittsburgh; Vanderbilt University</t>
  </si>
  <si>
    <t xml:space="preserve">Rogers, Meredith/0000-0003-1798-6294; Erickson, John/0000-0001-6189-9302; Williams, John/0000-0001-8377-5175</t>
  </si>
  <si>
    <t xml:space="preserve">National Institutes of Health [AI085062, GM007347]; Vanderbilt Ingram Cancer Center via National Institutes of Health [P30 CA68485]; Vanderbilt Digestive Disease Research Center via National Institutes of Health [DK058404]</t>
  </si>
  <si>
    <t xml:space="preserve">National Institutes of Health(United States Department of Health &amp; Human ServicesNational Institutes of Health (NIH) - USA); Vanderbilt Ingram Cancer Center via National Institutes of Health; Vanderbilt Digestive Disease Research Center via National Institutes of Health</t>
  </si>
  <si>
    <t xml:space="preserve">This work was supported by National Institutes of Health Grants AI085062 (to J.V.W.) and GM007347 for the Vanderbilt Medical Scientist Training Program (to J.J.E.). The Vanderbilt University Medical Center Flow Cytometry Shared Resource is supported by the Vanderbilt Ingram Cancer Center via National Institutes of Health Grant P30 CA68485 and by the Vanderbilt Digestive Disease Research Center via National Institutes of Health Grant DK058404.</t>
  </si>
  <si>
    <t xml:space="preserve">10.4049/jimmunol.1502115</t>
  </si>
  <si>
    <t xml:space="preserve">DO9GQ</t>
  </si>
  <si>
    <t xml:space="preserve">WOS:000378093700024</t>
  </si>
  <si>
    <t xml:space="preserve">Rueda, AJV; Mistchenko, AS; Viegas, M</t>
  </si>
  <si>
    <t xml:space="preserve">Velez Rueda, Ana Julia; Susana Mistchenko, Alicia; Viegas, Mariana</t>
  </si>
  <si>
    <t xml:space="preserve">Phylogenetic and Phylodynamic Analyses of Human Metapneumovirus in Buenos Aires (Argentina) for a Three-Year Period (2009-2011)</t>
  </si>
  <si>
    <t xml:space="preserve">Human metapneumovirus; Metapneumovirus; Biology; Genotype; Virology; Phylogenetic tree; Population</t>
  </si>
  <si>
    <t xml:space="preserve">GENETIC-VARIABILITY; MONOCLONAL-ANTIBODIES; INFECTION; CHILDREN; PHYLOGEOGRAPHY; PREDICTION; GENOTYPE; SEQUENCE; VIRUSES; PROTEIN</t>
  </si>
  <si>
    <t xml:space="preserve">Human metapneumovirus, which belongs to the Paramyxoviridae family and has been classified as a member of the Pneumovirus genus, is genetically and clinically similar to other family members such as human respiratory syncytial virus. A total of 1146 nasopharyngeal aspirates from pediatric patients with moderate and severe acute lower respiratory tract infections, hospitalized at the Ricardo Gutierrez Childrens Hospital (Buenos Aires, Argentina), were tested by real time RT-PCR for human metapneumovirus. Results showed that 168 (14.65%) were positive. Thirty-six of these 168 samples were randomly selected to characterize positive cases molecularly. The phylogenetic analysis of the sequences of the G and F genes showed that genotypes A2 and B2 cocirculated during 2009 and 2010 and that only genotype A2 circulated in 2011 in Argentina. Genotype A2 prevailed during the study period, a fact supported by a higher effective population size (Net) and higher diversity as compared to that of genotype B2 (10.9% (SE 1.3%) vs. 1.7% (SE 0.4%), respectively). The phylogeographic analysis of the G protein gene sequences showed that this virus has no geographical restrictions and can travel globally harbored in hosts. The selection pressure analysis of the F protein showed that although this protein has regions with polymorphisms, it has vast structural and functional constraints. In addition, the predicted B-linear epitopes and the sites recognized by previously described monoclonal antibodies were conserved in all Argentine sequences. This points out this protein as a potential candidate to be the target of future humanized antibodies or vaccines.</t>
  </si>
  <si>
    <t xml:space="preserve">[Velez Rueda, Ana Julia; Susana Mistchenko, Alicia; Viegas, Mariana] Hosp Ninos Dr Ricardo Gutierrez, Virol Lab, Buenos Aires, DF, Argentina; [Velez Rueda, Ana Julia; Susana Mistchenko, Alicia] CIC, La Plata, Buenos Aires, Argentina; [Viegas, Mariana] Consejo Nacl Invest Cient &amp; Tecn CONICET, Buenos Aires, DF, Argentina</t>
  </si>
  <si>
    <t xml:space="preserve">Hospital de Ninos Doctor Ricardo Gutierrez; University of Buenos Aires; Consejo Nacional de Investigaciones Cientificas y Tecnicas (CONICET)</t>
  </si>
  <si>
    <t xml:space="preserve">Viegas, M (corresponding author), Hosp Ninos Dr Ricardo Gutierrez, Virol Lab, Buenos Aires, DF, Argentina.</t>
  </si>
  <si>
    <t xml:space="preserve">viegasmariana@hotmail.com</t>
  </si>
  <si>
    <t xml:space="preserve">ANPCYT, Ministerio de Ciencia, Tecnologia e Innovacion Productiva de la Nacion, Argentina [PICT1624/07]</t>
  </si>
  <si>
    <t xml:space="preserve">ANPCYT, Ministerio de Ciencia, Tecnologia e Innovacion Productiva de la Nacion, Argentina(ANPCyT)</t>
  </si>
  <si>
    <t xml:space="preserve">This work was supported by ANPCYT, Ministerio de Ciencia, Tecnologia e Innovacion Productiva de la Nacion, Argentina (grant PICT1624/07). The funders had no role in study design, data collection and analysis, decision to publish, or preparation of the manuscript. No additional external funding was received for this study.</t>
  </si>
  <si>
    <t xml:space="preserve">e63070</t>
  </si>
  <si>
    <t xml:space="preserve">10.1371/journal.pone.0063070</t>
  </si>
  <si>
    <t xml:space="preserve">146GG</t>
  </si>
  <si>
    <t xml:space="preserve">WOS:000319077300132</t>
  </si>
  <si>
    <t xml:space="preserve">Shih, HI; Wang, HC; Su, IJ; Hsu, HC; Wang, JR; Sun, HFS; Chou, CH; Ko, WC; Hsieh, MI; Wu, CJ</t>
  </si>
  <si>
    <t xml:space="preserve">Shih, Hsin-I; Wang, Hsuan-Chen; Su, Ih-Jen; Hsu, Hsiang-Chin; Wang, Jen-Ren; Sun, Hsiao Fang Sunny; Chou, Chien-Hsuan; Ko, Wen-Chien; Hsieh, Ming-I; Wu, Chi-Jung</t>
  </si>
  <si>
    <t xml:space="preserve">Viral Respiratory Tract Infections in Adult Patients Attending Outpatient and Emergency Departments, Taiwan, 2012-2013 A PCR/Electrospray Ionization Mass Spectrometry Study</t>
  </si>
  <si>
    <t xml:space="preserve">Medicine; Human metapneumovirus; Coinfection; Throat; Respiratory tract infections; Virus</t>
  </si>
  <si>
    <t xml:space="preserve">COMMUNITY-ACQUIRED PNEUMONIA; INFLUENZA-LIKE ILLNESS; CLINICAL CHARACTERISTICS; PEDIATRIC INPATIENTS; MOLECULAR DIAGNOSIS; SYNCYTIAL VIRUS; OLDER-ADULTS; CHILDREN; IDENTIFICATION; EPIDEMIOLOGY</t>
  </si>
  <si>
    <t xml:space="preserve">Viral etiologies of respiratory tract infections (RTIs) have been less studied in adult than in pediatric populations. Furthermore, the ability of PCR/electrospray ionization mass spectrometry (PCR/ESI-MS) to detect enteroviruses and rhinoviruses in respiratory samples has not been well evaluated. We sought to use PCR/ESI-MS to comprehensively investigate the viral epidemiology of adult RTIs, including testing for rhinoviruses and enteroviruses.Nasopharyngeal or throat swabs from 267 adults with acute RTIs (212 upper RTIs and 55 lower RTIs) who visited a local clinic or the outpatient or emergency departments of a medical center in Taiwan between October 2012 and June 2013 were tested for respiratory viruses by both virus isolation and PCR/ESI-MS. Throat swabs from 15 patients with bacterial infections and 27 individuals without active infections were included as control samples.Respiratory viruses were found in 23.6%, 47.2%, and 47.9% of the 267 cases by virus isolation, PCR/ESI-MS, and both methods, respectively. When both methods were used, the influenza A virus (24.3%) and rhinoviruses (9.4%) were the most frequently identified viruses, whereas human coronaviruses, human metapneumovirus (hMPV), enteroviruses, adenoviruses, respiratory syncytial virus, and parainfluenza viruses were identified in small proportions of cases (&lt;5% of cases for each type of virus). Coinfection was observed in 4.1% of cases. In the control group, only 1 (2.4%) sample tested positive for a respiratory virus by PCR/ESI-MS. Patients who were undergoing steroid treatment, had an active malignancy, or suffered from chronic obstructive pulmonary disease (COPD) were at risk for rhinovirus, hMPV, or parainfluenza infections, respectively. Overall, immunocompromised patients, patients with COPD, and patients receiving dialysis were at risk for noninfluenza respiratory virus infection. Rhinoviruses (12.7%), influenza A virus (10.9%), and parainfluenza viruses (7.3%) were the most common viruses involved in the 55 cases of lower RTIs. The factors of parainfluenza infection, old age, and immunosuppression were independently associated with lower RTIs.In conclusion, PCR/ESI-MS improved the diagnostic yield for viral RTIs. Non-influenza respiratory virus infections were associated with patients with comorbidities and with lower RTIs. Additional studies that delineate the clinical need for including non-influenza respiratory viruses in the diagnostic work-up in these populations are warranted.</t>
  </si>
  <si>
    <t xml:space="preserve">[Shih, Hsin-I; Wang, Hsuan-Chen] Natl Cheng Kung Univ, Coll Med, Natl Cheng Kung Univ Hosp, Dept Emergency Med, Tainan 70101, Taiwan; [Shih, Hsin-I] Natl Cheng Kung Univ, Coll Med, Natl Cheng Kung Univ Hosp, Dept Publ Hlth, Tainan 70101, Taiwan; [Chou, Chien-Hsuan; Ko, Wen-Chien; Wu, Chi-Jung] Natl Cheng Kung Univ, Coll Med, Natl Cheng Kung Univ Hosp, Dept Internal Med, Tainan 70101, Taiwan; [Wang, Hsuan-Chen; Su, Ih-Jen; Wang, Jen-Ren; Hsieh, Ming-I; Wu, Chi-Jung] Natl Hlth Res Inst, Natl Inst Infect Dis &amp; Vaccinol, Tainan, Taiwan; [Wang, Jen-Ren] Natl Cheng Kung Univ, Coll Med, Dept Med Lab Sci &amp; Biotechnol, Tainan 70101, Taiwan; [Sun, Hsiao Fang Sunny] Natl Cheng Kung Univ, Coll Med, Inst Mol Med, Tainan 70101, Taiwan</t>
  </si>
  <si>
    <t xml:space="preserve">National Cheng Kung University; National Cheng Kung University Hospital; National Cheng Kung University; National Cheng Kung University Hospital; National Cheng Kung University; National Cheng Kung University Hospital; National Health Research Institutes - Taiwan; National Cheng Kung University; National Cheng Kung University</t>
  </si>
  <si>
    <t xml:space="preserve">Wu, CJ (corresponding author), 367 Sheng Li Rd, Tainan 704, Taiwan.</t>
  </si>
  <si>
    <t xml:space="preserve">wucj@nhri.org.tw</t>
  </si>
  <si>
    <t xml:space="preserve">Ko, Wen-Chien/ABG-4316-2020; Wang, Jen-Ren/F-5254-2011; Wu, Chi-Jung/F-8364-2011</t>
  </si>
  <si>
    <t xml:space="preserve">Sun, Sunny/0000-0002-3661-4448; Wang, Jen-Ren/0000-0002-4127-4046; Shih, Hsin-I/0000-0002-1103-8675; Ko, Wen-Chien/0000-0001-7497-149X</t>
  </si>
  <si>
    <t xml:space="preserve">National Health Research Institutes of Taiwan [IV-101-SP-18]</t>
  </si>
  <si>
    <t xml:space="preserve">National Health Research Institutes of Taiwan(National Health Research Institutes - Taiwan)</t>
  </si>
  <si>
    <t xml:space="preserve">This study was supported by an intramural grant from the National Health Research Institutes of Taiwan (IV-101-SP-18).</t>
  </si>
  <si>
    <t xml:space="preserve">e1545</t>
  </si>
  <si>
    <t xml:space="preserve">10.1097/MD.0000000000001545</t>
  </si>
  <si>
    <t xml:space="preserve">DC9HX</t>
  </si>
  <si>
    <t xml:space="preserve">WOS:000369533200017</t>
  </si>
  <si>
    <t xml:space="preserve">Alvarez, R; Seal, BS</t>
  </si>
  <si>
    <t xml:space="preserve">Alvarez, Rene; Seal, Bruce S.</t>
  </si>
  <si>
    <t xml:space="preserve">Identification of a truncated nucleoprotein in avian metapneumovirus-infected cells encoded by a second AUG, in-frame to the full-length gene</t>
  </si>
  <si>
    <t xml:space="preserve">Metapneumovirus; Nucleoprotein; Biology; Virology; Human metapneumovirus; Amino acid; Virus</t>
  </si>
  <si>
    <t xml:space="preserve">RESPIRATORY SYNCYTIAL VIRUS; AMINO-ACID-SEQUENCE; P/C MESSENGER-RNA; PNEUMOVIRUS ISOLATE; P-GENE; PROTEINS; NUCLEOTIDE; PHOSPHOPROTEIN; REQUIREMENT; EXPRESSION</t>
  </si>
  <si>
    <t xml:space="preserve">Background: Avian metapneumoviruses (aMPV) cause an upper respiratory disease with low mortality, but high morbidity primarily in commercial turkeys. There are three types of aMPV (A, B, C) of which the C type is found only in the United States. Viruses related to aMPV include human, bovine, ovine, and caprine respiratory syncytial viruses and pneumonia virus of mice, as well as the recently identified human metapneumovirus (hMPV). The aMPV and hMPV have become the type viruses of a new genus within the Metapneumovirus. The aMPV nucleoprotein (N) amino acid sequences of serotypes A, B, and C were aligned for comparative analysis. Based on predicted antigenicity of consensus protein sequences, five aMPV-specific N peptides were synthesized for development of peptide-antigens and antisera. Results: The presence of two aMPV nucleoprotein (N) gene encoded polypeptides was detected in aMPV/C/US/Co and aMPV/A/UK/3b infected Vero cells. Nucleoprotein 1 (N1) encoded from the first open reading frame (ORF) was predicted to be 394 amino acids in length for aMPV/C/US/Co and 391 amino acids in length for aMPV/A/UK/3b with approximate molecular weights of 43.3 kilodaltons and 42.7 kilodaltons, respectively. Nucleoprotein 2 (N2) was hypothesized to be encoded by a second downstream ORF in-frame with ORF1 and encoded a protein predicted to contain 328 amino acids for aMPV/C/US/Co or 259 amino acids for aMPV/A/UK/3b with approximate molecular weights of 36 kilodaltons and 28.3 kilodaltons, respectively. Peptide antibodies to the N-terminal and C-terminal portions of the aMPV N protein confirmed presence of these products in both aMPV/C/US/Co- and aMPV/A/UK/3b-infected Vero cells. N1 and N2 for aMPV/C/US/Co ORFs were molecularly cloned and expressed in Vero cells utilizing eukaryotic expression vectors to confirm identity of the aMPV encoded proteins. Conclusion: This is the first reported identification of potential, accessory in-frame N2 ORF gene products among members of the Paramyxoviridae. Genomic sequence analyses of related members of the Pneumovirinae other than aMPV, including human respiratory syncytial virus and bovine respiratory syncytial virus demonstrated the presence of this second potential ORF among these agents.</t>
  </si>
  <si>
    <t xml:space="preserve">[Alvarez, Rene; Seal, Bruce S.] USDA ARS, SE Poultry Res Lab, Athens, GA 30605 USA; [Seal, Bruce S.] USDA ARS, Poultry Microbiol Safety Res Unit, Athens, GA 30605 USA</t>
  </si>
  <si>
    <t xml:space="preserve">United States Department of Agriculture (USDA); United States Department of Agriculture (USDA)</t>
  </si>
  <si>
    <t xml:space="preserve">Seal, BS (corresponding author), USDA ARS, SE Poultry Res Lab, 934 Coll Stn Rd, Athens, GA 30605 USA.</t>
  </si>
  <si>
    <t xml:space="preserve">ralvarez@vet.uga.edu; bseal@saa.ars.usda.gov</t>
  </si>
  <si>
    <t xml:space="preserve">ARS; USDA CRIS [6612-32000-015-00D-085]; U.S. Poultry &amp; Egg Association [404]</t>
  </si>
  <si>
    <t xml:space="preserve">ARS(United States Department of Agriculture (USDA)USDA Agricultural Research Service); USDA CRIS(United States Department of Agriculture (USDA)USDA Agricultural Research Service); U.S. Poultry &amp; Egg Association</t>
  </si>
  <si>
    <t xml:space="preserve">This research was supported by ARS, USDA CRIS project No. 6612-32000-015-00D-085 and U.S. Poultry &amp; Egg Association grant no. 404 to BSS which supported synthesis of peptides and immunization for antibodies commercially.</t>
  </si>
  <si>
    <t xml:space="preserve">10.1186/1743-422X-2-31</t>
  </si>
  <si>
    <t xml:space="preserve">V26AR</t>
  </si>
  <si>
    <t xml:space="preserve">WOS:000208519000031</t>
  </si>
  <si>
    <t xml:space="preserve">Vasileiou, S; Turney, AM; Kuvalekar, M; Mukhi, SS; Watanabe, A; Lulla, P; Ramos, CA; Naik, S; Vera, JF; Tzannou, I; Leen, AM</t>
  </si>
  <si>
    <t xml:space="preserve">Vasileiou, Spyridoula; Turney, Anne M.; Kuvalekar, Manik; Mukhi, Shivani S.; Watanabe, Ayumi; Lulla, Premal; Ramos, Carlos A.; Naik, Swati; Vera, Juan F.; Tzannou, Ifigeneia; Leen, Ann M.</t>
  </si>
  <si>
    <t xml:space="preserve">Rapid generation of multivirus-specific T lymphocytes for the prevention and treatment of respiratory viral infections</t>
  </si>
  <si>
    <t xml:space="preserve">HAEMATOLOGICA</t>
  </si>
  <si>
    <t xml:space="preserve">Medicine; Ribavirin; Human metapneumovirus; Bronchiolitis; Respiratory tract infections</t>
  </si>
  <si>
    <t xml:space="preserve">CELL TRANSPLANT RECIPIENTS; HEMATOLOGIC MALIGNANCY PATIENTS; SYNCYTIAL VIRUS-INFECTION; HUMAN METAPNEUMOVIRUS; YOUNG-CHILDREN; INFLUENZA; COINFECTIONS; ADENOVIRUS; RISK; EBV</t>
  </si>
  <si>
    <t xml:space="preserve">Respiratory tract infections due to community-acquired respiratory viruses including respiratory syncytial virus, Influenza, parainfluenza virus 3 and human metapneumovirus are detected in up to 40% of allogeneic hematopoietic stem cell transplant recipients in whom they cause severe symptoms including pneumonia and bronchiolitis and can be fatal. Given the lack of effective antivirals and the data from our group demonstrating that adoptively transferred ex vivo-expanded virus-specific T cells can be clinically beneficial for the treatment of both latent (Epstein-Barr virus, cytomegalovirus, BK virus, human herpesvirus 6) and lytic (adenovirus) viruses, we investigated the potential for extending this immunotherapeutic approach to respiratory viruses. We now describe a system that rapidly generates a single preparation of polyclonal (CD4(+) and CD8(+)) virus-specific T cells reactive against 12 antigens derived from four viruses (respiratory syncytial virus, Influenza, parainfluenza virus 3 and human metapneumovirus) that commonly cause post-transplant morbidity and mortality. With a single in vitro stimulation we consistently generated Th1-polarized T-cell lines that produced multiple effector cytokines and were selectively reactive against viral-expressing targets, with no evidence of off target auto- or allo-reactivity. Finally, we demonstrated the clinical relevance of these virus-specific T cells by measuring responses in transplant recipients who successfully controlled active infections. These results support the clinical importance of T-cell immunity in mediating protective antiviral effects against community-acquired respiratory viruses and demonstrate the feasibility of utilizing a broad-spectrum immunotherapeutic in immunocompromised patients with uncontrolled infections.</t>
  </si>
  <si>
    <t xml:space="preserve">[Vasileiou, Spyridoula; Turney, Anne M.; Kuvalekar, Manik; Mukhi, Shivani S.; Watanabe, Ayumi; Lulla, Premal; Ramos, Carlos A.; Naik, Swati; Vera, Juan F.; Tzannou, Ifigeneia; Leen, Ann M.] Texas Childrens Hosp, Baylor Coll Med, Ctr Cell &amp; Gene Therapy, Houston, TX 77030 USA; [Vasileiou, Spyridoula; Turney, Anne M.; Kuvalekar, Manik; Mukhi, Shivani S.; Watanabe, Ayumi; Lulla, Premal; Ramos, Carlos A.; Naik, Swati; Vera, Juan F.; Tzannou, Ifigeneia; Leen, Ann M.] Houston Methodist Hosp, Houston, TX 77030 USA</t>
  </si>
  <si>
    <t xml:space="preserve">Baylor College of Medicine; Baylor College Medical Hospital; Houston Methodist</t>
  </si>
  <si>
    <t xml:space="preserve">Leen, AM (corresponding author), Texas Childrens Hosp, Baylor Coll Med, Ctr Cell &amp; Gene Therapy, Houston, TX 77030 USA.</t>
  </si>
  <si>
    <t xml:space="preserve">amleen@txch.org</t>
  </si>
  <si>
    <t xml:space="preserve">Kuvalekar, Manik/AAK-6822-2021</t>
  </si>
  <si>
    <t xml:space="preserve">Flow Cytometry and Cell and Vector Production shared resources in the Dan L. Duncan Comprehensive Cancer Center [P30 CA125123]; Hellenic Foundation of Hematology; American Society of Hematology Junior Faculty Scholar grant; Leukemia Texas Research grant; Mentored Research Scholars Grant in Applied and Clinical Research from the American Cancer Society [MRSG-14-197-01-LIB]</t>
  </si>
  <si>
    <t xml:space="preserve">Flow Cytometry and Cell and Vector Production shared resources in the Dan L. Duncan Comprehensive Cancer Center; Hellenic Foundation of Hematology; American Society of Hematology Junior Faculty Scholar grant; Leukemia Texas Research grant; Mentored Research Scholars Grant in Applied and Clinical Research from the American Cancer Society</t>
  </si>
  <si>
    <t xml:space="preserve">This work was supported by the Flow Cytometry and Cell and Vector Production shared resources in the Dan L. Duncan Comprehensive Cancer Center (support grant P30 CA125123).r SV was funded in part by an educational grant from the Hellenic Foundation of Hematology. PL is supported by the American Society of Hematology Junior Faculty Scholar grant and the Leukemia Texas Research grant. J. F. V. is supported by a Mentored Research Scholars Grant in Applied and Clinical Research (grant number MRSG-14-197-01-LIB) from the American Cancer Society.</t>
  </si>
  <si>
    <t xml:space="preserve">FERRATA STORTI FOUNDATION</t>
  </si>
  <si>
    <t xml:space="preserve">VIA GIUSEPPE BELLI 4, 27100 PAVIA, ITALY</t>
  </si>
  <si>
    <t xml:space="preserve">0390-6078</t>
  </si>
  <si>
    <t xml:space="preserve">Haematologica</t>
  </si>
  <si>
    <t xml:space="preserve">10.3324/haematol.2018.206896</t>
  </si>
  <si>
    <t xml:space="preserve">JZ3ZR</t>
  </si>
  <si>
    <t xml:space="preserve">WOS:000505041200039</t>
  </si>
  <si>
    <t xml:space="preserve">Zhao, H; Green, H; Lackenby, A; Donati, M; Ellis, J; Thompson, C; Bermingham, A; Field, J; SebastianPillai, P; Zambon, M; Watson, JM; Pebody, R</t>
  </si>
  <si>
    <t xml:space="preserve">Zhao, H.; Green, H.; Lackenby, A.; Donati, M.; Ellis, J.; Thompson, C.; Bermingham, A.; Field, J.; SebastianPillai, P.; Zambon, M.; Watson, J. M.; Pebody, R.</t>
  </si>
  <si>
    <t xml:space="preserve">A new laboratory-based surveillance system (Respiratory DataMart System) for influenza and other respiratory viruses in England: results and experience from 2009 to 2012</t>
  </si>
  <si>
    <t xml:space="preserve">Respiratory system</t>
  </si>
  <si>
    <t xml:space="preserve">INFECTIONS; FEATURES; WALES; RSV</t>
  </si>
  <si>
    <t xml:space="preserve">During the 2009 influenza A(H1N1) pandemic, a new laboratory-based virological sentinel surveillance system, the Respiratory DataMart System (RDMS), was established in a network of 14 Health Protection Agency (now Public Health England (PHE)) and National Health Service (NHS) laboratories in England. Laboratory results (both positive and negative) were systematically collected from all routinely tested clinical respiratory samples for a range of respiratory viruses including influenza, respiratory syncytial virus (RSV), rhinovirus, parainfluenza virus, adenovirus and human metapneumovirus (hMPV). The RDMS also monitored the occurrence of antiviral resistance of influenza viruses. Data from the RDMS for the 2009-2012 period showed that the 2009 pandemic influenza virus caused three waves of activity with different intensities during the pandemic and post pandemic periods. Peaks in influenza A(H1N1)pdm09 positivity (defined as number of positive samples per total number of samples tested) were seen in summer and autumn in 2009, with slightly higher peak positivity observed in the first post-pandemic season in 2010/2011. The influenza A(H1N1) pdm09 virus strain almost completely disappeared in the second post-pandemic season in 2011/2012. The RDMS findings are consistent with other existing community-based virological and clinical surveillance systems. With a large sample size, this new system provides a robust supplementary mechanism, through the collection of routinely available laboratory data at minimum extra cost, to monitor influenza as well as other respiratory virus activity. A near real-time, daily reporting mechanism in the RDMS was established during the London 2012 Olympic and Paralympic Games. Furthermore, this system can be quickly adapted and used to monitor future influenza pandemics and other major outbreaks of respiratory infectious disease, including novel pathogens.</t>
  </si>
  <si>
    <t xml:space="preserve">[Zhao, H.; Green, H.; Field, J.; Watson, J. M.; Pebody, R.] Publ Hlth England, Dept Resp Dis, London, England; [Lackenby, A.; Ellis, J.; Thompson, C.; Bermingham, A.; SebastianPillai, P.; Zambon, M.] Publ Hlth England, Microbiol Serv, Virus Reference Dept, Resp Virus Unit, London, England; [Donati, M.] Publ Hlth England, Bristol Publ Hlth Lab, Bristol, Avon, England</t>
  </si>
  <si>
    <t xml:space="preserve">Public Health England; Public Health England; Public Health England</t>
  </si>
  <si>
    <t xml:space="preserve">Zhao, H (corresponding author), Publ Hlth England, Dept Resp Dis, London, England.</t>
  </si>
  <si>
    <t xml:space="preserve">richard.pebody@phe.gov.uk</t>
  </si>
  <si>
    <t xml:space="preserve">castilla, javier/K-5987-2014; Lackenby, Angie/IZP-5986-2023; Green, Helen/HTL-4943-2023; zambon, maria/AEQ-6657-2022</t>
  </si>
  <si>
    <t xml:space="preserve">Lackenby, Angie/0000-0002-1557-0415; Zhao, Hongxin/0000-0002-1148-6240; Pebody, Richard/0000-0002-9069-2885</t>
  </si>
  <si>
    <t xml:space="preserve">10.2807/1560-7917.ES2014.19.3.20680</t>
  </si>
  <si>
    <t xml:space="preserve">296OE</t>
  </si>
  <si>
    <t xml:space="preserve">WOS:000330193700002</t>
  </si>
  <si>
    <t xml:space="preserve">Bastien, N; Brandt, K; Dust, K; Ward, D; Li, Y</t>
  </si>
  <si>
    <t xml:space="preserve">Human bocavirus infection, Canada</t>
  </si>
  <si>
    <t xml:space="preserve">Human bocavirus; Virology</t>
  </si>
  <si>
    <t xml:space="preserve">HUMAN CORONAVIRUS NL63; RESPIRATORY-TRACT DISEASE; HUMAN METAPNEUMOVIRUS; VIRUS-INFECTIONS; HUMAN PARVOVIRUS; CHILDREN</t>
  </si>
  <si>
    <t xml:space="preserve">Human Bocavirus was detected in 18 (1.5%) of 1,209 respiratory specimens collected in 2003 and 2004 in Canada. The main symptoms of affected patients were cough (78%), fever (67%), and sore throat (44%). Nine patients were hospitalized; of these, 8 (89%) were &lt; 5 years of age.</t>
  </si>
  <si>
    <t xml:space="preserve">Canadian Sci Ctr Human &amp; Anim Hlth, Natl Microbiol Lab, Winnipeg, MB R3E 3R2, Canada; Saskatchewan Hlth, Regina, SK, Canada</t>
  </si>
  <si>
    <t xml:space="preserve">Canadian Sci Ctr Human &amp; Anim Hlth, Natl Microbiol Lab, 1015 Arlington St, Winnipeg, MB R3E 3R2, Canada.</t>
  </si>
  <si>
    <t xml:space="preserve">10.3201/eid1205.051424</t>
  </si>
  <si>
    <t xml:space="preserve">037ZP</t>
  </si>
  <si>
    <t xml:space="preserve">WOS:000237187200027</t>
  </si>
  <si>
    <t xml:space="preserve">Louie, JK; Hacker, JK; Mark, J; Gavali, SS; Yagi, S; Espinosa, A; Schnurr, DP; Cossen, CK; Isaacson, ER; Glaser, CA; Fischer, M; Reingold, AL; Vugia, DJ</t>
  </si>
  <si>
    <t xml:space="preserve">Unexplained Deaths Critical Illnes</t>
  </si>
  <si>
    <t xml:space="preserve">SARS and common viral infections</t>
  </si>
  <si>
    <t xml:space="preserve">Human metapneumovirus; Mycoplasma pneumoniae; Virology; Metapneumovirus; Picornavirus; Rhinovirus; Virus; Chlamydia</t>
  </si>
  <si>
    <t xml:space="preserve">ACUTE RESPIRATORY SYNDROME; REVERSE TRANSCRIPTION-PCR; VIRUSES; CORONAVIRUS; YOUNG</t>
  </si>
  <si>
    <t xml:space="preserve">In California, molecular testing was useful in decreasing suspicion for severe acute respiratory syndrome (SARS), by detecting common respiratory pathogens (influenza A/B, human metapneumovirus, picornavirus, Mycoplasma pneumoniae, Chlamydia spp., parainfluenza virus, respiratory syncytial virus, and adenovirus) in 23 (45%) of 51 patients with suspected SARS and 9 (47%) of 19 patients with probable SARS.</t>
  </si>
  <si>
    <t xml:space="preserve">Calif Dept Hlth Serv, Calif Emerging Infect Program, Berkeley, CA 94704 USA; Ctr Dis Control &amp; Prevent, Atlanta, GA USA</t>
  </si>
  <si>
    <t xml:space="preserve">California Emerging Infections Program; California Department of Health Care Services; Centers for Disease Control &amp; Prevention - USA</t>
  </si>
  <si>
    <t xml:space="preserve">Calif Dept Hlth Serv, Calif Emerging Infect Program, 2151 Berkeley Way, Berkeley, CA 94704 USA.</t>
  </si>
  <si>
    <t xml:space="preserve">10.3201/eid1006.030863</t>
  </si>
  <si>
    <t xml:space="preserve">WOS:000221749300028</t>
  </si>
  <si>
    <t xml:space="preserve">Erickson, JJ; Lu, PC; Wen, S; Hastings, AK; Gilchuk, P; Joyce, S; Shyr, Y; Williams, JV</t>
  </si>
  <si>
    <t xml:space="preserve">Erickson, John J.; Lu, Pengcheng; Wen, Sherry; Hastings, Andrew K.; Gilchuk, Pavlo; Joyce, Sebastian; Shyr, Yu; Williams, John V.</t>
  </si>
  <si>
    <t xml:space="preserve">Acute Viral Respiratory Infection Rapidly Induces a CD8+ T Cell Exhaustion-like Phenotype</t>
  </si>
  <si>
    <t xml:space="preserve">Biology; Immunology; CD8</t>
  </si>
  <si>
    <t xml:space="preserve">HUMAN METAPNEUMOVIRUS INFECTION; SYNCYTIAL VIRUS; DENDRITIC CELLS; PD-L1 EXPRESSION; MEMORY; EFFECTOR; IMPAIRMENT; PATHOGENESIS; CLEARANCE; INDUCTION</t>
  </si>
  <si>
    <t xml:space="preserve">Acute viral infections typically generate functional effector CD8(+) T cells (T-CD8) that aid in pathogen clearance. However, during acute viral lower respiratory infection, lung T-CD8 are functionally impaired and do not optimally control viral replication. T cells also become unresponsive to Ag during chronic infections and cancer via signaling by inhibitory receptors such as programmed cell death-1 (PD-1). PD-1 also contributes to T-CD8 impairment during viral lower respiratory infection, but how it regulates T-CD8 impairment and the connection between this state and T cell exhaustion during chronic infections are unknown. In this study, we show that PD-1 operates in a cell-intrinsic manner to impair lung T-CD8. In light of this, we compared global gene expression profiles of impaired epitope-specific lung T-CD8 to functional spleen T-CD8 in the same human metapneumovirus-infected mice. These two populations differentially regulate hundreds of genes, including the upregulation of numerous inhibitory receptors by lung T-CD8. We then compared the gene expression of T-CD8 during human metapneumovirus infection to those in acute or chronic lymphocytic choriomeningitis virus infection. We find that the immunophenotype of lung T-CD8 more closely resembles T cell exhaustion late into chronic infection than do functional effector T cells arising early in acute infection. Finally, we demonstrate that trafficking to the infected lung alone is insufficient for T-CD8 impairment or inhibitory receptor upregulation, but that viral Ag-induced TCR signaling is also required. Our results indicate that viral Ag in infected lungs rapidly induces an exhaustion-like state in lung T-CD8 characterized by progressive functional impairment and upregulation of numerous inhibitory receptors.</t>
  </si>
  <si>
    <t xml:space="preserve">[Erickson, John J.; Wen, Sherry; Hastings, Andrew K.; Gilchuk, Pavlo; Joyce, Sebastian] Vanderbilt Univ, Sch Med, Dept Pathol Microbiol &amp; Immunol, Nashville, TN 37232 USA; [Lu, Pengcheng; Shyr, Yu] Vanderbilt Univ, Sch Med, Dept Biostat, Nashville, TN 37232 USA; [Joyce, Sebastian] Vet Adm Tennessee Valley Healthcare Syst, Nashville, TN 37232 USA; [Williams, John V.] Vanderbilt Univ, Sch Med, Dept Pediat, Nashville, TN 37232 USA; [Williams, John V.] Univ Pittsburgh, Sch Med, Dept Pediat, Childrens Hosp Pittsburgh,Med Ctr, Pittsburgh, PA 15224 USA</t>
  </si>
  <si>
    <t xml:space="preserve">Vanderbilt University; Vanderbilt University; US Department of Veterans Affairs; Veterans Health Administration (VHA); VA Tennessee Valley Healthcare System; Vanderbilt University; Pennsylvania Commonwealth System of Higher Education (PCSHE); University of Pittsburgh</t>
  </si>
  <si>
    <t xml:space="preserve">Williams, JV (corresponding author), Univ Pittsburgh, Sch Med, 4401 Penn Ave,Rangos 9122, Pittsburgh, PA 15224 USA.</t>
  </si>
  <si>
    <t xml:space="preserve">Shyr, Yu/KSM-5348-2024; Williams, John/ABE-3227-2020; Williams, John/F-6962-2010</t>
  </si>
  <si>
    <t xml:space="preserve">Erickson, John/0000-0001-6189-9302; Shyr, Yu/0000-0003-2086-9670; Williams, John/0000-0001-8377-5175; JOYCE, Sebastian/0000-0002-3183-1451</t>
  </si>
  <si>
    <t xml:space="preserve">National Institutes of Health [AI085062, AI040079, AI042284, HL054977, HL121139]; Vanderbilt Ingram Cancer Center [P30 CA68485]; Vanderbilt Digestive Disease Research Center [DK058404]; Vanderbilt Clinical and Translational Science Award from the National Center for Research Resources/National Institutes of Health [UL1 RR024975-01]; Veterans Affairs Merit Award [BX001444, GM007347]</t>
  </si>
  <si>
    <t xml:space="preserve">National Institutes of Health(United States Department of Health &amp; Human ServicesNational Institutes of Health (NIH) - USA); Vanderbilt Ingram Cancer Center; Vanderbilt Digestive Disease Research Center; Vanderbilt Clinical and Translational Science Award from the National Center for Research Resources/National Institutes of Health(United States Department of Health &amp; Human ServicesNational Institutes of Health (NIH) - USA); Veterans Affairs Merit Award(US Department of Veterans Affairs)</t>
  </si>
  <si>
    <t xml:space="preserve">This work was supported by National Institutes of Health Grants AI085062 (to J.V.W.), AI040079 (to S.J.), AI042284 (to S.J.), HL054977, HL121139, and Veterans Affairs Merit Award BX001444 (to S.J.), and GM007347 (to J.J.E.). The Vanderbilt Medical Center Flow Cytometry Shared Resource is supported by Vanderbilt Ingram Cancer Center Grant P30 CA68485 and by Vanderbilt Digestive Disease Research Center Grant DK058404. This work was also supported in part by the Vanderbilt Clinical and Translational Science Award Grant UL1 RR024975-01 from the National Center for Research Resources/National Institutes of Health.</t>
  </si>
  <si>
    <t xml:space="preserve">10.4049/jimmunol.1403004</t>
  </si>
  <si>
    <t xml:space="preserve">CT7BQ</t>
  </si>
  <si>
    <t xml:space="preserve">WOS:000362968500029</t>
  </si>
  <si>
    <t xml:space="preserve">Cimica, V; Boigard, H; Bhatia, B; Fallon, JT; Alimova, A; Gottlieb, P; Galarza, JM</t>
  </si>
  <si>
    <t xml:space="preserve">Cimica, Velasco; Boigard, Helene; Bhatia, Bipin; Fallon, John T.; Alimova, Alexandra; Gottlieb, Paul; Galarza, Jose M.</t>
  </si>
  <si>
    <t xml:space="preserve">Novel Respiratory Syncytial Virus-Like Particle Vaccine Composed of the Postfusion and Prefusion Conformations of the F Glycoprotein</t>
  </si>
  <si>
    <t xml:space="preserve">Virology; Virus; Immune system; Vaccination; Biology; Virus-like particle</t>
  </si>
  <si>
    <t xml:space="preserve">NEUTRALIZING ANTIBODY; FUSION GLYCOPROTEIN; RSV F; IMMUNE-RESPONSES; COTTON RATS; INFECTION; PROTEIN; IMMUNIZATION; DISEASE; BRONCHIOLITIS</t>
  </si>
  <si>
    <t xml:space="preserve">Respiratory syncytial virus (RSV) is the leading cause of severe respiratory disease in infants and children and represents an important global health burden for the elderly and the immunocompromised. Despite decades of research efforts, no licensed vaccine for RSV is available. We have developed virus-like particle (VLP)-based RSV vaccines assembled with the human metapneumovirus (hMPV) matrix protein (M) as the structural scaffold and the RSV fusion glycoprotein (F) in either the postfusion or prefusion conformation as its prime surface immunogen. Vaccines were composed of postfusion F, prefusion F, or a combination of the two conformations and formulated with a squalene-based oil emulsion as adjuvant. Immunization with these VLP vaccines afforded full protection against RSV infection and prevented detectable viral replication in the mouse lung after challenge. Analyses of lung cytokines and chemokines showed that VLP vaccination mostly induced the production of gamma interferon (IFN-gamma), a marker of the Th1-mediated immune response, which is predominantly required for viral protection. Conversely, immunization with a formalin-inactivated RSV (FI-RSV) vaccine induced high levels of inflammatory chemokines and cytokines of the Th2-and Th17-mediated types of immune responses, as well as severe lung inflammation and histopathology. The VLP vaccines showed restricted production of these immune mediators and did not induce severe bronchiolitis or perivascular infiltration as seen with the FI-RSV vaccine. Remarkably, analysis of the serum from immunized mice showed that the VLP vaccine formulated using a combination of postfusion and prefusion F elicited the highest level of neutralizing antibody and enhanced the Th1-mediated immune response.</t>
  </si>
  <si>
    <t xml:space="preserve">[Cimica, Velasco; Boigard, Helene; Galarza, Jose M.] TechnoVax Inc, Tarrytown, NY 10591 USA; [Bhatia, Bipin] EMD Millipore Corp, Billerica, MA USA; [Fallon, John T.] New York Med Coll, Westchester Med Ctr, Dept Pathol, Valhalla, NY 10595 USA; [Alimova, Alexandra; Gottlieb, Paul] CUNY City Coll, Dept Pathobiol, Sophie Davis Sch Biomed Educ, New York, NY 10031 USA</t>
  </si>
  <si>
    <t xml:space="preserve">Merck KGaA; MilliporeSigma; New York Medical College; Westchester Medical Center; City University of New York (CUNY) System; City College of New York (CUNY); Sophie Davis School of Biomedical Education</t>
  </si>
  <si>
    <t xml:space="preserve">Galarza, JM (corresponding author), TechnoVax Inc, Tarrytown, NY 10591 USA.</t>
  </si>
  <si>
    <t xml:space="preserve">jmgalarza@technovax.com</t>
  </si>
  <si>
    <t xml:space="preserve">Cimica, Velasco/H-2656-2014</t>
  </si>
  <si>
    <t xml:space="preserve">HHS\ National Institutes of Health (NIH) [NIH-R43AI108099]; HHS \ National Institutes of Health (NIH) [5G12MD007603-30]; HHS \ NIH \ National Institute of General Medical Sciences (NIGMS) [SC1-GM092781]</t>
  </si>
  <si>
    <t xml:space="preserve">HHS\ National Institutes of Health (NIH); HHS \ National Institutes of Health (NIH)(United States Department of Health &amp; Human ServicesNational Institutes of Health (NIH) - USAOffice of the Administrator (NIH)); HHS \ NIH \ National Institute of General Medical Sciences (NIGMS)</t>
  </si>
  <si>
    <t xml:space="preserve">This work, including the efforts of Velasco Cimica, Helene Boigard, and Jose M. Galarza, was funded by HHS vertical bar National Institutes of Health (NIH) (NIH-R43AI108099). This work, including the efforts of Alexandra Alimova and Paul Gottlieb, was funded by HHS vertical bar National Institutes of Health (NIH) (5G12MD007603-30). This work, including the efforts of Alexandra Alimova and Paul Gottlieb, was funded by HHS vertical bar NIH vertical bar National Institute of General Medical Sciences (NIGMS) (SC1-GM092781).</t>
  </si>
  <si>
    <t xml:space="preserve">10.1128/CVI.00720-15</t>
  </si>
  <si>
    <t xml:space="preserve">DO0GO</t>
  </si>
  <si>
    <t xml:space="preserve">WOS:000377457600003</t>
  </si>
  <si>
    <t xml:space="preserve">Bailly, B; Gorle, AK; Dirr, L; Malde, AK; Farrell, NP; Berners-Price, SJ; von Itzstein, M</t>
  </si>
  <si>
    <t xml:space="preserve">Bailly, Benjamin; Gorle, Anil K.; Dirr, Larissa; Malde, Alpeshkumar K.; Farrell, Nicholas P.; Berners-Price, Susan J.; von Itzstein, Mark</t>
  </si>
  <si>
    <t xml:space="preserve">Platinum complexes act as shielding agents against virus infection</t>
  </si>
  <si>
    <t xml:space="preserve">CHEMICAL COMMUNICATIONS</t>
  </si>
  <si>
    <t xml:space="preserve">Platinum; Electromagnetic shielding; Combinatorial chemistry</t>
  </si>
  <si>
    <t xml:space="preserve">We determine that the substitution-inert polynuclear platinum complex (PPC) TriplatinNC is an antiviral agent and protects cells from enterovirus 71 and human metapneumovirus infection. This protection occurs through the formation of adducts with cell-surface glycosaminoglycans. Our detailed mechanistic investigation demonstrates that TriplatinNC blocks viral entry by shielding cells from virus attack, opening new directions for metalloshielding antiviral drug development.</t>
  </si>
  <si>
    <t xml:space="preserve">[Bailly, Benjamin; Gorle, Anil K.; Dirr, Larissa; Malde, Alpeshkumar K.; Farrell, Nicholas P.; Berners-Price, Susan J.; von Itzstein, Mark] Griffith Univ, Inst Glyc, Gold Coast Campus, Southport, Qld, Australia; [Farrell, Nicholas P.] Virginia Commonwealth Univ, Dept Chem, Box 2006, Richmond, VA 23284 USA</t>
  </si>
  <si>
    <t xml:space="preserve">Griffith University; Griffith University - Gold Coast Campus; Virginia Commonwealth University</t>
  </si>
  <si>
    <t xml:space="preserve">von Itzstein, M (corresponding author), Griffith Univ, Inst Glyc, Gold Coast Campus, Southport, Qld, Australia.</t>
  </si>
  <si>
    <t xml:space="preserve">m.vonitzstein@griffith.edu.au</t>
  </si>
  <si>
    <t xml:space="preserve">von Itzstein, Mark/E-4823-2010; Bailly, Benjamin/N-1509-2014; Berners-Price, Sue/F-6203-2015; Gorle, Anil/T-5134-2017; MALDE, Alpesh/A-5341-2010</t>
  </si>
  <si>
    <t xml:space="preserve">Bailly, Benjamin/0000-0003-0782-2325; Dirr, Larissa/0000-0002-5794-266X; Berners-Price, Sue/0000-0002-7129-0039; Gorle, Anil/0000-0001-7838-2625; MALDE, Alpesh/0000-0002-8181-1619; von Itzstein, Mark/0000-0001-6302-7524</t>
  </si>
  <si>
    <t xml:space="preserve">Australian Research Council [DP150100308]; NHMRC [APP1196520]; Griffith University New Researcher Grant</t>
  </si>
  <si>
    <t xml:space="preserve">Australian Research Council(Australian Research Council); NHMRC(National Health &amp; Medical Research Council (NHMRC) of Australia); Griffith University New Researcher Grant</t>
  </si>
  <si>
    <t xml:space="preserve">This work was supported by the Australian Research Council (DP150100308, S. B.-P., N. F., &amp; M. V. I.) &amp; the NHMRC (APP1196520, M. V. I.). B. B. acknowledges support from a Griffith University New Researcher Grant.</t>
  </si>
  <si>
    <t xml:space="preserve">1359-7345</t>
  </si>
  <si>
    <t xml:space="preserve">1364-548X</t>
  </si>
  <si>
    <t xml:space="preserve">CHEM COMMUN</t>
  </si>
  <si>
    <t xml:space="preserve">Chem. Commun.</t>
  </si>
  <si>
    <t xml:space="preserve">MAY 11</t>
  </si>
  <si>
    <t xml:space="preserve">10.1039/d1cc01593a</t>
  </si>
  <si>
    <t xml:space="preserve">SA1RE</t>
  </si>
  <si>
    <t xml:space="preserve">WOS:000639415700001</t>
  </si>
  <si>
    <t xml:space="preserve">Barenfanger, J; Mueller, T; O'Brien, J; Drake, C; Lawhorn, J</t>
  </si>
  <si>
    <t xml:space="preserve">Barenfanger, Joan; Mueller, Tina; O'Brien, Janet; Drake, Cheryl; Lawhorn, Jerry</t>
  </si>
  <si>
    <t xml:space="preserve">Prevalence of human metapneumovirus in central Illinois in patients thought to have respiratory viral infection</t>
  </si>
  <si>
    <t xml:space="preserve">Human metapneumovirus; Metapneumovirus; Respiratory system; Pneumovirinae; Virology</t>
  </si>
  <si>
    <t xml:space="preserve">Studies suggest that by age 5 years nearly all people have been exposed to metapneumovirus. To determine its prevalence in central Illinois, we tested respiratory secretions by direct immunofluorescence staining from December to March. Metapneumovirus was detected in 11/391 specimens. The distribution of metapneumovirus was bimodal, with the split being between children aged &lt;= 4 years and adults.</t>
  </si>
  <si>
    <t xml:space="preserve">[Barenfanger, Joan; Mueller, Tina; O'Brien, Janet; Drake, Cheryl; Lawhorn, Jerry] Mem Med Ctr, Lab Med &amp; Pathol, Springfield, IL 62781 USA</t>
  </si>
  <si>
    <t xml:space="preserve">Barenfanger, J (corresponding author), Mem Med Ctr, Lab Med &amp; Pathol, 701 N 1st St, Springfield, IL 62781 USA.</t>
  </si>
  <si>
    <t xml:space="preserve">barenfanger.joan@mhsil.com</t>
  </si>
  <si>
    <t xml:space="preserve">10.1128/JCM.02283-07</t>
  </si>
  <si>
    <t xml:space="preserve">WOS:000254866400049</t>
  </si>
  <si>
    <t xml:space="preserve">De Paulis, M; Gilio, AE; Ferraro, AA; Ferronato, AE; do Sacramento, PR; Botosso, VF; de Oliveira, DBL; Marinheiro, JC; Hársi, CM; Durigon, EL; Vieira, SE</t>
  </si>
  <si>
    <t xml:space="preserve">De Paulis, Milena; Gilio, Alfredo Elias; Ferraro, Alexandre Archanjo; Ferronato, Angela Esposito; do Sacramento, Patricia Rossi; Botosso, Viviane Fongaro; Leal de Oliveira, Danielle Bruna; Marinheiro, Juliana Cristina; Harsi, Charlotte Marianna; Durigon, Edison Luiz; Vieira, Sandra Elisabete</t>
  </si>
  <si>
    <t xml:space="preserve">Severity of viral coinfection in hospitalized infants with respiratory syncytial virus infection</t>
  </si>
  <si>
    <t xml:space="preserve">Medicine; Coinfection; Bronchiolitis; Pneumonia; Breastfeeding; Virus</t>
  </si>
  <si>
    <t xml:space="preserve">HUMAN METAPNEUMOVIRUS; TRACT INFECTIONS; CHILDREN; BRAZIL; BRONCHIOLITIS; EPIDEMIOLOGY; PATHOGENS</t>
  </si>
  <si>
    <t xml:space="preserve">Objective: To compare the severity of single respiratory syncytial virus (RSV) infections with that of coinfections. Methods:A historical cohort was studied, including hospitalized infants with acute RSV infection. Nasopharyngeal aspirate samples were collected from all patients to detect eight respiratory viruses using molecular biology techniques. The following outcomes were analyzed: duration of hospitalization and of oxygen therapy, intensive care unit admission and need of mechanical ventilation. Results were adjusted for confounding factors (prematurity, age and breastfeeding). Results: A hundred and seventy six infants with bronchiolitis and/or pneumonia were included in the study. Their median age was 4.5 months. A hundred and twenty one had single RSV infection and 55 had coinfections (24 RSV + adenovirus, 16 RSV + human metapneumovirus and 15 other less frequent viral associations). The four severity outcomes under study were similar in the group with single RSV infection and in the coinfection groups, independently of what virus was associated with RSV. Conclusion: Virus coinfections do not seem to affect the prognosis of hospitalized infants with acute RSV infection.</t>
  </si>
  <si>
    <t xml:space="preserve">[Gilio, Alfredo Elias] Univ Sao Paulo, Univ Hosp, Div Clin Pediat, BR-09500900 Sao Paulo, Brazil; [Ferraro, Alexandre Archanjo] Univ Sao Paulo, Fac Med, Dept Pediat, BR-09500900 Sao Paulo, Brazil; [do Sacramento, Patricia Rossi; Leal de Oliveira, Danielle Bruna; Durigon, Edison Luiz] Univ Sao Paulo, Inst Ciencias Biomed, BR-09500900 Sao Paulo, Brazil; [Botosso, Viviane Fongaro] Inst Butantan, Sao Paulo, Brazil</t>
  </si>
  <si>
    <t xml:space="preserve">Universidade de Sao Paulo; Universidade de Sao Paulo; Universidade Federal de Sao Paulo (UNIFESP); Universidade de Sao Paulo; Instituto Butantan</t>
  </si>
  <si>
    <t xml:space="preserve">Vieira, SE (corresponding author), Av Dr Eneas Carvalho Aguiar 647, BR-05403000 Sao Paulo, Brazil.</t>
  </si>
  <si>
    <t xml:space="preserve">sandra@hu.usp.br</t>
  </si>
  <si>
    <t xml:space="preserve">Gilio, Alfredo/J-4229-2014; Oliveira, Danielle/H-8030-2015; vieira, sandra/I-9456-2012; Ferraro, Alexandre/G-6440-2013; Fongaro Botosso, Viviane/I-5591-2014</t>
  </si>
  <si>
    <t xml:space="preserve">Durigon, Edison/0000-0003-4898-6553; De Paulis, Milena/0000-0002-7614-2465; Ferraro, Alexandre/0000-0003-1439-8091; Fongaro Botosso, Viviane/0000-0002-7876-3687; Oliveira, Danielle/0000-0002-0534-0886; vieira, sandra/0000-0001-5100-8713</t>
  </si>
  <si>
    <t xml:space="preserve">10.2223/JPED.2100</t>
  </si>
  <si>
    <t xml:space="preserve">816AW</t>
  </si>
  <si>
    <t xml:space="preserve">WOS:000294572100006</t>
  </si>
  <si>
    <t xml:space="preserve">Structure and Self-Assembly of the Calcium Binding Matrix Protein of Human Metapneumovirus</t>
  </si>
  <si>
    <t xml:space="preserve">STRUCTURE</t>
  </si>
  <si>
    <t xml:space="preserve">Human metapneumovirus; Metapneumovirus; Calcium-binding protein; Viral matrix protein</t>
  </si>
  <si>
    <t xml:space="preserve">RESPIRATORY SYNCYTIAL VIRUS; SMALL HYDROPHOBIC PROTEIN; NON-DETERGENT SULFOBETAINES; CRYSTAL-STRUCTURE; SENDAI-VIRUS; FEATURES; VP40; VISUALIZATION; INFECTION; SEQUENCE</t>
  </si>
  <si>
    <t xml:space="preserve">The matrix protein (M) of paramyxoviruses plays a key role in determining virion morphology by directing viral assembly and budding. Here, we report the crystal structure of the human metapneumovirus M at 2.8 angstrom resolution in its native dimeric state. The structure reveals the presence of a high-affinity Ca2+ binding site. Molecular dynamics simulations (MDS) predict a secondary lower-affinity site that correlates well with data from fluorescence-based thermal shift assays. By combining small-angle X-ray scattering with MDS and ensemble analysis, we captured the structure and dynamics of M in solution. Our analysis reveals a large positively charged patch on the protein surface that is involved in membrane interaction. Structural analysis of DOPC-induced polymerization of M into helical filaments using electron microscopy leads to a model of M self-assembly. The conservation of the Ca2+ binding sites suggests a role for calcium in the replication and morphogenesis of pneumoviruses.</t>
  </si>
  <si>
    <t xml:space="preserve">[Leyrat, Cedric; Renner, Max; Harlos, Karl; Huiskonen, Juha T.; Grimes, Jonathan M.] Univ Oxford, Wellcome Trust Ctr Human Genet, Div Struct Biol, Oxford OX3 7BN, England; [Grimes, Jonathan M.] Diamond Light Source Ltd, Didcot OX11 0DE, Oxon, England</t>
  </si>
  <si>
    <t xml:space="preserve">Grimes, JM (corresponding author), Univ Oxford, Wellcome Trust Ctr Human Genet, Div Struct Biol, Roosevelt Dr, Oxford OX3 7BN, England.</t>
  </si>
  <si>
    <t xml:space="preserve">Leyrat, Cedric/G-5559-2017; Huiskonen, Juha/C-3043-2008</t>
  </si>
  <si>
    <t xml:space="preserve">Grimes, Jonathan Mark/0000-0001-9698-0389; Huiskonen, Juha T./0000-0002-0348-7323; Renner, Max/0000-0001-9885-8256; Leyrat, Cedric/0000-0003-0189-0562</t>
  </si>
  <si>
    <t xml:space="preserve">European Union Seventh Framework Programme [260644]; Wellcome Trust Core Award [090532/Z/09/Z]; Academy of Finland [130750, 218080]; Academy of Finland (AKA) [130750, 218080] Funding Source: Academy of Finland (AKA)</t>
  </si>
  <si>
    <t xml:space="preserve">European Union Seventh Framework Programme(European Union (EU)); Wellcome Trust Core Award(Wellcome Trust); Academy of Finland(Research Council of Finland); Academy of Finland (AKA)(Research Council of Finland)</t>
  </si>
  <si>
    <t xml:space="preserve">We thank Ron Fouchier and Bernadette van den Hoogen for providing us with a plasmid encoding HMPV M, Alistair Siebert for electron microscopy support, and David Stuart for critical reading of the manuscript. We thank Diamond Light Source for beamtime (proposal MX8423) and the staff of beamlines 102, 103, and 104 for assistance with crystal testing and data collection. The research leading to these results has received funding from the European Union Seventh Framework Programme (FP7/2007-2013) under SILVER grant agreement no. 260644. This work was also supported by the Wellcome Trust Core Award (090532/Z/09/Z) and the Academy of Finland (130750 and 218080 to J.T.H.). The OPIC electron microscopy facility was founded by a Wellcome Trust JIF award (060208/Z/00/Z) and is supported by a WT equipment grant (0933051Z/10/Z). The work presented here made use of the High Performance Computing facility IRIDIS provided by the EPSRC-funded Centre for Innovation (EP/K000144/1 and EP/K000136/1), which is owned and operated by the e-lnfrastructure South Consortium formed by the Universities of Bristol, Oxford, Southampton, and UCL in partnership with STFC's Rutherford Appleton Laboratory.</t>
  </si>
  <si>
    <t xml:space="preserve">0969-2126</t>
  </si>
  <si>
    <t xml:space="preserve">1878-4186</t>
  </si>
  <si>
    <t xml:space="preserve">Structure</t>
  </si>
  <si>
    <t xml:space="preserve">JAN 7</t>
  </si>
  <si>
    <t xml:space="preserve">10.1016/j.str.2013.10.013</t>
  </si>
  <si>
    <t xml:space="preserve">288DU</t>
  </si>
  <si>
    <t xml:space="preserve">WOS:000329593000015</t>
  </si>
  <si>
    <t xml:space="preserve">Viral Infections of the Lower Respiratory Tract: Old Viruses, New Viruses, and the Role of Diagnosis</t>
  </si>
  <si>
    <t xml:space="preserve">Medicine; Respiratory tract infections; Human metapneumovirus; Human bocavirus; Rhinovirus; Pneumonia; Virology; Antibiotics</t>
  </si>
  <si>
    <t xml:space="preserve">COMMUNITY-ACQUIRED PNEUMONIA; CELL TRANSPLANT RECIPIENTS; RAPID INFLUENZA TEST; HUMAN BOCAVIRUS; HOSPITALIZED CHILDREN; HUMAN METAPNEUMOVIRUS; FEBRILE INFANTS; YOUNG-CHILDREN; IMMUNOCOMPROMISED PATIENTS; RHINOVIRUS INFECTIONS</t>
  </si>
  <si>
    <t xml:space="preserve">Viral infections of the lower respiratory tract cause an enormous disease burden in children, and the role of respiratory viruses in serious lower respiratory tract infections (LRTIs) in older adults is increasingly appreciated. Although viruses are responsible for a large proportion LRTIs, antibiotics are often prescribed. New diagnostic platforms have the potential to detect a wider range of established and newly discovered viruses with greater sensitivity. This will create additional challenges. Although it is clear that influenza, parainfluenza, respiratory syncytial virus, human metapneumovirus, and adenovirus are important causes of pneumonia, the role of rhinoviruses and some of the newly described viruses, including human coronaviruses and bocavirus, is harder to determine. Better diagnostic tests that establish the cause of LRTIs in children have the potential to both reduce overall antibiotic use and to improve the targeted use of antibiotics. In addition, rapid identification of viral infections can help control nosocomial transmission.</t>
  </si>
  <si>
    <t xml:space="preserve">Univ Utah, Dept Pediat, Div Pediat Infect Dis, Salt Lake City, UT 84108 USA</t>
  </si>
  <si>
    <t xml:space="preserve">Pavia, AT (corresponding author), Univ Utah, Dept Pediat, Div Pediat Infect Dis, 295 Chipeta Way, Salt Lake City, UT 84108 USA.</t>
  </si>
  <si>
    <t xml:space="preserve">National Institutes of Health (NIH) [1U01AI082184-01]; Centers for Disease Control and Prevention [1U181P000303]; Food and Drug Administration; Infectious Diseases Society of America; AstraZeneca Pharmaceuticals; Bio Merieux, Inc.; Cepheid; Gilead Sciences; Intelligent MDX, Inc.; Inverness Medical Innovations; Roche Molecular Systems</t>
  </si>
  <si>
    <t xml:space="preserve">National Institutes of Health (NIH)(United States Department of Health &amp; Human ServicesNational Institutes of Health (NIH) - USA); Centers for Disease Control and Prevention(United States Department of Health &amp; Human ServicesCenters for Disease Control &amp; Prevention - USA); Food and Drug Administration(United States Department of Health &amp; Human ServicesUS Food &amp; Drug Administration (FDA)); Infectious Diseases Society of America; AstraZeneca Pharmaceuticals(AstraZeneca); Bio Merieux, Inc.; Cepheid; Gilead Sciences(Gilead Sciences); Intelligent MDX, Inc.; Inverness Medical Innovations; Roche Molecular Systems</t>
  </si>
  <si>
    <t xml:space="preserve">This work was supported by National Institutes of Health (NIH; 1U01AI082184-01 to ATP) and the Centers for Disease Control and Prevention (1U181P000303 to ATP). ATP received travel support from the Food and Drug Administration to attend this meeting. He is also a co-investigator on NIH-funded research in which scientists from Idaho Technologies are co-investigators.This article was published as part of a supplement entitled Workshop on Molecular Diagnostics for Respiratory Tract Infections. The Food and Drug Administration and the Infectious Diseases Society of America sponsored the workshop. AstraZeneca Pharmaceuticals, Bio Merieux, Inc., Cepheid, Gilead Sciences, Intelligent MDX, Inc., Inverness Medical Innovations, and Roche Molecular Systems provided financial support solely for the purpose of publishing the supplement.</t>
  </si>
  <si>
    <t xml:space="preserve">S284</t>
  </si>
  <si>
    <t xml:space="preserve">S289</t>
  </si>
  <si>
    <t xml:space="preserve">10.1093/cid/cir043</t>
  </si>
  <si>
    <t xml:space="preserve">745KT</t>
  </si>
  <si>
    <t xml:space="preserve">WOS:000289165000002</t>
  </si>
  <si>
    <t xml:space="preserve">Vicente, D; Montes, M; Cilla, G; Perez-Yarza, EG; Perez-Trallero, E</t>
  </si>
  <si>
    <t xml:space="preserve">Vicente, Diego; Montes, Milagrosa; Cilla, Gustavo; Perez-Yarza, Eduardo G.; Perez-Trallero, Emilio</t>
  </si>
  <si>
    <t xml:space="preserve">Differences in clinical severity between genotype A and genotype B human metapneumovirus infection in children</t>
  </si>
  <si>
    <t xml:space="preserve">Medicine; Genotype; Human metapneumovirus; Metapneumovirus; Pneumonia; Neonatal intensive care unit</t>
  </si>
  <si>
    <t xml:space="preserve">RESPIRATORY-SYNCYTIAL-VIRUS</t>
  </si>
  <si>
    <t xml:space="preserve">The clinical spectrum of 69 episodes of metapneumovirus pediatric infection (55 episodes caused by genotype A and 14 episodes caused by genotype B) was analyzed. Diagnosis of pneumonia was more common and the illness severity index (determined on the basis of need for hospitalization, oxygen saturation &lt; 90%, and intensive care unit stay) was higher for patients with metapneumovirus genotype A infection.</t>
  </si>
  <si>
    <t xml:space="preserve">Hosp Donostia, Microbiol Serv, San Sebastian 20014, Spain; Hosp Donostia, Serv Pediat, San Sebastian 20014, Spain; Univ Basque Country, Dept Med Prevent &amp; Salud Publ, San Sebastian, Spain</t>
  </si>
  <si>
    <t xml:space="preserve">Perez-Trallero, E (corresponding author), Hosp Donostia, Microbiol Serv, Paseo Dr Beguiristain S-N, San Sebastian 20014, Spain.</t>
  </si>
  <si>
    <t xml:space="preserve">E111</t>
  </si>
  <si>
    <t xml:space="preserve">E113</t>
  </si>
  <si>
    <t xml:space="preserve">10.1086/504378</t>
  </si>
  <si>
    <t xml:space="preserve">043TO</t>
  </si>
  <si>
    <t xml:space="preserve">WOS:000237624800040</t>
  </si>
  <si>
    <t xml:space="preserve">Canducci, F; Debiaggi, M; Ceresola, ER; Sampaolo, M; Alessandrino, EP; Brerra, R; Piazza, A; Clementi, M</t>
  </si>
  <si>
    <t xml:space="preserve">Canducci, Filippo; Debiaggi, Maurizia; Ceresola, Elisa Rita; Sampaolo, Michela; Alessandrino, Emilio Paolo; Brerra, Roberto; Piazza, Aurora; Clementi, Massimo</t>
  </si>
  <si>
    <t xml:space="preserve">Infection and Coinfection of Human Rhinovirus C in Stem Cell Transplant Recipients</t>
  </si>
  <si>
    <t xml:space="preserve">Rhinovirus; Coinfection; Enterovirus; Stem cell; Respiratory system</t>
  </si>
  <si>
    <t xml:space="preserve">HUMAN METAPNEUMOVIRUS INFECTION; ACUTE RESPIRATORY-DISEASE; ENTEROVIRUS; CHILDREN; ILLNESS; INFANTS</t>
  </si>
  <si>
    <t xml:space="preserve">In 54 adult stem cell transplant recipients, the presence and persistence of human rhinoviruses (including the novel lineage C) were evaluated by molecular detection and phylogenetic analysis, independently from respiratory symptoms. In the same group of patients, the presence of other coinfecting respiratory pathogens, including the novel enterovirus 109, was also evaluated.</t>
  </si>
  <si>
    <t xml:space="preserve">[Canducci, Filippo] Univ Insubria, I-21100 Varese, Italy; [Debiaggi, Maurizia; Brerra, Roberto; Piazza, Aurora] Univ Pavia, I-27100 Pavia, Italy; [Ceresola, Elisa Rita; Sampaolo, Michela; Clementi, Massimo] Univ Vita Salute San Raffaele, I-20132 Milan, Italy; [Alessandrino, Emilio Paolo] Fdn IRCCS San Matteo Hosp, I-21100 Pavia, Italy</t>
  </si>
  <si>
    <t xml:space="preserve">University of Insubria; University of Pavia; Vita-Salute San Raffaele University; IRCCS Fondazione San Matteo</t>
  </si>
  <si>
    <t xml:space="preserve">Canducci, F (corresponding author), Univ Insubria, Via Ravasi 2, I-21100 Varese, Italy.</t>
  </si>
  <si>
    <t xml:space="preserve">Canducci, Filippo/0000-0002-5637-6205; Clementi, Massimo/0000-0002-7461-5898; Piazza, Aurora/0000-0003-0535-2542</t>
  </si>
  <si>
    <t xml:space="preserve">10.1155/2013/236081</t>
  </si>
  <si>
    <t xml:space="preserve">102RZ</t>
  </si>
  <si>
    <t xml:space="preserve">WOS:000315863000001</t>
  </si>
  <si>
    <t xml:space="preserve">Bierbaum, S; Forster, J; Berner, R; Rücker, G; Rohde, G; Neumann-Haefelin, D; Panning, M</t>
  </si>
  <si>
    <t xml:space="preserve">Bierbaum, Sibylle; Forster, Johannes; Berner, Reinhard; Ruecker, Gerta; Rohde, Gernot; Neumann-Haefelin, Dieter; Panning, Marcus</t>
  </si>
  <si>
    <t xml:space="preserve">CAPNETZ Study Grp</t>
  </si>
  <si>
    <t xml:space="preserve">Detection of respiratory viruses using a multiplex real-time PCR assay in Germany, 2009/10</t>
  </si>
  <si>
    <t xml:space="preserve">Human metapneumovirus; Virology; Rhinovirus; Human bocavirus; Multiplex; Virus; Biology; Respiratory system; Multiplex polymerase chain reaction; Medical microbiology; Influenza A virus</t>
  </si>
  <si>
    <t xml:space="preserve">RT-PCR; HUMAN METAPNEUMOVIRUS; PATHOGENS</t>
  </si>
  <si>
    <t xml:space="preserve">The aim of this study was to determine the prevalence of respiratory viruses and to prospectively evaluate the performance of the fast-track diagnostics (FTD) respiratory pathogens multiplex PCR assay shortly after the 2009/10 influenza pandemic. Highly sensitive monoplex real-time PCR assays served as references. Discrepant results were further analyzed by the xTAG RVP Fast assay. A total of 369 respiratory samples from children and adults were collected prospectively in Germany from December 2009 until June 2010. The sensitivity and specificity of the FTD assay after resolution of discrepant results was 92.2 % and 99.5 %, respectively. Lowest specificity of the FTD assay was observed for human bocavirus. Multiple detections were recorded in 33/369 (8.9 %) of the samples by monoplex PCR and in 43/369 (11.7 %) using the FTD assay. The most prevalent viruses were respiratory syncytial virus and human metapneumovirus. Only pandemic influenza virus A/H1N1 (2009), and not seasonal influenza virus, was detected. Viruses other than influenza virus accounted for the majority of acute respiratory infections. The FTD assay can be easily implemented in general diagnostic laboratories and facilitate the optimization of patient-management schemes.</t>
  </si>
  <si>
    <t xml:space="preserve">[Bierbaum, Sibylle; Neumann-Haefelin, Dieter; Panning, Marcus] Univ Med Ctr, Inst Virol, D-79104 Freiburg, Germany; [Forster, Johannes] St Josefs Hosp, Dept Paediat, Freiburg, Germany; [Berner, Reinhard] Univ Med Ctr, Ctr Paediat &amp; Adolescent Med, D-79104 Freiburg, Germany; [Ruecker, Gerta] Univ Med Ctr, Inst Med Biometry &amp; Med Informat, D-79104 Freiburg, Germany; [Rohde, Gernot] Maastricht Univ, Med Ctr, Dept Resp Med, Maastricht, Netherlands</t>
  </si>
  <si>
    <t xml:space="preserve">University of Freiburg; University of Freiburg; University of Freiburg; Maastricht University</t>
  </si>
  <si>
    <t xml:space="preserve">Panning, M (corresponding author), Univ Med Ctr, Inst Virol, Hermann Herder Str 11, D-79104 Freiburg, Germany.</t>
  </si>
  <si>
    <t xml:space="preserve">marcus.panning@uniklinik-freiburg.de</t>
  </si>
  <si>
    <t xml:space="preserve">Panning, Marcus/I-7889-2016; Berner, Reinhard/P-7351-2017; Rohde, Gernot/F-3060-2013; Rucker, Gerta/B-2965-2009</t>
  </si>
  <si>
    <t xml:space="preserve">Panning, Marcus/0000-0003-3596-5964; Rohde, Gernot/0000-0002-5193-7755; Pletz, Mathias/0000-0001-8157-2753; Stolz, Daiana/0000-0003-0099-882X; Rucker, Gerta/0000-0002-2192-2560</t>
  </si>
  <si>
    <t xml:space="preserve">German Bundesministerium fur Bildung und Forschung (BMBF) [01ES0830]</t>
  </si>
  <si>
    <t xml:space="preserve">German Bundesministerium fur Bildung und Forschung (BMBF)(Federal Ministry of Education &amp; Research (BMBF))</t>
  </si>
  <si>
    <t xml:space="preserve">The authors are grateful to Nadja Besazza for her excellent technical assistance. This work was supported in part by the German Bundesministerium fur Bildung und Forschung (BMBF) (BMBF Contract #01ES0830).</t>
  </si>
  <si>
    <t xml:space="preserve">10.1007/s00705-013-1876-3</t>
  </si>
  <si>
    <t xml:space="preserve">AE5UQ</t>
  </si>
  <si>
    <t xml:space="preserve">WOS:000334055200006</t>
  </si>
  <si>
    <t xml:space="preserve">Inagaki, A; Kitano, T; Nishikawa, H; Suzuki, R; Onaka, M; Nishiyama, A; Kitagawa, D; Oka, M; Masuo, K; Yoshida, S</t>
  </si>
  <si>
    <t xml:space="preserve">Inagaki, Atsushi; Kitano, Taito; Nishikawa, Hiroki; Suzuki, Rika; Onaka, Masayuki; Nishiyama, Atsuko; Kitagawa, Daisuke; Oka, Miyako; Masuo, Kazue; Yoshida, Sayaka</t>
  </si>
  <si>
    <t xml:space="preserve">The Epidemiology of Admission-Requiring Pediatric Respiratory Infections in a Japanese Community Hospital Using Multiplex PCR</t>
  </si>
  <si>
    <t xml:space="preserve">Rhinovirus; Coinfection; Medicine; Epidemiology; Human metapneumovirus; Respiratory tract infections; Enterovirus</t>
  </si>
  <si>
    <t xml:space="preserve">HUMAN METAPNEUMOVIRUS; SYNCYTIAL VIRUS; TRACT INFECTION; CHILDREN; COINFECTION; RHINOVIRUS</t>
  </si>
  <si>
    <t xml:space="preserve">Respiratory tract infections (RTIs) are the most common diseases globally among children. This study aimed to assess the epidemiology of admission-requiring pediatric RTI cases and evaluate the effect of the pathogen type on the length of hospital stay (LOS) using the FilmArray (R) respiratory panel, a multiplex PCR test. The age-specific distribution and seasonality of viruses were investigated between March 26, 2018 and April 12, 2019. Multivariable linear regression analyses were performed to evaluate the effect of pathogen type and coinfection on LOS. Among 153 hospitalized RTI patients, respiratory syncytial virus was the leading cause of hospitalization in infants &lt; 12 months of age (27.7%). Human metapneumovirus and parainfluenza virus were also major causes of hospitalization in patients aged 2-3 years (22.6% and 22.6%, respectively). In the multivariable linear regression model excluding rhinovirus/enterovirus, there was a significant association between viral coinfection and longer LOS (p = 0.012), while single viral infection of any type was not positively correlated with LOS. This study revealed the epidemiology of admission-requiring pediatric RTIs.</t>
  </si>
  <si>
    <t xml:space="preserve">[Inagaki, Atsushi; Nishikawa, Hiroki; Suzuki, Rika; Onaka, Masayuki; Nishiyama, Atsuko; Yoshida, Sayaka] Nara Prefecture Gen Med Ctr, Dept Pediat, Nara, Japan; [Kitagawa, Daisuke; Oka, Miyako; Masuo, Kazue] Nara Prefecture Gen Med Ctr, Dept Microbiol, Nara, Japan; [Kitano, Taito] Hosp Sick Children, Div Infect Dis, 555 Univ Ave, Toronto, ON M5G 1X8, Canada</t>
  </si>
  <si>
    <t xml:space="preserve">University of Toronto; Hospital for Sick Children (SickKids)</t>
  </si>
  <si>
    <t xml:space="preserve">Kitano, T (corresponding author), Hosp Sick Children, Div Infect Dis, 555 Univ Ave, Toronto, ON M5G 1X8, Canada.</t>
  </si>
  <si>
    <t xml:space="preserve">taito.kitano.0110@gmail.com</t>
  </si>
  <si>
    <t xml:space="preserve">10.7883/yoken.JJID.2020.154</t>
  </si>
  <si>
    <t xml:space="preserve">QT5IN</t>
  </si>
  <si>
    <t xml:space="preserve">WOS:000626621300004</t>
  </si>
  <si>
    <t xml:space="preserve">Poutanen, SM; Low, DE; Henry, B; Finkelstein, S; Rose, D; Green, K; Tellier, R; Draker, R; Adachi, D; Ayers, M; Chan, AK; Skowronski, DM; Salit, I; Simor, AE; Slutsky, AS; Doyle, PW; Krajden, M; Petric, M; Brunham, RC; McGeer, AJ</t>
  </si>
  <si>
    <t xml:space="preserve">Natl Microbiology Lab Canada; Canadian Severe Acute Respiratory</t>
  </si>
  <si>
    <t xml:space="preserve">Identification of severe acute respiratory syndrome in Canada</t>
  </si>
  <si>
    <t xml:space="preserve">Medicine; Internal medicine</t>
  </si>
  <si>
    <t xml:space="preserve">HUMAN METAPNEUMOVIRUS; MECHANICAL VENTILATION; CORONAVIRUS; INFECTIONS; RIBAVIRIN; CHILDREN; TRIAL</t>
  </si>
  <si>
    <t xml:space="preserve">BACKGROUND Severe acute respiratory syndrome (SARS) is a condition of unknown cause that has recently been recognized in patients in Asia, North America, and Europe. This report summarizes the initial epidemiologic findings, clinical description, and diagnostic findings that followed the identification of SARS in Canada. METHODS SARS was first identified in Canada in early March 2003. We collected epidemiologic, clinical, and diagnostic data from each of the first 10 cases prospectively as they were identified. Specimens from all cases were sent to local, provincial, national, and international laboratories for studies to identify an etiologic agent. RESULTS The patients ranged from 24 to 78 years old; 60 percent were men. Transmission occurred only after close contact. The most common presenting symptoms were fever (in 100 percent of cases) and malaise (in 70 percent), followed by nonproductive cough (in 100 percent) and dyspnea (in 80 percent) associated with infiltrates on chest radiography (in 100 percent). Lymphopenia (in 89 percent of those for whom data were available), elevated lactate dehydrogenase levels (in 80 percent), elevated aspartate aminotransferase levels (in 78 percent), and elevated creatinine kinase levels (in 56 percent) were common. Empirical therapy most commonly included antibiotics, oseltamivir, and intravenous ribavirin. Mechanical ventilation was required in five patients. Three patients died, and five have had clinical improvement. The results of laboratory investigations were negative or not clinically significant except for the amplification of human metapneumovirus from respiratory specimens from five of nine patients and the isolation and amplification of a novel coronavirus from five of nine patients. In four cases both pathogens were isolated. CONCLUSIONS SARS is a condition associated with substantial morbidity and mortality. It appears to be of viral origin, with patterns suggesting droplet or contact transmission. The role of human metapneumovirus, a novel coronavirus, or both requires further investigation.</t>
  </si>
  <si>
    <t xml:space="preserve">Toronto Med Labs, Toronto, ON M5G 1X5, Canada; Mt Sinai Hosp, Dept Microbiol, Toronto, ON M5G 1X5, Canada; Univ Toronto, Dept Lab Med &amp; Pathobiol, Toronto, ON, Canada; Univ Toronto, Dept Med, Div Infect Dis, Toronto, ON, Canada; Univ Toronto, Interdept Div Crit Care, Toronto, ON, Canada; City Toronto Publ Hlth Dept, Toronto, ON, Canada; Scarborough Gen Hosp, Toronto, ON, Canada; Hosp Sick Children, Toronto, ON M5G 1X8, Canada; British Columbia Ctr Dis Control, Epidemiol Serv, Vancouver, BC, Canada; British Columbia Ctr Dis Control, Lab Serv, Vancouver, BC, Canada; Univ Hlth Network, Toronto, ON, Canada; Sunnybrook &amp; Womens Coll, Hlth Sci Ctr, Toronto, ON, Canada; St Michaels Hosp, Toronto, ON M5B 1W8, Canada; Vancouver Hosp &amp; Hlth Sci Ctr, Dept Pathol &amp; Lab Med, Vancouver, BC V5Z 1M9, Canada; Univ British Columbia, Ctr Dis Control, Vancouver, BC V5Z 1M9, Canada</t>
  </si>
  <si>
    <t xml:space="preserve">University of Toronto; Sinai Health System Toronto; Lunenfeld Tanenbaum Research Institute; University of Toronto; University of Toronto; University of Toronto; Scarborough Hospital; University of Toronto; Hospital for Sick Children (SickKids); University of Toronto; University Health Network Toronto; University of Toronto; Sunnybrook Health Science Center; Sunnybrook Research Institute; University of Toronto; Saint Michaels Hospital Toronto; University of British Columbia; University of British Columbia</t>
  </si>
  <si>
    <t xml:space="preserve">McGeer, AJ (corresponding author), Toronto Med Labs, 600 Univ Ave,Rm 1460, Toronto, ON M5G 1X5, Canada.</t>
  </si>
  <si>
    <t xml:space="preserve">McGeer, Allison/AAB-6885-2020; Draker, Ryan/GQP-7335-2022; Slutsky, Arthur/IQT-0428-2023; Low, Donald/B-1726-2012; Poutanen, Susan/N-8066-2019; McGeer, Allison/H-7747-2014; Poutanen, Susan/F-9640-2012</t>
  </si>
  <si>
    <t xml:space="preserve">McGeer, Allison/0000-0001-5647-6137; Poutanen, Susan/0000-0003-4747-2550</t>
  </si>
  <si>
    <t xml:space="preserve">MASSACHUSETTS MEDICAL SOC/NEJM</t>
  </si>
  <si>
    <t xml:space="preserve">10.1056/NEJMoa030634</t>
  </si>
  <si>
    <t xml:space="preserve">677TJ</t>
  </si>
  <si>
    <t xml:space="preserve">WOS:000182823400008</t>
  </si>
  <si>
    <t xml:space="preserve">Coinfections of the Respiratory Tract: Viral Competition for Resources</t>
  </si>
  <si>
    <t xml:space="preserve">Coinfection; Rhinovirus; Virology; Human metapneumovirus; Virus; Respiratory tract; Biology; Viral Interference; Respiratory tract infections</t>
  </si>
  <si>
    <t xml:space="preserve">C-VIRUS COINFECTION; INFLUENZA-A VIRUS; IN-VITRO; HEPATITIS-B; HUMAN METAPNEUMOVIRUS; SYNCYTIAL VIRUS; CLINICAL-COURSE; INFECTIONS; CHILDREN; INTERFERENCE</t>
  </si>
  <si>
    <t xml:space="preserve">Studies have shown that simultaneous infection of the respiratory tract with at least two viruses is common in hospitalized patients, although it is not clear whether these infections are more or less severe than single virus infections. We use a mathematical model to study the dynamics of viral coinfection of the respiratory tract in an effort to understand the kinetics of these infections. Specifically, we use our model to investigate coinfections of influenza, respiratory syncytial virus, rhinovirus, parainfluenza virus, and human metapneumovirus. Our study shows that during coinfections, one virus can block another simply by being the first to infect the available host cells; there is no need for viral interference through immune response interactions. We use the model to calculate the duration of detectable coinfection and examine how it varies as initial viral dose and time of infection are varied. We find that rhinovirus, the fastest-growing virus, reduces replication of the remaining viruses during a coinfection, while parainfluenza virus, the slowest-growing virus is suppressed in the presence of other viruses.</t>
  </si>
  <si>
    <t xml:space="preserve">[Pinky, Lubna; Dobrovolny, Hana M.] Texas Christian Univ, Dept Phys &amp; Astron, Ft Worth, TX 76129 USA</t>
  </si>
  <si>
    <t xml:space="preserve">Texas Christian University</t>
  </si>
  <si>
    <t xml:space="preserve">Dobrovolny, HM (corresponding author), Texas Christian Univ, Dept Phys &amp; Astron, Ft Worth, TX 76129 USA.</t>
  </si>
  <si>
    <t xml:space="preserve">Pinky, Lubna/IAO-2014-2023; Dobrovolny, Hana/A-2447-2013</t>
  </si>
  <si>
    <t xml:space="preserve">e0155589</t>
  </si>
  <si>
    <t xml:space="preserve">10.1371/journal.pone.0155589</t>
  </si>
  <si>
    <t xml:space="preserve">DM4BR</t>
  </si>
  <si>
    <t xml:space="preserve">WOS:000376291100063</t>
  </si>
  <si>
    <t xml:space="preserve">Li, H; McCormac, MA; Estes, RW; Sefers, SE; Dare, RK; Chappell, JD; Erdman, DD; Wright, PF; Tang, YW</t>
  </si>
  <si>
    <t xml:space="preserve">Li, Haijing; McCormac, Melinda A.; Estes, R. Wray; Sefers, Susan E.; Dare, Ryan K.; Chappell, James D.; Erdman, Dean D.; Wright, Peter F.; Tang, Yi-Wei</t>
  </si>
  <si>
    <t xml:space="preserve">Simultaneous detection and high-throughput identification of a panel of RNA viruses causing respiratory tract infections</t>
  </si>
  <si>
    <t xml:space="preserve">Virology; Human metapneumovirus; Respiratory tract infections; Metapneumovirus; Multiplex; Virus; Respiratory tract; Biology</t>
  </si>
  <si>
    <t xml:space="preserve">REVERSE TRANSCRIPTION-PCR; POLYMERASE-CHAIN-REACTION; ENZYME HYBRIDIZATION ASSAY; CONVENTIONAL VIRAL CULTURE; REAL-TIME PCR; SYNCYTIAL-VIRUS; MULTIPLEX PCR; BRONCHIOLITIS OBLITERANS; PARAINFLUENZA VIRUS; CLINICAL SPECIMENS</t>
  </si>
  <si>
    <t xml:space="preserve">Clinical presentations for viral respiratory tract infections are often nonspecific, and a rapid, high-throughput laboratory technique that can detect a panel of common viral pathogens is clinically desirable. We evaluated two multiplex reverse transcription-PCR (RT-PCR) products coupled with microarray-based systems for simultaneous detection of common respiratory tract viral pathogens. The NGEN respiratory virus ana lyte- specific assay (Nanogen, San Diego, CA) detects influenza A virus (Flu-A) and Flu-B, parainfluenza virus I (PIV-1), PIV-2, and PIV-3, and respiratory syncytial virus (RSV), while the ResPlex II assay (Genaco Biomedical Products, Inc., Huntsville, AL) detects Flu-A, Flu-B, PIV-1, PIV-2, PIV-3, PIV-4, RSV, human metapneumovirus (hMPV), rhinoviruses (RhVs), enteroviruses (EnVs), and severe acute respiratory syndrome (SARS) coronavirus (CoV). A total of 360 frozen respiratory specimens collected for a full year were tested, and results were compared to those obtained with a combined reference standard of cell culture and monoplex real-time TaqMan RT-PCR assays. NGEN and ResPlex II gave comparable sensitivities for Flu-A (82.8 to 86.2%), Flu-B (90.0 to 100.0%), PIV-1 (87.5 to 93.8%), PIV-3 (66.7 to 72.2%), and RSV (63.3 to 73.3%); both assays achieved excellent specificities (99.1 to 100.0%) for these five common viruses. The ResPlex II assay detected hMPV in 13 (3.6%) specimens, with a sensitivity of 80.0% and specificity of 99.7%. The ResPlex II assay also differentiated RSV-A and RSV-B and gave positive results for RhV and EnV in 31 (8.6%) and 19 (5.3%) specimens, respectively. PIV-2, PIV-4, and SARS CoV were not detected in the specimens tested. The two systems can process 80 (NGEN) and 96 (ResPlex II) tests per run, with a hands-on time of approximately 60 min and test turnaround times of 6 h (ResPlex II) and 9 h (NGEN). Multiple-panel testing detected an additional unsuspected 9 (3.4%) PIV-1 and 10 (3.7%) PIV-3 infections. While test sensitivities for RSV and PIV-3 need improvement, both the NGEN and ResPlex II assays provide user-friendly and high-throughput tools for simultaneous detection and identification of a panel of common respiratory viral pathogens in a single test format. The multiplex approach enhances diagnosis through detection of respiratory viral etiologic agents in cases in which the presence of the agent was not suspected and a test was not ordered by the clinicians.</t>
  </si>
  <si>
    <t xml:space="preserve">Vanderbilt Univ, Sch Med, Dept Med, Nashville, TN 37232 USA; Vanderbilt Univ, Sch Med, Dept Pathol, Nashville, TN 37232 USA; Vanderbilt Univ, Sch Med, Dept Pediat, Nashville, TN 37232 USA; Vanderbilt Univ, Sch Med, Dept Microbiol &amp; Immunol, Nashville, TN 37232 USA; Ctr Dis Control &amp; Prevent, Div Viral Dis, Resp &amp; Gastroenteritis Viruses Branch, Atlanta, GA 30333 USA</t>
  </si>
  <si>
    <t xml:space="preserve">Vanderbilt University; Vanderbilt University; Vanderbilt University; Vanderbilt University; Centers for Disease Control &amp; Prevention - USA</t>
  </si>
  <si>
    <t xml:space="preserve">Tang, YW (corresponding author), Vanderbilt Univ Sch Med, Mol Infect Dis Lab, 4605 TVC, Nashville, TN 37232 USA.</t>
  </si>
  <si>
    <t xml:space="preserve">yiwei.tang@vanderbilt.edu</t>
  </si>
  <si>
    <t xml:space="preserve">Dare, Ryan/0000-0001-9540-2683</t>
  </si>
  <si>
    <t xml:space="preserve">10.1128/JCM.00210-07</t>
  </si>
  <si>
    <t xml:space="preserve">WOS:000248072900001</t>
  </si>
  <si>
    <t xml:space="preserve">Hanchi, AL; Guennouni, M; Rachidi, M; Benhoumich, T; Bennani, H; Bourrous, M; Maoulainine, FMR; Younous, S; Bouskraoui, M; Soraa, N</t>
  </si>
  <si>
    <t xml:space="preserve">Lamrani Hanchi, Asmae; Guennouni, Morad; Rachidi, Meriem; Benhoumich, Toufik; Bennani, Hind; Bourrous, Mounir; Maoulainine, Fadl Mrabih Rabou; Younous, Said; Bouskraoui, Mohamed; Soraa, Nabila</t>
  </si>
  <si>
    <t xml:space="preserve">Epidemiology of Respiratory Pathogens in Children with Severe Acute Respiratory Infection and Impact of the Multiplex PCR Film Array Respiratory Panel: A 2-Year Study</t>
  </si>
  <si>
    <t xml:space="preserve">INTERNATIONAL JOURNAL OF MICROBIOLOGY</t>
  </si>
  <si>
    <t xml:space="preserve">Human metapneumovirus; Medicine; Respiratory system; Epidemiology; Multiplex polymerase chain reaction</t>
  </si>
  <si>
    <t xml:space="preserve">HUMAN RHINOVIRUS; PNEUMONIA; HOSPITALIZATION; TIME</t>
  </si>
  <si>
    <t xml:space="preserve">Sever acute respiratory infections (SARIs) are a public health issue that are common in children and are associated with an important morbidity and mortality rate worldwide. Although SARI are mainly caused by viruses, they are still a cause of antibiotic overuse. The use of molecular methods especially real-time multiplex PCR allowed to detect a wide range of respiratory viruses and their subtype as well as some atypical bacteria. The aim of this study was to investigate the epidemiology of respiratory pathogens detected in children admitted with SARI and to highlight the role of real-time multiplex PCR in the rapid diagnosis of viral and bacterial SARI. This work is a descriptive observational study from January 2018 to December 2019 including nasopharyngeal secretions collected from 534 children hospitalised in paediatric department. The detection of respiratory viruses and bacteria was performed by the FilmArray (R) Respiratory Panel. A total of 387 (72.5%) children were tested positive for at least one respiratory pathogen, and 23.3% of them were coinfected with more than one pathogen. Viral aetiology was found in 91.2% (n = 340). The most common viruses detected were HRV (n = 201) and RSV (n = 124), followed by PIV (n = 35) influenza A (n = 29) and human metapneumovirus (n = 27). Bacteria was found in 8.8% (n = 47), and Bordetella pertussis was the most detected. Respiratory syncytial virus and Bordetella pertussis were significantly higher in infants less than 6 months old. The detection of RSV and influenza A presented a pic in winter, and HMPV was statistically significant in spring (p&lt;0.01). This study described the epidemiology of respiratory pathogens involved in severe respiratory infections in children that were affected by several factors such as season and age group. It also highlighted the importance of multiplex PCR in confirming viral origin, thus avoiding irrational prescription of antibiotics in paediatric settings.</t>
  </si>
  <si>
    <t xml:space="preserve">[Lamrani Hanchi, Asmae; Rachidi, Meriem; Benhoumich, Toufik; Bennani, Hind; Soraa, Nabila] Cadi Ayyad Univ, Univ Hosp Mohamed VI, Fac Med &amp; Pharm, Lab Microbiol, Marrakech, Morocco; [Guennouni, Morad] Hassan First Univ Settat, Higher Inst Hlth Sci Settat, Lab Hlth Sci &amp; Technol, Settat, Morocco; [Bourrous, Mounir] Cadi Ayyad Univ, Univ Hosp Mohamed VI, Fac Med &amp; Pharm Marrakech, Paediat Emergency Dept, Marrakech, Morocco; [Maoulainine, Fadl Mrabih Rabou] Cadi Ayyad Univ, Univ Hosp Mohamed VI, Neonatal Intens Care Unit Dept, Fac Med &amp; Pharm Marrakech, Marrakech, Morocco; [Younous, Said] Cadi Ayyad Univ, Univ Hosp Mohamed VI, Fac Med &amp; Pharm Marrakech, Paediat Intens Care Unit, Marrakech, Morocco; [Bouskraoui, Mohamed] Cadi Ayyad Univ, Univ Hosp Mohamed VI, Fac Med &amp; Pharm Marrakech, Paediat Dept, Marrakech, Morocco</t>
  </si>
  <si>
    <t xml:space="preserve">Mohammed VI University Hospital Center of Marrakech; Cadi Ayyad University of Marrakech; Hassan First University of Settat; Cadi Ayyad University of Marrakech; Mohammed VI University Hospital Center of Marrakech; Cadi Ayyad University of Marrakech; Mohammed VI University Hospital Center of Marrakech; Mohammed VI University Hospital Center of Marrakech; Cadi Ayyad University of Marrakech; Cadi Ayyad University of Marrakech; Mohammed VI University Hospital Center of Marrakech</t>
  </si>
  <si>
    <t xml:space="preserve">Hanchi, AL (corresponding author), Cadi Ayyad Univ, Univ Hosp Mohamed VI, Fac Med &amp; Pharm, Lab Microbiol, Marrakech, Morocco.</t>
  </si>
  <si>
    <t xml:space="preserve">dr.lamrani.a@gmail.com; morad.guennouni@gmail.com; toubibrachidi@gmail.com; t.benhoumich@gmail.com; dr.hind.bennani@gmail.com; mounirbourrous@yahoo.fr; fadl2020@hotmail.com; anesthesie.marrakech@gmail.com; mo.bouskraoui@uca.ma; drsoraa@gmail.com</t>
  </si>
  <si>
    <t xml:space="preserve">Guennouni, Morad/AAT-8518-2021</t>
  </si>
  <si>
    <t xml:space="preserve">GUENNOUNI, Morad/0000-0002-3963-1366; ucef, FAYCAL/0000-0002-9043-8174</t>
  </si>
  <si>
    <t xml:space="preserve">1687-918X</t>
  </si>
  <si>
    <t xml:space="preserve">1687-9198</t>
  </si>
  <si>
    <t xml:space="preserve">INT J MICROBIOL</t>
  </si>
  <si>
    <t xml:space="preserve">Int. J. Microbiol.</t>
  </si>
  <si>
    <t xml:space="preserve">10.1155/2021/2276261</t>
  </si>
  <si>
    <t xml:space="preserve">YE5IM</t>
  </si>
  <si>
    <t xml:space="preserve">WOS:000741159300001</t>
  </si>
  <si>
    <t xml:space="preserve">Goya, S; Valinotto, LE; Tittarelli, E; Rojo, GL; Jodar, MSN; Greninger, AL; Zaiat, JJ; Marti, MA; Mistchenko, AS; Viegas, M</t>
  </si>
  <si>
    <t xml:space="preserve">Goya, Stephanie; Valinotto, Laura E.; Tittarelli, Estefania; Rojo, Gabriel L.; Nabaes Jodar, Mercedes S.; Greninger, Alexander L.; Zaiat, Jonathan J.; Marti, Marcelo A.; Mistchenko, Alicia S.; Viegas, Mariana</t>
  </si>
  <si>
    <t xml:space="preserve">An optimized methodology for whole genome sequencing of RNA respiratory viruses from nasopharyngeal aspirates</t>
  </si>
  <si>
    <t xml:space="preserve">Genome; Biology; Viral load</t>
  </si>
  <si>
    <t xml:space="preserve">PRIMER-AMPLIFICATION SISPA; IDENTIFICATION; INFECTIONS; DIVERSITY; DISCOVERY</t>
  </si>
  <si>
    <t xml:space="preserve">Over the last decade, the number of viral genome sequences deposited in available databases has grown exponentially. However, sequencing methodology vary widely and many published works have relied on viral enrichment by viral culture or nucleic acid amplification with specific primers rather than through unbiased techniques such as metagenomics. The genome of RNA viruses is highly variable and these enrichment methodologies may be difficult to achieve or may bias the results. In order to obtain genomic sequences of human respiratory syncytial virus (HRSV) from positive nasopharyngeal aspirates diverse methodologies were evaluated and compared. A total of 29 nearly complete and complete viral genomes were obtained. The best performance was achieved with a DNase I treatment to the RNA directly extracted from the nasopharyngeal aspirate (NPA), sequence-independent single-primer amplification (SISPA) and library preparation performed with Nextera XT DNA Library Prep Kit with manual normalization. An average of 633,789 and 1,674,845 filtered reads per library were obtained with MiSeq and NextSeq 500 platforms, respectively. The higher output of NextSeq 500 was accompanied by the increasing of duplicated reads percentage generated during SISPA (from an average of 1.5% duplicated viral reads in MiSeq to an average of 74% in NextSeq 500). HRSV genome recovery was not affected by the presence or absence of duplicated reads but the computational demand during the analysis was increased. Considering that only samples with viral load &gt;= E+06 copies/ml NPA were tested, no correlation between sample viral loads and number of total filtered reads was observed, nor with the mapped viral reads. The HRSV genomes showed a mean coverage of 98.46% with the best methodology. In addition, genomes of human metapneumovirus (HMPV), human rhinovirus (HRV) and human parainfluenza virus types 1-3 (HPIV1-3) were also obtained with the selected optimal methodology.</t>
  </si>
  <si>
    <t xml:space="preserve">[Goya, Stephanie; Valinotto, Laura E.; Tittarelli, Estefania; Rojo, Gabriel L.; Nabaes Jodar, Mercedes S.; Mistchenko, Alicia S.; Viegas, Mariana] Ricardo Gutierrez Childrens Hosp, Buenos Aires, DF, Argentina; [Goya, Stephanie; Valinotto, Laura E.; Tittarelli, Estefania; Zaiat, Jonathan J.; Marti, Marcelo A.; Viegas, Mariana] Consejo Nacl Invest Cient &amp; Tecn, Buenos Aires, DF, Argentina; [Nabaes Jodar, Mercedes S.] Minist Salud Ciudad Buenos Aires, Buenos Aires, DF, Argentina; [Greninger, Alexander L.] Univ Washington, Dept Lab Med, Seattle, WA 98195 USA; [Zaiat, Jonathan J.; Marti, Marcelo A.] Argentine Bioinformat Platform BIA, Buenos Aires, DF, Argentina; [Mistchenko, Alicia S.] CIC, Buenos Aires, DF, Argentina</t>
  </si>
  <si>
    <t xml:space="preserve">University of Buenos Aires; Hospital de Ninos Doctor Ricardo Gutierrez; Instituto Nacional de Saude Dr. Ricardo Jorge; Consejo Nacional de Investigaciones Cientificas y Tecnicas (CONICET); University of Washington; University of Washington Seattle</t>
  </si>
  <si>
    <t xml:space="preserve">Viegas, M (corresponding author), Ricardo Gutierrez Childrens Hosp, Buenos Aires, DF, Argentina.;Viegas, M (corresponding author), Consejo Nacl Invest Cient &amp; Tecn, Buenos Aires, DF, Argentina.</t>
  </si>
  <si>
    <t xml:space="preserve">viegasmariana@conicet.gov.ar</t>
  </si>
  <si>
    <t xml:space="preserve">Goya, Stephanie/AFL-9234-2022; Greninger, Alex/LOR-8084-2024</t>
  </si>
  <si>
    <t xml:space="preserve">Greninger, Alexander/0000-0002-7443-0527; Valinotto, Laura/0000-0001-8723-5483; Goya, Stephanie/0000-0001-7479-3064</t>
  </si>
  <si>
    <t xml:space="preserve">ANPCYT, Ministerio de Ciencia, Tecnologia e Innovacion Productiva de la Nacion, Argentina [PICT3446/14]</t>
  </si>
  <si>
    <t xml:space="preserve">This work was partially supported by ANPCYT, Ministerio de Ciencia, Tecnologia e Innovacion Productiva de la Nacion, Argentina (grant PICT3446/14). The funders had no role in study design, data collection and analysis, decision to publish, or preparation of the manuscript. No additional external funding was received for this study.</t>
  </si>
  <si>
    <t xml:space="preserve">e0199714</t>
  </si>
  <si>
    <t xml:space="preserve">10.1371/journal.pone.0199714</t>
  </si>
  <si>
    <t xml:space="preserve">GK3YY</t>
  </si>
  <si>
    <t xml:space="preserve">WOS:000436088700038</t>
  </si>
  <si>
    <t xml:space="preserve">Lu, RJ; Yu, XY; Wang, W; Duan, XJ; Zhang, LL; Zhou, WM; Xu, J; Xu, LJ; Hu, Q; Lu, JX; Ruan, L; Wang, Z; Tan, WJ</t>
  </si>
  <si>
    <t xml:space="preserve">Lu, Roujian; Yu, Xiaoyan; Wang, Wen; Duan, Xijie; Zhang, Linglin; Zhou, Weimin; Xu, Jin; Xu, Lingjie; Hu, Qin; Lu, Jianxin; Ruan, Li; Wang, Zhong; Tan, Wenjie</t>
  </si>
  <si>
    <t xml:space="preserve">Characterization of Human Coronavirus Etiology in Chinese Adults with Acute Upper Respiratory Tract Infection by Real-Time RT-PCR Assays</t>
  </si>
  <si>
    <t xml:space="preserve">Respiratory tract; Coronavirus; Respiratory tract infections; Etiology; Real-time polymerase chain reaction; Severe acute respiratory syndrome coronavirus 2 (SARS-CoV-2); Virology; Coronavirus disease 2019 (COVID-19); 2019-20 coronavirus outbreak; Medicine; Betacoronavirus; Respiratory system</t>
  </si>
  <si>
    <t xml:space="preserve">HUMAN BOCAVIRUS; CHILDREN; HKU1; ILLNESS; IDENTIFICATION; DIAGNOSIS; VIRUSES; DISEASE; IMPACT; NL63</t>
  </si>
  <si>
    <t xml:space="preserve">Background: In addition to SARS associated coronaviruses, 4 non-SARS related human coronaviruses (HCoVs) are recognized as common respiratory pathogens. The etiology and clinical impact of HCoVs in Chinese adults with acute upper respiratory tract infection (URTI) needs to be characterized systematically by molecular detection with excellent sensitivity. Methodology/Principal Findings: In this study, we detected 4 non-SARS related HCoV species by real-time RT-PCR in 981 nasopharyngeal swabs collected from March 2009 to February 2011. All specimens were also tested for the presence of other common respiratory viruses and newly identified viruses, human metapneumovirus (hMPV) and human bocavirus (HBoV). 157 of the 981 (16.0%) nasopharyngeal swabs were positive for HCoVs. The species detected were 229E (96 cases, 9.8%), OC43 (42 cases, 4.3%), HKU1 (16 cases, 1.6%) and NL63 (11 cases, 1.1%). HCoV-229E was circulated in 21 of the 24 months of surveillance. The detection rates for both OC43 and NL63 were showed significantly year-to-year variation between 2009/10 and 2010/11, respectively (P&lt;0.001 and P = 0.003), and there was a higher detection frequency of HKU1 in patients aged over 60 years (P = 0.03). 48 of 157(30.57%) HCoV positive patients were co-infected. Undifferentiated human rhinoviruses and influenza (Flu) A were the most common viruses detected (more than 35%) in HCoV co-infections. Respiratory syncytial virus (RSV), human parainfluenza virus (PIV) and HBoV were detected in very low rate (less than 1%) among adult patients with URTI. Conclusions/Significance: All 4 non-SARS-associated HCoVs were more frequently detected by real-time RT-PCR assay in adults with URTI in Beijing and HCoV-229E led to the most prevalent infection. Our study also suggested that all non-SARS-associated HCoVs contribute significantly to URTI in adult patients in China.</t>
  </si>
  <si>
    <t xml:space="preserve">[Lu, Roujian; Yu, Xiaoyan; Wang, Wen; Zhang, Linglin; Zhou, Weimin; Hu, Qin; Ruan, Li; Tan, Wenjie] China CDC, Natl Inst Viral Dis Control &amp; Prevent, Beijing, Peoples R China; [Duan, Xijie; Xu, Jin; Xu, Lingjie; Wang, Zhong] Chinese Acad Med Sci, Peking Union Med Coll Hosp, Beijing 100730, Peoples R China; [Yu, Xiaoyan; Hu, Qin; Lu, Jianxin] Wenzhou Med Coll, Minist Educ, Key Lab Lab Med, Zhejiang, Peoples R China; [Yu, Xiaoyan; Hu, Qin; Lu, Jianxin] Wenzhou Med Coll, Inst Med Virol, Zhejiang, Peoples R China</t>
  </si>
  <si>
    <t xml:space="preserve">Chinese Center for Disease Control &amp; Prevention; National Institute for Viral Disease Control &amp; Prevention, Chinese Center for Disease Control &amp; Prevention; Chinese Academy of Medical Sciences - Peking Union Medical College; Peking Union Medical College Hospital; Wenzhou Medical University; Wenzhou Medical University</t>
  </si>
  <si>
    <t xml:space="preserve">Lu, RJ (corresponding author), China CDC, Natl Inst Viral Dis Control &amp; Prevent, Beijing, Peoples R China.</t>
  </si>
  <si>
    <t xml:space="preserve">wangzhong523@vip.163.com; tanwj28@yahoo.cn</t>
  </si>
  <si>
    <t xml:space="preserve">Wang, Zhaohua/JJE-6996-2023; Tan, Wenjie/JOZ-1821-2023; Hu, Qin/JXW-7142-2024</t>
  </si>
  <si>
    <t xml:space="preserve">National Natural Science Foundation of China [81100062]; 973 Program of China [2011CB504704]; Control and Prevention of Major Infectious Diseases Program in China [2011ZX10004-001]; China-Australia Health and HIV/AIDS Facility [CAHHF EID07]</t>
  </si>
  <si>
    <t xml:space="preserve">National Natural Science Foundation of China(National Natural Science Foundation of China (NSFC)); 973 Program of China(National Basic Research Program of China); Control and Prevention of Major Infectious Diseases Program in China; China-Australia Health and HIV/AIDS Facility</t>
  </si>
  <si>
    <t xml:space="preserve">This work was funded by the Project of the National Natural Science Foundation of China (81100062); 973 Program of China (Grant numbers: 2011CB504704); the Control and Prevention of Major Infectious Diseases Program in China (2011ZX10004-001) and China-Australia Health and HIV/AIDS Facility (CAHHF EID07). The funders had no role in study design, data collection and analysis, decision to publish, or preparation of the manuscript.</t>
  </si>
  <si>
    <t xml:space="preserve">e38638</t>
  </si>
  <si>
    <t xml:space="preserve">10.1371/journal.pone.0038638</t>
  </si>
  <si>
    <t xml:space="preserve">959WX</t>
  </si>
  <si>
    <t xml:space="preserve">WOS:000305350000018</t>
  </si>
  <si>
    <t xml:space="preserve">Hammond, SP; Gagne, LS; Stock, SR; Marty, FM; Gelman, RS; Marasco, WA; Poritz, MA; Baden, LR</t>
  </si>
  <si>
    <t xml:space="preserve">Hammond, Sarah P.; Gagne, Lisa S.; Stock, Shannon R.; Marty, Francisco M.; Gelman, Rebecca S.; Marasco, Wayne A.; Poritz, Mark A.; Baden, Lindsey R.</t>
  </si>
  <si>
    <t xml:space="preserve">Respiratory Virus Detection in Immunocompromised Patients with FilmArray Respiratory Panel Compared to Conventional Methods</t>
  </si>
  <si>
    <t xml:space="preserve">Human metapneumovirus; Rhinovirus; Medicine; Respiratory system; Bronchoalveolar lavage</t>
  </si>
  <si>
    <t xml:space="preserve">CELL TRANSPLANT RECIPIENTS; HUMAN METAPNEUMOVIRUS INFECTION; POLYMERASE-CHAIN-REACTION; REAL-TIME PCR; PATHOGENS</t>
  </si>
  <si>
    <t xml:space="preserve">Respiratory virus infections cause significant morbidity and mortality in immunocompromised patients. Timely diagnosis is needed to provide optimal clinical care. Diagnostic tests routinely available at most institutions are limited by poor sensitivity and a slow turnaround time. We collected 90 respiratory samples from 87 immunocompromised patients (56 bronchoalveolar lavage and 34 nasopharyngeal aspirate samples) in order to compare the performance of routine respiratory virus testing available at our institution to the FilmArray respiratory panel assay, a novel diagnostic tool which utilizes multiplex PCR to test for 21 respiratory pathogens with a 1-h turnaround time. Samples with discordant results and 13 samples with concordant results underwent further verification testing by laboratory-developed real-time PCR. The FilmArray assay identified viral pathogens in more samples than did clinical testing (30/90 versus 16/90; McNemar P = 0.001). Most of the additional viral pathogens identified by the FilmArray respiratory panel assay that were confirmed by verification testing were pathogens not assessed by routine clinical tests, including rhinovirus/enterovirus, human metapneumovirus, and coronavirus. The FilmArray respiratory panel assay allowed for increased identification of respiratory viral pathogens in this cohort of immunocompromised patients.</t>
  </si>
  <si>
    <t xml:space="preserve">[Hammond, Sarah P.; Gagne, Lisa S.; Marty, Francisco M.; Baden, Lindsey R.] Brigham &amp; Womens Hosp, Div Infect Dis, Boston, MA 02115 USA; [Hammond, Sarah P.; Stock, Shannon R.; Marty, Francisco M.; Gelman, Rebecca S.; Marasco, Wayne A.; Baden, Lindsey R.] Dana Farber Canc Inst, Boston, MA 02115 USA; [Hammond, Sarah P.; Marty, Francisco M.; Gelman, Rebecca S.; Marasco, Wayne A.; Baden, Lindsey R.] Harvard Univ, Sch Med, Boston, MA USA; [Poritz, Mark A.] Idaho Technol Inc, Salt Lake City, UT USA</t>
  </si>
  <si>
    <t xml:space="preserve">Harvard University; Brigham &amp; Women's Hospital; Harvard University; Dana-Farber Cancer Institute; Harvard University; Harvard Medical School</t>
  </si>
  <si>
    <t xml:space="preserve">Hammond, SP (corresponding author), Brigham &amp; Womens Hosp, Div Infect Dis, 75 Francis St, Boston, MA 02115 USA.</t>
  </si>
  <si>
    <t xml:space="preserve">shammond2@partners.org</t>
  </si>
  <si>
    <t xml:space="preserve">Marty, Francisco/H-7088-2019; Poritz, Mark/AAH-4426-2021</t>
  </si>
  <si>
    <t xml:space="preserve">Marty, Francisco/0000-0002-3708-8734; Hammond, Sarah/0000-0002-4271-7443; Poritz, Mark/0000-0002-5060-0560</t>
  </si>
  <si>
    <t xml:space="preserve">NIH/NIAID [1 R43 AI 082843-01]; Harvard Clinical and Translational Science Center from the NIH/NCRR [1 UL1 RR025758-01]; Harvard Center for AIDS Research from the NIH/NIAID [P30 AI060354-08]</t>
  </si>
  <si>
    <t xml:space="preserve">NIH/NIAID(United States Department of Health &amp; Human ServicesNational Institutes of Health (NIH) - USANIH National Institute of Allergy &amp; Infectious Diseases (NIAID)); Harvard Clinical and Translational Science Center from the NIH/NCRR; Harvard Center for AIDS Research from the NIH/NIAID</t>
  </si>
  <si>
    <t xml:space="preserve">This work was supported by a Small Business Innovation Research grant, 1 R43 AI 082843-01, from the NIH/NIAID, by the Harvard Clinical and Translational Science Center, grant no. 1 UL1 RR025758-01 from the NIH/NCRR, and also by the Harvard Center for AIDS Research, grant P30 AI060354-08 from the NIH/NIAID.</t>
  </si>
  <si>
    <t xml:space="preserve">10.1128/JCM.00538-12</t>
  </si>
  <si>
    <t xml:space="preserve">007DY</t>
  </si>
  <si>
    <t xml:space="preserve">WOS:000308870200011</t>
  </si>
  <si>
    <t xml:space="preserve">Bashir, U; Nisar, N; Arshad, Y; Alam, MM; Ashraf, A; Sadia, H; Kazi, BM; Zaidi, SSZ</t>
  </si>
  <si>
    <t xml:space="preserve">Bashir, Uzma; Nisar, Nadia; Arshad, Yasir; Alam, Muhammad Masroor; Ashraf, Asiya; Sadia, Hajra; Kazi, Birjees Mazher; Zaidi, Syed Sohail Zahoor</t>
  </si>
  <si>
    <t xml:space="preserve">Respiratory syncytial virus and influenza are the key viral pathogens in children &lt;2 years hospitalized with bronchiolitis and pneumonia in Islamabad Pakistan</t>
  </si>
  <si>
    <t xml:space="preserve">Medicine; Bronchiolitis; Pneumonia; rhinorrhea</t>
  </si>
  <si>
    <t xml:space="preserve">POLYMERASE-CHAIN-REACTION; INDOOR AIR-POLLUTION; TRACT INFECTIONS; YOUNG-CHILDREN; HUMAN METAPNEUMOVIRUS; AFRICAN CHILDREN; DEVELOPING-WORLD; WINTER SEASON; ETIOLOGY; EPIDEMIOLOGY</t>
  </si>
  <si>
    <t xml:space="preserve">Pneumonia remains a leading cause of morbidity and mortality in developing countries. Comprehensive surveillance data are needed to review the prevention and control strategies. We conducted active surveillance of acute lower respiratory infections among children aged &lt; 2 years hospitalized at two hospitals of Islamabad, Pakistan. Viral etiology was determined using real-time PCR on respiratory specimens collected during March 2011-April 2012. The overall mean age was 7.83 +/- 5.25 months while no statistical difference between age or sex distribution of patients with positive and negative viral etiology (p &gt; 0.05). The average weight of the study group was 6.1 +/- 2.25 kg. ae1 viral pathogens were detected in 75% cases. Major respiratory viruses included RSV-A: 44%, RSV-B: 23%, Influenza-A: 24.5%, Influenza-B: 7%, Adenovirus: 8.4% and HmPV: 5.2%. A single, dual or multiple viral pathogens were detected in 43%, 27% and 5.2% patients respectively. Common symptoms were cough (95%), apnoea (84%), fever (78%), wheeze (64.5%), nasal congestion (55%) and rhinorrhea (48%). Among the RSV positive cases, 2-6 months age group had highest detection rate for RSV-A (30%, n = 21/69) and RSV-B (20%, n = 14/69) while patients infected with Influenza-A were in 2.1-6 months age group (61%, 23/38). Statistically significant difference was observed between RSV-positive and negative cases for nutrition status (p = 0.001), cigarette/wood smoke exposure (p = 0.001) and concomitant clinical findings. Most patients had successful outcome on combination therapy with bronchodilators, inhaled steroids and antibiotics. Our findings underscore high burden of ALRI in Pakistan. Interventions targeting viral pathogens coupled with improved diagnostic approaches are critical for better prevention and control.</t>
  </si>
  <si>
    <t xml:space="preserve">[Bashir, Uzma; Nisar, Nadia; Arshad, Yasir; Alam, Muhammad Masroor; Ashraf, Asiya; Kazi, Birjees Mazher; Zaidi, Syed Sohail Zahoor] Natl Inst Hlth, Dept Virol, Pk Rd, Islamabad 44000, Pakistan; [Sadia, Hajra] Natl Univ Sci &amp; Technol, Atta Ur Rahman Sch Appl Sci, Islamabad, Pakistan</t>
  </si>
  <si>
    <t xml:space="preserve">National University of Sciences &amp; Technology - Pakistan</t>
  </si>
  <si>
    <t xml:space="preserve">Zaidi, SSZ (corresponding author), Natl Inst Hlth, Dept Virol, Pk Rd, Islamabad 44000, Pakistan.</t>
  </si>
  <si>
    <t xml:space="preserve">zaidis@pak.emro.who.int</t>
  </si>
  <si>
    <t xml:space="preserve">Zaidi, Syed Sohail Zahoor/HLX-0959-2023</t>
  </si>
  <si>
    <t xml:space="preserve">10.1007/s00705-016-3146-7</t>
  </si>
  <si>
    <t xml:space="preserve">EM2ZW</t>
  </si>
  <si>
    <t xml:space="preserve">WOS:000395185300017</t>
  </si>
  <si>
    <t xml:space="preserve">Bezerra, PGM; Britto, MCA; Correia, JB; Duarte, MDMB; Fonceca, AM; Rose, K; Hopkins, MJ; Cuevas, LE; McNamara, PS</t>
  </si>
  <si>
    <t xml:space="preserve">Bezerra, Patricia G. M.; Britto, Murilo C. A.; Correia, Jailson B.; Duarte, Maria do Carmo M. B.; Fonceca, Angela M.; Rose, Katie; Hopkins, Mark J.; Cuevas, Luis E.; McNamara, Paul S.</t>
  </si>
  <si>
    <t xml:space="preserve">Viral and Atypical Bacterial Detection in Acute Respiratory Infection in Children Under Five Years</t>
  </si>
  <si>
    <t xml:space="preserve">Human bocavirus; Bronchiolitis; Mycoplasma pneumoniae; Medicine; Pneumonia; Wheeze; Respiratory tract infections; Croup; Human metapneumovirus; Rhinovirus</t>
  </si>
  <si>
    <t xml:space="preserve">REAL-TIME PCR; SYNCYTIAL VIRUS; HUMAN METAPNEUMOVIRUS; TRACT DISEASE; HUMAN BOCAVIRUS; RISK-FACTORS; PATHOGENS; IDENTIFICATION; BRONCHIOLITIS; SURVEILLANCE</t>
  </si>
  <si>
    <t xml:space="preserve">Background: Acute respiratory infection (ARI) is a leading cause of morbidity and mortality in children worldwide. This study aimed to determine the viral and atypical bacterial causes of different severities and clinical manifestations of ARI in preschool children from low-income families in North-East Brazil. Methods: Clinical/demographic data and nasopharyngeal aspirates (NPA) were prospectively collected from children,5 years presenting with ARI over one year to a paediatric A&amp;E department. Disease severity was grouped according to presence of lower respiratory tract signs, need for hospital admission and need for oxygen. Clinical manifestation of ARI was based on discharge diagnosis from hospital with four conditions predominating: bronchiolitis, pneumonia, episodic viral wheeze/asthma and upper respiratory tract infection. Multiplex PCR was used to detect 17 common respiratory viral and atypical bacterial pathogens in NPA. Findings: 407 children with a median age of eight months were recruited. Pathogens were detected in 85. 5% samples with co-infection being particularly common (39. 5%). Respiratory Syncytial Virus (RSV; 37%), Adenoviruses (AdV; 25%), Rhinoviruses (hRV; 19%), Bocavirus (hBoV; 19%), human Meta-pneumovirus (hMPV; 10%) and Mycoplasma pneumoniae (Mpp; 10%) were most prevalent. Detection and co-infection rates were similar in all severities and clinical manifestations of ARI apart from RSV, which was associated with more severe disease and specifically more severe cases of bronchiolitis, and Mpp, which was associated with more severe cases of pneumonia. Mpp was detected in 17% of children admitted to hospital with pneumonia. Interpretation: This study underlines the importance of viral and atypical bacterial pathogens in ARI in pre-school children and highlights the complex epidemiology of these pathogens in this age group. Generally, viruses and atypical bacteria were detected in all severities and clinical manifestations of ARI but RSV and Mpp were associated with more severe cases of bronchiolitis and pneumonia respectively.</t>
  </si>
  <si>
    <t xml:space="preserve">[Bezerra, Patricia G. M.; Britto, Murilo C. A.; Correia, Jailson B.; Duarte, Maria do Carmo M. B.] Inst Med Integral Prof Fernando Figueira IMIP, Recife, PE, Brazil; [Bezerra, Patricia G. M.; Britto, Murilo C. A.] Fac Pernambucana Saude, Recife, PE, Brazil; [Correia, Jailson B.] Univ Pernambuco, Fac Ciencias Med, Recife, PE, Brazil; [Fonceca, Angela M.; Rose, Katie; McNamara, Paul S.] Univ Liverpool, Dept Child Hlth, Inst Child Hlth, Alder Hey Childrens Hosp, Liverpool L69 3BX, Merseyside, England; [Hopkins, Mark J.] Royal Liverpool Univ Hosp, Liverpool Specialist Virol Ctr, Liverpool, Merseyside, England; [Cuevas, Luis E.] Univ Liverpool, Liverpool Sch Trop Med, Liverpool L3 5QA, Merseyside, England</t>
  </si>
  <si>
    <t xml:space="preserve">Instituto de Medicina Integral Professor Fernando Figueira (IMIP); Universidade de Pernambuco (UPE); Alder Hey Children's NHS Foundation Trust; Alder Hey Children's Hospital; University of Liverpool; University of Liverpool; Royal Liverpool &amp; Broadgreen University Hospitals NHS Trust; Royal Liverpool University Hospital; Liverpool School of Tropical Medicine; University of Liverpool</t>
  </si>
  <si>
    <t xml:space="preserve">Bezerra, PGM (corresponding author), Inst Med Integral Prof Fernando Figueira IMIP, Recife, PE, Brazil.</t>
  </si>
  <si>
    <t xml:space="preserve">Britto, Murilo/AAQ-2951-2020; Correia, Jailson/J-4331-2015; Cuevas, Luis E./I-3697-2015</t>
  </si>
  <si>
    <t xml:space="preserve">Tripp, Ralph/0000-0002-2924-9956; Cuevas, Luis E./0000-0002-6581-0587; McNamara, Paul/0000-0002-7055-6034; Rose, Katie/0000-0002-2348-2036; de Barros Correia, Jailson/0000-0002-0927-2219</t>
  </si>
  <si>
    <t xml:space="preserve">Brazil's National Council for Scientific and Technological Development [479381/2006-2]; IMIP; Wellcome Trust</t>
  </si>
  <si>
    <t xml:space="preserve">Brazil's National Council for Scientific and Technological Development; IMIP; Wellcome Trust(Wellcome Trust)</t>
  </si>
  <si>
    <t xml:space="preserve">Brazil's National Council for Scientific and Technological Development (Grant number 479381/2006-2) and IMIP's Fund for Teaching and Research supported this study. The Wellcome Trust also provided some funding for PMc. The funders had no role in study design, data collection and analysis, decision to publish, or preparation of the manuscript.</t>
  </si>
  <si>
    <t xml:space="preserve">e18928</t>
  </si>
  <si>
    <t xml:space="preserve">10.1371/journal.pone.0018928</t>
  </si>
  <si>
    <t xml:space="preserve">751LS</t>
  </si>
  <si>
    <t xml:space="preserve">WOS:000289620100031</t>
  </si>
  <si>
    <t xml:space="preserve">Huang, GH; Yu, DS; Mao, NY; Zhu, Z; Zhang, H; Jiang, ZY; Li, HY; Zhang, Y; Shi, J; Zhang, S; Wang, XH; Xu, WB</t>
  </si>
  <si>
    <t xml:space="preserve">Huang, Guohong; Yu, Deshan; Mao, Naiying; Zhu, Zhen; Zhang, Hui; Jiang, Zhongyi; Li, Hongyu; Zhang, Yan; Shi, Jing; Zhang, Shuang; Wang, Xinhua; Xu, Wenbo</t>
  </si>
  <si>
    <t xml:space="preserve">Viral Etiology of Acute Respiratory Infection in Gansu Province, China, 2011</t>
  </si>
  <si>
    <t xml:space="preserve">Rhinovirus; Human metapneumovirus; Human bocavirus; Etiology; Virus; Virology; Medicine; Throat</t>
  </si>
  <si>
    <t xml:space="preserve">PCR ASSAY; CHILDREN; DIAGNOSIS; VIRUSES; RHINOVIRUS; INFANTS; DISEASE</t>
  </si>
  <si>
    <t xml:space="preserve">Background: Acute respiratory infections (ARIs) are the leading cause of children and their leading killer. ARIs are responsible for at least six percent of the world's disability and death. Viruses are one of the most common agents causing ARIs. Few studies on the viral etiology and clinical characteristics of ARIs have been performed in the northwest region of China, including Gansu Province. Methods: Clinical and demographic information and throat swabs were collected from 279 patients from January 1st to December 30st, 2011. Multiplex RT-PCR was performed to detect 16 respiratory viral pathogens. Results: 279 patients were admitted for ARIs. The patients aged from 1 month to 12 years, with the median age of 2 years. Of which, 105 (37.6%) were positive for at least one pathogen. A total of 136 respiratory viral pathogens were identified from the 105 patients. Respiratory syncytial virus (RSV) was the most frequently detected pathogen (26.5%, 36/136), followed by parainfluenza virus (PIV) 1-3 (22.1%, 30/136), human rhinovirus (HRV) (21.3%, 29/136), human coronavirus (CoV) (10.3%, 14/136) and human adenovirus (HAdV) (9.6%, 13/136). Influenza A (Flu A), human metapneumovirus (hMPV) and human bocavirus (BoCA) were found 4.4%, 3.7% and 2.2%, respectively. Influenza B (Flu B) and seasonal influenza A H1N1(sH1N1) were not detected. Single-infections were detected in 30.5% (85/279) of cases. RSV was the most common pathogens in patients under 1 year and showed seasonal variation with peaks during winter and spring. Conclusions: This paper presents data on the epidemiology of viral pathogens associated with ARIs among children in Gansu Province, China. RSV is most frequently detected in our study. The findings could serve as a reference for local CDC in drawing up further plans to prevent and control ARIs.</t>
  </si>
  <si>
    <t xml:space="preserve">[Huang, Guohong; Mao, Naiying; Zhu, Zhen; Zhang, Yan; Shi, Jing; Zhang, Shuang; Xu, Wenbo] Chinese Ctr Dis Control &amp; Prevent, Natl Inst Viral Dis Control &amp; Prevent, Key Lab Med Virol, Minist Hlth, Beijing, Peoples R China; [Yu, Deshan; Zhang, Hui; Jiang, Zhongyi; Li, Hongyu; Wang, Xinhua] Gansu Ctr Dis Control &amp; Prevent, Lanzhou, Peoples R China; [Huang, Guohong] Xinjiang Med Univ, Urumqi, Peoples R China</t>
  </si>
  <si>
    <t xml:space="preserve">Chinese Center for Disease Control &amp; Prevention; National Institute for Viral Disease Control &amp; Prevention, Chinese Center for Disease Control &amp; Prevention; Xinjiang Medical University</t>
  </si>
  <si>
    <t xml:space="preserve">Wang, XH (corresponding author), Gansu Ctr Dis Control &amp; Prevent, Lanzhou, Peoples R China.</t>
  </si>
  <si>
    <t xml:space="preserve">wangxinhua1964@163.com; wenbo_xu1@yahoo.com.cn</t>
  </si>
  <si>
    <t xml:space="preserve">National Infectious Diseases Surveillance Program [2012ZX10004201, 2012ZX10004202, 20121004-208]</t>
  </si>
  <si>
    <t xml:space="preserve">National Infectious Diseases Surveillance Program</t>
  </si>
  <si>
    <t xml:space="preserve">This work was supported by the National Infectious Diseases Surveillance Program (2012ZX10004201, 2012ZX10004202, and 20121004-208). The funders had no role in study design, data collection and analysis, decision to publish, or preparation of the manuscript.</t>
  </si>
  <si>
    <t xml:space="preserve">e64254</t>
  </si>
  <si>
    <t xml:space="preserve">10.1371/journal.pone.0064254</t>
  </si>
  <si>
    <t xml:space="preserve">146RE</t>
  </si>
  <si>
    <t xml:space="preserve">WOS:000319107400111</t>
  </si>
  <si>
    <t xml:space="preserve">Meissner, HC</t>
  </si>
  <si>
    <t xml:space="preserve">Reducing the impact of viral respiratory infections in children</t>
  </si>
  <si>
    <t xml:space="preserve">PEDIATRIC CLINICS OF NORTH AMERICA</t>
  </si>
  <si>
    <t xml:space="preserve">Medicine; Epidemiology; Respiratory tract infections; Respiratory tract; Virus; Disease; Virology</t>
  </si>
  <si>
    <t xml:space="preserve">SYNCYTIAL VIRUS-INFECTION; OTHERWISE HEALTHY INFANTS; HUMAN METAPNEUMOVIRUS; YOUNG-CHILDREN; PALIVIZUMAB PROPHYLAXIS; MONOCLONAL-ANTIBODY; INFLUENZA-VIRUS; CLINICAL IMPACT; RISK-FACTORS; US CHILDREN</t>
  </si>
  <si>
    <t xml:space="preserve">This article reviews the epidemiology and clinical aspects of the major viral causes of upper and lower respiratory tract disease in children. Particular emphasis is placed on prevention and control of viral disease through the use of vaccines and antiviral agents. Evolution of new viral pathogens, such as avian influenza virus and the SARS-CoV, are discussed.</t>
  </si>
  <si>
    <t xml:space="preserve">Tufts Univ, Sch Med, Div Pediat Infect Dis, Tufts New England Med Ctr, Boston, MA 02111 USA</t>
  </si>
  <si>
    <t xml:space="preserve">Tufts Medical Center; Tufts University</t>
  </si>
  <si>
    <t xml:space="preserve">Tufts Univ, Sch Med, Div Pediat Infect Dis, Tufts New England Med Ctr, 750 Washington St 321, Boston, MA 02111 USA.</t>
  </si>
  <si>
    <t xml:space="preserve">cmeissner@tufts-nemc.org</t>
  </si>
  <si>
    <t xml:space="preserve">0031-3955</t>
  </si>
  <si>
    <t xml:space="preserve">1557-8240</t>
  </si>
  <si>
    <t xml:space="preserve">PEDIATR CLIN N AM</t>
  </si>
  <si>
    <t xml:space="preserve">Pediatr. Clin. N. Am.</t>
  </si>
  <si>
    <t xml:space="preserve">10.1016/j.pcl.2005.02.010</t>
  </si>
  <si>
    <t xml:space="preserve">940TB</t>
  </si>
  <si>
    <t xml:space="preserve">WOS:000230166000003</t>
  </si>
  <si>
    <t xml:space="preserve">Hasman, H; Pachucki, CT; Unal, A; Nguyen, D; Devlin, T; Peeples, ME; Kwilas, SA</t>
  </si>
  <si>
    <t xml:space="preserve">Hasman, Hatice; Pachucki, Constance T.; Unal, Arife; Nguyen, Diep; Devlin, Troy; Peeples, Mark E.; Kwilas, Steven A.</t>
  </si>
  <si>
    <t xml:space="preserve">Aetiology of influenza-like illness in adults includes parainfluenzavirus type 4</t>
  </si>
  <si>
    <t xml:space="preserve">Etiology</t>
  </si>
  <si>
    <t xml:space="preserve">RESPIRATORY-SYNCYTIAL-VIRUS; REVERSE TRANSCRIPTION PCR; CLINICAL-SAMPLES; HUMAN METAPNEUMOVIRUS; INFECTIONS; IDENTIFICATION; DIAGNOSIS; ASSAYS; YOUNG</t>
  </si>
  <si>
    <t xml:space="preserve">Influenza viruses cause significant morbidity and mortality in adults each winter. At the same time, other respiratory viruses circulate and cause respiratory illness with influenza-like symptoms. Human respiratory syncytial virus (HRSV), human parainfluenza viruses (HPIV) and human metapneumovirus have all been associated with morbidity and mortality in adults, including nosocomial infections. This study evaluated 154 respiratory specimens collected from adults with influenza-like/acute respiratory illness (ILI) seen at the Edward Hines Jr VA Hospital, Hines, IL, USA, during two successive winters, 1998-1999 and 1999-2000. The samples were tested for ten viruses in two nested multiplex RT-PCRs. One to three respiratory viruses were detected in 68% of the samples. As expected, influenza A virus (FLU-A) infections were most common (50% of the samples), followed by HRSV-A (16%). Surprisingly, HPIV-4 infections (5.8%) were the third most prevalent. Mixed infections were also relatively common (11%). When present, HPIV infections were approximately three times more likely to be included in a mixed infection than FLU-A or HRSV. Mixed infections and HPIV-4 are likely to be missed using rapid diagnostic tests. This study confirms that ILI in adults and the elderly can be caused by HRSV and HPIVs, including HPIV-4, which co-circulate with FLU-A.</t>
  </si>
  <si>
    <t xml:space="preserve">[Hasman, Hatice; Peeples, Mark E.] Rush Univ, Coll Med, Dept Immunol &amp; Microbiol, Chicago, IL 60612 USA; [Hasman, Hatice] Sisli Etfal Training &amp; Res Hosp, Dept Infect Dis &amp; Clin Microbiol, Istanbul, Turkey; [Pachucki, Constance T.] US Dept Vet Affairs, Vet Affairs Edward Hines Jr Hosp, Dept Med, Infect Dis Sect, Hines, IL 60141 USA; [Nguyen, Diep; Devlin, Troy] Rush Univ, Coll Hlth Sci, Dept Med Technol, Chicago, IL 60612 USA; [Peeples, Mark E.; Kwilas, Steven A.] Rush Univ, Grad Coll, Div Immunol, Chicago, IL 60612 USA; [Unal, Arife; Peeples, Mark E.; Kwilas, Steven A.] Ohio State Univ, Nationwide Childrens Hosp, Coll Med, Sect Vaccines &amp; Immun,Res Inst,Dept Pediat, Columbus, OH 43205 USA</t>
  </si>
  <si>
    <t xml:space="preserve">Rush University; Istanbul Sisli Hamidiye Etfal Training &amp; Research Hospital; US Department of Veterans Affairs; Veterans Health Administration (VHA); Edward Hines Jr. VA Hospital; Rush University; Rush University; University System of Ohio; Ohio State University; Nationwide Childrens Hospital; Research Institute at Nationwide Children's Hospital</t>
  </si>
  <si>
    <t xml:space="preserve">Peeples, ME (corresponding author), Rush Univ, Coll Med, Dept Immunol &amp; Microbiol, 1653 W Congress Pkwy, Chicago, IL 60612 USA.</t>
  </si>
  <si>
    <t xml:space="preserve">mark.peeples@nationwidechildrens.org</t>
  </si>
  <si>
    <t xml:space="preserve">National Institutes of Health (NIH), USA [A1047213]</t>
  </si>
  <si>
    <t xml:space="preserve">National Institutes of Health (NIH), USA(United States Department of Health &amp; Human ServicesNational Institutes of Health (NIH) - USA)</t>
  </si>
  <si>
    <t xml:space="preserve">We thank the Clinical Microbiology Laboratory at the Rush University Medical Center; Richard Compans, Peter Collins, Robert Lamb, Guy Boivin and Dean Erdman for the standard viruses; Barbara Newton, Stephanie Downing and Anumeha Gupta for their excellent technical help; Doug Salamon and Amy Leber for helpful discussions; and Mayte Coiras for helpful discussions and reagents. This work was supported by National Institutes of Health (NIH), USA, grant A1047213.</t>
  </si>
  <si>
    <t xml:space="preserve">10.1099/jmm.0.006098-0</t>
  </si>
  <si>
    <t xml:space="preserve">429GJ</t>
  </si>
  <si>
    <t xml:space="preserve">WOS:000264908600004</t>
  </si>
  <si>
    <t xml:space="preserve">Tang, JW; Lam, TT; Zaraket, H; Lipkin, WI; Drews, SJ; Hatchette, TF; Heraud, JM; Koopmans, MP</t>
  </si>
  <si>
    <t xml:space="preserve">Tang, Julian W.; Lam, Tommy T.; Zaraket, Hassan; Lipkin, W. Ian; Drews, Steven J.; Hatchette, Todd F.; Heraud, Jean-Michel; Koopmans, Marion P.</t>
  </si>
  <si>
    <t xml:space="preserve">INSPIRE Investigators</t>
  </si>
  <si>
    <t xml:space="preserve">Global epidemiology of non-influenza RNA respiratory viruses: data gaps and a growing need for surveillance</t>
  </si>
  <si>
    <t xml:space="preserve">LANCET INFECTIOUS DISEASES</t>
  </si>
  <si>
    <t xml:space="preserve">Epidemiology; Virology; Respiratory system</t>
  </si>
  <si>
    <t xml:space="preserve">HUMAN METAPNEUMOVIRUS INFECTION; SYNCYTIAL VIRUS; PARAINFLUENZA VIRUS; FUSION PROTEIN; HOSPITALIZED CHILDREN; MONOCLONAL-ANTIBODY; HUMAN RHINOVIRUSES; OLDER-ADULTS; HONG-KONG; VACCINE</t>
  </si>
  <si>
    <t xml:space="preserve">Together with influenza, the non-influenza RNA respiratory viruses (NIRVs), which include respiratory syncytial virus, parainfluenza viruses, coronavirus, rhinovirus, and human metapneumovirus, represent a considerable global health burden, as recognised by WHO's Battle against Respiratory Viruses initiative. By contrast with influenza viruses, little is known about the contemporaneous global diversity of these viruses, and the relevance of such for development of pharmaceutical interventions. Although far less advanced than for influenza, antiviral drugs and vaccines are in different stages of development for several of these viruses, but no interventions have been licensed. This scarcity of global genetic data represents a substantial knowledge gap and impediment to the eventual licensing of new antiviral drugs and vaccines for NIRVs. Enhanced genetic surveillance will assist and boost research and development into new antiviral drugs and vaccines for these viruses. Additionally, understanding the global diversity of respiratory viruses is also part of emerging disease preparedness, because non-human coronaviruses and paramyxoviruses have been listed as priority concerns in a recent WHO research and development blueprint initiative for emerging infectious diseases. In this Personal View, we explain further the rationale for expanding the genetic database of NIRVs and emphasise the need for greater investment in this area of research.</t>
  </si>
  <si>
    <t xml:space="preserve">[Tang, Julian W.] Univ Hosp Leicester NHS Trust, Clin Microbiol, Leicester Royal Infirm, Level 5, Leicester LE1 5WW, Leics, England; [Tang, Julian W.] Univ Leicester, Dept Infect Inflammat &amp; Immun, Leicester, Leics, England; [Lam, Tommy T.] Univ Hong Kong, Sch Publ Hlth, Hong Kong, Hong Kong, Peoples R China; [Zaraket, Hassan] Amer Univ Beirut, Dept Expt Pathol Immunol &amp; Microbiol, Beirut, Lebanon; [Lipkin, W. Ian] Columbia Univ, Mailman Sch Publ Hlth, New York, NY USA; [Drews, Steven J.] Univ Alberta, Alberta Prov Lab Publ Hlth, Edmonton, AB, Canada; [Hatchette, Todd F.] Dalhousie Univ, Dept Microbiol &amp; Immunol, Halifax, NS, Canada; [Heraud, Jean-Michel] Inst Pasteur Madagascar, Virol Unit, Antananarivo, Madagascar; [Koopmans, Marion P.] Erasmus MC, Dept Virosci, Rotterdam, Netherlands</t>
  </si>
  <si>
    <t xml:space="preserve">University of Leicester; University Hospitals of Leicester NHS Trust; University of Leicester; University of Hong Kong; American University of Beirut; Columbia University; University of Alberta; Dalhousie University; Pasteur Network; Institut Pasteur Madagascar; Erasmus University Rotterdam; Erasmus MC</t>
  </si>
  <si>
    <t xml:space="preserve">Tang, JW (corresponding author), Univ Hosp Leicester NHS Trust, Clin Microbiol, Leicester Royal Infirm, Level 5, Leicester LE1 5WW, Leics, England.</t>
  </si>
  <si>
    <t xml:space="preserve">jwtang49@hotmail.com</t>
  </si>
  <si>
    <t xml:space="preserve">Koopmans, Marion/Y-9170-2019; , Julian W Tang/H-2348-2014; Lipkin, W./ABE-6216-2020; Cowling, Benjamin/C-4263-2009; HERAUD, Jean-Michel/O-1464-2013; Cohen, Cheryl/HKV-1000-2023; Lam, Tsan Yuk/D-4837-2012; Fouchier, Ron/A-1911-2014</t>
  </si>
  <si>
    <t xml:space="preserve">Bialasiewicz, Seweryn/0000-0001-9474-6943; Zaraket, Hassan/0000-0003-3807-6409; Hatchette, Todd/0000-0002-5377-2528; TREURNICHT, FLORETTE KATHLEEN/0000-0002-0853-8011; Abraham, Asha/0000-0002-0736-1445; Lipkin, W. Ian/0000-0002-8768-9386; Lutwama, Julius Julian/0000-0002-3210-722X; Koopmans, Marion/0000-0002-5204-2312; Marchant, David J./0009-0007-1783-0448; Pinsky, Benjamin/0000-0001-8751-4810; Cowling, Benjamin/0000-0002-6297-7154; HERAUD, Jean-Michel/0000-0003-1107-0859; Khanani, Rafiq/0000-0002-5787-2366; Cohen, Cheryl/0000-0003-0376-2302; Rughooputh, Sanjiv/0000-0001-7147-7007; Lam, Tsan Yuk/0000-0002-9769-1527; Tang, Julian/0000-0002-4963-1028; Nymadawa, Pagbajabyn/0000-0002-3189-2772; Fouchier, Ron/0000-0001-8095-2869</t>
  </si>
  <si>
    <t xml:space="preserve">NCIRD CDC HHS [U01 IP001048] Funding Source: Medline</t>
  </si>
  <si>
    <t xml:space="preserve">NCIRD CDC HHS</t>
  </si>
  <si>
    <t xml:space="preserve">1473-3099</t>
  </si>
  <si>
    <t xml:space="preserve">1474-4457</t>
  </si>
  <si>
    <t xml:space="preserve">LANCET INFECT DIS</t>
  </si>
  <si>
    <t xml:space="preserve">Lancet Infect. Dis.</t>
  </si>
  <si>
    <t xml:space="preserve">E320</t>
  </si>
  <si>
    <t xml:space="preserve">E326</t>
  </si>
  <si>
    <t xml:space="preserve">10.1016/S1473-3099(17)30238-4</t>
  </si>
  <si>
    <t xml:space="preserve">FH5NI</t>
  </si>
  <si>
    <t xml:space="preserve">WOS:000411213600002</t>
  </si>
  <si>
    <t xml:space="preserve">Ogimi, C; Xie, H; Waghmare, A; Jerome, KR; Leisenring, WM; Oshima, MU; Carpenter, PA; Englund, JA; Boeckh, M</t>
  </si>
  <si>
    <t xml:space="preserve">Ogimi, Chikara; Xie, Hu; Waghmare, Alpana; Jerome, Keith R.; Leisenring, Wendy M.; Oshima, Masumi Ueda; Carpenter, Paul A.; Englund, Janet A.; Boeckh, Michael</t>
  </si>
  <si>
    <t xml:space="preserve">Novel factors to predict respiratory viral disease progression in allogeneic hematopoietic cell transplant recipients</t>
  </si>
  <si>
    <t xml:space="preserve">Medicine; Hematopoietic cell; Immunology; Respiratory system; Hematopoietic stem cell transplantation</t>
  </si>
  <si>
    <t xml:space="preserve">HUMAN METAPNEUMOVIRUS; PARAINFLUENZA VIRUS; ANTIVIRAL THERAPY; INFECTIONS; OUTCOMES; TRACT; RHINOVIRUS; GUIDELINES; DIAGNOSIS; SEVERITY</t>
  </si>
  <si>
    <t xml:space="preserve">We assessed novel factors and the immunodeficiency scoring index (ISI) to predict progression to lower respiratory tract infection (LRTI) among hematopoietic cell transplant (HCT) recipients presenting with upper respiratory tract infection (URTI) with 12 viruses in the PCR era. We retrospectively analyzed the first respiratory virus detected by multiplex PCR in allogeneic HCT recipients (4/2008-9/2018). We used Cox proportional hazards models to examine factors for progression to LRTI within 90 days among patients presenting with URTI. A total of 1027 patients (216 children and 811 adults) presented with URTI only. Among these, 189 (18%) progressed to LRTI (median: 12 days). Multivariable models demonstrated a history of &gt;1 transplant, age &gt;= 40 years, time post-HCT (&lt;= 30 days), systemic steroids, hypoalbuminemia, hyperglycemia, cytopenia, and high ISI (scores 7-12) were associated with an increased risk of progression to LRTI. Respiratory syncytial virus and human metapneumovirus showed the highest progression risk. Patients with &gt;= 3 independent risk factors or high ISI scores were highly likely to progress to LRTI. We identified novel risk factors for progression to LRTI, including history of multiple transplants and hyperglycemia, suggesting an intervention opportunity with glycemic control. ISI and number of risk factors appear to predict disease progression across several viruses.</t>
  </si>
  <si>
    <t xml:space="preserve">[Ogimi, Chikara; Waghmare, Alpana; Englund, Janet A.] Seattle Childrens Hosp, Pediat Infect Dis Div, Seattle, WA 98105 USA; [Ogimi, Chikara; Waghmare, Alpana; Carpenter, Paul A.; Englund, Janet A.] Univ Washington, Dept Pediat, Seattle, WA 98195 USA; [Ogimi, Chikara; Waghmare, Alpana; Jerome, Keith R.; Boeckh, Michael] Fred Hutchinson Canc Res Ctr, Vaccine &amp; Infect Dis Div, 1124 Columbia St, Seattle, WA 98104 USA; [Xie, Hu; Leisenring, Wendy M.; Oshima, Masumi Ueda; Carpenter, Paul A.; Boeckh, Michael] Fred Hutchinson Canc Res Ctr, Clin Res Div, 1124 Columbia St, Seattle, WA 98104 USA; [Jerome, Keith R.] Univ Washington, Dept Lab Med &amp; Pathol, Seattle, WA 98195 USA; [Oshima, Masumi Ueda] Univ Washington, Div Med Oncol, Seattle, WA 98195 USA; [Carpenter, Paul A.] Seattle Childrens Hosp, Pediat Hematol Oncol, Seattle, WA USA; [Boeckh, Michael] Univ Washington, Dept Med, Seattle, WA USA; [Ogimi, Chikara] Natl Ctr Child Hlth &amp; Dev, Pediat Infect Dis, Tokyo, Japan</t>
  </si>
  <si>
    <t xml:space="preserve">Seattle Children's Hospital; University of Washington; University of Washington Seattle; Fred Hutchinson Cancer Center; Fred Hutchinson Cancer Center; University of Washington; University of Washington Seattle; University of Washington; University of Washington Seattle; Seattle Children's Hospital; University of Washington; University of Washington Seattle; National Center for Child Health &amp; Development - Japan</t>
  </si>
  <si>
    <t xml:space="preserve">Ogimi, C (corresponding author), Seattle Childrens Hosp, Pediat Infect Dis Div, Seattle, WA 98105 USA.;Ogimi, C (corresponding author), Univ Washington, Dept Pediat, Seattle, WA 98195 USA.;Ogimi, C (corresponding author), Fred Hutchinson Canc Res Ctr, Vaccine &amp; Infect Dis Div, 1124 Columbia St, Seattle, WA 98104 USA.;Ogimi, C (corresponding author), Natl Ctr Child Hlth &amp; Dev, Pediat Infect Dis, Tokyo, Japan.</t>
  </si>
  <si>
    <t xml:space="preserve">Englund, Janet/ABV-6379-2022; Boeckh, Michael/AAA-1607-2022; Ogimi, Chikara/ABD-5632-2020</t>
  </si>
  <si>
    <t xml:space="preserve">Waghmare, Alpana/0000-0003-2268-9470; Leisenring, Wendy/0000-0001-7405-0906; Jerome, Keith/0000-0002-8212-3789; Ueda Oshima, Masumi/0000-0003-2277-1976; OGIMI, CHIKARA/0000-0002-2166-8152</t>
  </si>
  <si>
    <t xml:space="preserve">National Institutes of Health [K23AI139385, R01HL081595, K24HL093294, CA18029, CA15704]; Fred Hutchinson Cancer Research Center Vaccine and Infectious Disease Division; (Seattle Children's Research Institute Clinical Research Scholars Program Award); National Cancer Institute [P01CA018029] Funding Source: NIH RePORTER; National Institute of Allergy and Infectious Diseases [K23AI139385] Funding Source: NIH RePORTER</t>
  </si>
  <si>
    <t xml:space="preserve">National Institutes of Health(United States Department of Health &amp; Human ServicesNational Institutes of Health (NIH) - USA); Fred Hutchinson Cancer Research Center Vaccine and Infectious Disease Division; (Seattle Children's Research Institute Clinical Research Scholars Program Award); National Cancer Institute(United States Department of Health &amp; Human ServicesNational Institutes of Health (NIH) - USANIH National Cancer Institute (NCI)); National Institute of Allergy and Infectious Diseases(United States Department of Health &amp; Human ServicesNational Institutes of Health (NIH) - USANIH National Institute of Allergy &amp; Infectious Diseases (NIAID))</t>
  </si>
  <si>
    <t xml:space="preserve">This work was supported by the National Institutes of Health (grant numbers K23AI139385 to CO, R01HL081595, and K24HL093294 to MB, CA18029 to WL, clinical database, CA15704 to HX); the Fred Hutchinson Cancer Research Center Vaccine and Infectious Disease Division (biorepository); Seattle Children's Research Institute Clinical Research Scholars Program Award) to CO.</t>
  </si>
  <si>
    <t xml:space="preserve">10.1038/s41409-022-01575-z</t>
  </si>
  <si>
    <t xml:space="preserve">0J7VU</t>
  </si>
  <si>
    <t xml:space="preserve">WOS:000757536000002</t>
  </si>
  <si>
    <t xml:space="preserve">Mizuta, K; Abiko, C; Aoki, Y; Suto, A; Hoshina, H; Itagaki, T; Katsushima, N; Matsuzaki, Y; Hongo, S; Noda, M; Kimura, H; Ootani, K</t>
  </si>
  <si>
    <t xml:space="preserve">Mizuta, Katsumi; Abiko, Chieko; Aoki, Yoko; Suto, Asuka; Hoshina, Hitoshi; Itagaki, Tsutomu; Katsushima, Noriko; Matsuzaki, Yoko; Hongo, Seiji; Noda, Masahiro; Kimura, Hirokazu; Ootani, Katsumi</t>
  </si>
  <si>
    <t xml:space="preserve">Analysis of monthly isolation of respiratory viruses from children by cell culture using a microplate method: a two-year study from 2004 to 2005 in Yamagata, Japan</t>
  </si>
  <si>
    <t xml:space="preserve">POLYMERASE-CHAIN-REACTION; PARAINFLUENZA VIRUS; HUMAN METAPNEUMOVIRUS; TRACT INFECTIONS; SYNCYTIAL-VIRUS; COMMON COLD; PCR ASSAY; ADENOVIRUS; DIAGNOSIS; COMMUNITY</t>
  </si>
  <si>
    <t xml:space="preserve">Although well over 200 viral agents have been implicated in acute respiratory infections (ARIs) among children, no system able to detect such a wide range of viruses has been established. Between January 2004 and December 2005, a modified microplate method, including HEF, HEp-2, Vero E6, MDCK, RD-18S, and GMK cell lines (HHVe6MRG plate), was adopted to isolate viruses. A total of 1,551 viruses were isolated, representing both outbreaks and sporadic cases, from 4,107 nasopharyngeal specimens, at monthly isolation rates of 22.3 to 52.6%. Influenza, parainfluenza, respiratory syncytial (RS), and mumps viruses, and human metapneumovirus, enterovirus, parechovirus, rhinovirus, adenovirus, herpesvirus, and cytomegalovirus were all isolated. The use of multiple cell lines increased the isolation rates of most of these viruses. The findings showed that ARIs due to a number of respiratory viruses occurred across all seasons in succession and/or concurrently in children in the community. These data will help clinicians determine in which seasons and for which age groups they should use the rapid diagnostic test kits available for influenza virus, RS virus, and adenovirus. In conclusion, we verified that the modified microplate method was able to clarify the etiology and epidemiology of numerous viruses isolated from children with ARI.</t>
  </si>
  <si>
    <t xml:space="preserve">[Mizuta, Katsumi; Abiko, Chieko; Aoki, Yoko; Suto, Asuka; Hoshina, Hitoshi; Ootani, Katsumi] Yamagata Prefectural Inst Publ Hlth, Dept Microbiol, Yamagata 9900031, Japan; [Katsushima, Noriko] Katsushima Pediat Clin, Yamagata 9902461, Japan; [Itagaki, Tsutomu] Yamanobe Pediat Clin, Yamagata 9900301, Japan; [Matsuzaki, Yoko; Hongo, Seiji] Yamagata Univ, Fac Med, Dept Infect Dis, Yamagata 9909585, Japan; [Noda, Masahiro] Natl Inst Infect Dis, Dept Virol 3, Tokyo 2080011, Japan; [Kimura, Hirokazu] Natl Inst Infect Dis, Infect Dis Surveillance Ctr, Tokyo 2080011, Japan</t>
  </si>
  <si>
    <t xml:space="preserve">Yamagata University; National Institute of Infectious Diseases (NIID); National Institute of Infectious Diseases (NIID)</t>
  </si>
  <si>
    <t xml:space="preserve">mizutak@pref.yamagata.p</t>
  </si>
  <si>
    <t xml:space="preserve">308KV</t>
  </si>
  <si>
    <t xml:space="preserve">WOS:000256389800006</t>
  </si>
  <si>
    <t xml:space="preserve">Esposito, S; Bosis, S; Niesters, HGM; Tremolati, E; Sabatini, C; Porta, A; Fossali, E; Osterhaus, ADME; Principi, N</t>
  </si>
  <si>
    <t xml:space="preserve">Esposito, Susanna; Bosis, Samantha; Niesters, Hubert G. M.; Tremolati, Elena; Sabatini, Caterina; Porta, Alessandro; Fossali, Emilio; Osterhaus, Albert D. M. E.; Principi, Nicola</t>
  </si>
  <si>
    <t xml:space="preserve">Impact of human bocavirus on children and their families</t>
  </si>
  <si>
    <t xml:space="preserve">Human bocavirus; Human metapneumovirus; Rhinovirus; Medicine; Virology; Metapneumovirus</t>
  </si>
  <si>
    <t xml:space="preserve">REAL-TIME PCR; RESPIRATORY SYNCYTIAL VIRUS; CORONAVIRUS HKU1; YOUNG-CHILDREN; EPIDEMIOLOGIC PROFILE; HUMAN METAPNEUMOVIRUS; FREQUENT DETECTION; HEALTHY-CHILDREN; INFECTION; INFLUENZA</t>
  </si>
  <si>
    <t xml:space="preserve">This study was planned to investigate the prevalence and clinical features of the illnesses associated with human bocavirus (hBoV) in children with acute disease. We prospectively enrolled all subjects aged less than 15 years attending an emergency room in Milan, Italy, on Wednesdays and Sundays between I November 2004 and 31 March 2005 for any acute medical reason, excluding surgical diseases and trauma. Nasopharyngeal swabs were collected at admission to detect hBoV; influenza A and B viruses; respiratory syncytial virus; human metapneumovirus; parainfluenza viruses 1, 2, 3, and 4; rhinovirus; adenovirus; and coronaviruses 229E, OC43, NL63, and HKU1 by real-time PCR. Among the 1,332 enrolled children, hBoV was the fifth most frequently detected virus (7.4%). The rate of hBoV coinfections with other viruses was significantly higher than for the other viruses (50.5% versus 27.5%; P &lt; 0.0001). Eighty-nine of the 99 hBoV-positive children (89.9%) had a respiratory tract infection, and 10 (10.1%) had gastroenteritis. hBoV coinfections had a significantly greater clinical and socioeconomic impact on the infected children and their households than hBoV infection alone. In conclusion, these findings show that the role of hBoV infection alone seems marginal in children attending an emergency room for acute disease; its clinical and socioeconomic importance becomes relevant only when it is associated with other viruses.</t>
  </si>
  <si>
    <t xml:space="preserve">[Esposito, Susanna; Bosis, Samantha; Tremolati, Elena; Sabatini, Caterina; Porta, Alessandro; Principi, Nicola] Univ Milan, Inst Pediat, Fdn IRCCS Osped Maggiore Policlin, I-20122 Milan, Italy; [Niesters, Hubert G. M.; Osterhaus, Albert D. M. E.] Univ Med Ctr, Dept Virol, Rotterdam, Netherlands; [Fossali, Emilio] Fdn IRCCS Osped Maggiore Policlin, Pediat Emergency Unit, Milan, Italy</t>
  </si>
  <si>
    <t xml:space="preserve">University of Milan; IRCCS Ca Granda Ospedale Maggiore Policlinico; IRCCS Ca Granda Ospedale Maggiore Policlinico</t>
  </si>
  <si>
    <t xml:space="preserve">Principi, N (corresponding author), Univ Milan, Inst Pediat, Fdn IRCCS Osped Maggiore Policlin, Via Commenda 9, I-20122 Milan, Italy.</t>
  </si>
  <si>
    <t xml:space="preserve">Esposito, Susanna/AAA-8275-2022; Bert, Niesters/AAH-6808-2019; Fossali, Emilio/K-2200-2015; Bosis, Samantha/K-2754-2016; Esposito, Susanna/K-3475-2016</t>
  </si>
  <si>
    <t xml:space="preserve">Fossali, Emilio/0000-0002-3197-062X; Osterhaus, Albert/0000-0002-6074-1172; Bosis, Samantha/0000-0003-2288-2633; Esposito, Susanna/0000-0003-4103-2837; Niesters, Hubert/0000-0002-1758-0430</t>
  </si>
  <si>
    <t xml:space="preserve">10.1128/JCM.02160-07</t>
  </si>
  <si>
    <t xml:space="preserve">WOS:000254866400027</t>
  </si>
  <si>
    <t xml:space="preserve">Carroll, KC; Adams, LL</t>
  </si>
  <si>
    <t xml:space="preserve">Carroll, Karen C.; Adams, La'tonzia L.</t>
  </si>
  <si>
    <t xml:space="preserve">Lower Respiratory Tract Infections</t>
  </si>
  <si>
    <t xml:space="preserve">Etiology; Epidemiology; Intensive care medicine; Respiratory tract infections; Antiretroviral therapy; Medicine; Immunology; Respiratory tract; Human immunodeficiency virus (HIV)</t>
  </si>
  <si>
    <t xml:space="preserve">PNEUMOCYSTIS-CARINII-PNEUMONIA; COMMUNITY-ACQUIRED PNEUMONIA; OPEN LUNG-BIOPSY; HUMAN METAPNEUMOVIRUS INFECTION; BRONCHOALVEOLAR LAVAGE FLUID; STEM-CELL TRANSPLANTATION; POLYMERASE-CHAIN-REACTION; URINARY ANTIGEN TEST; PULMONARY INFECTIONS; INDUCED SPUTUM</t>
  </si>
  <si>
    <t xml:space="preserve">This review will focus on the infectious etiologies and more common noninfectious causes of lower respiratory tract syndromes among major immunosuppressed populations. The changing epidemiology of infections in the era of highly active antiretroviral therapy (HAART) in the case of HIV-positive patients and the impacts of both newer immune-suppressant therapies and anti-infective prophylaxis for other immunocompromised hosts will be discussed, with emphasis on diagnostic approaches and practice algorithms.</t>
  </si>
  <si>
    <t xml:space="preserve">[Carroll, Karen C.] Johns Hopkins Univ Hosp, Div Med Microbiol, Baltimore, MD 21287 USA; [Adams, La'tonzia L.] VA Portland Hlth Care Syst, Pathol &amp; Lab Med, Portland, OR 97239 USA</t>
  </si>
  <si>
    <t xml:space="preserve">Johns Hopkins University; Johns Hopkins Medicine; US Department of Veterans Affairs; Veterans Health Administration (VHA); VA Portland Health Care System</t>
  </si>
  <si>
    <t xml:space="preserve">Carroll, KC (corresponding author), Johns Hopkins Univ Hosp, Div Med Microbiol, Baltimore, MD 21287 USA.</t>
  </si>
  <si>
    <t xml:space="preserve">kcarrol7@jhmi.edu</t>
  </si>
  <si>
    <t xml:space="preserve">BD Diagnostics Inc.; Accelerate Diagnostics Inc.; Curetis Inc.; Abbott Molecular</t>
  </si>
  <si>
    <t xml:space="preserve">K.C. declares the following conflict of interest: scientific advisory board of Quidel Inc., research support paid to her institution BD Diagnostics Inc., Accelerate Diagnostics Inc., Curetis Inc., Abbott Molecular.</t>
  </si>
  <si>
    <t xml:space="preserve">DMIH2-0029-2016</t>
  </si>
  <si>
    <t xml:space="preserve">10.1128/microbiolspec.DMIH2-0029-2016</t>
  </si>
  <si>
    <t xml:space="preserve">DT9GI</t>
  </si>
  <si>
    <t xml:space="preserve">WOS:000381804000018</t>
  </si>
  <si>
    <t xml:space="preserve">Bhuyan, GS; Hossain, MA; Sarker, SK; Rahat, A; Islam, MT; Haque, TN; Begum, N; Qadri, SK; Muraduzzaman, AKM; Islam, NN; Islam, MS; Sultana, N; Jony, MHK; Khanam, F; Mowla, G; Matin, A; Begum, F; Shirin, T; Ahmed, D; Saha, N; Qadri, F; Mannoor, K</t>
  </si>
  <si>
    <t xml:space="preserve">Bhuyan, Golam Sarower; Hossain, Mohammad Amir; Sarker, Suprovath Kumar; Rahat, Asifuzzaman; Islam, Md Tarikul; Haque, Tanjina Noor; Begum, Noorjahan; Qadri, Syeda Kashfi; Muraduzzaman, A. K. M.; Islam, Nafisa Nawal; Islam, Mohammad Sazzadul; Sultana, Nusrat; Jony, Manjur Hossain Khan; Khanam, Farhana; Mowla, Golam; Matin, Abdul; Begum, Firoza; Shirin, Tahmina; Ahmed, Dilruba; Saha, Narayan; Qadri, Firdausi; Mannoor, Kaiissar</t>
  </si>
  <si>
    <t xml:space="preserve">Bacterial and viral pathogen spectra of acute respiratory infections in under-5 children in hospital settings in Dhaka city</t>
  </si>
  <si>
    <t xml:space="preserve">Streptococcus pneumoniae; Microbiology; Pathogen; Haemophilus influenzae; Rhinovirus; Coinfection; Virology; Biology</t>
  </si>
  <si>
    <t xml:space="preserve">COMMUNITY-ACQUIRED PNEUMONIA; HUMAN METAPNEUMOVIRUS INFECTION; SYNCYTIAL VIRUS-INFECTION; CLINICAL CHARACTERISTICS; TRACT INFECTIONS; HUMAN BOCAVIRUS; INFANTS; EPIDEMIOLOGY; ETIOLOGY; IMPACT</t>
  </si>
  <si>
    <t xml:space="preserve">The study aimed to examine for the first time the spectra of viral and bacterial pathogens along with the antibiotic susceptibility of the isolated bacteria in under-5 children with acute respiratory infections (ARIs) in hospital settings of Dhaka, Bangladesh. Nasal swabs were collected from 200 under-five children hospitalized with clinical signs of ARIs. Nasal swabs from 30 asymptomatic children were also collected. Screening of viral pathogens targeted ten respiratory viruses using RT-qPCR. Bacterial pathogens were identified by bacteriological culture methods and antimicrobial susceptibility of the isolates was determined following CLSI guidelines. About 82.5% (n = 165) of specimens were positive for pathogens. Of 165 infected cases, 3% (n = 6) had only single bacterial pathogens, whereas 43.5% (n = 87) cases had only single viral pathogens. The remaining 36% (n = 72) cases had coinfections. In symptomatic cases, human rhinovirus was detected as the predominant virus (31.5%), followed by RSV (31%), HMPV (13%), HBoV (11%), HPIV-3 (10.5%), and adenovirus (7%). Streptococcus pneumoniae was the most frequently isolated bacterial pathogen (9%), whereas Klebsiella pneumaniae, Streptococcus spp., Enterobacter agglomerans, and Haemophilus influenzae were 5.5%, 5%, 2%, and 1.5%, respectively. Of 15 multidrug-resistant bacteria, a Klebsiella pneumoniae isolate and an Enterobacter agglomerans isolate exhibited resistance against more than 10 different antibiotics. Both ARI incidence and predominant pathogen detection rates were higher during post-monsoon and winter, peaking in September. Pathogen detection rates and coinfection incidence in less than 1-year group were significantly higher (P = 0.0034 and 0.049, respectively) than in 1-5 years age group. Pathogen detection rate (43%) in asymptomatic cases was significantly lower compared to symptomatic group (P&lt; 0.0001). Human rhinovirus, HPIV-3, adenovirus, Streptococcus pneumonia, and Klebsiella pneumaniae had significant involvement in coinfections with P values of 0.0001, 0.009 and 0.0001, 0.0001 and 0.001 respectively. Further investigations are required to better understand the clinical roles of the isolated pathogens and their seasonality.</t>
  </si>
  <si>
    <t xml:space="preserve">[Bhuyan, Golam Sarower; Hossain, Mohammad Amir; Rahat, Asifuzzaman; Haque, Tanjina Noor; Islam, Mohammad Sazzadul; Sultana, Nusrat; Qadri, Firdausi; Mannoor, Kaiissar] Inst Dev Sci &amp; Hlth Initiat, Infect Dis Lab, Dhaka, Bangladesh; [Sarker, Suprovath Kumar; Islam, Md Tarikul; Begum, Noorjahan; Islam, Nafisa Nawal; Mannoor, Kaiissar] Inst Dev Sci &amp; Hlth Initiat, Genet &amp; Genom Lab, Dhaka, Bangladesh; [Qadri, Syeda Kashfi] KK Womens &amp; Childrens Hosp, Dept Paediat Med, Singapore, Singapore; [Muraduzzaman, A. K. M.; Jony, Manjur Hossain Khan; Shirin, Tahmina] Inst Epidemiol Dis Control &amp; Res, Dept Virol, Dhaka, Bangladesh; [Jony, Manjur Hossain Khan] Mymensingh Med Coll, Dept Virol, Dhaka, Bangladesh; [Khanam, Farhana; Ahmed, Dilruba; Qadri, Firdausi] Int Ctr Diarrhoeal Dis Res, Infect Dis Div, Dept Enter &amp; Resp Infect Dis, Dhaka, Bangladesh; [Mowla, Golam] Suhrawardy Med Coll Hosp, Dept Pediat, Dhaka, Bangladesh; [Matin, Abdul] Dhaka Med Coll Hosp, Dept Child Hlth, Dhaka, Bangladesh; [Begum, Firoza] Bangabandhu Sheikh Mujib Med Univ, Dept Obstet &amp; Gynecol, Dhaka, Bangladesh; [Saha, Narayan] Natl Inst Neurosci &amp; Hosp, Pediat Neurol, Dhaka, Bangladesh</t>
  </si>
  <si>
    <t xml:space="preserve">KK Women's &amp; Children's Hospital; Mymensingh Medical College; International Centre for Diarrhoeal Disease Research (ICDDR); Dhaka Medical College; Bangabandhu Sheikh Mujib Medical University (BSMMU)</t>
  </si>
  <si>
    <t xml:space="preserve">Mannoor, K (corresponding author), Inst Dev Sci &amp; Hlth Initiat, Infect Dis Lab, Dhaka, Bangladesh.;Mannoor, K (corresponding author), Inst Dev Sci &amp; Hlth Initiat, Genet &amp; Genom Lab, Dhaka, Bangladesh.</t>
  </si>
  <si>
    <t xml:space="preserve">kaiissar@ideshi.org</t>
  </si>
  <si>
    <t xml:space="preserve">Matin, Abdul/GQH-8528-2022; Qadri, Firdausi/AAF-4583-2019; Begum, Feroza/HMO-9392-2023; Al, Mamun/AAF-5850-2019; Islam, Md Tarikul/HMU-9166-2023</t>
  </si>
  <si>
    <t xml:space="preserve">Shirin, Tahmina/0000-0002-5061-3783; Islam, Nafisa Nawal/0000-0001-6136-4025; Bhuyan, Golam Sarower/0000-0003-0472-0040; Ahmed, Dilruba/0000-0001-8961-2406; Muraduzzaman, A K M/0000-0002-3757-3027; Islam, Md Tarikul/0000-0003-2822-245X</t>
  </si>
  <si>
    <t xml:space="preserve">e0174488</t>
  </si>
  <si>
    <t xml:space="preserve">10.1371/journal.pone.0174488</t>
  </si>
  <si>
    <t xml:space="preserve">ER9VD</t>
  </si>
  <si>
    <t xml:space="preserve">WOS:000399174300051</t>
  </si>
  <si>
    <t xml:space="preserve">Kumar, R; Dar, L; Amarchand, R; Saha, S; Lafond, KE; Purakayastha, DR; Kumar, R; Choudekar, A; Gopal, G; Dhakad, S; Narayan, VV; Wahi, A; Chhokar, R; Lindstrom, S; Whitaker, B; Choudhary, A; Dey, AB; Krishnan, A</t>
  </si>
  <si>
    <t xml:space="preserve">Kumar, Rakesh; Dar, Lalit; Amarchand, Ritvik; Saha, Siddhartha; Lafond, Kathryn E.; Purakayastha, Debjani R.; Kumar, Ramesh; Choudekar, Avinash; Gopal, Giridara; Dhakad, Shivram; Narayan, Venkatesh Vinayak; Wahi, Abhishek; Chhokar, Reshmi; Lindstrom, Stephen; Whitaker, Brett; Choudhary, Aashish; Dey, A. B.; Krishnan, Anand</t>
  </si>
  <si>
    <t xml:space="preserve">Incidence, risk factors, and viral etiology of community-acquired acute lower respiratory tract infection among older adults in rural north India</t>
  </si>
  <si>
    <t xml:space="preserve">Etiology; Incidence (geometry); Medicine; Respiratory tract infections; Respiratory tract</t>
  </si>
  <si>
    <t xml:space="preserve">PNEUMONIA; BURDEN; HOSPITALIZATION</t>
  </si>
  <si>
    <t xml:space="preserve">Background There are limited data on incidence, risk factors and etiology of acute lower respiratory tract infection (LRTI) among older adults in low- and middle-income countries. Methods We established a cohort of community dwelling older adults &gt;= 60 years and conducted weekly follow-up for acute respiratory infections (ARI) during 2015-2017. Nurses assessed ARI cases for LRTI, collecting combined nasal/throat swabs from all LRTI cases and an equal number of age- and sex-matched asymptomatic neighbourhood controls. Swabs were tested for influenza viruses, respiratory syncytial virus (RSV), human metapneumovirus (hMPV), and parainfluenza viruses (PIV) using polymerase chain reaction. LRTI and virus-specific LRTI incidence was calculated per 1000 person-years. We estimated adjusted incidence rate ratios (IRR) for risk factors using Poisson regression and calculated etiologic fractions (EF) using adjusted odds ratios for detection of viral pathogens in LRTI cases vs controls. Results We followed 1403 older adults for 2441 person-years. LRTI and LRTI-associated hospitalization incidences were 248.3 (95% confidence interval (CI) = 229.3-268.8) and 12.7 (95% CI = 8.9-18.1) per 1000 person-years. Persons with pre-existing chronic bronchitis as compared to those without (incidence rate ratio (IRR) = 4.7, 95% CI = 3.9-5.6); aged 65-74 years (IRR = 1.6, 95% CI = 1.3-2.0) and =75 years (IRR = 1.8, 95% CI = 1.4-2.4) as compared to 60-64 years; and persons in poorest wealth quintile (IRR = 1.4, 95% CI = 1.1-1.8) as compared to those in wealthiest quintile were at higher risk for LRTI. Virus was detected in 10.1% of LRTI cases, most commonly influenza (3.8%) and RSV (3.0%). EF for RSV and influenza virus was 83.9% and 83.6%, respectively. Conclusion In this rural cohort of older adults, the incidence of LRTI was substantial. Chronic bronchitis was an important risk factor; influenza virus and RSV were major viral pathogens.</t>
  </si>
  <si>
    <t xml:space="preserve">[Kumar, Rakesh; Dar, Lalit; Amarchand, Ritvik; Purakayastha, Debjani R.; Kumar, Ramesh; Choudekar, Avinash; Gopal, Giridara; Dhakad, Shivram; Wahi, Abhishek; Chhokar, Reshmi; Choudhary, Aashish; Dey, A. B.; Krishnan, Anand] All India Inst Med Sci, New Delhi, India; [Saha, Siddhartha; Narayan, Venkatesh Vinayak] Ctr Dis Control &amp; Prevent, Influenza Div, India Country Off, New Delhi, India; [Lafond, Kathryn E.; Lindstrom, Stephen; Whitaker, Brett] Ctr Dis Control &amp; Prevent, Atlanta, GA USA</t>
  </si>
  <si>
    <t xml:space="preserve">All India Institute of Medical Sciences (AIIMS) New Delhi; Centers for Disease Control &amp; Prevention - USA</t>
  </si>
  <si>
    <t xml:space="preserve">Kumar, R (corresponding author), All India Inst Med Sci, Ctr Community Med, Room 27,Old OT Block, New Delhi, India.</t>
  </si>
  <si>
    <t xml:space="preserve">dr.rakesh3105@gmail.com</t>
  </si>
  <si>
    <t xml:space="preserve">Kumar Sinha, Ranjeet/AAY-1094-2021; IGU, Ramesh Kumar/ABF-8049-2021; Choudekar, Avinash/M-2682-2019; Krishnan, Anand/D-8537-2012</t>
  </si>
  <si>
    <t xml:space="preserve">Ram Purakayastha, Debjani/0000-0003-0120-7612; Krishnan, Anand/0000-0002-9173-7811; Saha, Siddhartha/0000-0002-7494-267X</t>
  </si>
  <si>
    <t xml:space="preserve">US CDC; AIIMS [5U01IP000492]</t>
  </si>
  <si>
    <t xml:space="preserve">US CDC(United States Department of Health &amp; Human ServicesCenters for Disease Control &amp; Prevention - USA); AIIMS</t>
  </si>
  <si>
    <t xml:space="preserve">The study was funded by US CDC through a co-operative agreement with AIIMS. [5U01IP000492].</t>
  </si>
  <si>
    <t xml:space="preserve">10.7189/jogh.11.04027</t>
  </si>
  <si>
    <t xml:space="preserve">UK7GG</t>
  </si>
  <si>
    <t xml:space="preserve">WOS:000692133800027</t>
  </si>
  <si>
    <t xml:space="preserve">Ljubin-Sternak, S; Marijan, T; Ivkovic-Jurekovic, I; Cepin-Bogovic, J; Gagro, A; Vranes, J</t>
  </si>
  <si>
    <t xml:space="preserve">Ljubin-Sternak, Suncanica; Marijan, Tatjana; Ivkovic-Jurekovic, Irena; Cepin-Bogovic, Jasna; Gagro, Alenka; Vranes, Jasmina</t>
  </si>
  <si>
    <t xml:space="preserve">Etiology and Clinical Characteristics of Single and Multiple Respiratory Virus Infections Diagnosed in Croatian Children in Two Respiratory Seasons</t>
  </si>
  <si>
    <t xml:space="preserve">JOURNAL OF PATHOGENS</t>
  </si>
  <si>
    <t xml:space="preserve">Rhinovirus; Virus; Human metapneumovirus; Human bocavirus; Coinfection; Virology; Etiology; Medicine</t>
  </si>
  <si>
    <t xml:space="preserve">HUMAN BOCAVIRUS; VIRAL-INFECTIONS; SYNCYTIAL VIRUS; HUMAN METAPNEUMOVIRUS; PCR; OUTBREAKS; INFANTS; DISEASE</t>
  </si>
  <si>
    <t xml:space="preserve">The aim of this study was to determine the causative agent of acute respiratory infection (ARI) in hospitalized children, as well as investigate the characteristics of ARIs with single and multiple virus detection in two respiratory seasons. In 2010 and 2015, nasopharyngeal and pharyngeal swabs from a total of 134 children, admitted to the hospital due to ARI, were tested usingmultiplex PCR. Viral etiology was established in 81.3% of the patients. Coinfection with two viruses was diagnosed in 27.6% of the patients, and concurrent detection of three or more viruses was diagnosed in 12.8% of the patients. The most commonly diagnosed virus in both seasons combined was respiratory syncytial virus (RSV) (28.6%), followed by parainfluenza viruses (PIVs) types 1-3 (18.4%), rhinovirus (HRV) (14.3%), human metapneumovirus (10.1%), adenovirus (AdV) (7.1%), influenza viruses types A and B (4.8%), and coronaviruses (4.2%). In 2015, additional pathogens were investigated with the following detection rate: enterovirus (13.2%), bocavirus (HBoV) (10.5%), PIV-4 (2.6%), and parechovirus (1.3%). There were no statistical differences between single andmultiple virus infection regarding patients age, localization of infection, and severity of disease (P &gt; 0.05). AdV, HRV, HBoV, and PIVs were significantly more often detected in multiple virus infections compared to the other respiratory viruses (P &lt; 0.001).</t>
  </si>
  <si>
    <t xml:space="preserve">[Ljubin-Sternak, Suncanica; Vranes, Jasmina] Univ Zagreb, Sch Med, Dept Med Microbiol, Zagreb, Croatia; [Ljubin-Sternak, Suncanica; Marijan, Tatjana; Vranes, Jasmina] Teaching Inst Publ Hlth Dr Andrija Stampar, Dept Clin Microbiol, Zagreb, Croatia; [Ivkovic-Jurekovic, Irena; Cepin-Bogovic, Jasna; Gagro, Alenka] Childrens Hosp Zagreb, Dept Pulmonol Allergy Immunol &amp; Rheumatol, Zagreb, Croatia; [Ivkovic-Jurekovic, Irena] Univ Osijek, Fac Med, Dept Pediat, Osijek, Croatia</t>
  </si>
  <si>
    <t xml:space="preserve">Ljubin-Sternak, S (corresponding author), Univ Zagreb, Sch Med, Dept Med Microbiol, Zagreb, Croatia.;Ljubin-Sternak, S (corresponding author), Teaching Inst Publ Hlth Dr Andrija Stampar, Dept Clin Microbiol, Zagreb, Croatia.</t>
  </si>
  <si>
    <t xml:space="preserve">Ivkovic-Jurekovic, Irena/GNH-3203-2022</t>
  </si>
  <si>
    <t xml:space="preserve">Ivkovic-Jurekovic, Irena/0000-0001-5024-7149; Ljubin-Sternak, Suncanica/0000-0002-6405-6922</t>
  </si>
  <si>
    <t xml:space="preserve">Zagreb University [BM075]</t>
  </si>
  <si>
    <t xml:space="preserve">Zagreb University</t>
  </si>
  <si>
    <t xml:space="preserve">The research was partially supported by Zagreb University Grant to Suncanica Ljubin-Sternak (no. BM075) for academic year 2015. The authors thank Matea Kvaternik Celjak for technical assistance.</t>
  </si>
  <si>
    <t xml:space="preserve">2090-3057</t>
  </si>
  <si>
    <t xml:space="preserve">2090-3065</t>
  </si>
  <si>
    <t xml:space="preserve">J PATHOG</t>
  </si>
  <si>
    <t xml:space="preserve">J. Pathog.</t>
  </si>
  <si>
    <t xml:space="preserve">UNSP 2168780</t>
  </si>
  <si>
    <t xml:space="preserve">10.1155/2016/2168780</t>
  </si>
  <si>
    <t xml:space="preserve">DV7BZ</t>
  </si>
  <si>
    <t xml:space="preserve">gold, Green Accepted, Green Published, Green Submitted</t>
  </si>
  <si>
    <t xml:space="preserve">WOS:000383092400001</t>
  </si>
  <si>
    <t xml:space="preserve">Erickson, JJ; Gilchuk, P; Hastings, AK; Tollefson, SJ; Johnson, M; Downing, MB; Boyd, KL; Johnson, JE; Kim, AS; Joyce, S; Williams, JV</t>
  </si>
  <si>
    <t xml:space="preserve">Erickson, John J.; Gilchuk, Pavlo; Hastings, Andrew K.; Tollefson, Sharon J.; Johnson, Monika; Downing, Melissa B.; Boyd, Kelli L.; Johnson, Joyce E.; Kim, Annette S.; Joyce, Sebastian; Williams, John V.</t>
  </si>
  <si>
    <t xml:space="preserve">Viral acute lower respiratory infections impair CD8+ T cells through PD-1</t>
  </si>
  <si>
    <t xml:space="preserve">JOURNAL OF CLINICAL INVESTIGATION</t>
  </si>
  <si>
    <t xml:space="preserve">Human metapneumovirus; Immunology; Virus; Influenza A virus; Virology; Cytotoxic T cell</t>
  </si>
  <si>
    <t xml:space="preserve">SYNCYTIAL VIRUS-INFECTION; AIRWAY EPITHELIAL-CELLS; PROGRAMMED DEATH-1; HUMAN METAPNEUMOVIRUS; DENDRITIC CELLS; IN-VIVO; FUNCTIONAL IMPAIRMENT; PROTECTIVE IMMUNITY; EFFECTOR ACTIVITY; PEPTIDE EXCHANGE</t>
  </si>
  <si>
    <t xml:space="preserve">Viruses are leading causes of severe acute lower respiratory infections (LRIs). These infections evoke incomplete immunity, as individuals can be repeatedly reinfected throughout life. We report that acute viral LRI causes rapid pulmonary CD8(+) cytotoxic T lymphocyte (T-CD8) functional impairment via programmed death-1/ programmed death ligand-1 (PD-1/PD-L1) signaling, a pathway previously associated with prolonged antigenic stimulation during chronic infections and cancer. PD-1-mediated T-CD8 impairment occurred acutely in mice following infection with human metapneumovirus or influenza virus. Viral antigen was sufficient for PD-1 upregulation, but induction of PD-L1 was required for impairment. During secondary viral infection or epitope-only challenge, memory T-CD8 rapidly reexpressed PD-1 and exhibited severe functional impairment. Inhibition of PD-1 signaling using monoclonal antibody blockade prevented T-CD8 impairment, reduced viral titers during primary infection, and enhanced protection of immunized mice against challenge infection. Additionally, PD-1 and PD-L1 were upregulated in the lungs of patients with 2009 H1N1 influenza virus, respiratory syncytial virus, or parainfluenza virus infection. These results indicate that PD-1 mediates T-CD8 functional impairment during acute viral infection and may contribute to recurrent viral LRIs. Therefore, the PD-1/PD-L1 pathway may represent a therapeutic target in the treatment of respiratory viruses.</t>
  </si>
  <si>
    <t xml:space="preserve">[Erickson, John J.; Gilchuk, Pavlo; Hastings, Andrew K.; Johnson, Monika; Downing, Melissa B.; Boyd, Kelli L.; Johnson, Joyce E.; Kim, Annette S.; Joyce, Sebastian; Williams, John V.] Vanderbilt Univ, Sch Med, Dept Pathol Microbiol &amp; Immunol, Nashville, TN 37212 USA; [Tollefson, Sharon J.; Williams, John V.] Vanderbilt Univ, Sch Med, Dept Pediat, Nashville, TN 37212 USA</t>
  </si>
  <si>
    <t xml:space="preserve">Williams, JV (corresponding author), 1161 21st Ave S,D-7235 MCN, Nashville, TN 37232 USA.</t>
  </si>
  <si>
    <t xml:space="preserve">JOYCE, Sebastian/0000-0002-3183-1451; Erickson, John/0000-0001-6189-9302; Johnson, Joyce/0000-0002-3680-4372; Williams, John/0000-0001-8377-5175</t>
  </si>
  <si>
    <t xml:space="preserve">Vanderbilt Ingram Cancer Center [P30 CA68485]; Vanderbilt Digestive Disease Research Center [DK058404]; Vanderbilt CTSA from from the National Center for Research Resources (NCRR)/NIH [UL1 RR024975-01]; [A1085062]; [A1082417]; [A1040079]; [AI042286]; [HL054977]; [GM007347]</t>
  </si>
  <si>
    <t xml:space="preserve">Vanderbilt Ingram Cancer Center; Vanderbilt Digestive Disease Research Center; Vanderbilt CTSA from from the National Center for Research Resources (NCRR)/NIH; ; ; ; ; ;</t>
  </si>
  <si>
    <t xml:space="preserve">We thank D. Flaherty, B. Matlock, and K. Weller at the Vanderbilt Flow Cytometry Shared Resource and M. Rock and S. Yoder at the Vanderbilt Immunology Core for providing technical support and assistance with development of flow cytometry reagents. We also thank A. Sette, F. Lemonnier, and T. Honjo for providing mice used in these studies and J. McCullers for providing influenza virus strain HK/x31. This work was supported by A1085062 (to J.V. Williams), A1082417 (to J.V. Williams), A1040079 (to S. Joyce), AI042286 (to S. Joyce), HL054977 (to S. Joyce), and GM007347 for the Vanderbilt Medical Scientist Training Program (to J.J. Erickson). The VMC Flow Cytometry Shared Resource is supported by the Vanderbilt Ingram Cancer Center (P30 CA68485) and the Vanderbilt Digestive Disease Research Center (DK058404). This work was supported in part by Vanderbilt CTSA grant UL1 RR024975-01 from the National Center for Research Resources (NCRR)/NIH.</t>
  </si>
  <si>
    <t xml:space="preserve">AMER SOC CLINICAL INVESTIGATION INC</t>
  </si>
  <si>
    <t xml:space="preserve">ANN ARBOR</t>
  </si>
  <si>
    <t xml:space="preserve">35 RESEARCH DR, STE 300, ANN ARBOR, MI 48103 USA</t>
  </si>
  <si>
    <t xml:space="preserve">0021-9738</t>
  </si>
  <si>
    <t xml:space="preserve">J CLIN INVEST</t>
  </si>
  <si>
    <t xml:space="preserve">J. Clin. Invest.</t>
  </si>
  <si>
    <t xml:space="preserve">10.1172/JCI62860</t>
  </si>
  <si>
    <t xml:space="preserve">983OM</t>
  </si>
  <si>
    <t xml:space="preserve">WOS:000307128600032</t>
  </si>
  <si>
    <t xml:space="preserve">Samransamruajkit, R; Hiranrat, T; Chieochansin, T; Sritippayawan, S; Deerojanawong, J; Prapphal, N; Poovorawan, Y</t>
  </si>
  <si>
    <t xml:space="preserve">Samransamruajkit, R.; Hiranrat, T.; Chieochansin, T.; Sritippayawan, S.; Deerojanawong, J.; Prapphal, N.; Poovorawan, Y.</t>
  </si>
  <si>
    <t xml:space="preserve">Prevalence, Clinical Presentations and Complications among Hospitalized Children with Influenza Pneumonia</t>
  </si>
  <si>
    <t xml:space="preserve">COMMUNITY-ACQUIRED PNEUMONIA; RESPIRATORY-TRACT INFECTIONS; HUMAN METAPNEUMOVIRUS; SYNCYTIAL VIRUS; INFANTS; ETIOLOGY; BURDEN</t>
  </si>
  <si>
    <t xml:space="preserve">Viral respiratory tract infections are a major cause of hospitalization in children. Influenza is common but often not laboratory proven. We report a prospective study of children admitted with a clinical diagnosis of pneumonia. Infants and children (ages 1 month-15 years) who were hospitalized with community-acquired pneumonia were enrolled in the study. Their nasopharyngeal aspirated samples were analyzed for common respiratory viruses, including influenza virus, by reverse transcription-polymerase chain reaction (RTPCR) or PCR. Out of 257 patients, we identified 127 (49.4%) cases with respiratory viruses, and influenza was found in 32 of these cases (12.5%). Other common respiratory viruses included respiratory syncytial virus in 42 (16.3%), human metapneumovirus in 24 (9.3%), adenovirus in 17 (6.6%) and parainfluenza virus in 12 (4.7%). The median age of the influenza group was 2 years and 3 months, and 27 (84%) of children in this group were under the age of 5. Asthma was the most common co-morbidity (4/32, 12.5%). Common clinical presentations were fever and cough (100%) with crepitations (90%). The median length of hospitalization was 6 days. Three patients developed respiratory failure, with one mortality (3.1%). One child developed infection-associated hemophagocytic syndrome. Our study demonstrated that young children had a high risk of hospitalization due to influenza pneumonia, which contributed to a significant morbidity.</t>
  </si>
  <si>
    <t xml:space="preserve">[Samransamruajkit, R.; Chieochansin, T.; Sritippayawan, S.; Deerojanawong, J.; Prapphal, N.] Chulalongkorn Univ, Pediat Pulm &amp; Crit Care Div, Bangkok, Thailand; [Chieochansin, T.; Poovorawan, Y.] Chulalongkorn Univ, Fac Med, Dept Pediat, Ctr Excellence Clin Virol, Bangkok 10330, Thailand</t>
  </si>
  <si>
    <t xml:space="preserve">Samransamruajkit, R (corresponding author), King Chulalongkorn Mem Hosp, Dept Pediat, Div Pediat Pulm &amp; Crit Care, Bangkok 10330, Thailand.</t>
  </si>
  <si>
    <t xml:space="preserve">Rujsam@hotmail.com</t>
  </si>
  <si>
    <t xml:space="preserve">deerojanawong, jitladda/V-9585-2019; Chieochansin, Thaweesak/JLL-1038-2023; ภู่วรวรรณ, ศนพ.ยง/GZK-8615-2022; Samransamruajkit, Rujipat/V-7046-2019</t>
  </si>
  <si>
    <t xml:space="preserve">Thailand Research Fund; Senior Research Scholar Fund; National Research Council of Thailand &amp; Center for Excellence Research in Clinical Virology Fund</t>
  </si>
  <si>
    <t xml:space="preserve">Thailand Research Fund(Thailand Research Fund (TRF)); Senior Research Scholar Fund; National Research Council of Thailand &amp; Center for Excellence Research in Clinical Virology Fund(National Research Council of Thailand (NRCT))</t>
  </si>
  <si>
    <t xml:space="preserve">This study was supported by the Thailand Research Fund, the Senior Research Scholar Fund and the National Research Council of Thailand &amp; Center for Excellence Research in Clinical Virology Fund.The authors would like to thank the staff of the Center of Excellence for Clinical Virology (King Chulalongkorn Memorial Hospital), the staff of Pediatric Pulmonary and Critical Care and all pediatric pulmonary fellows as well as pediatric residents who have made this study possible. We are also in dept to Professor Henry Wilde and Mr. Steven Nelson for editing this manuscript.</t>
  </si>
  <si>
    <t xml:space="preserve">WOS:000261391700005</t>
  </si>
  <si>
    <t xml:space="preserve">Chen, J; Lai, XY; Song, YL; Su, X</t>
  </si>
  <si>
    <t xml:space="preserve">Chen, Jie; Lai, Xiaoyun; Song, Yuanlin; Su, Xiao</t>
  </si>
  <si>
    <t xml:space="preserve">Neuroimmune recognition and regulation in therespiratory system</t>
  </si>
  <si>
    <t xml:space="preserve">EUROPEAN RESPIRATORY REVIEW</t>
  </si>
  <si>
    <t xml:space="preserve">Respiratory system; Medicine; Respiratory tract; Neuroscience; Nervous system</t>
  </si>
  <si>
    <t xml:space="preserve">CENTRAL-NERVOUS-SYSTEM; INNATE IMMUNE-RESPONSE; SENSORY NEURONS; HUMAN METAPNEUMOVIRUS; ALLERGIC AIRWAY; T-CELLS; LUNG; BRAIN; INFECTION; INFLAMMATION</t>
  </si>
  <si>
    <t xml:space="preserve">Neuroimmune recognition and regulation in the respiratory system is a complex and highly coordinatedprocess involving interactions between the nervous and immune systems to detect and respond topathogens, pollutants and other potential hazards in the respiratory tract. This interaction helps maintain thehealth and integrity of the respiratory system. Therefore, understanding the complex interactions betweenthe respiratory nervous system and immune system is critical to maintaining lung health and developingtreatments for respiratory diseases. In this review, we summarise the projection distribution of differenttypes of neurons (trigeminal nerve, glossopharyngeal nerve, vagus nerve, spinal dorsal root nerve,sympathetic nerve) in the respiratory tract. We also introduce several types of cells in the respiratoryepithelium that closely interact with nerves (pulmonary neuroendocrine cells, brush cells, solitarychemosensory cells and tastebuds). These cells are primarily located at key positions in the respiratorytract, where nerves project to them, forming neuroepithelial recognition units, thus enhancing the ability ofneural recognition. Furthermore, we summarise the roles played by these different neurons in sensing orresponding to specific pathogens (influenza, severe acute respiratory syndrome coronavirus 2, respiratorysyncytial virus, human metapneumovirus, herpes viruses, Sendai parainfluenza virus,Mycobacteriumtuberculosis,Pseudomonas aeruginosa,Staphylococcus aureus, amoebae), allergens, atmospheric pollutants(smoking, exhaust pollution), and their potential roles in regulating interactions among different pathogens.We also summarise the prospects of bioelectronic medicine as a third therapeutic approach following drugsand surgery, as well as the potential mechanisms of meditation breathing as an adjunct therapy.</t>
  </si>
  <si>
    <t xml:space="preserve">[Chen, Jie; Song, Yuanlin] Fudan Univ, Zhongshan Hosp, Dept Pulm Med, Shanghai Key Lab Lung Inflammat &amp; Injury, Shanghai, Peoples R China; [Chen, Jie; Lai, Xiaoyun; Su, Xiao] Chinese Acad Sci, Univ Chinese Acad Sci, Shanghai Inst Immun &amp; Infect, Unit Resp Infect &amp; Immun, Shanghai, Peoples R China</t>
  </si>
  <si>
    <t xml:space="preserve">Fudan University; Chinese Academy of Sciences; Shanghai Institute of Immunity and Infection, CAS; University of Chinese Academy of Sciences, CAS</t>
  </si>
  <si>
    <t xml:space="preserve">Su, X (corresponding author), Chinese Acad Sci, Univ Chinese Acad Sci, Shanghai Inst Immun &amp; Infect, Unit Resp Infect &amp; Immun, Shanghai, Peoples R China.</t>
  </si>
  <si>
    <t xml:space="preserve">xsu@ips.ac.cn</t>
  </si>
  <si>
    <t xml:space="preserve">chen, jie/KVB-4844-2024; Su, Xiao/CAG-9884-2022; chen, yuling/JMQ-4121-2023; Su, Xiao/G-4298-2010</t>
  </si>
  <si>
    <t xml:space="preserve">Su, Xiao/0000-0002-8692-8365</t>
  </si>
  <si>
    <t xml:space="preserve">Support statement: The authors thank the funding sources for supporting this work. This work is supported byNSFC programmes (82130001, 82241042, 81970075 and 82272243) ; National Key Research and DevelopmentProgram of China (No. 2022YFC2304702, 2020YFC2003700) ; Science and Technology Commission of ShanghaiMunicipality (20DZ2261200) ; and Innovative research team of high-level local universities in Shanghai (SHSMU-ZDCX20210602) . Funding information for this article has been deposited with the Crossref Funder Registry.</t>
  </si>
  <si>
    <t xml:space="preserve">0905-9180</t>
  </si>
  <si>
    <t xml:space="preserve">1600-0617</t>
  </si>
  <si>
    <t xml:space="preserve">EUR RESPIR REV</t>
  </si>
  <si>
    <t xml:space="preserve">Eur. Respir. Rev.</t>
  </si>
  <si>
    <t xml:space="preserve">10.1183/16000617.0008-2024</t>
  </si>
  <si>
    <t xml:space="preserve">YB7M5</t>
  </si>
  <si>
    <t xml:space="preserve">WOS:001266091000003</t>
  </si>
  <si>
    <t xml:space="preserve">Lee, I; Barton, TD</t>
  </si>
  <si>
    <t xml:space="preserve">Lee, Ingi; Barton, Todd D.</t>
  </si>
  <si>
    <t xml:space="preserve">Viral respiratory tract infections in transplant patients - Epidemiology, recognition and management</t>
  </si>
  <si>
    <t xml:space="preserve">DRUGS</t>
  </si>
  <si>
    <t xml:space="preserve">Medicine; Respiratory tract infections; Pneumonia; Intensive care medicine; Viral pneumonia</t>
  </si>
  <si>
    <t xml:space="preserve">SYNCYTIAL VIRUS-INFECTION; STEM-CELL TRANSPLANTATION; HUMAN METAPNEUMOVIRUS INFECTION; BONE-MARROW-TRANSPLANTATION; POLYMERASE-CHAIN-REACTION; HUMAN-HERPESVIRUS 6; AEROSOLIZED RIBAVIRIN; BRONCHIOLITIS OBLITERANS; ADENOVIRUS INFECTION; COMBINATION THERAPY</t>
  </si>
  <si>
    <t xml:space="preserve">Viral respiratory tract infections (RTIs) are common causes of mild illness in immunocompetent children and adults, with occasional significant morbidity or mortality in the very young, very old or infirm. However, recipients of solid organ transplants (SOT) or haematopoietic stem cell transplants (HSCT) are at markedly increased risk for significant morbidity or mortality from these infections. The infections are generally acquired by transmission of large respiratory droplets and can be nosocomial in origin with many documented outbreaks on specialised transplant units. Typically, the infections begin as upper RTIs, with cough or rhinorrhoea predominating. Many will resolve at this stage, but more immunocompromised patients, typically closer in time to their SOT or HSCT, may develop progressive infection to lower RTI or pneumonia. The most common RTI pathogens are influenza viruses, parainfluenza viruses and respiratory syncytial viruses. Newer polymerase chain reaction-based diagnostic strategies are more sensitive than previous assays, and allow rapid and accurate diagnoses of these infections. These newer assays may also detect emerging pathogens of significance, one of which is human metapneumovirus. While diagnostic techniques have advanced significantly in the past decade, well established and effective specific treatments for these infections remain elusive. The epidemiology, clinical presentation, diagnosis and treatment of the common viral RTIs in SOT or HSCT recipients are reviewed, and recommendations presented based on a thorough review of recent literature.</t>
  </si>
  <si>
    <t xml:space="preserve">Hosp Univ Penn, Div Infect Dis, Philadelphia, PA 19104 USA; Hosp Univ Penn, Internal Med Residency Program, Philadelphia, PA 19104 USA</t>
  </si>
  <si>
    <t xml:space="preserve">University of Pennsylvania; University of Pennsylvania</t>
  </si>
  <si>
    <t xml:space="preserve">Lee, I (corresponding author), Hosp Univ Penn, Div Infect Dis, 34th &amp; Spruce St,3rd Floor,Silverstein Bldg,Suite, Philadelphia, PA 19104 USA.</t>
  </si>
  <si>
    <t xml:space="preserve">ingi.lee@uphs.upenn.edu</t>
  </si>
  <si>
    <t xml:space="preserve">0012-6667</t>
  </si>
  <si>
    <t xml:space="preserve">1179-1950</t>
  </si>
  <si>
    <t xml:space="preserve">Drugs</t>
  </si>
  <si>
    <t xml:space="preserve">10.2165/00003495-200767100-00004</t>
  </si>
  <si>
    <t xml:space="preserve">Pharmacology &amp; Pharmacy; Toxicology</t>
  </si>
  <si>
    <t xml:space="preserve">194YH</t>
  </si>
  <si>
    <t xml:space="preserve">WOS:000248379200004</t>
  </si>
  <si>
    <t xml:space="preserve">Feikin, DR; Njenga, MK; Bigogo, G; Aura, B; Gikunju, S; Balish, A; Katz, MA; Erdman, D; Breiman, RF</t>
  </si>
  <si>
    <t xml:space="preserve">Feikin, Daniel R.; Njenga, M. Kariuki; Bigogo, Godfrey; Aura, Barrack; Gikunju, Stella; Balish, Amanda; Katz, Mark A.; Erdman, Dean; Breiman, Robert F.</t>
  </si>
  <si>
    <t xml:space="preserve">Additional Diagnostic Yield of Adding Serology to PCR in Diagnosing Viral Acute Respiratory Infections in Kenyan Patients 5 Years of Age and Older</t>
  </si>
  <si>
    <t xml:space="preserve">Serology; Kenya; Medicine; Immunology; Virology</t>
  </si>
  <si>
    <t xml:space="preserve">COMMUNITY-ACQUIRED PNEUMONIA; REQUIRING HOSPITALIZATION; ADULTS; ETIOLOGY; THAILAND; VIRUS</t>
  </si>
  <si>
    <t xml:space="preserve">The role of serology in the setting of PCR-based diagnosis of acute respiratory infections (ARIs) is unclear. We found that acute- and convalescent-phase paired-sample serologic testing increased the diagnostic yield of naso/oropharyngeal swabs for influenza virus, respiratory syncytial virus (RSV), human metapneumovirus, adenovirus, and parainfluenza viruses beyond PCR by 0.4% to 10.7%. Although still limited for clinical use, serology, along with PCR, can maximize etiologic diagnosis in epidemiologic studies.</t>
  </si>
  <si>
    <t xml:space="preserve">[Feikin, Daniel R.; Njenga, M. Kariuki; Bigogo, Godfrey; Aura, Barrack; Gikunju, Stella; Katz, Mark A.; Breiman, Robert F.] Ctr Dis Control &amp; Prevent Publ Hlth &amp; Res Collabo, Kenya Med Res Inst, Kisumu, Kenya; [Balish, Amanda; Erdman, Dean] Ctr Dis Control &amp; Prevent, Natl Ctr Immunizat &amp; Resp Dis, Atlanta, GA USA</t>
  </si>
  <si>
    <t xml:space="preserve">dfeikin@jhsph.edu</t>
  </si>
  <si>
    <t xml:space="preserve">Breiman, Robert/0000-0002-7099-2936</t>
  </si>
  <si>
    <t xml:space="preserve">10.1128/CVI.00325-12</t>
  </si>
  <si>
    <t xml:space="preserve">064HI</t>
  </si>
  <si>
    <t xml:space="preserve">WOS:000313064400017</t>
  </si>
  <si>
    <t xml:space="preserve">Campbell, AP; Kuypers, J; Englund, JA; Guthrie, KA; Corey, L; Boeckh, M</t>
  </si>
  <si>
    <t xml:space="preserve">Campbell, Angela P.; Kuypers, Jane; Englund, Janet A.; Guthrie, Katherine A.; Corey, Lawrence; Boeckh, Michael</t>
  </si>
  <si>
    <t xml:space="preserve">Self-Collection of Foam Nasal Swabs for Respiratory Virus Detection by PCR among Immunocompetent Subjects and Hematopoietic Cell Transplant Recipients</t>
  </si>
  <si>
    <t xml:space="preserve">Saline; Respiratory system; Hematopoietic cell; Virus; Hematopoietic stem cell transplantation; Medicine</t>
  </si>
  <si>
    <t xml:space="preserve">FLOCKED SWABS; HUMAN METAPNEUMOVIRUS; SPECIMENS; CHILDREN; DIAGNOSIS; INFECTION; ASSAYS</t>
  </si>
  <si>
    <t xml:space="preserve">Self-collected foam nasal swabs (NS) obtained after instillation of saline spray were compared with nasal washes from immunocompetent subjects during 146 upper respiratory infections (URIs); the sensitivities for reverse transcription (RT)-PCR respiratory virus detection were 95% and 88%, respectively (P = 0.06). The sensitivities from NS collected with and without saline spray during 142 URIs from immunocompetent subjects were 96% and 86% (P = 0.004), respectively, and those from 140 URI samples from hematopoietic cell transplantation recipients were 88% and 85% (P = 0.56), respectively.</t>
  </si>
  <si>
    <t xml:space="preserve">[Campbell, Angela P.; Kuypers, Jane; Englund, Janet A.; Corey, Lawrence; Boeckh, Michael] Univ Washington, Seattle, WA 98195 USA; [Campbell, Angela P.; Kuypers, Jane; Englund, Janet A.; Guthrie, Katherine A.; Corey, Lawrence; Boeckh, Michael] Fred Hutchinson Canc Res Ctr, Seattle, WA 98104 USA; [Campbell, Angela P.; Englund, Janet A.] Seattle Childrens Hosp, Seattle, WA USA</t>
  </si>
  <si>
    <t xml:space="preserve">Campbell, AP (corresponding author), Univ Washington, Seattle, WA 98195 USA.</t>
  </si>
  <si>
    <t xml:space="preserve">apeck@fhcrc.org</t>
  </si>
  <si>
    <t xml:space="preserve">Boeckh, Michael/AAA-1607-2022; Corey, Lawrence/AAE-1796-2020; Englund, Janet/ABV-6379-2022</t>
  </si>
  <si>
    <t xml:space="preserve">National Institutes of Health [CA 18029, HL081595, K23HL091059, L40AI071572, K24HL093294]; Pediatric Infectious Diseases Society; MedImmune; Seattle Children's Center for Clinical and Translational Research; CTSA [ULI RR025014]; Roche; GlaxoSmithKline; Novartis; Chimerix</t>
  </si>
  <si>
    <t xml:space="preserve">National Institutes of Health(United States Department of Health &amp; Human ServicesNational Institutes of Health (NIH) - USA); Pediatric Infectious Diseases Society; MedImmune(AstraZenecaMedimmune); Seattle Children's Center for Clinical and Translational Research; CTSA(United States Department of Health &amp; Human ServicesNational Institutes of Health (NIH) - USANIH National Center for Advancing Translational Sciences (NCATS)); Roche(Roche Holding); GlaxoSmithKline(GlaxoSmithKline); Novartis(Novartis); Chimerix</t>
  </si>
  <si>
    <t xml:space="preserve">This work was supported by the National Institutes of Health (grants CA 18029, HL081595, K23HL091059, L40AI071572, and K24HL093294). A. P. C. also received support from the MedImmune Pediatric Fellowship Grant Award, the Pediatric Infectious Diseases Society Fellowship Award funded by MedImmune, and the Seattle Children's Center for Clinical and Translational Research and CTSA grant ULI RR025014.M.B. received research support from Roche and GlaxoSmithKline and is a consultant for Gilead and GlaxoSmithKline. J.A.E. received research support from Novartis and Chimerix and is a consultant for Novavax and GlaxoSmithKline. All other authors have no potential conflicts of interests to disclose.</t>
  </si>
  <si>
    <t xml:space="preserve">10.1128/JCM.02871-12</t>
  </si>
  <si>
    <t xml:space="preserve">078NF</t>
  </si>
  <si>
    <t xml:space="preserve">WOS:000314105100058</t>
  </si>
  <si>
    <t xml:space="preserve">Yoshida, LM; Suzuki, M; Nguyen, HA; Le, MN; Vu, TD; Yoshino, H; Schmidt, WP; Nguyen, TTA; Le, HT; Morimoto, K; Moriuchi, H; Dang, DA; Ariyoshi, K</t>
  </si>
  <si>
    <t xml:space="preserve">Yoshida, Lay-Myint; Suzuki, Motoi; Hien Anh Nguyen; Minh Nhat Le; Thiem Dinh Vu; Yoshino, Hiroshi; Schmidt, Wolf-Peter; Thi Thuy Ai Nguyen; Huu Tho Le; Morimoto, Konosuke; Moriuchi, Hiroyuki; Duc Anh Dang; Ariyoshi, Koya</t>
  </si>
  <si>
    <t xml:space="preserve">Respiratory syncytial virus: co-infection and paediatric lower respiratory tract infections</t>
  </si>
  <si>
    <t xml:space="preserve">Medicine; Respiratory system; Respiratory tract infections; Respiratory tract; Virus</t>
  </si>
  <si>
    <t xml:space="preserve">HOSPITALIZED CHILDREN; YOUNG-CHILDREN; DISEASE; PNEUMONIA; RHINOVIRUS; INFANTS; BURDEN; EPIDEMIOLOGY; SURVEILLANCE; INFLUENZA</t>
  </si>
  <si>
    <t xml:space="preserve">Comprehensive population-based data on the role of respiratory viruses in the development of lower respiratory tract infections (LRTIs) remain unclear. We investigated the incidence and effect of single and multiple infections with respiratory viruses on the risk of LRTIs in Vietnam. Population-based prospective surveillance and a case-control study of hospitalised paediatric patients with acute respiratory infection (ARI) were conducted from April 2007 through to March 2010. Healthy controls were randomly recruited from the same community. Nasopharyngeal samples were collected and tested for 13 respiratory viruses using multiplex PCRs. 1992 hospitalised ARI episodes, including 397 (19.9%) with LRTIs, were enrolled. Incidence of hospitalised LRTIs among children aged &lt;24 months was 2171.9 per 100 000 (95% CI 1947.9-2419.7). The majority of ARI cases (60.9%) were positive for at least one virus Human rhinovirus (24.2%), respiratory syncytial virus (20.1%) and influenza A virus (12.0%) were the most common and 9.5% had multiple-viral infections. Respiratory syncytial virus and human metapneumovirus infections independently increased the risk of LRTIs. Respiratory syncytial virus further increased the risk, when co-infected with human rhinovirus, human metapneumovirus and parainfluenza virus-3 but not with influenza A virus. The case-control analysis revealed that respiratory syncytial virus and influenza A virus increased the risk of ARI hospitalisation but not human rhinovirus. Respiratory syncytial virus is the leading pathogen associated with risk of ARI hospitalisation and LRTIs in Vietnam.</t>
  </si>
  <si>
    <t xml:space="preserve">[Yoshida, Lay-Myint; Suzuki, Motoi; Minh Nhat Le; Yoshino, Hiroshi; Schmidt, Wolf-Peter; Morimoto, Konosuke; Ariyoshi, Koya] Nagasaki Univ, Inst Trop Med, Dept Clin Med, Nagasaki 8528523, Japan; [Moriuchi, Hiroyuki] Nagasaki Univ, Nagasaki Univ Hosp, Nagasaki 8528523, Japan; [Hien Anh Nguyen; Minh Nhat Le; Thiem Dinh Vu; Duc Anh Dang] Natl Inst Hyg &amp; Epidemiol, Hanoi, Vietnam; [Thi Thuy Ai Nguyen] Khanh Hoa Gen Hosp, Nha Trang, Vietnam; [Huu Tho Le] Khanh Hoa Hlth Serv, Nha Trang, Vietnam; [Schmidt, Wolf-Peter] London Sch Hyg &amp; Trop Med, London WC1, England</t>
  </si>
  <si>
    <t xml:space="preserve">Nagasaki University; Nagasaki University; National Institute of Hygiene &amp; Epidemiology (NIHE); University of London; London School of Hygiene &amp; Tropical Medicine</t>
  </si>
  <si>
    <t xml:space="preserve">Ariyoshi, K (corresponding author), Nagasaki Univ, Inst Trop Med, Dept Clin Med, 1-12-4 Sakamoto, Nagasaki 8528523, Japan.</t>
  </si>
  <si>
    <t xml:space="preserve">Schmidt, Wolfgang/W-5599-2019</t>
  </si>
  <si>
    <t xml:space="preserve">YOSHIDA, LAYMYINT/0000-0002-7567-3248; Schmidt, Wolf-Peter/0000-0001-7449-4152; Vu, Thiem/0000-0001-6168-4555; Suzuki, Motoi/0000-0002-8340-0880</t>
  </si>
  <si>
    <t xml:space="preserve">Japan Initiative for Global Research Network on Infectious Diseases (JGRID); Ministry of Education, Culture, Sports, Science and technology (MEXT, Tokyo, Japan); Japan Society for Promotion of Science (JSPS), Japan; JSPS</t>
  </si>
  <si>
    <t xml:space="preserve">Japan Initiative for Global Research Network on Infectious Diseases (JGRID)(Ministry of Education, Culture, Sports, Science and Technology, Japan (MEXT)); Ministry of Education, Culture, Sports, Science and technology (MEXT, Tokyo, Japan)(Ministry of Education, Culture, Sports, Science and Technology, Japan (MEXT)); Japan Society for Promotion of Science (JSPS), Japan(Ministry of Education, Culture, Sports, Science and Technology, Japan (MEXT)Japan Society for the Promotion of Science); JSPS(Ministry of Education, Culture, Sports, Science and Technology, Japan (MEXT)Japan Society for the Promotion of Science)</t>
  </si>
  <si>
    <t xml:space="preserve">This study was funded by the Japan Initiative for Global Research Network on Infectious Diseases (JGRID), the Ministry of Education, Culture, Sports, Science and technology (MEXT, Tokyo, Japan) and Japan Society for Promotion of Science (JSPS), Japan. Wolf-Peter Schmidt was funded by JSPS. The funding agencies had no role in designing, conducting, analysing data or preparing the manuscript</t>
  </si>
  <si>
    <t xml:space="preserve">10.1183/09031936.00101812</t>
  </si>
  <si>
    <t xml:space="preserve">207GE</t>
  </si>
  <si>
    <t xml:space="preserve">WOS:000323586100021</t>
  </si>
  <si>
    <t xml:space="preserve">Liu, L; Bastien, N; Li, Y</t>
  </si>
  <si>
    <t xml:space="preserve">Liu, Li; Bastien, Nathalie; Li, Yan</t>
  </si>
  <si>
    <t xml:space="preserve">Intracellular processing, glycosylation, and cell surface expression of human metapneumovirus attachment glycoprotein</t>
  </si>
  <si>
    <t xml:space="preserve">Biology; Glycoprotein; Glycosylation; Intracellular; Human metapneumovirus; Metapneumovirus; Membrane glycoproteins</t>
  </si>
  <si>
    <t xml:space="preserve">RESPIRATORY SYNCYTIAL VIRUS; O-LINKED GLYCOSYLATION; MURINE ERYTHROLEUKEMIA-CELLS; TRANS-GOLGI CISTERNAE; BREFELDIN-A; ENDOPLASMIC-RETICULUM; G-PROTEIN; SECRETORY PROTEINS; NONHUMAN-PRIMATES; TRACT INFECTIONS</t>
  </si>
  <si>
    <t xml:space="preserve">The biosynthesis and posttranslational processing of human metapneumovirus attachment G glycoprotein were investigated. After pulse-labeling, the G protein accumulated as three species with molecular weights of 45,000, 50,000, and 53,000 (45K, 50K, and 53K, respectively). N-Glycosidase digestion indicated that these forms represent the unglycosylated precursor and N-glycosylated intermediate products, respectively. After an appropriate chase, these three naive forms were further processed to a mature 97K form. The presence of O-linked sugars in mature G protein was confirmed by O-glycanase digestion and lectin-binding assay using Arachis hypogaea (peanut agglutinin), an O-glycan-specific lectin. In addition, in the O-glycosylation-deficient cell line (CHO IdID cell), the G protein could not be processed to the mature form unless the exogenous Gal and GaINAc were supplemented, which provided added evidence supporting the O-linked glycosylation of G protein. The maturation of G was completely blocked by monensin but was partially sensitive to brefeldin A (BFA), suggesting the O-linked glycosylation of G initiated in the traps-Golgi compartment and terminated in the traps-Golgi network. Enzymatic deglycosylation analysis confirmed that the BFA-G was a partial mature form containing N-linked oligosaccharides and various amounts of O-linked carbohydrate side chains. The expression of G protein at the cell surface could be detected by indirect immunofluorescence staining assay. Furthermore, cell surface immunoprecipitation displayed an efficient intracellular transport of G protein.</t>
  </si>
  <si>
    <t xml:space="preserve">[Bastien, Nathalie; Li, Yan] Publ Hlth Agcy Canada, Natl Microbiol Lab, Influenza &amp; Resp Viruses Sect, Winnipeg, MB R3E 3R2, Canada; [Liu, Li; Li, Yan] Univ Manitoba, Dept Med Microbiol &amp; Infect Dis, Winnipeg, MB, Canada</t>
  </si>
  <si>
    <t xml:space="preserve">Li, Y (corresponding author), Publ Hlth Agcy Canada, Natl Microbiol Lab, Influenza &amp; Resp Viruses Sect, 1015 Arlington St, Winnipeg, MB R3E 3R2, Canada.</t>
  </si>
  <si>
    <t xml:space="preserve">10.1128/JVI.01469-07</t>
  </si>
  <si>
    <t xml:space="preserve">239XR</t>
  </si>
  <si>
    <t xml:space="preserve">WOS:000251552100016</t>
  </si>
  <si>
    <t xml:space="preserve">de Lamballerie, CN; Pizzorno, A; Dubois, J; Julien, T; Padey, B; Bouveret, M; Traversier, A; Legras-Lachuer, C; Lina, B; Boivin, G; Terrier, O; Rosa-Calatrava, M</t>
  </si>
  <si>
    <t xml:space="preserve">de Lamballerie, Claire Nicolas; Pizzorno, Andres; Dubois, Julia; Julien, Thomas; Padey, Blandine; Bouveret, Mendy; Traversier, Aurelien; Legras-Lachuer, Catherine; Lina, Bruno; Boivin, Guy; Terrier, Olivier; Rosa-Calatrava, Manuel</t>
  </si>
  <si>
    <t xml:space="preserve">Characterization of cellular transcriptomic signatures induced by different respiratory viruses in human reconstituted airway epithelia</t>
  </si>
  <si>
    <t xml:space="preserve">Transcriptome; Respiratory system; Airway; Respiratory epithelium</t>
  </si>
  <si>
    <t xml:space="preserve">INFLUENZA-VIRUSES; INFECTION; RESPONSES; PACKAGE; IMPACT; H1N1</t>
  </si>
  <si>
    <t xml:space="preserve">Acute respiratory infections, a large part being of viral origin, constitute a major public health issue. To propose alternative and/or new therapeutic approaches, it is necessary to increase our knowledge about the interactions between respiratory viruses and their primary cellular targets using the most biologically relevant experimental models. In this study, we used RNAseq to characterize and compare the transcriptomic signature of infection induced by different major respiratory viruses (Influenza viruses, hRSV and hMPV) in a model of reconstituted human airway epithelia. Our results confirm the importance of several cellular pathways commonly or specifically induced by these respiratory viruses, such as the innate immune response or antiviral defense. A very interesting common feature revealed by the global virogenomic signature shared between hRSV, hMPV and influenza viruses is the global downregulation of cilium-related gene expression, in good agreement with experimental evaluation of mucociliary clearance. Beyond providing new information about respiratory virus/host interactions, our study also underlines the interest of using biologically relevant experimental models to study human respiratory viruses.</t>
  </si>
  <si>
    <t xml:space="preserve">[de Lamballerie, Claire Nicolas; Pizzorno, Andres; Dubois, Julia; Julien, Thomas; Padey, Blandine; Bouveret, Mendy; Traversier, Aurelien; Lina, Bruno; Terrier, Olivier; Rosa-Calatrava, Manuel] Univ Lyon, Univ Claude Bernard Lyon 1, Virol &amp; Pathol Humaine VirPath Team, INSERM U1111,CNRS UMR5308,ENS Lyon,CIRI, F-69008 Lyon, France; [de Lamballerie, Claire Nicolas; Legras-Lachuer, Catherine] Viroscan3D SAS, F-69008 Lyon, France; [Julien, Thomas; Padey, Blandine; Rosa-Calatrava, Manuel] Univ Lyon, Univ Claude Bernard Lyon 1, VirNext, Fac Med RTH Laennec, F-69008 Lyon, France; [Boivin, Guy] CHU Quebec, Res Ctr Infect Dis, Quebec City, PQ G1V 4G2, Canada; [Boivin, Guy] Laval Univ, Quebec City, PQ G1V 4G2, Canada</t>
  </si>
  <si>
    <t xml:space="preserve">Institut National de la Sante et de la Recherche Medicale (Inserm); Universite Claude Bernard Lyon 1; Ecole Normale Superieure de Lyon (ENS de LYON); Centre National de la Recherche Scientifique (CNRS); CNRS - National Institute for Biology (INSB); Universite Claude Bernard Lyon 1; Laval University; Laval University</t>
  </si>
  <si>
    <t xml:space="preserve">Terrier, O; Rosa-Calatrava, M (corresponding author), Univ Lyon, Univ Claude Bernard Lyon 1, Virol &amp; Pathol Humaine VirPath Team, INSERM U1111,CNRS UMR5308,ENS Lyon,CIRI, F-69008 Lyon, France.;Rosa-Calatrava, M (corresponding author), Univ Lyon, Univ Claude Bernard Lyon 1, VirNext, Fac Med RTH Laennec, F-69008 Lyon, France.</t>
  </si>
  <si>
    <t xml:space="preserve">olivier.terrier@univ-lyon1.fr; manuel.rosa-calatrava@univ-lyon1.fr</t>
  </si>
  <si>
    <t xml:space="preserve">Dubois, Julia/AAH-5914-2019; lina, bruno/N-3663-2019; Pizzorno, Andrés/M-9633-2019; Rosa-calatrava, Manuel/M-7263-2014; Pizzorno, Mario Andres/L-7810-2017; Terrier, Olivier/B-6301-2009</t>
  </si>
  <si>
    <t xml:space="preserve">Rosa-calatrava, Manuel/0000-0002-7559-9527; Julien, Thomas/0000-0002-8607-2827; Pizzorno, Mario Andres/0000-0002-0918-6804; Terrier, Olivier/0000-0001-9393-7684; lina, bruno/0000-0002-8959-2123; Traversier, Aurelien/0000-0003-1874-3075; Nicolas de Lamballerie, Claire/0000-0002-3227-743X; Boivin, Guy/0000-0003-3027-4662; Dubois, Julia/0000-0002-9777-2968; PADEY, Blandine/0000-0002-2159-6507</t>
  </si>
  <si>
    <t xml:space="preserve">FINOVI foundation; Region Auvergne Rhone-Alpes (CMIRA grant) [14007029]; Region Auvergne Rhone-Alpes (AccueilPro COOPERA grant) [15458]; Canadian Institutes of Health Research [229733, 230187]; National Association for Research in Technology (ANRT)</t>
  </si>
  <si>
    <t xml:space="preserve">FINOVI foundation; Region Auvergne Rhone-Alpes (CMIRA grant); Region Auvergne Rhone-Alpes (AccueilPro COOPERA grant); Canadian Institutes of Health Research(Canadian Institutes of Health Research (CIHR)); National Association for Research in Technology (ANRT)(Agence Nationale de la Recherche (ANR))</t>
  </si>
  <si>
    <t xml:space="preserve">The authors want to thank Jacques Corbeil and Frederic Raymond (Research Center in Infectious Diseases of the CHU de Quebec and Laval University, Quebec) for their help and useful advice. This work was funded by grants from FINOVI foundation, the Region Auvergne Rhone-Alpes (CMIRA No. 14007029 and AccueilPro COOPERA No. 15458 grants), and Canadian Institutes of Health Research (No. 229733 and 230187). Claire Nicolas de Lamballerie was funded by National Association for Research in Technology (ANRT). Guy Boivin is the holder of the Canada Research Chair on influenza and other respiratory viruses. Funding institutions had no participation in the design of the study, collection, analysis and interpretation of data, or in the writing of the manuscript.</t>
  </si>
  <si>
    <t xml:space="preserve">10.1038/s41598-019-48013-7</t>
  </si>
  <si>
    <t xml:space="preserve">IN9WF</t>
  </si>
  <si>
    <t xml:space="preserve">WOS:000479030000065</t>
  </si>
  <si>
    <t xml:space="preserve">Althouse, BM; Flasche, S; Toizumi, M; Nguyen, HAT; Vo, HM; Le, MN; Hashizume, M; Ariyoshi, K; Anh, DD; Rodgers, GL; Klugman, KP; Hu, H; Yoshida, LM</t>
  </si>
  <si>
    <t xml:space="preserve">Althouse, Benjamin M.; Flasche, Stefan; Toizumi, Michiko; Hien-Anh Thi Nguyen; Hien Minh Vo; Minh Nhat Le; Hashizume, Masahiro; Ariyoshi, Koya; Dang Duc Anh; Rodgers, Gail L.; Klugman, Keith P.; Hu, Hao; Yoshida, Lay-Myint</t>
  </si>
  <si>
    <t xml:space="preserve">Differences in clinical severity of respiratory viral infections in hospitalized children</t>
  </si>
  <si>
    <t xml:space="preserve">Medicine; Odds ratio; Severity of illness; Odds</t>
  </si>
  <si>
    <t xml:space="preserve">It is uncertain whether clinical severity of an infection varies by pathogen or by multiple infections. Using hospital-based surveillance in children, we investigate the range of clinical severity for patients singly, multiply, and not infected with a group of commonly circulating viruses in Nha Trang, Vietnam. RT-PCR was performed to detect 13 respiratory viruses in nasopharyngeal samples from enrolled patients. We apply a novel clinical severity score and examine associations with the odds of being severe and differences in raw severity scores. We find no difference in severity between 0-, 1-, and 2-concurrent infections and little differences in severity between specific viruses. We find RSV and HMPV infections to be associated with 2- and 1.5-fold increase in odds of being severe, respectively, and that infection with ADV is consistently associated with lower risk of severity. Clinically, based on the results here, if RSV or HMPV virus is suspected, PCR testing for confirmatory diagnosis and for detection of multiple coinfecting viruses would be fruitful to assess whether a patient's disease course is going to be severe.</t>
  </si>
  <si>
    <t xml:space="preserve">[Althouse, Benjamin M.] Inst Dis Modeling, 3150 139th Ave SE, Bellevue, WA 98005 USA; [Althouse, Benjamin M.] Univ Washington, Seattle, WA 98195 USA; [Althouse, Benjamin M.] New Mexico State Univ, Las Cruces, NM 88003 USA; [Flasche, Stefan] London Sch Hyg &amp; Trop Med, London, ON, Canada; [Toizumi, Michiko; Hashizume, Masahiro; Ariyoshi, Koya; Yoshida, Lay-Myint] Nagasaki Univ, Inst Trop Med, Nagasaki, Japan; [Hien-Anh Thi Nguyen; Minh Nhat Le; Dang Duc Anh] Natl Inst Hyg &amp; Epidemiol, Hanoi, Vietnam; [Hien Minh Vo] Khanh Hoa Gen Hosp, Nha Trang, Vietnam; [Rodgers, Gail L.; Klugman, Keith P.; Hu, Hao] Bill &amp; Melinda Gates Fdn, Seattle, WA USA</t>
  </si>
  <si>
    <t xml:space="preserve">University of Washington; University of Washington Seattle; New Mexico State University; Nagasaki University; National Institute of Hygiene &amp; Epidemiology (NIHE); Bill &amp; Melinda Gates Foundation</t>
  </si>
  <si>
    <t xml:space="preserve">Althouse, BM (corresponding author), Inst Dis Modeling, 3150 139th Ave SE, Bellevue, WA 98005 USA.;Althouse, BM (corresponding author), Univ Washington, Seattle, WA 98195 USA.;Althouse, BM (corresponding author), New Mexico State Univ, Las Cruces, NM 88003 USA.</t>
  </si>
  <si>
    <t xml:space="preserve">balthouse@idmod.org</t>
  </si>
  <si>
    <t xml:space="preserve">Flasche, Stefan/0000-0002-5808-2606; YOSHIDA, LAYMYINT/0000-0002-7567-3248; Hashizume, Masahiro/0000-0003-4720-1750</t>
  </si>
  <si>
    <t xml:space="preserve">Global Good Fund; Bill &amp; Melinda Gates Foundation [BMGF OPP1139859]; Wellcome Trust; Royal Society [208812/Z/17/Z]; Japan Initiative for Global Research Network on Infectious Diseases (J-GRID) from Ministry of Education, Culture, Sport, Science &amp; Technology in Japan; Japan Agency for Medical Research and Development (AMED)</t>
  </si>
  <si>
    <t xml:space="preserve">Global Good Fund; Bill &amp; Melinda Gates Foundation(Bill &amp; Melinda Gates FoundationBill &amp; Melinda Gates Foundation Grand Challenges Explorations InitiativeCGIAR); Wellcome Trust(Wellcome Trust); Royal Society(Royal Society); Japan Initiative for Global Research Network on Infectious Diseases (J-GRID) from Ministry of Education, Culture, Sport, Science &amp; Technology in Japan; Japan Agency for Medical Research and Development (AMED)(Japan Agency for Medical Research and Development (AMED))</t>
  </si>
  <si>
    <t xml:space="preserve">BMA and HH were supported by Bill &amp; Melinda Gates through the Global Good Fund. SF and LMY were partially supported by Bill &amp; Melinda Gates Foundation (BMGF OPP1139859). SF is supported by a Sir Henry Dale Fellowship jointly funded by the Wellcome Trust and the Royal Society (Grant number 208812/Z/17/Z). The pediatric ARI surveillance study in Nha Trang, Vietnam was supported by the Japan Initiative for Global Research Network on Infectious Diseases (J-GRID) from Ministry of Education, Culture, Sport, Science &amp; Technology in Japan, and Japan Agency for Medical Research and Development (AMED). The funders had no role in study design, data collection and analysis, decision to publish, or preparation of the manuscript. All methods/experiments in the manuscript were carried out in accordance with relevant guidelines and regulations (Declaration of Helsinki).</t>
  </si>
  <si>
    <t xml:space="preserve">10.1038/s41598-021-84423-2</t>
  </si>
  <si>
    <t xml:space="preserve">QS8JE</t>
  </si>
  <si>
    <t xml:space="preserve">WOS:000626139000053</t>
  </si>
  <si>
    <t xml:space="preserve">Al-Ayed, MS; Asaad, AM; Qureshi, MA; Ameen, MS</t>
  </si>
  <si>
    <t xml:space="preserve">Al-Ayed, Mohamed S.; Asaad, Ahmed M.; Qureshi, Mohamed A.; Ameen, Mohammed S.</t>
  </si>
  <si>
    <t xml:space="preserve">Viral etiology of respiratory infections in children in southwestern Saudi Arabia using multiplex reverse-transcriptase polymerase chain reaction</t>
  </si>
  <si>
    <t xml:space="preserve">SAUDI MEDICAL JOURNAL</t>
  </si>
  <si>
    <t xml:space="preserve">REAL-TIME PCR; HOSPITALIZED CHILDREN; HUMAN METAPNEUMOVIRUS; VIRUS DETECTION; CORONAVIRUS; SYMPTOMS; EPIDEMIOLOGY; PNEUMONIA; ILLNESSES; ADULTS</t>
  </si>
  <si>
    <t xml:space="preserve">Objectives: To investigate 15 respiratory viruses in children with acute respiratory tract infections (ARTIs) using multiplex reverse-transcriptase polymerase chain reaction (RT-PCR), and to analyze the clinical and epidemiological features of these viruses. Methods: In a cross-sectional study, 135 children, &lt;= 5 years of age who presented with ARTIs in Najran Maternity and Children Hospital, Najran, Saudi Arabia between October 2012 and July 2013 were included. The clinical and sociodemographic data, and the laboratory results were recorded using a standardized questionnaire. Two nasopharyngeal swabs were collected from each child: one for bacteriological examination, and the second for viral detection using multiplex RT-PCR. Results: A single viral pathogen was detected in 76 patients, viral coinfections in 9, and mixed viral and bacterial pathogens in 15. Respiratory syncytial virus was isolated in 33 patients, human rhinovirus (hRV) in 22, adenovirus (AdV) in 19, human metapneumovirus in 13, influenza virus in 10, parainfluenza virus in 7, human corona virus (hCoV) in 4, and human bocavirus in one. Conclusion: Respiratory syncytial virus, hRV, and AdV were the most frequent viruses, accounting for more than two-thirds of the cases. Other viruses, such as MPV, hCoV NL63, and hCoV OC43, may play a role in pediatric ARTIs. Of significance is the potential use of multiplex RT-PCR to provide epidemiological and virological data for early detection of the emergence of novel respiratory viruses in the era of the Middle East respiratory syndrome coronavirus.</t>
  </si>
  <si>
    <t xml:space="preserve">[Al-Ayed, Mohamed S.; Ameen, Mohammed S.] Najran Univ, Coll Med, Dept Pediat, Najran, Saudi Arabia; [Asaad, Ahmed M.; Qureshi, Mohamed A.] Najran Univ, Coll Med, Dept Microbiol, Najran, Saudi Arabia</t>
  </si>
  <si>
    <t xml:space="preserve">Najran University; Najran University</t>
  </si>
  <si>
    <t xml:space="preserve">Asaad, AM (corresponding author), Najran Univ, Coll Med, POB 1988, Najran, Saudi Arabia.</t>
  </si>
  <si>
    <t xml:space="preserve">ahmedmoradasaad@hotmail.com</t>
  </si>
  <si>
    <t xml:space="preserve">Alayed, Mohammed/AAI-5057-2020; Qureshi, Dr Mohammed Ansar/LUY-6846-2024; asaad, ahmed/P-1650-2018</t>
  </si>
  <si>
    <t xml:space="preserve">asaad, ahmed/0000-0002-1422-1117</t>
  </si>
  <si>
    <t xml:space="preserve">Najran University, Najran, Saudi Arabia [NU500/13]</t>
  </si>
  <si>
    <t xml:space="preserve">Najran University, Najran, Saudi Arabia</t>
  </si>
  <si>
    <t xml:space="preserve">This work was supported by a grant from Prince Meshaal Bin Abdullah Bin AbdulAziz Chair for Endemic Diseases, Najran University, Najran, Saudi Arabia (NU500/13). Authors have no conflict of interests, and the work was not supported or funded by any drug company.</t>
  </si>
  <si>
    <t xml:space="preserve">SAUDI MED J</t>
  </si>
  <si>
    <t xml:space="preserve">ARMED FORCES HOSPITAL, PO BOX 7897,, RIYADH 11159, SAUDI ARABIA</t>
  </si>
  <si>
    <t xml:space="preserve">0379-5284</t>
  </si>
  <si>
    <t xml:space="preserve">Saudi Med. J.</t>
  </si>
  <si>
    <t xml:space="preserve">AU9KJ</t>
  </si>
  <si>
    <t xml:space="preserve">WOS:000345911100006</t>
  </si>
  <si>
    <t xml:space="preserve">Coffin, SE</t>
  </si>
  <si>
    <t xml:space="preserve">Bronchiolitis: In-patient focus</t>
  </si>
  <si>
    <t xml:space="preserve">Bronchiolitis; Medicine; Case fatality rate; Pediatrics</t>
  </si>
  <si>
    <t xml:space="preserve">SERIOUS BACTERIAL-INFECTIONS; SYNCYTIAL VIRUS-INFECTION; RESPIRATORY-TRACT DISEASE; CONTROLLED-TRIAL; HUMAN METAPNEUMOVIRUS; FEBRILE INFANTS; CHILDREN; RISK; EPINEPHRINE; RSV</t>
  </si>
  <si>
    <t xml:space="preserve">Bronchiolitis is among the most common and serious lower respiratory tract syndromes that affects young children. In developed countries, the case fatality rate among previously healthy children remains low; in contrast, infants with underlying medical conditions, such as immunodeficiency or chronic lung disease, are at risk of prolonged illness and death. Bronchiolitis is associated with significant morbidity among healthy young children. During the winter season, bronchiolitis is the most common cause of hospitalization among infants. Each year in the United States, approximately 2 per 100,000 infants die as a result of complications associated with bronchiolitis.</t>
  </si>
  <si>
    <t xml:space="preserve">Childrens Hosp Philadelphia, Dept Infect Prevent &amp; Control, Philadelphia, PA 19104 USA; Univ Penn, Sch Med, Div Infect Dis, Philadelphia, PA 19104 USA</t>
  </si>
  <si>
    <t xml:space="preserve">University of Pennsylvania; Pennsylvania Medicine; Childrens Hospital of Philadelphia; University of Pennsylvania</t>
  </si>
  <si>
    <t xml:space="preserve">Childrens Hosp Philadelphia, Dept Infect Prevent &amp; Control, 3561 Civ Ctr Blvd,Room 9ST52, Philadelphia, PA 19104 USA.</t>
  </si>
  <si>
    <t xml:space="preserve">coffin@email.chop.edu</t>
  </si>
  <si>
    <t xml:space="preserve">10.1016/j.pcl.2005.04.002</t>
  </si>
  <si>
    <t xml:space="preserve">951MZ</t>
  </si>
  <si>
    <t xml:space="preserve">WOS:000230935900006</t>
  </si>
  <si>
    <t xml:space="preserve">Ju, XF; Fang, QY; Zhang, J; Xu, AG; Liang, LH; Ke, CW</t>
  </si>
  <si>
    <t xml:space="preserve">Ju, Xiongfei; Fang, Qiaoyun; Zhang, Jian; Xu, Angao; Liang, Lihuan; Ke, Changwen</t>
  </si>
  <si>
    <t xml:space="preserve">Viral etiology of influenza-like illnesses in Huizhou, China, from 2011 to 2013</t>
  </si>
  <si>
    <t xml:space="preserve">Human metapneumovirus; Rhinovirus; Human bocavirus; Virus; Influenza-like illness; Virology; Etiology; Biology; Population; Sore throat; rhinorrhea</t>
  </si>
  <si>
    <t xml:space="preserve">RESPIRATORY-TRACT INFECTIONS; CORONAVIRUS HKU1; HOSPITALIZED CHILDREN; HUMAN BOCAVIRUS; VIRUSES; SURVEILLANCE; RHINOVIRUS; PNEUMONIA; ADULTS; PCR</t>
  </si>
  <si>
    <t xml:space="preserve">Little information is available on the etiology and prevalence of viruses other than influenza viruses causing influenza-like illnesses (ILIs) in China. This study was conducted for simultaneous detection and identification of 14 respiratory viruses in Huizhou using real-time PCR. In total, viruses were detected in 48.66 % of ILI patient samples, in which influenza virus (19.98 %) was the most commonly detected, followed by rhinovirus (7.46 %), human coronaviruses (3.63 %), human metapneumovirus (3.06 %), parainfluenza virus (3.06 %), respiratory syncytial virus (2.39 %), adenovirus (2.29 %), and human bocavirus (1.43 %). Co-infections occurred in 5.35 % of all tested specimens and 11.00 % (56/509) of infected patients. Children under 5 years and adults older than 60 years were more likely to have one or more detectable viruses associated with their ILI (OR=1.75, 95 % CI: 1.37; 2.23). Influenza virus was detected during each month of each year, and increased viral activity was observed in 2013. Infections with adenovirus and human metapneumovirus had characteristic seasonal patterns. No significant differences were found in positive the rate between the gender groups, while significantly differences in positive rate were found among the different age groups (P-value &lt; 0.001). This study confirmed that multiple respiratory viruses may circulate concurrently in the population and play an important role in the etiology of ILI. The most frequent symptoms associated with respiratory viruses were sore throat, rhinorrhea and headache. This information needs to be considered by clinicians when treating patients presenting with ILI, and it could serve as a reference for government officers when designing and implementing effective intervention plans.</t>
  </si>
  <si>
    <t xml:space="preserve">[Ju, Xiongfei; Fang, Qiaoyun; Zhang, Jian; Liang, Lihuan] Ctr Dis Control &amp; Prevent Huizhou, Huizhou 516003, Guangdong, Peoples R China; [Ju, Xiongfei; Xu, Angao] Huizhou Key Lab Holist Integrated Med, Huizhou 516001, Guangdong, Peoples R China; [Ke, Changwen] Ctr Dis Control &amp; Prevent Guangdong, Inst Microbiol, Guangzhou 510300, Guangdong, Peoples R China</t>
  </si>
  <si>
    <t xml:space="preserve">Ke, CW (corresponding author), Ctr Dis Control &amp; Prevent Guangdong, Inst Microbiol, 176 Xingang Xilu, Guangzhou 510300, Guangdong, Peoples R China.</t>
  </si>
  <si>
    <t xml:space="preserve">hzmedicine@163.com</t>
  </si>
  <si>
    <t xml:space="preserve">10.1007/s00705-014-2035-1</t>
  </si>
  <si>
    <t xml:space="preserve">AM5HQ</t>
  </si>
  <si>
    <t xml:space="preserve">WOS:000339888300013</t>
  </si>
  <si>
    <t xml:space="preserve">Sarna, M; Lambert, SB; Sloots, TP; Whiley, DM; Alsaleh, A; Mhango, L; Bialasiewicz, S; Wang, D; Nissen, MD; Grimwood, K; Ware, RS</t>
  </si>
  <si>
    <t xml:space="preserve">Sarna, Mohinder; Lambert, Stephen B.; Sloots, Theo P.; Whiley, David M.; Alsaleh, Asma; Mhango, Lebogang; Bialasiewicz, Seweryn; Wang, David; Nissen, Michael D.; Grimwood, Keith; Ware, Robert S.</t>
  </si>
  <si>
    <t xml:space="preserve">Viruses causing lower respiratory symptoms in young children: findings from the ORChID birth cohort</t>
  </si>
  <si>
    <t xml:space="preserve">Medicine; Respiratory system; Cohort; Pediatrics</t>
  </si>
  <si>
    <t xml:space="preserve">POLYMERASE-CHAIN-REACTION; 1ST YEAR; VIRAL-INFECTIONS; LIFE; ILLNESS; PATHOGENS; IDENTIFICATION; EPIDEMIOLOGY; SURVEILLANCE; POPULATION</t>
  </si>
  <si>
    <t xml:space="preserve">Introduction Viral acute respiratory infections (ARIs) cause substantial child morbidity. Sensitive molecular based assays aid virus detection, but the clinical significance of positive tests remains uncertain as some viruses may be found in both acutely ill and healthy children. We describe disease-pathogen associations of respiratory viruses and quantify virus-specific attributable risk of ARIs in healthy children during the first 2 years of life. Methods One hundred fifty-eight term newborn babies in Brisbane, Australia, were recruited progressively into a longitudinal, community-based, birth cohort study conducted between September 2010 and October 2014. A daily tick-box diary captured predefined respiratory symptoms from birth until their second birthday. Weekly parent-collected nasal swabs were batch-tested for 17 respiratory viruses by PCR assays, allowing calculation of virus-specific attributable fractions in the exposed (AFE) to determine the proportion of virus-positive children whose ARI symptoms could be attributed to that particular virus. Results Of 8100 nasal swabs analysed, 2646 (32.7%) were virus-positive (275 virus codetections, 3.4%), with human rhinoviruses accounting for 2058/2646 (77.8%) positive swabs. Viruses were detected in 1154/1530 (75.4%) ARI episodes and in 984/4308 (22.8%) swabs from asymptomatic periods. Respiratory syncytial virus (AFE: 68% (95% CI 45% to 82%)) and human metapneumovirus (AFE: 69% (95% CI 43% to 83%)) were strongly associated with higher risk of lower respiratory symptoms. Discussion The strong association of respiratory syncytial virus and human metapneumovirus with ARIs and lower respiratory symptoms in young children managed within the community indicates successful development of vaccines against these two viruses should provide substantial health benefits.</t>
  </si>
  <si>
    <t xml:space="preserve">[Sarna, Mohinder; Ware, Robert S.] Univ Queensland, Sch Publ Hlth, Brisbane, Qld, Australia; [Sarna, Mohinder; Lambert, Stephen B.; Sloots, Theo P.; Whiley, David M.; Mhango, Lebogang; Bialasiewicz, Seweryn; Nissen, Michael D.; Ware, Robert S.] Univ Queensland, UQ Child Hlth Res Ctr, Brisbane, Qld, Australia; [Lambert, Stephen B.; Sloots, Theo P.; Mhango, Lebogang; Bialasiewicz, Seweryn; Nissen, Michael D.] Childrens Hlth Queensland, Queensland Paediat Infect Dis Lab, Brisbane, Qld, Australia; [Whiley, David M.] Univ Queensland, Ctr Clin Res, Brisbane, Qld, Australia; [Alsaleh, Asma] King Saud Univ, Dept Bot &amp; Microbiol, Riyadh, Saudi Arabia; [Wang, David] Washington Univ, Sch Med, St Louis, MO USA; [Grimwood, Keith] Griffith Univ, Sch Med, Brisbane, Qld, Australia; [Grimwood, Keith; Ware, Robert S.] Griffith Univ, Menzies Hlth Inst Queensland, Brisbane, Qld, Australia; [Grimwood, Keith] Gold Coast Hlth, Dept Infect Dis, Gold Coast, Australia; [Grimwood, Keith] Gold Coast Hlth, Dept Paediat, Gold Coast, Australia</t>
  </si>
  <si>
    <t xml:space="preserve">University of Queensland; University of Queensland; University of Queensland; King Saud University; Washington University (WUSTL); Griffith University; Griffith University; Menzies Health Institute Queensland; Gold Coast Health; Gold Coast Health</t>
  </si>
  <si>
    <t xml:space="preserve">m.sarna@ug.edu.au</t>
  </si>
  <si>
    <t xml:space="preserve">Bialasiewicz, Seweryn/F-1414-2010; Lambert, Stephen/N-7819-2019; Alsaleh, Asma/ABD-1640-2020; Nissen, Michael/M-6823-2013; Grimwood, Keith/F-9334-2011; Sarna, Mohinder/AAO-9343-2020; Sarna, Mohinder/Q-7834-2016; Lambert, Stephen/B-8348-2008; Whiley, David/E-8955-2011; Ware, Robert/B-2024-2014</t>
  </si>
  <si>
    <t xml:space="preserve">Sarna, Mohinder/0000-0002-2448-1588; Alsaleh, Asma/0000-0001-9183-1552; Lambert, Stephen/0000-0002-2709-193X; Grimwood, Keith/0000-0003-3174-9834; Whiley, David/0000-0001-5969-3161; Ware, Robert/0000-0002-6129-6736; Bialasiewicz, Seweryn/0000-0001-9474-6943</t>
  </si>
  <si>
    <t xml:space="preserve">National Health and Medical Research Council (NHMRC) (Australia) [APP 615700]; Children's Hospital Foundation Queensland (CHFQ) [50006]; NHMRC Dora Lush Clinical Scholarship; CHFQ PhD Clinical Scholarship; NHMRC Early Career Fellowship; CHFQ Mid-career Fellowship; NHMRC; CHFQ Early Career Fellowship</t>
  </si>
  <si>
    <t xml:space="preserve">National Health and Medical Research Council (NHMRC) (Australia)(National Health &amp; Medical Research Council (NHMRC) of Australia); Children's Hospital Foundation Queensland (CHFQ); NHMRC Dora Lush Clinical Scholarship(National Health &amp; Medical Research Council (NHMRC) of Australia); CHFQ PhD Clinical Scholarship; NHMRC Early Career Fellowship(National Health &amp; Medical Research Council (NHMRC) of Australia); CHFQ Mid-career Fellowship; NHMRC(National Health &amp; Medical Research Council (NHMRC) of Australia); CHFQ Early Career Fellowship</t>
  </si>
  <si>
    <t xml:space="preserve">This study was supported by a National Health and Medical Research Council (NHMRC) (Australia) project grant (APP 615700) and a Children's Hospital Foundation Queensland (CHFQ) (programme grant number: 50006). MS is the recipient of an NHMRC Dora Lush Clinical Scholarship and a CHFQ PhD Clinical Scholarship. SBL is the recipient of an NHMRC Early Career Fellowship and a CHFQ Mid-career Fellowship. DMW reports a Career Development Fellowship from the NHMRC. SB is the recipient of a CHFQ Early Career Fellowship.</t>
  </si>
  <si>
    <t xml:space="preserve">10.1136/thoraxjnl-2017-210233</t>
  </si>
  <si>
    <t xml:space="preserve">GV4SO</t>
  </si>
  <si>
    <t xml:space="preserve">WOS:000446090900013</t>
  </si>
  <si>
    <t xml:space="preserve">Kuiken, T; Fouchier, RAM; Schutten, M; Rimmelzwaan, GF; van Amerongen, G; van Riel, D; Laman, JD; de Jong, T; van Doornum, G; Lim, W; Ling, AE; Chan, PKS; Tam, JS; Zambon, MC; Gopal, R; Drosten, C; van der Werf, S; Escriou, N; Manuguerra, JC; Stöhr, K; Peiris, JSM; Osterhaus, ADME</t>
  </si>
  <si>
    <t xml:space="preserve">Newly discovered coronavirus as the primary cause of severe acute respiratory syndrome</t>
  </si>
  <si>
    <t xml:space="preserve">Human metapneumovirus; Virology; Coronavirus; Metapneumovirus; Pneumonia; Virus; Severe acute respiratory syndrome; Medicine</t>
  </si>
  <si>
    <t xml:space="preserve">POLYMERASE-CHAIN-REACTION; HONG-KONG; EXPERIMENTAL-INFECTION; IDENTIFICATION; PATHOGENICITY; CHILDREN; OUTBREAK; DISEASE; GENE; PCR</t>
  </si>
  <si>
    <t xml:space="preserve">Background The worldwide outbreak. of severe acute respiratory syndrome (SARS) is associated with a newly discovered coronavirus, SARS-associated coronavirus (SARS-CoV). We did clinical and experimental studies to assess the role of this virus in the cause of SARS. Methods We tested clinical and postmortem samples from 436 SARS patients in six countries for infection with SARS-CoV, human metapneumovirus, and other respiratory pathogens. We infected four cynomolgus macaques (Macaca fascicularis) with SARS-CoV in an attempt to replicate SARS and did necropsies on day 6 after infection. Findings SARS-CoV infection was diagnosed in 329 (75%) of 436 patients fitting the case definition of SARS; human metapneumovirus was diagnosed in 41 (12%) of 335, and other respiratory pathogens were diagnosed only sporadically. SARS-CoV was, therefore, the most likely causal agent of SARS. The four SARS-CoV-infected macaques excreted SARS-CoV from nose, mouth, and pharynx from 2 days after infection. Three of four macaques developed diffuse alveolar damage, similar to that in SARS patients, and characterised by epithelial necrosis, serosanguineous exudate, formation of hyaline membranes, type 2 pneumocyte hyperplasia, and the presence of syncytia. SARS-CoV was detected in pneumonic areas by virus isolation and RT-PCR, and was localised to alveolar epithelial cells and syncytia by immunohistochemistry and transmission electron microscopy. Interpretation Replication in SARS-CoV-infected macaques of pneumonia similar to that in human beings with SARS, combined with the high prevalence of SARS-CoV infection in SARS patients, fulfill the criteria required to prove that SARS-CoV is the primary cause of SARS.</t>
  </si>
  <si>
    <t xml:space="preserve">Erasmus Med Ctr, Dept Virol, NL-3000 DR Rotterdam, Netherlands; Erasmus Med Ctr, Dept Immunol, NL-3000 DR Rotterdam, Netherlands; Erasmus Med Ctr, Dept Pathol, NL-3000 DR Rotterdam, Netherlands; Publ Hlth Lab Ctr, Govt Virus Unit, Kowloon, Hong Kong, Peoples R China; Singapore Gen Hosp, Dept Pathol, Singapore 0316, Singapore; Chinese Univ Hong Kong, Prince Wales Hosp, Dept Microbiol, Hong Kong, Hong Kong, Peoples R China; Hlth Protect Agcy, Enter Resp &amp; Neurol Virus Lab, London, England; Bernhard Nocht Inst Trop Med, Dept Virol, Hamburg, Germany; Inst Pasteur, Unite Genet Mol Virus Resp, Paris, France; WHO, SARS Aetiol Study Grp, CH-1211 Geneva, Switzerland; Univ Hong Kong, Queen Mary Hosp, Dept Microbiol &amp; Med, Hong Kong, Hong Kong, Peoples R China</t>
  </si>
  <si>
    <t xml:space="preserve">Erasmus University Rotterdam; Erasmus MC; Erasmus University Rotterdam; Erasmus MC; Erasmus University Rotterdam; Erasmus MC; Singapore General Hospital; Chinese University of Hong Kong; Prince of Wales Hospital; Health Protection Agency; Bernhard Nocht Institut fur Tropenmedizin; Pasteur Network; Universite Paris Cite; Institut Pasteur Paris; World Health Organization; University of Hong Kong</t>
  </si>
  <si>
    <t xml:space="preserve">Erasmus Med Ctr, Dept Virol, POB 1738, NL-3000 DR Rotterdam, Netherlands.</t>
  </si>
  <si>
    <t xml:space="preserve">Drosten, Christian/AFF-8529-2022; Gopal, Radha/KFT-3219-2024; van der Velden, J./H-8101-2014; Peiris, Joseph/C-4380-2009; Kuiken, Todd/U-3476-2019; Escriou, Nicolas/A-2392-2016; Chan, Paul/J-9360-2013; Fouchier, Ron/A-1911-2014</t>
  </si>
  <si>
    <t xml:space="preserve">Chan, Paul/0000-0002-6360-4608; Fouchier, Ron/0000-0001-8095-2869; van Riel, Debby/0000-0001-9753-3564; Osterhaus, Albert/0000-0002-6074-1172; van der WERF, Sylvie/0000-0002-1148-4456</t>
  </si>
  <si>
    <t xml:space="preserve">1474-547X</t>
  </si>
  <si>
    <t xml:space="preserve">JUL 26</t>
  </si>
  <si>
    <t xml:space="preserve">10.1016/S0140-6736(03)13967-0</t>
  </si>
  <si>
    <t xml:space="preserve">705UL</t>
  </si>
  <si>
    <t xml:space="preserve">WOS:000184413400007</t>
  </si>
  <si>
    <t xml:space="preserve">Ruuskanen, O; Lahti, E; Jennings, LC; Murdoch, DR</t>
  </si>
  <si>
    <t xml:space="preserve">Ruuskanen, Olli; Lahti, Elina; Jennings, Lance C.; Murdoch, David R.</t>
  </si>
  <si>
    <t xml:space="preserve">Viral pneumonia</t>
  </si>
  <si>
    <t xml:space="preserve">Pneumonia; Virology; Medicine; Viral pneumonia</t>
  </si>
  <si>
    <t xml:space="preserve">COMMUNITY-ACQUIRED PNEUMONIA; RESPIRATORY-TRACT INFECTIONS; HUMAN METAPNEUMOVIRUS INFECTION; INFLUENZA A(H1N1) INFECTION; POLYMERASE-CHAIN-REACTION; SYNCYTIAL VIRUS; PANDEMIC INFLUENZA; REQUIRING HOSPITALIZATION; STAPHYLOCOCCUS-AUREUS; ETIOLOGIC DIAGNOSIS</t>
  </si>
  <si>
    <t xml:space="preserve">About 200 million cases of viral community-acquired pneumonia occur every year-100 million in children and 100 million in adults. Molecular diagnostic tests have greatly increased our uwnderstanding of the role of viruses in pneumonia, and findings indicate that the incidence of viral pneumonia has been underestimated. In children, respiratory syncytial virus, rhinovirus, human metapneumovirus, human bocavirus, and parainfluenza viruses are the agents identified most frequently in both developed and developing countries. Dual viral infections are common, and a third of children have evidence of viral-bacterial co-infection. In adults, viruses are the putative causative agents in a third of cases of community-acquired pneumonia, in particular influenza viruses, rhinoviruses, and coronaviruses. Bacteria continue to have a predominant role in adults with pneumonia. Presence of viral epidemics in the community, patient's age, speed of onset of illness, symptoms, biomarkers, radiographic changes, and response to treatment can help differentiate viral from bacterial pneumonia. However, no clinical algorithm exists that will distinguish clearly the cause of pneumonia. No clear consensus has been reached about whether patients with obvious viral community-acquired pneumonia need to be treated with antibiotics. Apart from neuraminidase inhibitors for pneumonia caused by influenza viruses, there is no clear role for use of specific antivirals to treat viral community-acquired pneumonia. Influenza vaccines are the only available specific preventive measures. Further studies are needed to better understand the cause and pathogenesis of community-acquired pneumonia. Furthermore, regional differences in cause of pneumonia should be investigated, in particular to obtain more data from developing countries.</t>
  </si>
  <si>
    <t xml:space="preserve">[Ruuskanen, Olli; Lahti, Elina] Turku Univ Hosp, Dept Paediat, Turku 20521, Finland; [Jennings, Lance C.; Murdoch, David R.] Univ Otago, Microbiol Unit, Canterbury Hlth Labs, Christchurch, New Zealand; [Jennings, Lance C.; Murdoch, David R.] Univ Otago, Dept Pathol, Christchurch, New Zealand</t>
  </si>
  <si>
    <t xml:space="preserve">University of Turku; University of Otago; Canterbury Health Laboratories; University of Otago</t>
  </si>
  <si>
    <t xml:space="preserve">Ruuskanen, O (corresponding author), Turku Univ Hosp, Dept Paediat, PL 52, Turku 20521, Finland.</t>
  </si>
  <si>
    <t xml:space="preserve">Hoffmann La-Roche</t>
  </si>
  <si>
    <t xml:space="preserve">Hoffmann La-Roche(Hoffmann-La Roche)</t>
  </si>
  <si>
    <t xml:space="preserve">EL and DRM declare that they have no conflicts of interest. OR has been a consultant to Novartis Vaccines and Abbot. LCJ has received grant support from Hoffmann La-Roche and honoraria or travel assistance from Hoffmann La-Roche, GlaxoSmithKline, Sanofi Pasteur, Baxter, Novartis, Wyeth, and CSL for participation in advisory groups and scientific meetings.</t>
  </si>
  <si>
    <t xml:space="preserve">10.1016/S0140-6736(10)61459-6</t>
  </si>
  <si>
    <t xml:space="preserve">751DI</t>
  </si>
  <si>
    <t xml:space="preserve">WOS:000289597300033</t>
  </si>
  <si>
    <t xml:space="preserve">Douville, RN; Bastien, N; Li, Y; Pochard, P; Simons, FER; HayGlass, KT</t>
  </si>
  <si>
    <t xml:space="preserve">Douville, Renee N.; Bastien, Nathalie; Li, Yan; Pochard, Pierre; Simons, F. Estelle R.; HayGlass, Kent T.</t>
  </si>
  <si>
    <t xml:space="preserve">Human metapneumovirus elicits weak IFN-γ memory responses compared with respiratory syncytial virus</t>
  </si>
  <si>
    <t xml:space="preserve">Human metapneumovirus; Metapneumovirus; Virology; Respiratory system; Virus</t>
  </si>
  <si>
    <t xml:space="preserve">BLOOD MONONUCLEAR-CELLS; INTERFERON-GAMMA; IMMUNE-RESPONSE; CYTOKINE PRODUCTION; ANTIBODY-RESPONSE; PRIMARY INFECTION; EPITHELIAL-CELLS; DENDRITIC CELLS; YOUNG-CHILDREN; EXPRESSION</t>
  </si>
  <si>
    <t xml:space="preserve">Human metapneumovirus (MPV) is a recently discovered pathogen that causes repeated lower respiratory tract infections beginning in infancy. The prevalence, nature and control of human regulatory responses to MPV are unknown. In this study, we develop and optimize systems to evaluate NWV-driven cytokine responses. Using primary culture of human PBMC from previously exposed adults, MPV-stimulated responses were directly compared with those elicited by genetically and clinically similar respiratory syncytial virus (RSV). Intense IL-6 production was evident following culture with infectious or inactivated RSV. MPV elicited IL-6 responses averaging 3.5-fold more intense (p &lt; 0.001). Virus-dependent expression of IL-11, IL-12, IFN-alpha, and other innate immunity cytokines differed little between MPV and RSV. When examining adaptive immunity, RSV infection elicited strong IFN-gamma responses by all 60 adults. In marked contrast, MPV elicited IFN-gamma in a lower frequency of adults (p &lt; 0.002) and at levels averaging 6-fold weaker (p &lt; 0.001). These Th1-dominated responses were CD4, CD8, CD86 dependent, and were closely paralleled by strong virus-driven IL-10 and CCL5 production. For MPV and RSV, Th2 (IL-5, IL-13) responses were sporadic, occurring in 10-40% of the population. Thus, MPV and RSV, although both ubiquitous and leading to very high levels of infection, seroconversion, and clinically similar presentation in the population, evoke distinct innate and adaptive T cell-dependent cytokine responses. Although both viruses yield Th1-dominated responses with strong IL-10 and CCL5 production, MPV restimulation results in markedly more robust IL-6 and significantly weaker adaptive cytokine responses, in both prevalence and intensity, than does RSV.</t>
  </si>
  <si>
    <t xml:space="preserve">Univ Manitoba, Dept Immunol, Winnipeg, MB R3E 0W3, Canada; Univ Manitoba, Dept Med Microbiol, Winnipeg, MB R3E 0W3, Canada; Univ Manitoba, Dept Pediat Child Hlth, Winnipeg, MB R3E 0W3, Canada; Canadian Sci Ctr Human &amp; Anim Hlth, Winnipeg, MB, Canada</t>
  </si>
  <si>
    <t xml:space="preserve">University of Manitoba; University of Manitoba; University of Manitoba; Canadian Science Centre for Human &amp; Animal Health</t>
  </si>
  <si>
    <t xml:space="preserve">HayGlass, KT (corresponding author), Univ Manitoba, Dept Immunol, 603 Basic Med Sci Bldg,730 William Ave, Winnipeg, MB R3E 0W3, Canada.</t>
  </si>
  <si>
    <t xml:space="preserve">hayglass@ms.umanitoba.ca</t>
  </si>
  <si>
    <t xml:space="preserve">HayGlass, Kent/0000-0002-4621-7737; Pochard, Pierre/0000-0002-5608-7286; Douville, Renee/0000-0002-7854-007X</t>
  </si>
  <si>
    <t xml:space="preserve">10.4049/jimmunol.176.10.5848</t>
  </si>
  <si>
    <t xml:space="preserve">044WW</t>
  </si>
  <si>
    <t xml:space="preserve">WOS:000237705200021</t>
  </si>
  <si>
    <t xml:space="preserve">Noh, JY; Song, JY; Cheong, HJ; Choi, WS; Lee, J; Lee, JS; Wie, SH; Jeong, HW; Kim, YK; Choi, SH; Han, SB; So, BH; Kim, H; Kim, WJ</t>
  </si>
  <si>
    <t xml:space="preserve">Noh, Ji Yun; Song, Joon Young; Cheong, Hee Jin; Choi, Won Suk; Lee, Jacob; Lee, Jin-Soo; Wie, Seong-Heon; Jeong, Hye Won; Kim, Young Keun; Choi, Sung Hyuk; Han, Seung Baik; So, Byung-Hak; Kim, Hyun; Kim, Woo Joo</t>
  </si>
  <si>
    <t xml:space="preserve">Laboratory Surveillance of Influenza-Like Illness in Seven Teaching Hospitals, South Korea: 2011-2012 Season</t>
  </si>
  <si>
    <t xml:space="preserve">Human metapneumovirus; Rhinovirus; Medicine; Enterovirus; Human bocavirus; Influenza-like illness</t>
  </si>
  <si>
    <t xml:space="preserve">RESPIRATORY SYNCYTIAL VIRUS; SEVERE BRONCHIOLITIS; VIRAL-INFECTION; YOUNG-CHILDREN; INFANTS; EPIDEMIOLOGY</t>
  </si>
  <si>
    <t xml:space="preserve">Background: A well-constructed and properly operating influenza surveillance scheme is essential for public health. This study was conducted to evaluate the distribution of respiratory viruses in patients with influenza-like illness (ILI) through the first teaching hospital-based surveillance scheme for ILI in South Korea. Methods: Respiratory specimens were obtained from adult patients (&gt;= 18 years) who visited the emergency department (ED) with ILI from week 40, 2011 to week 22, 2012. Multiplex PCR was performed to detect respiratory viruses: influenza virus, adenovirus, coronavirus, respiratory syncytial virus, rhinovirus, human metapneumovirus, parainfluenza virus, bocavirus, and enterovirus. Results: Among 1,983 patients who visited the ED with ILI, 811 (40.9%) were male. The median age of patients was 43 years. Influenza vaccination rate was 21.7% (430/1,983) during the 2011-2012 season. At least one comorbidity was found in 18% of patients. The positive rate of respiratory viruses was 52.1% (1,033/1,983) and the total number of detected viruses was 1,100. Influenza A virus was the dominant agent (677, 61.5%) in all age groups. The prevalence of human metapneumovirus was higher in patients more than 50 years old, while adenovirus was detected only in younger adults. In 58 (5.6%) cases, two or more respiratory viruses were detected. The co-incidence case was identified more frequently in patients with hematologic malignancy or organ transplantation recipients, however it was not related to clinical outcomes. Conclusion: This study is valuable as the first extensive laboratory surveillance of the epidemiology of respiratory viruses in ILI patients through a teaching hospital-based influenza surveillance system in South Korea.</t>
  </si>
  <si>
    <t xml:space="preserve">[Noh, Ji Yun] Korea Univ, Coll Med, Dept Microbiol, Seoul 136705, South Korea; [Song, Joon Young; Cheong, Hee Jin; Kim, Woo Joo] Korea Univ, Coll Med, Guro Hosp, Div Infect Dis,Dept Internal Med, Seoul 136705, South Korea; [Noh, Ji Yun; Song, Joon Young; Cheong, Hee Jin; Choi, Won Suk; Kim, Woo Joo] Korea Univ, Coll Med, Asia Pacific Influenza Inst, Seoul 136705, South Korea; [Choi, Won Suk] Korea Univ, Coll Med, Ansan Hosp, Div Infect Dis,Dept Internal Med, Ansan, Gyeonggi Provin, South Korea; [Lee, Jacob] Hallym Univ, Sch Med, Kangnam Sacred Heart Hosp, Div Infect Dis,Dept Internal Med, Seoul, South Korea; [Lee, Jin-Soo] Inha Univ, Coll Med, Div Infect Dis, Dept Internal Med, Inchon, South Korea; [Wie, Seong-Heon] Catholic Univ Korea, Sch Med, St Vincents Hosp, Div Infect Dis,Dept Internal Med, Suwon, Gyeonggi Provin, South Korea; [Jeong, Hye Won] Chungbuk Natl Univ, Coll Med, Dept Internal Med, Div Infect Dis, Cheongju, Chungcheongbuk, South Korea; [Kim, Young Keun] Yonsei Univ, Wonju Coll Med, Dept Infect Dis, Wonju, Gangwon Provinc, South Korea; [Choi, Sung Hyuk] Korea Univ, Coll Med, Guro Hosp, Dept Emergency Med, Seoul 136705, South Korea; [Han, Seung Baik] Inha Univ, Dept Emergency Med, Coll Med, Inchon, South Korea; [So, Byung-Hak] Catholic Univ Korea, Sch Med, St Vincents Hosp, Dept Emergency Med, Suwon, Gyeonggi Provin, South Korea; [Kim, Hyun] Yonsei Univ, Wonju Coll Med, Dept Emergency Med, Wonju, Gangwon Provinc, South Korea; [Kim, Woo Joo] Transgovt Enterprise Pandem Influenza Korea, Seoul, South Korea</t>
  </si>
  <si>
    <t xml:space="preserve">Korea University; Korea University Medicine (KU Medicine); Korea University; Korea University Medicine (KU Medicine); Korea University; Korea University Medicine (KU Medicine); Korea University; Korea University Medicine (KU Medicine); Hallym University; Inha University; Catholic University of Korea; Chungbuk National University; Yonsei University; Korea University; Korea University Medicine (KU Medicine); Inha University; Catholic University of Korea; Yonsei University</t>
  </si>
  <si>
    <t xml:space="preserve">Kim, WJ (corresponding author), Korea Univ, Coll Med, Guro Hosp, Div Infect Dis,Dept Internal Med, Seoul 136705, South Korea.</t>
  </si>
  <si>
    <t xml:space="preserve">wjkim@korea.ac.kr</t>
  </si>
  <si>
    <t xml:space="preserve">Kim, Hyoungil/M-7288-2019; Lee, Jungmin/KHT-2438-2024; Kim, TaeHyeon/JOK-7558-2023; Kim, Hyunho/GQH-5608-2022; Kim, Woo Joo/D-2733-2015; Choi, Won Suk/V-2730-2017</t>
  </si>
  <si>
    <t xml:space="preserve">Song, Joon Young/0000-0002-0148-7194; Kim, Woo Joo/0000-0002-4546-3880; Choi, Won Suk/0000-0001-5874-4764; Cheong, Hee Jin/0000-0002-2532-1463; So, Byung Hak/0000-0003-0383-9197; Kim, Young Keun/0000-0002-2120-6265; Choi, Sung-Hyuk/0000-0002-6686-6937</t>
  </si>
  <si>
    <t xml:space="preserve">Seegene Inc. (Seoul, Korea); Korea Healthcare Technology R&amp;D Project, Ministry of Health and Welfare, Republic of Korea [A103001]</t>
  </si>
  <si>
    <t xml:space="preserve">Seegene Inc. (Seoul, Korea); Korea Healthcare Technology R&amp;D Project, Ministry of Health and Welfare, Republic of Korea</t>
  </si>
  <si>
    <t xml:space="preserve">This study was supported by a grant of the Korea Healthcare Technology R&amp;D Project, Ministry of Health and Welfare, Republic of Korea (Grant No.: A103001) and Seegene Inc. (Seoul, Korea). The funders had no role in study design, data collection and analysis, decision to publish, or preparation of the manuscript.</t>
  </si>
  <si>
    <t xml:space="preserve">e64295</t>
  </si>
  <si>
    <t xml:space="preserve">10.1371/journal.pone.0064295</t>
  </si>
  <si>
    <t xml:space="preserve">163UP</t>
  </si>
  <si>
    <t xml:space="preserve">WOS:000320362700131</t>
  </si>
  <si>
    <t xml:space="preserve">Liu, WK; Liu, Q; Chen, DH; Liang, HX; Chen, XK; Chen, MX; Qiu, SY; Yang, ZY; Zhou, R</t>
  </si>
  <si>
    <t xml:space="preserve">Liu, Wen Kuan; Liu, Qian; Chen, De Hui; Liang, Huan Xi; Chen, Xiao Kai; Chen, Mei Xin; Qiu, Shu Yan; Yang, Zi Yeng; Zhou, Rong</t>
  </si>
  <si>
    <t xml:space="preserve">Epidemiology of Acute Respiratory Infections in Children in Guangzhou: A Three-Year Study</t>
  </si>
  <si>
    <t xml:space="preserve">Human bocavirus; Human metapneumovirus; Mycoplasma pneumoniae; Epidemiology</t>
  </si>
  <si>
    <t xml:space="preserve">SYNCYTIAL VIRUS-INFECTION; POLYMERASE-CHAIN-REACTION; INFLUENZA-A H1N1; TRACT INFECTIONS; MYCOPLASMA-PNEUMONIAE; DEVELOPING-COUNTRIES; PARAINFLUENZA VIRUS; VIRAL-INFECTIONS; YOUNG-CHILDREN; HUMAN METAPNEUMOVIRUS</t>
  </si>
  <si>
    <t xml:space="preserve">Acute Respiratory Infections (ARI) are some of the most common human diseases worldwide. However, they have a complex and diverse etiology, and the characteristics of the pathogens involved in respiratory infections in developing countries are not well understood. In this work, we analyzed the characteristics of 17 common respiratory pathogens in children (&lt;= 14 years old) with ARI in Guangzhou, southern China over a 3-year period using real-time polymerase chain reaction. Pathogens were identified in 2361/4242 (55.7%) patients, and the positivity rate varied seasonally. Ten of the 17 pathogens investigated showed positivity rates of more than 5%. The most frequently detected pathogens were respiratory syncytial virus (768/2361, 32.5%), influenza A virus (428/2361, 18.1%), enterovirus (138/2361, 13.3%), Mycoplasma pneumoniae (267/2361, 11.3%) and adenovirus (213/2361, 9.0%). Co-pathogens were common and found in 503 of 2361 (21.3%) positive samples. When ranked according to frequency of occurrence, the pattern of co-pathogens was similar to that of the primary pathogens, with the exception of human bocavirus, human coronavirus and human metapneumovirus. Significant differences were found in age prevalence in 10 of the 17 pathogens (p &lt;= 0.009): four basic patterns were observed, A: detection rates increased with age, B: detection rates declined with age, C: the detection rate showed distinct peaks or D: numbers of patients were too low to detect a trend or showed no significant difference among age groups (p&gt;0.05). These data will be useful for planning vaccine research and control strategies and for studies predicting pathogen prevalence.</t>
  </si>
  <si>
    <t xml:space="preserve">[Liu, Wen Kuan; Liu, Qian; Liang, Huan Xi; Chen, Xiao Kai; Chen, Mei Xin; Qiu, Shu Yan; Yang, Zi Yeng; Zhou, Rong] Guangzhou Med Univ, Natl Clin Res Ctr Resp Dis, State Key Lab Resp Dis, Guangzhou, Guangdong, Peoples R China; [Liu, Wen Kuan; Liu, Qian; Chen, De Hui; Liang, Huan Xi; Chen, Xiao Kai; Chen, Mei Xin; Qiu, Shu Yan; Yang, Zi Yeng; Zhou, Rong] Guangzhou Med Univ, Affiliated Hosp 1, Guangzhou, Guangdong, Peoples R China</t>
  </si>
  <si>
    <t xml:space="preserve">State Key Laboratory of Respiratory Disease; Guangzhou Medical University; Guangzhou Medical University</t>
  </si>
  <si>
    <t xml:space="preserve">Zhou, R (corresponding author), Guangzhou Med Univ, Natl Clin Res Ctr Resp Dis, State Key Lab Resp Dis, Guangzhou, Guangdong, Peoples R China.</t>
  </si>
  <si>
    <t xml:space="preserve">Chen, Xiaokai/AHD-8744-2022; Chen, MeiX/GWZ-3068-2022</t>
  </si>
  <si>
    <t xml:space="preserve">State Major Infectious Disease Research Program (China Central Government) [2012ZX10004-213]; National Science and technology support program [2012BAI05B01]; Combination Project of Guangdong Province [2010B091000018]; Research Project of Guangzhou Medical University [2012A04]; project of Respiratory Medical R&amp;D Centre of Guangdong Province [2010B080100027]</t>
  </si>
  <si>
    <t xml:space="preserve">State Major Infectious Disease Research Program (China Central Government); National Science and technology support program; Combination Project of Guangdong Province; Research Project of Guangzhou Medical University; project of Respiratory Medical R&amp;D Centre of Guangdong Province</t>
  </si>
  <si>
    <t xml:space="preserve">The State Major Infectious Disease Research Program (China Central Government, 2012ZX10004-213), National Science and technology support program (2012BAI05B01), The Combination Project of Guangdong Province (2010B091000018), Research Project of Guangzhou Medical University (2012A04), and the project of Respiratory Medical R&amp;D Centre of Guangdong Province (2010B080100027) provided financial support for this work. The funders had no role in study design, data collection and analysis, decision to publish, or preparation of the manuscript.</t>
  </si>
  <si>
    <t xml:space="preserve">MAY 5</t>
  </si>
  <si>
    <t xml:space="preserve">e96674</t>
  </si>
  <si>
    <t xml:space="preserve">10.1371/journal.pone.0096674</t>
  </si>
  <si>
    <t xml:space="preserve">AI1ZV</t>
  </si>
  <si>
    <t xml:space="preserve">WOS:000336656000114</t>
  </si>
  <si>
    <t xml:space="preserve">Kim, YJ; Waghmare, A; Xie, H; Holmberg, L; Pergam, SA; Jerome, KR; Leisenring, WM; Ogimi, C; Campbell, AP; Englund, JA; Boeckh, M</t>
  </si>
  <si>
    <t xml:space="preserve">Kim, Yae-Jean; Waghmare, Alpana; Xie, Hu; Holmberg, Leona; Pergam, Steven A.; Jerome, Keith R.; Leisenring, Wendy M.; Ogimi, Chikara; Campbell, Angela P.; Englund, Janet A.; Boeckh, Michael</t>
  </si>
  <si>
    <t xml:space="preserve">Respiratory viruses in hematopoietic cell transplant candidates: impact of preexisting lower tract disease on outcomes</t>
  </si>
  <si>
    <t xml:space="preserve">BLOOD ADVANCES</t>
  </si>
  <si>
    <t xml:space="preserve">Medicine; Rhinovirus; Internal medicine; Respiratory tract infections; Hazard ratio; Respiratory system; Hematopoietic stem cell transplantation</t>
  </si>
  <si>
    <t xml:space="preserve">VIRAL-RNA DETECTION; STEM-CELL; SYNCYTIAL VIRUS; HUMAN RHINOVIRUS; HUMAN METAPNEUMOVIRUS; PARAINFLUENZA VIRUS; HUMAN CORONAVIRUS; INFECTIONS; RECIPIENTS; BLOOD</t>
  </si>
  <si>
    <t xml:space="preserve">Pretransplant respiratory virus infections (RVIs) have been shown to negatively affect hematopoietic cell transplantation (HCT) outcomes. The impact of and need for delay of HCT for pretransplant infection with human rhinovirus (HRV) or endemic human coronavirus (HCoV; 229E, OC43, NL63, and HKU1) remain controversial. We analyzed the impact of symptomatic RVI within #90 days before HCT on overall mortality, posttransplant lower respiratory tract disease (LRD), and days alive and out of hospital (DAOH) by day 100 post-HCT in multivariable models. Among 1,643 adult HCT recipients (58% allogeneic recipients), 704 (43%) were tested for RVI before HCT, and 307 (44%) tested positive. HRV was most commonly detected (56%). Forty-five (15%) of 307 HCT recipients had LRD with the same virus early after HCT. Pretransplant upper respiratory tract infection (URI) with influenza, respiratory syncytial virus, adenovirus, human metapneumovirus, parainfluenza virus, HRV, or endemic HCoV was not associated with increased overall mortality or fewer DAOH. However, in allogeneic recipients who received myeloablative conditioning, LRD due to any respiratory virus, including HRV alone, was associated with increased overall mortality (adjusted hazard ratio, 10.8 [95% confidence interval, 3.29-35.1] for HRV and 3.21 [95% confidence interval, 1.15-9.01] for all other viruses). HRV LRD was also associated with fewer DAOH. Thus, the presence of LRD due to common respiratory viruses, including HRV, before myeloablative allogeneic HCT was associated with increased mortality and hospitalization. Pretransplant URI due to HRV and endemic HCoV was not associated with these outcomes. Improved management strategies for pretransplant LRD are warranted.</t>
  </si>
  <si>
    <t xml:space="preserve">[Kim, Yae-Jean; Waghmare, Alpana; Holmberg, Leona; Pergam, Steven A.; Jerome, Keith R.; Ogimi, Chikara; Campbell, Angela P.; Englund, Janet A.; Boeckh, Michael] Fred Hutchinson Canc Ctr, Vaccine &amp; Infect Dis Div, Seattle, WA USA; [Kim, Yae-Jean] Sungkyunkwan Univ, Samsung Med Ctr, Dept Pediat, Div Infect Dis, Seoul, South Korea; [Kim, Yae-Jean] Samsung Adv Inst Hlth Sci &amp; Technol, Seoul, South Korea; [Waghmare, Alpana; Ogimi, Chikara; Englund, Janet A.] Univ Washington, Dept Pediat, Seattle, WA USA; [Waghmare, Alpana; Ogimi, Chikara; Englund, Janet A.] Seattle Childrens Hosp, Pediat Infect Dis Div, Seattle, WA USA; [Xie, Hu; Pergam, Steven A.; Leisenring, Wendy M.; Boeckh, Michael] Fred Hutchinson Canc Ctr, Clin Res Div, Seattle, WA USA; [Holmberg, Leona; Pergam, Steven A.; Boeckh, Michael] Univ Washington, Dept Med, Seattle, WA USA; [Jerome, Keith R.] Univ Washington, Dept Lab Med &amp; Pathol, Seattle, WA USA; [Waghmare, Alpana] Fred Hutchinson Canc Ctr, Vaccine &amp; Infect Div, 1100 Fairview Ave N, Seattle, WA 98109 USA</t>
  </si>
  <si>
    <t xml:space="preserve">Fred Hutchinson Cancer Center; Sungkyunkwan University (SKKU); Samsung Medical Center; Sungkyunkwan University (SKKU); Samsung Medical Center; University of Washington; University of Washington Seattle; Seattle Children's Hospital; Fred Hutchinson Cancer Center; University of Washington; University of Washington Seattle; University of Washington; University of Washington Seattle; Fred Hutchinson Cancer Center</t>
  </si>
  <si>
    <t xml:space="preserve">Waghmare, A (corresponding author), Fred Hutchinson Canc Ctr, Vaccine &amp; Infect Div, 1100 Fairview Ave N, Seattle, WA 98109 USA.</t>
  </si>
  <si>
    <t xml:space="preserve">awaghmar@fredhutch.org</t>
  </si>
  <si>
    <t xml:space="preserve">Pergam, Steven/C-2286-2008; Boeckh, Michael/AAA-1607-2022; Ogimi, Chikara/ABD-5632-2020; Englund, Janet/ABV-6379-2022; Kim, Junetae/AAS-1234-2021</t>
  </si>
  <si>
    <t xml:space="preserve">Xie, Hu/0000-0003-0556-6591; OGIMI, CHIKARA/0000-0002-2166-8152; Waghmare, Alpana/0000-0003-2268-9470; Englund, Janet/0000-0003-1134-4178; Leisenring, Wendy/0000-0001-7405-0906; /0000-0002-2576-482X; Jerome, Keith/0000-0002-8212-3789</t>
  </si>
  <si>
    <t xml:space="preserve">National Institutes of Health (National Heart, Lung, and Blood Institute) [K24 HL093294]; National Institutes of Health (National Institute of Allergy and Infectious Diseases) [K23 AI114844, K23 AI139385]; National Institute of Allergy and Infectious Diseases [K23AI139385] Funding Source: NIH RePORTER</t>
  </si>
  <si>
    <t xml:space="preserve">National Institutes of Health (National Heart, Lung, and Blood Institute)(United States Department of Health &amp; Human ServicesNational Institutes of Health (NIH) - USANIH National Heart Lung &amp; Blood Institute (NHLBI)); National Institutes of Health (National Institute of Allergy and Infectious Diseases)(United States Department of Health &amp; Human ServicesNational Institutes of Health (NIH) - USANIH National Institute of Allergy &amp; Infectious Diseases (NIAID)); National Institute of Allergy and Infectious Diseases(United States Department of Health &amp; Human ServicesNational Institutes of Health (NIH) - USANIH National Institute of Allergy &amp; Infectious Diseases (NIAID))</t>
  </si>
  <si>
    <t xml:space="preserve">This work was supported by the National Institutes of Health (National Heart, Lung, and Blood Institute, K24 HL093294, M.B.; National Institute of Allergy and Infectious Diseases, K23 AI114844 [A.W.] and K23 AI139385 [C.O.] ), and institutional support from the Seattle Cancer Care Alliance.</t>
  </si>
  <si>
    <t xml:space="preserve">2473-9529</t>
  </si>
  <si>
    <t xml:space="preserve">2473-9537</t>
  </si>
  <si>
    <t xml:space="preserve">BLOOD ADV</t>
  </si>
  <si>
    <t xml:space="preserve">Blood Adv.</t>
  </si>
  <si>
    <t xml:space="preserve">10.1182/bloodadvances.2021004915</t>
  </si>
  <si>
    <t xml:space="preserve">5R7LA</t>
  </si>
  <si>
    <t xml:space="preserve">WOS:000874686400007</t>
  </si>
  <si>
    <t xml:space="preserve">Cotton, MF; Innes, S; Jaspan, H; Madide, A; Rabie, H</t>
  </si>
  <si>
    <t xml:space="preserve">Cotton, M. F.; Innes, S.; Jaspan, H.; Madide, A.; Rabie, H.</t>
  </si>
  <si>
    <t xml:space="preserve">Management of upper respiratory tract infections in children</t>
  </si>
  <si>
    <t xml:space="preserve">SOUTH AFRICAN FAMILY PRACTICE</t>
  </si>
  <si>
    <t xml:space="preserve">Rhinovirus; Medicine; Respiratory tract infections; Human metapneumovirus; Metapneumovirus; Epidemiology; Human bocavirus</t>
  </si>
  <si>
    <t xml:space="preserve">ACUTE RHEUMATIC-FEVER; COMMON COLD; INDUSTRIAL-POPULATION; RHINOVIRUS INFECTIONS; COUGHING CHILDREN; NOCTURNAL COUGH; SLEEP QUALITY; INFLUENZA; PREVENTION; ECHINACEA</t>
  </si>
  <si>
    <t xml:space="preserve">Upper respiratory tract infection (URTI) occurs commonly in both children and adults and is a major cause of mild morbidity. It has a high cost to society, being responsible for absenteeism from school and work and unnecessary medical care, and is occasionally associated with serious sequelae. URTIs are usually caused by several families of virus; these are the rhinovirus, coronavirus, parainfluenza, respiratory syncytial virus (RSV), adenovirus, human metapneumovirus, influenza, enterovirus and the recently discovered bocavirus. This review will mainly focus on the rhinovirus, where significant advances have been made in understanding the epidemiology, natural history and relationship with other pathogens.</t>
  </si>
  <si>
    <t xml:space="preserve">[Cotton, M. F.; Innes, S.; Jaspan, H.; Madide, A.; Rabie, H.] Univ Stellenbosch, Dept Paediat &amp; Child Hlth, Paediat Infect Dis Unit, Stellenbosch, South Africa</t>
  </si>
  <si>
    <t xml:space="preserve">Stellenbosch University</t>
  </si>
  <si>
    <t xml:space="preserve">Cotton, MF (corresponding author), Univ Stellenbosch, Dept Paediat &amp; Child Hlth, Paediat Infect Dis Unit, Stellenbosch, South Africa.</t>
  </si>
  <si>
    <t xml:space="preserve">mcot@sun.ac.za</t>
  </si>
  <si>
    <t xml:space="preserve">Cotton, Mark/AAQ-9936-2020; Rabie, Helena/ABH-1437-2020</t>
  </si>
  <si>
    <t xml:space="preserve">Innes, Steve/0000-0003-3969-8680; Rabie, Helena/0000-0001-6336-2963</t>
  </si>
  <si>
    <t xml:space="preserve">AOSIS</t>
  </si>
  <si>
    <t xml:space="preserve">Durbanville</t>
  </si>
  <si>
    <t xml:space="preserve">Postnet Suite 110, Private Bag x 19, Durbanville, SOUTH AFRICA</t>
  </si>
  <si>
    <t xml:space="preserve">2078-6190</t>
  </si>
  <si>
    <t xml:space="preserve">2078-6204</t>
  </si>
  <si>
    <t xml:space="preserve">S AFR FAM PRACT</t>
  </si>
  <si>
    <t xml:space="preserve">S. Afr. Fam. Pract.</t>
  </si>
  <si>
    <t xml:space="preserve">10.1080/20786204.2008.10873685</t>
  </si>
  <si>
    <t xml:space="preserve">V3W4Q</t>
  </si>
  <si>
    <t xml:space="preserve">WOS:000218649500002</t>
  </si>
  <si>
    <t xml:space="preserve">Falsey, AR</t>
  </si>
  <si>
    <t xml:space="preserve">Falsey, Ann R.</t>
  </si>
  <si>
    <t xml:space="preserve">Community-Acquired Viral Pneumonia</t>
  </si>
  <si>
    <t xml:space="preserve">CLINICS IN GERIATRIC MEDICINE</t>
  </si>
  <si>
    <t xml:space="preserve">Medicine; Viral pneumonia; Pneumonia; Immunology; Virus</t>
  </si>
  <si>
    <t xml:space="preserve">RESPIRATORY SYNCYTIAL VIRUS; CORONAVIRUS NL63 INFECTION; HUMAN METAPNEUMOVIRUS; INFLUENZA-A; RAPID DETECTION; CLINICAL-MANIFESTATIONS; ELDERLY-PEOPLE; COMMON COLD; ADULTS; TRACT</t>
  </si>
  <si>
    <t xml:space="preserve">Advanced age often is associated with functional and immunologic decline and chronic cardiopulmonary diseases that predispose to pneumonia when viral infection occurs. Influenza virus remains the primary viral pathogen in the elderly, although the impact of the other respiratory viruses remains to be defined. The clinical syndromes associated with respiratory viruses frequently are indistinguishable from one another or bacterial pathogens; often, viral illness in older adults exacerbates underlying conditions, complicating diagnosis. Antiviral therapy is available for influenza A and 13; specific viral diagnosis, particularly with the use of rapid antigen detection, may be useful for clinical management. Treatment for other viruses primarily is supportive.</t>
  </si>
  <si>
    <t xml:space="preserve">[Falsey, Ann R.] Rochester Gen Hosp, Infect Dis Unit, Dept Med, Div Infect Dis, Rochester, NY 14621 USA; [Falsey, Ann R.] Univ Rochester, Sch Med &amp; Dent, Dept Med, Rochester, NY 14624 USA</t>
  </si>
  <si>
    <t xml:space="preserve">Falsey, AR (corresponding author), Rochester Gen Hosp, Infect Dis Unit, Dept Med, Div Infect Dis, 1425 Portland Ave, Rochester, NY 14621 USA.</t>
  </si>
  <si>
    <t xml:space="preserve">0749-0690</t>
  </si>
  <si>
    <t xml:space="preserve">1879-8853</t>
  </si>
  <si>
    <t xml:space="preserve">CLIN GERIATR MED</t>
  </si>
  <si>
    <t xml:space="preserve">Clin. Geriatr. Med.</t>
  </si>
  <si>
    <t xml:space="preserve">10.1016/j.cger.2007.02.002</t>
  </si>
  <si>
    <t xml:space="preserve">V95WW</t>
  </si>
  <si>
    <t xml:space="preserve">WOS:000206481400006</t>
  </si>
  <si>
    <t xml:space="preserve">Luna, LKD; Panning, M; Grywna, K; Pfefferle, S; Drosten, C</t>
  </si>
  <si>
    <t xml:space="preserve">de Souza Luna, Luciano Kleber; Panning, Marcus; Grywna, Klaus; Pfefferle, Susanne; Drosten, Christian</t>
  </si>
  <si>
    <t xml:space="preserve">Spectrum of viruses and atypical bacteria in intercontinental air travelers with symptoms of acute respiratory infection</t>
  </si>
  <si>
    <t xml:space="preserve">Human bocavirus; Rhinovirus; Human metapneumovirus; Mycoplasma pneumoniae; Virology; Context (archaeology); Virus; Respiratory system; Mycoplasma; Metapneumovirus; Respiratory tract infections</t>
  </si>
  <si>
    <t xml:space="preserve">HUMAN BOCAVIRUS; CORONAVIRUS; DNA</t>
  </si>
  <si>
    <t xml:space="preserve">Respiratory infections after air travel are frequent, but epidemiological data are incomplete. Using sensitive polymerase chain reactions, we studied the spectrum of atypical bacteria and respiratory viruses in travelers fulfilling the case definition of severe acute respiratory syndrome. A pathogen was identified in 67 travelers ( 43.2%). Influenza and parainfluenza viruses were most prevalent, at 14.2% and 15.5%, respectively. Prevalences of adenoviruses, human metapneumovirus, coronaviruses, and rhinoviruses ranged between 2.6% and 4.8%. Human bocavirus, respiratory syncytial virus, and Legionella, Mycoplasma, and Chlamydophila species were absent or appeared at frequencies of &lt; 1%. To our knowledge, these are the first specific baseline data for the mentioned agents in the context of air travel.</t>
  </si>
  <si>
    <t xml:space="preserve">Bernhard Nocht Inst Trop Med, D-20359 Hamburg, Germany</t>
  </si>
  <si>
    <t xml:space="preserve">Bernhard Nocht Institut fur Tropenmedizin</t>
  </si>
  <si>
    <t xml:space="preserve">Drosten, C (corresponding author), Bernhard Nocht Inst Trop Med, Bernhard Nocht Str 74, D-20359 Hamburg, Germany.</t>
  </si>
  <si>
    <t xml:space="preserve">drosten@bni-hamburg.de</t>
  </si>
  <si>
    <t xml:space="preserve">de Souza Luna, Luciano Kleber/L-1213-2013; Drosten, Christian/AFF-8529-2022; Panning, Marcus/I-7889-2016</t>
  </si>
  <si>
    <t xml:space="preserve">de Souza Luna, Luciano Kleber/0000-0002-3552-5507; Panning, Marcus/0000-0003-3596-5964</t>
  </si>
  <si>
    <t xml:space="preserve">10.1086/511432</t>
  </si>
  <si>
    <t xml:space="preserve">136RV</t>
  </si>
  <si>
    <t xml:space="preserve">WOS:000244242700011</t>
  </si>
  <si>
    <t xml:space="preserve">Gleich, SJ; Schiltz, BM; Ouellette, Y; Baker, JE; Aganga, DO</t>
  </si>
  <si>
    <t xml:space="preserve">Gleich, Stephen J.; Schiltz, Brenda M.; Ouellette, Yves; Baker, James E.; Aganga, Devon O.</t>
  </si>
  <si>
    <t xml:space="preserve">Improvement in Oxygenation Utilizing Transpulmonary Pressure Monitoring for Optimal Positive End-Expiratory Pressure in Pediatric Acute Respiratory Distress Syndrome: A Case Report</t>
  </si>
  <si>
    <t xml:space="preserve">A &amp; A PRACTICE</t>
  </si>
  <si>
    <t xml:space="preserve">Medicine; Transpulmonary pressure; Positive end-expiratory pressure; Respiratory distress; Hypoxemia</t>
  </si>
  <si>
    <t xml:space="preserve">MECHANICAL VENTILATION; ESOPHAGEAL PRESSURE; CHILDREN</t>
  </si>
  <si>
    <t xml:space="preserve">In severe pediatric acute respiratory distress syndrome, data are lacking on methods to measure and set optimal positive end-expiratory pressure. We present a 2-year-old girl with Trisomy 21 who developed severe pediatric acute respiratory distress syndrome and refractory hypoxemia from human metapneumovirus pneumonia. Esophageal manometry was utilized to measure transpulmonary pressure, and positive end-expiratory pressure was increased to 19 cm H2O, resulting in rapid improvement in oxygenation. Hemodynamics remained adequate without intervention. The patient improved and survived without sequelae. Our case suggests that transpulmonary pressure monitoring should be studied as an adjunct to improve outcomes in pediatric acute respiratory distress syndrome.</t>
  </si>
  <si>
    <t xml:space="preserve">[Gleich, Stephen J.; Baker, James E.; Aganga, Devon O.] Mayo Clin, Dept Anesthesiol &amp; Perioperat Med, Rochester, MN USA; [Schiltz, Brenda M.; Ouellette, Yves] Mayo Clin, Dept Pediat &amp; Adolescent Med, Rochester, MN USA</t>
  </si>
  <si>
    <t xml:space="preserve">Gleich, SJ (corresponding author), Dept Anesthesiol &amp; Perioperat Med, 200 1st St SW, Rochester, MN 55905 USA.</t>
  </si>
  <si>
    <t xml:space="preserve">gleich.stephen@mayo.edu</t>
  </si>
  <si>
    <t xml:space="preserve">Schiltz, Brenda/AAG-1157-2020</t>
  </si>
  <si>
    <t xml:space="preserve">2325-7237</t>
  </si>
  <si>
    <t xml:space="preserve">A A PRACT</t>
  </si>
  <si>
    <t xml:space="preserve">A A Pract.</t>
  </si>
  <si>
    <t xml:space="preserve">10.1213/XAA.0000000000001008</t>
  </si>
  <si>
    <t xml:space="preserve">Anesthesiology</t>
  </si>
  <si>
    <t xml:space="preserve">IV7WP</t>
  </si>
  <si>
    <t xml:space="preserve">WOS:000484477900011</t>
  </si>
  <si>
    <t xml:space="preserve">Zhang, GC; Hu, YW; Wang, HP; Zhang, L; Bao, YX; Zhou, XM</t>
  </si>
  <si>
    <t xml:space="preserve">Zhang, Guocui; Hu, Yunwen; Wang, Hongping; Zhang, Lu; Bao, Yixi; Zhou, Xiaoming</t>
  </si>
  <si>
    <t xml:space="preserve">High Incidence of Multiple Viral Infections Identified in Upper Respiratory Tract Infected Children under Three Years of Age in Shanghai, China</t>
  </si>
  <si>
    <t xml:space="preserve">Rhinovirus; Human bocavirus; Human metapneumovirus; Respiratory tract infections; Virology; Virus; Incidence (geometry); Respiratory system; Medicine; Enterovirus</t>
  </si>
  <si>
    <t xml:space="preserve">REAL-TIME PCR; HUMAN METAPNEUMOVIRUS; SYNCYTIAL-VIRUS; INFLUENZA-B; NESTED-PCR; ASSAY; DIAGNOSIS; SYSTEM; SARS</t>
  </si>
  <si>
    <t xml:space="preserve">Background: Upper respiratory tract infection (URTI) is a major reason for hospitalization in childhood. More than 80% of URTIs are viral. Etiological diagnosis of URTIs is important to make correct clinical decisions on treatment methods. However, data for viral spectrum of URTIs are very limited in Shanghai children. Methods: Nasopharyngeal swabs were collected from a group of 164 children aged below 3 years who were hospitalized due to acute respiratory infection from May 2009 to July 2010 in Shanghai. A VRDAL multiplex PCR for 10 common respiratory viruses was performed on collected specimens compared with the Seeplex (R) RV15 ACE Detection kit for 15 respiratory viruses. Results: Viruses were detected in 84 (51.2%) patients by VRDAL multiplex PCR, and 8 (4.9%) of cases were mixed infections. Using the Seeplex (R) RV15 ACE Detection kit, viruses were detected in 129 (78.7%) patients, 49 (29.9%) were co-infected cases. Identified viruses included 37 of human rhinovirus (22.6% of cases), 32 of influenza A virus (19.5%), 30 of parainfluenzavirus-2 (18.3%), 23 of parainfluenzavirus-3 (14.0%), 15 of human enterovirus (9.1%), 14 each of parainfluenzavirus-1, respiratory syncytial virus B and adenovirus (8.5%), 8 of coronavirus 229E/NL63 (4.9%), 6 of human bocavirus (3.7%), 5 each of influenza B virus and respiratory syncytial virus A (3.0%), 3 of parainfluenzavirus-4 (1.8%), 2 of coronavirus OC43/HKU1 (1.2%), and 1 human metapneumovirus (0.6%). Conclusions: A high frequency of respiratory infections (78.7%) and co-infections (29.9%) was detected in children with acute respiratory infection symptoms in Shanghai. The Seeplex (R) RV15 ACE detection method was found to be a more reliable high throughput tool than VRDAL method to simultaneously detect multiple respiratory viruses.</t>
  </si>
  <si>
    <t xml:space="preserve">[Zhang, Guocui; Hu, Yunwen; Wang, Hongping; Zhang, Lu; Zhou, Xiaoming] Fudan Univ, Shanghai Publ Hlth Clin Ctr, Shanghai 200433, Peoples R China; [Zhang, Guocui; Bao, Yixi] Chongqing Med Univ, Affiliated Hosp 2, Dept Clin Lab, Chongqing, Peoples R China</t>
  </si>
  <si>
    <t xml:space="preserve">Fudan University; Chongqing Medical University</t>
  </si>
  <si>
    <t xml:space="preserve">Zhang, GC (corresponding author), Fudan Univ, Shanghai Publ Hlth Clin Ctr, Shanghai 200433, Peoples R China.</t>
  </si>
  <si>
    <t xml:space="preserve">xmzhou@shmu.edu.cn</t>
  </si>
  <si>
    <t xml:space="preserve">Chinese National R&amp;D Programme for Key Technologies from Chinese Government, Ministry of Science and Technology [2009ZX10004-104]</t>
  </si>
  <si>
    <t xml:space="preserve">Chinese National R&amp;D Programme for Key Technologies from Chinese Government, Ministry of Science and Technology</t>
  </si>
  <si>
    <t xml:space="preserve">This work was funded by Chinese National R&amp;D Programme for Key Technologies (No. 2009ZX10004-104) from Chinese Government, Ministry of Science and Technology. The funders had no role in study design, data collection and analysis, decision to publish, or preparation of the manuscript.</t>
  </si>
  <si>
    <t xml:space="preserve">e44568</t>
  </si>
  <si>
    <t xml:space="preserve">10.1371/journal.pone.0044568</t>
  </si>
  <si>
    <t xml:space="preserve">001LK</t>
  </si>
  <si>
    <t xml:space="preserve">WOS:000308462000030</t>
  </si>
  <si>
    <t xml:space="preserve">Xu, B; Wang, JF; Li, ZJ; Xu, CD; Liao, YL; Hu, MG; Yang, J; Lai, SJ; Wang, LP; Yang, WZ</t>
  </si>
  <si>
    <t xml:space="preserve">Xu, Bing; Wang, Jinfeng; Li, Zhongjie; Xu, Chengdong; Liao, Yilan; Hu, Maogui; Yang, Jing; Lai, Shengjie; Wang, Liping; Yang, Weizhong</t>
  </si>
  <si>
    <t xml:space="preserve">Seasonal association between viral causes of hospitalised acute lower respiratory infections and meteorological factors in China: a retrospective study</t>
  </si>
  <si>
    <t xml:space="preserve">LANCET PLANETARY HEALTH</t>
  </si>
  <si>
    <t xml:space="preserve">Retrospective cohort study; China; Medicine; Respiratory system; Coronavirus disease 2019 (COVID-19)</t>
  </si>
  <si>
    <t xml:space="preserve">SYNCYTIAL VIRUS; PARAINFLUENZA VIRUS; INFLUENZA-VIRUS; TRANSMISSION; HUMIDITY; CHILDREN; CLIMATE; EPIDEMIOLOGY</t>
  </si>
  <si>
    <t xml:space="preserve">Background Acute lower respiratory infections (ALRIs) caused by respiratory viruses are common and persistent infectious diseases worldwide and in China, which have pronounced seasonal patterns. Meteorological factors have important roles in the seasonality of some major viruses, especially respiratory syncytial virus (RSV) and influenza virus. Our aim was to identify the dominant meteorological factors and to model their effects on common respiratory viruses in different regions of China. Methods We analysed monthly virus data on patients hospitalised with ALRI from 81 sentinel hospitals in 22 provinces in mainland China from Jan 1, 2009, to Sept 30, 2013. We considered seven common respiratory viruses: RSV, influenza virus, human parainfluenza virus, adenovirus, human metapneumovirus, human bocavirus, and human coronavirus. Meteorological data of the same period were used to analyse relationships between virus seasonality and seven meteorological factors according to region (southern vs northern China). The geographical detector method was used to quantify the explanatory power of each meteorological factor, individually and interacting in pairs, on the respiratory viruses. Findings 28 369 hospitalised patients with ALRI were tested, 10 387 (36.6%) of whom were positive for at least one virus, including RSV (4091 [32.0%] patients), influenza virus (2665 [20.8%]), human parainfluenza virus (2185 [17.1%]), adenovirus (1478 [11.6%]), human bocavirus (1120 [8.8%]), human coronavirus (637 [5.0%]), and human metapneumovirus (615 [4.8%]). RSV and influenza virus had annual peaks in the north and biannual peaks in the south. Human parainfluenza virus and human bocavirus had higher positive rates in the spring-summer months. Human metapneumovirus had an annual peak in winter-spring, especially in the north. Adenovirus and human coronavirus exhibited no clear annual seasonality. Temperature, atmospheric pressure, vapour pressure, and rainfall had most explanatory power on most respiratory viruses in each region. Relative humidity was only dominant in the north, but had no significant explanatory power for most viruses in the south. Hours of sunlight had significant explanatory power for RSV and influenza virus in the north, and for most viruses in the south. Wind speed was the only factor with significant explanatory power for human coronavirus in the south. For all viruses, interactions between any two of the paired factors resulted in enhanced explanatory power, either bivariately or non-linearly. Interpretation Spatiotemporal heterogeneity was detected for most viruses in this study, and interactions between pairs of meteorological factors were found to enhance their influence on virus variation. These findings might be helpful to guide government planning, such as public health interventions, infection control practice, and timing of passive immunoprophylaxis, and might facilitate the development of future vaccine strategies. Funding National Natural Science Foundation of China, the Ministry of Science and Technology of China, and the Technology Major Project of China.</t>
  </si>
  <si>
    <t xml:space="preserve">[Xu, Bing; Wang, Jinfeng; Xu, Chengdong; Liao, Yilan; Hu, Maogui] Chinese Acad Sci, Inst Geog Sci &amp; Nat Resources Res, State Key Lab Resources &amp; Environm Informat Syst, Beijing 100101, Peoples R China; [Xu, Bing; Wang, Jinfeng] Univ Chinese Acad Sci, Sino Danish Coll, Beijing, Peoples R China; [Li, Zhongjie; Lai, Shengjie; Wang, Liping] Chinese Ctr Dis Control &amp; Prevent, Key Lab Surveillance &amp; Early Warning Infect Dis, Beijing, Peoples R China; [Yang, Weizhong] Chinese Acad Med Sci, Peking Union Med Coll, Sch Populat Med &amp; Publ Hlth, Beijing, Peoples R China; [Xu, Bing] Sino Danish Ctr Educ &amp; Res, Beijing, Peoples R China; [Yang, Jing] Beijing Acad Agr &amp; Forestry Sci, Beijing Res Ctr Informat Technol Agr, Beijing, Peoples R China; [Yang, Jing] Natl Engn Res Ctr Informat Technol Agr, Beijing, Peoples R China; [Lai, Shengjie] Univ Southampton, Sch Geog &amp; Environm Sci, WorldPop, Southampton, Hants, England</t>
  </si>
  <si>
    <t xml:space="preserve">Chinese Academy of Sciences; Institute of Geographic Sciences &amp; Natural Resources Research, CAS; Chinese Academy of Sciences; University of Chinese Academy of Sciences, CAS; Chinese Center for Disease Control &amp; Prevention; Chinese Academy of Medical Sciences - Peking Union Medical College; Peking Union Medical College; Beijing Academy of Agriculture &amp; Forestry Sciences (BAAFS); Beijing Academy of Agriculture &amp; Forestry Sciences (BAAFS); University of Southampton</t>
  </si>
  <si>
    <t xml:space="preserve">Wang, JF (corresponding author), Chinese Acad Sci, Inst Geog Sci &amp; Nat Resources Res, State Key Lab Resources &amp; Environm Informat Syst, Beijing 100101, Peoples R China.</t>
  </si>
  <si>
    <t xml:space="preserve">wangjf@lreis.ac.cn</t>
  </si>
  <si>
    <t xml:space="preserve">Wang, Jinfeng/HCI-1208-2022; Wang, Liping/B-2827-2012; Xu, Bing/C-7732-2015; Li, Zhongjie/J-1474-2018; Hu, Maogui/N-7105-2013</t>
  </si>
  <si>
    <t xml:space="preserve">Lai, Shengjie/0000-0001-9781-8148</t>
  </si>
  <si>
    <t xml:space="preserve">National Natural Science Foundation of China,; Ministry of Science and Technology of China; Technology Major Project of China</t>
  </si>
  <si>
    <t xml:space="preserve">National Natural Science Foundation of China,(National Natural Science Foundation of China (NSFC)); Ministry of Science and Technology of China(Ministry of Science and Technology, China); Technology Major Project of China</t>
  </si>
  <si>
    <t xml:space="preserve">Funding National Natural Science Foundation of China, the Ministry of Science and Technology of China, and the Technology Major Project of China.</t>
  </si>
  <si>
    <t xml:space="preserve">2542-5196</t>
  </si>
  <si>
    <t xml:space="preserve">LANCET PLANET HEALTH</t>
  </si>
  <si>
    <t xml:space="preserve">Lancet Planet. Health</t>
  </si>
  <si>
    <t xml:space="preserve">E154</t>
  </si>
  <si>
    <t xml:space="preserve">E163</t>
  </si>
  <si>
    <t xml:space="preserve">10.1016/S2542-5196(20)30297-7</t>
  </si>
  <si>
    <t xml:space="preserve">QY2NO</t>
  </si>
  <si>
    <t xml:space="preserve">gold, Green Submitted, Green Accepted</t>
  </si>
  <si>
    <t xml:space="preserve">WOS:000629882600009</t>
  </si>
  <si>
    <t xml:space="preserve">Rogers, BB; Shankar, P; Jerris, RC; Kotzbauer, D; Anderson, EJ; Watson, JR; O'Brien, LA; Uwindatwa, F; McNamara, K; Bost, JE</t>
  </si>
  <si>
    <t xml:space="preserve">Rogers, Beverly B.; Shankar, Prabhu; Jerris, Robert C.; Kotzbauer, David; Anderson, Evan J.; Watson, J. Renee; O'Brien, Lauren A.; Uwindatwa, Francine; McNamara, Kelly; Bost, James E.</t>
  </si>
  <si>
    <t xml:space="preserve">Impact of a Rapid Respiratory Panel Test on Patient Outcomes</t>
  </si>
  <si>
    <t xml:space="preserve">ARCHIVES OF PATHOLOGY &amp; LABORATORY MEDICINE</t>
  </si>
  <si>
    <t xml:space="preserve">Human metapneumovirus; Rhinovirus; Medicine; Emergency department; Context (archaeology); Respiratory system</t>
  </si>
  <si>
    <t xml:space="preserve">VIRAL PANEL</t>
  </si>
  <si>
    <t xml:space="preserve">Context.-Evolution of polymerase chain reaction testing for infectious pathogens has occurred concurrent with a focus on value-based medicine. Objective.-To determine if implementation of the FilmArray rapid respiratory panel (BioFire Diagnostics, Salt Lake City, Utah) (hereafter RRP), with a shorter time to the test result and expanded panel, results in different outcomes for children admitted to the hospital with an acute respiratory tract illness. Design.-Patient outcomes were compared before implementation of the RRP (November 1, 2011, to January 31, 2012) versus after implementation of the RRP (November 1, 2012, to January 31, 2013). The study included inpatients 3 months or older with an acute respiratory tract illness, most admitted through the emergency department. Testing before RRP implementation used batched polymerase chain reaction analysis for respiratory syncytial virus and influenza A and B, with additional testing for parainfluenza 1 through 3 in approximately 11% of patients and for human metapneumovirus in less than 1% of patients. The RRP tested for respiratory syncytial virus, influenza A and B, parainfluenza 1 through 4, human metapneumovirus, adenovirus, rhinovirus/enterovirus, and coronavirus NL62. Results.-The pre-RRP group had 365 patients, and the post-RRP group had 771 patients. After RRP implementation, the mean time to the test result was shorter (383 minutes versus 1119 minutes, P &lt; .001), and the percentage of patients with a result in the emergency department was greater (51.6% versus 13.4%, P &lt; .001). There was no difference in whether antibiotics were prescribed, but the duration of antibiotic use was shorter after RRP implementation (P = .003) and was dependent on receiving test results within 4 hours. If the test result was positive, the inpatient length of stay (P = .03) and the time in isolation (P = .03) were decreased after RRP implementation compared with before RRP implementation. Conclusions.-The RRP decreases the duration of antibiotic use, the length of inpatient stay, and the time in isolation.</t>
  </si>
  <si>
    <t xml:space="preserve">[Rogers, Beverly B.; Jerris, Robert C.; Uwindatwa, Francine] Childrens Healthcare Atlanta, Dept Pathol, Atlanta, GA 30342 USA; [Kotzbauer, David; Anderson, Evan J.] Childrens Healthcare Atlanta, Dept Pediat, Atlanta, GA 30342 USA; [Watson, J. Renee] Childrens Healthcare Atlanta, Dept Infect Control, Atlanta, GA 30342 USA; [O'Brien, Lauren A.; McNamara, Kelly; Bost, James E.] Childrens Healthcare Atlanta, Dept Stat, Atlanta, GA 30342 USA; [Rogers, Beverly B.; Jerris, Robert C.] Emory Univ, Sch Med, Dept Pathol, Atlanta, GA 30322 USA; [Shankar, Prabhu] Emory Univ, Sch Med, Dept Med, Atlanta, GA USA; [Anderson, Evan J.] Emory Univ, Sch Med, Dept Pediat, Atlanta, GA USA</t>
  </si>
  <si>
    <t xml:space="preserve">Children's Healthcare of Atlanta (CHOA); Children's Healthcare of Atlanta (CHOA); Children's Healthcare of Atlanta (CHOA); Children's Healthcare of Atlanta (CHOA); Emory University; Emory University; Emory University</t>
  </si>
  <si>
    <t xml:space="preserve">Rogers, BB (corresponding author), Childrens Healthcare Atlanta, Dept Pathol, 1001 Johnson Ferry Rd, Atlanta, GA 30342 USA.</t>
  </si>
  <si>
    <t xml:space="preserve">beverly.rogers@choa.org</t>
  </si>
  <si>
    <t xml:space="preserve">BioFire Diagnostics</t>
  </si>
  <si>
    <t xml:space="preserve">Dr Rogers serves on an advisory board for BioFire Diagnostics FilmArray. The Children's Healthcare of Atlanta microbiology laboratory, under the direction of Drs Jerris and Rogers, has provided samples for testing for the FilmArray gastrointestinal panel and received support from BioFire Diagnostics for a work-motion study. The other authors have no relevant financial interest in the products or companies described in this article.</t>
  </si>
  <si>
    <t xml:space="preserve">COLL AMER PATHOLOGISTS</t>
  </si>
  <si>
    <t xml:space="preserve">NORTHFIELD</t>
  </si>
  <si>
    <t xml:space="preserve">C/O KIMBERLY GACKI, 325 WAUKEGAN RD, NORTHFIELD, IL 60093-2750 USA</t>
  </si>
  <si>
    <t xml:space="preserve">0003-9985</t>
  </si>
  <si>
    <t xml:space="preserve">1543-2165</t>
  </si>
  <si>
    <t xml:space="preserve">ARCH PATHOL LAB MED</t>
  </si>
  <si>
    <t xml:space="preserve">Arch. Pathol. Lab. Med.</t>
  </si>
  <si>
    <t xml:space="preserve">10.5858/arpa.2014-0257-OA</t>
  </si>
  <si>
    <t xml:space="preserve">Medical Laboratory Technology; Medicine, Research &amp; Experimental; Pathology</t>
  </si>
  <si>
    <t xml:space="preserve">Medical Laboratory Technology; Research &amp; Experimental Medicine; Pathology</t>
  </si>
  <si>
    <t xml:space="preserve">CI6EL</t>
  </si>
  <si>
    <t xml:space="preserve">WOS:000354851400018</t>
  </si>
  <si>
    <t xml:space="preserve">Reijans, M; Dingemans, G; Klaassen, CH; Meis, JF; Keijdener, J; Mulders, B; Eadie, K; van Leeuwen, W; van Belkum, A; Horrevorts, AM; Simons, G</t>
  </si>
  <si>
    <t xml:space="preserve">Reijans, Martin; Dingemans, Gijs; Klaassen, Corne H.; Meis, Jacques F.; Keijdener, Judith; Mulders, Brit; Eadie, Kimberly; van Leeuwen, Willem; van Belkum, Alex; Horrevorts, Alphons M.; Simons, Guus</t>
  </si>
  <si>
    <t xml:space="preserve">RespiFinder: a new multiparameter test to differentially identify fifteen respiratory viruses</t>
  </si>
  <si>
    <t xml:space="preserve">Human metapneumovirus; Rhinovirus; Virology; Multiplex; Virus; Biology</t>
  </si>
  <si>
    <t xml:space="preserve">REVERSE TRANSCRIPTION-PCR; RAPID DIAGNOSTIC-TESTS; REAL-TIME; YOUNG-CHILDREN; HUMAN METAPNEUMOVIRUS; CLINICAL SPECIMENS; VIRAL-INFECTIONS; TRACT INFECTIONS; SYNCYTIAL-VIRUS; MULTIPLEX</t>
  </si>
  <si>
    <t xml:space="preserve">Broad-spectrum analysis for pathogens in patients with respiratory tract infections is becoming more relevant as the number of potential infectious agents is still increasing. Here we describe the new multiparameter RespiFinder assay, which is based on the multiplex ligation-dependent probe amplification (MLPA) technology. This assay detects 15 respiratory viruses in one reaction. The MLPA reaction is preceded by a preamplification step which ensures the detection of both RNA and DNA viruses with the same specificity and sensitivity as individual monoplex real-time reverse transcription-PCRs. The RespiFinder assay was validated with 144 clinical samples, and the results of the assay were compared to those of cell culture and a respiratory syncytial virus (RSV)-specific immunochromatography assay (ICA). Compared to the cell culture results, the RespiFinder assay showed specificities and sensitivities of 98.2% and 100%, respectively, for adenovirus; 96.4% and 100%, respectively, for human metapneumovirus; 98.2% and 100%, respectively, for influenza A virus (InfA); 99.1% and 100%, respectively, for parainfluenza virus type I (PIV-1); 99.1% and 80%, respectively, for PIV-3; 90.1% and 100%, respectively, for rhinovirus; and 94.6%-and 100%, respectively, for RSV. Compared to the results of the RSV-specific ICA, the RespiFinder assay gave a specificity and a sensitivity of 82.4% and 80%, respectively. PIV-2, PIV-4, influenza B virus, InfA H5N1, and coronavirus 229E were not detected in the clinical specimens tested. The use of the RespiFinder assay resulted in an increase in the diagnostic yield compared to that obtained by cell culture (diagnostic yields, 60% and 35.5%, respectively). In conclusion, the RespiFinder assay provides a user-friendly and high-throughput tool for the simultaneous detection of 15 respiratory viruses with excellent overall performance statistics.</t>
  </si>
  <si>
    <t xml:space="preserve">[Reijans, Martin; Dingemans, Gijs; Klaassen, Corne H.; Meis, Jacques F.; Horrevorts, Alphons M.] Canisius Wilhelmina Hosp, Dept Med Microbiol &amp; Infect Dis, Nijmegen, Netherlands; [Keijdener, Judith; Mulders, Brit; Simons, Guus] PathoFinder BV, NL-6229 EV Maastricht, Netherlands; [Eadie, Kimberly; van Leeuwen, Willem; van Belkum, Alex] Erasmus MC, Dept Med Microbiol &amp; Infect Dis, Rotterdam, Netherlands</t>
  </si>
  <si>
    <t xml:space="preserve">Canisius-Wilhelmina Hospital; Erasmus University Rotterdam; Erasmus MC</t>
  </si>
  <si>
    <t xml:space="preserve">Reijans, M (corresponding author), PathoFinder BV, Oxfordlaan 70, NL-6229 EV Maastricht, Netherlands.</t>
  </si>
  <si>
    <t xml:space="preserve">martin.reijans@pathofinder.com</t>
  </si>
  <si>
    <t xml:space="preserve">Meis, Jacques/A-9241-2010; Klaassen, Corne HW/A-2739-2012</t>
  </si>
  <si>
    <t xml:space="preserve">Meis, Jacques/0000-0003-3253-6080; Klaassen, Corne HW/0000-0002-3439-0903</t>
  </si>
  <si>
    <t xml:space="preserve">10.1128/JCM.02294-07</t>
  </si>
  <si>
    <t xml:space="preserve">WOS:000254866400012</t>
  </si>
  <si>
    <t xml:space="preserve">Klein, MB; Lu, Y; DelBalso, L; Coté, S; Boivin, G</t>
  </si>
  <si>
    <t xml:space="preserve">Klein, Marina B.; Lu, Ying; DelBalso, Lina; Cote, Stephanie; Boivin, Guy</t>
  </si>
  <si>
    <t xml:space="preserve">Influenzavirus infection is a primary cause of febrile respiratory illness in HIV-infected adults, despite vaccination</t>
  </si>
  <si>
    <t xml:space="preserve">Medicine; Human metapneumovirus; Rhinovirus; Respiratory tract infections; Pneumonia; Immunology</t>
  </si>
  <si>
    <t xml:space="preserve">HUMAN METAPNEUMOVIRUS; TRACT INFECTIONS; BACTERIAL PNEUMONIA; HOSPITALIZATION; MANIFESTATIONS; INDIVIDUALS; ASSOCIATION; CHILDREN</t>
  </si>
  <si>
    <t xml:space="preserve">Background. There are, to our knowledge, no prospective studies of respiratory tract infections in human immunodeficiency virus ( HIV)-infected adults in the highly active antiretroviral therapy ( HAART) era. We performed a surveillance study of outpatients who presented with fever and respiratory symptoms to examine the role of viral pathogens in these patients. Methods. Consecutive patients with a temperature of &gt; 38.0 degrees C and respiratory symptoms were recruited from a tertiary care HIV clinic during the period 2003-2006. Nasal pharyngeal samples were tested for influenzavirus A and B, respiratory syncytial virus, and human metapneumovirus using real-time multiplex polymerase chain reaction assays. Paired acute- and convalescent-phase serum samples were tested for respiratory viruses by complement fixation. Results. Fifty patients ( 90% of whom were receiving HAART) were included in the study ( median CD4(+) T cell count, 325 cells/mu L; median HIV RNA level, &lt; 50 copies/mL). A causative pathogen was identified in 25 patients ( 50%). Even though 76% of subjects had received influenza vaccine, viral infections were diagnosed in 21 patients ( 42%), as follows: influenza A, 10 patients; influenza B, 10; and parainfluenza virus type 3 infection, 1. Patients with and those without viral infection had similar demographic characteristics and HIV statuses. No patients with influenza and 23% of patients with other conditions had radiography-confirmed pneumonia (P = .07). Antibiotic prescriptions were common: 70% of patients received antibiotics. No patients with influenza required hospitalization, compared with 21% of other patients (P = .03). Conclusions. Although illness was mild, influenza accounted for a large proportion of unscheduled visits to a health care provider for respiratory illness and was associated with unnecessary antibiotic prescriptions that may contribute to antimicrobial resistance. Vaccination alone was insufficient to prevent infection. Thus, specific identification and management of influenza should be performed in HIV-infected outpatients who present with fever and respiratory symptoms.</t>
  </si>
  <si>
    <t xml:space="preserve">McGill Univ, Ctr Hlth, Royal Victoria Hosp, Dept Med,Div Infect Dis, Montreal, PQ, Canada; McGill Univ, Ctr Hlth, Royal Victoria Hosp, Dept Med,Div Immunodeficiency, Montreal, PQ, Canada; Univ Laval, Ctr Hosp, Fac Med, Ctr Rech Infectiol, Quebec City, PQ, Canada</t>
  </si>
  <si>
    <t xml:space="preserve">McGill University; Royal Victoria Hospital; McGill University; Royal Victoria Hospital; Laval University</t>
  </si>
  <si>
    <t xml:space="preserve">Klein, MB (corresponding author), Montreal Chest Inst, 3650 St Urbain St, Montreal, PQ H2X 2P4, Canada.</t>
  </si>
  <si>
    <t xml:space="preserve">marina.klein@muhc.mcgill.ca</t>
  </si>
  <si>
    <t xml:space="preserve">Lu, Ying/JDN-1204-2023</t>
  </si>
  <si>
    <t xml:space="preserve">Klein, Marina/0000-0002-3063-8430; Boivin, Guy/0000-0003-3027-4662</t>
  </si>
  <si>
    <t xml:space="preserve">10.1086/518986</t>
  </si>
  <si>
    <t xml:space="preserve">180EC</t>
  </si>
  <si>
    <t xml:space="preserve">WOS:000247343900015</t>
  </si>
  <si>
    <t xml:space="preserve">Pettigrew, MM; Gent, JF; Pyles, RB; Miller, AL; Nokso-Koivisto, J; Chonmaitree, T</t>
  </si>
  <si>
    <t xml:space="preserve">Pettigrew, Melinda M.; Gent, Janneane F.; Pyles, Richard B.; Miller, Aaron L.; Nokso-Koivisto, Johanna; Chonmaitree, Tasnee</t>
  </si>
  <si>
    <t xml:space="preserve">Viral-Bacterial Interactions and Risk of Acute Otitis Media Complicating Upper Respiratory Tract Infection</t>
  </si>
  <si>
    <t xml:space="preserve">Moraxella catarrhalis; Human bocavirus; Streptococcus pneumoniae; Human metapneumovirus; Haemophilus influenzae; Otitis; Respiratory tract infections; Medicine</t>
  </si>
  <si>
    <t xml:space="preserve">REAL-TIME PCR; YOUNG-CHILDREN; HUMAN METAPNEUMOVIRUS; SYNCYTIAL VIRUS; HUMAN BOCAVIRUS; UNITED-STATES; DAY-CARE; VACCINE; MICROBIOLOGY; ASSOCIATION</t>
  </si>
  <si>
    <t xml:space="preserve">Acute otitis media (AOM) is a common complication of upper respiratory tract infection whose pathogenesis involves both viruses and bacteria. We examined risks of acute otitis media associated with specific combinations of respiratory viruses and acute otitis media bacterial pathogens. Data were from a prospective study of children ages 6 to 36 months and included viral and bacterial culture and quantitative PCR for respiratory syncytial virus (RSV), human bocavirus, and human metapneumovirus. Repeated-measure logistic regression was used to assess the relationship between specific viruses, bacteria, and the risk of acute otitis media complicating upper respiratory tract infection. In unadjusted analyses of data from 194 children, adenovirus, bocavirus, Streptococcus pneumoniae, Haemophilus influenzae, and Moraxella catarrhalis were significantly associated with AOM (P &lt; 0.05 by chi(2) test). Children with high respiratory syncytial virus loads (&gt;= 3.16 x 10(7) copies/ml) experienced increased acute otitis media risk. Higher viral loads of bocavirus and metapneumovirus were not significantly associated with acute otitis media. In adjusted models controlling for the presence of key viruses, bacteria, and acute otitis media risk factors, acute otitis media risk was independently associated with high RSV viral load with Streptococcus pneumoniae (odds ratio [OR], 4.40; 95% confidence interval [CI], 1.90 and 10.19) and Haemophilus influenzae (OR, 2.04; 95% CI, 1.38 and 3.02). The risk was higher for the presence of bocavirus and H. influenzae together (OR, 3.61; 95% CI, 1.90 and 6.86). Acute otitis media risk differs by the specific viruses and bacteria involved. Acute otitis media prevention efforts should consider methods for reducing infections caused by respiratory syncytial virus, bocavirus, and adenovirus in addition to acute otitis media bacterial pathogens.</t>
  </si>
  <si>
    <t xml:space="preserve">[Pettigrew, Melinda M.; Gent, Janneane F.] Yale Univ, Sch Publ Hlth, Sch Med, New Haven, CT 06520 USA; [Pyles, Richard B.; Miller, Aaron L.; Nokso-Koivisto, Johanna; Chonmaitree, Tasnee] Univ Texas Med Branch, Galveston, TX USA</t>
  </si>
  <si>
    <t xml:space="preserve">Yale University; University of Texas System; University of Texas Medical Branch Galveston</t>
  </si>
  <si>
    <t xml:space="preserve">Pettigrew, MM (corresponding author), Yale Univ, Sch Publ Hlth, Sch Med, 60 Coll St, New Haven, CT 06520 USA.</t>
  </si>
  <si>
    <t xml:space="preserve">melinda.pettigrew@yale.edu</t>
  </si>
  <si>
    <t xml:space="preserve">National Institute on Deafness and other Communication Disorders at the National Institutes of Health [R01 DC005841]; National Institute of Allergy and Infectious Diseases at the National Institutes of Health [R01 AI068043, AI057156]; National Center for Research Resources at the National Institutes of Health [UL1 RR029876]</t>
  </si>
  <si>
    <t xml:space="preserve">National Institute on Deafness and other Communication Disorders at the National Institutes of Health(United States Department of Health &amp; Human ServicesNational Institutes of Health (NIH) - USANIH National Institute on Deafness &amp; Other Communication Disorders (NIDCD)); National Institute of Allergy and Infectious Diseases at the National Institutes of Health(United States Department of Health &amp; Human ServicesNational Institutes of Health (NIH) - USANIH National Institute of Allergy &amp; Infectious Diseases (NIAID)); National Center for Research Resources at the National Institutes of Health(United States Department of Health &amp; Human ServicesNational Institutes of Health (NIH) - USANIH National Center for Research Resources (NCRR))</t>
  </si>
  <si>
    <t xml:space="preserve">This work was supported by the National Institute on Deafness and other Communication Disorders at the National Institutes of Health (R01 DC005841 to T. C.) and the National Institute of Allergy and Infectious Diseases at the National Institutes of Health (R01 AI068043 to M. M. P.). The study was conducted at the Clinical Research Center at the University of Texas Medical Branch, which is supported by the Clinical and Translational Science Award from the National Center for Research Resources at the National Institutes of Health (UL1 RR029876). The Galveston National Laboratory's assay development services division received support from the National Institute of Allergy and Infectious Diseases at the National Institutes of Health (AI057156).</t>
  </si>
  <si>
    <t xml:space="preserve">10.1128/JCM.01186-11</t>
  </si>
  <si>
    <t xml:space="preserve">842RM</t>
  </si>
  <si>
    <t xml:space="preserve">WOS:000296617300005</t>
  </si>
  <si>
    <t xml:space="preserve">Midulla, F; Scagnolari, C; Bonci, E; Pierangeli, A; Antonelli, G; De Angelis, D; Berardi, R; Moretti, C</t>
  </si>
  <si>
    <t xml:space="preserve">Midulla, F.; Scagnolari, C.; Bonci, E.; Pierangeli, A.; Antonelli, G.; De Angelis, D.; Berardi, R.; Moretti, C.</t>
  </si>
  <si>
    <t xml:space="preserve">Respiratory syncytial virus, human bocavirus and rhinovirus bronchiolitis in infants</t>
  </si>
  <si>
    <t xml:space="preserve">Human bocavirus; Medicine; Bronchiolitis; Rhinovirus; Human metapneumovirus</t>
  </si>
  <si>
    <t xml:space="preserve">YOUNG-CHILDREN; HUMAN METAPNEUMOVIRUS; TRACT INFECTIONS; DISEASE; ASSOCIATION; ILLNESSES; SEVERITY; ASTHMA; TIME</t>
  </si>
  <si>
    <t xml:space="preserve">Objective: To investigate the prevalence of 14 viruses in infants with bronchiolitis and to study demographic and clinical differences in those with respiratory syncytial virus (RSV), human bocavirus (hBoV) and rhinovirus (RV) infection. Methods: 182 infants aged &lt;12 months hospitalised for bronchiolitis were enrolled. Infants underwent nasal washing for the detection of RSV, influenza virus A and B, human coronavirus OC43, 229E, NL-63, HUK1, adenovirus, RV, parainfluenza 1-3, human metapneumovirus and hBoV. Demographic, clinical and laboratory data were obtained from parents and from patient medical files. Main outcome measurements were age, breastfeeding history, family smoking habits, family history for asthma and atopy, blood eosinophil count, chest radiological findings, clinical severity score and number of days of hospitalisation. Results: A virus was detected in 57.2% of the 182 infants. The most frequently detected viruses were RSV (41.2%), hBoV (12.2%) and RV (8.8%). Infants with dual infections (RSV and hBoV) had a higher clinical severity score and more days of hospitalisation than infants with RSV, RV and hBoV bronchiolitis (mean +/- SD: 4.7+2.4 vs 4.3 +/- 2.4 vs 3.0 +/- 2.0 vs 2.9 +/- 1.7, p&lt;0.05; and 6.0 +/- 3.2 vs 5.3 +/- 2.4 vs 4.0 +/- 1.6 vs 3.9 +/- 1.1 days; p&lt;0.05). Infants with RV infection had higher blood eosinophil counts than infants with bronchiolitis from RSV and hBoV (307 +/- 436 vs 138 +/- 168 vs 89 +/- 19 n/mm(3); p&lt;0.05). Conclusions: Although the major pathogen responsible for bronchiolitis remains RSV, the infection can also be caused by RV and hBoV. Demographic characteristics and clinical severity of the disease may depend on the number of viruses or on the specific virus detected.</t>
  </si>
  <si>
    <t xml:space="preserve">[Midulla, F.; Bonci, E.; De Angelis, D.; Berardi, R.; Moretti, C.] Univ Roma La Sapienza, Dept Pediat, I-00165 Rome, Italy; [Scagnolari, C.; Pierangeli, A.; Antonelli, G.] Univ Roma La Sapienza, Dept Expt Med, Virol Sect, I-00165 Rome, Italy</t>
  </si>
  <si>
    <t xml:space="preserve">Midulla, F (corresponding author), Univ Roma La Sapienza, Dept Pediat, Viale Regina Elena 324, I-00165 Rome, Italy.</t>
  </si>
  <si>
    <t xml:space="preserve">Antonelli, Guido/K-7915-2016; Pierangeli, Alessandra/A-6368-2008; Midulla, Fabio/AAL-4391-2020; SCAGNOLARI, CAROLINA/G-3837-2011</t>
  </si>
  <si>
    <t xml:space="preserve">Midulla, Fabio/0000-0001-7476-5266; Bonci, Enea/0000-0003-3325-1124; SCAGNOLARI, CAROLINA/0000-0003-1044-1478; Pierangeli, Alessandra/0000-0003-0633-360X; Moretti, Corrado/0000-0003-2005-7437; ANTONELLI, Guido/0000-0002-2533-2939</t>
  </si>
  <si>
    <t xml:space="preserve">Sapienza University (Fondi Progetto di Ricerca Universitaria)</t>
  </si>
  <si>
    <t xml:space="preserve">This work was supported in part by a grant to FM from Sapienza University (Fondi Progetto di Ricerca Universitaria).</t>
  </si>
  <si>
    <t xml:space="preserve">10.1136/adc.2008.153361</t>
  </si>
  <si>
    <t xml:space="preserve">537XF</t>
  </si>
  <si>
    <t xml:space="preserve">WOS:000273146900009</t>
  </si>
  <si>
    <t xml:space="preserve">Homaira, N; Luby, SP; Hossain, K; Islam, K; Ahmed, M; Rahman, M; Rahman, Z; Paul, RC; Bhuiyan, MU; Brooks, WA; Sohel, BM; Banik, KC; Widdowson, MA; Willby, M; Rahman, M; Bresee, J; Ramirez, KS; Azziz-Baumgartner, E</t>
  </si>
  <si>
    <t xml:space="preserve">Homaira, Nusrat; Luby, Stephen P.; Hossain, Kamal; Islam, Kariul; Ahmed, Makhdum; Rahman, Mustafizur; Rahman, Ziaur; Paul, Repon C.; Bhuiyan, Mejbah Uddin; Brooks, W. Abdullah; Sohel, Badrul Munir; Banik, Kajal Chandra; Widdowson, Marc-Alain; Willby, Melisa; Rahman, Mahmudur; Bresee, Joseph; Ramirez, Katharine-Sturm; Azziz-Baumgartner, Eduardo</t>
  </si>
  <si>
    <t xml:space="preserve">Respiratory Viruses Associated Hospitalization among Children Aged &lt;5 Years in Bangladesh: 2010-2014</t>
  </si>
  <si>
    <t xml:space="preserve">Medicine; Human metapneumovirus; Rhinovirus; Incidence (geometry); Pediatrics; Respiratory system; Population; Respiratory tract infections</t>
  </si>
  <si>
    <t xml:space="preserve">SYNCYTIAL VIRUS; CHILDHOOD DEATHS; INFLUENZA; INFECTIONS; PNEUMONIA; COST; IMMUNIZATION; PROPHYLAXIS; RHINOVIRUS; RISK</t>
  </si>
  <si>
    <t xml:space="preserve">Background We combined hospital-based surveillance and health utilization survey data to estimate the incidence of respiratory viral infections associated hospitalization among children aged &lt;5 years in Bangladesh. Methods Surveillance physicians collected respiratory specimens from children aged &lt;5 years hospitalized with respiratory illness and residing in the primary hospital catchment areas. We tested respiratory specimens for respiratory syncytial virus, parainfluenza viruses, human metapneumovirus, influenza, adenovirus and rhinoviruses using rRT-PCR. During 2013, we conducted a health utilization survey in the primary catchment areas of the hospitals to determine the proportion of all hospitalizations for respiratory illness among children aged &lt;5 years at the surveillance hospitals during the preceding 12 months. We estimated the respiratory virus-specific incidence of hospitalization by dividing the estimated number of hospitalized children with a laboratory confirmed infection with a respiratory virus by the population aged &lt;5 years of the catchment areas and adjusted for the proportion of children who were hospitalized at the surveillance hospitals. Results We estimated that the annual incidence per 1000 children (95% CI) of all cause associated respiratory hospitalization was 11.5 (10-12). The incidences per 1000 children (95% CI) per year for respiratory syncytial virus, parainfluenza, adenovirus, human metapneumovirus and influenza infections were 3(2-3), 0.5(0.4-0.8), 0.4 (0.3-0.6), 0.4 (0.3-0.6), and 0.4 (0.3-0.6) respectively. The incidences per 1000 children (95%CI) of rhinovirus-associated infections among hospitalized children were 5 (3-7), 2 (1-3), 1 (0.6-2), and 3 (2-4) in 2010, 2011, 2012 and 2013, respectively. Conclusion Our data suggest that respiratory viruses are associated with a substantial burden of hospitalization in children aged &lt;5 years in Bangladesh.</t>
  </si>
  <si>
    <t xml:space="preserve">[Homaira, Nusrat; Luby, Stephen P.; Hossain, Kamal; Islam, Kariul; Ahmed, Makhdum; Rahman, Mustafizur; Rahman, Ziaur; Paul, Repon C.; Bhuiyan, Mejbah Uddin; Brooks, W. Abdullah; Sohel, Badrul Munir; Banik, Kajal Chandra; Ramirez, Katharine-Sturm; Azziz-Baumgartner, Eduardo] Icddr B, Dhaka, Bangladesh; [Luby, Stephen P.; Widdowson, Marc-Alain; Willby, Melisa; Bresee, Joseph; Ramirez, Katharine-Sturm; Azziz-Baumgartner, Eduardo] Ctr Dis Control &amp; Prevent CDC, Atlanta, GA USA; [Brooks, W. Abdullah] Johns Hopkins Univ, Dept Int Hlth, Bloomberg Sch Publ, Baltimore, MD USA; [Rahman, Mahmudur] IEDCR, Dhaka, Bangladesh</t>
  </si>
  <si>
    <t xml:space="preserve">International Centre for Diarrhoeal Disease Research (ICDDR); Centers for Disease Control &amp; Prevention - USA; Johns Hopkins University; Johns Hopkins Bloomberg School of Public Health</t>
  </si>
  <si>
    <t xml:space="preserve">Homaira, N (corresponding author), Icddr B, Dhaka, Bangladesh.</t>
  </si>
  <si>
    <t xml:space="preserve">Brooks, W./AAD-3876-2021; Bresee, Joseph/LMP-2347-2024; Bhuiyan, Mejbah/AAY-1238-2020; Islam/AAO-8937-2020; Homaira, Nusrat/U-4526-2019; Rahman, Md Mahmudur/AAB-7011-2021; Ahmed, Makhdum/D-2615-2012</t>
  </si>
  <si>
    <t xml:space="preserve">Bresee, Joseph/0000-0002-6133-0797; Bhuiyan, Mejbah/0000-0002-8274-6265; Paul, Repon/0000-0003-2909-5691; Luby, Stephen/0000-0001-5385-899X; Islam, Mdkariul/0000-0003-4085-7159; Ahmed, Makhdum/0000-0002-0772-8710; Homaira, Nusrat/0000-0003-3341-7964</t>
  </si>
  <si>
    <t xml:space="preserve">Influenza Division of Centers for Disease Control and Prevention (CDC), Atlanta [1U01CI000628-01, 1U01CI000628-04]; US CDC [1U01CI000628-04]</t>
  </si>
  <si>
    <t xml:space="preserve">Influenza Division of Centers for Disease Control and Prevention (CDC), Atlanta; US CDC(United States Department of Health &amp; Human ServicesCenters for Disease Control &amp; Prevention - USA)</t>
  </si>
  <si>
    <t xml:space="preserve">This work was funded by the Influenza Division of Centers for Disease Control and Prevention (CDC), Atlanta under the co-operative agreement numbers 1U01CI000628-01 and 1U01CI000628-04. Co-authors SPL, MAW, MW, JB, KSR and EAB who work for the funding body were also involved in designing and analyzing of the study. icddr,b is grateful for the commitment of CDC to its research efforts. US CDC gave financial support for this study (cooperative agreement 1U01CI000628-04). The authors would like to thank all the study participants and the surveillance hospitals for their contribution in the study. We gratefully acknowledge the relentless effort of the field staff involved in data collection and compilation. We also acknowledge the contribution of Dean D. Erdman for the design of the primers and probes for the laboratory testing of the study. We are also very grateful to Diana DiazGranados for her help with editing of the manuscript.</t>
  </si>
  <si>
    <t xml:space="preserve">e0147982</t>
  </si>
  <si>
    <t xml:space="preserve">10.1371/journal.pone.0147982</t>
  </si>
  <si>
    <t xml:space="preserve">DC9OF</t>
  </si>
  <si>
    <t xml:space="preserve">WOS:000369550200074</t>
  </si>
  <si>
    <t xml:space="preserve">McLellan, JS</t>
  </si>
  <si>
    <t xml:space="preserve">McLellan, Jason S.</t>
  </si>
  <si>
    <t xml:space="preserve">Neutralizing epitopes on the respiratory syncytial virus fusion glycoprotein</t>
  </si>
  <si>
    <t xml:space="preserve">Epitope; Virology; Biology; Glycoprotein; Virus</t>
  </si>
  <si>
    <t xml:space="preserve">HUMAN METAPNEUMOVIRUS; STRUCTURAL BASIS; F-GLYCOPROTEIN; ANTIGENIC SITE; RSV F; ANTIBODY; VACCINE; PROTEIN; INFECTION; MOTAVIZUMAB</t>
  </si>
  <si>
    <t xml:space="preserve">Respiratory syncytial virus (RSV) is a leading cause of pneumonia and bronchiolitis, but despite decades of research a safe and effective vaccine has remained elusive. The viral fusion glycoprotein (RSV F) plays an obligatory role in the entry process and is the major target of neutralizing antibodies, making it an attractive target for vaccine development. This review will summarize the recently determined structures of RSV F in the prefusion and postfusion conformations and describe the location and properties of neutralizing epitopes on RSV F, including the newly identified prefusion-specific epitopes. The influence of these findings on vaccine development will also be discussed, with a focus on the rational design and optimization of vaccine antigens.</t>
  </si>
  <si>
    <t xml:space="preserve">Geisel Sch Med Dartmouth, Dept Biochem, 7200 Vail, Hanover, NH 03755 USA</t>
  </si>
  <si>
    <t xml:space="preserve">Dartmouth College</t>
  </si>
  <si>
    <t xml:space="preserve">McLellan, JS (corresponding author), Geisel Sch Med Dartmouth, Dept Biochem, 7200 Vail, Hanover, NH 03755 USA.</t>
  </si>
  <si>
    <t xml:space="preserve">Jason.S.McLellan@Dartmouth.edu</t>
  </si>
  <si>
    <t xml:space="preserve">McLellan, Jason/A-6874-2010</t>
  </si>
  <si>
    <t xml:space="preserve">NIAID [1R43AI112124]</t>
  </si>
  <si>
    <t xml:space="preserve">The author would like to thank Jose Melero and members of the McLellan laboratory for helpful comments on the manuscript. Dr. McLellan was supported in part by NIAID Grant 1R43AI112124.</t>
  </si>
  <si>
    <t xml:space="preserve">10.1016/j.coviro.2015.03.002</t>
  </si>
  <si>
    <t xml:space="preserve">CK9FW</t>
  </si>
  <si>
    <t xml:space="preserve">WOS:000356547000012</t>
  </si>
  <si>
    <t xml:space="preserve">Koul, PA; Saha, S; Kaul, KA; Mir, H; Potdar, V; Chadha, M; Iuliano, D; Lafond, KE; Lal, RB; Krishnan, A</t>
  </si>
  <si>
    <t xml:space="preserve">Koul, Parvaiz A.; Saha, Siddhartha; Kaul, Kaisar A.; Mir, Hyder; Potdar, Varsha; Chadha, Mandeep; Iuliano, Danielle; Lafond, Kathryn E.; Lal, Renu B.; Krishnan, Anand</t>
  </si>
  <si>
    <t xml:space="preserve">Respiratory syncytial virus among children hospitalized with severe acute respiratory infection in Kashmir, a temperate region in northern India</t>
  </si>
  <si>
    <t xml:space="preserve">Medicine; Human bocavirus; Rhinovirus; Human metapneumovirus; Pediatrics; Respiratory system</t>
  </si>
  <si>
    <t xml:space="preserve">REAL-TIME PCR; RT-PCR; ETIOLOGY; SEASONALITY; CIRCULATION; SUBTYPES</t>
  </si>
  <si>
    <t xml:space="preserve">Background Severe acute respiratory infections (SARI) are a leading cause of hospitalizations in children, especially due to viral pathogens. We studied the prevalence of respiratory viruses among children aged &lt;5 years hospitalized with severe acute respiratory infections (SARI) in Kashmir, India. Methods We conducted a prospective observational study in two tertiary care hospitals from October 2013 to September 2014, systematically enrolling two children aged &lt;5 years with SARI per day. We defined SARI as history of fever or measured fever (&gt;= 38 degrees C) and cough with onset in the last 7 days requiring hospi-talization for children aged 3-59 months and as physician-diagnosed acute lower respiratory infection for children aged &lt;3 months. Trained study staff screened children within 24 hours of hospitalization for SARI and collected clinical data and nasopharyngeal swabs from enrolled participants. We tested for respiratory syncytial virus (RSV) A and B, influenza viruses, rhinoviruses (HRV)/enterovi-ruses, adenovirus (AdV), bocavirus (BoV), human metapneumovirus (hMPV) A and B, coronaviruses (OC43, NL65, C229E), and parainfluenza viruses (PIV) 1, 2, 3 and 4 using standardized duplex real-time polymerase chain reaction. Results Among 4548 respiratory illness admissions screened from October 2013 to September 2014, 1026 met the SARI case definition, and 412 were enrolled (ages = 5 days to 58 months; median = 12 months). Among enrolees, 256 (62%) were positive for any virus; RSV was the most commonly detected (n = 118, 29%) followed by HRV/enteroviruses (n = 88, 21%), PIVs (n = 31, 8%), influenza viruses (n = 18, 4%), BoV (n = 15, 4%), coronaviruses (n = 16, 4%), AdV (n = 14, 3%), and hMPV (n = 9, 2%). Fifty-four children had evidence of virus co-detection. Influenza-associated SARI was more common among children aged 1-5 years (14/18, 78%) while most RSV detections occurred in children &lt;12 months (83/118, 70%). Of the RSV viruses typed (n = 116), the majority were type B (94, 80%). Phylogenetic analysis of G gene of RSV showed circulation of the BA9 genotype with 60bp nucleotide duplication. Conclusions Respiratory viruses, especially RSV, contributed to a substantial proportion of SARI hospitalizations among children &lt;5 years in north India. These data can help guide clinicians on appropriate treatment and prevention strategies. Globally, respiratory viruses account for half of all causes of acute lower respiratory infections, including pneu-monia and bronchiolitis [1,2]. Respiratory viruses have been detected in over half of children hospitalized with respiratory illness in studies from India and the US [3,4]. Among them, the respiratory syncytial virus is the leading cause of acute lower respiratory infection (ALRI) among children &lt;5 years of age, frequently causing bronchiolitis and pneumonia in both high-income countries (HIC) as well as low-and middle-income coun-tries (LMIC) [4-6]. Globally an estimated 33.8 million new episodes of RSV-associated ALRI occurred in 2005 and at least 3.4 million required hospitalisations [7]. High RSV-associated incidence of hospitalisation has been reported especially in LMICs [8,9]. Data from a community-based study in India showed annual incidence rates of 3.2/1000 among children &lt;5 years of age [10]. As several candidate RSV vaccines are being evaluated in clinical trials, it is important to generate more data on RSV burden to inform future policy. This is crucial for India, as many of its states have populations compara-ble to large countries, but with wide variation between the states in terms of lower respiratory disease burden [11]. Various studies in the last decade have reported the prevalence of RSV among children hospitalized with ALRI from different parts of India with tropical climates, but none are reported from Kashmir, a temperate re-gion of north India [12-15]. We present the prevalence of respiratory viruses among children aged &lt;5 years hospitalized with severe acute respiratory infections in Kashmir.</t>
  </si>
  <si>
    <t xml:space="preserve">[Koul, Parvaiz A.; Mir, Hyder] Sher &amp; Kashmir Inst Med Sci, Srinagar, India; [Saha, Siddhartha] US Ctr Dis Control &amp; Prevent, Influenza Program, Delhi, India; [Kaul, Kaisar A.] GB Pant Hosp Children, Srinagar, India; [Potdar, Varsha; Chadha, Mandeep] Natl Inst Virol, Pune, Maharashtra, India; [Iuliano, Danielle; Lafond, Kathryn E.; Lal, Renu B.] US Ctr Dis Control &amp; Prevent, Atlanta, GA USA; [Krishnan, Anand] All India Inst Med Sci, New Delhi, India</t>
  </si>
  <si>
    <t xml:space="preserve">Sher-i-Kashmir Institute of Medical Sciences; Indian Council of Medical Research (ICMR); ICMR - National Institute of Virology (NIV); Centers for Disease Control &amp; Prevention - USA; All India Institute of Medical Sciences (AIIMS) New Delhi</t>
  </si>
  <si>
    <t xml:space="preserve">Saha, S (corresponding author), US Ctr Dis Control &amp; Prevent, Influenza Program, Delhi, India.</t>
  </si>
  <si>
    <t xml:space="preserve">ssaha1@cdc.gov</t>
  </si>
  <si>
    <t xml:space="preserve">Potdar, Varsha/ABA-3799-2021; Mir, Hyder/AAP-8777-2020; Koul, Parvaiz/B-1666-2017; Krishnan, Anand/D-8537-2012</t>
  </si>
  <si>
    <t xml:space="preserve">MIR, HYDER/0000-0001-9402-8255; Saha, Siddhartha/0000-0002-7494-267X; Koul, Parvaiz/0000-0002-1700-9285; Krishnan, Anand/0000-0002-9173-7811</t>
  </si>
  <si>
    <t xml:space="preserve">US Centers for Disease Control and Prevention [U01IP000492]</t>
  </si>
  <si>
    <t xml:space="preserve">US Centers for Disease Control and Prevention(United States Department of Health &amp; Human ServicesCenters for Disease Control &amp; Prevention - USA)</t>
  </si>
  <si>
    <t xml:space="preserve">The study was funded by the US Centers for Disease Control and Prevention through cooperative agreement [U01IP000492].</t>
  </si>
  <si>
    <t xml:space="preserve">10.7189/jogh.12.04050</t>
  </si>
  <si>
    <t xml:space="preserve">3D4YM</t>
  </si>
  <si>
    <t xml:space="preserve">WOS:000829309400001</t>
  </si>
  <si>
    <t xml:space="preserve">Kohno, S; Ishida, T; Uchida, Y; Kishimoto, H; Sasaki, H; Shioya, T; Tokuyama, K; Niimi, A; Nishi, K; Fujimura, M; Matsuse, H; Suzaki, H</t>
  </si>
  <si>
    <t xml:space="preserve">Kohno, Shigeru; Ishida, Tadashi; Uchida, Yoshiyuki; Kishimoto, Hisao; Sasaki, Hidetada; Shioya, Takanobu; Tokuyama, Kenichi; Niimi, Akio; Nishi, Koichi; Fujimura, Masaki; Matsuse, Hiroto; Suzaki, Harumi</t>
  </si>
  <si>
    <t xml:space="preserve">Comm Japanese Resp Soc</t>
  </si>
  <si>
    <t xml:space="preserve">Acute cough</t>
  </si>
  <si>
    <t xml:space="preserve">RESPIRATORY SYNCYTIAL VIRUS; HUMAN METAPNEUMOVIRUS; ACUTE EXACERBATIONS; PERTUSSIS; ADULTS; INFECTIONS; MANAGEMENT; MORBIDITY; ILLNESS; YOUNG</t>
  </si>
  <si>
    <t xml:space="preserve">Acute cough is defined as a cough lasting less than 3 weeks. Few studies have evaluated the incidence of specific causes of acute cough, but based on clinical experience, the majority of cases are due to acute upper respiratory tract infections.(1) In addition, coughs of non-infectious aetiologies, including allergic disorders, physical factors and drugs (ACE inhibitors) start out as acute coughs but become prolonged or chronic as time passes. Even after acute symptoms of a infection have resolved, a 'post-infectious cough' often develops. This is classified as a persistent cough (see Fig. 3.1). The diagnosis of acute cough is based on clinical findings, including history, physical examination and laboratory tests. Sudden cough is sometimes associated with life-threatening conditions, and these must be ruled out at initial evaluation (Fig. 4.1).</t>
  </si>
  <si>
    <t xml:space="preserve">Nagasaki Univ, Nagasaki 852, Japan; Kurashiki Cent Hosp, Kurashiki, Okayama, Japan; Natl Inst Mat Sci, Tsukuba, Ibaraki, Japan; Natl Inst Infect Dis, Tokyo, Japan; Akita Univ Nursing &amp; Welf, Odate, Japan; Akita Univ, Akita 010, Japan; Takasaki Univ Hlth &amp; Welf, Takasaki, Gumma, Japan; Kyoto Univ, Kyoto, Japan; Ishikawa Prefectural Cent Hosp, Kanazawa, Ishikawa, Japan; Kanazawa Univ, Kanazawa, Ishikawa 920, Japan; Showa Univ, Tokyo, Japan</t>
  </si>
  <si>
    <t xml:space="preserve">Nagasaki University; Kurashiki Central Hospital; National Institute for Materials Science; National Institute of Infectious Diseases (NIID); Akita University; Kyoto University; Ishikawa Prefectural Central Hospital; Kanazawa University; Showa University</t>
  </si>
  <si>
    <t xml:space="preserve">Kohno, S (corresponding author), Nichinai Kaikan 7F,3-28-8 Hongo,Bunkyo Ku, Tokyo 1130033, Japan.</t>
  </si>
  <si>
    <t xml:space="preserve">info@jrs.or.jp</t>
  </si>
  <si>
    <t xml:space="preserve">S152</t>
  </si>
  <si>
    <t xml:space="preserve">10.1111/j.1400-1843.2006.00920.x</t>
  </si>
  <si>
    <t xml:space="preserve">085SC</t>
  </si>
  <si>
    <t xml:space="preserve">WOS:000240623700007</t>
  </si>
  <si>
    <t xml:space="preserve">Akinloye, OM; Rönkkö, E; Savolainen-Kopra, C; Ziegler, T; Iwalokun, BA; Deji-Agboola, MA; Oluwadun, A; Roivainen, M; Adu, FD; Hovi, T</t>
  </si>
  <si>
    <t xml:space="preserve">Akinloye, Oluwabukola M.; Ronkko, Esa; Savolainen-Kopra, Carita; Ziegler, Thedi; Iwalokun, Bamidele A.; Deji-Agboola, Mope A.; Oluwadun, Afolabi; Roivainen, Merja; Adu, Festus D.; Hovi, Tapani</t>
  </si>
  <si>
    <t xml:space="preserve">Specific Viruses Detected in Nigerian Children in Association with Acute Respiratory Disease</t>
  </si>
  <si>
    <t xml:space="preserve">JOURNAL OF TROPICAL MEDICINE</t>
  </si>
  <si>
    <t xml:space="preserve">Human bocavirus; Human metapneumovirus; Virology; Virus; Respiratory system; Rhinovirus; Respiratory tract infections; Respiratory tract; Metapneumovirus</t>
  </si>
  <si>
    <t xml:space="preserve">FIXING ANTIBODY-LEVELS; REAL-TIME PCR; SYNCYTIAL-VIRUS; VIRAL-INFECTIONS; SEROLOGICAL SURVEY; TRACT; ETIOLOGY; RHINOVIRUS; PNEUMONIA; INFLUENZA</t>
  </si>
  <si>
    <t xml:space="preserve">Occurrence of different viruses in acute respiratory tract infections of Nigerian children was examined. Respiratory swabs were collected from 246 children referred to hospital clinics because of acute respiratory symptoms from February through May 2009. Validated real-time RT-PCR techniques revealed nucleic acids of at least one virus group in 189 specimens (77%). Human rhinoviruses and parainfluenza viruses were present each in one third of the children. Adenoviruses, enteroviruses, human metapneumovirus, human bocavirus, and influenza C virus were also relatively common. Possibly due to their seasonal occurrence, influenza A and B virus, and respiratory syncytial virus were detected rarely. We conclude that all major groups of respiratory tract viruses are causing illness in Nigerian children.</t>
  </si>
  <si>
    <t xml:space="preserve">[Akinloye, Oluwabukola M.; Ronkko, Esa; Ziegler, Thedi; Hovi, Tapani] Natl Inst Hlth &amp; Welf THL, Dept Vaccinat &amp; Immune Protect, Viral Infect Unit, Helsinki, Finland; [Akinloye, Oluwabukola M.; Savolainen-Kopra, Carita; Roivainen, Merja] Natl Inst Hlth &amp; Welf THL, Dept Infect Dis Surveillance &amp; Control, Intestinal Viruses Unit, Helsinki, Finland; [Akinloye, Oluwabukola M.; Iwalokun, Bamidele A.; Deji-Agboola, Mope A.; Oluwadun, Afolabi] Olabisi Onabanjo Univ, Obafemi Awolowo Coll Hlth Sci, Det Med Microbiol &amp; Parasitol, Shagamu, Ogun State, Nigeria; [Adu, Festus D.] Univ Ibadan, Coll Med, Dept Virol, Ibadan, Oyo, Nigeria</t>
  </si>
  <si>
    <t xml:space="preserve">Finland National Institute for Health &amp; Welfare; Finland National Institute for Health &amp; Welfare; University of Ibadan</t>
  </si>
  <si>
    <t xml:space="preserve">Akinloye, OM (corresponding author), Natl Inst Hlth &amp; Welf THL, Dept Vaccinat &amp; Immune Protect, Viral Infect Unit, Helsinki, Finland.</t>
  </si>
  <si>
    <t xml:space="preserve">margaret.ak@live.com</t>
  </si>
  <si>
    <t xml:space="preserve">Hovi, Tapani/AAG-9156-2020; AKINLOYE, OLUYEMI/C-2988-2019</t>
  </si>
  <si>
    <t xml:space="preserve">Iwalokun, Bamidele/0000-0003-4247-2797; AKINLOYE, OLUYEMI/0000-0002-7546-8244; Deji-Agboola, Anotu Mopelola/0000-0002-8341-4545</t>
  </si>
  <si>
    <t xml:space="preserve">European Society of Clinical Microbiology and Infectious Diseases</t>
  </si>
  <si>
    <t xml:space="preserve">This study was partially funded by a grant from the European Society of Clinical Microbiology and Infectious Diseases.</t>
  </si>
  <si>
    <t xml:space="preserve">1687-9686</t>
  </si>
  <si>
    <t xml:space="preserve">1687-9694</t>
  </si>
  <si>
    <t xml:space="preserve">J TROP MED-US</t>
  </si>
  <si>
    <t xml:space="preserve">J. Trop. Med.</t>
  </si>
  <si>
    <t xml:space="preserve">10.1155/2011/690286</t>
  </si>
  <si>
    <t xml:space="preserve">V15XT</t>
  </si>
  <si>
    <t xml:space="preserve">WOS:000214582000022</t>
  </si>
  <si>
    <t xml:space="preserve">Quan, PL; Palacios, G; Jabado, OJ; Conlan, S; Hirschberg, DL; Pozo, F; Jack, PJM; Cisterna, D; Renwick, N; Hui, J; Drysdale, A; Amos-Ritchie, R; Baumeister, E; Savy, V; Lager, KM; Richt, JA; Boyle, DB; García-Sastre, A; Casas, I; Perez-Breña, P; Briese, T; Lipkin, WI</t>
  </si>
  <si>
    <t xml:space="preserve">Quan, Phenix-Lan; Palacios, Gustavo; Jabado, Omar J.; Conlan, Sean; Hirschberg, David L.; Pozo, Francisco; Jack, Philippa J. M.; Cisterna, Daniel; Renwick, Neil; Hui, Jeffrey; Drysdale, Andrew; Amos-Ritchie, Rachel; Baumeister, Elsa; Savy, Vilma; Lager, Kelly M.; Richt, Juergen A.; Boyle, David B.; Garcia-Sastre, Adolfo; Casas, Inmaculada; Perez-Brena, Pilar; Briese, Thomas; Lipkin, W. Ian</t>
  </si>
  <si>
    <t xml:space="preserve">Detection of respiratory viruses and subtype identification of influenza a viruses by GreeneChipResp oligonucleotide microarray</t>
  </si>
  <si>
    <t xml:space="preserve">Subtyping; Rhinovirus; Virology; Virus; Biology; Influenza A virus; Microarray</t>
  </si>
  <si>
    <t xml:space="preserve">POLYMERASE-CHAIN-REACTION; ENZYME HYBRIDIZATION ASSAY; REAL-TIME PCR; CLINICAL SPECIMENS; SYNCYTIAL-VIRUS; HUMAN METAPNEUMOVIRUS; INFECTIONS; DIAGNOSIS; PATHOGENS; SAMPLES</t>
  </si>
  <si>
    <t xml:space="preserve">Acute respiratory infections are significant causes of morbidity, mortality, and economic burden worldwide. An accurate, early differential diagnosis may alter individual clinical management as well as facilitate the recognition of outbreaks that have implications for public health. Here we report on the establishment and validation of a comprehensive and sensitive microarray system for detection of respiratory viruses and subtyping of influenza viruses in clinical materials. Implementation of a set of influenza virus enrichment primers facilitated subtyping of influenza A viruses through the differential recognition of hemagglutinins 1 through 16 and neuraminidases 1 through 9. Twenty-one different respiratory virus species were accurately characterized, including a recently identified novel genetic clade of rhinovirus.</t>
  </si>
  <si>
    <t xml:space="preserve">Columbia Univ, Mailman Sch Publ Hlth, Jerome L &amp; Dawn Greene Infect Dis Lab, New York, NY 10032 USA; Stanford Sch Med, Palo Alto, CA USA; Inst Salud Carlos III, Ctr Nacl Microbiol, Madrid, Spain; Inst Nacl Enfermedades Infecciosas, Buenos Aires, DF, Argentina; USDA, Natl Anim Dis Ctr, Ames, IA 50010 USA; Mt Sinai Sch Med, Dept Microbiol, New York, NY USA; Mt Sinai Sch Med, Emerging Pathogens Inst, New York, NY USA</t>
  </si>
  <si>
    <t xml:space="preserve">Columbia University; Stanford University; Instituto de Salud Carlos III; Centro Nacional de Microbiologia (CNM); United States Department of Agriculture (USDA); Icahn School of Medicine at Mount Sinai; Icahn School of Medicine at Mount Sinai</t>
  </si>
  <si>
    <t xml:space="preserve">Lipkin, WI (corresponding author), Columbia Univ, Mailman Sch Publ Hlth, Jerome L &amp; Dawn Greene Infect Dis Lab, 722 W 168th St,Room 1801, New York, NY 10032 USA.</t>
  </si>
  <si>
    <t xml:space="preserve">wil2001@columbia.edu</t>
  </si>
  <si>
    <t xml:space="preserve">CIsterna, Daniel/ABC-4873-2021; Garcia-Sastre, Adolfo/ABF-3070-2021; Casas, Inmaculada/H-9442-2015; Briese, Thomas/LGY-0435-2024; Richt, Juergen/AAL-3632-2020; Lipkin, W./ABE-6216-2020; Jabado, Omar/B-3406-2008; Conlan, Sean/B-4401-2008; Renwick, Neil/V-3980-2019; Palacios, Gustavo/I-7773-2015; Pozo, Francisco/F-4426-2012</t>
  </si>
  <si>
    <t xml:space="preserve">Drysdale, Andrew/0000-0002-6824-9190; Conlan, Sean/0000-0001-6848-3465; Renwick, Neil/0000-0001-6695-8236; Palacios, Gustavo/0000-0001-5062-1938; Garcia-Sastre, Adolfo/0000-0002-6551-1827; Casas, Inmaculada/0000-0003-1840-1198; Cisterna, Daniel/0000-0001-7614-9272; Pozo, Francisco/0000-0003-1828-733X</t>
  </si>
  <si>
    <t xml:space="preserve">NHLBI NIH HHS [HL083850-01, R01 HL083850] Funding Source: Medline; NIAID NIH HHS [U54AI57158, AI55466, R21 AI056118, AI51292, UC1 AI062705, U01AI070411, AI056118, R21 AI055466, AI062705, U54 AI057158, U01 AI070411, R01 AI051292] Funding Source: Medline</t>
  </si>
  <si>
    <t xml:space="preserve">10.1128/JCM.00737-07</t>
  </si>
  <si>
    <t xml:space="preserve">200WK</t>
  </si>
  <si>
    <t xml:space="preserve">WOS:000248793300002</t>
  </si>
  <si>
    <t xml:space="preserve">Le Nguyen, HK; Nguyen, SV; Nguyen, AP; Hoang, PMV; Le, TT; Nguyen, TC; Hoang, HT; Vuong, CD; Tran, LTT; Le, MQ</t>
  </si>
  <si>
    <t xml:space="preserve">Hang Khanh Le Nguyen; Son Vu Nguyen; Anh Phuong Nguyen; Phuong Mai Vu Hoang; Thanh Thi Le; Thach Co Nguyen; Huong Thu Hoang; Cuong Duc Vuong; Loan Thi Thanh Tran; Mai Quynh Le</t>
  </si>
  <si>
    <t xml:space="preserve">Surveillance of Severe Acute Respiratory Infection (SARI) for Hospitalized Patients in Northern Vietnam, 2011-2014</t>
  </si>
  <si>
    <t xml:space="preserve">Rhinovirus; Medicine; Respiratory system; Throat</t>
  </si>
  <si>
    <t xml:space="preserve">VIRUS-INFECTIONS; VIRAL-INFECTIONS; INFLUENZA; CHILDREN; OUTPATIENTS; ILLNESS; ADULTS; SEASON</t>
  </si>
  <si>
    <t xml:space="preserve">Severe acute respiratory infections (SARI) are leading causes of hospitalization, morbidity, and mortality in children worldwide. The aim of this study was to identify viral pathogens responsible for SARI in northern Vietnam in the period from 2011 to 2014. Throat swabs and tracheal aspirates were collected from SARI patients according to WHO guidelines. The presence of 13 different viral pathogens (influenza A[H1N1]pdm09; A/H3N2; A/H5; A/H7 and B; para influenza 1,2,3; RSV; HMPV; adeno; severe acute respiratory syndrome-CoV and rhino) was tested by conventional/real-time reverse transcription-polymerase chain reaction. During the study period, 975 samples were collected and tested. More than 30% (32.1%, 313 samples) of the samples showed evidence of infection with influenza viruses, including A/H3N2 (48 samples), A (H1N1) pdm09 (221 samples), influenza B (42 samples), and co-infection of A (H1N1) pdm09 or A/H3N2 and influenza B (2 samples). Other respiratory pathogens were detected in 101 samples, including rhinovirus (73 samples), adenovirus (10 samples), hMPV (9 samples), parainfluenza 3 (5 samples), parainfluenza 2 (3 samples), and RSV (1 sample). Influenza A/H5, A/H7, or SARS-CoV were not detected. Respiratory viral infection, particularly infection of influenza and rhinoviruses, were associated with high rates of SARI hospitalization, and future studies correlating the clinical aspects are needed to design interventions, including targeted vaccination.</t>
  </si>
  <si>
    <t xml:space="preserve">[Hang Khanh Le Nguyen; Son Vu Nguyen; Anh Phuong Nguyen; Phuong Mai Vu Hoang; Thanh Thi Le; Thach Co Nguyen; Huong Thu Hoang; Cuong Duc Vuong; Mai Quynh Le] Natl Inst Hyg &amp; Epidemiol, Virol Dept, Hanoi 1000, Vietnam; [Loan Thi Thanh Tran] Natl Tradit Med Hosp, Hanoi, Vietnam</t>
  </si>
  <si>
    <t xml:space="preserve">Le, MQ (corresponding author), Natl Inst Hyg &amp; Epidemiol, Virol Dept, Hanoi 1000, Vietnam.</t>
  </si>
  <si>
    <t xml:space="preserve">Nguyen, Chung/A-3313-2015; Nguyen, Anh Phuong/IZQ-4265-2023</t>
  </si>
  <si>
    <t xml:space="preserve">Vietnam National Foundation for Science and Technology Development (NAFOSTED) [106-YS.04-2013.03]</t>
  </si>
  <si>
    <t xml:space="preserve">Vietnam National Foundation for Science and Technology Development (NAFOSTED)(National Foundation for Science &amp; Technology Development (NAFOSTED))</t>
  </si>
  <si>
    <t xml:space="preserve">We would like to thank Dr Juliet Bryant for scientific editing. We are grateful the National Institute of Hygiene and Epidemiology for their continued support for our works, we would like to thank technical support from CDC-Vietnam, CDC-US, WHO-Vietnam, and Preventive Medicine Centers in the North of Vietnam. This research is funded by The Vietnam National Foundation for Science and Technology Development (NAFOSTED) under grant number-106-YS.04-2013.03.</t>
  </si>
  <si>
    <t xml:space="preserve">10.7883/yoken.JJID.2016.463</t>
  </si>
  <si>
    <t xml:space="preserve">FJ4MX</t>
  </si>
  <si>
    <t xml:space="preserve">WOS:000412715600010</t>
  </si>
  <si>
    <t xml:space="preserve">XING, PX; PRENZOSKA, J; MCKENZIE, IFC</t>
  </si>
  <si>
    <t xml:space="preserve">EPITOPE MAPPING OF ANTI-BREAST AND ANTIOVARIAN MUCIN MONOCLONAL-ANTIBODIES</t>
  </si>
  <si>
    <t xml:space="preserve">MOLECULAR IMMUNOLOGY</t>
  </si>
  <si>
    <t xml:space="preserve">Epitope; Monoclonal antibody; Mucin; Epitope mapping</t>
  </si>
  <si>
    <t xml:space="preserve">POLYMORPHIC EPITHELIAL MUCIN; SYNTHETIC PEPTIDES; CORE; CARCINOMA; CLONING; CANCER</t>
  </si>
  <si>
    <t xml:space="preserve">Anti-breast cancer antibodies (BC2, HMPV and 4B6) and an anti-ovarian cancer antibody (OMI) were found to react with mucins-indeed with the protein core encoded by the MUC1 gene. This gene contains a VNTR (variable number of tandem repeats) encoding a 60 bp (= 20 amino acids) repeat sequence and within this amino acid sequence SAPDTRPAP was predicted, by hydrophilicity analysis, to be the immunogenic peptide sequence. The four antibodies were shown to react with MUC1 VNTR encoded peptides in direct binding and inhibition studies. The precise reactivity of the 4 mAbs was mapped using ELISA in both solid and liquid phase, and demonstrated the epitopes to be: APDTR (BC2 and HMPV), PDTR (4B6) and DTRPA (OMI). By using the pepscan method, the epitopes were shorter (PDTR, DTR and DTRP). However when these short peptides (except DTR) were synthesized they did not react; flanking amino acids are needed for the epitopes. Clearly several different methods should be used to define the reactive epitope. Within (S)APDTR, major amino acid substitutions could be made even of three to four amino acids without altering antibody binding, provided that P and R Were not substituted. It was of interest that an anti-ovarian cancer antibody gave similar anti-peptide reactions to the anti-breast cancer antibodies; apparently MUC1 peptides in ovarian cancer are the same as in breast cancer.</t>
  </si>
  <si>
    <t xml:space="preserve">AUSTIN HOSP,AUSTIN RES INST,HEIDELBERG,VIC 3084,AUSTRALIA</t>
  </si>
  <si>
    <t xml:space="preserve">Florey Institute of Neuroscience &amp; Mental Health; Austin Research Institute</t>
  </si>
  <si>
    <t xml:space="preserve">THE BOULEVARD, LANGFORD LANE, KIDLINGTON, OXFORD, ENGLAND OX5 1GB</t>
  </si>
  <si>
    <t xml:space="preserve">0161-5890</t>
  </si>
  <si>
    <t xml:space="preserve">MOL IMMUNOL</t>
  </si>
  <si>
    <t xml:space="preserve">Mol. Immunol.</t>
  </si>
  <si>
    <t xml:space="preserve">10.1016/0161-5890(92)90201-8</t>
  </si>
  <si>
    <t xml:space="preserve">HU347</t>
  </si>
  <si>
    <t xml:space="preserve">WOS:A1992HU34700010</t>
  </si>
  <si>
    <t xml:space="preserve">Kelly, MS; Smieja, M; Luinstra, K; Wirth, KE; Goldfarb, DM; Steenhoff, AP; Arscott-Mills, T; Cunningham, CK; Boiditswe, S; Sethomo, W; Shah, SS; Finalle, R; Feemster, KA</t>
  </si>
  <si>
    <t xml:space="preserve">Kelly, Matthew S.; Smieja, Marek; Luinstra, Kathy; Wirth, Kathleen E.; Goldfarb, David M.; Steenhoff, Andrew P.; Arscott-Mills, Tonya; Cunningham, Coleen K.; Boiditswe, Sefelani; Sethomo, Warona; Shah, Samir S.; Finalle, Rodney; Feemster, Kristen A.</t>
  </si>
  <si>
    <t xml:space="preserve">Association of Respiratory Viruses with Outcomes of Severe Childhood Pneumonia in Botswana</t>
  </si>
  <si>
    <t xml:space="preserve">Medicine; Rhinovirus; Pneumonia; Human metapneumovirus; Respiratory tract infections; Respiratory system; Pediatrics</t>
  </si>
  <si>
    <t xml:space="preserve">COMMUNITY-ACQUIRED PNEUMONIA; HUMAN-IMMUNODEFICIENCY-VIRUS; POLYMERASE-CHAIN-REACTION; HOSPITALIZED CHILDREN; TRACT INFECTIONS; VIRAL ETIOLOGY; SOUTH-AFRICA; INFANTS; MULTICENTER; FAILURE</t>
  </si>
  <si>
    <t xml:space="preserve">Background The highest incidence of childhood acute lower respiratory tract infection (ALRI) is in lowand middle-income countries. Few studies examined whether detection of respiratory viruses predicts ALRI outcomes in these settings. Methods We conducted prospective cohort and case-control studies of children 1-23 months of age in Botswana. Cases met clinical criteria for pneumonia and were recruited within six hours of presentation to a referral hospital. Controls were children without pneumonia matched to cases by primary care clinic and date of enrollment. Nasopharyngeal specimens were tested for respiratory viruses using polymerase chain reaction. We compared detection rates of specific viruses in matched case-control pairs. We examined the effect of respiratory syncytial virus (RSV) and other respiratory viruses on pneumonia outcomes. Results Between April 2012 and August 2014, we enrolled 310 cases, of which 133 had matched controls. Median ages of cases and controls were 6.1 and 6.4 months, respectively. One or more viruses were detected from 75% of cases and 34% of controls. RSV and human metapneumovirus were more frequent among cases than controls, but only enterovirus/rhinovirus was detected from asymptomatic controls. Compared with non-RSV viruses, RSV was associated with an increased risk of treatment failure at 48 hours [risk ratio (RR): 1.85; 95% confidence interval (CI): 1.20, 2.84], more days of respiratory support [mean difference (MD): 1.26 days; 95% CI: 0.30, 2.22 days], and longer duration of hospitalization [MD: 1.35 days; 95% CI: 0.20, 2.50 days], but lower in-hospital mortality [RR: 0.09; 95% CI: 0.01, 0.80] in children with pneumonia. Conclusions Respiratory viruses were detected from most children hospitalized with ALRI in Botswana, but only RSV and human metapneumovirus were more frequent than among children without ALRI. Detection of RSV from children with ALRI predicted a protracted illness course but lower mortality compared with non-RSV viruses.</t>
  </si>
  <si>
    <t xml:space="preserve">[Kelly, Matthew S.; Goldfarb, David M.; Steenhoff, Andrew P.; Arscott-Mills, Tonya; Boiditswe, Sefelani] Botswana UPenn Partnership, Gaborone, Botswana; [Kelly, Matthew S.; Steenhoff, Andrew P.; Finalle, Rodney; Feemster, Kristen A.] Childrens Hosp Philadelphia, Global Hlth Ctr, Philadelphia, PA 19104 USA; [Steenhoff, Andrew P.; Feemster, Kristen A.] Childrens Hosp Philadelphia, Div Infect Dis, Philadelphia, PA 19104 USA; [Kelly, Matthew S.; Cunningham, Coleen K.] Duke Univ, Med Ctr, Div Pediat Infect Dis, Durham, NC USA; [Smieja, Marek; Luinstra, Kathy; Goldfarb, David M.] McMaster Univ, Dept Pathol &amp; Mol Med, Hamilton, ON, Canada; [Wirth, Kathleen E.] Harvard TH Chan Sch Publ Hlth, Dept Epidemiol, Boston, MA USA; [Steenhoff, Andrew P.; Arscott-Mills, Tonya; Finalle, Rodney; Feemster, Kristen A.] Univ Penn, Perelman Sch Med, Philadelphia, PA 19104 USA; [Goldfarb, David M.; Sethomo, Warona] Univ Botswana, Sch Med, Gaborone, Botswana; [Shah, Samir S.] Cincinnati Childrens Hosp Med Ctr, Div Hosp Med &amp; Infect Dis, Cincinnati, OH 45229 USA</t>
  </si>
  <si>
    <t xml:space="preserve">University of Pennsylvania; Pennsylvania Medicine; Childrens Hospital of Philadelphia; University of Pennsylvania; Pennsylvania Medicine; Childrens Hospital of Philadelphia; Duke University; McMaster University; Harvard University; Harvard T.H. Chan School of Public Health; University of Pennsylvania; University of Botswana; Cincinnati Children's Hospital Medical Center</t>
  </si>
  <si>
    <t xml:space="preserve">Kelly, MS (corresponding author), Botswana UPenn Partnership, Gaborone, Botswana.</t>
  </si>
  <si>
    <t xml:space="preserve">matthew.kelly@duke.edu</t>
  </si>
  <si>
    <t xml:space="preserve">Goldfarb, David/ABD-4623-2021; Cunningham, Coleen/HLH-3413-2023</t>
  </si>
  <si>
    <t xml:space="preserve">Wirth, Kathleen/0000-0002-7468-851X; Sethomo, Warona Pricilla/0009-0000-2793-4207; Goldfarb, David/0000-0003-0835-9504</t>
  </si>
  <si>
    <t xml:space="preserve">Early Career Award from the Thrasher Research Fund; Children's Hospital of Philadelphia; Pincus Family Foundation; Penn Center for AIDS Research; NIH [P30-AI045008]; CIPHER grant from the International AIDS Society; ViiV Healthcare; National Institutes of Health [T32 HD060558]; Duke Center for AIDS Research [P30-AI064518]</t>
  </si>
  <si>
    <t xml:space="preserve">Early Career Award from the Thrasher Research Fund; Children's Hospital of Philadelphia; Pincus Family Foundation; Penn Center for AIDS Research; NIH(United States Department of Health &amp; Human ServicesNational Institutes of Health (NIH) - USA); CIPHER grant from the International AIDS Society; ViiV Healthcare; National Institutes of Health(United States Department of Health &amp; Human ServicesNational Institutes of Health (NIH) - USA); Duke Center for AIDS Research</t>
  </si>
  <si>
    <t xml:space="preserve">This research was supported by an Early Career Award from the Thrasher Research Fund (to MSK), by the Children's Hospital of Philadelphia (to APS and KAF) and Pincus Family Foundation, and through core services and support from the Penn Center for AIDS Research, an NIH-funded program (P30-AI045008). Funding for this project was also made possible in part by a CIPHER grant from the International AIDS Society, supported by ViiV Healthcare. The views expressed in this publication do not necessarily reflect the official policies of the International AIDS Society or ViiV Healthcare. MSK received financial support from a National Institutes of Health training grant (T32 HD060558), and CKC was supported through the Duke Center for AIDS Research (P30-AI064518).</t>
  </si>
  <si>
    <t xml:space="preserve">e0126593</t>
  </si>
  <si>
    <t xml:space="preserve">10.1371/journal.pone.0126593</t>
  </si>
  <si>
    <t xml:space="preserve">CI2AC</t>
  </si>
  <si>
    <t xml:space="preserve">WOS:000354545600063</t>
  </si>
  <si>
    <t xml:space="preserve">Bénet, T; Sylla, M; Messaoudi, M; Picot, VS; Telles, JN; Diakite, AA; Komurian-Pradel, F; Endtz, H; Diallo, S; Paranhos-Baccalà, G; Vanhems, P</t>
  </si>
  <si>
    <t xml:space="preserve">Benet, Thomas; Sylla, Mariam; Messaoudi, Melina; Picot, Valentina Sanchez; Telles, Jean-Noel; Diakite, Abdoul-Aziz; Komurian-Pradel, Florence; Endtz, Hubert; Diallo, Souleymane; Paranhos-Baccala, Glaucia; Vanhems, Philippe</t>
  </si>
  <si>
    <t xml:space="preserve">Etiology and Factors Associated with Pneumonia in Children under 5 Years of Age in Mali: A Prospective Case-Control Study</t>
  </si>
  <si>
    <t xml:space="preserve">Medicine; Pneumonia; Etiology; Human metapneumovirus; Odds ratio; Pediatrics</t>
  </si>
  <si>
    <t xml:space="preserve">COMMUNITY-ACQUIRED PNEUMONIA; CHILDHOOD PNEUMONIA; SYSTEMATIC ANALYSIS; NATIONAL CAUSES; GLOBAL BURDEN; INFECTIONS; MORTALITY; HEALTH; COUNTRIES</t>
  </si>
  <si>
    <t xml:space="preserve">Background There are very limited data on children with pneumonia in Mali. The objective was to assess the etiology and factors associated with community-acquired pneumonia in hospitalized children &lt;5 years of age in Mali. Methods A prospective hospital-based case-control study was implemented in the Pediatric department of Gabriel Toure University Hospital at Bamako, Mali, between July 2011-December 2012. Cases were children with radiologically-confirmed pneumonia; Controls were hospitalized children without respiratory features, matched for age and period. Respiratory specimens, were collected to identify 19 viruses and 5 bacteria. Whole blood was collected from cases only. Factors associated with pneumonia were assessed by multivariate logistic regression. Results Overall, 118 cases and 98 controls were analyzed; 44.1% were female, median age was 11 months. Among pneumonia cases, 30.5% were hypoxemic at admission, mortality was 4.2%. Pneumonia cases differed from the controls regarding clinical signs and symptoms but not in terms of past medical history. Multivariate analysis of nasal swab findings disclosed that S. pneumoniae (adjusted odds ratio [aOR] = 3.4, 95% confidence interval [95% CI]: 1.6-7.0), human metapneumovirus (aOR = 17.2, 95% CI: 2.0-151.4), respiratory syncytial virus [RSV] (aOR = 7.4, 95% CI: 2.3-23.3), and influenza A virus (aOR = 10.7, 95% CI: 1.0-112.2) were associated with pneumonia, independently of patient age, gender, period, and other pathogens. Distribution of S. pneumoniae and RSV differed by season with higher rates of S. pneumoniae in January-June and of RSV in July-September. Pneumococcal serotypes 1 and 5 were more frequent in pneumonia cases than in the controls (P = 0.009, and P = 0.04, respectively). Conclusions In this non-PCV population from Mali, pneumonia in children was mainly attributed to S. pneumoniae, RSV, human metapneumovirus, and influenza A virus. Increased pneumococcal conjugate vaccine coverage in children could significantly reduce the burden of pneumonia in sub-Saharan African countries.</t>
  </si>
  <si>
    <t xml:space="preserve">[Benet, Thomas; Vanhems, Philippe] Hosp Civils Lyon, Edouard Herriot Hosp, Infect Control &amp; Epidemiol Unit, Lyon, France; [Benet, Thomas; Vanhems, Philippe] Univ Lyon 1, F-69365 Lyon, France; [Benet, Thomas; Messaoudi, Melina; Picot, Valentina Sanchez; Telles, Jean-Noel; Komurian-Pradel, Florence; Endtz, Hubert; Paranhos-Baccala, Glaucia; Vanhems, Philippe] Int Ctr Infectiol Res CIRI, Lyon, France; [Sylla, Mariam; Diakite, Abdoul-Aziz] Gabriel Toure Hosp, Dept Pediat, Bamako, Mali; [Messaoudi, Melina; Picot, Valentina Sanchez; Telles, Jean-Noel; Komurian-Pradel, Florence; Endtz, Hubert; Paranhos-Baccala, Glaucia] Fdn Merieux, Emerging Pathogens Lab, Lyon, France; [Endtz, Hubert] Erasmus MC, Dept Med Microbiol &amp; Infect Dis, Rotterdam, Netherlands; [Diallo, Souleymane] Ctr Infectiol Charles Merieux, Bamako, Mali</t>
  </si>
  <si>
    <t xml:space="preserve">CHU Lyon; Universite Claude Bernard Lyon 1; Universite Claude Bernard Lyon 1; Erasmus University Rotterdam; Erasmus MC</t>
  </si>
  <si>
    <t xml:space="preserve">Bénet, T (corresponding author), Hosp Civils Lyon, Edouard Herriot Hosp, Infect Control &amp; Epidemiol Unit, Lyon, France.</t>
  </si>
  <si>
    <t xml:space="preserve">thomas.benet@chu-lyon.fr</t>
  </si>
  <si>
    <t xml:space="preserve">Bénet, Thomas/G-8128-2012; Diallo, Souleymane/AAG-8133-2019</t>
  </si>
  <si>
    <t xml:space="preserve">SYLLA, MARIAM/0000-0001-9967-9356; Pradel, Florence/0000-0002-1023-0796; MESSAOUDI, Melina/0000-0002-7049-7206</t>
  </si>
  <si>
    <t xml:space="preserve">Fondation Merieux</t>
  </si>
  <si>
    <t xml:space="preserve">This study was funded by Fondation Merieux. The funders had no role in study design, data collection and analysis, decision to publish, or preparation of the manuscript.</t>
  </si>
  <si>
    <t xml:space="preserve">DEC 22</t>
  </si>
  <si>
    <t xml:space="preserve">e0145447</t>
  </si>
  <si>
    <t xml:space="preserve">10.1371/journal.pone.0145447</t>
  </si>
  <si>
    <t xml:space="preserve">CZ4SH</t>
  </si>
  <si>
    <t xml:space="preserve">WOS:000367092500049</t>
  </si>
  <si>
    <t xml:space="preserve">Boehm, AB; Wolfe, MK; Bidwell, AL; Zulli, A; Chan-Herur, V; White, BJ; Shelden, B; Duong, D</t>
  </si>
  <si>
    <t xml:space="preserve">Boehm, Alexandria B.; Wolfe, Marlene K.; Bidwell, Amanda L.; Zulli, Alessandro; Chan-Herur, Vikram; White, Bradley J.; Shelden, Bridgette; Duong, Dorothea</t>
  </si>
  <si>
    <t xml:space="preserve">Human pathogen nucleic acids in wastewater solids from 191 wastewater treatment plants in the United States</t>
  </si>
  <si>
    <t xml:space="preserve">SCIENTIFIC DATA</t>
  </si>
  <si>
    <t xml:space="preserve">Wastewater; Nucleic acid; Sewage treatment</t>
  </si>
  <si>
    <t xml:space="preserve">TIME PCR ASSAYS; SURVEILLANCE; VIRUS</t>
  </si>
  <si>
    <t xml:space="preserve">We measured concentrations of severe acute respiratory syndrome coronavirus 2 (SARS-CoV-2) and its variants, influenza A and B viruses, respiratory syncytial virus, human metapneumovirus, enterovirus D68, human parainfluenza types 1, 2, 3, 4a, and 4b in aggregate, norovirus genotype II, rotavirus, Candida auris, hepatitis A virus, human adenovirus, mpox virus, H5 influenza A virus, and pepper mild mottle virus nucleic acids in wastewater solids prospectively at 191 wastewater treatment plants in 40 states across the United States plus Washington DC. Measurements were made two to seven times per week from 1 January 2022 to 30 June 2024, depending on wastewater treatment plant staff availability. Measurements were made using droplet digital (reverse-transcription-) polymerase chain reaction (ddRT-PCR) following best practices for making environmental molecular biology measurements. These data can be used to better understand disease occurrence in communities contributing to the wastewater.</t>
  </si>
  <si>
    <t xml:space="preserve">[Boehm, Alexandria B.; Bidwell, Amanda L.; Zulli, Alessandro] Stanford Univ, Sch Engn, Dept Civil &amp; Environm Engn, Stanford, CA 94305 USA; [Boehm, Alexandria B.; Bidwell, Amanda L.; Zulli, Alessandro] Stanford Univ, Doerr Sch Sustainabil, Stanford, CA 94305 USA; [Wolfe, Marlene K.] Emory Univ, Rollins Sch Publ Hlth, Gangarosa Dept Environm Hlth, Atlanta, GA USA; [Chan-Herur, Vikram; White, Bradley J.; Shelden, Bridgette; Duong, Dorothea] Verily Life Sci, South San Francisco, CA USA</t>
  </si>
  <si>
    <t xml:space="preserve">Boehm, Alexandria/0000-0002-8162-5090</t>
  </si>
  <si>
    <t xml:space="preserve">CDC Foundation, no grant number Sergey Brin Family Foundation, no grant number; Sergey Brin Family Foundation</t>
  </si>
  <si>
    <t xml:space="preserve">This work is supported by gifts from the CDC Foundation and the Sergey Brin Family Foundation. Numerous people contributed to sample collection. We acknowledge K. McNeill for input on some parts of the descriptor. This study was performed on the ancestral and unceded lands of the Muwekma Ohlone, Miwuk, and Yokut people. We pay our respects to them and their Elders, past and present, and are grateful for the opportunity to live and work here.</t>
  </si>
  <si>
    <t xml:space="preserve">2052-4463</t>
  </si>
  <si>
    <t xml:space="preserve">SCI DATA</t>
  </si>
  <si>
    <t xml:space="preserve">Sci. Data</t>
  </si>
  <si>
    <t xml:space="preserve">OCT 17</t>
  </si>
  <si>
    <t xml:space="preserve">10.1038/s41597-024-03969-8</t>
  </si>
  <si>
    <t xml:space="preserve">J7P6L</t>
  </si>
  <si>
    <t xml:space="preserve">WOS:001338948300006</t>
  </si>
  <si>
    <t xml:space="preserve">Paynter, S; Yakob, L; Simoes, EAF; Lucero, MG; Tallo, V; Nohynek, H; Ware, RS; Weinstein, P; Williams, G; Sly, PD</t>
  </si>
  <si>
    <t xml:space="preserve">Paynter, Stuart; Yakob, Laith; Simoes, Eric A. F.; Lucero, Marilla G.; Tallo, Veronica; Nohynek, Hanna; Ware, Robert S.; Weinstein, Philip; Williams, Gail; Sly, Peter D.</t>
  </si>
  <si>
    <t xml:space="preserve">Using Mathematical Transmission Modelling to Investigate Drivers of Respiratory Syncytial Virus Seasonality in Children in the Philippines</t>
  </si>
  <si>
    <t xml:space="preserve">Transmissibility (structural dynamics); Seasonality; Transmission (telecommunications)</t>
  </si>
  <si>
    <t xml:space="preserve">VITAMIN-D DEFICIENCY; INFLUENZA SEASONALITY; HUMAN METAPNEUMOVIRUS; TIME-SERIES; INFECTION; PNEUMONIA; INFANTS; SEROPREVALENCE; REINFECTION; DYNAMICS</t>
  </si>
  <si>
    <t xml:space="preserve">We used a mathematical transmission model to estimate when ecological drivers of respiratory syncytial virus (RSV) transmissibility would need to act in order to produce the observed seasonality of RSV in the Philippines. We estimated that a seasonal peak in transmissibility would need to occur approximately 51 days prior to the observed peak in RSV cases (range 49 to 67 days). We then compared this estimated seasonal pattern of transmissibility to the seasonal patterns of possible ecological drivers of transmissibility: rainfall, humidity and temperature patterns, nutritional status, and school holidays. The timing of the seasonal patterns of nutritional status and rainfall were both consistent with the estimated seasonal pattern of transmissibility and these are both plausible drivers of the seasonality of RSV in this setting.</t>
  </si>
  <si>
    <t xml:space="preserve">[Paynter, Stuart; Yakob, Laith; Ware, Robert S.; Williams, Gail] Univ Queensland, Sch Populat Hlth, Brisbane, Qld, Australia; [Simoes, Eric A. F.] Univ Colorado, Sch Med, Aurora, CO USA; [Lucero, Marilla G.; Tallo, Veronica] Res Inst Trop Med, Dept Hlth, Muntinlupa, Metro Manila, Philippines; [Nohynek, Hanna] Natl Inst Hlth &amp; Welf, Dept Vaccines &amp; Immune Protect, Helsinki, Finland; [Weinstein, Philip] Univ S Australia, Barbara Hardy Inst, Adelaide, SA 5001, Australia; [Ware, Robert S.; Sly, Peter D.] Univ Queensland, Queensland Childrens Med Res Inst, Brisbane, Qld, Australia; [Simoes, Eric A. F.] Univ Colorado, Colorado Sch Publ Hlth, Aurora, CO USA</t>
  </si>
  <si>
    <t xml:space="preserve">University of Queensland; University of Colorado System; University of Colorado Anschutz Medical Campus; Research Institute for Tropical Medicine - Philippines; Philippine Department Health; Finland National Institute for Health &amp; Welfare; University of South Australia; University of Queensland; Colorado School of Public Health; University of Colorado System; University of Colorado Anschutz Medical Campus</t>
  </si>
  <si>
    <t xml:space="preserve">Paynter, S (corresponding author), Univ Queensland, Sch Populat Hlth, Brisbane, Qld, Australia.</t>
  </si>
  <si>
    <t xml:space="preserve">s.paynter@uq.edu.au</t>
  </si>
  <si>
    <t xml:space="preserve">Yakob, Laith/AAD-4521-2019; Atwell, Jessica/IVV-7755-2023; Williams, Gail/S-8833-2019; Weinstein, Phil/C-9805-2011; Ware, Robert/B-2024-2014; Sly, Peter/F-1486-2010</t>
  </si>
  <si>
    <t xml:space="preserve">Ware, Robert/0000-0002-6129-6736; Weinstein, Philip/0000-0001-9860-7166; Sly, Peter/0000-0001-6305-2201; Yakob, Laith/0000-0001-8639-4511; Williams, Gail/0000-0002-4822-5263</t>
  </si>
  <si>
    <t xml:space="preserve">European Commission DG Research INCO program [IC18-CY97-2019, ICA4-CT-1999-10008, ICA4-CT-2002-10062]; Academy of Finland [206283, 106974, 108873, 108878]; Finnish Ministry of Foreign Affairs [75502901, 327/412/2000]; Finnish Physicians for Social Responsibility; GAVI ADIP Pneumo; Sanofi Pasteur; Research Institute for Tropical Medicine of the Philippines; National Public Health Institute Finland; University of Queensland; University of Colorado; National Health and Medical Research Council of Australia; Programme for Appropriate Technology in Health (PATH); Academy of Finland (AKA) [108873, 106974, 206283] Funding Source: Academy of Finland (AKA)</t>
  </si>
  <si>
    <t xml:space="preserve">European Commission DG Research INCO program; Academy of Finland(Research Council of Finland); Finnish Ministry of Foreign Affairs; Finnish Physicians for Social Responsibility; GAVI ADIP Pneumo; Sanofi Pasteur; Research Institute for Tropical Medicine of the Philippines; National Public Health Institute Finland; University of Queensland(University of Queensland); University of Colorado; National Health and Medical Research Council of Australia(National Health &amp; Medical Research Council (NHMRC) of Australia); Programme for Appropriate Technology in Health (PATH); Academy of Finland (AKA)(Research Council of Finland)</t>
  </si>
  <si>
    <t xml:space="preserve">The RSV admissions data and weight for age data were collected as part of the ARIVAC project, which was supported by the European Commission DG Research INCO program (contracts IC18-CY97-2019, ICA4-CT-1999-10008, ICA4-CT-2002-10062); Academy of Finland (contracts: 206283, 106974, 108873, and 108878); Finnish Ministry of Foreign Affairs (bilateral contracts 75502901 and 327/412/2000); Finnish Physicians for Social Responsibility; GAVI ADIP Pneumo; Sanofi Pasteur; Research Institute for Tropical Medicine of the Philippines; National Public Health Institute Finland; University of Queensland; University of Colorado; National Health and Medical Research Council of Australia; and Programme for Appropriate Technology in Health (PATH). The views expressed by the authors do not necessarily reflect the views of PATH. The funders had no role in study design, data collection and analysis, decision to publish, or preparation of the manuscript.</t>
  </si>
  <si>
    <t xml:space="preserve">FEB 27</t>
  </si>
  <si>
    <t xml:space="preserve">e90094</t>
  </si>
  <si>
    <t xml:space="preserve">10.1371/journal.pone.0090094</t>
  </si>
  <si>
    <t xml:space="preserve">AC3BU</t>
  </si>
  <si>
    <t xml:space="preserve">WOS:000332390800076</t>
  </si>
  <si>
    <t xml:space="preserve">Sawires, R; Kuldorff, M; Fahey, M; Clothier, H; Buttery, J</t>
  </si>
  <si>
    <t xml:space="preserve">Sawires, Rana; Kuldorff, Martin; Fahey, Michael; Clothier, Hazel; Buttery, Jim</t>
  </si>
  <si>
    <t xml:space="preserve">Snotwatch: an ecological analysis of the relationship between febrile seizures and respiratory virus activity</t>
  </si>
  <si>
    <t xml:space="preserve">Febrile seizure; Medicine; Incidence (geometry); Poisson regression; Pediatrics</t>
  </si>
  <si>
    <t xml:space="preserve">CLINICAL CHARACTERISTICS; SEASONAL-VARIATION; SYNCYTIAL VIRUS; INFECTIONS; INFLUENZA; CHILDREN; RISK; CONVULSIONS; RECURRENCE; EPILEPSY</t>
  </si>
  <si>
    <t xml:space="preserve">Background: Febrile seizures are the commonest type of seizure in occurring in the first few years of life, mostly affecting children aged six months to five years old. While largely benign, the incidence of each febrile seizure increases the risk of recurrence, afebrile seizures and epilepsy. Viruses are the most frequent cause of febrile illnesses in which a febrile seizure occurs. Febrile seizure presentation patterns appear to follow a seasonal trend. Aims: To identify patterns of febrile seizure incidence across different seasons with specific viral activity, and to establish a framework for analysing virus circulation data with common illnesses within a shared region and population. Setting: Our study was a study of febrile seizure presentations in Victoria, Australia and respiratory virus detection. Participants: We obtained independent datasets of emergency department febrile seizure presentations at Monash Health and all respiratory multiplex PCR tests performed at Monash Health from January 2010-December 2019 to observe common trends in virus circulation and febrile seizure incidence. Study design: Trends were studied temporally through mixed effects Poisson regression analysis of the monthly incidence of febrile seizures and the rate of positive PCR tests. Peak viral seasons (95th centile incidence) were compared to median viral circulation (50th centile incidence) to calculate peak season risk ratios. Results: We found a 1.75-2.06 annual risk ratio of febrile seizure incidence in June-September. Temporal analysis of our data showed this peak in febrile seizures was attributable to circulating viruses in this season, and virus modelling showed correlation with increased rates of positive Influenza A (1.48 peak season risk ratio), Influenza B (1.31 peak season risk ratio), Human metapneumovirus (1.19 peak season risk ratio) and Respiratory Syncytial Virus (1.53 peak season risk ratio) on PCR testing. Conclusion: Our ecological study statistically demonstrates the recognised winter peak in febrile seizure incidence and ascribes the seasonal relationship to several viral infections which affect the community, including a novel association with Human metapneumovirus.</t>
  </si>
  <si>
    <t xml:space="preserve">[Sawires, Rana; Buttery, Jim] Monash Univ, Fac Med Nursing &amp; Hlth Sci, Dept Paediat, Clayton, Vic, Australia; [Sawires, Rana; Clothier, Hazel; Buttery, Jim] Royal Childrens Hosp, Murdoch Childrens Res Inst, Parkville, Vic, Australia; [Kuldorff, Martin] Harvard Med Sch, Dept Med, Div Pharmacoepidemiol &amp; Pharmacoecon, Boston, MA 02115 USA; [Kuldorff, Martin] Brigham &amp; Womens Hosp, 75 Francis St, Boston, MA 02115 USA; [Fahey, Michael] Monash Childrens Hosp, Dept Neurol, Clayton, Vic, Australia; [Fahey, Michael] Monash Univ, Neurogenet Dept, Monash Paediat, Clayton, Vic, Australia; [Clothier, Hazel] Univ Melbourne, Sch Populat &amp; Global Hlth, Parkville, Vic, Australia; [Buttery, Jim] Monash Univ, Child Hlth Informat, Dept Paediat, Parkville, Vic, Australia</t>
  </si>
  <si>
    <t xml:space="preserve">Monash University; Royal Children's Hospital Melbourne; Murdoch Children's Research Institute; Harvard University; Harvard Medical School; Harvard University; Brigham &amp; Women's Hospital; Monash Health; Monash Childrens Hospital; Monash University; University of Melbourne; Monash University</t>
  </si>
  <si>
    <t xml:space="preserve">Sawires, R (corresponding author), Monash Univ, Fac Med Nursing &amp; Hlth Sci, Dept Paediat, Clayton, Vic, Australia.;Sawires, R (corresponding author), Royal Childrens Hosp, Murdoch Childrens Res Inst, Parkville, Vic, Australia.</t>
  </si>
  <si>
    <t xml:space="preserve">buttery, jim/JXN-7110-2024; Fahey, Michael/B-2668-2014; Clothier, Hazel/HOH-5732-2023</t>
  </si>
  <si>
    <t xml:space="preserve">Buttery, Jim/0000-0001-9905-2035; Clothier, Hazel/0000-0001-7594-0361</t>
  </si>
  <si>
    <t xml:space="preserve">Royal Children's Hospital Foundation</t>
  </si>
  <si>
    <t xml:space="preserve">Royal Children's Hospital Foundation (Buttery research allocation).</t>
  </si>
  <si>
    <t xml:space="preserve">10.1186/s12887-022-03222-4</t>
  </si>
  <si>
    <t xml:space="preserve">2H9PL</t>
  </si>
  <si>
    <t xml:space="preserve">WOS:000814618700003</t>
  </si>
  <si>
    <t xml:space="preserve">Nguyen, DT; de Witte, L; Ludlow, M; Yüksel, S; Wiesmüller, KH; Geijtenbeek, TBH; Osterhaus, ADME; de Swart, RL</t>
  </si>
  <si>
    <t xml:space="preserve">Nguyen, D. Tien; de Witte, Lot; Ludlow, Martin; Yuksel, Selma; Wiesmueller, Karl-Heinz; Geijtenbeek, Teunis B. H.; Osterhaus, Albert D. M. E.; de Swart, Rik L.</t>
  </si>
  <si>
    <t xml:space="preserve">The Synthetic Bacterial Lipopeptide Pam3CSK4 Modulates Respiratory Syncytial Virus Infection Independent of TLR Activation</t>
  </si>
  <si>
    <t xml:space="preserve">Lipopeptide; Virus; TLR2; Biology</t>
  </si>
  <si>
    <t xml:space="preserve">TOLL-LIKE RECEPTORS; HUMAN EPITHELIAL-CELLS; CORYZA AGENT CCA; CD4(+) T-CELLS; DENDRITIC CELLS; HUMAN METAPNEUMOVIRUS; STREPTOCOCCUS-PNEUMONIAE; LANGERHANS CELLS; VIRAL-INFECTION; TARGET-CELLS</t>
  </si>
  <si>
    <t xml:space="preserve">Respiratory syncytial virus (RSV) is an important cause of acute respiratory disease in infants, immunocompromised subjects and the elderly. However, it is unclear why most primary RSV infections are associated with relatively mild symptoms, whereas some result in severe lower respiratory tract infections and bronchiolitis. Since RSV hospitalization has been associated with respiratory bacterial co-infections, we have tested if bacterial Toll-like receptor (TLR) agonists influence RSV-A2-GFP infection in human primary cells or cell lines. The synthetic bacterial lipopeptide Pam3-Cys-Ser-Lys4 (Pam3CSK4), the prototype ligand for the heterodimeric TLR1/TLR2 complex, enhanced RSV infection in primary epithelial, myeloid and lymphoid cells. Surprisingly, enhancement was optimal when lipopeptides and virus were added simultaneously, whereas addition of Pam3CSK4 immediately after infection had no effect. We have identified two structurally related lipopeptides without TLR-signaling capacity that also modulate RSV infection, whereas Pam3CSK4-reminiscent TLR1/2 agonists did not, and conclude that modulation of infection is independent of TLR activation. A similar TLR-independent enhancement of infection could also be demonstrated for wild-type RSV strains, and for HIV-1, measles virus and human metapneumovirus. We show that the effect of Pam3CSK4 is primarily mediated by enhanced binding of RSV to its target cells. The N-palmitoylated cysteine and the cationic lysines were identified as pivotal for enhanced virus binding. Surprisingly, we observed inhibition of RSV infection in immortalized epithelial cell lines, which was shown to be related to interactions between Pam3CSK4 and negatively charged glycosaminoglycans on these cells, which are known targets for binding of laboratory-adapted but not wild-type RSV. These data suggest a potential role for bacterial lipopeptides in enhanced binding of RSV and other viruses to their target cells, thus affecting viral entry or spread independent of TLR signaling. Moreover, our results also suggest a potential application for these synthetic lipopeptides as adjuvants for live-attenuated viral vaccines.</t>
  </si>
  <si>
    <t xml:space="preserve">[Nguyen, D. Tien; de Witte, Lot; Ludlow, Martin; Yuksel, Selma; Osterhaus, Albert D. M. E.; de Swart, Rik L.] Univ Med Ctr, Erasmus MC, Dept Virol, Rotterdam, Netherlands; [Wiesmueller, Karl-Heinz] EMC Microcollect GmbH, Tubingen, Germany; [Geijtenbeek, Teunis B. H.] Univ Amsterdam, Acad Med Ctr, NL-1105 AZ Amsterdam, Netherlands</t>
  </si>
  <si>
    <t xml:space="preserve">Erasmus University Rotterdam; Erasmus MC; EMC Microcollections GmbH; University of Amsterdam; Academic Medical Center Amsterdam</t>
  </si>
  <si>
    <t xml:space="preserve">Nguyen, DT (corresponding author), Univ Med Ctr, Erasmus MC, Dept Virol, Rotterdam, Netherlands.</t>
  </si>
  <si>
    <t xml:space="preserve">de Witte, Lot/H-1499-2011; De Swart, Rik/E-6508-2011</t>
  </si>
  <si>
    <t xml:space="preserve">Osterhaus, Albert/0000-0002-6074-1172; Ludlow, Martin/0000-0002-0061-1106; De Swart, Rik/0000-0003-3599-8969; DE WITTE, LOTJE/0000-0002-7235-9958</t>
  </si>
  <si>
    <t xml:space="preserve">VIRGO consortium; Dutch Government [BSIK03012]; TI-Pharma [T4-241]; NWO [91204025]</t>
  </si>
  <si>
    <t xml:space="preserve">VIRGO consortium; Dutch Government; TI-Pharma; NWO(Netherlands Organization for Scientific Research (NWO))</t>
  </si>
  <si>
    <t xml:space="preserve">This work was financially supported by the VIRGO consortium, an innovative cluster approved by the Netherlands Genomics Initiative and partially funded by the Dutch Government (grant# BSIK03012), TI-Pharma (LdW, grant# T4-241) and NWO (TBHG, grant# 91204025). The funders had no role in study design, data collection and analysis, decision to publish, or preparation of the manuscript.</t>
  </si>
  <si>
    <t xml:space="preserve">e1001049</t>
  </si>
  <si>
    <t xml:space="preserve">10.1371/journal.ppat.1001049</t>
  </si>
  <si>
    <t xml:space="preserve">644SM</t>
  </si>
  <si>
    <t xml:space="preserve">WOS:000281399900022</t>
  </si>
  <si>
    <t xml:space="preserve">Chen, HZ; Weng, HL; Lin, MR; He, P; Li, YZ; Xie, QD; Ke, CW; Jiao, XY</t>
  </si>
  <si>
    <t xml:space="preserve">Chen, Huanzhu; Weng, Huilan; Lin, Meirui; He, Ping; Li, Yazhen; Xie, Qingdong; Ke, Changwen; Jiao, Xiaoyang</t>
  </si>
  <si>
    <t xml:space="preserve">The Clinical Significance of FilmArray Respiratory Panel in Diagnosing Community-Acquired Pneumonia</t>
  </si>
  <si>
    <t xml:space="preserve">BIOMED RESEARCH INTERNATIONAL</t>
  </si>
  <si>
    <t xml:space="preserve">Mycoplasma pneumoniae; Serology; Pneumonia; Multiplex polymerase chain reaction</t>
  </si>
  <si>
    <t xml:space="preserve">CHLAMYDIA-PNEUMONIAE; VIRUSES; INFECTION; TIME; ETIOLOGY</t>
  </si>
  <si>
    <t xml:space="preserve">Aim. FilmArray Respiratory Panel (FilmArray RP) test is an emerging diagnostic method in fast detecting multiple respiratory pathogens; the methodology and clinical significance of FilmArray RP in community-acquired pneumonia (CAP) diagnosis were evaluated in this study. Methods. Specimens from74 patients withCAPwere analyzed and compared using FilmArray RP, traditional multiple PCR assay, bacterial (or fungal) culture, and serological detection. Results. FilmArray RP andmultiplex PCR showed 100% coincidence rate in detecting coronaviruses 229E, OC43, HKU1, and NL63, human metapneumovirus, influenza A and B, and parainfluenza viruses (PIV1, PIV2, and PIV4). There were 15 viral specimens tested as disagreement positive results. FilmArray RP had higher detection rate in detecting dual viral and Mycoplasma pneumoniae infection. The positive bacteria (or fungi) were found in 25 specimens. Conclusions. This study demonstrated the capability of FilmArray RP for simultaneous detection of broadspectrum respiratory pathogens and potential use in facilitating better patient care.</t>
  </si>
  <si>
    <t xml:space="preserve">[Chen, Huanzhu; He, Ping; Li, Yazhen; Xie, Qingdong; Ke, Changwen; Jiao, Xiaoyang] Shantou Univ, Cell Biol &amp; Genet Dept, Coll Med, Shantou 515041, Peoples R China; [Weng, Huilan; Lin, Meirui] Shantou Univ, Affiliated Hosp 1, Coll Med, Shantou 515041, Peoples R China</t>
  </si>
  <si>
    <t xml:space="preserve">Shantou University; Shantou University</t>
  </si>
  <si>
    <t xml:space="preserve">Ke, CW; Jiao, XY (corresponding author), Shantou Univ, Cell Biol &amp; Genet Dept, Coll Med, Shantou 515041, Peoples R China.</t>
  </si>
  <si>
    <t xml:space="preserve">kecw1965@aliyun.com; xyjiao@stu.edu.cn</t>
  </si>
  <si>
    <t xml:space="preserve">He, Ping/H-5712-2013</t>
  </si>
  <si>
    <t xml:space="preserve">Department of Education, Guangdong Government, under the Top-Tier University Development Scheme for Research and Control of Infectious Disease</t>
  </si>
  <si>
    <t xml:space="preserve">This study was supported by the Department of Education, Guangdong Government, under the Top-Tier University Development Scheme for Research and Control of Infectious Disease.</t>
  </si>
  <si>
    <t xml:space="preserve">2314-6133</t>
  </si>
  <si>
    <t xml:space="preserve">2314-6141</t>
  </si>
  <si>
    <t xml:space="preserve">BIOMED RES INT</t>
  </si>
  <si>
    <t xml:space="preserve">Biomed Res. Int.</t>
  </si>
  <si>
    <t xml:space="preserve">10.1155/2017/7320859</t>
  </si>
  <si>
    <t xml:space="preserve">FG1IB</t>
  </si>
  <si>
    <t xml:space="preserve">WOS:000409547700001</t>
  </si>
  <si>
    <t xml:space="preserve">Hara, Michimaru; Takao, Shinichi; Fukuda, Shinji; Shimazu, Yuki; Miyazaki, Kazuo</t>
  </si>
  <si>
    <t xml:space="preserve">Evaluation of three immunochromatographic kits for rapid detection of influenza virus A and B</t>
  </si>
  <si>
    <t xml:space="preserve">LABMEDICINE</t>
  </si>
  <si>
    <t xml:space="preserve">Virology; Virus; Rhinovirus; Medicine</t>
  </si>
  <si>
    <t xml:space="preserve">REVERSE TRANSCRIPTION-PCR; VIRAL CULTURE; A+B TEST; DIAGNOSIS; IMMUNOASSAY; CHILDREN; PERFORMANCE; TESTS</t>
  </si>
  <si>
    <t xml:space="preserve">Background: Clinically, it is difficult to distinguish influenza infection from febrile infections caused by respiratory syncytial virus, adenovirus, rhinovirus, and human metapneumovirus without the use of rapid diagnostic tests. Methods: Nasopharyngeal aspirates (NPAs) were collected from 494 pediatric patients and were tested for the presence of influenza A and B virus antigen using 3 rapid diagnotic kits: ESPLINE Influenza A and B-N, Directigen EZ Flu A and B, and Binax NOW Influenza A and B. Results: Fifty-three specimens positive by viral culture were positive for influenza A by all 3 kits. Of the 270 influenza B virus cell-culture-positive specimens, the sensitivities of ESPLINE, EZ, and NOW were 86%, 76%, and 78%, respectively. Conclusion: Under well controlled conditions, influenza A virus sensitivities for all 3 kits can be 100% with specificities ranging from 98% to 100%.</t>
  </si>
  <si>
    <t xml:space="preserve">[Hara, Michimaru] Hiroshima Prefectural Inst Publ Hlth &amp; Environm, Hara Pediat Clin, Hiroshima, Japan; [Takao, Shinichi; Fukuda, Shinji; Shimazu, Yuki; Miyazaki, Kazuo] Hiroshima Prefectural Inst Publ Hlth &amp; Environm, Dept Microbiol, Hiroshima, Japan</t>
  </si>
  <si>
    <t xml:space="preserve">Hara, M (corresponding author), Hiroshima Prefectural Inst Publ Hlth &amp; Environm, Hara Pediat Clin, Hiroshima, Japan.</t>
  </si>
  <si>
    <t xml:space="preserve">AMER SOC CLINICAL PATHOLOGY</t>
  </si>
  <si>
    <t xml:space="preserve">2100 W HARRISON ST, CHICAGO, IL 60612 USA</t>
  </si>
  <si>
    <t xml:space="preserve">0007-5027</t>
  </si>
  <si>
    <t xml:space="preserve">1943-7730</t>
  </si>
  <si>
    <t xml:space="preserve">Labmedicine</t>
  </si>
  <si>
    <t xml:space="preserve">10.1309/LM6ONMGY7K9ETMGF</t>
  </si>
  <si>
    <t xml:space="preserve">353JB</t>
  </si>
  <si>
    <t xml:space="preserve">WOS:000259561400007</t>
  </si>
  <si>
    <t xml:space="preserve">Branigan, PJ; Day, ND; Liu, CB; Gutshall, LL; Melero, JA; Sarisky, RT; Del Vecchio, AM</t>
  </si>
  <si>
    <t xml:space="preserve">The cytoplasmic domain of the F protein of Human respiratory syncytial virus is not required for cell fusion</t>
  </si>
  <si>
    <t xml:space="preserve">Biology; Fusion protein; Virology; Cytoplasm; Virus; Cell fusion; Paramyxoviridae; Palmitoylation</t>
  </si>
  <si>
    <t xml:space="preserve">LIPID-RAFTS; GLYCOPROTEIN; MUTANTS; ASSOCIATION; INFECTIONS; CLEAVAGE</t>
  </si>
  <si>
    <t xml:space="preserve">The cytoplasmic domains of the fusion proteins encoded by several viruses play a role in cell fusion and contain sites for palmitoylation associated with viral protein trafficking and virus assembly. The fusion (F) protein of Human respiratory syncytial virus (HRSV) has a predicted cytoplasmic domain of 26 residues containing a single palmitoylated cysteine residue that is conserved in bovine RSV F protein, but not in the IF proteins of other pneumoviruses such as pneumonia virus of mice, human metapneumovirus and avian pneumovirus. The cytoplasmic domains in other paramyxovirus fusion proteins such as Newcastle disease virus F protein play a role in fusion. In this study, it was shown that deletion of the entire cytoplasmic domain or mutation of the single cysteine residue (C550S) of the HRSV F protein had no effect on protein processing, cell-surface expression or fusion.</t>
  </si>
  <si>
    <t xml:space="preserve">Centocor Inc, Dept Infect Dis Res, Radnor, PA 19087 USA; Ctr Nacl Microbiol Virol &amp; Inmunol Sanitarias Maja, Inst Salud Carlos III, Madrid 28220, Spain</t>
  </si>
  <si>
    <t xml:space="preserve">Johnson &amp; Johnson; Johnson &amp; Johnson USA; Janssen Biotech Inc; Instituto de Salud Carlos III</t>
  </si>
  <si>
    <t xml:space="preserve">Centocor Inc, Dept Infect Dis Res, 145 King Prussia Rd, Radnor, PA 19087 USA.</t>
  </si>
  <si>
    <t xml:space="preserve">Adelvecc@cntus.jnj.com</t>
  </si>
  <si>
    <t xml:space="preserve">10.1099/vir.0.81481-0</t>
  </si>
  <si>
    <t xml:space="preserve">006OM</t>
  </si>
  <si>
    <t xml:space="preserve">WOS:000234906800018</t>
  </si>
  <si>
    <t xml:space="preserve">Chiu, SS; Cowling, BJ; Peiris, JSM; Chan, ELY; Wong, WHS; Lee, KP</t>
  </si>
  <si>
    <t xml:space="preserve">Chiu, Susan S.; Cowling, Benjamin J.; Peiris, J. S. Malik; Chan, Eunice L. Y.; Wong, Wilfred H. S.; Lee, Kwok Piu</t>
  </si>
  <si>
    <t xml:space="preserve">Effects of Nonpharmaceutical COVID-19 Interventions on Pediatric Hospitalizations for Other Respiratory Virus Infections, Hong Kong</t>
  </si>
  <si>
    <t xml:space="preserve">Coronavirus disease 2019 (COVID-19); Psychological intervention; Medicine; Severe acute respiratory syndrome coronavirus 2 (SARS-CoV-2); 2019-20 coronavirus outbreak; Respiratory system</t>
  </si>
  <si>
    <t xml:space="preserve">CORONAVIRUS DISEASE 2019; INFLUENZA; BURDEN; CHILDREN</t>
  </si>
  <si>
    <t xml:space="preserve">To determine the effects of nonpharmaceutical interventions (NPIs) for coronavirus disease on pediatric hospitalizations for infection with respiratory viruses other than severe acute respiratory syndrome coronavirus 2, we analyzed hospital data for 2017-2021. Compared with 2017-2019, age-specific hospitalization rates associated with respiratory viruses greatly decreased in 2020, when NPIs were in place. Also when NPIs were in place, rates of hospitalization decreased among children of all ages for infection with influenza A and B viruses, respiratory syncytial virus, adenovirus, parainfluenza viruses, human metapneumovirus, and rhinovirus/enterovirus. Regression models adjusted for age and seasonality indicated that hospitalization rates for acute febrile illness/respiratory symptoms of any cause were reduced by 76% and by 85%-99% for hospitalization for infection with these viruses. NPIs in Hong Kong were clearly associated with reduced pediatric hospitalizations for respiratory viruses; implementing NPIs and reopening schools were associated with only a small increase in hospitalizations for rhinovirus/enterovirus infections.</t>
  </si>
  <si>
    <t xml:space="preserve">[Chiu, Susan S.; Cowling, Benjamin J.; Peiris, J. S. Malik; Chan, Eunice L. Y.; Wong, Wilfred H. S.] Univ Hong Kong, Hong Kong, Peoples R China; [Lee, Kwok Piu] Pamela Youde Nethersole Eastern Hosp, Hong Kong, Peoples R China</t>
  </si>
  <si>
    <t xml:space="preserve">University of Hong Kong; Pamela Youde Nethersole Eastern Hospital</t>
  </si>
  <si>
    <t xml:space="preserve">Chiu, SS (corresponding author), Univ Hong Kong, Queen Mary Hosp, Paediat &amp; Adolescent Med, Pokfulam, Hong Kong, Peoples R China.</t>
  </si>
  <si>
    <t xml:space="preserve">Peiris, Joseph/C-4380-2009; Cowling, Benjamin/C-4263-2009; Wong, Hing Sang Wilfred/Q-8751-2019</t>
  </si>
  <si>
    <t xml:space="preserve">Wong, Hing Sang Wilfred/0000-0001-8396-2368</t>
  </si>
  <si>
    <t xml:space="preserve">10.3201/eid2801.211099</t>
  </si>
  <si>
    <t xml:space="preserve">YM1CB</t>
  </si>
  <si>
    <t xml:space="preserve">WOS:000746318000008</t>
  </si>
  <si>
    <t xml:space="preserve">Kupfer, B; Simon, A; Jonassen, CM; Viazov, S; Ditt, V; Tillmann, RL; Müller, A; Matz, B; Schildgen, O</t>
  </si>
  <si>
    <t xml:space="preserve">Kupfer, B.; Simon, A.; Jonassen, C. M.; Viazov, S.; Ditt, V.; Tillmann, R. -L.; Mueller, A.; Matz, B.; Schildgen, O.</t>
  </si>
  <si>
    <t xml:space="preserve">Two cases of severe obstructive pneumonia associated with an HKU1-like coronavirus</t>
  </si>
  <si>
    <t xml:space="preserve">YOUNG-CHILDREN; HKU1; IDENTIFICATION; INFECTION; SEQUENCE</t>
  </si>
  <si>
    <t xml:space="preserve">Background: During the last few years a number of previously undescribed viruses, including human metapneumovirus, coronaviruses SARS, NL63 and HKU1, and bocavirus, were identified in nasopharyngeal samples from patients with signs of respiratory infections. These viruses may cause mild to life-threatening infections. Objectives: Nasopharyngeal samples from hospitalized pediatric patients with respiratory disease were analysed for the presence of coronaviruses and other well known and newly identified respiratory viruses. Results: Two clinical cases of a severe obstructive pneumonia, which were associated with the presence of RNA of a novel variant (subtype) of HKU1 coronavirus in the nasopharyngeal aspirates, were identified. Discussion: The detection of a HKU1-like coronavirus in pediatric patients in the current study complement the most recent independent finding of similar or closely related coronaviruses in patients with respiratory diseases in France (Vabret et al. 2006) and Norway (Jonassen et al., see accompanying manuscript). These observations indicate a wide dissemination of HKU1-like coronaviruses in Europe.</t>
  </si>
  <si>
    <t xml:space="preserve">Univ Bonn, Dept Virol, Inst Med Microbiol Immunol &amp; Parasitol, D-53105 Bonn, Germany; Univ Bonn, Dept Pediat, D-53105 Bonn, Germany; Essen Univ Hosp, Inst Virol, Essen, Germany; Natl Vet Inst, Oslo, Norway</t>
  </si>
  <si>
    <t xml:space="preserve">University of Bonn; University of Bonn; University of Duisburg Essen; Norwegian Veterinary Institute</t>
  </si>
  <si>
    <t xml:space="preserve">Schildgen, O (corresponding author), Univ Bonn, Dept Virol, Inst Med Microbiol Immunol &amp; Parasitol, Sigmund Freud Str 25, D-53105 Bonn, Germany.</t>
  </si>
  <si>
    <t xml:space="preserve">154YS</t>
  </si>
  <si>
    <t xml:space="preserve">WOS:000245545200005</t>
  </si>
  <si>
    <t xml:space="preserve">Zhou, F; Wang, Y; Liu, YM; Liu, XD; Gu, L; Zhang, XJ; Pu, ZH; Yang, GR; Liu, B; Nie, QR; Xue, B; Feng, J; Guo, Q; Liu, JH; Fan, H; Chen, J; Zhang, YX; Xu, ZY; Pang, M; Chen, Y; Nie, XH; Cai, ZG; Xu, JF; Peng, K; Li, XX; Xiang, PC; Zhang, ZQ; Jiang, SJ; Su, X; Zhang, J; Li, YM; Jin, XH; Jiang, RM; Dong, JP; Song, YL; Zhou, H; Wang, C; Cao, B</t>
  </si>
  <si>
    <t xml:space="preserve">Zhou, Fei; Wang, Yimin; Liu, Yingmei; Liu, Xuedong; Gu, Li; Zhang, Xiaoju; Pu, Zenghui; Yang, Guoru; Liu, Bo; Nie, Qingrong; Xue, Bing; Feng, Jing; Guo, Qiang; Liu, Jianhua; Fan, Hong; Chen, Jin; Zhang, Yongxiang; Xu, Zhenyang; Pang, Min; Chen, Yu; Nie, Xiuhong; Cai, Zhigang; Xu, Jinfu; Peng, Kun; Li, Xiangxin; Xiang, Pingchao; Zhang, Zuoqing; Jiang, Shujuan; Su, Xin; Zhang, Jie; Li, Yanming; Jin, Xiuhong; Jiang, Rongmeng; Dong, Jianping; Song, Yuanlin; Zhou, Hong; Wang, Chen; Cao, Bin</t>
  </si>
  <si>
    <t xml:space="preserve">CAP-China Network</t>
  </si>
  <si>
    <t xml:space="preserve">Disease severity and clinical outcomes of community-acquired pneumonia caused by non-influenza respiratory viruses in adults: a multicentre prospective registry study from the CAP-China Network</t>
  </si>
  <si>
    <t xml:space="preserve">Human metapneumovirus; Medicine; Rhinovirus; Pneumonia; Virus</t>
  </si>
  <si>
    <t xml:space="preserve">SYNCYTIAL VIRUS; HUMAN METAPNEUMOVIRUS; VIRAL-INFECTION; ANTIMICROBIAL STEWARDSHIP; ANTIBIOTIC UTILIZATION; TRACT INFECTION; PHASE-II; EPIDEMIOLOGY; ETIOLOGY; PATHOGENS</t>
  </si>
  <si>
    <t xml:space="preserve">Although broad knowledge of influenza viral pneumonia has been established, the significance of non-influenza respiratory viruses in community-acquired pneumonia (CAP) and their impact on clinical outcomes remains unclear, especially in the non-immunocompromised adult population. Hospitalised immunocompetent patients with CAP were prospectively recruited from 34 hospitals in mainland China. Respiratory viruses were detected by molecular methods. Comparisons were conducted between influenza and non-influenza viral infection groups. In total, 915 out of 2336 adult patients with viral infection were enrolled in the analysis, with influenza virus (28.4%) the most frequently detected virus, followed by respiratory syncytial virus (3.6%), adenovirus (3.3%), human coronavirus (3.0%), parainfluenza virus (2.2%), human rhinovirus (1.8%) and human metapneumovirus (1.5%). Non-influenza viral infections accounted for 27.4% of viral pneumonia. Consolidation was more frequently observed in patients with adenovirus infection. The occurrence of complications such as sepsis (40.1% versus 39.6%; p=0.890) and hypoxaemia (40.1% versus 37.2%; p=0.449) during hospitalisation in the influenza viral infection group did not differ from that of the non-influenza viral infection group. Compared with influenza virus infection, the multivariable adjusted odds ratios of CURB-65 (confusion, urea &gt; 7 mmol.L-1, respiratory rate &gt;= 30 breaths.min(-1), blood pressure &lt; 90 mmHg (systolic) or &lt;= 60 mmHg (diastolic), age &gt;= 65 years) &gt;= 3, arterial oxygen tension/inspiratory oxygen fraction &lt; 200 mmHg, and occurrence of sepsis and hypoxaemia for non-influenza respiratory virus infection were 0.87 (95% CI 0.26-2.84), 0.72 (95% CI 0.26-1.98), 1.00 (95% CI 0.63-1.58) and 1.05 (95% CI 0.66-1.65), respectively. The hazard ratio of 90-day mortality was 0.51 (95% CI 0.13-1.91). The high incidence of complications in non-influenza viral pneumonia and similar impact of non-influenza respiratory viruses relative to influenza virus on disease severity and outcomes suggest more attention should be given to CAP caused by non-influenza respiratory viruses.</t>
  </si>
  <si>
    <t xml:space="preserve">[Zhou, Fei; Wang, Yimin; Liu, Yingmei; Wang, Chen; Cao, Bin] Chinese Acad Med Sci, China Japan Friendship Hosp, Dept Pulm &amp; Crit Care Med,Inst Resp Med, Ctr Resp Dis,Natl Clin Res Ctr Resp Dis, Beijing, Peoples R China; [Zhou, Fei; Wang, Yimin; Liu, Yingmei; Wang, Chen; Cao, Bin] Capital Med Univ, Clin Ctr Pulm Infect, Beijing, Peoples R China; [Zhou, Fei; Wang, Yimin; Liu, Yingmei; Wang, Chen; Cao, Bin] Tsinghua Univ Peking Univ Joint Ctr Life Sci, Beijing, Peoples R China; [Liu, Xuedong] Qingdao Municipal Hosp, Dept Resp Med, Qingdao, Shandong, Peoples R China; [Gu, Li] Capital Med Univ, Beijing Chao Yang Hosp, Dept Infect Dis, Beijing, Peoples R China; [Zhang, Xiaoju] Henan Prov Peoples Hosp, Dept Resp Med, Zhengzhou, Henan, Peoples R China; [Pu, Zenghui] Yantai Yu Huang Ding Hosp, Dept Infect Dis, Yantai, Peoples R China; [Yang, Guoru] Weifang 2 Peoples Hosp, Dept Pulm &amp; Crit Care Med, Weifang, Peoples R China; [Liu, Bo] Linzi Dist Peoples Hosp, Dept Resp &amp; Crit Care Med, Zibo, Peoples R China; [Nie, Qingrong] Liangxiang Hosp, Dept Resp &amp; Crit Care Med, Beijing, Peoples R China; [Xue, Bing] Tshinghua Univ, Chuiyangliu Hosp, Dept Resp Med, Beijing, Peoples R China; [Feng, Jing] Tianjin Med Univ, Gen Hosp, Dept Resp Med, Tianjin, Peoples R China; [Guo, Qiang] Soochow Univ, Affiliated Hosp 1, Dept Resp Emergency &amp; Crit Care Med, Suzhou, Jiangsu, Peoples R China; [Liu, Jianhua] Univ Chinese Acad Sci, Beijing Huairou Hosp, Dept Resp Med, Beijing, Peoples R China; [Fan, Hong] Sichuan Univ, West China Hosp, Dept Pulm &amp; Crit Care Med, Chengdu, Sichuan, Peoples R China; [Chen, Jin] Capital Med Univ, Fuxing Hosp, Dept Resp Med, Beijing, Peoples R China; [Zhang, Yongxiang] Capital Med Univ, Daxing Teaching Hosp, Dept Resp Med, Beijing, Peoples R China; [Xu, Zhenyang] Capital Med Univ, Beijing Luhe Hosp, Dept Pulm &amp; Crit Care Med, Beijing, Peoples R China; [Pang, Min] Shanxi Med Univ, Hosp 1, Dept Resp Med, Taiyuan, Shanxi, Peoples R China; [Chen, Yu] China Med Univ, Shengjing Hosp, Dept Pulm &amp; Crit Care Med, Beijing, Peoples R China; [Nie, Xiuhong] Capital Med Univ, Xuanwu Hosp, Dept Resp Med, Beijing, Peoples R China; [Cai, Zhigang] Hebei Med Univ, Hosp 2, Dept Pulm &amp; Crit Care Med, Shijiazhuang, Hebei, Peoples R China; [Xu, Jinfu] Shanghai Pulm Hosp, Dept Pulm &amp; Crit Care Med, Shanghai, Peoples R China; [Peng, Kun] Beijing 6 Hosp, Dept Resp Med, Beijing, Peoples R China; [Li, Xiangxin] Beijing Changping Hosp, Dept Pulm &amp; Crit Care Med, Beijing, Peoples R China; [Xiang, Pingchao] Peking Univ, Shougang Hosp, Dept Pulm &amp; Crit Care Med, Beijing, Peoples R China; [Zhang, Zuoqing] Beijing Shijingshan Hosp, Dept Resp Med, Beijing, Peoples R China; [Jiang, Shujuan] Shandong Prov Hosp, Dept Pulm &amp; Crit Care Med, Jinan, Shandong, Peoples R China; [Su, Xin] PLA, Nanjing Gen Hosp Nanjing Mil Command, Dept Resp Med, Nanjing, Jiangsu, Peoples R China; [Zhang, Jie] Capital Med Univ, Beijing Tiantan Hosp, Dept Resp Med, Beijing, Peoples R China; [Li, Yanming] Beijing Hosp, Dept Pulm &amp; Crit Care Med, Beijing, Peoples R China; [Jin, Xiuhong] Beijing Pinggu Hosp, Dept Resp Med, Beijing, Peoples R China; [Jiang, Rongmeng] Capital Med Univ, Beijing Ditan Hosp, Infect Dis Diag &amp; Treatment Ctr, Beijing, Peoples R China; [Dong, Jianping] Peking Univ, Hosp 3, Haidian Sect, Dept Infect Dis,Beijing Haidian Hosp, Beijing, Peoples R China; [Song, Yuanlin] Fudan Univ, Zhongshan Hosp, Dept Pulm &amp; Crit Care Med, Shanghai, Peoples R China; [Zhou, Hong] Beijing Elect Power Hosp, Dept Resp Med, Beijing, Peoples R China</t>
  </si>
  <si>
    <t xml:space="preserve">China-Japan Friendship Hospital; Chinese Academy of Medical Sciences - Peking Union Medical College; Capital Medical University; Qingdao Municipal Hospital; Capital Medical University; Zhengzhou University; Tianjin Medical University; Soochow University - China; Chinese Academy of Sciences; University of Chinese Academy of Sciences, CAS; Sichuan University; Capital Medical University; Capital Medical University; Capital Medical University; Shanxi Medical University; China Medical University; Capital Medical University; Hebei Medical University; Peking University; Shandong First Medical University &amp; Shandong Academy of Medical Sciences; Nanjing General Hospital; Capital Medical University; Beijing Hospital; Capital Medical University; Peking University; Fudan University</t>
  </si>
  <si>
    <t xml:space="preserve">Cao, B (corresponding author), Natl Clin Res Ctr Resp Dis, Dept Pulm &amp; Crit Care Med, 2 Yinghua Dongjie, Beijing 100029, Peoples R China.</t>
  </si>
  <si>
    <t xml:space="preserve">caobin_ben@163.com</t>
  </si>
  <si>
    <t xml:space="preserve">Fan, Hong/KMA-7361-2024; Zhu, Li-Ping/AAF-7580-2020; Xu, Jin-fu/AAC-6980-2020; Liu, Xuedong/IVV-8465-2023; Ye, Chenglin/KAM-2646-2024; wang, chen/GWM-9481-2022; Zhang, Zhiqing/AGQ-5431-2022; su, Xin/X-2589-2018</t>
  </si>
  <si>
    <t xml:space="preserve">Xu, Jin-fu/0000-0002-8039-8973; su, Xin/0000-0002-3910-9156</t>
  </si>
  <si>
    <t xml:space="preserve">National Science Fund for Distinguished Young Scholars [81425001/H0104]; Innovation Fund for Medical Sciences from the Chinese Academy of Medical Sciences [2018-I2M-1-003]; National Key Technology Support Program from the Ministry of Science and Technology [2015BAI12B11]; Beijing Science and Technology Project [D151100002115004]</t>
  </si>
  <si>
    <t xml:space="preserve">National Science Fund for Distinguished Young Scholars(National Natural Science Foundation of China (NSFC)National Science Fund for Distinguished Young Scholars); Innovation Fund for Medical Sciences from the Chinese Academy of Medical Sciences; National Key Technology Support Program from the Ministry of Science and Technology; Beijing Science and Technology Project</t>
  </si>
  <si>
    <t xml:space="preserve">This study was supported by grants from the National Science Fund for Distinguished Young Scholars (81425001/H0104), the Innovation Fund for Medical Sciences from the Chinese Academy of Medical Sciences (2018-I2M-1-003), the National Key Technology Support Program from the Ministry of Science and Technology (2015BAI12B11), and the Beijing Science and Technology Project (D151100002115004). Funding information for this article has been deposited with the Crossref Funder Registry.</t>
  </si>
  <si>
    <t xml:space="preserve">10.1183/13993003.02406-2018</t>
  </si>
  <si>
    <t xml:space="preserve">IT3KQ</t>
  </si>
  <si>
    <t xml:space="preserve">WOS:000482752200008</t>
  </si>
  <si>
    <t xml:space="preserve">Brinkmann, A; Uddin, S; Ulm, SL; Pape, K; Förster, S; Enan, K; Nourlil, J; Krause, E; Schaade, L; Michel, J; Nitsche, A</t>
  </si>
  <si>
    <t xml:space="preserve">Brinkmann, Annika; Uddin, Steven; Ulm, Sophie-Luisa; Pape, Katharina; Foerster, Sophie; Enan, Khalid; Nourlil, Jalal; Krause, Eva; Schaade, Lars; Michel, Janine; Nitsche, Andreas</t>
  </si>
  <si>
    <t xml:space="preserve">RespiCoV: Simultaneous identification of Severe Acute Respiratory Syndrome Coronavirus 2 (SARS-CoV-2) and 46 respiratory tract viruses and bacteria by amplicon-based Oxford-Nanopore MinION sequencing</t>
  </si>
  <si>
    <t xml:space="preserve">Minion; Virology; Respiratory tract infections; Coronavirus; Middle East respiratory syndrome coronavirus; Multiplex; Respiratory tract; Respiratory system</t>
  </si>
  <si>
    <t xml:space="preserve">HUMAN METAPNEUMOVIRUS; INFLUENZA; INFECTIONS; PNEUMONIA; SARS</t>
  </si>
  <si>
    <t xml:space="preserve">Since December 2019 the world has been facing the outbreak of the Severe Acute Respiratory Syndrome Coronavirus 2 (SARS-CoV-2). Identification of infected patients and discrimination from other respiratory infections have so far been accomplished by using highly specific real-time PCRs. Here we present a rapid multiplex approach (RespiCoV), combining highly multiplexed PCRs and MinION sequencing suitable for the simultaneous screening for 41 viral and five bacterial agents related to respiratory tract infections, including the human coronaviruses NL63, HKU1, OC43, 229E, Middle East respiratory syndrome coronavirus, SARS-CoV, and SARS-CoV-2. RespiCoV was applied to 150 patient samples with suspected SARS-CoV-2 infection and compared with specific real-time PCR. Additionally, several respiratory tract pathogens were identified in samples tested positive or negative for SARS-CoV-2. Finally, RespiCoV was experimentally compared to the commercial RespiFinder 2SMART multiplex screening assay (PathoFinder, The Netherlands).</t>
  </si>
  <si>
    <t xml:space="preserve">[Brinkmann, Annika; Uddin, Steven; Ulm, Sophie-Luisa; Pape, Katharina; Foerster, Sophie; Krause, Eva; Schaade, Lars; Michel, Janine; Nitsche, Andreas] WHO, Highly Pathogen Viruses, Ctr Biol Threats &amp; Special Pathogens, Reference Lab SARS CoV 2,Robert Koch Inst, Berlin, Germany; [Brinkmann, Annika; Uddin, Steven; Ulm, Sophie-Luisa; Pape, Katharina; Foerster, Sophie; Krause, Eva; Schaade, Lars; Michel, Janine; Nitsche, Andreas] WHO, Collaborating Ctr Emerging Infect &amp; Biol Threats, Robert Koch Inst, Berlin, Germany; [Enan, Khalid] Minist Higher Educ &amp; Sci Res, Khartoum, Sudan; [Nourlil, Jalal] Pasteur Inst Morocco, Casablanca, Morocco</t>
  </si>
  <si>
    <t xml:space="preserve">Robert Koch Institute; World Health Organization; World Health Organization; Robert Koch Institute</t>
  </si>
  <si>
    <t xml:space="preserve">Brinkmann, A (corresponding author), WHO, Highly Pathogen Viruses, Ctr Biol Threats &amp; Special Pathogens, Reference Lab SARS CoV 2,Robert Koch Inst, Berlin, Germany.;Brinkmann, A (corresponding author), WHO, Collaborating Ctr Emerging Infect &amp; Biol Threats, Robert Koch Inst, Berlin, Germany.</t>
  </si>
  <si>
    <t xml:space="preserve">brinkmanna@rki.de</t>
  </si>
  <si>
    <t xml:space="preserve">Nourlil, Jalal/0000-0003-0727-3282; Brinkmann, Annika/0000-0002-9556-4698; Michel, Janine/0000-0001-6227-3125</t>
  </si>
  <si>
    <t xml:space="preserve">e0264855</t>
  </si>
  <si>
    <t xml:space="preserve">10.1371/journal.pone.0264855</t>
  </si>
  <si>
    <t xml:space="preserve">1T3NB</t>
  </si>
  <si>
    <t xml:space="preserve">WOS:000804638700048</t>
  </si>
  <si>
    <t xml:space="preserve">Talbot, HK; Falsey, AR</t>
  </si>
  <si>
    <t xml:space="preserve">Talbot, H. Keipp; Falsey, Ann R.</t>
  </si>
  <si>
    <t xml:space="preserve">The Diagnosis of Viral Respiratory Disease in Older Adults</t>
  </si>
  <si>
    <t xml:space="preserve">Medicine; Disease; Population; Intensive care medicine; Medical diagnosis; Respiratory system</t>
  </si>
  <si>
    <t xml:space="preserve">SYNCYTIAL VIRUS-INFECTION; COMMUNITY-ACQUIRED PNEUMONIA; POLYMERASE-CHAIN-REACTION; TRACT INFECTION; ELDERLY-PEOPLE; HUMAN METAPNEUMOVIRUS; HOSPITALIZED-PATIENTS; INFLUENZA OUTBREAKS; CLINICAL-FEATURES; RAPID DETECTION</t>
  </si>
  <si>
    <t xml:space="preserve">Viral respiratory disease in older adults has been increasingly recognized as a significant cause of hospitalizations and death. Unfortunately, the recognition and diagnosis of infection due to many viral respiratory pathogens in older adults can be elusive because of atypical clinical presentations and the insensitivity of current laboratory diagnostic tests in this population. For influenza diagnosis, rapid antigen tests followed by viral culture (if antigen test results are negative), can be useful in older adults as long as clinicians are mindful of test limitations. Although specific, rapid antigen tests are insensitive in this population. Erroneous negative results may lead to delays in timely administration of antiviral treatment and institution of appropriate isolation precautions. The increasing availability of new, rapid, and sensitive molecular diagnostics, such as polymerase chain reaction testing, should provide more accurate and timely diagnoses of viral respiratory infections in older adults in the near future.</t>
  </si>
  <si>
    <t xml:space="preserve">[Talbot, H. Keipp] Vanderbilt Univ, Sch Med, Dept Med, Nashville, TN 37212 USA; [Falsey, Ann R.] Univ Rochester, Sch Med, Rochester, NY USA; [Falsey, Ann R.] Rochester Gen Hosp, Dept Med, Rochester, NY 14621 USA</t>
  </si>
  <si>
    <t xml:space="preserve">Vanderbilt University; University of Rochester; Rochester General Hospital</t>
  </si>
  <si>
    <t xml:space="preserve">Talbot, HK (corresponding author), A2200 Med Ctr N,11621 21st Ave S, Nashville, TN 37232 USA.</t>
  </si>
  <si>
    <t xml:space="preserve">Talbot, Helen/KLY-2181-2024</t>
  </si>
  <si>
    <t xml:space="preserve">Talbot, H. Keipp/0000-0003-0141-1760</t>
  </si>
  <si>
    <t xml:space="preserve">GSK; Sanofi Pasteur; Protein Sciences; Wyeth; Vaxxinnate</t>
  </si>
  <si>
    <t xml:space="preserve">GSK(GlaxoSmithKline); Sanofi Pasteur; Protein Sciences; Wyeth(Wyeth); Vaxxinnate</t>
  </si>
  <si>
    <t xml:space="preserve">A. R. F. has received research funding from GSK and Sanofi Pasteur, has received consulting honoraria from Medimmune and Astra Zeneca, and serves on the advisory board of Quidel. H. K. T. has received research funding from Protein Sciences, Sanofi Pasteur, Wyeth, and Vaxxinnate.</t>
  </si>
  <si>
    <t xml:space="preserve">10.1086/650486</t>
  </si>
  <si>
    <t xml:space="preserve">552XV</t>
  </si>
  <si>
    <t xml:space="preserve">WOS:000274329400017</t>
  </si>
  <si>
    <t xml:space="preserve">Wu, A; Budge, PJ; Williams, J; Griffin, MR; Edwards, KM; Johnson, M; Zhu, YW; Hartinger, S; Verastegui, H; Gil, AI; Lanata, CF; Grijalva, CG</t>
  </si>
  <si>
    <t xml:space="preserve">Wu, Andrew; Budge, Philip J.; Williams, John; Griffin, Marie R.; Edwards, Kathryn M.; Johnson, Monika; Zhu, Yuwei; Hartinger, Stella; Verastegui, Hector; Gil, Ana I.; Lanata, Claudio F.; Grijalva, Carlos G.</t>
  </si>
  <si>
    <t xml:space="preserve">Incidence and Risk Factors for Respiratory Syncytial Virus and Human Metapneumovirus Infections among Children in the Remote Highlands of Peru</t>
  </si>
  <si>
    <t xml:space="preserve">Medicine; Human metapneumovirus; Respiratory tract infections; Incidence (geometry); Poisson regression; Lower respiratory tract infection; Pediatrics</t>
  </si>
  <si>
    <t xml:space="preserve">COMMUNITY-ACQUIRED PNEUMONIA; EPIDEMIOLOGY; ETIOLOGY; DISEASE; INFANTS; BURDEN</t>
  </si>
  <si>
    <t xml:space="preserve">Introduction The disease burden and risk factors for respiratory syncytial virus (RSV) and human metapneumovirus (MPV) infections among children living in remote, rural areas remain unclear. Materials and Methods We conducted a prospective, household-based cohort study of children aged &lt;3 years living in remote rural highland communities in San Marcos, Cajamarca, Peru. Acute respiratory illnesses (ARI), including lower respiratory tract infection (LRTI), were monitored through weekly household visits from March 2009 through September 2011. Nasal swabs collected during ARI/LRTI were tested for RSV, MPV, and other respiratory viruses using real-time RT-PCR. Incidence rates and rate ratios were calculated using mixed effects Poisson regression. Results Among 892 enrolled children, incidence rates of RSV and MPV ARI were 30 and 17 episodes per 100 child-years, respectively. The proportions of RSV and MPV ARI that presented as LRTI were 12.5% and 8.9%, respectively. Clinic visits for ARI and hospitalizations were significantly more frequent (all p values &lt;0.05) among children with RSV (clinic 41% and hospital 5.3%) and MPV ARI (38% and 3.5%) when compared with other viral infections (23% and 0.7%) and infections without virus detected (24% and 0.6%). In multivariable analysis, risk factors for RSV detection included younger age (RR 1.02, 95% CI: 1.00-1.03), the presence of a smoker in the house (RR 1.63, 95% CI: 1.12-2.38), residing at higher altitudes (RR 1.93, 95% CI: 1.25-3.00 for 2nd compared to 1st quartile residents; RR 1.98, 95% CI: 1.26-3.13 for 3rd compared to 1st quartile residents). Having an unemployed household head was significantly associated with MPV risk (RR 2.11, 95% CI: 1.12-4.01). Conclusion In rural high altitude communities in Peru, childhood ARI due to RSV or MPV were common and associated with higher morbidity than ARI due to other viruses or with no viral detections. The risk factors identified in this study may be considered for interventional studies to control infections by these viruses among young children from developing countries.</t>
  </si>
  <si>
    <t xml:space="preserve">[Wu, Andrew] Vanderbilt Univ, Sch Med, Nashville, TN 37212 USA; [Budge, Philip J.] Washington Univ, Sch Med, Div Infect Dis, St Louis, MO 63110 USA; [Williams, John; Edwards, Kathryn M.; Johnson, Monika] Vanderbilt Univ, Dept Pediat, Nashville, TN 37235 USA; [Williams, John] Vanderbilt Univ, Dept Pathol Microbiol &amp; Immunol, Nashville, TN 37235 USA; [Griffin, Marie R.; Grijalva, Carlos G.] Vanderbilt Univ, Dept Hlth Policy, Nashville, TN 37235 USA; [Edwards, Kathryn M.] Vanderbilt Univ, Div Infect Dis, Dept Pediat, Vanderbilt Vaccine Res Program, Nashville, TN 37235 USA; [Zhu, Yuwei] Vanderbilt Univ, Dept Biostat, Nashville, TN 37235 USA; [Hartinger, Stella] Swiss Trop &amp; Publ Hlth Inst, Basel, Switzerland; [Hartinger, Stella; Verastegui, Hector; Gil, Ana I.; Lanata, Claudio F.] Inst Invest Nutr, Lima, Peru</t>
  </si>
  <si>
    <t xml:space="preserve">Vanderbilt University; Washington University (WUSTL); Vanderbilt University; Vanderbilt University; Vanderbilt University; Vanderbilt University; Vanderbilt University; University of Basel; Swiss Tropical &amp; Public Health Institute</t>
  </si>
  <si>
    <t xml:space="preserve">Grijalva, CG (corresponding author), Vanderbilt Univ, Dept Hlth Policy, 221 Kirkland Hall, Nashville, TN 37235 USA.</t>
  </si>
  <si>
    <t xml:space="preserve">Grijalva, Carlos/HRA-9217-2023; Budge, Philip/ABE-6458-2020; Lanata, Claudio/N-7997-2018; Williams, John/ABE-3227-2020</t>
  </si>
  <si>
    <t xml:space="preserve">Vanderbilt University CTSA grant from National Institutes of Health [UL1 RR024975]; Pfizer [IIR WS1898786(0887X1-4492)]; Thrasher Research Fund [02832-9]</t>
  </si>
  <si>
    <t xml:space="preserve">Vanderbilt University CTSA grant from National Institutes of Health; Pfizer(Pfizer); Thrasher Research Fund</t>
  </si>
  <si>
    <t xml:space="preserve">This work was supported by the Vanderbilt University CTSA grant UL1 RR024975 from National Institutes of Health, an investigator initiated research grant from Pfizer (IIR WS1898786(0887X1-4492), http://www.pfizer.com) and grant 02832-9 from the Thrasher Research Fund (www.thrasherresearch.org/default.aspx). The funders had no role in study design, data collection and analysis, decision to publish, or preparation of the manuscript.</t>
  </si>
  <si>
    <t xml:space="preserve">e0130233</t>
  </si>
  <si>
    <t xml:space="preserve">10.1371/journal.pone.0130233</t>
  </si>
  <si>
    <t xml:space="preserve">CL4OM</t>
  </si>
  <si>
    <t xml:space="preserve">Green Published, gold, Green Submitted, Green Accepted</t>
  </si>
  <si>
    <t xml:space="preserve">WOS:000356932500087</t>
  </si>
  <si>
    <t xml:space="preserve">Gonzalez, KJ; Huang, JC; Criado, MF; Banerjee, A; Tompkins, SM; Mousa, JJ; Strauch, EM</t>
  </si>
  <si>
    <t xml:space="preserve">Gonzalez, Karen J.; Huang, Jiachen; Criado, Miria F.; Banerjee, Avik; Tompkins, Stephen M.; Mousa, Jarrod J.; Strauch, Eva-Maria</t>
  </si>
  <si>
    <t xml:space="preserve">A general computational design strategy for stabilizing viral class I fusion proteins</t>
  </si>
  <si>
    <t xml:space="preserve">Fusion; Lipid bilayer fusion; Computational biology; Fusion protein</t>
  </si>
  <si>
    <t xml:space="preserve">RESPIRATORY SYNCYTIAL VIRUS; CRYO-EM STRUCTURE; GLYCOPROTEIN VACCINE; F-PROTEIN; ENTRY; SPIKE; NEUTRALIZATION; FEATURES</t>
  </si>
  <si>
    <t xml:space="preserve">Many pathogenic viruses rely on class I fusion proteins to fuse their viral membrane with the host cell membrane. To drive the fusion process, class I fusion proteins undergo an irreversible conformational change from a metastable prefusion state to an energetically more stable postfusion state. Mounting evidence underscores that antibodies targeting the prefusion conformation are the most potent, making it a compelling vaccine candidate. Here, we establish a computational design protocol that stabilizes the prefusion state while destabilizing the postfusion conformation. With this protocol, we stabilize the fusion proteins of the RSV, hMPV, and SARS-CoV-2 viruses, testing fewer than a handful of designs. The solved structures of these designed proteins from all three viruses evidence the atomic accuracy of our approach. Furthermore, the humoral response of the redesigned RSV F protein compares to that of the recently approved vaccine in a mouse model. While the parallel design of two conformations allows the identification of energetically sub-optimal positions for one conformation, our protocol also reveals diverse molecular strategies for stabilization. Given the clinical significance of viruses using class I fusion proteins, our algorithm can substantially contribute to vaccine development by reducing the time and resources needed to optimize these immunogens. The authors present a generalisable computational approach to stabilize class I fusion proteins in the prefusion state. The method was used to stabilize the fusion proteins of RSV, hMPV, and SARS-CoV-2 viruses, with the designs structurally validated and RSV F protein assessed in a neutralization assay.</t>
  </si>
  <si>
    <t xml:space="preserve">[Gonzalez, Karen J.; Strauch, Eva-Maria] Univ Georgia, Inst Bioinformat, Franklin Coll Arts &amp; Sci, Athens, GA 30602 USA; [Huang, Jiachen; Banerjee, Avik; Tompkins, Stephen M.; Mousa, Jarrod J.] Univ Georgia, Coll Vet Med, Dept Infect Dis, Athens, GA 30602 USA; [Huang, Jiachen; Criado, Miria F.; Banerjee, Avik; Tompkins, Stephen M.; Mousa, Jarrod J.] Univ Georgia, Coll Vet Med, Ctr Vaccines &amp; Immunol, Athens, GA 30602 USA; [Criado, Miria F.] Auburn Univ, Coll Vet Med, Dept Pathobiol, Auburn, AL 36849 USA; [Mousa, Jarrod J.] Univ Georgia, Franklin Coll Arts &amp; Sci, Dept Biochem &amp; Mol Biol, Athens, GA 30602 USA; [Strauch, Eva-Maria] Univ Georgia, Coll Pharm, Dept Pharmaceut &amp; Biomed Sci, Athens, GA 30602 USA; [Strauch, Eva-Maria] Washington Univ, Sch Med, Dept Med, St Louis, MO 63110 USA</t>
  </si>
  <si>
    <t xml:space="preserve">University System of Georgia; University of Georgia; University System of Georgia; University of Georgia; University System of Georgia; University of Georgia; Auburn University System; Auburn University; University System of Georgia; University of Georgia; University System of Georgia; University of Georgia; Washington University (WUSTL)</t>
  </si>
  <si>
    <t xml:space="preserve">Strauch, EM (corresponding author), Univ Georgia, Inst Bioinformat, Franklin Coll Arts &amp; Sci, Athens, GA 30602 USA.;Strauch, EM (corresponding author), Univ Georgia, Coll Pharm, Dept Pharmaceut &amp; Biomed Sci, Athens, GA 30602 USA.;Strauch, EM (corresponding author), Washington Univ, Sch Med, Dept Med, St Louis, MO 63110 USA.</t>
  </si>
  <si>
    <t xml:space="preserve">evas@wustl.edu</t>
  </si>
  <si>
    <t xml:space="preserve">; Tompkins, Stephen/A-3317-2008</t>
  </si>
  <si>
    <t xml:space="preserve">Mousa, Jarrod/0000-0003-4709-2478; Gonzalez Restrepo, Karen Juliana/0000-0002-5587-3613; Tompkins, Stephen/0000-0002-1523-5588; Strauch, Eva-Maria/0000-0001-7382-747X</t>
  </si>
  <si>
    <t xml:space="preserve">U.S. Department of Health &amp; Human Services | NIH | National Institute of Allergy and Infectious Diseases (NIAID) [75N93021C00018]; National Institutes of Health; CEIRS [1531991]; NFS MRI</t>
  </si>
  <si>
    <t xml:space="preserve">U.S. Department of Health &amp; Human Services | NIH | National Institute of Allergy and Infectious Diseases (NIAID); National Institutes of Health(United States Department of Health &amp; Human ServicesNational Institutes of Health (NIH) - USA); CEIRS; NFS MRI</t>
  </si>
  <si>
    <t xml:space="preserve">We would like to thank Luki Goldschmidt for his support in maintaining the computing resources, including CyroSPARC. We would like to thank Dr. Dewight Williams at Arizona State University's Eyring Materials Center for taking the cryoEM data. This work was supported by federal funds from the National Institutes of Health grants R01AI140245 (KJG, EMS), National Institutes of Health grants R01AI143865 (JH, AB, JJM), National Institutes of Health grants Contract Numbers HHSN272201400004C, UGA-Emory Centers of Excellence for Influenza Research and Surveillance; CEIRS; (MFC, SMT), National Institutes of Health contract 75N93021C00018 (NIAID Centers of Excellence for Influenza Research and Response; CEIRR; (SMT). The Krios G2 was supported by the NFS MRI grant 1531991 to Dr. John Spence at Arizona State University's Eyring Materials Center.</t>
  </si>
  <si>
    <t xml:space="preserve">10.1038/s41467-024-45480-z</t>
  </si>
  <si>
    <t xml:space="preserve">HU1R1</t>
  </si>
  <si>
    <t xml:space="preserve">WOS:001161933400018</t>
  </si>
  <si>
    <t xml:space="preserve">Jartti, T; Lehtinen, P; Vuorinen, T; Österback, R; van den Hoogen, B; Osterhaus, ADME; Ruuskanen, O</t>
  </si>
  <si>
    <t xml:space="preserve">Respiratory picornaviruses and respiratory syncytial virus as causative agents of acute expiratory wheezing in children</t>
  </si>
  <si>
    <t xml:space="preserve">Respiratory system; Medicine; Virus; Bronchiolitis; Virology</t>
  </si>
  <si>
    <t xml:space="preserve">REVERSE TRANSCRIPTION-PCR; POLYMERASE-CHAIN-REACTION; ACUTE OTITIS-MEDIA; VIRAL-INFECTION; CHILDHOOD ASTHMA; RISK-FACTORS; RHINOVIRUS; BRONCHITIS; DIAGNOSIS; METAPNEUMOVIRUS</t>
  </si>
  <si>
    <t xml:space="preserve">We studied the viral etiology of acute expiratory wheezing (bronchiolitis, acute asthma) in 293 hospitalized children in a 2-year prospective study in Finland. A potential causative viral agent was detected in 88% of the cases. Eleven different viruses were represented. Respiratory syncytial virus (RSV) (27%), enteroviruses (25%), rhinovirus (24%), and nontypable rhino/enterovirus (16%) were found most frequently. In infants, RSV was found in 54% and respiratory picornaviruses (rhinovirus and enteroviruses) in 42% of the cases. In older children, respiratory picornaviruses dominated (65% of children ages 1-2 years and 82% of children ages greater than or equal to3 years). Human metapneumovirus was detected in 4% of all children and in 11% of infants. To prevent and treat acute expiratory wheezing illnesses in children, efforts should be focused on RSV, enterovirus, and rhinovirus infections.</t>
  </si>
  <si>
    <t xml:space="preserve">Turku Univ Hosp, FIN-20520 Turku, Finland; Turku Univ, Turku, Finland; Erasmus Univ, Med Ctr, Rotterdam, Netherlands</t>
  </si>
  <si>
    <t xml:space="preserve">University of Turku; University of Turku; Erasmus University Rotterdam; Erasmus MC</t>
  </si>
  <si>
    <t xml:space="preserve">Sirkkalankatu 4 C 59, FIN-20520 Turku, Finland.</t>
  </si>
  <si>
    <t xml:space="preserve">tuomas.jartti@hus.fi</t>
  </si>
  <si>
    <t xml:space="preserve">Lehtinen, Pasi/HKV-1933-2023; van den Hoogen, Bernadette/J-5461-2013</t>
  </si>
  <si>
    <t xml:space="preserve">10.3201/eid1006.030629</t>
  </si>
  <si>
    <t xml:space="preserve">WOS:000221749300019</t>
  </si>
  <si>
    <t xml:space="preserve">Green, MG; Huey, D; Niewiesk, S</t>
  </si>
  <si>
    <t xml:space="preserve">Green, M. Gia; Huey, Devra; Niewiesk, Stefan</t>
  </si>
  <si>
    <t xml:space="preserve">The cotton rat (Sigmodon hispidus) as an animal model for respiratory tract infections with human pathogens</t>
  </si>
  <si>
    <t xml:space="preserve">LAB ANIMAL</t>
  </si>
  <si>
    <t xml:space="preserve">Sigmodon hispidus; Cotton rat; Virus; Measles virus; Immunology; Virology; Biology; Mononegavirales; Immune system</t>
  </si>
  <si>
    <t xml:space="preserve">PARAINFLUENZA VIRUS TYPE-3; METAPNEUMOVIRUS FUSION PROTEIN; SYNCYTIAL VIRUS; IN-VITRO; LUNG INFECTION; INFLUENZA-A; ANTIBODY; PROTECTION; INDUCTION; IMMUNITY</t>
  </si>
  <si>
    <t xml:space="preserve">Respiratory viral, infection is a great human health concern, resulting in disease, death and economic losses. Cotton rats (Sigmodon hispidus) have been particularly useful in the study of the pathogenesis of human respiratory virus infections, including the development and testing of antiviral compounds and vaccines. In this article, the authors outline the advantages of the cotton rat compared with the mouse as a model for infection with measles virus, respiratory syncytial virus, influenza virus, human parainfluenza virus and human metapneumovirus. From the literature and their own experience, the authors summarize guidelines for handling, maintaining and breeding cotton rats. In addition, they offer technical tips for carrying out infection experiments and provide information about the large array of immunological assays and reagents available for the study of immune responses (macrophages, dendritic cells, T cells, B cells, antibodies, chemokines and cytokines) in cotton rats.</t>
  </si>
  <si>
    <t xml:space="preserve">[Green, M. Gia; Huey, Devra; Niewiesk, Stefan] Ohio State Univ, Coll Vet Med, Dept Vet Biosci, Columbus, OH 43210 USA</t>
  </si>
  <si>
    <t xml:space="preserve">Niewiesk, S (corresponding author), Ohio State Univ, Coll Vet Med, Dept Vet Biosci, Columbus, OH 43210 USA.</t>
  </si>
  <si>
    <t xml:space="preserve">niewiesk.1@osu.edu</t>
  </si>
  <si>
    <t xml:space="preserve">0093-7355</t>
  </si>
  <si>
    <t xml:space="preserve">1548-4475</t>
  </si>
  <si>
    <t xml:space="preserve">Lab Anim.</t>
  </si>
  <si>
    <t xml:space="preserve">10.1038/laban.188</t>
  </si>
  <si>
    <t xml:space="preserve">136WT</t>
  </si>
  <si>
    <t xml:space="preserve">WOS:000318394800019</t>
  </si>
  <si>
    <t xml:space="preserve">DUPRADEAU, FY; STROUD, MR; BOIVIN, D; LI, LS; HAKOMORI, S; SINGHAL, AK; TOYOKUNI, T</t>
  </si>
  <si>
    <t xml:space="preserve">SOLID-PHASE SYNTHESIS AND IMMUNOREACTIVITY OF PENTA-O-(N-ACETYL ALPHA-D-GALACTOSAMINYL)-MUC1 EICOSAPEPTIDE, A GLYCOSYLATED COUNTER PART OF THE HIGHLY IMMUNOGENIC TANDEM REPEAT SEQUENCE OF CARCINOMA-ASSOCIATED MUCIN</t>
  </si>
  <si>
    <t xml:space="preserve">BIOORGANIC &amp; MEDICINAL CHEMISTRY LETTERS</t>
  </si>
  <si>
    <t xml:space="preserve">Chemistry; MUC1; Peptide; Monoclonal antibody; Mucin; Peptide synthesis; Glycosylation; Solid-phase synthesis; Sequence (biology)</t>
  </si>
  <si>
    <t xml:space="preserve">POLYMORPHIC EPITHELIAL MUCIN; PEPTIDE-SYNTHESIS; GLYCOPEPTIDE SYNTHESIS; MONOCLONAL-ANTIBODIES; CARBOHYDRATE ANTIGENS; BREAST-CANCER; GLYCOPROTEIN; PROTEIN; CORE</t>
  </si>
  <si>
    <t xml:space="preserve">Penta-O-glycosylated MUC1 peptide H-Val-Thr*-Ser*-Ala-Pro-Asp-Thr*-Arg-Pro-Ala-Pro-Gly-Ser*-Thr*-Ala-Pro-Pro-Ala-His-Gly-OH (*alpha-D-GalNAcp) (2) has been synthesized by a solid-phase method on Sasrin resin using Fmoc-glycoaminoacids 3 and 4 as building blocks. The monoclonal antibodies SM3 and HMPV, specific to the MUC1 peptide 1, also react strongly with 2.</t>
  </si>
  <si>
    <t xml:space="preserve">BIOMEMBRANE INST,SEATTLE,WA 98119; UNIV WASHINGTON,DEPT PATHOL,SEATTLE,WA 98119; UNIV WASHINGTON,DEPT CHEM,SEATTLE,WA 98195</t>
  </si>
  <si>
    <t xml:space="preserve">University of Washington; University of Washington Seattle; University of Washington; University of Washington Seattle</t>
  </si>
  <si>
    <t xml:space="preserve">0960-894X</t>
  </si>
  <si>
    <t xml:space="preserve">BIOORG MED CHEM LETT</t>
  </si>
  <si>
    <t xml:space="preserve">Bioorg. Med. Chem. Lett.</t>
  </si>
  <si>
    <t xml:space="preserve">10.1016/S0960-894X(01)80376-0</t>
  </si>
  <si>
    <t xml:space="preserve">Chemistry, Medicinal; Chemistry, Organic</t>
  </si>
  <si>
    <t xml:space="preserve">Pharmacology &amp; Pharmacy; Chemistry</t>
  </si>
  <si>
    <t xml:space="preserve">PB556</t>
  </si>
  <si>
    <t xml:space="preserve">WOS:A1994PB55600006</t>
  </si>
  <si>
    <t xml:space="preserve">Rand, KH; Rampersaud, H; Houck, HJ</t>
  </si>
  <si>
    <t xml:space="preserve">Rand, Kenneth H.; Rampersaud, Howard; Houck, Herbert J.</t>
  </si>
  <si>
    <t xml:space="preserve">Comparison of Two Multiplex Methods for Detection of Respiratory Viruses: FilmArray RP and xTAG RVP</t>
  </si>
  <si>
    <t xml:space="preserve">Human metapneumovirus; Virology; Multiplex; Multiplex polymerase chain reaction; Respiratory system</t>
  </si>
  <si>
    <t xml:space="preserve">REVERSE TRANSCRIPTION-PCR; INFECTIONS; RHINOVIRUS; CHILDREN; ASSAY; IDENTIFICATION; DIAGNOSIS; SYSTEM; PANEL</t>
  </si>
  <si>
    <t xml:space="preserve">We compared the FilmArray RP (Idaho Technology, Inc., Salt Lake City, UT) and the xTAG RVP (Luminex Corporation, Toronto, Canada) multiplex respiratory virus PCR methods for the detection of respiratory viruses in a set of 200 patient specimens frozen at -70 degrees C after standard viral culture and antigen detection methods were done. Both systems detected between 40 to 50% more viruses than traditional methods, primarily rhinoviruses and human metapneumovirus. The FilmArray RP detected significantly more total viruses either alone or as part of mixed infections than the xTAG RVP, as well as an additional 21.6% more respiratory syncytial viruses. The xTAG RVP requires 5 to 6 h with 2.5 to 3 h of hands-on time, while the FilmArray RP takes about an hour with 3 to 5 min of hands-on time, making it much easier to perform.</t>
  </si>
  <si>
    <t xml:space="preserve">[Rand, Kenneth H.; Houck, Herbert J.] Univ Florida, Dept Pathol Immunol &amp; Lab Med, Gainesville, FL 32610 USA; [Rampersaud, Howard] Univ Florida, Shands Hosp, Gainesville, FL 32610 USA</t>
  </si>
  <si>
    <t xml:space="preserve">State University System of Florida; University of Florida; State University System of Florida; University of Florida</t>
  </si>
  <si>
    <t xml:space="preserve">Rand, KH (corresponding author), Univ Florida, Dept Pathol Immunol &amp; Lab Med, Gainesville, FL 32610 USA.</t>
  </si>
  <si>
    <t xml:space="preserve">rand@pathology.ufl.edu</t>
  </si>
  <si>
    <t xml:space="preserve">Idaho Technology, Inc., Salt Lake City, UT; Department of Pathology, Immunology and Laboratory Medicine, University of Florida, Gainesville, FL</t>
  </si>
  <si>
    <t xml:space="preserve">Idaho Technology, Inc., Salt Lake City, UT; Department of Pathology, Immunology and Laboratory Medicine, University of Florida, Gainesville, FL(University of Florida)</t>
  </si>
  <si>
    <t xml:space="preserve">This study was supported in part by a grant from Idaho Technology, Inc., Salt Lake City, UT, and by the Department of Pathology, Immunology and Laboratory Medicine, University of Florida, Gainesville, FL.</t>
  </si>
  <si>
    <t xml:space="preserve">10.1128/JCM.02582-10</t>
  </si>
  <si>
    <t xml:space="preserve">786BC</t>
  </si>
  <si>
    <t xml:space="preserve">WOS:000292276200010</t>
  </si>
  <si>
    <t xml:space="preserve">Akiyama, M; Kimura, H; Tsukagoshi, H; Taira, K; Mizuta, K; Saitoh, M; Nagano, M; Sutoh, A; Noda, M; Morita, Y; Sakatsume, O; Okabe, N; Tashiro, M</t>
  </si>
  <si>
    <t xml:space="preserve">Akiyama, Miho; Kimura, Hirokazu; Tsukagoshi, Hiroyuki; Taira, Katsuya; Mizuta, Katsumi; Saitoh, Mika; Nagano, Manami; Sutoh, Asuka; Noda, Masahiro; Morita, Yukio; Sakatsume, Osamu; Okabe, Nobuhiko; Tashiro, Masato</t>
  </si>
  <si>
    <t xml:space="preserve">Development of an assay for the detection and quantification of the measles virus nucleoprotein (N) gene using real-time reverse transcriptase PCR</t>
  </si>
  <si>
    <t xml:space="preserve">Nucleoprotein; Measles virus; Virology; Reverse transcriptase; Biology; Real-time polymerase chain reaction; Virus; Measles; Gene</t>
  </si>
  <si>
    <t xml:space="preserve">JAPAN; GENOTYPE; SEQUENCE; H1</t>
  </si>
  <si>
    <t xml:space="preserve">We developed a new quantification method for the measles virus (MeV) nucleoprotein (N) gene using real-time reverse transcriptase PCR. This method allowed us to quantify 10(1)-10(7) copies per reaction (corresponding to 5x10(-1)-5x10(5) copies mu 1(-1)) of the MeV N gene. We also quantified the MeV N gene from the throat swabs of 22 patients with measles as well as the MeV genotypes A, D3, D5, D9 and H1 in viral suspensions derived from MeV-infected cells. As a result, 3.9x10(3)-5.2x10(6) copies ml(-1) and 7.4x10(7)-2.0x10(8) copies ml(-1) of the MeV genomes (N gene) were detected in the throat swabs and viral suspensions, respectively. No other viruses (enteroviruses, respiratory syncytial virus, human metapneumovirus or mumps virus) were detected in the assay. The results suggest that this method is applicable to the detection and quantification of some genotypes of MeV.</t>
  </si>
  <si>
    <t xml:space="preserve">[Akiyama, Miho; Kimura, Hirokazu; Okabe, Nobuhiko] Natl Inst Infect Dis, Infect Dis Surveillance Ctr, Tokyo 2080011, Japan; [Tsukagoshi, Hiroyuki; Saitoh, Mika; Morita, Yukio] Gunma Prefectural Inst Publ Hlth &amp; Environm Sci, Maebashi, Gunma 3710052, Japan; [Taira, Katsuya] Okinawa Prefectural Inst Publ Hlth &amp; Environm Sci, Okinawa 9101202, Japan; [Mizuta, Katsumi; Sutoh, Asuka] Yamagata Prefectural Inst Publ Hlth, Yamagata 9900031, Japan; [Nagano, Manami; Sakatsume, Osamu] Appl Biosyst Japan Ltd, Mol &amp; Cell Biol Div, Chuo Ku, Tokyo 1040032, Japan; [Noda, Masahiro; Tashiro, Masato] Natl Inst Infect Dis, Dept Virol 3, Tokyo 2080011, Japan</t>
  </si>
  <si>
    <t xml:space="preserve">National Institute of Infectious Diseases (NIID); Thermo Fisher Scientific; Applied Biosystems; National Institute of Infectious Diseases (NIID)</t>
  </si>
  <si>
    <t xml:space="preserve">MORITA, YUKIO/HJG-5516-2022</t>
  </si>
  <si>
    <t xml:space="preserve">Sakatsume, Osamu/0000-0003-1340-3661</t>
  </si>
  <si>
    <t xml:space="preserve">Ministry of Health, Labour, and Welfare, Japan</t>
  </si>
  <si>
    <t xml:space="preserve">Ministry of Health, Labour, and Welfare, Japan(Ministry of Health, Labour and Welfare, Japan)</t>
  </si>
  <si>
    <t xml:space="preserve">We thank Dr H. Yokoi and Ms T. Kitahashi for the helpful discussions. This work was partly supported by Research on Emerging and Re-emerging Infectious Diseases, Labour, and Welfare Programs from the Ministry of Health, Labour, and Welfare, Japan.</t>
  </si>
  <si>
    <t xml:space="preserve">10.1099/jmm.0.005439-0</t>
  </si>
  <si>
    <t xml:space="preserve">444ZH</t>
  </si>
  <si>
    <t xml:space="preserve">WOS:000266018900014</t>
  </si>
  <si>
    <t xml:space="preserve">Sun, SK; Chen, F; Cao, S; Liu, JJ; Lei, W; Li, GW; Song, YF; Lu, JP; Liu, C; Qin, JP; Li, HY</t>
  </si>
  <si>
    <t xml:space="preserve">Sun, Shikai; Chen, Feng; Cao, Sheng; Liu, Jiajia; Lei, Wen; Li, Guangwei; Song, Yongfeng; Lu, Junpeng; Liu, Chuang; Qin, Jianping; Li, Haiyan</t>
  </si>
  <si>
    <t xml:space="preserve">Isolation and characterization of a subtype C avian metapneumovirus circulating in Muscovy ducks in China</t>
  </si>
  <si>
    <t xml:space="preserve">VETERINARY RESEARCH</t>
  </si>
  <si>
    <t xml:space="preserve">Metapneumovirus; Biology; Virology; Vero cell; Virus; Cytopathic effect</t>
  </si>
  <si>
    <t xml:space="preserve">POLYMERASE-CHAIN-REACTION; TURKEY RHINOTRACHEITIS; SUBGROUP-A; PNEUMOVIRUS; CHICKENS; INFECTION; SEQUENCE; VIRUS; GOOSE; GENE</t>
  </si>
  <si>
    <t xml:space="preserve">Subtype C avian metapneumovirus (aMPV-C), is an important pathogen that can cause egg-drop and acute respiratory diseases in poultry. To date, aMPV-C infection has not been documented in Muscovy ducks in China. Here, we isolated and characterized an aMPV-C, designated S-01, which has caused severe respiratory disease and noticeable egg drop in Muscovy duck flocks in south China since 2010. Electron microscopy showed that the isolate was an enveloped virus exhibiting multiple morphologies with a diameter of 20-500 nm. The S-01 strain was able to produce a typical cytopathic effect (CPE) on Vero cells and cause death in 10- to 11-day-old Muscovy duck embryos. In vivo infection of layer Muscovy ducks with the isolate resulted in typical clinical signs and pathological lesions similar to those seen in the original infected cases. We report the first complete genomic sequence of aMPV-C from Muscovy ducks. A phylogenetic analysis strongly suggested that the S-01 virus belongs to the aMPV-C family, sharing 92.3%-94.3% of nucleotide identity with that of aMPV-C, and was most closely related to the aMPV-C strains isolated from Muscovy ducks in France. The deduced eight main proteins (N, P, M, F, M2, SH, G and L) of the novel isolate shared higher identity with hMPV than with other aMPV (subtypes A, B and D). S-01 could bind a monoclonal antibody against the F protein of hMPV. Together, our results indicate that subtype-C aMPV has been circulating in Muscovy duck flocks in South China, and it is urgent for companies to develop new vaccines to control the spread of the virus in China.</t>
  </si>
  <si>
    <t xml:space="preserve">[Sun, Shikai; Cao, Sheng; Lei, Wen; Song, Yongfeng; Lu, Junpeng; Liu, Chuang; Qin, Jianping; Li, Haiyan] Guangdong WENS FoodStuff Grp Co Ltd, WENS Grp Acad, Dept Poultry Dis, Guangdong Enterprise Key Lab Anim Hlth &amp; Environm, Yunfu 527439, Guangdong, Peoples R China; [Chen, Feng; Liu, Jiajia; Li, Guangwei] South China Agr Univ, Coll Anim Sci, Guangzhou 510642, Guangdong, Peoples R China</t>
  </si>
  <si>
    <t xml:space="preserve">South China Agricultural University</t>
  </si>
  <si>
    <t xml:space="preserve">Li, HY (corresponding author), Guangdong WENS FoodStuff Grp Co Ltd, WENS Grp Acad, Dept Poultry Dis, Guangdong Enterprise Key Lab Anim Hlth &amp; Environm, Yunfu 527439, Guangdong, Peoples R China.</t>
  </si>
  <si>
    <t xml:space="preserve">hliflu@yahoo.com</t>
  </si>
  <si>
    <t xml:space="preserve">Scientific Research Major Project from Guangdong WENS Foodstuff Group Co., Ltd. [WSSC01-1-CA-20120525-1419]</t>
  </si>
  <si>
    <t xml:space="preserve">Scientific Research Major Project from Guangdong WENS Foodstuff Group Co., Ltd.</t>
  </si>
  <si>
    <t xml:space="preserve">We are thankful to Drs. Yuliang Liu and Shuang Chang for helpful comments and Drs. Shile Huang and James Lu for their revisions on this manuscript. This work was supported by the Scientific Research Major Project ([WENS] WSSC01-1-CA-20120525-1419) from Guangdong WENS Foodstuff Group Co., Ltd.</t>
  </si>
  <si>
    <t xml:space="preserve">0928-4249</t>
  </si>
  <si>
    <t xml:space="preserve">1297-9716</t>
  </si>
  <si>
    <t xml:space="preserve">VET RES</t>
  </si>
  <si>
    <t xml:space="preserve">Vet. Res.</t>
  </si>
  <si>
    <t xml:space="preserve">10.1186/s13567-014-0074-y</t>
  </si>
  <si>
    <t xml:space="preserve">AM6LV</t>
  </si>
  <si>
    <t xml:space="preserve">WOS:000339977400001</t>
  </si>
  <si>
    <t xml:space="preserve">Hustedt, JW; Christie, C; Hustedt, MM; Esposito, D; Vazquez, M</t>
  </si>
  <si>
    <t xml:space="preserve">Hustedt, Joshua W.; Christie, Celia; Hustedt, Madison M.; Esposito, Daina; Vazquez, Marietta</t>
  </si>
  <si>
    <t xml:space="preserve">Seroepidemiology of Human Bocavirus Infection in Jamaica</t>
  </si>
  <si>
    <t xml:space="preserve">Human bocavirus; Seroprevalence; Parvovirus; Population; Virology</t>
  </si>
  <si>
    <t xml:space="preserve">HUMAN METAPNEUMOVIRUS; YOUNG-CHILDREN; IDENTIFICATION; CORONAVIRUS; PARVOVIRUS; PNEUMONIA; ETIOLOGY</t>
  </si>
  <si>
    <t xml:space="preserve">Background: Human bocavirus (HBoV) is a newly identified human parvovirus. HBoV is associated with upper and lower respiratory tract infections and gastroenteritis in children. Little is known about the seroepidemiology of HBoV in populations in the Caribbean. Methods: In a cross-sectional study conducted at the University Hospital of the West Indies in Kingston, Jamaica, 287 blood samples were collected from pediatric patients and tested for the presence of HBoV-specific antibody using a virus-like-particle based enzyme-linked immunosorbent assay (ELISA). Results: HBoV-specific antibodies were found to be present in 220/287 (76.7%) of samples collected from the pediatric population. Seroprevalence of HBoV was highest in those &gt;= 2 years old. The seroepidemiological profile suggests that most children are exposed to HBoV during the first two years of life in Jamaica. Conclusion: HBoV infection is common in children in Jamaica. HBoV seroprevalence rates in the Caribbean are similar to those previously reported in other areas of the world.</t>
  </si>
  <si>
    <t xml:space="preserve">[Hustedt, Joshua W.; Hustedt, Madison M.; Esposito, Daina; Vazquez, Marietta] Yale Univ, Sch Med, Dept Pediat, Div Infect Dis, New Haven, CT 06510 USA; [Christie, Celia] Univ W Indies, Dept Pediat, Kingston 7, Jamaica</t>
  </si>
  <si>
    <t xml:space="preserve">Yale University; University West Indies Mona Jamaica</t>
  </si>
  <si>
    <t xml:space="preserve">Hustedt, JW (corresponding author), Yale Univ, Sch Med, Dept Pediat, Div Infect Dis, New Haven, CT 06510 USA.</t>
  </si>
  <si>
    <t xml:space="preserve">joshua.hustedt@yale.edu</t>
  </si>
  <si>
    <t xml:space="preserve">Hustedt, Joshua/0000-0002-9110-7115; Christie, Celia DC/0000-0002-8981-3934</t>
  </si>
  <si>
    <t xml:space="preserve">Yale University; Infectious Disease Society of America</t>
  </si>
  <si>
    <t xml:space="preserve">JWH received a Wilbur Downs International Student Travel Fellowship from Yale University and a Medical Scholars award from the Infectious Disease Society of America to complete this work. The funders had no role in study design, data collection and analysis, decision to publish, or preparation of the manuscript.</t>
  </si>
  <si>
    <t xml:space="preserve">e38206</t>
  </si>
  <si>
    <t xml:space="preserve">10.1371/journal.pone.0038206</t>
  </si>
  <si>
    <t xml:space="preserve">959WT</t>
  </si>
  <si>
    <t xml:space="preserve">WOS:000305349600071</t>
  </si>
  <si>
    <t xml:space="preserve">Stewart, S</t>
  </si>
  <si>
    <t xml:space="preserve">Stewart, Susan</t>
  </si>
  <si>
    <t xml:space="preserve">Pulmonary infections in transplantation pathology</t>
  </si>
  <si>
    <t xml:space="preserve">Intensive care medicine; Medicine; Immunosuppression; Context (archaeology); Lung transplantation</t>
  </si>
  <si>
    <t xml:space="preserve">HEMATOPOIETIC STEM-CELL; HUMAN METAPNEUMOVIRUS INFECTION; PNEUMOCYSTIS-CARINII-PNEUMONIA; POLYMERASE-CHAIN-REACTION; CYTOMEGALOVIRUS VIRAL LOAD; PANFUNGAL PCR ASSAY; LUNG TRANSPLANTATION; SOLID-ORGAN; RESPIRATORY VIRUSES; RISK-FACTORS</t>
  </si>
  <si>
    <t xml:space="preserve">Context. - Pulmonary infections are common and often life-threatening in solid organ and stem cell transplant recipients. Understanding their pathology is critical to making improvements in care and survival as well as in surgical techniques, immunosuppression management, prophylaxis, and treatment. Pulmonary infections are particularly common and serious in the susceptible population of lung transplant recipients. Objective. - To summarize recent updates in the field for opportunistic infections and some common pathogens, and to consider the role of the diagnostic pulmonary histopathologist as well as advances in molecular diagnosis. Data Sources. - This work is based on a selected review the relevant medical and scientific literature, with emphasis on lung transplantation experience gained during 2 decades of practice. Conclusions. - Pulmonary infections in transplant recipients present a diagnostic challenge and are a continuing source of mortality and morbidity despite improvement in prophylaxis and treatment. Accurate diagnosis requires multidisciplinary input from clinicians, radiologists, and pathology disciplines as well as complementary molecular methods.</t>
  </si>
  <si>
    <t xml:space="preserve">Papworth Hosp, Dept Histopathol, Cambridge CB3 8RE, England</t>
  </si>
  <si>
    <t xml:space="preserve">Papworth Hospital</t>
  </si>
  <si>
    <t xml:space="preserve">Stewart, S (corresponding author), Papworth Hosp, Dept Histopathol, Cambridge CB3 8RE, England.</t>
  </si>
  <si>
    <t xml:space="preserve">susan.stewart@papworth.nhs.uk</t>
  </si>
  <si>
    <t xml:space="preserve">10.5858/2007-131-1219-PIITP</t>
  </si>
  <si>
    <t xml:space="preserve">209ND</t>
  </si>
  <si>
    <t xml:space="preserve">WOS:000249394300007</t>
  </si>
  <si>
    <t xml:space="preserve">Ren, JP; Liu, TS; Pang, L; Li, K; Garofalo, RP; Casola, A; Bao, XY</t>
  </si>
  <si>
    <t xml:space="preserve">Ren, Junping; Liu, Tianshuang; Pang, Lan; Li, Kui; Garofalo, Roberto P.; Casola, Antonella; Bao, Xiaoyong</t>
  </si>
  <si>
    <t xml:space="preserve">A novel mechanism for the inhibition of interferon regulatory factor-3-dependent gene expression by human respiratory syncytial virus NS1 protein</t>
  </si>
  <si>
    <t xml:space="preserve">Biology; Interferon regulatory factors; IRF1; Interferon; Transcription factor; Sendai virus; Coactivator</t>
  </si>
  <si>
    <t xml:space="preserve">NF-KAPPA-B; HUMAN METAPNEUMOVIRUS; ANTIVIRAL RESPONSE; SIGNALING PATHWAYS; EPITHELIAL-CELLS; HOST-DEFENSE; IKK-EPSILON; DNA-BINDING; FACTOR-3; ACTIVATION</t>
  </si>
  <si>
    <t xml:space="preserve">Human respiratory syncytial virus (RSV), a leading cause of respiratory tract infections in infants, inhibits type I interferon (IFN)-dependent signalling, as well as IFN synthesis. RSV non-structural protein NS1 plays a significant role in this inhibition; however, the mechanism(s) responsible is not fully known. The transcription factor interferon regulatory factor (IRF)-3 is essential for viral-induced IFN-beta synthesis. In this study, we found that NS1 protein inhibits IRF-3-dependent gene transcription in constitutively active IRF-3 overexpressing cells, demonstrating that NS1 directly targets IRF-3. Our data also demonstrate that NS1 associates with IRF-3 and its transcriptional coactivator CBP, leading to disrupted association of IRF-3 to CBP and subsequent reduced binding of IRF-3 to the IEN-beta promoter without blocking viral-induced IRF-3 phosphorylation, nuclear translocation and dimerization, thereby identifying a novel molecular mechanism by which RSV inhibits IFN-beta synthesis.</t>
  </si>
  <si>
    <t xml:space="preserve">[Ren, Junping; Liu, Tianshuang; Pang, Lan; Garofalo, Roberto P.; Casola, Antonella; Bao, Xiaoyong] Univ Texas Med Branch, Dept Pediat, Galveston, TX USA; [Li, Kui] Univ Tennessee, Dept Microbiol Immunol &amp; Biochem, Hlth Sci Ctr, Memphis, TN USA; [Garofalo, Roberto P.; Casola, Antonella] Univ Texas Med Branch, Dept Microbiol &amp; Immunol, Galveston, TX USA; [Garofalo, Roberto P.; Casola, Antonella] Univ Texas Med Branch, Sealy Ctr Vaccine Dev, Galveston, TX USA</t>
  </si>
  <si>
    <t xml:space="preserve">University of Texas System; University of Texas Medical Branch Galveston; University of Tennessee System; University of Tennessee Health Science Center; University of Texas System; University of Texas Medical Branch Galveston; University of Texas System; University of Texas Medical Branch Galveston</t>
  </si>
  <si>
    <t xml:space="preserve">Casola, A (corresponding author), Univ Texas Med Branch, Dept Pediat, Galveston, TX USA.</t>
  </si>
  <si>
    <t xml:space="preserve">National Institute of Allergy and Infectious Diseases [P01 062885, N01-AI-30039, K22 (KAI074829A)]; American Heart Association [SDG 0835151N]; Parker Francis Foundation</t>
  </si>
  <si>
    <t xml:space="preserve">National Institute of Allergy and Infectious Diseases(United States Department of Health &amp; Human ServicesNational Institutes of Health (NIH) - USANIH National Institute of Allergy &amp; Infectious Diseases (NIAID)); American Heart Association(American Heart Association); Parker Francis Foundation</t>
  </si>
  <si>
    <t xml:space="preserve">This work was supported by the National Institute of Allergy and Infectious Diseases grants P01 062885 to A. C. and R. P. G., N01-AI-30039 to R. P. G., K22 (KAI074829A) to X. B. and by the American Heart Association (SDG 0835151N) and Parker Francis Foundation (X. B.). The authors thank Animesh Chandra for his assistance in manuscript editing.</t>
  </si>
  <si>
    <t xml:space="preserve">10.1099/vir.0.032987-0</t>
  </si>
  <si>
    <t xml:space="preserve">822BO</t>
  </si>
  <si>
    <t xml:space="preserve">WOS:000295018900018</t>
  </si>
  <si>
    <t xml:space="preserve">Tosheva, II; Saygan, KS; Mijnhardt, SM; Russell, CJ; Fraaij, PL; Herfst, S</t>
  </si>
  <si>
    <t xml:space="preserve">Tosheva, Ilona I.; Saygan, Kain S.; Mijnhardt, Suzanne M. A.; Russell, Charles J.; Fraaij, Pieter L. A.; Herfst, Sander</t>
  </si>
  <si>
    <t xml:space="preserve">Hemagglutinin stability as a key determinant of influenza A virus transmission via air</t>
  </si>
  <si>
    <t xml:space="preserve">Hemagglutinin (influenza); Biology; Virology; Virus; Viral replication; Influenza A virus; Airborne transmission</t>
  </si>
  <si>
    <t xml:space="preserve">HUMAN METAPNEUMOVIRUS FUSION; RESPIRATORY SYNCYTIAL VIRUS; INDUCED MEMBRANE-FUSION; CELLULAR RECEPTOR; MEASLES-VIRUS; F-PROTEIN; LOW-PH; VERO CELLS; H5 HA; GLYCOPROTEIN</t>
  </si>
  <si>
    <t xml:space="preserve">To cause pandemics, zoonotic respiratory viruses need to adapt to replication in and spread between humans, either via (indirect or direct) contact or through the air via droplets and aerosols. To render influenza A viruses transmissible via air, three phenotypic viral properties must change, of which receptor-binding specificity and polymerase activity have been well studied. However, the third adaptive property, hemagglutinin (HA) acid stability, is less understood. Recent studies show that there may be a correlation between HA acid stability and virus survival in the air, suggesting that a premature conformational change of HA, triggered by low pH in the airways or droplets, may render viruses noninfectious before they can reach a new host. We here summarize available data from (animal) studies on the impact of HA acid stability on airborne transmission and hypothesize that the transmissibility of other respiratory viruses may also be impacted by an acidic environment in the airways.</t>
  </si>
  <si>
    <t xml:space="preserve">[Tosheva, Ilona I.; Saygan, Kain S.; Mijnhardt, Suzanne M. A.; Fraaij, Pieter L. A.; Herfst, Sander] Erasmus Univ, Med Ctr, Dept Virosci, Rotterdam, Netherlands; [Saygan, Kain S.; Mijnhardt, Suzanne M. A.; Fraaij, Pieter L. A.; Herfst, Sander] Pandem &amp; Disaster Preparedness Ctr, Rotterdam, Netherlands; [Russell, Charles J.] St Jude Childrens Res Hosp, Dept Infect Dis, Memphis, TN USA; [Fraaij, Pieter L. A.] Erasmus Univ, Med Ctr, Dept Paediat, Rotterdam, Netherlands</t>
  </si>
  <si>
    <t xml:space="preserve">Erasmus University Rotterdam; Erasmus MC; St Jude Children's Research Hospital; Erasmus University Rotterdam; Erasmus MC</t>
  </si>
  <si>
    <t xml:space="preserve">Herfst, S (corresponding author), Erasmus Univ, Med Ctr, Dept Virosci, Rotterdam, Netherlands.;Herfst, S (corresponding author), Pandem &amp; Disaster Preparedness Ctr, Rotterdam, Netherlands.</t>
  </si>
  <si>
    <t xml:space="preserve">Herfst, Sander/HZK-7555-2023</t>
  </si>
  <si>
    <t xml:space="preserve">Herfst, Sander/0000-0001-9866-8903</t>
  </si>
  <si>
    <t xml:space="preserve">(Nederlandse Organisatie voor Wetenschappelijk Onderzoek) NWO VICI grant [09150182110054]</t>
  </si>
  <si>
    <t xml:space="preserve">(Nederlandse Organisatie voor Wetenschappelijk Onderzoek) NWO VICI grant(Netherlands Organization for Scientific Research (NWO))</t>
  </si>
  <si>
    <t xml:space="preserve">IIT and SH are supported by an (Nederlandse Organisatie voor Wetenschappelijk Onderzoek) NWO VICI grant (contract number 09150182110054). The sponsors had no role in the collection, analysis, and interpretation of data, in the writing of the report, and in the decision to submit the article for publication.</t>
  </si>
  <si>
    <t xml:space="preserve">10.1016/j.coviro.2023.101335</t>
  </si>
  <si>
    <t xml:space="preserve">L4HQ1</t>
  </si>
  <si>
    <t xml:space="preserve">WOS:001022888700001</t>
  </si>
  <si>
    <t xml:space="preserve">Bost, P; Giladi, A; Liu, Y; Bendjelal, Y; Xu, G; David, E; Blecher-Gonen, R; Cohen, M; Medaglia, C; Li, HJ; Deczkowska, A; Zhang, SY; Schwikowski, B; Zhang, Z; Amit, I</t>
  </si>
  <si>
    <t xml:space="preserve">Bost, Pierre; Giladi, Amir; Liu, Yang; Bendjelal, Yanis; Xu, Gang; David, Eyal; Blecher-Gonen, Ronnie; Cohen, Merav; Medaglia, Chiara; Li, Hanjie; Deczkowska, Aleksandra; Zhang, Shuye; Schwikowski, Benno; Zhang, Zheng; Amit, Ido</t>
  </si>
  <si>
    <t xml:space="preserve">Host-Viral Infection Maps Reveal Signatures of Severe COVID-19 Patients</t>
  </si>
  <si>
    <t xml:space="preserve">CELL</t>
  </si>
  <si>
    <t xml:space="preserve">Biology; Virology; Interferon; Virus; Immune system</t>
  </si>
  <si>
    <t xml:space="preserve">SINGLE-CELL ANALYSIS; RNA-SEQ; IMMUNE-RESPONSES; EXPRESSION; VIRUS; RECONSTRUCTION</t>
  </si>
  <si>
    <t xml:space="preserve">Viruses are a constant threat to global health as highlighted by the current COVID-19 pandemic. Currently, lack of data underlying how the human host interacts with viruses, including the SARS-CoV-2 virus, limits effective therapeutic intervention. We introduce Viral-Track, a computational method that globally scans unmapped single-cell RNA sequencing (scRNA-seq) data for the presence of viral RNA, enabling transcriptional cell sorting of infected versus bystander cells. We demonstrate the sensitivity and specificity of Viral-Track to systematically detect viruses from multiple models of infection, including hepatitis B virus, in an unsupervised manner Applying Viral-Track to bronchoalveloar-lavage samples from severe and mild COVID-19 patients reveals a dramatic impact of the virus on the immune system of severe patients compared to mild cases. Viral-Track detects an unexpected co-infection of the human metapneumovirus, present mainly in monocytes perturbed in type-I interferon (IFN)-signaling. Viral-Track provides a robust technology for dissecting the mechanisms of viral-infection and pathology.</t>
  </si>
  <si>
    <t xml:space="preserve">[Bost, Pierre; Giladi, Amir; David, Eyal; Blecher-Gonen, Ronnie; Cohen, Merav; Medaglia, Chiara; Li, Hanjie; Deczkowska, Aleksandra; Amit, Ido] Weizmann Inst Sci, Dept Immunol, Rehovot, Israel; [Bost, Pierre; Bendjelal, Yanis; Schwikowski, Benno] Inst Pasteur, Dept Computat Biol, Syst Biol Grp, F-75015 Paris, France; [Bost, Pierre; Bendjelal, Yanis; Schwikowski, Benno] Inst Pasteur, USR 3756, F-75015 Paris, France; [Bost, Pierre; Bendjelal, Yanis; Schwikowski, Benno] CNRS, F-75015 Paris, France; [Bost, Pierre] Sorbonne Univ, Complexite Vivant, F-75005 Paris, France; [Liu, Yang; Xu, Gang; Zhang, Zheng] Southern Univ Sci &amp; Technol, Shenzhen Peoples Hosp 3, Natl Clin Res Ctr Infect Dis, Sch Med,Inst Hepatol, Shenzhen 518112, Guangdong, Peoples R China; [Zhang, Shuye] Fudan Univ, Shanghai Publ Hlth Clin Ctr, Shanghai 201508, Peoples R China; [Zhang, Shuye] Fudan Univ, Inst Biomed Sci, Shanghai 201508, Peoples R China</t>
  </si>
  <si>
    <t xml:space="preserve">Weizmann Institute of Science; Pasteur Network; Universite Paris Cite; Institut Pasteur Paris; Pasteur Network; Universite Paris Cite; Institut Pasteur Paris; Centre National de la Recherche Scientifique (CNRS); CNRS - National Institute for Biology (INSB); Centre National de la Recherche Scientifique (CNRS); Sorbonne Universite; Southern University of Science &amp; Technology; Fudan University; Fudan University</t>
  </si>
  <si>
    <t xml:space="preserve">Amit, I (corresponding author), Weizmann Inst Sci, Dept Immunol, Rehovot, Israel.;Schwikowski, B (corresponding author), Inst Pasteur, Dept Computat Biol, Syst Biol Grp, F-75015 Paris, France.;Schwikowski, B (corresponding author), Inst Pasteur, USR 3756, F-75015 Paris, France.;Schwikowski, B (corresponding author), CNRS, F-75015 Paris, France.;Zhang, Z (corresponding author), Southern Univ Sci &amp; Technol, Shenzhen Peoples Hosp 3, Natl Clin Res Ctr Infect Dis, Sch Med,Inst Hepatol, Shenzhen 518112, Guangdong, Peoples R China.</t>
  </si>
  <si>
    <t xml:space="preserve">benno@pasteur.fr; zhangzheng1975@aliyun.com; ido.amit@weizmann.ac.il</t>
  </si>
  <si>
    <t xml:space="preserve">Amit, Iddo/G-1443-2013; xu, gang/GXZ-9139-2022; Zhou, yin/HGE-2329-2022; Zhang, Shuye/ABG-7815-2021</t>
  </si>
  <si>
    <t xml:space="preserve">Bost, Pierre/0000-0003-1498-9385; Amit, Ido/0000-0003-2968-877X; Deczkowska, Aleksandra/0000-0003-0844-4346; Blecher, Ronnie/0000-0003-2847-1149; Liu, Yang/0000-0002-5221-7725</t>
  </si>
  <si>
    <t xml:space="preserve">Merck KGaA (Darmstadt, Germany); Chan Zuckerberg Initiative (CZI); HHMI International Scholar award; European Research Council Consolidator Grant (ERC-COG) [724471-HemTree2.0]; SCA award from the Wolfson Foundation; Thompson Family Foundation; Israel Science Foundation [703/15]; Ernest and Bonnie Beutler Research Program for Excellence in Genomic Medicine; Helen and Martin Kimmel award for innovative investigation; NeuroMac DFG/Transregional Collaborative Research Center grant; International Progressive MS Alliance/NMSS [PA1604 08459]; Adelis Foundation; Ecole Normale Supe' rieure, Paris; French Government's Investissement d'Avenir program, Laboratoire d'Excellence Integrative Biology of Emerging Infectious Diseases'' [ANR-10-LABX-62-IBEID]; National Natural Science Foundation of China [91442127, 81700540]; MRA Established Investigator Award [509044]</t>
  </si>
  <si>
    <t xml:space="preserve">Merck KGaA (Darmstadt, Germany); Chan Zuckerberg Initiative (CZI)(Chan Zuckerberg Initiative (CZI)); HHMI International Scholar award(Howard Hughes Medical Institute); European Research Council Consolidator Grant (ERC-COG)(European Research Council (ERC)); SCA award from the Wolfson Foundation; Thompson Family Foundation; Israel Science Foundation(Israel Science Foundation); Ernest and Bonnie Beutler Research Program for Excellence in Genomic Medicine; Helen and Martin Kimmel award for innovative investigation; NeuroMac DFG/Transregional Collaborative Research Center grant(German Research Foundation (DFG)); International Progressive MS Alliance/NMSS; Adelis Foundation(ACEV Foundation); Ecole Normale Supe' rieure, Paris; French Government's Investissement d'Avenir program, Laboratoire d'Excellence Integrative Biology of Emerging Infectious Diseases''(Agence Nationale de la Recherche (ANR)); National Natural Science Foundation of China(National Natural Science Foundation of China (NSFC)); MRA Established Investigator Award</t>
  </si>
  <si>
    <t xml:space="preserve">We thank Dr. Noam Stern Ginossar and Dr. Yoav Golan for careful evaluation of the manuscript; Dr. Etienne Simon-Loriere, Thomas Jacquemont, and Alice Balfourier for valuable advices; Tali Wiesel from the Scientific Illustration unit of the Weizmann Institute for artwork; and members of the Amit laboratory for discussions. I.A. is an Eden and Steven Romick Professorial Chair and supported by Merck KGaA (Darmstadt, Germany), the Chan Zuckerberg Initiative (CZI), an HHMI International Scholar award, the European Research Council Consolidator Grant (ERC-COG) 724471-HemTree2.0, an SCA award from the Wolfson Foundation and Family Charitable Trust, the Thompson Family Foundation, an MRA Established Investigator Award (509044), the Israel Science Foundation (703/15), the Ernest and Bonnie Beutler Research Program for Excellence in Genomic Medicine, the Helen and Martin Kimmel award for innovative investigation, a NeuroMac DFG/Transregional Collaborative Research Center grant, an International Progressive MS Alliance/NMSS (PA1604 08459), and an Adelis Foundation grant. P.B. is supported by a PhD scholarship from the Ecole Normale Supe ' rieure, Paris. B.S. has received funding from the French Government's Investissement d'Avenir program, Laboratoire d'Excellence Integrative Biology of Emerging Infectious Diseases'' (ANR-10-LABX-62-IBEID). Z.Z. and Y.L. were supported by fundings from the National Natural Science Foundation of China (91442127 to Z.Z.; 81700540 to Y.L.).</t>
  </si>
  <si>
    <t xml:space="preserve">0092-8674</t>
  </si>
  <si>
    <t xml:space="preserve">1097-4172</t>
  </si>
  <si>
    <t xml:space="preserve">Cell</t>
  </si>
  <si>
    <t xml:space="preserve">10.1016/j.cell.2020.05.006</t>
  </si>
  <si>
    <t xml:space="preserve">Biochemistry &amp; Molecular Biology; Cell Biology</t>
  </si>
  <si>
    <t xml:space="preserve">MD2SA</t>
  </si>
  <si>
    <t xml:space="preserve">WOS:000543822100008</t>
  </si>
  <si>
    <t xml:space="preserve">Paesen, GC; Collet, A; Sallamand, C; Debart, F; Vasseur, JJ; Canard, B; Decroly, E; Grimes, JM</t>
  </si>
  <si>
    <t xml:space="preserve">Paesen, Guido C.; Collet, Axelle; Sallamand, Corinne; Debart, Francoise; Vasseur, Jean-Jacques; Canard, Bruno; Decroly, Etienne; Grimes, Jonathan M.</t>
  </si>
  <si>
    <t xml:space="preserve">X-ray structure and activities of an essential Mononegavirales L-protein domain</t>
  </si>
  <si>
    <t xml:space="preserve">Polyadenylation; Nucleotide; Transcription (linguistics); Methyltransferase; Methylation</t>
  </si>
  <si>
    <t xml:space="preserve">VESICULAR STOMATITIS-VIRUS; MESSENGER-RNA CAP; POLYMERASE; RECOGNITION; ENZYME; 2'-O; TRANSFERASE; METHYLATION; BASE</t>
  </si>
  <si>
    <t xml:space="preserve">The L protein of mononegaviruses harbours all catalytic activities for genome replication and transcription. It contains six conserved domains (CR-I to -VI; Fig. 1a). CR-III has been linked to polymerase and polyadenylation activity, CR-V to mRNA capping and CR-VI to cap methylation. However, how these activities are choreographed is poorly understood. Here we present the 2.2-angstrom X-ray structure and activities of CR-VI+, a portion of human Metapneumovirus L consisting of CR-VI and the poorly conserved region at its C terminus, the +domain. The CR-VI domain has a methyltransferase fold, which besides the typical S-adenosylmethionine-binding site (P-SAM) also contains a novel pocket (P-NS) that can accommodate a nucleoside. CR-VI lacks an obvious cap-binding site, and the P-SAM-adjoining site holding the nucleotides undergoing methylation (P-SUB) is unusually narrow because of the overhanging +domain. CR-VI+ sequentially methylates caps at their 2'O and N7 positions, and also displays nucleotide triphosphatase activity.</t>
  </si>
  <si>
    <t xml:space="preserve">[Paesen, Guido C.; Grimes, Jonathan M.] Wellcome Trust Ctr Human Genet, Div Struct Biol, Oxford OX3 7BN, England; [Collet, Axelle; Canard, Bruno; Decroly, Etienne] Aix Marseille Univ, CNRS, AFMB, UMR 7257, F-13288 Marseille, France; [Sallamand, Corinne; Debart, Francoise; Vasseur, Jean-Jacques] Univ Montpellier, ENSCM, Dept Nucle Acids, IBMM,CNRS,UMR 5247, F-34095 Montpellier, France; [Grimes, Jonathan M.] Diamond Light Source Ltd, Didcot OX11 0DE, Oxon, England</t>
  </si>
  <si>
    <t xml:space="preserve">University of Oxford; Wellcome Centre for Human Genetics; Aix-Marseille Universite; Centre National de la Recherche Scientifique (CNRS); CNRS - National Institute for Biology (INSB); Universite de Montpellier; Centre National de la Recherche Scientifique (CNRS); CNRS - Institute of Chemistry (INC); Ecole nationale superieure de chimie de Montpellier; Diamond Light Source</t>
  </si>
  <si>
    <t xml:space="preserve">Decroly, E (corresponding author), Aix Marseille Univ, CNRS, AFMB, UMR 7257, Case 925,163 Ave Luminy, F-13288 Marseille, France.</t>
  </si>
  <si>
    <t xml:space="preserve">etienne.decroly@afmb.univ-mrs.fr; jonathan@strubi.ox.ac.uk</t>
  </si>
  <si>
    <t xml:space="preserve">Decroly, Etienne/JPA-1553-2023; Debart, Francoise/D-4320-2019</t>
  </si>
  <si>
    <t xml:space="preserve">Debart, Francoise/0000-0003-3422-3926; Canard, Bruno/0000-0003-4924-1991; DECROLY, Etienne/0000-0002-6046-024X; Grimes, Jonathan Mark/0000-0001-9698-0389; Vasseur, Jean-Jacques/0000-0002-4379-6139</t>
  </si>
  <si>
    <t xml:space="preserve">European Union [260644]; MRC [MR/L017709/1]; Wellcome Trust [075491/Z/04]; MRC [MR/L017709/1] Funding Source: UKRI</t>
  </si>
  <si>
    <t xml:space="preserve">European Union(European Union (EU)); MRC(UK Research &amp; Innovation (UKRI)Medical Research Council UK (MRC)); Wellcome Trust(Wellcome Trust); MRC(UK Research &amp; Innovation (UKRI)Medical Research Council UK (MRC))</t>
  </si>
  <si>
    <t xml:space="preserve">The research was made possible by funding from the European Union Seventh Framework Programme (FP7/2007-2013) under SILVER grant agreement no. 260644 and from an MRC grant (MR/L017709/1). We thank Diamond Light Source for beamtime (proposal mx8423), and the staff of the MX beamlines for assistance. This work was supported by a Wellcome Trust administrative support grant 075491/Z/04.</t>
  </si>
  <si>
    <t xml:space="preserve">10.1038/ncomms9749</t>
  </si>
  <si>
    <t xml:space="preserve">CY3FG</t>
  </si>
  <si>
    <t xml:space="preserve">WOS:000366293300002</t>
  </si>
  <si>
    <t xml:space="preserve">Schwartz, DA; Dhaliwal, A</t>
  </si>
  <si>
    <t xml:space="preserve">Schwartz, David A.; Dhaliwal, Amareen</t>
  </si>
  <si>
    <t xml:space="preserve">Infections in Pregnancy With COVID-19 and Other Respiratory RNA Virus Diseases Are Rarely, If Ever, Transmitted to the Fetus Experiences With Coronaviruses, Parainfluenza, Metapneumovirus Respiratory Syncytial Virus, and Influenza</t>
  </si>
  <si>
    <t xml:space="preserve">Human metapneumovirus; Virology; Transmission (telecommunications); Medicine; Pregnancy; Coronavirus; Virus; Pneumonia</t>
  </si>
  <si>
    <t xml:space="preserve">ZIKA VIRUS; YOUNG-CHILDREN; VERTICAL TRANSMISSION; VIRAL-INFECTIONS; TRACT DISEASE; WOMEN; PATHOGENESIS; PATHOLOGY; TAXONOMY; OUTCOMES</t>
  </si>
  <si>
    <t xml:space="preserve">Severe acute respiratory syndrome coronavirus 2 (SARS-CoV-2), the agent of coronavirus disease 2019 (COVID19), is similar to 2 other coronaviruses, SARS-CoV and Middle East respiratory syndrome coronavirus (MERS-CoV), in causing life-threatening maternal respiratory infections and systemic complications. Because of global concern for potential intrauterine transmission of SARS-CoV-2 from pregnant women to their infants, this report analyzes the effects on pregnancy of infections caused by SARS-CoV-2 and other respiratory RNA viruses, and examines the frequency of maternal-fetal transmission with SARS-CoV-2, severe acute respiratory syndrome (SARS), Middle East respiratory syndrome (MERS), influenza, respiratory syncytial virus (RSV), parainfluenza (HPIV), and metapneumovirus (hMPV). There have been no confirmed cases of intrauterine transmission reported with SARS-CoV-2 or any other coronaviruses-SARS and MERS. Influenza virus, despite causing approximately 1 billion annual infections globally, has only a few cases of confirmed or suspected intrauterine fetal infections reported. Respiratory syncytial virus is an unusual cause of illness among pregnant women, and with the exception of 1 premature infant with congenital pneumonia, no other cases of maternal-fetal infection are described. Parainfluenza virus and hMPV can produce symptomatic maternal infections but do not cause intrauterine fetal infection. In summary, it appears that the absence thus far of maternalfetal transmission of the SARS-CoV-2 virus during the COVID-19 pandemic is similar to other coronaviruses, and is also consistent with the extreme rarity of suggested or confirmed cases of intrauterine transmission of other respiratory RNA viruses. This observation has important consequences for pregnant women because it appears that if intrauterine transmission of SARS-CoV-2 does eventually occur, it will be a rare event. Potential mechanisms of fetal protection from maternal viral infections are also dis- cussed.</t>
  </si>
  <si>
    <t xml:space="preserve">[Schwartz, David A.] Augusta Univ, Dept Pathol, Med Coll Georgia, Augusta, GA USA; [Dhaliwal, Amareen] Boston Univ, Sch Med, Boston, MA 02118 USA</t>
  </si>
  <si>
    <t xml:space="preserve">University System of Georgia; Augusta University; Boston University</t>
  </si>
  <si>
    <t xml:space="preserve">Schwartz, DA (corresponding author), Med Coll Georgia, Dept Pathol, 1950 Grace Arbor Court, Atlanta, GA 30329 USA.</t>
  </si>
  <si>
    <t xml:space="preserve">davidalanschwartz@gmail.com</t>
  </si>
  <si>
    <t xml:space="preserve">Schwartz, David/AAX-7306-2021; Dhaliwal, Amareen/AAE-8287-2019</t>
  </si>
  <si>
    <t xml:space="preserve">Schwartz, David A./0000-0002-7486-8545</t>
  </si>
  <si>
    <t xml:space="preserve">10.5858/arpa.2020-0211-SA</t>
  </si>
  <si>
    <t xml:space="preserve">MW1VZ</t>
  </si>
  <si>
    <t xml:space="preserve">WOS:000556834900005</t>
  </si>
  <si>
    <t xml:space="preserve">Takeda, M; Nakatsu, Y; Ohno, S; Seki, F; Tahara, M; Hashiguchi, T; Yanagi, Y</t>
  </si>
  <si>
    <t xml:space="preserve">Generation of measles virus with a segmented RNA genome</t>
  </si>
  <si>
    <t xml:space="preserve">Biology; Virology; Measles virus; Genome; Virus; RNA</t>
  </si>
  <si>
    <t xml:space="preserve">NEWCASTLE-DISEASE VIRUS; CLONED CDNA; FOREIGN GENE; SENDAI-VIRUS; HUMAN METAPNEUMOVIRUS; CELLULAR RECEPTOR; VIRAL VECTOR; EXPRESSION; RECOVERY; REPLICATION</t>
  </si>
  <si>
    <t xml:space="preserve">Viruses classified in the order Mononegavirales have a single nonsegmented RNA molecule as the genome and employ similar strategies for genome replication and gene expression. Infectious particles of Measles virus (MeV), a member of the family Paramyxoviridae in the order Mononegavirales, with two or three RNA genome segments (2 seg- or 3 seg-MeV) were generated using a highly efficient reverse genetics system. All RNA segments of the viruses were designed to have authentic 3' and 5' self-complementary termini, similar to those of negative-stranded RNA viruses that intrinsically have multiple RNA genome segments. The 2 seg- and 3 seg-MeV were viable and replicated well in cultured cells. 3 seg-MeV could accommodate up to six additional transcriptional units, five of which were shown to be capable of expressing foreign proteins efficiently. These data indicate that the MeV genome can be segmented, providing an experimental insight into the divergence of the negative-stranded RNA viruses with nonsegmented or segmented RNA genomes. They also illustrate a new strategy to develop mononegavirus-derived vectors harboring multiple additional transcriptional units.</t>
  </si>
  <si>
    <t xml:space="preserve">Kyushu Univ, Fac Med, Dept Virol, Fukuoka 8128582, Japan</t>
  </si>
  <si>
    <t xml:space="preserve">Kyushu University</t>
  </si>
  <si>
    <t xml:space="preserve">Takeda, Makoto/0000-0002-8194-7727; Yanagi, Yusuke/0000-0001-7815-1667; Seki, Fumio/0000-0002-6144-468X; Hashiguchi, Takao/0000-0001-7578-7571</t>
  </si>
  <si>
    <t xml:space="preserve">10.1128/JVI.80.9.4242-4248.2006</t>
  </si>
  <si>
    <t xml:space="preserve">035DI</t>
  </si>
  <si>
    <t xml:space="preserve">WOS:000236980000004</t>
  </si>
  <si>
    <t xml:space="preserve">Pei, S; Teng, X; Lewis, P; Shaman, J</t>
  </si>
  <si>
    <t xml:space="preserve">Pei, Sen; Teng, Xian; Lewis, Paul; Shaman, Jeffrey</t>
  </si>
  <si>
    <t xml:space="preserve">Optimizing respiratory virus surveillance networks using uncertainty propagation</t>
  </si>
  <si>
    <t xml:space="preserve">Human metapneumovirus; Proxy (statistics); Computer science; Outbreak</t>
  </si>
  <si>
    <t xml:space="preserve">SPATIAL-TRANSMISSION; HUMAN MOBILITY; INFLUENZA; EPIDEMICS; IMPACT</t>
  </si>
  <si>
    <t xml:space="preserve">Infectious disease prevention, control and forecasting rely on sentinel observations; however, many locations lack the capacity for routine surveillance. Here we show that, by using data from multiple sites collectively, accurate estimation and forecasting of respiratory diseases for locations without surveillance is feasible. We develop a framework to optimize surveillance sites that suppresses uncertainty propagation in a networked disease transmission model. Using influenza outbreaks from 35 US states, the optimized system generates better near-term predictions than alternate systems designed using population and human mobility. We also find that monitoring regional population centers serves as a reasonable proxy for the optimized network and could direct surveillance for diseases with limited records. The proxy method is validated using model simulations for 3,108 US counties and historical data for two other respiratory pathogens - human metapneumovirus and seasonal coronavirus - from 35 US states and can be used to guide systemic allocation of surveillance efforts. Lack of a widespread surveillance network hampers accurate infectious disease forecasting. Here the authors provide a framework to optimize the selection of surveillance site locations and show that accurate forecasting of respiratory diseases for locations without surveillance is feasible.</t>
  </si>
  <si>
    <t xml:space="preserve">[Pei, Sen; Shaman, Jeffrey] Columbia Univ, Mailman Sch Publ Hlth, Dept Environm Hlth Sci, New York, NY 10032 USA; [Teng, Xian] Univ Pittsburgh, Sch Comp &amp; Informat, Pittsburgh, PA 15260 USA; [Lewis, Paul] Armed Forces Hlth Surveillance Branch, Integrated Biosurveillance Sect, Silver Spring, MD 20904 USA</t>
  </si>
  <si>
    <t xml:space="preserve">Columbia University; Pennsylvania Commonwealth System of Higher Education (PCSHE); University of Pittsburgh</t>
  </si>
  <si>
    <t xml:space="preserve">Pei, S; Shaman, J (corresponding author), Columbia Univ, Mailman Sch Publ Hlth, Dept Environm Hlth Sci, New York, NY 10032 USA.</t>
  </si>
  <si>
    <t xml:space="preserve">sp3449@cumc.columbia.edu; jls106@cumc.columbia.edu</t>
  </si>
  <si>
    <t xml:space="preserve">Pei, Sen/AAN-8662-2020</t>
  </si>
  <si>
    <t xml:space="preserve">Pei, Sen/0000-0002-7072-2995</t>
  </si>
  <si>
    <t xml:space="preserve">US National Institutes of Health [GM110748]; Defense Advanced Research Projects Agency [W911NF-16-2-0035]; Morris-Singer Foundation</t>
  </si>
  <si>
    <t xml:space="preserve">US National Institutes of Health(United States Department of Health &amp; Human ServicesNational Institutes of Health (NIH) - USA); Defense Advanced Research Projects Agency(United States Department of DefenseDefense Advanced Research Projects Agency (DARPA)); Morris-Singer Foundation</t>
  </si>
  <si>
    <t xml:space="preserve">This work was supported by US National Institutes of Health grant GM110748, Defense Advanced Research Projects Agency contract W911NF-16-2-0035, and a gift from the Morris-Singer Foundation.</t>
  </si>
  <si>
    <t xml:space="preserve">10.1038/s41467-020-20399-3</t>
  </si>
  <si>
    <t xml:space="preserve">TE8UX</t>
  </si>
  <si>
    <t xml:space="preserve">WOS:000670283600007</t>
  </si>
  <si>
    <t xml:space="preserve">Jewell, NA; Vaghefi, N; Mertz, SE; Akter, P; Peebles, RS; Bakaletz, LO; Durbin, RK; Flaño, E; Durbin, JE</t>
  </si>
  <si>
    <t xml:space="preserve">Jewell, Nancy A.; Vaghefi, Negin; Mertz, Sara E.; Akter, Parvis; Peebles, R. Stokes, Jr.; Bakaletz, Lauren O.; Durbin, Russell K.; Flano, Emilio; Durbin, Joan E.</t>
  </si>
  <si>
    <t xml:space="preserve">Differential type I interferon induction by respiratory syncytial virus and influenza A virus in vivo</t>
  </si>
  <si>
    <t xml:space="preserve">Biology; Virus; Virology; Interferon; Influenza A virus; In vivo</t>
  </si>
  <si>
    <t xml:space="preserve">PLASMACYTOID DENDRITIC CELLS; NONSTRUCTURAL PROTEINS NS1; NEWCASTLE-DISEASE VIRUS; CD8 T-CELLS; CLONAL EXPANSION; EPITHELIAL-CELLS; HUMAN METAPNEUMOVIRUS; POSITIVE FEEDBACK; GENE-EXPRESSION; IFN-ALPHA/BETA</t>
  </si>
  <si>
    <t xml:space="preserve">Type I interferon (IFN) induction is an immediate response to virus infection, and very high levels of these cytokines are produced when the Toll-like receptors (TLRs) expressed at high levels by plasmacytoid dendritic cells (pDCs) are triggered by viral nucleic acids. Unlike many RNA viruses, respiratory syncytial virus (RSV) does not appear to activate pDCs through their TLRs and it is not clear how this difference affects IFN-alpha/beta induction in vivo. In this study, we investigated type I IFN production triggered by RSV or influenza A virus infection of BAILB/c mice and found that while both viruses induced IFN-alpha/beta production by pDCs in vitro, only influenza virus infection could stimulate type I IFN synthesis by pDCs in vivo. In situ hybridization studies demonstrated that the infected respiratory epithelium was a major source of IFN-alpha/beta in response to either infection, but in pbC-depleted animals only type I IFN induction by influenza virus was impaired.</t>
  </si>
  <si>
    <t xml:space="preserve">Columbis Childrens Res Inst, Los Angeles, CA 90095 USA; Vanderbilt Univ, Sch Med, Nashville, TN 37232 USA; Ohio State Univ, Coll Med, Dept Pediat, Columbus, OH 43210 USA</t>
  </si>
  <si>
    <t xml:space="preserve">Vanderbilt University; University System of Ohio; Ohio State University</t>
  </si>
  <si>
    <t xml:space="preserve">Durbin, JE (corresponding author), Columbis Childrens Res Inst, WA 4104,700Childrens Dr, Los Angeles, CA 90095 USA.</t>
  </si>
  <si>
    <t xml:space="preserve">Bakaletz, Lauren/GMW-8490-2022</t>
  </si>
  <si>
    <t xml:space="preserve">NIAID NIH HHS [R01 AI047226, R01 AI 47226] Funding Source: Medline; NIDCD NIH HHS [R01 DC 006468, R01 DC006468] Funding Source: Medline</t>
  </si>
  <si>
    <t xml:space="preserve">NIAID NIH HHS(United States Department of Health &amp; Human ServicesNational Institutes of Health (NIH) - USANIH National Institute of Allergy &amp; Infectious Diseases (NIAID)); NIDCD NIH HHS(United States Department of Health &amp; Human ServicesNational Institutes of Health (NIH) - USANIH National Institute on Deafness &amp; Other Communication Disorders (NIDCD))</t>
  </si>
  <si>
    <t xml:space="preserve">10.1128/JVI.00530-07</t>
  </si>
  <si>
    <t xml:space="preserve">208JI</t>
  </si>
  <si>
    <t xml:space="preserve">WOS:000249315200017</t>
  </si>
  <si>
    <t xml:space="preserve">Wong, S; Pabbaraju, K; Lee, BE; Fox, JD</t>
  </si>
  <si>
    <t xml:space="preserve">Wong, Sallene; Pabbaraju, Kanti; Lee, Bonita E.; Fox, Julie D.</t>
  </si>
  <si>
    <t xml:space="preserve">Enhanced Viral Etiological Diagnosis of Respiratory System Infection Outbreaks by Use of a Multitarget Nucleic Acid Amplification Assay</t>
  </si>
  <si>
    <t xml:space="preserve">Outbreak; Virology; Virus; Respiratory system; Etiology</t>
  </si>
  <si>
    <t xml:space="preserve">HUMAN METAPNEUMOVIRUS INFECTION; TERM-CARE FACILITY; REAL-TIME PCR; VIRUS-INFECTIONS; MULTIPLEX PCR; INFLUENZA-A; TRACT INFECTIONS; HIGH-THROUGHPUT; PATHOGENS; TESTS</t>
  </si>
  <si>
    <t xml:space="preserve">A study was undertaken to assess the utility of the xTAG respiratory viral panel (RVP) for enhanced laboratory investigation of respiratory outbreaks. Specimens (n = 1,108) from 244 suspected respiratory virus outbreaks in 2006 and 2007 in Alberta, Canada, were included in the study. Testing by direct fluorescent antigen detection (DFA) and various in-house nucleic acid amplification tests (NATs) for common respiratory viruses provided an etiological diagnosis in 177 outbreaks (72.5%), with 524 samples testing positive (47.3%) for a respiratory virus. Two hundred samples from 51 unresolved outbreaks were further tested by RVP retrospectively. Fifty-eight samples from 30 unresolved outbreaks had a respiratory virus detected by RVP (47 picornavirus-positive, 9 coronavirus-positive, and 2 influenza virus A-positive samples). Overall, detection of a viral etiological agent was achieved in 90.8% of outbreaks using a combination of DFA, NATs, and RVP. Use of RVP enhances the laboratory investigation of respiratory virus outbreaks and facilitates appropriate patient and outbreak management.</t>
  </si>
  <si>
    <t xml:space="preserve">[Wong, Sallene; Pabbaraju, Kanti; Fox, Julie D.] Prov Lab Publ Hlth Microbiol, Calgary, AB T2N 4W4, Canada; [Lee, Bonita E.] Prov Lab Publ Hlth Microbiol, Edmonton, AB, Canada; [Lee, Bonita E.] Univ Alberta, Dept Paediat, Edmonton, AB, Canada; [Fox, Julie D.] Univ Calgary, Dept Microbiol &amp; Infect Dis, Calgary, AB, Canada</t>
  </si>
  <si>
    <t xml:space="preserve">Wong, S (corresponding author), Prov Lab Publ Hlth Microbiol, 3030 Hosp Dr NW, Calgary, AB T2N 4W4, Canada.</t>
  </si>
  <si>
    <t xml:space="preserve">S.Wong@provlab.ab.ca</t>
  </si>
  <si>
    <t xml:space="preserve">Alberta Heritage Foundation for Medical Research</t>
  </si>
  <si>
    <t xml:space="preserve">Alberta Heritage Foundation for Medical Research(Alberta Heritage Foundation for Medical Research)</t>
  </si>
  <si>
    <t xml:space="preserve">The expanded testing undertaken as part of this study was supported by a grant from the Alberta Heritage Foundation for Medical Research.</t>
  </si>
  <si>
    <t xml:space="preserve">10.1128/JCM.01469-09</t>
  </si>
  <si>
    <t xml:space="preserve">525QD</t>
  </si>
  <si>
    <t xml:space="preserve">WOS:000272230500007</t>
  </si>
  <si>
    <t xml:space="preserve">Meng, J; Hotard, AL; Currier, MG; Lee, S; Stobart, CC; Moore, ML</t>
  </si>
  <si>
    <t xml:space="preserve">Meng, Jia; Hotard, Anne L.; Currier, Michael G.; Lee, Sujin; Stobart, Christopher C.; Moore, Martin L.</t>
  </si>
  <si>
    <t xml:space="preserve">Respiratory Syncytial Virus Attachment Glycoprotein Contribution to Infection Depends on the Specific Fusion Protein</t>
  </si>
  <si>
    <t xml:space="preserve">Biology; Virus; Glycoprotein; Virology; Infectivity; Paramyxoviridae; Mononegavirales; Viral entry</t>
  </si>
  <si>
    <t xml:space="preserve">HUMAN METAPNEUMOVIRUS FUSION; REPLICATION IN-VITRO; IDENTIFICATION; INHIBITOR; LACKING; ENTRY; SH; GLYCOSAMINOGLYCANS; PATHOGENESIS; DISCOVERY</t>
  </si>
  <si>
    <t xml:space="preserve">Human respiratory syncytial virus (RSV) is an important pathogen causing acute lower respiratory tract disease in children. The RSV attachment glycoprotein (G) is not required for infection, as G-null RSV replicates efficiently in several cell lines. Our laboratory previously reported that the viral fusion (F) protein is a determinant of strain-dependent pathogenesis. Here, we hypothesized that virus dependence on G is determined by the strain specificity of F. We generated recombinant viruses expressing G and F, or null for G, from the laboratory A2 strain (Katushka RSV-A2GA2F [kRSV-A2GA2F] and kRSV-GstopA2F) or the clinical isolate A2001/2-20 (kRSV-2-20G2-20F and kRSV-Gstop2-20F). We quantified the virus cell binding, entry kinetics, infectivity, and growth kinetics of these four recombinant viruses in vitro. RSV expressing the 2-20 G protein exhibited the greatest binding activity. Compared to the parental viruses expressing G and F, removal of 2-20 G had more deleterious effects on binding, entry, infectivity, and growth than removal of A2 G. Overall, RSV expressing 2-20 F had a high dependence on G for binding, entry, and infection.</t>
  </si>
  <si>
    <t xml:space="preserve">[Meng, Jia; Hotard, Anne L.; Currier, Michael G.; Lee, Sujin; Stobart, Christopher C.; Moore, Martin L.] Emory Univ, Sch Med, Dept Pediat, Atlanta, GA 30322 USA; [Meng, Jia; Hotard, Anne L.; Currier, Michael G.; Lee, Sujin; Stobart, Christopher C.; Moore, Martin L.] Childrens Healthcare Atlanta, Atlanta, GA USA</t>
  </si>
  <si>
    <t xml:space="preserve">Emory University; Children's Healthcare of Atlanta (CHOA)</t>
  </si>
  <si>
    <t xml:space="preserve">Moore, ML (corresponding author), Emory Univ, Sch Med, Dept Pediat, Atlanta, GA 30322 USA.</t>
  </si>
  <si>
    <t xml:space="preserve">martin.moore@emory.edu</t>
  </si>
  <si>
    <t xml:space="preserve">Stobart, Christopher/L-5769-2015</t>
  </si>
  <si>
    <t xml:space="preserve">Stobart, Christopher/0000-0003-1729-9769; Lopez-Ona, Anne/0000-0001-9353-9731</t>
  </si>
  <si>
    <t xml:space="preserve">HHS\ NIH \ National Institute of Allergy and Infectious Diseases (NIAID) [1R01AI087798, 1U19AI095227]; Emory University; CHOA [33515]; NIH through Emory Vaccinology Training Grant [T32AI074492]; Emory [33515]; Emory through Nelson Memorial Fund [R6336510]</t>
  </si>
  <si>
    <t xml:space="preserve">HHS\ NIH \ National Institute of Allergy and Infectious Diseases (NIAID); Emory University; CHOA; NIH through Emory Vaccinology Training Grant; Emory; Emory through Nelson Memorial Fund</t>
  </si>
  <si>
    <t xml:space="preserve">HHS vertical bar NIH vertical bar National Institute of Allergy and Infectious Diseases (NIAID) provided funding to Michael M. Moore under grant numbers 1R01AI087798 and 1U19AI095227.This study as also supported by funds from Emory University and CHOA. Additional support was provided by the NIH through Emory Vaccinology Training Grant T32AI074492 (Christopher C. Stobart), by Emory and CHOA under joint grant number 33515 (Michael G. Currier, Christopher C. Stobart, Sujin Lee, and Martin L. Moore), and by Emory through Nelson Memorial Fund R6336510 (Anne L. Hotard and Martin L. Moore).</t>
  </si>
  <si>
    <t xml:space="preserve">10.1128/JVI.02140-15</t>
  </si>
  <si>
    <t xml:space="preserve">CZ1XK</t>
  </si>
  <si>
    <t xml:space="preserve">WOS:000366899000022</t>
  </si>
  <si>
    <t xml:space="preserve">Siegel, DS; Hui, HC; Pitts, J; Vermillion, MS; Ishida, K; Rautiola, D; Keeney, M; Irshad, H; Zhang, LJ; Chun, K; Chin, G; Goyal, B; Doerffler, E; Yang, H; Clarke, MO; Palmiotti, C; Vijjapurapu, A; Riola, NC; Stray, K; Murakami, E; Ma, B; Wang, T; Zhao, XF; Xu, YL; Lee, GRY; Marchand, B; Seung, M; Nayak, A; Tomkinson, A; Kadrichu, N; Ellis, S; Barauskas, O; Feng, JY; Perry, JK; Perron, M; Bilello, JP; Kuehl, PJ; Subramanian, R; Cihlar, T; Mackman, RL</t>
  </si>
  <si>
    <t xml:space="preserve">Siegel, Dustin S.; Hui, Hon C.; Pitts, Jared; Vermillion, Meghan S.; Ishida, Kazuya; Rautiola, Davin; Keeney, Michael; Irshad, Hammad; Zhang, Lijun; Chun, Kwon; Chin, Gregory; Goyal, Bindu; Doerffler, Edward; Yang, Hai; Clarke, Michael O.; Palmiotti, Chris; Vijjapurapu, Arya; Riola, Nicholas C.; Stray, Kirsten; Murakami, Eisuke; Ma, Bin; Wang, Ting; Zhao, Xiaofeng; Xu, Yili; Lee, Gary; Marchand, Bruno; Seung, Minji; Nayak, Arabinda; Tomkinson, Adrian; Kadrichu, Nani; Ellis, Scott; Barauskas, Ona; Feng, Joy Y.; Perry, Jason K.; Perron, Michel; Bilello, John P.; Kuehl, Philip J.; Subramanian, Raju; Cihlar, Tomas; Mackman, Richard L.</t>
  </si>
  <si>
    <t xml:space="preserve">Discovery of GS-7682, a Novel 4′-Cyano-Modified C-Nucleoside Prodrug with Broad Activity against Pneumo- and Picornaviruses and Efficacy in RSV-Infected African Green Monkeys</t>
  </si>
  <si>
    <t xml:space="preserve">JOURNAL OF MEDICINAL CHEMISTRY</t>
  </si>
  <si>
    <t xml:space="preserve">Picornavirus; Rhinovirus; Virology; Prodrug; Pneumovirus; Respiratory system; Virus; Paramyxoviridae</t>
  </si>
  <si>
    <t xml:space="preserve">RESPIRATORY SYNCYTIAL VIRUS; OBSTRUCTIVE PULMONARY-DISEASE; VIRAL-INFECTIONS; MITOCHONDRIAL RNA; POLYMERASE; INHIBITOR; GS-5734; EXACERBATIONS; DEPOSITION; ANALOG</t>
  </si>
  <si>
    <t xml:space="preserve">Acute respiratory viral infections, such as pneumovirus and respiratory picornavirus infections, exacerbate disease in COPD and asthma patients. A research program targeting respiratory syncytial virus (RSV) led to the discovery of GS-7682 (1), a novel phosphoramidate prodrug of a 4 '-CN-4-aza-7,9-dideazaadenosine C-nucleoside GS-646089 (2) with broad antiviral activity against RSV (EC50 = 3-46 nM), human metapneumovirus (EC50 = 210 nM), human rhinovirus (EC50 = 54-61 nM), and enterovirus (EC50 = 83-90 nM). Prodrug optimization for cellular potency and lung cell metabolism identified 5 '-methyl [(S)-hydroxy(phenoxy)phosphoryl]-l-alaninate in combination with 2 ',3 '-diisobutyrate promoieties as being optimal for high levels of intracellular triphosphate formation in vitro and in vivo. 1 demonstrated significant reductions of viral loads in the lower respiratory tract of RSV-infected African green monkeys when administered once daily via intratracheal nebulized aerosol. Together, these findings support additional evaluation of 1 and its analogues as potential therapeutics for pneumo- and picornaviruses.</t>
  </si>
  <si>
    <t xml:space="preserve">[Siegel, Dustin S.; Hui, Hon C.; Pitts, Jared; Vermillion, Meghan S.; Ishida, Kazuya; Rautiola, Davin; Keeney, Michael; Zhang, Lijun; Chun, Kwon; Chin, Gregory; Goyal, Bindu; Doerffler, Edward; Yang, Hai; Clarke, Michael O.; Palmiotti, Chris; Vijjapurapu, Arya; Riola, Nicholas C.; Stray, Kirsten; Murakami, Eisuke; Ma, Bin; Wang, Ting; Zhao, Xiaofeng; Xu, Yili; Lee, Gary; Marchand, Bruno; Seung, Minji; Nayak, Arabinda; Tomkinson, Adrian; Ellis, Scott; Barauskas, Ona; Feng, Joy Y.; Perry, Jason K.; Perron, Michel; Bilello, John P.; Subramanian, Raju; Cihlar, Tomas; Mackman, Richard L.] Gilead Sci Inc, Foster City, CA 94404 USA; [Vermillion, Meghan S.; Irshad, Hammad; Kuehl, Philip J.] Lovelace Biomed, Albuquerque, NM 87108 USA; [Kadrichu, Nani] Inspired Pulm Solut, San Carlos, CA 94070 USA</t>
  </si>
  <si>
    <t xml:space="preserve">Gilead Sciences</t>
  </si>
  <si>
    <t xml:space="preserve">Siegel, DS (corresponding author), Gilead Sci Inc, Foster City, CA 94404 USA.</t>
  </si>
  <si>
    <t xml:space="preserve">dustin.siegel@gilead.com</t>
  </si>
  <si>
    <t xml:space="preserve">Irshad, Hammad/JFJ-4518-2023</t>
  </si>
  <si>
    <t xml:space="preserve">Seung, Minji/0000-0002-4759-4331</t>
  </si>
  <si>
    <t xml:space="preserve">The authors acknowledge the support teams from Lovelace Biomedical (Albuquerque, NM) for the inhaled in vivo studies, the teams from Bioqual (Rockville, MD) and Labcorp Early Development Inc. (legacy Covance Laboratories, Madison, WI) for IV in vivo PK studies, the Arnold Rheingold Laboratory, UC San Diego, for assistance with the determination of the crystal structure, the Guy Boivin laboratory, Laval University, for the hMPV assay, the Southern Research Institute (Frederick, MD) for the EV and influenza assays, Yelena Zherebina from Gilead for chiral chromatography, and Krista McCutcheon for early assay development. Figure 3 was adapted from brush cell (cuboidal), and the Table of Content Graphic was adapted from African green monkey (chlorocebus aethiops) by BioRender.com (2024).</t>
  </si>
  <si>
    <t xml:space="preserve">0022-2623</t>
  </si>
  <si>
    <t xml:space="preserve">1520-4804</t>
  </si>
  <si>
    <t xml:space="preserve">J MED CHEM</t>
  </si>
  <si>
    <t xml:space="preserve">J. Med. Chem.</t>
  </si>
  <si>
    <t xml:space="preserve">10.1021/acs.jmedchem.4c00899</t>
  </si>
  <si>
    <t xml:space="preserve">Chemistry, Medicinal</t>
  </si>
  <si>
    <t xml:space="preserve">C2E1Q</t>
  </si>
  <si>
    <t xml:space="preserve">WOS:001271978500001</t>
  </si>
  <si>
    <t xml:space="preserve">Galanti, M; Birger, R; Ud-Dean, M; Filip, ; Morita, H; Comito, D; Anthony, S; Freyer, GA; Ibrahim, S; Lane, B; Matienzo, N; Ligon, C; Rabadan, R; Shittu, A; Tagne, E; Shaman, J</t>
  </si>
  <si>
    <t xml:space="preserve">Galanti, M.; Birger, R.; Ud-Dean, M.; Filip, I; Morita, H.; Comito, D.; Anthony, S.; Freyer, G. A.; Ibrahim, S.; Lane, B.; Matienzo, N.; Ligon, C.; Rabadan, R.; Shittu, A.; Tagne, E.; Shaman, J.</t>
  </si>
  <si>
    <t xml:space="preserve">Rates of asymptomatic respiratory virus infection across age groups</t>
  </si>
  <si>
    <t xml:space="preserve">Asymptomatic; Medicine; Respiratory system; Population</t>
  </si>
  <si>
    <t xml:space="preserve">SYNCYTIAL VIRUS; INFLUENZA; TRANSMISSION; EPIDEMIOLOGY; ASTHMA</t>
  </si>
  <si>
    <t xml:space="preserve">Respiratory viral infections are a leading cause of disease worldwide. A variety of respiratory viruses produce infections in humans with effects ranging from asymptomatic to life- treathening. Standard surveillance systems typically only target severe infections ( ED outpatients, hospitalisations, deaths) and fail to track asymptomatic or mild infections. Here we performed a large- scale community study across multiple age groups to assess the pathogenicity of 18 respiratory viruses. We enrolled 214 individuals at multiple New York City locations and tested weekly for respiratory viral pathogens, irrespective of symptom status, from fall 2016 to spring 2018. We combined these test results with participant- provided daily records of cold and flu symptoms and used this information to characterise symptom severity by virus and age category. Asymptomatic infection rates exceeded 70% for most viruses, excepting influenza and human metapneumovirus, which produced significantly more severe outcomes. Symptoms were negatively associated with infection frequency, with children displaying the lowest score among age groups. Upper respiratory manifestations were most common for all viruses, whereas systemic effects were less typical. These findings indicate a high burden of asymptomatic respiratory virus infection exists in the general population.</t>
  </si>
  <si>
    <t xml:space="preserve">[Galanti, M.; Birger, R.; Ud-Dean, M.; Morita, H.; Comito, D.; Freyer, G. A.; Ibrahim, S.; Lane, B.; Matienzo, N.; Ligon, C.; Shittu, A.; Tagne, E.; Shaman, J.] Columbia Univ, Mailman Sch Publ Hlth, Dept Environm Hlth Sci, 722 West 168th St, New York, NY 10032 USA; [Filip, I; Rabadan, R.] Columbia Univ, Dept Syst Biol, 1130 St Nicholas Ave,ICRC Bldg,8th Floor, New York, NY 10032 USA; [Anthony, S.] Columbia Univ, Dept Epidemiol, 722 W 168th St, New York, NY 10032 USA</t>
  </si>
  <si>
    <t xml:space="preserve">Columbia University; Columbia University; Columbia University</t>
  </si>
  <si>
    <t xml:space="preserve">Galanti, M (corresponding author), Columbia Univ, Mailman Sch Publ Hlth, Dept Environm Hlth Sci, 722 West 168th St, New York, NY 10032 USA.</t>
  </si>
  <si>
    <t xml:space="preserve">mg3822@cumc.columbia.edu</t>
  </si>
  <si>
    <t xml:space="preserve">Birger, Ruthie/LNQ-4943-2024; Galanti, Marta/KFQ-7348-2024; Filip, Ioan/AAU-5107-2021; Rabadan, Raul/AAZ-7367-2020; UD-DEAN, S/A-8135-2010</t>
  </si>
  <si>
    <t xml:space="preserve">galanti, marta/0000-0002-9060-1250; Rabadan, Raul/0000-0001-7946-9255</t>
  </si>
  <si>
    <t xml:space="preserve">Defense Advanced Research Projects Agency [W911NF-16-2-0035]</t>
  </si>
  <si>
    <t xml:space="preserve">Defense Advanced Research Projects Agency(United States Department of DefenseDefense Advanced Research Projects Agency (DARPA))</t>
  </si>
  <si>
    <t xml:space="preserve">This work was supported by the Defense Advanced Research Projects Agency contract W911NF-16-2-0035. The funders had no role in study design, data collection and analysis, decision to publish, or preparation of the manuscript.</t>
  </si>
  <si>
    <t xml:space="preserve">e176</t>
  </si>
  <si>
    <t xml:space="preserve">10.1017/S0950268819000505</t>
  </si>
  <si>
    <t xml:space="preserve">IJ4ZI</t>
  </si>
  <si>
    <t xml:space="preserve">WOS:000475912200107</t>
  </si>
  <si>
    <t xml:space="preserve">Hartwig, SM; Miller, AM; Varga, SM</t>
  </si>
  <si>
    <t xml:space="preserve">Hartwig, Stacey M.; Miller, Ann M.; Varga, Steven M.</t>
  </si>
  <si>
    <t xml:space="preserve">Respiratory Syncytial Virus Provides Protection against a Subsequent Influenza A Virus Infection</t>
  </si>
  <si>
    <t xml:space="preserve">Virus; Influenza A virus; Immunology; Respiratory system; Virology; Immune system; Biology</t>
  </si>
  <si>
    <t xml:space="preserve">T-CELL RESPONSE; HUMAN METAPNEUMOVIRUS; VIRAL COINFECTION; RESIDENT MEMORY; INFANTS; DISEASE; LUNG; INTERFERON; SEVERITY; LIGANDS</t>
  </si>
  <si>
    <t xml:space="preserve">Respiratory infections are a leading cause of morbidity and mortality. The presence of multiple heterologous virus infections is routinely observed in a subset of individuals screened for the presence of respiratory viruses. However, the impact overlapping infections has on disease severity and the host immune response is not well understood. Respiratory syncytial virus (RSV) and influenza A virus (IAV) are two of the most common respiratory infections observed in hospitalized patients, particularly in the very young and aged populations. In this study, we examined how the order in which BALB/c mice were infected with both RSV and IAV impacts disease severity. RSV infection prior to an IAV infection was associated with decreased weight loss and increased survival as compared with IAV infection alone. In contrast, IAV infection prior to an RSV infection was associated with similar morbidity and mortality as compared with an IAV infection alone. Our results suggest that the order in which viral infections are acquired plays a critical role in the outcome of disease severity and the host immune response.</t>
  </si>
  <si>
    <t xml:space="preserve">[Hartwig, Stacey M.; Varga, Steven M.] Univ Iowa, Dept Microbiol &amp; Immunol, Iowa City, IA 52242 USA; [Miller, Ann M.; Varga, Steven M.] Univ Iowa, Interdisciplinary Grad Program Immunol, Iowa City, IA 52242 USA; [Varga, Steven M.] Univ Iowa, Dept Pathol, Iowa City, IA 52242 USA</t>
  </si>
  <si>
    <t xml:space="preserve">University of Iowa; University of Iowa; University of Iowa</t>
  </si>
  <si>
    <t xml:space="preserve">Varga, SM (corresponding author), Univ Iowa, 51 Newton Rd, Iowa City, IA 52242 USA.</t>
  </si>
  <si>
    <t xml:space="preserve">steven-varga@uiowa.edu</t>
  </si>
  <si>
    <t xml:space="preserve">Varga, Steven/C-2009-2009</t>
  </si>
  <si>
    <t xml:space="preserve">Department of Microbiology at the University of Iowa; National Institute of Allergy and Infectious Diseases of the National Institutes of Health [R01AI124093]</t>
  </si>
  <si>
    <t xml:space="preserve">Department of Microbiology at the University of Iowa; National Institute of Allergy and Infectious Diseases of the National Institutes of Health(United States Department of Health &amp; Human ServicesNational Institutes of Health (NIH) - USANIH National Institute of Allergy &amp; Infectious Diseases (NIAID))</t>
  </si>
  <si>
    <t xml:space="preserve">This work was supported by funds from the Department of Microbiology at the University of Iowa (to S.M.V.) and National Institute of Allergy and Infectious Diseases of the National Institutes of Health Award R01AI124093 (to S.M.V.). The content is solely the responsibility of the authors and does not necessarily represent the official views of the National Institutes of Health. The funders had no role in study design, data collection and analysis, decision to publish, or preparation of the manuscript.</t>
  </si>
  <si>
    <t xml:space="preserve">10.4049/jimmunol.2000751</t>
  </si>
  <si>
    <t xml:space="preserve">YV1KA</t>
  </si>
  <si>
    <t xml:space="preserve">WOS:000752490500001</t>
  </si>
  <si>
    <t xml:space="preserve">Martins, RB; Rocha, LP; Prates, MM; Gagliardi, TB; Biasoli, B; Leite, MJ; Buzatto, G; Hyppolito, MA; Aragon, DC; Tamashiro, E; Valera, FCP; Arruda, E; Anselmo-Lima, WT</t>
  </si>
  <si>
    <t xml:space="preserve">Martins, Ronaldo Braganca; Rocha, Lucas Penna; Prates, Mirela Moreira; Gagliardi, Talita Bianca; Biasoli, Balduino; Leite, Marcelo Junqueira; Buzatto, Guilherme; Hyppolito, Miguel Angelo; Aragon, Davi Casale; Tamashiro, Edwin; Pereira Valera, Fabiana Cardoso; Arruda, Eurico; Anselmo-Lima, Wilma Terezinha</t>
  </si>
  <si>
    <t xml:space="preserve">Respiratory DNA viruses are undetectable in nasopharyngeal secretions from adenotonsillectomized children</t>
  </si>
  <si>
    <t xml:space="preserve">Human bocavirus; Rhinovirus; Human metapneumovirus; Asymptomatic; Enterovirus; Virology; Virus; Tonsillectomy; Respiratory system; Medicine; Viral shedding</t>
  </si>
  <si>
    <t xml:space="preserve">RHINOVIRUS INFECTION; ADENOVIRUS DNA; HUMAN TONSIL; TISSUES; QUANTITATION; LYMPHOCYTES; PREVALENCE; EPITHELIUM; SYMPTOMS</t>
  </si>
  <si>
    <t xml:space="preserve">Respiratory viruses are frequently detected in association with chronic tonsillar hypertrophy in the absence of symptoms of acute respiratory infection (ARI). The present analysis was done in follow-up to a previous clinical study done by this same group. Nasopharyngeal washes (NPWs) were obtained from 83 of 120 individuals at variable times post adenotonsillectomy, in the absence of ARI symptoms. A look back at virus detection results in NPWs from the same 83 individuals at the time of tonsillectomy revealed that 73.5% (61/83) were positive for one or more viruses. The overall frequency of respiratory virus detection in posttonsillectomy NPWs was 58.8%. Rhinovirus (RV) was the agent most frequently detected, in 38 of 83 subjects (45.8%), followed by enterovirus in 7 (8.4%), human metapneumovirus in 6 (7.2%), human respiratory syncytial virus in 3 (3.6%) and human coronavirus in 1 (1.2%). Remarkably, there was no detection of adenovirus (HAdV) or human bocavirus (HBoV) in asymptomatic individuals in follow-up of adenotonsillectomy. In keeping with persistence of respiratory DNA viruses in human tonsils, tonsillectomy significantly reduces asymptomatic shedding of HAdV and HBoV in NPWs.</t>
  </si>
  <si>
    <t xml:space="preserve">[Martins, Ronaldo Braganca; Gagliardi, Talita Bianca; Biasoli, Balduino; Arruda, Eurico] Univ Sao Paulo, Sch Med Ribeirao Preto, Dept Cell Biol, Ribeirao Preto, Brazil; [Rocha, Lucas Penna; Prates, Mirela Moreira; Leite, Marcelo Junqueira; Buzatto, Guilherme; Hyppolito, Miguel Angelo; Tamashiro, Edwin; Pereira Valera, Fabiana Cardoso; Anselmo-Lima, Wilma Terezinha] Univ Sao Paulo, Sch Med Ribeirao Preto, Ophthalmol Otorhinolaryngol &amp; Head &amp; Neck Surg, Ribeirao Preto, Brazil; [Aragon, Davi Casale] Univ Sao Paulo, Sch Med Ribeirao Preto, Dept Pediat, Ribeirao Preto, Brazil</t>
  </si>
  <si>
    <t xml:space="preserve">Universidade de Sao Paulo; Universidade de Sao Paulo; Universidade de Sao Paulo; Universidade Federal de Sao Paulo (UNIFESP)</t>
  </si>
  <si>
    <t xml:space="preserve">Martins, RB (corresponding author), Univ Sao Paulo, Sch Med Ribeirao Preto, Dept Cell Biol, Ribeirao Preto, Brazil.</t>
  </si>
  <si>
    <t xml:space="preserve">Gagliardi, Talita/V-1342-2019; Valera, Fabiana Cardoso Pereira/D-3787-2012; Martins, Ronaldo/U-1118-2017; Casale Aragon, Davi/R-6604-2016; Hyppolito, Miguel/H-5299-2012; Gagliardi, Talita/A-5396-2010; Tamashiro, Edwin/C-5062-2012</t>
  </si>
  <si>
    <t xml:space="preserve">Valera, Fabiana Cardoso Pereira/0000-0002-6605-5317; Martins, Ronaldo/0000-0002-8902-5962; Casale Aragon, Davi/0000-0003-1019-3654; Hyppolito, Miguel/0000-0001-9688-782X; Gagliardi, Talita/0000-0003-4953-7135; Tamashiro, Edwin/0000-0002-3153-6292</t>
  </si>
  <si>
    <t xml:space="preserve">FAPESP-Sao Paulo Research Foundation [2013/16349-2]</t>
  </si>
  <si>
    <t xml:space="preserve">FAPESP-Sao Paulo Research Foundation(Fundacao de Amparo a Pesquisa do Estado de Sao Paulo (FAPESP))</t>
  </si>
  <si>
    <t xml:space="preserve">This study was supported by FAPESP-Sao Paulo Research Foundation (Grant No.2013/16349-2).</t>
  </si>
  <si>
    <t xml:space="preserve">MAR 17</t>
  </si>
  <si>
    <t xml:space="preserve">10.1371/journal.pone.0174188</t>
  </si>
  <si>
    <t xml:space="preserve">EO5CJ</t>
  </si>
  <si>
    <t xml:space="preserve">WOS:000396710300025</t>
  </si>
  <si>
    <t xml:space="preserve">Braun, MR; Noton, SL; Blanchard, EL; Shareef, A; Santangelo, PJ; Johnson, WE; Fearns, R</t>
  </si>
  <si>
    <t xml:space="preserve">Braun, Molly R.; Noton, Sarah L.; Blanchard, Emmeline L.; Shareef, Afzaal; Santangelo, Philip J.; Johnson, W. Evan; Fearns, Rachel</t>
  </si>
  <si>
    <t xml:space="preserve">Respiratory syncytial virus M2-1 protein associates non-specifically with viral messenger RNA and with specific cellular messenger RNA transcripts</t>
  </si>
  <si>
    <t xml:space="preserve">Biology; RNA; Messenger RNA; Transcription (linguistics)</t>
  </si>
  <si>
    <t xml:space="preserve">EBOLA-VIRUS; HUMAN METAPNEUMOVIRUS; MARBURG-VIRUS; ANTITERMINATOR M2-1; CRYSTAL-STRUCTURE; ELONGATION-FACTOR; INCLUSION-BODIES; PHOSPHOPROTEIN-P; TRAILER REGION; YOUNG-CHILDREN</t>
  </si>
  <si>
    <t xml:space="preserve">Respiratory syncytial virus (RSV) is a major cause of respiratory disease in infants and the elderly. RSV is a non-segmented negative strand RNA virus. The viral M2-1 protein plays a key role in viral transcription, serving as an elongation factor to enable synthesis of full-length mRNAs. M2-1 contains an unusual CCCH zinc-finger motif that is conserved in the related human metapneumovirus M2-1 protein and filovirus VP30 proteins. Previous biochemical studies have suggested that RSV M2-1 might bind to specific virus RNA sequences, such as the transcription gene end signals or poly A tails, but there was no clear consensus on what RSV sequences it binds. To determine if M2-1 binds to specific RSV RNA sequences during infection, we mapped points of M2-1:RNA interactions in RSV-infected cells at 8 and 18 hours post infection using crosslinking immunoprecipitation with RNA sequencing (CLIP-Seq). This analysis revealed that M2-1 interacts specifically with positive sense RSV RNA, but not negative sense genome RNA. It also showed that M2-1 makes contacts along the length of each viral mRNA, indicating that M2-1 functions as a component of the transcriptase complex, transiently associating with nascent mRNA being extruded from the polymerase. In addition, we found that M2-1 binds specific cellular mRNAs. In contrast to the situation with RSV mRNA, M2-1 binds discrete sites within cellular mRNAs, with a preference for A/U rich sequences. These results suggest that in addition to its previously described role in transcription elongation, M2-1 might have an additional role involving cellular RNA interactions. Author summary RSV is a significant cause of respiratory disease in infants and the elderly population. As yet there are no vaccines or effective antiviral treatments to control the virus. An understanding of the viral machinery that generates viral RNA could help identify suitable targets for antiviral inhibitors. Our goal in this study was to elucidate how a key protein in RSV mRNA transcription, M2-1, functions by determining if it binds to specific RSV RNA sequences. Our findings show that while M2-1 binds RSV mRNAs, it makes contacts along the entire length of each mRNA, indicating that it is part of the RNA generating machinery. Surprisingly, we also found that M2-1 binds to specific cellular mRNAs. This finding suggests that M2-1 might have another role in infection, besides its role in RSV mRNA transcription.</t>
  </si>
  <si>
    <t xml:space="preserve">[Braun, Molly R.; Noton, Sarah L.; Shareef, Afzaal; Fearns, Rachel] Boston Univ, Sch Med, Dept Microbiol, Boston, MA 02118 USA; [Braun, Molly R.; Noton, Sarah L.; Shareef, Afzaal; Fearns, Rachel] Boston Univ, Natl Emerging Infect Dis Labs, Boston, MA 02215 USA; [Blanchard, Emmeline L.; Santangelo, Philip J.] Georgia Inst Technol, Wallace H Coulter Dept Biomed Engn, Atlanta, GA 30332 USA; [Blanchard, Emmeline L.; Santangelo, Philip J.] Emory Univ, Atlanta, GA 30322 USA; [Johnson, W. Evan] Boston Univ, Div Computat Biomed, Boston, MA 02215 USA; [Johnson, W. Evan] Boston Univ, Bioinformat Program, Boston, MA 02215 USA; [Johnson, W. Evan] Boston Univ, Dept Biostat, Boston, MA 02215 USA</t>
  </si>
  <si>
    <t xml:space="preserve">Boston University; Boston University; University System of Georgia; Georgia Institute of Technology; Emory University; Boston University; Boston University; Boston University</t>
  </si>
  <si>
    <t xml:space="preserve">Fearns, R (corresponding author), Boston Univ, Sch Med, Dept Microbiol, Boston, MA 02118 USA.;Fearns, R (corresponding author), Boston Univ, Natl Emerging Infect Dis Labs, Boston, MA 02215 USA.</t>
  </si>
  <si>
    <t xml:space="preserve">Fearns, Rachel/0000-0003-0783-7498; Johnson, W. Evan/0000-0002-6247-6595; Braun, Molly/0000-0002-7730-565X; Shareef, Afzaal/0000-0002-5621-8151</t>
  </si>
  <si>
    <t xml:space="preserve">National Institute of Allergy and Infectious Diseases of the National Institutes of Health [R01AI113321]; NSF GFRP [DGE-1650044]</t>
  </si>
  <si>
    <t xml:space="preserve">National Institute of Allergy and Infectious Diseases of the National Institutes of Health(United States Department of Health &amp; Human ServicesNational Institutes of Health (NIH) - USANIH National Institute of Allergy &amp; Infectious Diseases (NIAID)); NSF GFRP</t>
  </si>
  <si>
    <t xml:space="preserve">This work was supported by the National Institute of Allergy and Infectious Diseases of the National Institutes of Health in a grant to RF under award number R01AI113321 (https://www.niaid.nih.gov).EB was also funded by NSF GFRP under award number DGE-1650044 (https://www.nsfgrfp.org).The funders had no role in study design, data collection and analysis, decision to publish, or preparation of the manuscript.</t>
  </si>
  <si>
    <t xml:space="preserve">e1009589</t>
  </si>
  <si>
    <t xml:space="preserve">10.1371/journal.ppat.1009589</t>
  </si>
  <si>
    <t xml:space="preserve">SW7UI</t>
  </si>
  <si>
    <t xml:space="preserve">WOS:000664719400002</t>
  </si>
  <si>
    <t xml:space="preserve">Li, J; Song, CL; Wang, T; Ye, YL; Du, JR; Li, SH; Zhu, JM</t>
  </si>
  <si>
    <t xml:space="preserve">Li, Jian; Song, Can-Lei; Wang, Tang; Ye, Yu-Long; Du, Jian-Ru; Li, Shu-Hua; Zhu, Jian-Min</t>
  </si>
  <si>
    <t xml:space="preserve">Etiological and epidemiological characteristics of severe acute respiratory infection caused by multiple viruses and Mycoplasma pneumoniae in adult patients in Jinshan, Shanghai: A pilot hospital-based surveillance study</t>
  </si>
  <si>
    <t xml:space="preserve">Medicine; Mycoplasma pneumoniae; Rhinovirus; Epidemiology; Etiology; Internal medicine; Sputum</t>
  </si>
  <si>
    <t xml:space="preserve">INFLUENZA-LIKE ILLNESS; RHINOVIRUS OUTBREAK; CHINA; DISEASE; BURDEN</t>
  </si>
  <si>
    <t xml:space="preserve">Background Severe acute respiratory infection (SARI) results in a tremendous disease burden worldwide. Available research on active surveillance among hospitalized adult patients suffering from SARI in China is limited. This pilot study aimed to identify associated etiologies and describe the demographic, epidemiological and clinical profiles of hospitalized SARI patients aged over 16 years in Jinshan, Shanghai. Methods Active surveillance was conducted at 1 sentinel hospital in Jinshan district, Shanghai, from April 2017 to March 2018. Hospitalized SARI patients aged over 16 years old were enrolled, and nasopharyngeal swabs were collected within 24 hours of admission and tested for multiple respiratory viruses (including 18 common viruses) and Mycoplasma pneumoniae with real-time polymerase chain reaction. Demographic, epidemiological and clinical information was obtained from case report forms. Results In total, 397 SARI patients were enrolled; the median age was 68 years, and 194 (48.9%) patients were male. A total of 278 (70.0%) patients had at least one underlying chronic medical condition. The most frequent symptoms were cough (99.2%) and sputum production (88.4%). The median duration of hospitalization was 10 days. A total of 250 infection patients (63.0%) were positive for at least one pathogen, of whom 198 (49.9%) were positive for a single pathogen and 52 (13.1%) were positive for multiple pathogens. The pathogens identified most frequently were M. pneumoniae (23.9%, 95/397), followed by adenovirus (AdV) (11.6%, 46/397), influenza virus A/H3N2 (Flu A/H3N2) (11.1%, 44/397), human rhinovirus (HRhV) (8.1%, 32/397), influenza virus B/Yamagata (Flu B/Yamagata) (6.3%, 25/397), pandemic influenza virus A/H1N1 (Flu A/pH1N1) (4.0%, 16/397), parainfluenza virus (PIV) type 1 (2.0%, 8/397), human coronavirus (HCoV) type NL63 (2.0%, 8/397), HCoV 229E (1.5%, 6/397), HCoV HKU1 (1.5%, 6/397), PIV 3 (1.5%, 6/397), human metapneumovirus (HMPV) (1.5%, 6/397), PIV 4 (1.3%, 5/397), HCoV OC43 (1.0%, 4/397), influenza virus B/Victoria (Flu B/Victoria) (0.5%, 2/397), respiratory syncytial virus (RSV) type B (0.5%, 2/397), and human bocavirus (HBoV) (0.3%, 1/397). The seasonality of pathogen-confirmed SARI patients had a bimodal distribution, with the first peak in the summer and the second peak in the winter. Statistically significant differences were observed with respect to the rates of dyspnea, radiographically diagnosed pneumonia and the presence of at least one comorbidity in patients who were infected with only M. pneumoniae, AdV, HRhV, Flu A/H3N2, Flu A /pH1N1 or Flu B/Yamagata. The differences in the positivity rates of the above 6 pathogens among the different age groups were nonsignificant. Conclusions M. pneumoniae, AdV and Flu A/H3N2 were the main pathogens detected in hospitalized SARI patients aged over 16 years old in Jinshan district, Shanghai. Our findings highlight the importance of sustained multipathogen surveillance among SARI patients in sentinel hospitals, which can provide useful information on SARI etiologies, epidemiology, and clinical characteristics.</t>
  </si>
  <si>
    <t xml:space="preserve">[Li, Jian] Shanghai Jiao Tong Univ, Ruijin Hosp, Clin Res Ctr, Sch Med, Shanghai, Peoples R China; [Song, Can-Lei; Wang, Tang; Li, Shu-Hua; Zhu, Jian-Min] Jinshan Dist Ctr Dis Control &amp; Prevent, Dept Acute Infect Dis Control, Shanghai, Peoples R China; [Ye, Yu-Long; Du, Jian-Ru] Jinshan Dist Ctr Dis Control &amp; Prevent, Dept Microbiol, Shanghai, Peoples R China</t>
  </si>
  <si>
    <t xml:space="preserve">Shanghai Jiao Tong University; Shanghai Center for Disease Control &amp; Prevention; Shanghai Center for Disease Control &amp; Prevention</t>
  </si>
  <si>
    <t xml:space="preserve">Li, J (corresponding author), Shanghai Jiao Tong Univ, Ruijin Hosp, Clin Res Ctr, Sch Med, Shanghai, Peoples R China.;Zhu, JM (corresponding author), Jinshan Dist Ctr Dis Control &amp; Prevent, Dept Acute Infect Dis Control, Shanghai, Peoples R China.</t>
  </si>
  <si>
    <t xml:space="preserve">nclijian@163.com; zhujm12@163.com</t>
  </si>
  <si>
    <t xml:space="preserve">Research Project of Shanghai Municipal Health Commission [201940428]; Infectious Disease and Epidemiology Project of the 6th Jinshan District Medical Key Specialty Construction [JSZK2019B05]</t>
  </si>
  <si>
    <t xml:space="preserve">Research Project of Shanghai Municipal Health Commission; Infectious Disease and Epidemiology Project of the 6th Jinshan District Medical Key Specialty Construction</t>
  </si>
  <si>
    <t xml:space="preserve">This work was supported by the Research Project of Shanghai Municipal Health Commission (201940428) for Can-Lei Song and the Infectious Disease and Epidemiology Project of the 6th Jinshan District Medical Key Specialty Construction (JSZK2019B05) for Shu-Hua Li. The funder had no role in study design, data collection and analysis, decision to publish or preparation of manuscript.</t>
  </si>
  <si>
    <t xml:space="preserve">e0248750</t>
  </si>
  <si>
    <t xml:space="preserve">10.1371/journal.pone.0248750</t>
  </si>
  <si>
    <t xml:space="preserve">RB2TH</t>
  </si>
  <si>
    <t xml:space="preserve">WOS:000631967100009</t>
  </si>
  <si>
    <t xml:space="preserve">Siddik, A; Tanvir, NA; Bhuyan, GS; Alam, MS; Islam, Z; Bulbul, MRH; Moniruzzaman, M; Halder, CE; Rahman, T; Endtz, H; Ahmed, S; Qadri, F; Picot, VS</t>
  </si>
  <si>
    <t xml:space="preserve">Siddik, Abu Bakar; Tanvir, Nabid Anjum; Bhuyan, Golam Sarower; Alam, Md. Shahariar; Islam, Zahirul; Bulbul, Md. Rakibul Hassan; Moniruzzaman, Md.; Halder, Charls Erik; Rahman, Tayabur; Endtz, Hubert; Ahmed, Shakeel; Qadri, Firdausi; Picot, Valentina Sanchez</t>
  </si>
  <si>
    <t xml:space="preserve">Bacterial and viral etiology of acute respiratory infection among the Forcibly Displaced Myanmar Nationals (FDMNs) in fragile settings in Cox's Bazar- a prospective case-control study</t>
  </si>
  <si>
    <t xml:space="preserve">PLOS NEGLECTED TROPICAL DISEASES</t>
  </si>
  <si>
    <t xml:space="preserve">COMMUNITY-ACQUIRED PNEUMONIA; POLYMERASE-CHAIN-REACTION; STREPTOCOCCUS-PNEUMONIAE; TRACT INFECTION; SYNCYTIAL VIRUS; HOSPITALIZED CHILDREN; CONJUGATE VACCINE; MULTIPLEX PCR; DIAGNOSIS; LOAD</t>
  </si>
  <si>
    <t xml:space="preserve">The leading infectious cause of death in children worldwide is lower acute respiratory infection (LARI), particularly pneumonia. We enrolled a total of 538 acute respiratory infection (ARI) cases according to WHO criteria and age-sex matched 514 controls in the Forcibly Displaced Myanmar National (FDMN) refugee camps in Cox's Bazar, Bangladesh, between June 2018 and March 2020 to investigate the role of bacteria, viruses, and their co-infection patterns and observe Streptococcus pneumoniae (S. pneumoniae) serotype distribution. According to the etiological findings, children &lt;= 5 years of age have a higher bacterial positivity (90%) and viral positivity (34%) in nasopharyngeal samples (NPS) compared to those &gt;5 years of age, in both ARI cases as well as for the control group. Among the bacteria, S. pneumoniae was predominant in both cases and controls (85% and 88%). Adenovirus (ADV)(34), influenza virus A and B (IFV-A, B)(32,23), and respiratory syncytial virus (RSV)(26) were detected as the highest number among the viruses tested for the ARI cases. The total number of viruses was also found higher in &lt;= 5 years of age group. Within this group, positive correlation was observed between bacteria and viruses but negative correlation was observed between bacteria. Both single and co-infection for viruses were found higher in the case group than the control group. However, co-infection was significantly high for Streptococcus aureus (S. aureus) and Haemophilus influenzae b (H. influenza b) (p&lt;0.05). Additionally, semi-quantitative bacterial and viral load was found higher for the ARI cases over control considering Cycle threshold (Ct)&lt;= 30. Pathogen identification from blood specimens was higher by qRT-PCR than blood culture (16% vs 5%, p&lt;0.05). In the S. pneumoniae serotype distribution, the predominant serotypes in ARI cases were 23F, 19A, 16F, 35B, 15A, 20 and 10F, while 11A, 10A, 34, 35A and 13 serotypes were predominant in the control group. Pathogen correlation analysis showed RSV positively correlated with human metapneumovirus (HMPV), S. aureus and H. influenza b while S. pneumoniae was negatively correlated with other pathogens in &lt;= 5 years age group of ARI cases. However, in &gt;5 years age group, S. aureus and H. influenza b were positively correlated with IFVs, and S. pneumoniae was positively correlated with HMPV and ADV. Logistic regression data for viruses suggested among the respondents in cases were about 4 times more likely to be RSV positive than the control. Serotype distribution showed 30% for PCV10 serotypes, 41% for PCV13 and 59% for other serotypes. Also, among the 40 serotypes of S. pneumoniae tested, the serotypes 22F, Sg24, 9V, 38, 8, and 1 showed strong positive correlation with viruses in the case group whereas in the control group, it was predominant for serotypes 14, 38, 17F and 39 ARI cases were prevalent mostly in monsoon, post-monsoon, and winter periods, and peaked in September and October. Overall these region-specific etiological data and findings, particularly for crisis settings representing the FDMNs in Cox's Bazar, Bangladesh, is crucial for disease management and disease prevention control as well as immunization strategies more generally in humanitarian crisis settings. Author summaryAcute respiratory infections (ARIs) are one of the most common communicable diseases in crisis settings, causing significant morbidity and mortality. Non-comparable as well as little aetiological data from refugee camps and surveillance, make it difficult to compare the prevalence of ARI disease between crisis and non-crisis contexts. In the world's largest refugee settlement situated in Cox's Bazar, Bangladesh, very little is known about the etiology of ARIs. To our best knowledge, this is the first case-control prospective study to evaluate the level of involvement of each etiological agent in the onset of LARI etiology, and the association between respiratory viral infections and invasive pneumococcal infections, S. pneumoniae serotype distribution, antimicrobial resistance pattern both in case and control group. Our study showed that &lt;= 5 years age group was the most vulnerable, having the highest number of bacteria as well as viruses both in the case and control group. S. pneumoniae was the predominant bacteria, whereas, among the viruses ADV, IFVs, and RSV were predominant. Semi-quantitative bacterial as well as viral load was found higher in the case group. Positive correlation between viruses and other pathogens was higher in cases of RSV than in the control group. However, single as well as co-infection between viruses were significantly high among the ARI case while for bacteria it was comparable between the case and control group. ARI case enrollment peaked in September and October in the FDMN camps in Bangladesh.</t>
  </si>
  <si>
    <t xml:space="preserve">[Siddik, Abu Bakar; Bhuyan, Golam Sarower; Alam, Md. Shahariar; Islam, Zahirul; Bulbul, Md. Rakibul Hassan; Moniruzzaman, Md.; Qadri, Firdausi] Inst developing Sci &amp; Hlth initiat, Dhaka, Bangladesh; [Tanvir, Nabid Anjum; Qadri, Firdausi] Int Ctr Diarrhoeal Dis Res, Dhaka, Bangladesh; [Halder, Charls Erik] Int Org Migrat IOM, Coxs Bazar, Bangladesh; [Rahman, Tayabur] Off Refugee Relief &amp; Repatriat Commissioner, Refugee Hlth Unit, Coxs Bazar, Bangladesh; [Endtz, Hubert] Erasmus MC, Dept Med Microbiol &amp; Infect Dis, Rotterdam, Netherlands; [Ahmed, Shakeel] Bangladesh Inst Trop &amp; Infect Dis, Chittagong, Bangladesh; [Picot, Valentina Sanchez] Merieux Fdn, Acute Resp Infect Res &amp; Intervent, Lyon, France</t>
  </si>
  <si>
    <t xml:space="preserve">International Centre for Diarrhoeal Disease Research (ICDDR); Erasmus University Rotterdam; Erasmus MC</t>
  </si>
  <si>
    <t xml:space="preserve">Siddik, A (corresponding author), Inst developing Sci &amp; Hlth initiat, Dhaka, Bangladesh.</t>
  </si>
  <si>
    <t xml:space="preserve">absiddik.bmb@gmail.com</t>
  </si>
  <si>
    <t xml:space="preserve">Bulbul, Md Rakibul Hassan/HHS-6015-2022; Halder, Charls/LLM-6337-2024; Islam, Zahirul/JYO-8262-2024; Qadri, Firdausi/AAF-4583-2019; Moniruzzaman, Md/GPC-6967-2022</t>
  </si>
  <si>
    <t xml:space="preserve">Halder, Charls Erik/0000-0003-4862-7745; Bulbul, Md Rakibul Hassan/0000-0001-6655-3087; Siddik, Abu Bakar/0000-0002-5027-4902; Islam, Zahirul/0000-0002-0016-5214; Ahmed, Shakeel/0000-0002-3405-2146</t>
  </si>
  <si>
    <t xml:space="preserve">Fondation Merieux via collaborative; Institute for Developing Science and Health Initiatives (ideSHi)</t>
  </si>
  <si>
    <t xml:space="preserve">This study was supported by Fondation Merieux via collaborative contract with the Institute for Developing Science and Health Initiatives (ideSHi). The funders had no role in study design, data collection and analysis, decision to publish, or preparation of the manuscript.</t>
  </si>
  <si>
    <t xml:space="preserve">1935-2735</t>
  </si>
  <si>
    <t xml:space="preserve">PLOS NEGLECT TROP D</t>
  </si>
  <si>
    <t xml:space="preserve">Plos Neglect. Trop. Dis.</t>
  </si>
  <si>
    <t xml:space="preserve">e0011189</t>
  </si>
  <si>
    <t xml:space="preserve">10.1371/journal.pntd.0011189</t>
  </si>
  <si>
    <t xml:space="preserve">D6AL1</t>
  </si>
  <si>
    <t xml:space="preserve">WOS:000969537400001</t>
  </si>
  <si>
    <t xml:space="preserve">Garcia, J; Espejo, V; Nelson, M; Sovero, M; Villaran, MV; Gomez, J; Barrantes, M; Sanchez, F; Comach, G; Arango, AE; Aguayo, N; de Rivera, IL; Chicaiza, W; Jimenez, M; Aleman, W; Rodriguez, F; Gonzales, MS; Kochel, TJ; Halsey, ES</t>
  </si>
  <si>
    <t xml:space="preserve">Garcia, Josefina; Espejo, Victoria; Nelson, Martha; Sovero, Merly; Villaran, Manuel V.; Gomez, Jorge; Barrantes, Melvin; Sanchez, Felix; Comach, Guillermo; Arango, Ana E.; Aguayo, Nicolas; de Rivera, Ivette L.; Chicaiza, Wilson; Jimenez, Mirna; Aleman, Washington; Rodriguez, Francisco; Gonzales, Marina S.; Kochel, Tadeusz J.; Halsey, Eric S.</t>
  </si>
  <si>
    <t xml:space="preserve">Human rhinoviruses and enteroviruses in influenza-like illness in Latin America</t>
  </si>
  <si>
    <t xml:space="preserve">Biology; Virology; Latin Americans; Genotype</t>
  </si>
  <si>
    <t xml:space="preserve">ACUTE RESPIRATORY ILLNESS; HUMAN METAPNEUMOVIRUS; CLINICAL-FEATURES; YOUNG-CHILDREN; SPECIES C; HRV-C; INFECTIONS; RECOMBINATION; SURVEILLANCE; DIVERSITY</t>
  </si>
  <si>
    <t xml:space="preserve">Background: Human rhinoviruses (HRVs) belong to the Picornaviridae family with high similarity to human enteroviruses (HEVs). Limited data is available from Latin America regarding the clinical presentation and strains of these viruses in respiratory disease. Methods: We collected nasopharyngeal swabs at clinics located in eight Latin American countries from 3,375 subjects aged 25 years or younger who presented with influenza-like illness. Results: Our subjects had a median age of 3 years and a 1.2:1.0 male: female ratio. HRV was identified in 16% and HEV was identified in 3%. HRVs accounted for a higher frequency of isolates in those of younger age, in particular children &lt; 1 years old. HRV-C accounted for 38% of all HRVs detected. Phylogenetic analysis revealed a high proportion of recombinant strains between HRV-A/HRV-C and between HEV-A/HEV-B. In addition, both EV-D68 and EV-A71 were identified. Conclusions: In Latin America as in other regions, HRVs and HEVs account for a substantial proportion of respiratory viruses identified in young people with ILI, a finding that provides additional support for the development of pharmaceuticals and vaccines targeting these pathogens.</t>
  </si>
  <si>
    <t xml:space="preserve">[Garcia, Josefina; Espejo, Victoria; Sovero, Merly; Villaran, Manuel V.; Halsey, Eric S.] US Naval Med Res Unit 6, Lima, Peru; [Garcia, Josefina; Nelson, Martha] NIH, Fogarty Int Ctr, Bethesda, MD 20892 USA; [Gomez, Jorge] Minist Salud, Direcc Gen Epidemiol, Lima, Peru; [Barrantes, Melvin] Hosp Solano, Buenos Aires, DF, Argentina; [Sanchez, Felix] Hosp Infantil Manuel de Jesus Rivera, Managua, Nicaragua; [Comach, Guillermo] LARDIDEV Biomed UC, Maracay, Venezuela; [Arango, Ana E.] Univ Antioquia, Medellin, Colombia; [Aguayo, Nicolas] ONG Rayos de Sol, Asuncion, Paraguay; [de Rivera, Ivette L.] Univ Nacl Autonoma Honduras, Tegucigalpa, Honduras; [Chicaiza, Wilson] Hosp Vozandes &amp; Univ Amer, Quito, Ecuador; [Jimenez, Mirna] Hosp Nacl Metapan, Metapan, El Salvador; [Aleman, Washington] Clin Alcivar &amp; Hosp Vernaza, Guayaquil, Ecuador; [Rodriguez, Francisco] Hosp Dept Humberto Alvarado de Masaya, Managua, Nicaragua; [Gonzales, Marina S.] Secretaria Secc Salud Meta, Dept Lab, Villavicencio, Colombia; [Kochel, Tadeusz J.] US Naval Med Res Ctr, Silver Spring, MD USA</t>
  </si>
  <si>
    <t xml:space="preserve">Naval Medical Research Center (NMRC); Naval Medical Research Unit No. 6 (NAMRU-6); National Institutes of Health (NIH) - USA; NIH Fogarty International Center (FIC); Universidad de Antioquia; Universidad Nacional Autonoma de Honduras; Naval Medical Research Center (NMRC)</t>
  </si>
  <si>
    <t xml:space="preserve">Garcia, J (corresponding author), US Naval Med Res Unit 6, Lima, Peru.</t>
  </si>
  <si>
    <t xml:space="preserve">jgarcian66@yahoo.com</t>
  </si>
  <si>
    <t xml:space="preserve">Rodriguez, Francisco/A-5934-2019; Halsey, Eric/AAC-8110-2022; Gomez, Jorge/E-5258-2012</t>
  </si>
  <si>
    <t xml:space="preserve">Lorenzana, Ivette/0000-0002-8128-8602; Chicaiza-Ayala, Wilson/0000-0001-8639-698X; , Merly Sovero/0000-0002-4373-0295; Sanchez, Jose Felix/0000-0002-5482-9258; Gomez, Jorge/0000-0003-1342-3507; Halsey, Eric/0000-0001-6291-8923</t>
  </si>
  <si>
    <t xml:space="preserve">United States Department of Defense Global Emerging Infections Systems Research Program</t>
  </si>
  <si>
    <t xml:space="preserve">10.1186/1743-422X-10-305</t>
  </si>
  <si>
    <t xml:space="preserve">264KE</t>
  </si>
  <si>
    <t xml:space="preserve">WOS:000327875000001</t>
  </si>
  <si>
    <t xml:space="preserve">Hoffmann, J; Rabezanahary, H; Randriamarotia, M; Ratsimbasoa, A; Najjar, J; Vernet, G; Contamin, B; Paranhos-Baccalà, G</t>
  </si>
  <si>
    <t xml:space="preserve">Hoffmann, Jonathan; Rabezanahary, Henintsoa; Randriamarotia, Martin; Ratsimbasoa, Arsene; Najjar, Josette; Vernet, Guy; Contamin, Benedicte; Paranhos-Baccala, Glaucia</t>
  </si>
  <si>
    <t xml:space="preserve">Viral and Atypical Bacterial Etiology of Acute Respiratory Infections in Children under 5 Years Old Living in a Rural Tropical Area of Madagascar</t>
  </si>
  <si>
    <t xml:space="preserve">Rhinovirus; Respiratory tract infections; Human metapneumovirus; Etiology; Pneumonia; Medicine; Respiratory system</t>
  </si>
  <si>
    <t xml:space="preserve">COMMUNITY-ACQUIRED PNEUMONIA; RHINOVIRUS GENOTYPE; PATHOGENS; VIRUSES; PCR</t>
  </si>
  <si>
    <t xml:space="preserve">Background: In Madagascar, very little is known about the etiology and prevalence of acute respiratory infections (ARIs) in a rural tropical area. Recent data are needed to determine the viral and atypical bacterial etiologies in children with defined clinical manifestations of ARIs. Methods: During one year, we conducted a prospective study on ARIs in children between 2 to 59 months in the community hospital of Ampasimanjeva, located in the south-east of Madagascar. Respiratory samples were analyzed by multiplex real-time RT-PCR, including 18 viruses and 2 atypical bacteria. The various episodes of ARI were grouped into four clinical manifestations with well-documented diagnosis: Community Acquired Pneumonia(CAP, group I), Other acute lower respiratory infections (Other ALRIs, group II), Upper respiratory tract infections with cough (URTIs with cough, group III) and Upper respiratory tract infections without cough (URTIs without cough, group IV). Results: 295 children were included in the study between February 2010 and February 2011. Viruses and/or atypical bacteria respiratory pathogens were detected in 74.6% of samples, the rate of co-infection was 27.3%. Human rhinovirus (HRV; 20.5%), metapneumovirus (HMPV A/B, 13.8%), coronaviruses (HCoV, 12.5%), parainfluenza virus (HPIV, 11.8%) and respiratory syncytial virus A and B (RSV A/B, 11.8%) were the most detected. HRV was predominantly single detected (23.8%) in all the clinical groups while HMPV A/B (23.9%) was mainly related to CAP (group I), HPIV (17.3%) to the Other ALRIs (group II), RSV A/B (19.5%) predominated in the group URTIs with cough (group III) and Adenovirus (HAdV, 17.8%) was mainly detected in the without cough (group IV). Interpretation: This study describes for the first time the etiology of respiratory infections in febrile children under 5 years in a malaria rural area of Madagascar and highlights the role of respiratory viruses in a well clinically defined population of ARIs.</t>
  </si>
  <si>
    <t xml:space="preserve">[Hoffmann, Jonathan; Rabezanahary, Henintsoa; Contamin, Benedicte] CICM, Fac Med, Antananarivo, Madagascar; [Hoffmann, Jonathan; Ratsimbasoa, Arsene; Contamin, Benedicte] Fdn Merieux, Antananarivo, Madagascar; [Randriamarotia, Martin] FMA, Ampasimanjeva, Madagascar; [Ratsimbasoa, Arsene] Minist Sante Publ, Antanananarivo, Madagascar; [Najjar, Josette; Vernet, Guy; Paranhos-Baccala, Glaucia] SFR BioSci Gerland Lyon Sud, UMS3444, US8, Emerging Pathogens Lab,Fdn Merieux, Lyon, France</t>
  </si>
  <si>
    <t xml:space="preserve">Centre National de la Recherche Scientifique (CNRS); CNRS - National Institute for Biology (INSB)</t>
  </si>
  <si>
    <t xml:space="preserve">Hoffmann, J (corresponding author), CICM, Fac Med, Antananarivo, Madagascar.</t>
  </si>
  <si>
    <t xml:space="preserve">Ratsimbasoa, Arsene/AAE-9306-2020</t>
  </si>
  <si>
    <t xml:space="preserve">vernet, guy/0000-0002-5120-1297; HOFFMANN, JONATHAN/0000-0002-2400-8862</t>
  </si>
  <si>
    <t xml:space="preserve">Fondation Merieux; NGO Reggio Terzo Mundo through European Union; Government of Monaco's cooperation</t>
  </si>
  <si>
    <t xml:space="preserve">This project was jointly funded by Fondation Merieux, the NGO Reggio Terzo Mundo (through funding from the European Union) and Government of Monaco's cooperation. The funders had no role in study design, data collection and analysis, decision to publish, or preparation of the manuscript.</t>
  </si>
  <si>
    <t xml:space="preserve">e43666</t>
  </si>
  <si>
    <t xml:space="preserve">10.1371/journal.pone.0043666</t>
  </si>
  <si>
    <t xml:space="preserve">996DG</t>
  </si>
  <si>
    <t xml:space="preserve">WOS:000308063700125</t>
  </si>
  <si>
    <t xml:space="preserve">Anastasiou, OE; Theodoropoulos, F; Taube, C; Fiedler, M; Dittmer, U</t>
  </si>
  <si>
    <t xml:space="preserve">Anastasiou, Olympia E.; Theodoropoulos, Fotis; Taube, Christian; Fiedler, Melanie; Dittmer, Ulf</t>
  </si>
  <si>
    <t xml:space="preserve">Common respiratory viral infections: Bilateral versus unilateral bronchoalveolar lavage versus endotracheal aspiration</t>
  </si>
  <si>
    <t xml:space="preserve">Rhinovirus; Bronchoalveolar lavage; Medicine; Respiratory system; Virology; Virus; Human metapneumovirus</t>
  </si>
  <si>
    <t xml:space="preserve">VENTILATOR-ASSOCIATED PNEUMONIA; DIAGNOSIS; MANAGEMENT; EFFICACY; IMPACT</t>
  </si>
  <si>
    <t xml:space="preserve">Data about the diagnostic efficiency of bilateral bronchoalveolar lavage (BAL) samples and endotracheal aspirates (EA) testing for common viral respiratory infections are scarce. We analyzed data from 167 cases, where bilateral BAL samples were tested, and from 101 cases, where BAL samples and EA were tested. Multiplex polymerase chain reaction (PCR) was performed with the fast track diagnostics viral respiratory panel, producing data on the adenovirus, coronavirus, enterovirus, human metapneumovirus, bocavirus, influenza virus, parainfluenza virus, rhinovirus, and respiratory syncytial virus status of patients with respiratory disease symptoms. In the bilateral BAL cohort, 46 (27.5%) cases were positive for at least one of the viruses mentioned above in both samples. Discrepant results (virus not detected on one side) were seen in six (3.6%) cases. In the BAL versus EA cohort, 12 (11.9%) cases were positive in both materials, discrepant results (only one material being positive) were observed in 11 (10.9%) cases, with seven (63.6%) BAL samples, and four (36.4%) EA being positive. Bilateral sampling does not significantly improve the diagnostic efficiency of BAL for the detection of common respiratory viral pathogens via PCR. The diagnostic quality of EA and BAL samples for the detection of common viral respiratory pathogens is comparable.</t>
  </si>
  <si>
    <t xml:space="preserve">[Anastasiou, Olympia E.; Fiedler, Melanie; Dittmer, Ulf] Essen Univ Hosp, Inst Virol, D-45147 Essen, Germany; [Anastasiou, Olympia E.; Fiedler, Melanie; Dittmer, Ulf] Univ Duisburg Essen, Fac Med, D-45147 Essen, Germany; [Theodoropoulos, Fotis; Taube, Christian] Univ Duisburg Essen, Essen Univ Hosp, Dept Pulm Med, Ruhrlandklin, Duisburg, Germany</t>
  </si>
  <si>
    <t xml:space="preserve">Anastasiou, OE (corresponding author), Essen Univ Hosp, Inst Virol, D-45147 Essen, Germany.;Anastasiou, OE (corresponding author), Univ Duisburg Essen, Fac Med, D-45147 Essen, Germany.</t>
  </si>
  <si>
    <t xml:space="preserve">olympia.anastasiou@uni-due.de</t>
  </si>
  <si>
    <t xml:space="preserve">10.1002/jmv.26477</t>
  </si>
  <si>
    <t xml:space="preserve">WOS:000573460000001</t>
  </si>
  <si>
    <t xml:space="preserve">Köndgen, S; Kühl, H; N'Goran, PK; Walsh, PD; Schenk, S; Ernst, N; Biek, R; Formenty, P; Maetz-Rensing, K; Schweiger, B; Junglen, S; Ellerbrok, H; Nitsche, A; Briese, T; Lipkin, WI; Pauli, G; Boesch, C; Leendertz, FH</t>
  </si>
  <si>
    <t xml:space="preserve">Koendgen, Sophie; Kuehl, Hjalmar; N'Goran, Paul K.; Walsh, Peter D.; Schenk, Svenja; Ernst, Nancy; Biek, Roman; Formenty, Pierre; Maetz-Rensing, Kerstin; Schweiger, Brunhilde; Junglen, Sandra; Ellerbrok, Heinz; Nitsche, Andreas; Briese, Thomas; Lipkin, W. Ian; Pauli, Georg; Boesch, Christophe; Leendertz, Fabian H.</t>
  </si>
  <si>
    <t xml:space="preserve">Pandemic human viruses cause decline of endangered great apes</t>
  </si>
  <si>
    <t xml:space="preserve">CURRENT BIOLOGY</t>
  </si>
  <si>
    <t xml:space="preserve">Scopus</t>
  </si>
  <si>
    <t xml:space="preserve">RESPIRATORY SYNCYTIAL VIRUS; HUMAN METAPNEUMOVIRUS; WILD CHIMPANZEES; MOLECULAR EPIDEMIOLOGY; DISEASE TRANSMISSION; CHILDREN; CONSERVATION; INFECTIONS; INFLUENZA; PATTERNS</t>
  </si>
  <si>
    <t xml:space="preserve">Commercial hunting and habitat loss are major drivers of the rapid decline of great apes [1]. Ecotourism and research have been widely promoted as a means of providing alternative value for apes and their habitats [2]. However, close contact between humans and habituated apes during ape tourism and research has raised concerns that disease transmission risks might outweigh benefits [3-7]. To date only bacterial and parasitic infections of typically low virulence have been shown to move from humans to wild apes [8, 9]. Here, we present the first direct evidence of virus transmission from humans to wild apes. Tissue samples from habituated chimpanzees that died during three respiratory-disease outbreaks at our research site, C (o) over cap te d'lvoire, contained two common human paramyxoviruses. Viral strains sampled from chimpanzees were closely related to strains circulating in contemporaneous, worldwide human epidemics. Twenty-four years of mortality data from observed chimpanzees reveal that such respiratory outbreaks could have a long history. In contrast, survey data show that research presence has had a strong positive effect in suppressing poaching around the research site. These observations illustrate the challenge of maximizing the benefit of research and tourism to great apes while minimizing the negative side effects.</t>
  </si>
  <si>
    <t xml:space="preserve">[Koendgen, Sophie; Ernst, Nancy; Schweiger, Brunhilde; Junglen, Sandra; Pauli, Georg; Leendertz, Fabian H.] Bundesgesundheitsamt, Robert Koch Inst, D-13353 Berlin, Germany; [Koendgen, Sophie; Kuehl, Hjalmar; N'Goran, Paul K.; Walsh, Peter D.; Schenk, Svenja; Ernst, Nancy; Junglen, Sandra; Boesch, Christophe; Leendertz, Fabian H.] Max Planck Inst Evolutionary Anthropol, Dept Primat, D-04103 Leipzig, Germany; [N'Goran, Paul K.] Ctr Suisse Rech Sci, Abidjan 01, Cote Ivoire; [Schenk, Svenja] Berlin Vet Fac, Inst Immunol &amp; Mol Biol, D-10115 Berlin, Germany; [Biek, Roman] Univ Glasgow, Div Environm &amp; Evolut Biol, Glasgow G12 8QQ, Lanark, Scotland; [Formenty, Pierre] WHO, Ebola Tai Forest Project, WHO Off Abidjan, Abidjan 01, Cote Ivoire; [Maetz-Rensing, Kerstin] German Primat Ctr, D-37077 Gottingen, Germany; [Briese, Thomas; Lipkin, W. Ian] Columbia Univ, Mailman Sch Publ Hlth, Ctr Infect &amp; Immun, New York, NY 10032 USA</t>
  </si>
  <si>
    <t xml:space="preserve">Robert Koch Institute; Max Planck Society; Centre Suisse de Recherches Scientifiques en Cote d'Ivoire (CSRS); University of Glasgow; World Health Organization; Deutsches Primatenzentrum (DPZ); Columbia University</t>
  </si>
  <si>
    <t xml:space="preserve">Leendertz, FH (corresponding author), Bundesgesundheitsamt, Robert Koch Inst, Nordufer 20, D-13353 Berlin, Germany.</t>
  </si>
  <si>
    <t xml:space="preserve">Briese, Thomas/LGY-0435-2024; Lipkin, W./ABE-6216-2020; Biek, Roman/AAT-8109-2020; Leendertz, Fabian/H-8902-2019; Junglen, Sandra/I-3033-2012; Walsh, Philip/HRB-7450-2023</t>
  </si>
  <si>
    <t xml:space="preserve">Ernst, Nancy/0000-0002-3248-2425; Biek, Roman/0000-0003-3471-5357; Junglen, Sandra/0000-0002-3799-6011</t>
  </si>
  <si>
    <t xml:space="preserve">NHLBI NIH HHS [HL083850] Funding Source: Medline</t>
  </si>
  <si>
    <t xml:space="preserve">0960-9822</t>
  </si>
  <si>
    <t xml:space="preserve">1879-0445</t>
  </si>
  <si>
    <t xml:space="preserve">CURR BIOL</t>
  </si>
  <si>
    <t xml:space="preserve">Curr. Biol.</t>
  </si>
  <si>
    <t xml:space="preserve">FEB 26</t>
  </si>
  <si>
    <t xml:space="preserve">10.1016/j.cub.2008.01.012</t>
  </si>
  <si>
    <t xml:space="preserve">Biochemistry &amp; Molecular Biology; Biology; Cell Biology</t>
  </si>
  <si>
    <t xml:space="preserve">Biochemistry &amp; Molecular Biology; Life Sciences &amp; Biomedicine - Other Topics; Cell Biology</t>
  </si>
  <si>
    <t xml:space="preserve">266XF</t>
  </si>
  <si>
    <t xml:space="preserve">WOS:000253470300024</t>
  </si>
  <si>
    <t xml:space="preserve">Liu, PC; Xu, MH; He, LY; Su, LY; Wang, AM; Fu, P; Lu, LJ; Wang, CQ; Xu, J</t>
  </si>
  <si>
    <t xml:space="preserve">Liu, Pengcheng; Xu, Menghua; He, Leiyan; Su, Liyun; Wang, Aimin; Fu, Pan; Lu, Lijuan; Wang, Chuanqing; Xu, Jin</t>
  </si>
  <si>
    <t xml:space="preserve">Epidemiology of Respiratory Pathogens in Children with Lower Respiratory Tract Infections in Shanghai, China, from 2013 to 2015</t>
  </si>
  <si>
    <t xml:space="preserve">Moraxella catarrhalis; Epidemiology; Mycoplasma pneumoniae; Respiratory tract infections; Medicine; Pathogen; Human metapneumovirus</t>
  </si>
  <si>
    <t xml:space="preserve">COMMUNITY-ACQUIRED PNEUMONIA; HOSPITALIZED CHILDREN; BACTERIAL PATHOGENS; VIRUSES; SHENZHEN</t>
  </si>
  <si>
    <t xml:space="preserve">This study aimed to explore the epidemiology of pathogens in children who were hospitalized with lower respiratory tract infections (LRTIs) at the Children's Hospital of Fudan University, Shanghai, China. Children aged less than 18 years who were hospitalized with LRTIs were enrolled from January 2013 to December 2015. Respiratory specimens were collected for the detection of common respiratory viruses, atypical bacteria, and other bacteria using current laboratory diagnostic tests. The epidemiological characteristics of the respiratory pathogens were analyzed. Of the 10,123 specimens obtained from the patients, 5,966 (58.7%) were positive for at least 1 pathogen. Mycoplasma pneumoniae (M.pneumoniae) was the most commonly detected pathogen (15.7%), followed by respiratory syncytial virus (RSV) (13.9%). Co-infections were found in 11.4% of patients. Of these co infections, viral-bacterial co-infections were the most common. The detection rates for the respiratory pathogens varied considerably by age. RSV was the most common pathogen in children aged less than 24 months. Clear seasonal peaks were observed for RSV, M. pneumoniae, parainfluenza virus, human metapneumovirus, Moraxella catarrhalis, and Haemophilus influenza infections. Our findings demonstrate specific epidemiological patterns in children with LRTIs in Shanghai, China.</t>
  </si>
  <si>
    <t xml:space="preserve">[Liu, Pengcheng; Xu, Menghua; He, Leiyan; Su, Liyun; Wang, Aimin; Fu, Pan; Lu, Lijuan; Wang, Chuanqing; Xu, Jin] Fudan Univ, Childrens Hosp, Dept Clin Lab, Shanghai 201102, Peoples R China</t>
  </si>
  <si>
    <t xml:space="preserve">Xu, J (corresponding author), 399 Wanyuan Rd, Shanghai 201102, Peoples R China.</t>
  </si>
  <si>
    <t xml:space="preserve">liu, pengcheng/CAI-0997-2022; Fu, Pan/AAK-4198-2020</t>
  </si>
  <si>
    <t xml:space="preserve">Wang, Chuanqing/0000-0002-0158-9094; Liu, Pengcheng/0000-0003-0879-1970; FU, PAN/0000-0003-2587-4348</t>
  </si>
  <si>
    <t xml:space="preserve">10.7883/yoken.JJID.2017.323</t>
  </si>
  <si>
    <t xml:space="preserve">FV8TB</t>
  </si>
  <si>
    <t xml:space="preserve">WOS:000424858600007</t>
  </si>
  <si>
    <t xml:space="preserve">van der Zalm, MM; van Ewijk, BE; Wilbrink, B; Uiterwaal, CSPM; Wolfs, TFW; van der Ent, CK</t>
  </si>
  <si>
    <t xml:space="preserve">van der Zalm, Marieke M.; van Ewijk, Bart E.; Wilbrink, Berry; Uiterwaal, Cuno S. P. M.; Wolfs, Tom F. W.; van der Ent, Cornelis K.</t>
  </si>
  <si>
    <t xml:space="preserve">Respiratory Pathogens in Children with and without Respiratory Symptoms</t>
  </si>
  <si>
    <t xml:space="preserve">Asymptomatic; Rhinovirus; Medicine; Respiratory system; Respiratory tract infections; Respiratory tract</t>
  </si>
  <si>
    <t xml:space="preserve">HUMAN METAPNEUMOVIRUS; HUMAN CORONAVIRUS; SYNCYTIAL VIRUS; INFECTIONS; RHINOVIRUS; BRONCHIOLITIS; ILLNESS; INFANTS; DISEASE; RNA</t>
  </si>
  <si>
    <t xml:space="preserve">Objectives To investigate the occurrence of respiratory pathogens in samples from children with and without respiratory symptoms and to identify whether age and/or coinfections modify the impact of respiratory pathogens on symptoms. Study design in it prospective longitudinal study, 18 children were sampled biweekly for respiratory pathogens, irrespective of respiratory symptoms. Polymerase chain reaction was performed for 13 respiratory pathogens. Episodes were defined asymptomatic if no symptoms of my respiratory tract illness were present between 1 week before and 1 week after sampling. Results A total of 230 samples were collected. In 56% of the symptomatic episodes, a pathogen was detected, compared with 40% of the asymptomatic episodes (P = .03). Rhinovirus and coronaviruses were most prevalent in both symptomatic and asymptomatic episodes. In the youngest children, 9% of the pathogen-positive episodes were asymptomatic, compared with 36% in the oldest children (P = .01). Multiple pathogens were found in 17% of the symptomatic episodes and in 3% of the asymptomatic episodes (P = .02). Conclusions Respiratory pathogens are frequently detected in samples from children with no respiratory symptoms. Symptomatic cases occurred more often in younger children and with detections of more than I respiratory pathogen. (J Pediatr 2009;154:396-400)</t>
  </si>
  <si>
    <t xml:space="preserve">[van der Zalm, Marieke M.; van Ewijk, Bart E.; van der Ent, Cornelis K.] Univ Med Ctr Utrecht, Wilhelmina Childrens Hosp, Dept Pediat, Div Resp Dis, NL-3508 AB Utrecht, Netherlands; [Wolfs, Tom F. W.] Univ Med Ctr Utrecht, Wilhelmina Childrens Hosp, Dept Pediat, Div Infect Dis, NL-3508 AB Utrecht, Netherlands; [Uiterwaal, Cuno S. P. M.] Univ Med Ctr Utrecht, Julius Ctr Hlth Sci &amp; Primary Care, NL-3508 AB Utrecht, Netherlands; [Wilbrink, Berry] Natl Inst Publ Hlth &amp; Environm, Lab Infect Dis &amp; Perinatal Screening, NL-3720 BA Bilthoven, Netherlands</t>
  </si>
  <si>
    <t xml:space="preserve">Wilhelmina Kinderziekenhuis; Utrecht University; Utrecht University Medical Center; Utrecht University; Utrecht University Medical Center; Wilhelmina Kinderziekenhuis; Utrecht University; Utrecht University Medical Center; Netherlands National Institute for Public Health &amp; the Environment</t>
  </si>
  <si>
    <t xml:space="preserve">van der Zalm, MM (corresponding author), Univ Med Ctr Utrecht, Wilhelmina Childrens Hosp, Dept Pediat, Div Resp Dis, POB 85090,Off KH 01-419-0, NL-3508 AB Utrecht, Netherlands.</t>
  </si>
  <si>
    <t xml:space="preserve">M.M.vanderzalm@umcutrecht.nl</t>
  </si>
  <si>
    <t xml:space="preserve">van der Zalm, Marieke M/0000-0002-8787-9139</t>
  </si>
  <si>
    <t xml:space="preserve">University Medical Center Utrecht; The Netherlands; Wilhelmina Children's Hospital Research Fund</t>
  </si>
  <si>
    <t xml:space="preserve">University Medical Center Utrecht; The Netherlands(Netherlands Government); Wilhelmina Children's Hospital Research Fund</t>
  </si>
  <si>
    <t xml:space="preserve">Supported by a MD/PhD grant from the University Medical Center Utrecht, The Netherlands (to M,vdZ.) and a fellowship from the Wilhelmina Children's Hospital Research Fund (to B.vE.). None of the authors reports any conflict of interest.</t>
  </si>
  <si>
    <t xml:space="preserve">10.1016/j.jpeds.2008.08.036</t>
  </si>
  <si>
    <t xml:space="preserve">418RM</t>
  </si>
  <si>
    <t xml:space="preserve">WOS:000264166100020</t>
  </si>
  <si>
    <t xml:space="preserve">Lai, SH; Stein, DA; Guerrero-Plata, A; Liao, SL; Ivanciuc, T; Hong, C; Iversen, PL; Casola, A; Garofalo, RP</t>
  </si>
  <si>
    <t xml:space="preserve">Lai, Shen-Hao; Stein, David A.; Guerrero-Plata, Antonieta; Liao, Sui-Ling; Ivanciuc, Teodora; Hong, Chao; Iversen, Patrick L.; Casola, Antonella; Garofalo, Roberto P.</t>
  </si>
  <si>
    <t xml:space="preserve">Inhibition of respiratory syncytial virus infections with morpholino oligomers in cell cultures and in mice</t>
  </si>
  <si>
    <t xml:space="preserve">MOLECULAR THERAPY</t>
  </si>
  <si>
    <t xml:space="preserve">Morpholino; Virology; Virus; Biology; Titer</t>
  </si>
  <si>
    <t xml:space="preserve">POLYMERASE L-GENE; HUMAN METAPNEUMOVIRUS; RNASE-H; ANTISENSE OLIGOMERS; 2-5A ANTISENSE; REPLICATION; THERAPY; SITE; RSV; TRANSLATION</t>
  </si>
  <si>
    <t xml:space="preserve">Respiratory syncytial virus ( RSV) is a major cause of lower respiratory tract infection in infants, young children, and high-risk adults. Currently, there is no vaccine to prevent RSV infection, and the available therapeutic agents are of limited utility. Peptide-conjugated phosphorodiamidate morpholino oligomers ( PPMOs) are a class of antisense agents that can enter cells readily and interfere with viral protein expression through steric blocking of complementary RNA. Two antisense PPMOs, designed to target sequence that includes the 5'-terminal region and translation start-site region of RSV L mRNA, were tested for anti-RSV activity in cultures of two human-airway cell lines. Both PPMOs showed minimal cytotoxicity and one of them, ( AUG-2), reduced viral titers by &gt; 2.0 log(10). Intranasal ( i.n.) treatment of BALB/ c mice with AUG-2 PPMO before the RSV inoculation produced a reduction in viral titer of 1.2 log(10) in lung tissue at day 5 postinfection ( p.i.), and attenuated pulmonary inflammation at day 7 postinfection. These data show that the AUG-2 PPMO possesses potent anti-RSV activity and is worthy of further investigation as a candidate for potential therapeutic application.</t>
  </si>
  <si>
    <t xml:space="preserve">[Lai, Shen-Hao; Guerrero-Plata, Antonieta; Liao, Sui-Ling; Ivanciuc, Teodora; Hong, Chao; Casola, Antonella; Garofalo, Roberto P.] Univ Texas Med Branch, Dept Pediat, Galveston, TX 77555 USA; [Lai, Shen-Hao; Liao, Sui-Ling] Chang Gung Childrens Hosp, Taoyuan Hsien, Taiwan; [Lai, Shen-Hao; Liao, Sui-Ling] Chang Gung Univ, Tao Yuan, Taiwan; [Stein, David A.; Iversen, Patrick L.] AVI BioPharma Inc, Corvallis, OR USA; [Casola, Antonella; Garofalo, Roberto P.] Univ Texas Med Branch, Dept Microbiol &amp; Immunol, Galveston, TX 77555 USA; [Casola, Antonella; Garofalo, Roberto P.] Univ Texas Med Branch, Sealy Ctr Vaccine Dev, Galveston, TX 77555 USA</t>
  </si>
  <si>
    <t xml:space="preserve">University of Texas System; University of Texas Medical Branch Galveston; Chang Gung Memorial Hospital; Chang Gung University; Sarepta Therapeutics, Inc.; University of Texas System; University of Texas Medical Branch Galveston; University of Texas System; University of Texas Medical Branch Galveston</t>
  </si>
  <si>
    <t xml:space="preserve">Garofalo, RP (corresponding author), Univ Texas Med Branch, Dept Pediat, 301 Univ Blvd, Galveston, TX 77555 USA.</t>
  </si>
  <si>
    <t xml:space="preserve">rpgarofa@utmb.eduu</t>
  </si>
  <si>
    <t xml:space="preserve">Iversen, Patrick/L-5454-2019; Garofalo, Roberto/ABL-2322-2022; Iversen, Patrick/D-8854-2019</t>
  </si>
  <si>
    <t xml:space="preserve">Stein, David/0000-0002-5446-5167; Guerrero-Plata, Antonieta/0000-0002-0424-2563; Iversen, Patrick/0000-0003-0106-9790</t>
  </si>
  <si>
    <t xml:space="preserve">NIAID NIH HHS [P01 AI062885-040002, P01 AI062885-029001, P01 AI062885-010002, N01 AI030039, P01 AI062885-030002, P01 AI062885-039001, P01 AI062885-049001, P01 AI062885-059001, P01 AI062885-019001, P01 AI062885, N01AI30039, P01 AI062885-020002, P01 AI062885-050002] Funding Source: Medline</t>
  </si>
  <si>
    <t xml:space="preserve">1525-0016</t>
  </si>
  <si>
    <t xml:space="preserve">1525-0024</t>
  </si>
  <si>
    <t xml:space="preserve">MOL THER</t>
  </si>
  <si>
    <t xml:space="preserve">Mol. Ther.</t>
  </si>
  <si>
    <t xml:space="preserve">10.1038/mt.2008.81</t>
  </si>
  <si>
    <t xml:space="preserve">Biotechnology &amp; Applied Microbiology; Genetics &amp; Heredity; Medicine, Research &amp; Experimental</t>
  </si>
  <si>
    <t xml:space="preserve">Biotechnology &amp; Applied Microbiology; Genetics &amp; Heredity; Research &amp; Experimental Medicine</t>
  </si>
  <si>
    <t xml:space="preserve">306KR</t>
  </si>
  <si>
    <t xml:space="preserve">WOS:000256247500021</t>
  </si>
  <si>
    <t xml:space="preserve">Schanzer, DL; Garner, MJ; Hatchette, TF; Langley, JM; Aziz, S; Tam, TWS</t>
  </si>
  <si>
    <t xml:space="preserve">Schanzer, Dena L.; Garner, Michael J.; Hatchette, Todd F.; Langley, Joanne M.; Aziz, Samina; Tam, Theresa W. S.</t>
  </si>
  <si>
    <t xml:space="preserve">Estimating Sensitivity of Laboratory Testing for Influenza in Canada through Modelling</t>
  </si>
  <si>
    <t xml:space="preserve">Medicine; Poisson regression</t>
  </si>
  <si>
    <t xml:space="preserve">REVERSE TRANSCRIPTION-PCR; HUMAN METAPNEUMOVIRUS INFECTION; REAL-TIME PCR; RESPIRATORY VIRUSES; VIRAL CULTURE; DIAGNOSIS; HOSPITALIZATION; CHILDREN; DEATHS; ADULTS</t>
  </si>
  <si>
    <t xml:space="preserve">Background: The weekly proportion of laboratory tests that are positive for influenza is used in public health surveillance systems to identify periods of influenza activity. We aimed to estimate the sensitivity of influenza testing in Canada based on results of a national respiratory virus surveillance system. Methods and Findings: The weekly number of influenza-negative tests from 1999 to 2006 was modelled as a function of laboratory-confirmed positive tests for influenza, respiratory syncytial virus (RSV), adenovirus and parainfluenza viruses, seasonality, and trend using Poisson regression. Sensitivity was calculated as the number of influenza positive tests divided by the number of influenza positive tests plus the model-estimated number of false negative tests. The sensitivity of influenza testing was estimated to be 33% (95% CI 32-34%), varying from 30-40% depending on the season and region. Conclusions: The estimated sensitivity of influenza tests reported to this national laboratory surveillance system is considerably less than reported test characteristics for most laboratory tests. A number of factors may explain this difference, including sample quality and specimen procurement issues as well as test characteristics. Improved diagnosis would permit better estimation of the burden of influenza.</t>
  </si>
  <si>
    <t xml:space="preserve">Schanzer, DL (corresponding author), Publ Hlth Agcy Canada, Infect Dis &amp; Emergency Preparedness Branch, Ottawa, ON, Canada.</t>
  </si>
  <si>
    <t xml:space="preserve">Dena_Schanzer@phac-aspc.gc.ca</t>
  </si>
  <si>
    <t xml:space="preserve">; Schanzer, Dena/G-1593-2011</t>
  </si>
  <si>
    <t xml:space="preserve">Hatchette, Todd/0000-0002-5377-2528; Schanzer, Dena/0000-0001-7093-4309; Langley, Joanne/0000-0003-3270-7345</t>
  </si>
  <si>
    <t xml:space="preserve">e6681</t>
  </si>
  <si>
    <t xml:space="preserve">10.1371/journal.pone.0006681</t>
  </si>
  <si>
    <t xml:space="preserve">484VF</t>
  </si>
  <si>
    <t xml:space="preserve">WOS:000269075800016</t>
  </si>
  <si>
    <t xml:space="preserve">Phan, MVT; Agoti, CN; Munywoki, PK; Otieno, GP; Ngama, M; Kellam, P; Cotten, M; Nokes, DJ</t>
  </si>
  <si>
    <t xml:space="preserve">Phan, My V. T.; Agoti, Charles N.; Munywoki, Patrick K.; Otieno, Grieven P.; Ngama, Mwanajuma; Kellam, Paul; Cotten, Matthew; Nokes, D. James</t>
  </si>
  <si>
    <t xml:space="preserve">Identification of missed viruses by metagenomic sequencing of clinical respiratory samples from Kenya</t>
  </si>
  <si>
    <t xml:space="preserve">Rhinovirus; Human metapneumovirus; Virology; Human bocavirus; Virus; Enterovirus</t>
  </si>
  <si>
    <t xml:space="preserve">INFECTIONS; PNEUMONIA; ETIOLOGY; INFANTS</t>
  </si>
  <si>
    <t xml:space="preserve">Pneumonia remains a major cause of mortality and morbidity. Most molecular diagnoses of viruses rely on polymerase chain reaction (PCR) assays that however can fail due to primer mismatch. We investigated the performance of routine virus diagnostics in Kilifi, Kenya, using random-primed viral next generation sequencing (viral NGS) on respiratory samples which tested negative for the common viral respiratory pathogens by a local standard diagnostic panel. Among 95 hospitalised pneumonia patients and 95 household-cohort individuals, analysis of viral NGS identified at least one respiratory-associated virus in 35 (37%) and 23 (24%) samples, respectively. The majority (66%; 42/64) belonged to the Picornaviridae family. The NGS data analysis identified a number of viruses that were missed by the diagnostic panel (rhinovirus, human metapneumovirus, respiratory syncytial virus and parainfluenza virus), and these failures could be attributed to PCR primer/probe binding site mismatches. Unexpected viruses identified included parvovirus B19, enterovirus D68, coxsackievirus A16 and A24 and rubella virus. The regular application of such viral NGS could help evaluate assay performance, identify molecular causes of missed diagnoses and reveal gaps in the respiratory virus set used for local screening assays. The results can provide actionable information to improve the local pneumonia diagnostics and reveal locally important viral pathogens.</t>
  </si>
  <si>
    <t xml:space="preserve">[Phan, My V. T.; Kellam, Paul; Cotten, Matthew] Wellcome Trust Sanger Inst, Virus Genom, Hinxton, England; [Phan, My V. T.; Cotten, Matthew] MRC UVRI &amp; LSHTM Uganda Res Unit, Entebbe, Uganda; [Agoti, Charles N.; Munywoki, Patrick K.; Otieno, Grieven P.; Ngama, Mwanajuma; Nokes, D. James] KEMRI Wellcome Trust Res Programme, Epidemiol &amp; Demog Dept, Kilifi, Kenya; [Agoti, Charles N.; Munywoki, Patrick K.] Pwani Univ, Sch Hlth &amp; Human Sci, Kilifi, Kenya; [Kellam, Paul] Imperial Coll London, Dept Med, Div Infect Dis, London, England; [Cotten, Matthew] Univ Glasgow, MRC, Ctr Virus Res, Glasgow, Lanark, Scotland; [Nokes, D. James] Univ Warwick, Sch Life Sci, Coventry, W Midlands, England; [Nokes, D. James] Univ Warwick, Zeeman Inst Syst Biol &amp; Infect Dis Epidemiol Res, Coventry, W Midlands, England</t>
  </si>
  <si>
    <t xml:space="preserve">Wellcome Trust Sanger Institute; Pwani University; Imperial College London; University of Glasgow; University of Warwick; University of Warwick</t>
  </si>
  <si>
    <t xml:space="preserve">Phan, MVT (corresponding author), Wellcome Trust Sanger Inst, Virus Genom, Hinxton, England.;Phan, MVT (corresponding author), MRC UVRI &amp; LSHTM Uganda Res Unit, Entebbe, Uganda.;Nokes, DJ (corresponding author), KEMRI Wellcome Trust Res Programme, Epidemiol &amp; Demog Dept, Kilifi, Kenya.;Nokes, DJ (corresponding author), Univ Warwick, Sch Life Sci, Coventry, W Midlands, England.;Nokes, DJ (corresponding author), Univ Warwick, Zeeman Inst Syst Biol &amp; Infect Dis Epidemiol Res, Coventry, W Midlands, England.</t>
  </si>
  <si>
    <t xml:space="preserve">my.phan@lshtm.ac.uk; JNokes@kemri-wellcome.org</t>
  </si>
  <si>
    <t xml:space="preserve">Kellam, Paul/JQW-4134-2023; Munywoki, Patrick/GQP-4775-2022; Agoti, Charles Nyaigoti/KQL-9653-2024</t>
  </si>
  <si>
    <t xml:space="preserve">Nokes, James/0000-0001-5426-1984; Kellam, Paul/0000-0003-3166-4734; Agoti, Charles Nyaigoti/0000-0002-2160-567X; Cotten, Matthew/0000-0002-3361-3351; Munywoki, Patrick K./0000-0001-9419-7155</t>
  </si>
  <si>
    <t xml:space="preserve">Wellcome Trust [102975, 090853]; MRC [MC_UU_12014/12] Funding Source: UKRI</t>
  </si>
  <si>
    <t xml:space="preserve">Wellcome Trust(Wellcome Trust); MRC(UK Research &amp; Innovation (UKRI)Medical Research Council UK (MRC))</t>
  </si>
  <si>
    <t xml:space="preserve">This study was funded by the Wellcome Trust (Grant Numbers 102975, 090853).</t>
  </si>
  <si>
    <t xml:space="preserve">10.1038/s41598-021-03987-1</t>
  </si>
  <si>
    <t xml:space="preserve">YD5VU</t>
  </si>
  <si>
    <t xml:space="preserve">WOS:000740510500138</t>
  </si>
  <si>
    <t xml:space="preserve">Lima, JT Jr; Paula, FE; Proença-Modena, JL; Demarco, RC; Buzatto, GP; Saturno, TH; Delcaro, LS; Tamashiro, E; Valera, FCP; Arruda, E; Anselmo-Lima, WT</t>
  </si>
  <si>
    <t xml:space="preserve">Lima, Jesse T., Jr.; Paula, Flavia E.; Proenca-Modena, Jose L.; Demarco, Ricardo C.; Buzatto, Guilherme P.; Saturno, Tamara H.; Delcaro, Luana S.; Tamashiro, Edwin; Valera, Fabiana C. P.; Arruda, Eurico; Anselmo-Lima, Wilma T.</t>
  </si>
  <si>
    <t xml:space="preserve">The seasonality of respiratory viruses in patients with chronic rhinosinusitis</t>
  </si>
  <si>
    <t xml:space="preserve">AMERICAN JOURNAL OF RHINOLOGY &amp; ALLERGY</t>
  </si>
  <si>
    <t xml:space="preserve">Rhinovirus; Human metapneumovirus; Human bocavirus; Medicine; Respiratory system; Virus; Enterovirus; Virology; Metapneumovirus</t>
  </si>
  <si>
    <t xml:space="preserve">RHINOVIRUS INFECTIONS; SYNCYTIAL VIRUS; EPITHELIAL-CELLS; CHILDREN; METAPNEUMOVIRUS</t>
  </si>
  <si>
    <t xml:space="preserve">Background: Chronic rhinosinusitis (CRS) is a common illness, yet little is known about its pathogenesis, including the role played by respiratory viruses. Methods: A transversal prospective study was conducted to analyze the seasonality of CRS using real-time polymerase chain reaction to detect respiratory virus genomes in secretions and tissue samples from patients with CRS with and without nasal polyps. Results: The frequency of viral detection was 41% (31/75). The respiratory virus most frequently detected was human rhinovirus, found in 18 patients (24%), followed by human metapneumovirus, human enterovirus, human respiratory sincicial virus, human adenovirus, human bocavirus, human coronavirus, and human influenza virus, detected in 12 (16%), five (6.6%), four (5.3%), four (5.3%), two (2.6%), two (2.6%), and one (1.3%) patient(s), respectively. Although none of the patients presented symptoms when the samples were collected, there was a peak in detection of the most prevalent virus in the autumn and winter seasons of both years, similar to the pattern that occurs in acute conditions. Conclusions: The pattern of respiratory virus seasonality found in nasal mucosa, polyps, and paranasal sinus samples in patients with CRS reinforces the possibility of asymptomatic respiratory viral infections.</t>
  </si>
  <si>
    <t xml:space="preserve">[Lima, Jesse T., Jr.; Demarco, Ricardo C.; Buzatto, Guilherme P.; Tamashiro, Edwin; Valera, Fabiana C. P.; Anselmo-Lima, Wilma T.] Univ Sao Paulo, Sch Med Ribeirao Preto, Dept Ophthalmol, BR-14049900 Sao Paulo, Brazil; [Lima, Jesse T., Jr.; Demarco, Ricardo C.; Buzatto, Guilherme P.; Tamashiro, Edwin; Valera, Fabiana C. P.; Anselmo-Lima, Wilma T.] Univ Sao Paulo, Sch Med Ribeirao Preto, Dept Otorhinolaryngol, BR-14049900 Sao Paulo, Brazil; [Lima, Jesse T., Jr.; Demarco, Ricardo C.; Buzatto, Guilherme P.; Tamashiro, Edwin; Valera, Fabiana C. P.; Anselmo-Lima, Wilma T.] Univ Sao Paulo, Sch Med Ribeirao Preto, Dept Head &amp; Neck Surg, BR-14049900 Sao Paulo, Brazil; [Paula, Flavia E.; Proenca-Modena, Jose L.; Arruda, Eurico] Univ Sao Paulo, Sch Med Ribeirao Preto, Dept Cell Biol, BR-14049900 Sao Paulo, Brazil; [Paula, Flavia E.; Saturno, Tamara H.; Delcaro, Luana S.; Arruda, Eurico] Univ Sao Paulo, Sch Med Ribeirao Preto, Virol Res Ctr, BR-14049900 Sao Paulo, Brazil; [Proenca-Modena, Jose L.] Univ Estadual Campinas, UNICAMP, Inst Biol, Dept Genet Evolut &amp; Bioagents, Sao Paulo, Brazil</t>
  </si>
  <si>
    <t xml:space="preserve">Universidade de Sao Paulo; Universidade de Sao Paulo; Universidade de Sao Paulo; Universidade de Sao Paulo; Universidade de Sao Paulo; Universidade de Sao Paulo; Universidade Estadual de Campinas</t>
  </si>
  <si>
    <t xml:space="preserve">Anselmo-Lima, WT (corresponding author), Univ Sao Paulo, Med Sch Ribeirao Preto, Dept Oftalmol Otorrinolaringol &amp; Cirurgia Cabeca, Ave Bandeirantes 3900, BR-14049900 Sao Paulo, Brazil.</t>
  </si>
  <si>
    <t xml:space="preserve">Tamashiro, Edwin/0000-0002-3153-6292; Proenca-Modena, Jose Luiz/0000-0002-4996-3153; Valera, Fabiana Cardoso Pereira/0000-0002-6605-5317</t>
  </si>
  <si>
    <t xml:space="preserve">Sao Paulo's State Support Foundation [2009/51818-8]</t>
  </si>
  <si>
    <t xml:space="preserve">Sao Paulo's State Support Foundation</t>
  </si>
  <si>
    <t xml:space="preserve">Funded by the Sao Paulo's State Support Foundation for research Grant 2009/51818-8</t>
  </si>
  <si>
    <t xml:space="preserve">1945-8924</t>
  </si>
  <si>
    <t xml:space="preserve">1945-8932</t>
  </si>
  <si>
    <t xml:space="preserve">AM J RHINOL ALLERGY</t>
  </si>
  <si>
    <t xml:space="preserve">Am. J. Rhinol. Allergy</t>
  </si>
  <si>
    <t xml:space="preserve">10.2500/ajra.2015.29.4129</t>
  </si>
  <si>
    <t xml:space="preserve">CE3HK</t>
  </si>
  <si>
    <t xml:space="preserve">WOS:000351717100007</t>
  </si>
  <si>
    <t xml:space="preserve">Kosutic-Gulija, T; Slovic, A; Ljubin-Sternak, S; Mlinaric-Galinovic, G; Forcic, D</t>
  </si>
  <si>
    <t xml:space="preserve">Kosutic-Gulija, Tanja; Slovic, Anamarija; Ljubin-Sternak, Suncanica; Mlinaric-Galinovic, Gordana; Forcic, Dubravko</t>
  </si>
  <si>
    <t xml:space="preserve">A study of genetic variability of human parainfluenza virus type 1 in Croatia, 2011-2014</t>
  </si>
  <si>
    <t xml:space="preserve">Phylogenetic tree; Clade; Biology; Glycosylation; Genetic diversity</t>
  </si>
  <si>
    <t xml:space="preserve">RESPIRATORY SYNCYTIAL VIRUS; HEMAGGLUTININ-NEURAMINIDASE GLYCOPROTEIN; CARBOHYDRATE SIDE-CHAINS; HUMAN METAPNEUMOVIRUS; CYTOPLASMIC DOMAIN; INFLUENZA-VIRUS; YOUNG-CHILDREN; P-PROTEIN; INFECTIONS; HN</t>
  </si>
  <si>
    <t xml:space="preserve">Molecular epidemiology of human parainfluenza viruses type 1 (HPIV1) was investigated. Samples were collected from patients hospitalized in Croatia during the three consecutive epidemic seasons (2011-2014). Results indicated co-circulation of two major genetic clusters of HPIV1. Samples from the current study refer to clades II and III in a phylogenetic tree of haemagglutinin-neuraminidase (HN) gene. Additional phylogenetic trees of fusion (F) and phosphoprotein (P) genes confirmed the topology. Analysis of nucleotide diversity of entire P, F and HN genes demonstrated similar values: 0.0255, 0.0236 and 0.0237, respectively. However, amino acid diversity showed F protein to be the most conserved, while P protein was the most tolerant to mutations. Potential N- and O-glycosylation sites suggested that HPIV1 HN protein is abundantly glycosylated, and a specific N-glycosylation pattern could distinguish between clades II and III. Analysis of potential O-glycosylation sites in F protein indicated that samples from this study have two potential O-glycosylation sites, while publicly available sequences have five potential sites. This study provides data on the molecular characterization and epidemic pattern of HPIV1 in Croatia.</t>
  </si>
  <si>
    <t xml:space="preserve">[Kosutic-Gulija, Tanja; Slovic, Anamarija; Forcic, Dubravko] Univ Zagreb, Ctr Res &amp; Knowledge Transfer Biotechnol, Zagreb, Croatia; [Ljubin-Sternak, Suncanica] Univ Zagreb, Andrija Stampar Teaching Inst Publ Hlth, Sch Med, Zagreb, Croatia; [Mlinaric-Galinovic, Gordana] Univ Zagreb, Croatian Natl Inst Publ Hlth, Sch Med, Dept Virol, Zagreb, Croatia</t>
  </si>
  <si>
    <t xml:space="preserve">Kosutic-Gulija, T (corresponding author), Univ Zagreb, Ctr Res &amp; Knowledge Transfer Biotechnol, Zagreb, Croatia.</t>
  </si>
  <si>
    <t xml:space="preserve">tkgulija@unizg.hr</t>
  </si>
  <si>
    <t xml:space="preserve">KosuticGulija, Tanja/KHT-3930-2024</t>
  </si>
  <si>
    <t xml:space="preserve">Slovic, Anamarija/0000-0003-3137-0576; Kosutic Gulija, Tanja/0009-0008-8584-2341</t>
  </si>
  <si>
    <t xml:space="preserve">This work was fully supported by Croatian Science Foundation, project no. 6255 'Genomics and Molecular Epidemiology of Human Paramyxoviruses in Croatia' (to D. F.).</t>
  </si>
  <si>
    <t xml:space="preserve">10.1099/jmm.0.000297</t>
  </si>
  <si>
    <t xml:space="preserve">DY3SI</t>
  </si>
  <si>
    <t xml:space="preserve">WOS:000385014300012</t>
  </si>
  <si>
    <t xml:space="preserve">Kuan, CS; Hooi, PS; Lee, LM; Sam, IC; Ng, KP</t>
  </si>
  <si>
    <t xml:space="preserve">Kuan, C. S.; Hooi, P. S.; Lee, L. M.; Sam, I. C.; Ng, K. P.</t>
  </si>
  <si>
    <t xml:space="preserve">Comparison of Anyplex II RV16 assay with conventional methods for detection of respiratory viruses</t>
  </si>
  <si>
    <t xml:space="preserve">REVERSE TRANSCRIPTION-PCR; INFLUENZA-B VIRUSES; RAPID DETECTION; VIRAL CULTURE; TRACT INFECTIONS; HUMAN METAPNEUMOVIRUS; YOUNG-CHILDREN; SEEPLEX RV15; IDENTIFICATION; STREPTOCOCCUS</t>
  </si>
  <si>
    <t xml:space="preserve">Early detection of viral etiologies of acute respiratory tract infections of patients affects management and disease control in pediatric patients. In this study, the performance of Anyplex II RV16 assay (Seegene, Seoul, Korea) was evaluated by comparing with viral culture and direct immunofluorescence staining of clinical specimens for detection of respiratory viruses in patients. A total of 168 respiratory specimens were collected from 122 patients from November 2012 to May 2013 at the time of admission to the University of Malaya Medical Centre (UMMC), Kuala Lumpur, Malaysia. The Anyplex II RV16 assay, viral culture, and direct immunofluorescence staining were positive in 74.4%, 18.5% and 14.9% of the specimens, respectively. HRV was the predominant virus detected by the Anyplex II RV16 assay. In 47 cases, two or more respiratory viruses were detected by the Anyplex II RV16 assay, which were missed by conventional methods. The performance of the Anyplex II RV16 assay was better than viral culture and direct immunofluorescence staining of clinical specimens for the detection of respiratory viruses. The implementation of the Anyplex II RV16 assay in hospital laboratories will provide rapid diagnosis of major viral infections of the respiratory tract.</t>
  </si>
  <si>
    <t xml:space="preserve">[Kuan, C. S.; Hooi, P. S.; Lee, L. M.; Sam, I. C.; Ng, K. P.] Univ Malaya, Fac Med, Dept Med Microbiol, Kuala Lumpur 50603, Malaysia</t>
  </si>
  <si>
    <t xml:space="preserve">Universiti Malaya</t>
  </si>
  <si>
    <t xml:space="preserve">Ng, KP (corresponding author), Univ Malaya, Fac Med, Dept Med Microbiol, Kuala Lumpur 50603, Malaysia.</t>
  </si>
  <si>
    <t xml:space="preserve">kpng@um.edu.my</t>
  </si>
  <si>
    <t xml:space="preserve">Sam, Jamal/B-8688-2010; NG, KEE/B-9225-2010; Hooi, Poh/O-6275-2014; Kuan, Chee/J-8930-2015</t>
  </si>
  <si>
    <t xml:space="preserve">High Impact Research MoE [UM.C/625/1/HIR/MOHE/MED/31, H-20001-00-E000070]</t>
  </si>
  <si>
    <t xml:space="preserve">High Impact Research MoE</t>
  </si>
  <si>
    <t xml:space="preserve">DQ2GH</t>
  </si>
  <si>
    <t xml:space="preserve">WOS:000379020000012</t>
  </si>
  <si>
    <t xml:space="preserve">Ghietto, LM; Cámara, A; Cámara, J; Adamo, MP</t>
  </si>
  <si>
    <t xml:space="preserve">Maria Ghietto, Lucia; Camara, Alicia; Camara, Jorge; Pilar Adamo, Maria</t>
  </si>
  <si>
    <t xml:space="preserve">High frequency of human bocavirus 1 DNA in infants and adults with lower acute respiratory infection</t>
  </si>
  <si>
    <t xml:space="preserve">Human bocavirus; Respiratory system; Medicine</t>
  </si>
  <si>
    <t xml:space="preserve">REAL-TIME PCR; YOUNG-CHILDREN; HUMAN METAPNEUMOVIRUS; PEDIATRIC-PATIENTS; TRACT INFECTIONS; VIRAL LOAD; PREVALENCE; SYMPTOMS; VIRUSES</t>
  </si>
  <si>
    <t xml:space="preserve">Human bocavirus (HBoV) is a parvovirus with a possible aetiological role in respiratory disease that is currently under investigation. We detected HBoV1 in children and adults hospitalized with acute disease of the lower respiratory tract. HBoV genome was detected by PCR in nasopharyngeal swabs collected from 75 patients aged 0-89 years during 2010. HBoV was found in 17/75 (22.7%) patients, 64.7% of them infants younger than 1 year old and 29.4% adults older than 30 years [the bimodal age distribution among HBoV-positive (HBoV(+)) patients was statistically significant, P&lt;0.001]. Of all HBoV(+) cases, 35.3% were co-infected; all co-infections occurred in children (&lt;= 13 years old) and 83.3% of them were HBoV-respiratory syncytial virus (RSV) co-infections. Among infants younger than 1 year, 50% HBoV specimens were co-infected, all of them with RSV. The rate of co-infection in infants was significantly higher compared to the frequency of co-infection in the whole cohort (P=0.003). The results suggest that HBoV1 is involved in acute respiratory disease. Interplay between HBoV1 and RSV cannot be discarded as a cause of elevated percentages of co-detections in infants.</t>
  </si>
  <si>
    <t xml:space="preserve">[Maria Ghietto, Lucia; Camara, Alicia; Camara, Jorge; Pilar Adamo, Maria] Univ Nacl Cordoba, Fac Ciencias Med, Inst Virol Dr JM Vanella, RA-5000 Cordoba, Argentina</t>
  </si>
  <si>
    <t xml:space="preserve">National University of Cordoba</t>
  </si>
  <si>
    <t xml:space="preserve">Adamo, MP (corresponding author), Univ Nacl Cordoba, Fac Ciencias Med, Inst Virol Dr JM Vanella, RA-5000 Cordoba, Argentina.</t>
  </si>
  <si>
    <t xml:space="preserve">mpadamo@fcm.unc.edu.ar</t>
  </si>
  <si>
    <t xml:space="preserve">GHIETTO, LUCIA MARIA/0000-0001-5592-9827</t>
  </si>
  <si>
    <t xml:space="preserve">Fundacion A. Roemmers, SeCyT-UNC; FONCYT-ANPCYT, Ministry of Science and Technology, Argentina</t>
  </si>
  <si>
    <t xml:space="preserve">This study was performed with grants from Fundacion A. Roemmers, SeCyT-UNC and FONCYT-ANPCYT, Ministry of Science and Technology, Argentina.</t>
  </si>
  <si>
    <t xml:space="preserve">10.1099/jmm.0.035600-0</t>
  </si>
  <si>
    <t xml:space="preserve">927CJ</t>
  </si>
  <si>
    <t xml:space="preserve">WOS:000302884300014</t>
  </si>
  <si>
    <t xml:space="preserve">Naylor, CJ; Brown, PA; Edworthy, N; Ling, R; Jones, RC; Savage, CE; Easton, AJ</t>
  </si>
  <si>
    <t xml:space="preserve">Development of a reverse-genetics system for Avian pneumovirus demonstrates that the small hydrophobic (SH) and attachment (G) genes are not essential for virus viability</t>
  </si>
  <si>
    <t xml:space="preserve">Biology; Virology; Plasmid; Reverse genetics; Complementary DNA; Molecular biology; Virus; Nucleoprotein</t>
  </si>
  <si>
    <t xml:space="preserve">RESPIRATORY SYNCYTIAL VIRUS; TURKEY RHINOTRACHEITIS VIRUS; REPLICATION IN-VITRO; HUMAN METAPNEUMOVIRUS; DELETION MUTANTS; GLYCOPROTEIN-G; MESSENGER-RNA; CLONED CDNA; M2 GENE; EXPRESSION</t>
  </si>
  <si>
    <t xml:space="preserve">Avian pneumovirus (APV) is a member of the genus Metapneumovirus of the subfamily Pneumovirinae. This study describes the development of a reverse-genetics system for APV. A minigenome system was used to optimize the expression of the nucleoprotein, phosphoprotein, M2 and large polymerase proteins when transfected into Vero cells under the control of the bacteriophage T7 promoter. Subsequently, cDNA was transcribed from the virion RNA to make a full-length antigenome, which was also cloned under the control of the T7 promoter. Transfection of the full-length genome plasmid, together with the plasmids expressing the functional proteins in the transcription and replication complex, generated APV in the transfected cells. The recombinant virus was passaged and was identified by cytopathic effect (CPE) that was typical of APV, the presence of a unique restriction-endonuclease site in the cDNA copy of the genome and immunofluorescence staining with anti-APV antibodies. Replacement of the full-length wild-type antigenome with one lacking the small hydrophobic (SH) protein and the attachment (G) genes generated a virus that grew more slowly and produced atypical CPE with syncytia much larger than those seen with wild-type virus.</t>
  </si>
  <si>
    <t xml:space="preserve">Univ Liverpool, Dept Vet Pathol, Neston CH64 7TE, Cheshire, England; Univ Warwick, Dept Biol Sci, Coventry CV4 7AL, W Midlands, England</t>
  </si>
  <si>
    <t xml:space="preserve">University of Liverpool; University of Warwick</t>
  </si>
  <si>
    <t xml:space="preserve">Univ Liverpool, Dept Vet Pathol, Neston CH64 7TE, Cheshire, England.</t>
  </si>
  <si>
    <t xml:space="preserve">cnaylor@liv.ac.uk</t>
  </si>
  <si>
    <t xml:space="preserve">Naylor, Clive/B-3186-2010</t>
  </si>
  <si>
    <t xml:space="preserve">Ling, Roger/0000-0002-8970-8181</t>
  </si>
  <si>
    <t xml:space="preserve">10.1099/vir.0.80229-0</t>
  </si>
  <si>
    <t xml:space="preserve">866JI</t>
  </si>
  <si>
    <t xml:space="preserve">WOS:000224769400006</t>
  </si>
  <si>
    <t xml:space="preserve">Ogimi, C; Krantz, EM; Golob, JL; Liu, C; Waghmare, A; Akramoff, A; Mallory, A; Leisenring, WM; Jerome, KR; Chow, VA; Pergam, SA; Fredricks, DN; Englund, JA; Boeckh, M</t>
  </si>
  <si>
    <t xml:space="preserve">Ogimi, Chikara; Krantz, Elizabeth M.; Golob, Jonathan L.; Liu, Catherine; Waghmare, Alpana; Akramoff, Ashley; Mallory, Anthony; Leisenring, Wendy M.; Jerome, Keith R.; Chow, Victor A.; Pergam, Steven A.; Fredricks, David N.; Englund, Janet A.; Boeckh, Michael</t>
  </si>
  <si>
    <t xml:space="preserve">Exposure to antibiotics with anaerobic activity before respiratory viral infection is associated with respiratory disease progression after hematopoietic cell transplant</t>
  </si>
  <si>
    <t xml:space="preserve">Medicine; Antibiotics; Neutropenia; Internal medicine</t>
  </si>
  <si>
    <t xml:space="preserve">SYNCYTIAL VIRUS; PARAINFLUENZA VIRUS; HUMAN METAPNEUMOVIRUS; COMORBIDITY INDEX; MICROBIOTA; RECIPIENTS; INFLUENZA; TRACT; RISK; RHINOVIRUS</t>
  </si>
  <si>
    <t xml:space="preserve">We examined associations between specific antibiotic exposures and progression to lower respiratory tract disease (LRTD) following individual respiratory viral infections (RVIs) after hematopoietic cell transplantation (HCT). We analyzed allogeneic HCT recipients of all ages with their first RVI during the first 100 days post-HCT. For the 21 days before RVI onset, we recorded any receipt of specific groups of antibiotics, and the cumulative sum of the number of antibiotics received for each day (antibiotic-days). We used Cox proportional hazards models to assess the relationship between antibiotic exposure and progression to LRTD. Among 469 patients with RVI, 124 progressed to LRTD. Compared to no antibiotics, use of antibiotics with broad anaerobic activity in the prior 21 days was associated with progression to LRTD after adjusting for age, virus type, hypoalbuminemia, neutropenia, steroid use, and monocytopenia (HR 2.2, 95% CI 1.1-4.1). Greater use of those antibiotics (&gt;= 7 antibiotic days) was also associated with LRTD in adjusted models (HR 2.2, 95% CI 1.1-4.3). Results were similar after adjusting for lymphopenia instead of monocytopenia. Antibiotic use is associated with LRTD after RVI across different viruses in HCT recipients. Prospective studies using anaerobe-sparing antibiotics should be explored to assess impact on LRTD in patients undergoing HCT.</t>
  </si>
  <si>
    <t xml:space="preserve">[Ogimi, Chikara; Waghmare, Alpana; Akramoff, Ashley; Mallory, Anthony; Englund, Janet A.] Seattle Childrens Hosp, Pediat Infect Dis Div, Seattle, WA 98105 USA; [Ogimi, Chikara; Liu, Catherine; Waghmare, Alpana; Englund, Janet A.] Univ Washington, Dept Pediat, Seattle, WA 98195 USA; [Ogimi, Chikara; Krantz, Elizabeth M.; Golob, Jonathan L.; Liu, Catherine; Waghmare, Alpana; Jerome, Keith R.; Pergam, Steven A.; Fredricks, David N.; Boeckh, Michael] Fred Hutchinson Canc Ctr, Vaccine &amp; Infect Dis Div, Seattle, WA 98109 USA; [Leisenring, Wendy M.; Chow, Victor A.; Pergam, Steven A.; Fredricks, David N.; Boeckh, Michael] Fred Hutchinson Canc Ctr, Clin Res Div, Seattle, WA 98109 USA; [Jerome, Keith R.] Univ Washington, Dept Lab Med &amp; Pathol, Seattle, WA 98195 USA; [Chow, Victor A.] Univ Washington, Div Med Oncol, Seattle, WA 98195 USA; [Pergam, Steven A.; Fredricks, David N.; Boeckh, Michael] Univ Washington, Dept Med, Seattle, WA 98195 USA; [Ogimi, Chikara] Natl Ctr Child Hlth &amp; Dev, Pediat Infect Dis, Tokyo, Japan</t>
  </si>
  <si>
    <t xml:space="preserve">Seattle Children's Hospital; University of Washington; University of Washington Seattle; Fred Hutchinson Cancer Center; Fred Hutchinson Cancer Center; University of Washington; University of Washington Seattle; University of Washington; University of Washington Seattle; University of Washington; University of Washington Seattle; National Center for Child Health &amp; Development - Japan</t>
  </si>
  <si>
    <t xml:space="preserve">Ogimi, C (corresponding author), Seattle Childrens Hosp, Pediat Infect Dis Div, Seattle, WA 98105 USA.;Ogimi, C (corresponding author), Univ Washington, Dept Pediat, Seattle, WA 98195 USA.;Ogimi, C; Boeckh, M (corresponding author), Fred Hutchinson Canc Ctr, Vaccine &amp; Infect Dis Div, Seattle, WA 98109 USA.;Boeckh, M (corresponding author), Fred Hutchinson Canc Ctr, Clin Res Div, Seattle, WA 98109 USA.;Boeckh, M (corresponding author), Univ Washington, Dept Med, Seattle, WA 98195 USA.;Ogimi, C (corresponding author), Natl Ctr Child Hlth &amp; Dev, Pediat Infect Dis, Tokyo, Japan.</t>
  </si>
  <si>
    <t xml:space="preserve">ogimi-c@ncchd.go.jp; mboeckh@fredhutch.org</t>
  </si>
  <si>
    <t xml:space="preserve">Ogimi, Chikara/ABD-5632-2020; Englund, Janet/ABV-6379-2022; Boeckh, Michael/AAA-1607-2022; Pergam, Steven/C-2286-2008</t>
  </si>
  <si>
    <t xml:space="preserve">Jerome, Keith/0000-0002-8212-3789; Waghmare, Alpana/0000-0003-2268-9470; OGIMI, CHIKARA/0000-0002-2166-8152; Leisenring, Wendy/0000-0001-7405-0906; Mallory, Autumn/0000-0002-0110-8529</t>
  </si>
  <si>
    <t xml:space="preserve">National Cancer Institute [P01CA018029] Funding Source: NIH RePORTER; National Institute of Allergy and Infectious Diseases [K23AI139385] Funding Source: NIH RePORTER</t>
  </si>
  <si>
    <t xml:space="preserve">National Cancer Institute(United States Department of Health &amp; Human ServicesNational Institutes of Health (NIH) - USANIH National Cancer Institute (NCI)); National Institute of Allergy and Infectious Diseases(United States Department of Health &amp; Human ServicesNational Institutes of Health (NIH) - USANIH National Institute of Allergy &amp; Infectious Diseases (NIAID))</t>
  </si>
  <si>
    <t xml:space="preserve">10.1038/s41409-022-01790-8</t>
  </si>
  <si>
    <t xml:space="preserve">7Z3NM</t>
  </si>
  <si>
    <t xml:space="preserve">WOS:000850016200001</t>
  </si>
  <si>
    <t xml:space="preserve">Thissen, JB; Morrison, MD; Mulakken, N; Nelson, WC; Daum, C; Messenger, S; Wadford, DA; Jaing, C</t>
  </si>
  <si>
    <t xml:space="preserve">Thissen, James B.; Morrison, Michael D.; Mulakken, Nisha; Nelson, William C.; Daum, Chris; Messenger, Sharon; Wadford, Debra A.; Jaing, Crystal</t>
  </si>
  <si>
    <t xml:space="preserve">Evaluation of co-circulating pathogens and microbiome from COVID-19 infections</t>
  </si>
  <si>
    <t xml:space="preserve">Microbiome; Coronavirus disease 2019 (COVID-19); 2019-20 coronavirus outbreak; Severe acute respiratory syndrome coronavirus 2 (SARS-CoV-2); Coronavirus Infections</t>
  </si>
  <si>
    <t xml:space="preserve">SYNDROME VIRUS PRRSV; COINFECTION; MICROARRAY; PIGS</t>
  </si>
  <si>
    <t xml:space="preserve">Co-infections or secondary infections with SARS-CoV-2 have the potential to affect disease severity and morbidity. Additionally, the potential influence of the nasal microbiome on COVID-19 illness is not well understood. In this study, we analyzed 203 residual samples, originally submitted for SARS-CoV-2 testing, for the presence of viral, bacterial, and fungal pathogens and non-pathogens using a comprehensive microarray technology, the Lawrence Livermore Microbial Detection Array (LLMDA). Eighty-seven percent of the samples were nasopharyngeal samples, and 23% of the samples were oral, nasal and oral pharyngeal swabs. We conducted bioinformatics analyses to examine differences in microbial populations of these samples, as a proxy for the nasal and oral microbiome, from SARS-CoV-2 positive and negative specimens. We found 91% concordance with the LLMDA relative to a diagnostic RT-qPCR assay for detection of SARS-CoV-2. Sixteen percent of all the samples (32/203) revealed the presence of an opportunistic bacterial or frank viral pathogen with the potential to cause co-infections. The two most detected bacteria, Streptococcus pyogenes and Streptococcus pneumoniae, were present in both SARS-CoV-2 positive and negative samples. Human metapneumovirus was the most prevalent viral pathogen in the SARS-CoV-2 negative samples. Sequence analysis of 16S rRNA was also conducted to evaluate bacterial diversity and confirm LLMDA results.</t>
  </si>
  <si>
    <t xml:space="preserve">[Thissen, James B.; Morrison, Michael D.; Jaing, Crystal] Lawrence Livermore Natl Lab, Phys &amp; Life Sci Directorate, Livermore, CA 94550 USA; [Mulakken, Nisha] Lawrence Livermore Natl Lab, Computating Directorate, Livermore, CA 94550 USA; [Nelson, William C.] Pacific Northwest Natl Lab, Earth &amp; Biol Sci Directorate, Richland, WA 99354 USA; [Daum, Chris] Joint Genome Inst, Berkeley, CA USA; [Messenger, Sharon; Wadford, Debra A.] Calif Dept Publ Hlth, Viral &amp; Rickettsia Dis Lab, Richmond, CA USA</t>
  </si>
  <si>
    <t xml:space="preserve">United States Department of Energy (DOE); Lawrence Livermore National Laboratory; United States Department of Energy (DOE); Lawrence Livermore National Laboratory; United States Department of Energy (DOE); Pacific Northwest National Laboratory; United States Department of Energy (DOE); Joint Genome Institute - JGI; California Department of Public Health</t>
  </si>
  <si>
    <t xml:space="preserve">Jaing, C (corresponding author), Lawrence Livermore Natl Lab, Phys &amp; Life Sci Directorate, Livermore, CA 94550 USA.</t>
  </si>
  <si>
    <t xml:space="preserve">jaing2@llnl.gov</t>
  </si>
  <si>
    <t xml:space="preserve">Morrison, Mark/C-9707-2013</t>
  </si>
  <si>
    <t xml:space="preserve">Morrison, Michael/0000-0003-1603-4574; Jaing, Crystal/0000-0001-9933-3005; Wadford, Debra/0000-0002-8630-427X; Thissen, James/0000-0002-4693-5886</t>
  </si>
  <si>
    <t xml:space="preserve">Department of Energy, Office of Science</t>
  </si>
  <si>
    <t xml:space="preserve">Department of Energy, Office of Science(United States Department of Energy (DOE))</t>
  </si>
  <si>
    <t xml:space="preserve">This research was funded by Department of Energy, Office of Science, field work proposal number SCW1700. The funders had no role in study design, data collection and analysis, decision to publish, or preparation of the manuscript.</t>
  </si>
  <si>
    <t xml:space="preserve">e0278543</t>
  </si>
  <si>
    <t xml:space="preserve">10.1371/journal.pone.0278543</t>
  </si>
  <si>
    <t xml:space="preserve">8O3JO</t>
  </si>
  <si>
    <t xml:space="preserve">WOS:000925734000174</t>
  </si>
  <si>
    <t xml:space="preserve">Gunell, M; Antikainen, P; Porjo, N; Irjala, K; Vakkila, J; Hotakainen, K; Kaukoranta, SS; Hirvonen, JJ; Saha, K; Manninen, R; Forsblom, B; Rantakokko-Jalava, K; Peltola, V; Koskinen, JO; Huovinen, P</t>
  </si>
  <si>
    <t xml:space="preserve">Gunell, M.; Antikainen, P.; Porjo, N.; Irjala, K.; Vakkila, J.; Hotakainen, K.; Kaukoranta, S. S.; Hirvonen, J. J.; Saha, K.; Manninen, R.; Forsblom, B.; Rantakokko-Jalava, K.; Peltola, V.; Koskinen, J. O.; Huovinen, P.</t>
  </si>
  <si>
    <t xml:space="preserve">Comprehensive real-time epidemiological data from respiratory infections in Finland between 2010 and 2014 obtained from an automated and multianalyte mariPOC® respiratory pathogen test</t>
  </si>
  <si>
    <t xml:space="preserve">Respiratory system; Human metapneumovirus; Medicine; Metapneumovirus; Epidemiology</t>
  </si>
  <si>
    <t xml:space="preserve">SYNCYTIAL VIRUS; 2-PHOTON EXCITATION; INFLUENZA-A; CHILDREN; SURVEILLANCE</t>
  </si>
  <si>
    <t xml:space="preserve">Respiratory viruses cause seasonal epidemics every year. Several respiratory pathogens are circulating simultaneously and typical symptoms of different respiratory infections are alike, meaning it is challenging to identify and diagnose different respiratory pathogens based on symptoms alone. mariPOC (R) is an automated, multianalyte antigen test which allows the rapid detection of nine respiratory infection pathogens [influenza A and B viruses, respiratory syncytial virus (RSV), human metapneumovirus, adenovirus, parainfluenza 1-3 viruses and pneumococci] from a single nasopharyngeal swab or aspirate samples, and, in addition, can be linked to laboratory information systems. During the study period from November 2010 to June 2014, a total of 22, 485 multianalyte respi tests were performed in the 14 participating laboratories in Finland and, in total, 6897 positive analyte results were recorded. Of the tested samples, 25 % were positive for one respiratory pathogen, with RSV (9.8 %) and influenza A virus (7.2 %) being the most common findings, and 0.65 % of the samples were multivirus-positive. Only small geographical variations in seasonal epidemics occurred. Our results show that the mariPOC (R) multianalyte respi test allows simultaneous detection of several respiratory pathogens in real time. The results are reliable and give the clinician a picture of the current epidemiological situation, thus minimising guesswork.</t>
  </si>
  <si>
    <t xml:space="preserve">[Gunell, M.; Huovinen, P.] Univ Turku, Med Microbiol &amp; Immunol Unit, Kiinamyllynkatu 13, FIN-20520 Turku, Finland; [Gunell, M.; Rantakokko-Jalava, K.] Turku Univ Hosp, Microbiol Branch, TYKS Sapa, Microbiol &amp; Genet Serv Area, FIN-20520 Turku, Finland; [Antikainen, P.; Porjo, N.; Koskinen, J. O.] ArcDia Int Oy Ltd, Turku, Finland; [Irjala, K.; Vakkila, J.; Hotakainen, K.] Mehilainen Private Hlth Care Ctr, Espoo, Finland; [Irjala, K.; Vakkila, J.; Hotakainen, K.] Mehilainen Private Hlth Care Ctr, Helsinki, Finland; [Irjala, K.; Vakkila, J.; Hotakainen, K.] Mehilainen Private Hlth Care Ctr, Oulu, Finland; [Irjala, K.; Vakkila, J.; Hotakainen, K.] Mehilainen Private Hlth Care Ctr, Tampere, Finland; [Irjala, K.; Vakkila, J.; Hotakainen, K.] Mehilainen Private Hlth Care Ctr, Turku, Finland; [Hotakainen, K.] Univ Helsinki, Dept Clin Chem, SF-00100 Helsinki, Finland; [Kaukoranta, S. S.; Hirvonen, J. J.] Vaasa Cent Hosp, Vaasa, Finland; [Saha, K.] Seinajoki Cent Hosp, Seinajoki, Finland; [Manninen, R.] Satakunta Cent Hosp, SataDiag, Pori, Finland; [Forsblom, B.] Carea, Kymenlaakso Social &amp; Hlth Serv, Kotka, Finland; [Peltola, V.] Turku Univ Hosp, Dept Pediat &amp; Adolescent Med, FIN-20520 Turku, Finland; [Peltola, V.] Univ Turku, Turku, Finland</t>
  </si>
  <si>
    <t xml:space="preserve">University of Turku; University of Turku; University of Helsinki; Vaasa Central Hospital; Seinajoki Central Hospital; Satakunta Central Hospital; University of Turku; University of Turku</t>
  </si>
  <si>
    <t xml:space="preserve">Gunell, M (corresponding author), Univ Turku, Med Microbiol &amp; Immunol Unit, Kiinamyllynkatu 13, FIN-20520 Turku, Finland.;Gunell, M (corresponding author), Turku Univ Hosp, Microbiol Branch, TYKS Sapa, Microbiol &amp; Genet Serv Area, FIN-20520 Turku, Finland.</t>
  </si>
  <si>
    <t xml:space="preserve">marianne.gunell@utu.fi</t>
  </si>
  <si>
    <t xml:space="preserve">Gunell, Marianne/JCP-0261-2023; Gunell, Marianne/ADG-3198-2022; Huovinen, Pentti/C-9121-2019</t>
  </si>
  <si>
    <t xml:space="preserve">Martelin, Jari/0000-0002-9849-914X; Hotakainen, Kristina/0000-0002-0735-4763; Gunell, Marianne/0000-0002-4347-3233; Huovinen, Pentti/0000-0003-0003-1539</t>
  </si>
  <si>
    <t xml:space="preserve">TEKES, the Finnish Funding Agency for Innovation [534/14]</t>
  </si>
  <si>
    <t xml:space="preserve">TEKES, the Finnish Funding Agency for Innovation(Finnish Funding Agency for Technology &amp; Innovation (TEKES))</t>
  </si>
  <si>
    <t xml:space="preserve">The study has been partly supported by TEKES, the Finnish Funding Agency for Innovation, under the project name 'Get it done!', funding decision 534/14.</t>
  </si>
  <si>
    <t xml:space="preserve">10.1007/s10096-015-2553-0</t>
  </si>
  <si>
    <t xml:space="preserve">DF5ZT</t>
  </si>
  <si>
    <t xml:space="preserve">WOS:000371434200010</t>
  </si>
  <si>
    <t xml:space="preserve">Morris, PS; Richmond, P; Lehmann, D; Leach, AJ; Gunasekera, H; Coates, HLC</t>
  </si>
  <si>
    <t xml:space="preserve">Morris, Peter S.; Richmond, Peter; Lehmann, Deborah; Leach, Amanda J.; Gunasekera, Hasantha; Coates, Harvey L. C.</t>
  </si>
  <si>
    <t xml:space="preserve">New horizons: otitis media research in Australia</t>
  </si>
  <si>
    <t xml:space="preserve">MEDICAL JOURNAL OF AUSTRALIA</t>
  </si>
  <si>
    <t xml:space="preserve">Otitis; Medicine; Intensive care medicine; Psychological intervention</t>
  </si>
  <si>
    <t xml:space="preserve">RANDOMIZED CONTROLLED-TRIAL; UPPER RESPIRATORY-TRACT; INDIVIDUAL PATIENT DATA; ABORIGINAL CHILDREN; ALLOIOCOCCUS-OTITIDIS; WESTERN-AUSTRALIA; STREPTOCOCCUS-PNEUMONIAE; NONABORIGINAL CHILDREN; HAEMOPHILUS-INFLUENZAE; HUMAN METAPNEUMOVIRUS</t>
  </si>
  <si>
    <t xml:space="preserve">Otitis media affects nearly all children worldwide. Despite an enormous amount of research, our understanding of this common condition continues to be challenged. New pathogens involved in otitis media are still being identified. The importance of interactions between viral and bacterial infection and the role of new vaccines need to be clarified. The proposal that bacteria can become more resistant to therapy through biofilm formation and intracellular infection could have important implications for treatment. The most important clinical research findings have been summarised in systematic reviews. In developed countries, research supporting watchful waiting of otitis media with effusion and acute otitis media have had most impact on evidence-based clinical practice guidelines. Indigenous Australian children remain at risk of more severe otitis media. Research programs targeting this population have been well supported. Unfortunately, interventions that can dramatically improve outcomes have remained elusive. For children at high risk of otitis media, health care services should concentrate on accurate diagnosis, antibiotic treatment of suppurative infections, and scheduled follow-up of affected children. Despite the lack of recent studies, strategies to minimise the impact the hearing loss associated with otitis media are important. Improvements in education, hygiene practices, and living conditions are likely-to reduce the incidence and severity of otitis media. Studies of these types of interventions are needed.</t>
  </si>
  <si>
    <t xml:space="preserve">[Morris, Peter S.; Leach, Amanda J.] Menzies Sch Hlth Res, Child Hlth Div, Darwin, NT, Australia; [Morris, Peter S.] Flinders Univ S Australia, NT Clin Sch, Darwin, NT, Australia; [Richmond, Peter] Univ Western Australia, Sch Paediat &amp; Child Hlth, Perth, WA 6009, Australia; [Lehmann, Deborah] Univ Western Australia, Ctr Child Hlth Res, Telethon Inst Child Hlth Res, Perth, WA 6009, Australia; [Gunasekera, Hasantha] Childrens Hosp Westmead, Sydney, NSW, Australia; [Gunasekera, Hasantha] Univ Sydney, Sydney, NSW 2006, Australia; [Coates, Harvey L. C.] Princess Margaret Hosp Children, Perth, WA, Australia</t>
  </si>
  <si>
    <t xml:space="preserve">Charles Darwin University; Menzies School of Health Research; Flinders University South Australia; University of Western Australia; University of Western Australia; The Kids Research Institute Australia; NSW Health; The Children's Hospital at Westmead; University of Sydney; University of Sydney; Princess Margaret Hospital for Children; University of Western Australia</t>
  </si>
  <si>
    <t xml:space="preserve">Morris, PS (corresponding author), Menzies Sch Hlth Res, Child Hlth Div, Darwin, NT, Australia.</t>
  </si>
  <si>
    <t xml:space="preserve">peterm@menzies.edu.au</t>
  </si>
  <si>
    <t xml:space="preserve">Richmond, Peter/G-3379-2012; Leach, Amanda/N-2311-2013; Gunasekera, Hasantha/AAE-7316-2021; Coates, Harvey/AAR-2846-2020</t>
  </si>
  <si>
    <t xml:space="preserve">Richmond, Peter/0000-0001-7562-7228; Gunasekera, Hasantha/0000-0003-4900-1277</t>
  </si>
  <si>
    <t xml:space="preserve">GlaxoSmithKline; Wyeth Vaccines</t>
  </si>
  <si>
    <t xml:space="preserve">GlaxoSmithKline(GlaxoSmithKline); Wyeth Vaccines</t>
  </si>
  <si>
    <t xml:space="preserve">Peter Morris has been a consultant for GlaxoSmithKline and has received research funding from GlaxoSmithKline and Wyeth Vaccines. Peter Richmond has received research funding from GlaxoSmithKline and has been a consultant for Wyeth Vaccines. Deborah Lehmann has been a consultant for GlaxoSmithKline. Amanda Leach has received research funding from GlaxoSmithKline and Wyeth Vaccines. Harvey Coates has been a consultant for GlaxoSmithKline and Alcon Laboratories.</t>
  </si>
  <si>
    <t xml:space="preserve">AUSTRALASIAN MED PUBL CO LTD</t>
  </si>
  <si>
    <t xml:space="preserve">PYRMONT</t>
  </si>
  <si>
    <t xml:space="preserve">LEVEL 2, 26-32 PYRMONT BRIDGE RD, PYRMONT, NSW 2009, AUSTRALIA</t>
  </si>
  <si>
    <t xml:space="preserve">0025-729X</t>
  </si>
  <si>
    <t xml:space="preserve">1326-5377</t>
  </si>
  <si>
    <t xml:space="preserve">MED J AUSTRALIA</t>
  </si>
  <si>
    <t xml:space="preserve">Med. J. Aust.</t>
  </si>
  <si>
    <t xml:space="preserve">S73</t>
  </si>
  <si>
    <t xml:space="preserve">S77</t>
  </si>
  <si>
    <t xml:space="preserve">10.5694/j.1326-5377.2009.tb02932.x</t>
  </si>
  <si>
    <t xml:space="preserve">529PN</t>
  </si>
  <si>
    <t xml:space="preserve">WOS:000272529800009</t>
  </si>
  <si>
    <t xml:space="preserve">Morrow, BM; Feldman, C; Green, RJ</t>
  </si>
  <si>
    <t xml:space="preserve">Morrow, B. M.; Feldman, C.; Green, R. J.</t>
  </si>
  <si>
    <t xml:space="preserve">Acute viral bronchiolitis in South Africa: Intensive care management for severe disease</t>
  </si>
  <si>
    <t xml:space="preserve">SAMJ SOUTH AFRICAN MEDICAL JOURNAL</t>
  </si>
  <si>
    <t xml:space="preserve">Medicine; Bronchiolitis; Nasal cannula; Respiratory distress; Intensive care medicine; Continuous positive airway pressure; Intensive care</t>
  </si>
  <si>
    <t xml:space="preserve">RESPIRATORY-TRACT INFECTIONS; HUMAN METAPNEUMOVIRUS; NASAL CANNULA; CAPE-TOWN; HIGH-FLOW; RHINOVIRUS; INFANTS; VENTILATION; FAILURE; CHILDREN</t>
  </si>
  <si>
    <t xml:space="preserve">It is estimated that 2 - 3% of children will be hospitalised with viral bronchiolitis during their first year of life, and a small proportion of them will have a severe course of the disease, requiring intensive care and ventilatory support. In South Africa, 20% of children admitted to a paediatric intensive care unit (PICU) had positive respiratory viral isolates (especially respiratory syncytial virus), with symptomatic respiratory disease. Rapid laboratory-based diagnosis using multiplex polymerase chain reaction is recommended to reduce overall antibiotic use in the PICU and neonatal ICU (NICU) and improve the targeted use of antibiotics (antibiotic stewardship). The mainstay of bronchiolitis management in the PICU and NICU is supportive, comprising fluid management, oxygen supplementation and/or respiratory ventilatory support, and antipyretics if needed. Non-invasive nasal continuous positive airway pressure and high-flow nasal cannula oxygen therapy are increasingly being used in children with severe bronchiolitis, and may reduce the need for intubation. Infants with bronchiolitis may have a variety of clinical presentations, which may require different ventilatory approaches. Children may present predominantly with apnoeas, air trapping and wheeze, atelectasis and parenchymal disease (in acute respiratory distress syndrome), or a combination of these. Lung-protective ventilation, using a low tidal volume pressure-limited approach, is essential to limit ventilator-induced lung injury.</t>
  </si>
  <si>
    <t xml:space="preserve">[Morrow, B. M.] Univ Cape Town, Fac Hlth Sci, Dept Paediat &amp; Child Hlth, ZA-7700 Rondebosch, South Africa; [Feldman, C.] Univ Witwatersrand, Fac Hlth Sci, Dept Med, Johannesburg, South Africa; [Green, R. J.] Univ Pretoria, Fac Hlth Sci, Dept Paediat &amp; Child Hlth, ZA-0002 Pretoria, South Africa</t>
  </si>
  <si>
    <t xml:space="preserve">University of Cape Town; University of Witwatersrand; University of Pretoria</t>
  </si>
  <si>
    <t xml:space="preserve">Morrow, BM (corresponding author), Univ Cape Town, Fac Hlth Sci, Dept Paediat &amp; Child Hlth, ZA-7700 Rondebosch, South Africa.</t>
  </si>
  <si>
    <t xml:space="preserve">brenda.morrow@uct.ac.za</t>
  </si>
  <si>
    <t xml:space="preserve">Feldman, Charles/ABF-3315-2020; Morrow, Brenda/AAI-3819-2020</t>
  </si>
  <si>
    <t xml:space="preserve">SA MEDICAL ASSOC</t>
  </si>
  <si>
    <t xml:space="preserve">PRETORIA</t>
  </si>
  <si>
    <t xml:space="preserve">BLOCK F CASTLE WALK CORPORATE PARK, NOSSOB STREET, ERASMUSKLOOF EXT3, PRETORIA, 0002, SOUTH AFRICA</t>
  </si>
  <si>
    <t xml:space="preserve">0256-9574</t>
  </si>
  <si>
    <t xml:space="preserve">2078-5135</t>
  </si>
  <si>
    <t xml:space="preserve">SAMJ S AFR MED J</t>
  </si>
  <si>
    <t xml:space="preserve">SAMJ S. Afr. Med. J.</t>
  </si>
  <si>
    <t xml:space="preserve">10.7196/SAMJ.v106i5.10436</t>
  </si>
  <si>
    <t xml:space="preserve">DS4FF</t>
  </si>
  <si>
    <t xml:space="preserve">WOS:000380736100018</t>
  </si>
  <si>
    <t xml:space="preserve">Welch, SR; Bilello, JP; Carter, K; Delang, L; Dirr, L; Durantel, D; Feng, JY; Gowen, BB; Herrero, LJ; Janeba, Z; Kleymann, G; Lee, AA; Meier, C; Moffat, J; Schang, LM; Schiffer, JT; Seley-Radtke, KL; Sheahan, TP; Spengler, JR</t>
  </si>
  <si>
    <t xml:space="preserve">Welch, Stephen R.; Bilello, John P.; Carter, Kara; Delang, Leen; Dirr, Larissa; Durantel, David; Feng, Joy Y.; Gowen, Brian B.; Herrero, Lara J.; Janeba, Zlatko; Kleymann, Gerald; Lee, Alpha A.; Meier, Chris; Moffat, Jennifer; Schang, Luis M.; Schiffer, Joshua T.; Seley-Radtke, Katherine L.; Sheahan, Timothy P.; Spengler, Jessica R.</t>
  </si>
  <si>
    <t xml:space="preserve">Meeting report of the 37th International Conference on Antiviral Research in Gold Coast, Australia, May 20-24, 2024, organized by the International Society for Antiviral Research</t>
  </si>
  <si>
    <t xml:space="preserve">Gold coast</t>
  </si>
  <si>
    <t xml:space="preserve">HEPATITIS-B-VIRUS; REPLICON-PARTICLE VACCINE; HUMAN METAPNEUMOVIRUS; INFLUENZA-VIRUSES; TYPE-3 OUTBREAK; CIRCULAR DNA; FEVER VIRUS; 27 APRIL-1; INFECTION; BINDING</t>
  </si>
  <si>
    <t xml:space="preserve">The 37th International Conference on Antiviral Research (ICAR) was held in Gold Coast, Australia, May 20-24, 2024. ICAR 2024 featured over 75 presentations along with two poster sessions and special events, including those specifically tailored for trainees and early-career scientists. The meeting served as a platform for the exchange of cutting-edge research, with presentations and discussions covering novel antiviral compounds, vaccine development, clinical trials, and therapeutic advancements. A comprehensive array of topics in antiviral science was covered, from the latest breakthroughs in antiviral drug development to innovative strategies for combating emerging viral threats. The keynote presentations provided fascinating insight into two diverse areas fundamental to medical countermeasure development and use, including virus emergence at the human-animal interface and practical considerations for bringing antivirals to the clinic. Additional sessions addressed a variety of timely post-pandemic topics, such as the hunt for broad spectrum antivirals, combination therapy, pandemic preparedness, application of in silico tools and AI in drug discovery, the virosphere, and more. Here, we summarize all the presentations and special sessions of ICAR 2024 and introduce the 38th ICAR, which will be held in Las Vegas, USA, March 17-21, 2025.</t>
  </si>
  <si>
    <t xml:space="preserve">[Welch, Stephen R.; Spengler, Jessica R.] CDCP, Div High Consequence Pathogens &amp; Pathol, Viral Special Pathogens Branch, Atlanta, GA USA; [Bilello, John P.] Gilead Sci Inc, Foster City, CA USA; [Carter, Kara] Princeton, Princeton, NJ 08544 USA; [Delang, Leen] Katholieke Univ Leuven, Rega Inst Med Res, Dept Microbiol Immunol &amp; Transplantat, Virus Host Interact &amp; Therapeut Approaches Res Grp, Herestr 49-box 1050, B-3000 Leuven, Belgium; [Dirr, Larissa; Herrero, Lara J.] Griffith Univ, Inst Biomed &amp; Glyc, Southport, Qld, Australia; [Durantel, David] Univ Claude Bernard Lyon 1, CNRS, INSERM, UMR5308,U1111,CNRS, F-69007 Lyon, France; [Gowen, Brian B.] Utah State Univ, Inst Antiviral Res, Logan, UT USA; [Gowen, Brian B.] Utah State Univ, Dept Anim Dairy &amp; Vet Sci, Logan, UT USA; [Janeba, Zlatko] Czech Acad Sci, Inst Organ Chem &amp; Biochem, Flemingovo 2, Prague 16000, Czech Republic; [Kleymann, Gerald] Innovat Mol GmbH, Lipowsky Str 10, D-81373 Munich, Bavaria, Germany; [Lee, Alpha A.] Spotfire Inc, 1 Broadway, Cambridge, MA 02142 USA; [Meier, Chris] Univ Hamburg, Fac Sci, Dept Chem Organ Chem, Martin Luther King Pl 6, Hamburg, Germany; [Moffat, Jennifer] SUNY Upstate Med Univ, Dept Microbiol &amp; Immunol, Syracuse, NY USA; [Schang, Luis M.] Cornell Univ, Baker Inst Anim Hlth, Ithaca, NY 14850 USA; [Schang, Luis M.] Cornell Univ, Dept Microbiol &amp; Immunol, Ithaca, NY USA; [Schiffer, Joshua T.] Fred Hutchinson Canc Res Ctr, Vaccine &amp; Infect Dis Div, Seattle, WA USA; [Schiffer, Joshua T.] Univ Washington, Div Allergy &amp; Infect Dis, Seattle, WA USA; [Seley-Radtke, Katherine L.] Univ Maryland Baltimore Cty, Dept Chem &amp; Biochem, Baltimore, MD USA; [Sheahan, Timothy P.] Univ North Carolina Chapel Hill, Dept Epidemiol, Chapel Hill, NC USA; [Sheahan, Timothy P.] Univ North Carolina Chapel Hill, Sch Med, Dept Microbiol &amp; Immunol, Chapel Hill, NC 27599 USA; [Sheahan, Timothy P.] Univ North Carolina Chapel Hill, Rapidly Emerging Antiviral Drug Dev Initiat, Chapel Hill, NC USA</t>
  </si>
  <si>
    <t xml:space="preserve">Centers for Disease Control &amp; Prevention - USA; Gilead Sciences; KU Leuven; Griffith University; Griffith University - Gold Coast Campus; Centre National de la Recherche Scientifique (CNRS); CNRS - National Institute for Biology (INSB); Universite Claude Bernard Lyon 1; Institut National de la Sante et de la Recherche Medicale (Inserm); Utah System of Higher Education; Utah State University; Utah System of Higher Education; Utah State University; Czech Academy of Sciences; Institute of Organic Chemistry &amp; Biochemistry of the Czech Academy of Sciences; University of Hamburg; State University of New York (SUNY) System; State University of New York (SUNY) Upstate Medical Center; Cornell University; Cornell University; Fred Hutchinson Cancer Center; University of Washington; University of Washington Seattle; University System of Maryland; University of Maryland Baltimore County; University of North Carolina School of Medicine; University of North Carolina; University of North Carolina Chapel Hill; University of North Carolina School of Medicine; University of North Carolina; University of North Carolina Chapel Hill; University of North Carolina School of Medicine; University of North Carolina; University of North Carolina Chapel Hill</t>
  </si>
  <si>
    <t xml:space="preserve">Welch, SR; Spengler, JR (corresponding author), 1600 Clifton Rd NE,MS H18-SB, Atlanta, GA 30329 USA.</t>
  </si>
  <si>
    <t xml:space="preserve">swelch1@cdc.gov; jspengler@cdc.gov</t>
  </si>
  <si>
    <t xml:space="preserve">10.1016/j.antiviral.2024.106037</t>
  </si>
  <si>
    <t xml:space="preserve">O1A4R</t>
  </si>
  <si>
    <t xml:space="preserve">WOS:001368537300001</t>
  </si>
  <si>
    <t xml:space="preserve">Mixed Viral Infections Circulating in Hospitalized Patients with Respiratory Tract Infections in Kuwait</t>
  </si>
  <si>
    <t xml:space="preserve">Rhinovirus; Medicine; Pneumonia; Bronchiolitis; Viral pneumonia; Respiratory tract infections; Respiratory system; Respiratory tract; Internal medicine</t>
  </si>
  <si>
    <t xml:space="preserve">WU POLYOMAVIRUS INFECTION; TIME PCR ASSAYS; SYNCYTIAL VIRUS; HUMAN-METAPNEUMOVIRUS; HUMAN BOCAVIRUS; CLINICAL-DISEASE; YOUNG-CHILDREN; RT-PCR; INFANTS; IDENTIFICATION</t>
  </si>
  <si>
    <t xml:space="preserve">The aim of this study was to determine the frequency of viral mixed detection in hospitalized patients with respiratory tract infections and to evaluate the correlation between viral mixed detection and clinical severity. Hospitalized patients with respiratory tract infections (RTI) were investigated for 15 respiratory viruses by using sensitive molecular techniques. In total, 850 hospitalized patients aged between 3 days and 80 years were screened from September 2010 to April 2014. Among the 351 (47.8%) patients diagnosed with viral infections, viral mixed detection was identified in 49 patients (14%), with human rhinovirus (HRV) being the most common virus associated with viral mixed detection (7.1%), followed by adenovirus (AdV) (4%) and human coronavirus-OC43 (HCoV-OC43) (3.7%). The highest combination of viral mixed detection was identified with HRV and AdV (2%), followed by HRV and HCoV-OC43 (1.4%). Pneumonia and bronchiolitis were the most frequent reason for hospitalization with viral mixed detection (9.1%). There were statistical significance differences between mixed and single detection in patients diagnosed with bronchiolitis (P = 0.002) and pneumonia (P = 0.019). Our findings might indicate a significant association between respiratory virus mixed detection and the possibility of developing more severe LRTI such as bronchiolitis and pneumonia when compared with single detection.</t>
  </si>
  <si>
    <t xml:space="preserve">[Essa, Sahar; Al-Nakib, Widad] Kuwait Univ, Dept Microbiol, Fac Med, Safat 24923, Kuwait; [Owayed, Abdullah] Kuwait Univ, Dept Pediat, Fac Med, Safat 24923, Kuwait; [Altawalah, Haya] Mubarak Hosp, Virol Unit, Minist Hlth, Safat 24923, Kuwait; [Khadadah, Mousa; Behbehani, Nasser] Kuwait Univ, Dept Med, Fac Med, Safat 24923, Kuwait</t>
  </si>
  <si>
    <t xml:space="preserve">Essa, S (corresponding author), Kuwait Univ, Dept Microbiol, Fac Med, Safat 24923, Kuwait.</t>
  </si>
  <si>
    <t xml:space="preserve">Research Sector, Kuwait University [MI 03/08]</t>
  </si>
  <si>
    <t xml:space="preserve">Research Sector, Kuwait University(Kuwait University)</t>
  </si>
  <si>
    <t xml:space="preserve">The authors are thankful for the continuous support of this research (MI 03/08) by the Research Sector, Kuwait University. Special thanks are due to Dr. Wassim Chehadeh (Associate Professor, Microbiology Department, Faculty of Medicine, Kuwait University) for his excellent technical assistance in analyzing viruses by PCR. Special thanks are due to Dr. Prem Sharma (Technical advisor, Vice President Office, Kuwait University) for his outstanding help in the statistical analysis of the data.</t>
  </si>
  <si>
    <t xml:space="preserve">10.1155/2015/714062</t>
  </si>
  <si>
    <t xml:space="preserve">CW9BW</t>
  </si>
  <si>
    <t xml:space="preserve">WOS:000365294400001</t>
  </si>
  <si>
    <t xml:space="preserve">Forni, D; Sironi, M; Cagliani, R</t>
  </si>
  <si>
    <t xml:space="preserve">Forni, Diego; Sironi, Manuela; Cagliani, Rachele</t>
  </si>
  <si>
    <t xml:space="preserve">Evolutionary history of type II transmembrane serine proteases involved in viral priming</t>
  </si>
  <si>
    <t xml:space="preserve">HUMAN GENETICS</t>
  </si>
  <si>
    <t xml:space="preserve">Biology; Proteases; Transmembrane protein; Genetics</t>
  </si>
  <si>
    <t xml:space="preserve">RESPIRATORY SYNDROME CORONAVIRUS; DETECTING POSITIVE SELECTION; AMINO-ACID SITES; SPIKE PROTEIN; CELL ENTRY; BALANCING SELECTION; LIKELIHOOD METHOD; HOST PROTEASES; MICE LACKING; DC-SIGN</t>
  </si>
  <si>
    <t xml:space="preserve">Type II transmembrane serine proteases (TTSPs) are a family of trypsin-like membrane-anchored serine proteases that play key roles in the regulation of some crucial processes in physiological conditions, including cardiac function, digestion, cellular iron homeostasis, epidermal differentiation, and immune responses. However, some of them, in particular TTSPs expressed in the human airways, were identified as host factors that promote the proteolytic activation and spread of respiratory viruses such as influenza virus, human metapneumovirus, and coronaviruses, including SARS-CoV-2. Given their involvement in viral priming, we hypothesized that members of the TTSP family may represent targets of positive selection, possibly as the result of virus-driven pressure. Thus, we investigated the evolutionary history of sixteen TTSP genes in mammals. Evolutionary analyses indicate that most of the TTSP genes that have a verified role in viral proteolytic activation present signals of pervasive positive selection, suggesting that viral infections represent a selective pressure driving the evolution of these proteases. We also evaluated genetic diversity in human populations and we identified targets of balancing selection in TMPRSS2 and TMPRSS4. This scenario may be the result of an ancestral and still ongoing host-pathogen arms race. Overall, our results provide evolutionary information about candidate functional sites and polymorphic positions in TTSP genes.</t>
  </si>
  <si>
    <t xml:space="preserve">[Forni, Diego; Sironi, Manuela; Cagliani, Rachele] Sci Inst IRCCS E MEDEA, Bioinformat, I-23842 Bosisio Parini, Italy</t>
  </si>
  <si>
    <t xml:space="preserve">IRCCS Eugenio Medea</t>
  </si>
  <si>
    <t xml:space="preserve">Cagliani, R (corresponding author), Sci Inst IRCCS E MEDEA, Bioinformat, I-23842 Bosisio Parini, Italy.</t>
  </si>
  <si>
    <t xml:space="preserve">rachele.cagliani@lanostrafamiglia.it</t>
  </si>
  <si>
    <t xml:space="preserve">sironi, manuela/K-5633-2016; Cagliani, Rachele/K-4545-2016; Forni, Diego/K-5643-2016</t>
  </si>
  <si>
    <t xml:space="preserve">sironi, manuela/0000-0002-2267-5266; Cagliani, Rachele/0000-0003-2670-3532; Forni, Diego/0000-0001-9291-5352</t>
  </si>
  <si>
    <t xml:space="preserve">Italian Ministry of Health</t>
  </si>
  <si>
    <t xml:space="preserve">Italian Ministry of Health(Ministry of Health, Italy)</t>
  </si>
  <si>
    <t xml:space="preserve">This work was supported by the Italian Ministry of Health (Ricerca Corrente 2021 to MS).</t>
  </si>
  <si>
    <t xml:space="preserve">0340-6717</t>
  </si>
  <si>
    <t xml:space="preserve">1432-1203</t>
  </si>
  <si>
    <t xml:space="preserve">HUM GENET</t>
  </si>
  <si>
    <t xml:space="preserve">Hum. Genet.</t>
  </si>
  <si>
    <t xml:space="preserve">10.1007/s00439-022-02435-y</t>
  </si>
  <si>
    <t xml:space="preserve">5F7VG</t>
  </si>
  <si>
    <t xml:space="preserve">WOS:000751569600001</t>
  </si>
  <si>
    <t xml:space="preserve">Wei, L; Zhu, SS; She, RP; Hu, FJ; Wang, J; Yan, X; Zhang, CY; Liu, SH; Quan, R; Li, ZX; Du, F; Wei, T; Liu, J</t>
  </si>
  <si>
    <t xml:space="preserve">Wei, Li; Zhu, Shanshan; She, Ruiping; Hu, Fengjiao; Wang, Jing; Yan, Xu; Zhang, Chunyan; Liu, Shuhang; Quan, Rong; Li, Zixuan; Du, Fang; Wei, Ting; Liu, Jue</t>
  </si>
  <si>
    <t xml:space="preserve">Viral Replication and Lung Lesions in BALB/c Mice Experimentally Inoculated with Avian Metapneumovirus Subgroup C Isolated from Chickens</t>
  </si>
  <si>
    <t xml:space="preserve">Metapneumovirus; Virology; Biology; Pneumovirinae; Pathogen; BALB/c; Virus</t>
  </si>
  <si>
    <t xml:space="preserve">RESPIRATORY SYNCYTIAL VIRUS; AIRWAY-OBSTRUCTION; IMMUNE-RESPONSE; INFECTION; PNEUMOVIRUS; HYPERRESPONSIVENESS; PATHOGENESIS; SEQUENCE; PROTEIN; HMPV</t>
  </si>
  <si>
    <t xml:space="preserve">Avian metapneumovirus (aMPV) emerged as an important respiratory pathogen causing acute respiratory tract infection in avian species. Here we used a chicken aMPV subgroup C (aMPV/C) isolate to inoculate experimentally BALB/c mice and found that the aMPV/C can efficiently replicate and persist in the lungs of mice for at least 21 days with a peak viral load at day 6 postinoculation. Lung pathological changes were characterized by increased inflammatory cells. Immunochemical assay showed the presence of viral antigens in the lungs and significant upregulation of pulmonary inflammatory cytokines and chemokines including MCP-1, MIP-1 alpha, RANTES, IL-1 beta, IFN-gamma, and TNF-alpha were detected following inoculation. These results indicate for the first time that chicken aMPV/C may replicate in the lung of mice. Whether aMPV/C has potential as zoonotic pathogen, further investigation will be required.</t>
  </si>
  <si>
    <t xml:space="preserve">[Wei, Li; Zhu, Shanshan; Wang, Jing; Yan, Xu; Zhang, Chunyan; Liu, Shuhang; Quan, Rong; Li, Zixuan; Liu, Jue] Beijing Acad Agr &amp; Forestry Sci, Inst Anim Husb &amp; Vet Med, Beijing Key Lab Prevent &amp; Control Infect Dis Live, Beijing, Peoples R China; [She, Ruiping; Hu, Fengjiao; Du, Fang] China Agr Univ, Coll Vet Med, Beijing 100094, Peoples R China; [Wei, Ting] QIMR Berghofer Med Res Inst, Mol Virol Lab, Brisbane, Qld, Australia</t>
  </si>
  <si>
    <t xml:space="preserve">Beijing Academy of Agriculture &amp; Forestry Sciences (BAAFS); China Agricultural University; QIMR Berghofer Medical Research Institute</t>
  </si>
  <si>
    <t xml:space="preserve">Liu, J (corresponding author), Beijing Acad Agr &amp; Forestry Sci, Inst Anim Husb &amp; Vet Med, Beijing Key Lab Prevent &amp; Control Infect Dis Live, Beijing, Peoples R China.</t>
  </si>
  <si>
    <t xml:space="preserve">liujue23@yahoo.com</t>
  </si>
  <si>
    <t xml:space="preserve">Yan, Xu/HSG-0446-2023</t>
  </si>
  <si>
    <t xml:space="preserve">China Agriculture Research System [CARS-42]</t>
  </si>
  <si>
    <t xml:space="preserve">China Agriculture Research System</t>
  </si>
  <si>
    <t xml:space="preserve">This work was supported by a grant from China Agriculture Research System (CARS-42). The funders had no role in study design, data collection and analysis, decision to publish, or preparation of the manuscript.</t>
  </si>
  <si>
    <t xml:space="preserve">e92136</t>
  </si>
  <si>
    <t xml:space="preserve">10.1371/journal.pone.0092136</t>
  </si>
  <si>
    <t xml:space="preserve">AD4XD</t>
  </si>
  <si>
    <t xml:space="preserve">WOS:000333254100119</t>
  </si>
  <si>
    <t xml:space="preserve">Aberegg, SK; Cirulis, MM; Maddock, SD; Freeman, A; Keenan, LM; Pirozzi, CS; Raman, SM; Schroeder, J; Mann, H; Callahan, SJ</t>
  </si>
  <si>
    <t xml:space="preserve">Aberegg, Scott K.; Cirulis, Meghan M.; Maddock, Sean D.; Freeman, Andrew; Keenan, Lynn M.; Pirozzi, Cheryl S.; Raman, Sanjeev M.; Schroeder, Joyce; Mann, Howard; Callahan, Sean J.</t>
  </si>
  <si>
    <t xml:space="preserve">Clinical, Bronchoscopic, and Imaging Findings of e-Cigarette, or Vaping, Product Use-Associated Lung Injury Among Patients Treated at an Academic Medical Center</t>
  </si>
  <si>
    <t xml:space="preserve">JAMA NETWORK OPEN</t>
  </si>
  <si>
    <t xml:space="preserve">Medicine; Interquartile range; Internal medicine</t>
  </si>
  <si>
    <t xml:space="preserve">COMMUNITY-ACQUIRED PNEUMONIA; UPDATE INTERIM GUIDANCE; SUSPECTED E-CIGARETTE; UNITED-STATES; UTILITY</t>
  </si>
  <si>
    <t xml:space="preserve">Question What are the typical clinical, radiographic, and bronchoscopic findings and clinical outcomes of e-cigarette, or vaping, product use-associated lung injury (EVALI)? Findings This case series of 31 patients found that EVALI typically presented as a flu-like illness with elevated inflammatory markers and an organizing pneumonia pattern on computed tomography imaging. Bronchoscopy showed lipid-laden macrophages and had a high rate of false-positive results for infection. Meaning The findings of this study suggest that EVALI has a characteristic clinical and radiographic presentation and that bronchoscopy has limited utility in its evaluation. Importance e-Cigarette, or vaping, product use-associated lung injury (EVALI) has caused more than 2800 illnesses and 68 deaths in the United States. Better characterization of this novel illness is needed to inform diagnosis and management. Objective To describe the clinical features, bronchoscopic findings, imaging patterns, and outcomes of EVALI. Design, Setting, and Participants This case series of 31 adult patients diagnosed with EVALI between June 24 and December 10, 2019, took place at an academic medical center in Salt Lake City, Utah. Exposures e-Cigarette use, also known as vaping. Main Outcomes and Measures Symptoms, laboratory findings, bronchoscopic results, imaging patterns, and clinical outcomes. Results Data from 31 patients (median [interquartile range] age, 24 [21-31] years) were included in the study. Patients were primarily men (24 [77%]) and White individuals (27 [87%]) who used e-cigarette products containing tetrahydrocannabinol (THC) (29 [94%]). Patients presented with respiratory (30 [97%]), constitutional (28 [90%]), and gastrointestinal (28 [90%]) symptoms. Serum inflammatory markers were elevated in all patients. Bronchoscopy was performed in 23 of 28 inpatients (82%) and bronchoalveolar lavage (BAL) revealed the presence of lipid-laden macrophages (LLMs) in 22 of 24 cases (91%). BAL samples tested positive for Pneumocystis jirovecii (3 patients [13%]), rhinovirus (2 patients [8%]), human metapneumovirus and Aspergillus (1 patient each [4%]); all except human metapneumovirus were determined to be false-positives or clinically inconsequential. The exclusive or dominant computed tomography (CT) pattern was organizing pneumonia in 23 of 26 cases (89%). Patients received antibiotics (26 [84%]) and corticosteroids (24 [77%]), and all survived; 20 patients (65%) seen in follow-up showed marked improvement, but residual symptoms (13 [65%]), radiographic opacities (8 [40%]), and abnormal pulmonary function tests (8 of 18 [44%]) were common. Conclusions and Relevance In this case series, patients with EVALI characteristically presented with a flu-like illness with elevated inflammatory markers, LLMs on BAL samples, and an organizing pneumonia pattern on CT imaging. Bronchoscopic testing for infection had a high incidence of false-positive results. Patients had substantial residual abnormal results at early follow-up. These data suggest a limited role for bronchoscopy in typical presentations of EVALI without risk factors for alternative diagnoses and the need for careful longitudinal follow-up. This case series describes the clinical features, bronchoscopic findings, imaging patterns, and outcomes of e-cigarette, or vaping, product use-associated lung injury (EVALI).</t>
  </si>
  <si>
    <t xml:space="preserve">[Aberegg, Scott K.] Univ Utah, Sch Med, Div Resp Crit Care &amp; Occupat Pulm Med, 26 N 1900 E, Salt Lake City, UT 84112 USA; [Aberegg, Scott K.; Cirulis, Meghan M.; Maddock, Sean D.; Freeman, Andrew; Keenan, Lynn M.; Pirozzi, Cheryl S.; Raman, Sanjeev M.; Callahan, Sean J.] Univ Utah Hlth, Div Pulm &amp; Crit Care Med, Salt, Jordan; [Keenan, Lynn M.; Callahan, Sean J.] George E Wahlen Dept Vet Affairs Med Ctr, Salt Lake City, UT USA; [Schroeder, Joyce; Mann, Howard] Univ Utah, Dept Radiol &amp; Imaging Sci, Salt Lake City, UT USA</t>
  </si>
  <si>
    <t xml:space="preserve">Utah System of Higher Education; University of Utah; US Department of Veterans Affairs; Utah System of Higher Education; University of Utah</t>
  </si>
  <si>
    <t xml:space="preserve">Aberegg, SK (corresponding author), Univ Utah, Sch Med, Div Resp Crit Care &amp; Occupat Pulm Med, 26 N 1900 E, Salt Lake City, UT 84112 USA.</t>
  </si>
  <si>
    <t xml:space="preserve">scottaberegg@gmail.com</t>
  </si>
  <si>
    <t xml:space="preserve">Callahan, Sean/0000-0002-3140-9189</t>
  </si>
  <si>
    <t xml:space="preserve">330 N WABASH AVE, STE 39300, CHICAGO, IL 60611-5885 USA</t>
  </si>
  <si>
    <t xml:space="preserve">2574-3805</t>
  </si>
  <si>
    <t xml:space="preserve">JAMA NETW OPEN</t>
  </si>
  <si>
    <t xml:space="preserve">JAMA Netw. Open</t>
  </si>
  <si>
    <t xml:space="preserve">e2019176</t>
  </si>
  <si>
    <t xml:space="preserve">10.1001/jamanetworkopen.2020.19176</t>
  </si>
  <si>
    <t xml:space="preserve">OU1UP</t>
  </si>
  <si>
    <t xml:space="preserve">WOS:000591320600002</t>
  </si>
  <si>
    <t xml:space="preserve">Vela, M; del Rosal, T; Pérez-Martínez, A; Valentín, J; Casas, I; Pozo, F; Reinoso-Barbero, F; Bueno, D; Corral, D; Méndez-Echevarria, A; Mozo, Y; Calvo, C</t>
  </si>
  <si>
    <t xml:space="preserve">Vela, Maria; del Rosal, Teresa; Perez-Martinez, Antonio; Valentin, Jaime; Casas, Inmaculada; Pozo, Francisco; Reinoso-Barbero, Francisco; Bueno, David; Corral, Dolores; Mendez-Echevarria, Ana; Mozo, Yasmina; Calvo, Cristina</t>
  </si>
  <si>
    <t xml:space="preserve">Possible role of highly activated mucosal NK cells against viral respiratory infections in children undergoing haematopoietic stem cell transplantation</t>
  </si>
  <si>
    <t xml:space="preserve">Rhinovirus; Immunology; Hematopoietic stem cell transplantation; Immune system; Respiratory system</t>
  </si>
  <si>
    <t xml:space="preserve">CORD BLOOD TRANSPLANTATION; NATURAL-KILLER-CELLS; SYNCYTIAL-VIRUS; BONE-MARROW; T-CELL; IMMUNE RECONSTITUTION; PERIPHERAL-BLOOD; HUMAN METAPNEUMOVIRUS; RECIPIENTS; INFLUENZA</t>
  </si>
  <si>
    <t xml:space="preserve">Infection is the leading cause of non-relapse-related mortality after allogeneic haematopoietic stem cell transplantation (HSCT). Altered functions of immune cells in nasal secretions may influence post HSCT susceptibility to viral respiratory infections. In this prospective study, we determined T and NK cell numbers together with NK activation status in nasopharyngeal aspirates (NPA) in HSCT recipients and healthy controls using multiparametric flow cytometry. We also determined by polymerase chain reaction (PCR) the presence of 16 respiratory viruses. Samples were collected pre-HSCT, at day 0, +10, +20 and +30 after HSCT. Peripheral blood (PB) was also analyzed to determine T and NK cell numbers. A total of 27 pediatric HSCT recipients were enrolled and 16 of them had at least one viral detection (60%). Rhinovirus was the most frequent pathogen (84% of positive NPAs). NPAs of patients contained fewer T and NK cells compared to healthy controls (p = 0.0132 and p = 0.120, respectively). Viral PCR + patients showed higher NK cell number in their NPAs. The activating receptors repertoire expressed by NK cells was also higher in NPA samples, especially NKp44 and NKp46. Our study supports NK cells relevance for the immune defense against respiratory viruses in HSCT recipients.</t>
  </si>
  <si>
    <t xml:space="preserve">[Vela, Maria; del Rosal, Teresa; Perez-Martinez, Antonio; Valentin, Jaime; Corral, Dolores; Mendez-Echevarria, Ana; Calvo, Cristina] Hosp La Paz, Inst Hlth Res IdiPAZ, Translat Res Paediat Oncol Hematopoiet Transplant, Madrid, Spain; [del Rosal, Teresa; Mendez-Echevarria, Ana; Calvo, Cristina] La Paz Univ Hosp, Paediat Infect Dis Dept, Madrid, Spain; [Perez-Martinez, Antonio; Bueno, David; Corral, Dolores; Mozo, Yasmina] La Paz Univ Hosp, Paediat Hemato Oncol Dept, Madrid, Spain; [Casas, Inmaculada; Pozo, Francisco] Natl Microbiol Ctr ISCIII, Respiratory Virus &amp; Influenza Unit, Madrid, Spain; [Reinoso-Barbero, Francisco] La Paz Univ Hosp, Pediat Anesthesiol Dept, Madrid, Spain; [Calvo, Cristina] Translat Res Network Pediat Infect Dis RITIP, Madrid, Spain; [Calvo, Cristina] TEDDY Network European Network Excellence Paediat, Pavia, Italy</t>
  </si>
  <si>
    <t xml:space="preserve">Hospital Universitario La Paz; Hospital Universitario La Paz; Hospital Universitario La Paz; Hospital Universitario La Paz</t>
  </si>
  <si>
    <t xml:space="preserve">Pérez-Martínez, A (corresponding author), Hosp La Paz, Inst Hlth Res IdiPAZ, Translat Res Paediat Oncol Hematopoiet Transplant, Madrid, Spain.;Pérez-Martínez, A (corresponding author), La Paz Univ Hosp, Paediat Hemato Oncol Dept, Madrid, Spain.</t>
  </si>
  <si>
    <t xml:space="preserve">Pérez-Martínez, Antonio/AAF-5797-2019; Calvo, Cristina/T-5028-2018; Del Rosal, Teresa/ABC-9764-2022; Mozo, Yasmina/AAF-2433-2021; Casas, Inmaculada/H-9442-2015</t>
  </si>
  <si>
    <t xml:space="preserve">del Rosal, Teresa/0000-0002-8756-7020; BUENO, DAVID/0000-0003-3392-3285; Casas, Inmaculada/0000-0003-1840-1198; Mozo, Yasmina/0000-0002-5666-1911; Reinoso-Barbero, Francisco/0000-0002-1605-3831; ANA, MENDEZ ECHEVARRIA/0000-0002-7455-9080</t>
  </si>
  <si>
    <t xml:space="preserve">National Health Service of Spain; Instituto de Salud Carlos III (ISCIII); FONDOS FEDER grant (FIS) [PI18/01301]; CRIS Foundation to Beat Cancer; Patients' Support Associations Fundacion Mari Paz Jimenez Casado and La Sonrisa de Alex; European Society for Paediatric Infectious Diseases</t>
  </si>
  <si>
    <t xml:space="preserve">National Health Service of Spain(Spanish Government); Instituto de Salud Carlos III (ISCIII)(Instituto de Salud Carlos IIISpanish Government); FONDOS FEDER grant (FIS); CRIS Foundation to Beat Cancer; Patients' Support Associations Fundacion Mari Paz Jimenez Casado and La Sonrisa de Alex; European Society for Paediatric Infectious Diseases</t>
  </si>
  <si>
    <t xml:space="preserve">This work was supported in part by the National Health Service of Spain, Instituto de Salud Carlos III (ISCIII), FONDOS FEDER grant (FIS) PI18/01301, CRIS Foundation to Beat Cancer, Patients' Support Associations Fundacion Mari Paz Jimenez Casado and La Sonrisa de Alex and a Small Grant Award from the European Society for Paediatric Infectious Diseases.</t>
  </si>
  <si>
    <t xml:space="preserve">DEC 11</t>
  </si>
  <si>
    <t xml:space="preserve">10.1038/s41598-019-55398-y</t>
  </si>
  <si>
    <t xml:space="preserve">JV9WL</t>
  </si>
  <si>
    <t xml:space="preserve">WOS:000502710000001</t>
  </si>
  <si>
    <t xml:space="preserve">Wang, QR; Lee, I; Ren, JP; Ajay, SS; Lee, YS; Bao, XY</t>
  </si>
  <si>
    <t xml:space="preserve">Wang, Qingrong; Lee, Inhan; Ren, Junping; Ajay, Subramanian Shankar; Lee, Yong Sun; Bao, Xiaoyong</t>
  </si>
  <si>
    <t xml:space="preserve">Identification and Functional Characterization of tRNA-derived RNA Fragments (tRFs) in Respiratory Syncytial Virus Infection</t>
  </si>
  <si>
    <t xml:space="preserve">Biology; Viral replication; RNA; Transfer RNA; microRNA; Virus</t>
  </si>
  <si>
    <t xml:space="preserve">HUMAN METAPNEUMOVIRUS; NONCODING RNAS; OXIDATIVE STRESS; EPITHELIAL-CELLS; CLEAVAGE; INHIBITION; EXPRESSION; SEQUENCE; MICRORNA; DISTINCT</t>
  </si>
  <si>
    <t xml:space="preserve">The discovery of small noncoding RNAs (sncRNAs) with regulatory functions is a recent breakthrough in biology. Among sncRNAs, microRNA (miRNA), derived from host or virus, has emerged as elements with high importance in control of viral replication and host responses. However, the expression pattern and functional aspects of other types of sncRNAs, following viral infection, are unexplored. In order to define expression patterns of sncRNAs, as well as to discover novel regulatory sncRNAs in response to viral infection, we applied deep sequencing to cells infected with human respiratory syncytial virus (RSV), the most common cause of bronchiolitis and pneumonia in babies. RSV infection leads to abundant production of transfer RNA (tRNA)-derived RNA Fragments (tRFs) that are similar to 30 nucleotides (nts) long and correspond to the 5'-half of mature tRNAs. At least one tRF, which is derived from tRNA-Glu-CTC, represses target mRNA in the cytoplasm and promotes RSV replication. This demonstrates that this tRF is not a random by-product of tRNA degradation but a functional molecule. The biogenesis of this tRF is also specific, as it is mediated by the endonuclease angiogenin (ANG), not by other nucleases. In summary, our study presents novel information on the induction of a functional tRF by viral infection.</t>
  </si>
  <si>
    <t xml:space="preserve">[Wang, Qingrong; Ren, Junping; Bao, Xiaoyong] Univ Texas Med Branch, Dept Pediat, Galveston, TX 77555 USA; [Lee, Inhan] miRcore, Ann Arbor, MI USA; [Ajay, Subramanian Shankar] NHGRI, Genome Informat Sect, Genome Technol Branch, NIH, Bethesda, MD 20892 USA; [Lee, Yong Sun] Univ Texas Med Branch, Dept Biochem &amp; Mol Biol, Galveston, TX 77555 USA</t>
  </si>
  <si>
    <t xml:space="preserve">University of Texas System; University of Texas Medical Branch Galveston; National Institutes of Health (NIH) - USA; NIH National Human Genome Research Institute (NHGRI); University of Texas System; University of Texas Medical Branch Galveston</t>
  </si>
  <si>
    <t xml:space="preserve">yslee@utmb.edu; xibao@utmb.edu</t>
  </si>
  <si>
    <t xml:space="preserve">National Institutes of Health-National Institute of Allergy and Infectious Diseases [KAI074829A]; American Lung Association [RG232529N]; American Heart Association [12BGIA12060008]; American Heart Association (AHA) [12BGIA12060008] Funding Source: American Heart Association (AHA)</t>
  </si>
  <si>
    <t xml:space="preserve">This work was supported by grants from the National Institutes of Health-National Institute of Allergy and Infectious Diseases KAI074829A, the American Lung Association RG232529N, and American Heart Association 12BGIA12060008 to X.B. Authors thank Jonathan Go for the experimental assistance, Betty H Johnson for assistance with manuscript editing, and Cynthia Tribble for manuscript submission. We also thank Antonella Casola and Roberto Garofalo for their comments on the manuscript. The authors declared no conflict of interest.</t>
  </si>
  <si>
    <t xml:space="preserve">10.1038/mt.2012.237</t>
  </si>
  <si>
    <t xml:space="preserve">083AH</t>
  </si>
  <si>
    <t xml:space="preserve">WOS:000314434600014</t>
  </si>
  <si>
    <t xml:space="preserve">Brottet, E; Jaffar-Bandjee, MC; Li-Pat-Yuen, G; Filleul, L</t>
  </si>
  <si>
    <t xml:space="preserve">Brottet, Elise; Jaffar-Bandjee, Marie-Christine; Li-Pat-Yuen, Ghislaine; Filleul, Laurent</t>
  </si>
  <si>
    <t xml:space="preserve">Etiology of Influenza-Like Illnesses from Sentinel Network Practitioners in Reunion Island, 2011-2012</t>
  </si>
  <si>
    <t xml:space="preserve">Etiology; Influenza-like illness; Medicine</t>
  </si>
  <si>
    <t xml:space="preserve">VIRAL-INFECTIONS; PERFORMANCE; RESPIFINDER</t>
  </si>
  <si>
    <t xml:space="preserve">In Reunion Island, despite an influenza surveillance established since 1996 by the sentinel general practitioner's network, little is known about the etiology of Influenza like-illness (ILI) that differs from influenza viruses in a tropical area. We set up a retrospective study using nasal swabs collected by sentinel GPs from ILI patients in 2011 and 2012. A total of 250 swabs were randomly selected and analyzed by multiplex reverse transcriptase polymerase chain reaction (RT-PCR) including research of 18 viruses and 4 bacteria. We detected respiratory viruses in 169/222 (76.1%) samples, mostly rhinovirus (23.4%), influenza A virus (21.2%), influenza B virus (12.6%), coronavirus (4.9%) and Human metapneumovirus (3.6%). Nine swabs (5.3% of positive swabs) revealed co-infections with two viruses identified, among which six concerned co-infections with influenza viruses. We observed important seasonal differences, with circulation of Human Metapneumoviruses, RSV A and B and coronavirus only during summer; whereas parainfluenza viruses were identified only during winter. In conclusion, this study highlights a substantial circulation of multiple respiratory pathogens in Re A union Island throughout the year. It shows that ILI are not only attributable to influenza and underlines the need for biological surveillance. As the use of multiplex RT-PCR showed its efficacy, it is now used routinely in the surveillance of ILI.</t>
  </si>
  <si>
    <t xml:space="preserve">[Brottet, Elise; Filleul, Laurent] Sante Publ France, French Natl Publ Hlth Agcy, Reg Unit Cire, Ocean Indien, Reunion, France; [Jaffar-Bandjee, Marie-Christine; Li-Pat-Yuen, Ghislaine] Ctr Hosp Univ, Virol Lab, St Denis, Reunion, France</t>
  </si>
  <si>
    <t xml:space="preserve">Sante publique France; CHU Reunion</t>
  </si>
  <si>
    <t xml:space="preserve">Brottet, E (corresponding author), Sante Publ France, French Natl Publ Hlth Agcy, Reg Unit Cire, Ocean Indien, Reunion, France.</t>
  </si>
  <si>
    <t xml:space="preserve">elise.brottet@ars.sante.fr</t>
  </si>
  <si>
    <t xml:space="preserve">Indian Ocean Regional Healthcare Agency (ARS-OI)</t>
  </si>
  <si>
    <t xml:space="preserve">This research was funded by the Indian Ocean Regional Healthcare Agency (ARS-OI) for paying virological analyses and RT-PCR kits of detection.</t>
  </si>
  <si>
    <t xml:space="preserve">e0163377</t>
  </si>
  <si>
    <t xml:space="preserve">10.1371/journal.pone.0163377</t>
  </si>
  <si>
    <t xml:space="preserve">DW8GK</t>
  </si>
  <si>
    <t xml:space="preserve">WOS:000383892700053</t>
  </si>
  <si>
    <t xml:space="preserve">Summer, S; Schmidt, R; Herdina, AN; Krickl, I; Madner, J; Greiner, G; Mayer, FJ; Perkmann-Nagele, N; Strassl, R</t>
  </si>
  <si>
    <t xml:space="preserve">Summer, Sabrina; Schmidt, Ralf; Herdina, Anna Nele; Krickl, Isabella; Madner, Julia; Greiner, Georg; Mayer, Florian J.; Perkmann-Nagele, Nicole; Strassl, Robert</t>
  </si>
  <si>
    <t xml:space="preserve">Detection of SARS-CoV-2 by real-time PCR under challenging pre-analytical conditions reveals independence of swab media and cooling chain</t>
  </si>
  <si>
    <t xml:space="preserve">Rhinovirus; Economic shortage</t>
  </si>
  <si>
    <t xml:space="preserve">STABILITY; CORONAVIRUS; INFLUENZA; ASSAY</t>
  </si>
  <si>
    <t xml:space="preserve">With global demand for SARS-CoV-2 testing ever rising, shortages in commercially available viral transport media pose a serious problem for laboratories and health care providers. For reliable diagnosis of SARS-CoV-2 and other respiratory viruses, executed by Real-time PCR, the quality of respiratory specimens, predominantly determined by transport and storage conditions, is crucial. Therefore, our aim was to explore the reliability of minimal transport media, comprising saline or the CDC recommended Viral Transport Media (HBSS VTM), for the diagnosis of SARS-CoV-2 and other respiratory viruses (influenza A, respiratory syncytial virus, adenovirus, rhinovirus and human metapneumovirus) compared to commercial products, such as the Universal Transport Media (UTM). We question the assumptions, that the choice of medium and temperature for storage and transport affect the accuracy of viral detection by RT-PCR. Both alternatives to the commercial transport medium (UTM), HBSS VTM or saline, allow adequate detection of SARS-CoV-2 and other respiratory viruses, regardless of storage temperatures up to 28 degrees C and storage times up to 28 days. Our study revealed the high resilience of SARS-CoV-2 and other respiratory viruses, enabling proper detection in clinical specimens even after long-time storage at high temperatures, independent of the transport medium's composition.</t>
  </si>
  <si>
    <t xml:space="preserve">[Summer, Sabrina] Med Univ Vienna, Ctr Anat &amp; Cell Biol, A-1090 Vienna, Austria; [Schmidt, Ralf; Herdina, Anna Nele; Greiner, Georg; Mayer, Florian J.; Perkmann-Nagele, Nicole; Strassl, Robert] Med Univ Vienna, Div Clin Virol, Dept Lab Med, Waehringer Guertel 18-20, A-1090 Vienna, Austria; [Krickl, Isabella; Madner, Julia] Med Univ Vienna, Dept Gynecol Endocrinol &amp; Reprod Med, Ambulance Invitro Fertilizat, A-1090 Vienna, Austria; [Greiner, Georg] Med Univ Vienna, Ludwig Boltzmann Inst Hematol &amp; Oncol, A-1090 Vienna, Austria; [Greiner, Georg] Ihr Labor, Med Diagnost Labs, A-1220 Vienna, Austria</t>
  </si>
  <si>
    <t xml:space="preserve">Medical University of Vienna; Medical University of Vienna; Medical University of Vienna; Medical University of Vienna; Ludwig Boltzmann Institute</t>
  </si>
  <si>
    <t xml:space="preserve">Strassl, R (corresponding author), Med Univ Vienna, Div Clin Virol, Dept Lab Med, Waehringer Guertel 18-20, A-1090 Vienna, Austria.</t>
  </si>
  <si>
    <t xml:space="preserve">robert.strassl@meduniwien.ac.at</t>
  </si>
  <si>
    <t xml:space="preserve">Herdina, Anna/J-6424-2019</t>
  </si>
  <si>
    <t xml:space="preserve">Greiner, Georg/0000-0002-0917-4117; Strassl, Robert/0000-0002-2157-0382; Mayer, Florian J./0000-0001-7219-413X; Summer, Sabrina/0000-0002-1489-8638; Herdina, Anna Nele/0000-0001-5176-7154; Schmidt, Ralf/0000-0002-6697-0363</t>
  </si>
  <si>
    <t xml:space="preserve">JUN 30</t>
  </si>
  <si>
    <t xml:space="preserve">10.1038/s41598-021-93028-8</t>
  </si>
  <si>
    <t xml:space="preserve">TH0NI</t>
  </si>
  <si>
    <t xml:space="preserve">WOS:000671791200021</t>
  </si>
  <si>
    <t xml:space="preserve">Martin, ET; Fairchok, MP; Kuypers, J; Magaret, A; Zerr, DM; Wald, A; Englund, JA</t>
  </si>
  <si>
    <t xml:space="preserve">Martin, Emily T.; Fairchok, Mary P.; Kuypers, Jane; Magaret, Amalia; Zerr, Danielle M.; Wald, Anna; Englund, Janet A.</t>
  </si>
  <si>
    <t xml:space="preserve">Frequent and Prolonged Shedding of Bocavirus in Young Children Attending Daycare</t>
  </si>
  <si>
    <t xml:space="preserve">Human bocavirus; Medicine; Asymptomatic; Odds ratio; Viral shedding; Confidence interval; Pediatrics; Prospective cohort study</t>
  </si>
  <si>
    <t xml:space="preserve">RESPIRATORY-TRACT DISEASE; VIRUS-LIKE PARTICLES; TIME RT-PCR; HUMAN METAPNEUMOVIRUS; FRENCH CHILDREN; INFECTION; QUANTIFICATION; PARVOVIRUS; SPECIMENS; DIAGNOSIS</t>
  </si>
  <si>
    <t xml:space="preserve">Background. Little is known about human bocavirus (HBoV) persistence and shedding and the association between HBoV detection and the onset and resolution of respiratory symptoms. Methods. We performed HBoV testing on nasal swab samples from a prospective, longitudinal study of respiratory illness in 119 children who attended daycare. Results. HBoV was detected in 70 children (59%) and in 106 (33%) of the 318 cases of illness. Another virus was detected in 76 (72%) of 106 HBoV-positive cases. Extended and intermittent shedding was observed, with consistent HBoV detection documented for up to 75 days. HBoV was detected in 20 (44%) of 45 asymptomatic enrollment samples, and HBoV prevalence and viral load did not differ significantly between children with and children without symptoms at enrollment. HBoV-positive illnesses were longer than HBoV-negative illnesses (odds ratio for duration of symptoms 17 days, 2.44; 95% confidence interval, 1.41-4.22), and illnesses with HBoV load &gt;= 4 log 10 copies/mL required a visit to a health care provider more often than did HBoV-negative illnesses (odds ratio, 1.64; 95% confidence interval, 1.02-2.64). Conclusion. HBoV was more common in illnesses with greater severity. However, detection of HBoV was not associated with the presence of respiratory illness or with specific respiratory symptoms in this prospective study of infants and toddlers attending daycare centers.</t>
  </si>
  <si>
    <t xml:space="preserve">[Martin, Emily T.; Zerr, Danielle M.; Englund, Janet A.] Seattle Childrens Res Inst, Ctr Clin &amp; Translat Res, Seattle, WA 98101 USA; [Fairchok, Mary P.; Zerr, Danielle M.; Englund, Janet A.] Univ Washington, Dept Pediat, Seattle, WA 98195 USA; [Kuypers, Jane; Magaret, Amalia; Wald, Anna] Univ Washington, Dept Lab Med, Seattle, WA 98195 USA; [Wald, Anna] Univ Washington, Dept Epidemiol, Seattle, WA 98195 USA; [Wald, Anna] Univ Washington, Dept Med, Seattle, WA USA; [Magaret, Amalia; Wald, Anna] Fred Hutchinson Canc Res Ctr, Vaccine &amp; Infect Dis Inst, Seattle, WA 98104 USA; [Fairchok, Mary P.] Madigan Army Med Ctr, Dept Pediat, Tacoma, WA 98431 USA</t>
  </si>
  <si>
    <t xml:space="preserve">Seattle Children's Hospital; University of Washington; University of Washington Seattle; University of Washington; University of Washington Seattle; University of Washington; University of Washington Seattle; University of Washington; University of Washington Seattle; Fred Hutchinson Cancer Center; Madigan Army Medical Center</t>
  </si>
  <si>
    <t xml:space="preserve">Martin, ET (corresponding author), Seattle Childrens Res Inst, Ctr Clin &amp; Translat Res, 1900 9th Ave M-S C9S-9C, Seattle, WA 98101 USA.</t>
  </si>
  <si>
    <t xml:space="preserve">MedImmune [SYN104-05D]; Investigator Initiated Research Program; National Institutes of Health/National Institute of Allergy and Infectious Diseases [K24 AI107113]</t>
  </si>
  <si>
    <t xml:space="preserve">MedImmune(AstraZenecaMedimmune); Investigator Initiated Research Program; National Institutes of Health/National Institute of Allergy and Infectious Diseases(United States Department of Health &amp; Human ServicesNational Institutes of Health (NIH) - USANIH National Institute of Allergy &amp; Infectious Diseases (NIAID))</t>
  </si>
  <si>
    <t xml:space="preserve">Financial support: MedImmune (grant SYN104-05D), Investigator Initiated Research Program (J.A.E.), and National Institutes of Health/National Institute of Allergy and Infectious Diseases (grant K24 AI107113 to A. W.).</t>
  </si>
  <si>
    <t xml:space="preserve">10.1086/652405</t>
  </si>
  <si>
    <t xml:space="preserve">589TH</t>
  </si>
  <si>
    <t xml:space="preserve">WOS:000277176200005</t>
  </si>
  <si>
    <t xml:space="preserve">Esper, F; Weibel, C; Ferguson, D; Landry, ML; Kahn, JS</t>
  </si>
  <si>
    <t xml:space="preserve">Evidence of a novel human coronavirus that is associated with respiratory tract disease in infants and young children</t>
  </si>
  <si>
    <t xml:space="preserve">Respiratory tract; Coronavirus disease 2019 (COVID-19); Disease; Coronavirus; Medicine</t>
  </si>
  <si>
    <t xml:space="preserve">ANTIGENIC RELATIONSHIPS; HUMAN METAPNEUMOVIRUS; IDENTIFICATION; PNEUMONIA; INFECTION</t>
  </si>
  <si>
    <t xml:space="preserve">Background. The etiological agents responsible for a substantial proportion of respiratory tract diseases have not been identified. We sought to determine whether novel human coronaviruses (HCoVs) are circulating in New Haven, Connecticut, and, if so, whether they are associated with respiratory tract disease in infants and young children. Methods. We developed a polymerase chain reaction (PCR)-based approach for screening specimens from the respiratory tracts of symptomatic children. PCR probes that target regions of the replicase 1a gene that are conserved among genetically diverse animal CoVs and HCoVs were designed. Using these probes, we identified genomic sequences of a novel HCoV, designated New Haven coronavirus (HCoV-NH). Thereafter, we designed specific probes to screen respiratory specimens from children &lt;5 years old for this novel HCoV. Clinical features associated with HCoV-NH infection were identified. Results. Seventy-nine (8.8%) of 895 children tested positive for HCoV-NH. Cough, rhinorrhea, tachypnea, fever, abnormal breath sounds, and hypoxia were the most common findings associated with HCoV-NH infection. Sequence analysis revealed that HCoV-NH is closely related to a novel HCoV recently reported in The Netherlands. Conclusions. The novel HCoVs identified in New Haven and The Netherlands are similar and likely represent the same species. This newly discovered virus may have worldwide distribution and may account for a significant proportion of respiratory tract disease in infants and young children.</t>
  </si>
  <si>
    <t xml:space="preserve">Yale Univ, Sch Med, Dept Pediat, Div Infect Dis, New Haven, CT 06520 USA; Yale Univ, Sch Med, Dept Lab Med, New Haven, CT 06520 USA; Yale Univ, Sch Med, Dept Epidemiol &amp; Publ Hlth, New Haven, CT 06520 USA</t>
  </si>
  <si>
    <t xml:space="preserve">NCRR NIH HHS [M01 RR006022, M01-RR06022] Funding Source: Medline; NIAID NIH HHS [T32 AI07210-20, T32 AI007210] Funding Source: Medline</t>
  </si>
  <si>
    <t xml:space="preserve">10.1086/428138</t>
  </si>
  <si>
    <t xml:space="preserve">888ZM</t>
  </si>
  <si>
    <t xml:space="preserve">WOS:000226413100002</t>
  </si>
  <si>
    <t xml:space="preserve">Ljungström, LR; Jacobsson, G; Claesson, BEB; Andersson, R; Enroth, H</t>
  </si>
  <si>
    <t xml:space="preserve">Ljungstrom, L. R.; Jacobsson, G.; Claesson, B. E. B.; Andersson, R.; Enroth, H.</t>
  </si>
  <si>
    <t xml:space="preserve">Respiratory viral infections are underdiagnosed in patients with suspected sepsis</t>
  </si>
  <si>
    <t xml:space="preserve">Medicine; Human metapneumovirus; Pneumonia; Medical microbiology; Streptococcus pneumoniae</t>
  </si>
  <si>
    <t xml:space="preserve">COMMUNITY-ACQUIRED PNEUMONIA; TRACT-INFECTIONS; STREPTOCOCCUS-PNEUMONIAE; BACTERIAL PNEUMONIA; INFLUENZA-VIRUS; SEPTIC SHOCK; ASSAY; PCR; COINFECTION; DIAGNOSIS</t>
  </si>
  <si>
    <t xml:space="preserve">The study aim was to investigate the prevalence and clinical relevance of viral findings by multiplex PCR from the nasopharynx of clinically septic patients during a winter season. During 11 weeks of the influenza epidemic period in January-March 2012, consecutive adult patients suspected to be septic (n = 432) were analyzed with cultures from blood and nasopharynx plus multiplex PCR for respiratory viruses on the nasopharyngeal specimen. The results were compared with those from microbiology analyses ordered as part of standard care. During the winter season, viral respiratory pathogens, mainly influenza A virus, human metapneumovirus, coronavirus, and respiratory syncytial virus were clinically underdiagnosed in 70% of patients positive by the multiplex PCR assay. During the first four weeks of the influenza epidemic, few tests for influenza were ordered by clinicians, indicating low awareness that the epidemic had started. Nasopharyngeal findings of Streptococcus pneumoniae and Haemophilus influenzae by culture correlated to pneumonia diagnosis, and in those patients laboratory signs of viral co-infections were common but rarely suspected by clinicians. The role of respiratory viral infections in patients presenting with a clinical picture of sepsis is underestimated. Specific antiviral treatment might be beneficial in some cases and may reduce spread in a hospital setting. Diagnosing viral infections may promote reduction of unnecessary antibiotic use. It can also be a tool for decisions concerning patient logistics, in order to minimize exposure of susceptible patients and personnel.</t>
  </si>
  <si>
    <t xml:space="preserve">[Ljungstrom, L. R.; Jacobsson, G.] Skaraborg Hosp, Dept Infect Dis, S-54185 Skovde, Sweden; [Claesson, B. E. B.] Skaraborg Hosp, Dept Clin Microbiol, Unilabs, Skovde, Sweden; [Ljungstrom, L. R.; Jacobsson, G.; Andersson, R.] Gothenburg Univ, Sahlgrenska Acad, Inst Biomed, CARe Ctr Antibiot Resistance Res,Dept Infect Dis, Gothenburg, Sweden; [Enroth, H.] Skaraborg Hosp, Dept Clin Mol Microbiol, Unilabs, Skovde, Sweden; [Enroth, H.] Univ Skovde, Sch Biosci, Skovde, Sweden</t>
  </si>
  <si>
    <t xml:space="preserve">University of Gothenburg; University of Skovde</t>
  </si>
  <si>
    <t xml:space="preserve">Ljungström, LR (corresponding author), Skaraborg Hosp, Dept Infect Dis, S-54185 Skovde, Sweden.;Ljungström, LR (corresponding author), Gothenburg Univ, Sahlgrenska Acad, Inst Biomed, CARe Ctr Antibiot Resistance Res,Dept Infect Dis, Gothenburg, Sweden.</t>
  </si>
  <si>
    <t xml:space="preserve">lars.ljungstrom@vgregion.se</t>
  </si>
  <si>
    <t xml:space="preserve">Ljungstrom, Lars/0000-0002-3644-4768</t>
  </si>
  <si>
    <t xml:space="preserve">Vastra Gataland, clinical research fund Skaraborg Hospital; Unilabs RD fund</t>
  </si>
  <si>
    <t xml:space="preserve">We thank the staff at Skaraborg Hospital in Skovde and Lidkoping and the laboratory personnel at Unilabs for skilful assistance during the collection of the study. We thank Jesper Karlsson who did all the multiplex-PCR testing. We also thank Prof. Lars Hagberg, and Dr. Michael Toepfer for reviewing the whole manuscript. Finally, we greatly appreciate Mrs. Anna-Lena Emanuelsson-Loft for scrutinizing the lay-out of the article. This study was supported by grants from regional funds in Vastra Gataland, clinical research fund Skaraborg Hospital, and from Unilabs R&amp;D fund.</t>
  </si>
  <si>
    <t xml:space="preserve">10.1007/s10096-017-2990-z</t>
  </si>
  <si>
    <t xml:space="preserve">FH0NB</t>
  </si>
  <si>
    <t xml:space="preserve">WOS:000410836300008</t>
  </si>
  <si>
    <t xml:space="preserve">Balinandi, S; Bakamutumaho, B; Kayiwa, JT; Ongus, J; Oundo, J; Awor, AC; Lutwama, JJ</t>
  </si>
  <si>
    <t xml:space="preserve">Balinandi, Stephen; Bakamutumaho, Barnabas; Kayiwa, John T.; Ongus, Juliette; Oundo, Joseph; Awor, Anna C.; Lutwama, Julius J.</t>
  </si>
  <si>
    <t xml:space="preserve">The viral aetiology of influenza-like illnesses in Kampala and Entebbe, Uganda, 2008</t>
  </si>
  <si>
    <t xml:space="preserve">AFRICAN JOURNAL OF LABORATORY MEDICINE</t>
  </si>
  <si>
    <t xml:space="preserve">Virology; Etiology; Medicine</t>
  </si>
  <si>
    <t xml:space="preserve">RESPIRATORY-TRACT INFECTIONS; CHILDREN; SURVEILLANCE; COMMUNITY; EPIDEMIOLOGY; VIRUSES; PNEUMONIA; SENEGAL; SAMPLES</t>
  </si>
  <si>
    <t xml:space="preserve">Background: As the threat of zoonoses and the emergence of pandemic-prone respiratory viruses increases, there is a need to establish baseline information on the incidence of endemic pathogens in countries worldwide. Objectives: To investigate the presence of viruses associated with influenza-like illnesses (ILI) in Uganda. Methods: A cross-sectional study was conducted in which nasopharyngeal swab specimens were collected from patients diagnosed with ILI in Kampala and Entebbe between 14 August 2008-15 December 2008. A multiplex polymerase chain reaction assay for detecting 12 respiratory viruses was used. Results: A total of 369 patients (52.3% females) was enrolled; the median age was 6 years (range 1-70). One or more respiratory viruses were detected in 172 (46.6%) cases and their prevalence were influenza A virus (19.2%), adenovirus (8.7%), human rhinovirus A (7.9%), coronavirus OC43 (4.3%), parainfluenza virus 1 (2.7%), parainfluenza virus 3 (2.7%), influenza B virus (2.2%), respiratory syncytial virus B (2.2%), human metapneumovirus (1.4%), respiratory syncytial virus A (1.1%), parainfluenza virus 2 (0.5%) and coronavirus 229E (0.5%). There were 24 (14.0%) mixed infections. Conclusions: This study identified some of the respiratory viruses associated with ILI in Uganda. The circulation of some of the viruses was previously unknown in the study population. These results are useful in order to guide future surveillance and case management strategies involving respiratory illnesses in Uganda.</t>
  </si>
  <si>
    <t xml:space="preserve">[Balinandi, Stephen; Oundo, Joseph] Field Epidemiol &amp; Lab Training Program, Nairobi, Kenya; [Balinandi, Stephen; Bakamutumaho, Barnabas; Kayiwa, John T.; Awor, Anna C.; Lutwama, Julius J.] Uganda Virus Res Inst, Entebbe, Uganda; [Ongus, Juliette] Jomo Kenyatta Univ Agr &amp; Technol, Dept Med Lab Sci, Juja, Kenya</t>
  </si>
  <si>
    <t xml:space="preserve">Uganda Virus Research Institute; Jomo Kenyatta University of Agriculture &amp; Technology</t>
  </si>
  <si>
    <t xml:space="preserve">Balinandi, S (corresponding author), Uganda Virus Res Inst, POB 49, Entebbe, Uganda.</t>
  </si>
  <si>
    <t xml:space="preserve">zcq1@ug.cdc.gov</t>
  </si>
  <si>
    <t xml:space="preserve">Lutwama, Julius Julian/0000-0002-3210-722X</t>
  </si>
  <si>
    <t xml:space="preserve">Centers for Disease Control and Prevention, Atlanta, USA through the African Field Epidemiology Network; Centers for Disease Control and Prevention, Atlanta, USA through the Kenya Field Epidemiology and Laboratory Training Programme</t>
  </si>
  <si>
    <t xml:space="preserve">We would like to thank all the staff at Entebbe Hospital and Kiswa Health Centre, especially Roselyn Mutonyi, Janet Aliru, Lucy Wanyenze, Grace Kaija and Molly Busingye, who in addition to their routine hospital work, accepted the task of taking on the extra responsibility of collecting data for this study. We also thank Robert Downing, Njenga M. Kariuki and Benjamin D. Moser for their technical support. The study participants' enrolment in this study is highly appreciated. We are also indebted to the Centers for Disease Control and Prevention, Atlanta, USA who provided funding for this study through the African Field Epidemiology Network and the Kenya Field Epidemiology and Laboratory Training Programme.</t>
  </si>
  <si>
    <t xml:space="preserve">CAPE TOWN</t>
  </si>
  <si>
    <t xml:space="preserve">POSTNET SUITE 55, PRIVATE BAG X22, TYGERVALLEY, CAPE TOWN, 00000, SOUTH AFRICA</t>
  </si>
  <si>
    <t xml:space="preserve">2225-2002</t>
  </si>
  <si>
    <t xml:space="preserve">2225-2010</t>
  </si>
  <si>
    <t xml:space="preserve">AFR J LAB MED</t>
  </si>
  <si>
    <t xml:space="preserve">Afr. J. Lab. Med.</t>
  </si>
  <si>
    <t xml:space="preserve">10.4102/ajlm.v2i1.65</t>
  </si>
  <si>
    <t xml:space="preserve">V25XE</t>
  </si>
  <si>
    <t xml:space="preserve">WOS:000215256500007</t>
  </si>
  <si>
    <t xml:space="preserve">Abdulhaq, AA; Basode, VK; Hashem, AM; Alshrari, AS; Badroon, NA; Hassan, AM; Alsubhi, TL; Solan, Y; Ejeeli, S; Azhar, EI</t>
  </si>
  <si>
    <t xml:space="preserve">Abdulhaq, Ahmed A.; Basode, Vinod Kumar; Hashem, Anwar M.; Alshrari, Ahmed S.; Badroon, Nassrin A.; Hassan, Ahmed M.; Alsubhi, Tagreed L.; Solan, Yahia; Ejeeli, Saleh; Azhar, Esam I.</t>
  </si>
  <si>
    <t xml:space="preserve">Patterns of Human Respiratory Viruses and Lack of MERS-Coronavirus in Patients with Acute Upper Respiratory Tract Infections in Southwestern Province of Saudi Arabia</t>
  </si>
  <si>
    <t xml:space="preserve">Rhinovirus; Medicine; Coinfection; Respiratory system; Respiratory tract infections; Middle East respiratory syndrome coronavirus; Coronavirus</t>
  </si>
  <si>
    <t xml:space="preserve">MIDDLE-EAST; HUMAN METAPNEUMOVIRUS; HOSPITALIZED CHILDREN; VIRAL-INFECTIONS; SYNCYTIAL VIRUS; PNEUMONIA; EPIDEMIOLOGY; SURVEILLANCE; ETIOLOGY; ILLNESS</t>
  </si>
  <si>
    <t xml:space="preserve">We undertook enhanced surveillance of those presenting with respiratory symptoms at five healthcare centers by testing all symptomatic outpatients between November 2013 and January 2014 (winter time). Nasal swabs were collected from 182 patients and screened for MERS-CoV as well as other respiratory viruses using RT-PCR and multiplex microarray. A total of 75 (41.2%) of these patients had positive viral infection. MERS-CoV was not detected in any of the samples. Human rhinovirus (hRV) was the most detected pathogen (40.9%) followed by non-MERS-CoV human coronaviruses (19.3%), influenza (Flu) viruses (15.9%), and human respiratory syncytial virus (hRSV) (13.6%). Viruses differed markedly depending on age in which hRV, Flu A, and hCoVOC43 weremore prevalent in adults and RSV, hCoV-HKU1, and hCoV-NL63 weremostly restricted to children under the age of 15. Moreover, coinfection was not uncommon in this study, in which 17.3% of the infected patients had dual infections due to several combinations of viruses. Dual infections decreased with age and completely disappeared in people older than 45 years. Our study confirms that MERS-CoV is not common in the southwestern region of Saudi Arabia and shows high diversity and prevalence of other common respiratory viruses. This study also highlights the importance and contribution of enhanced surveillance systems for better infection control.</t>
  </si>
  <si>
    <t xml:space="preserve">[Abdulhaq, Ahmed A.; Basode, Vinod Kumar; Ejeeli, Saleh] Jazan Univ, Dept Med Lab Technol, Coll Appl Med Sci, Unit Med Microbiol, Jazan, Saudi Arabia; [Abdulhaq, Ahmed A.] Jazan Univ, Deanship Sci Affairs &amp; Res, Jazan, Saudi Arabia; [Hashem, Anwar M.; Badroon, Nassrin A.; Hassan, Ahmed M.; Alsubhi, Tagreed L.; Azhar, Esam I.] King Abdulaziz Univ, Special Infect Agents Unit, King Fahd Med Res Ctr, Jeddah, Saudi Arabia; [Hashem, Anwar M.] King Abdulaziz Univ, Dept Med Microbiol &amp; Parasitol, Fac Med, Jeddah, Saudi Arabia; [Alshrari, Ahmed S.] Northern Border Univ, Dept Basic Hlth Sci, Fac Pharm, Ar Ar, Saudi Arabia; [Solan, Yahia] Minist Hlth, Dept Publ Hlth, Jazan, Saudi Arabia; [Azhar, Esam I.] King Abdulaziz Univ, Fac Appl Med Sci, Dept Med Lab Technol, Jeddah, Saudi Arabia</t>
  </si>
  <si>
    <t xml:space="preserve">Jazan University; Jazan University; King Abdulaziz University; King Abdulaziz University; Northern Border University; Ministry of Health - Saudi Arabia; King Abdulaziz University</t>
  </si>
  <si>
    <t xml:space="preserve">Abdulhaq, AA (corresponding author), Jazan Univ, Dept Med Lab Technol, Coll Appl Med Sci, Unit Med Microbiol, Jazan, Saudi Arabia.;Abdulhaq, AA (corresponding author), Jazan Univ, Deanship Sci Affairs &amp; Res, Jazan, Saudi Arabia.</t>
  </si>
  <si>
    <t xml:space="preserve">alhaq444@gmail.com</t>
  </si>
  <si>
    <t xml:space="preserve">Azhar, Esam/ABI-1044-2020; Abass, Ahmed/S-3107-2019; Hassan, Ahmed/AAB-7241-2019; BASODE, VINOD KUMAR/Q-7021-2019; Hashem, Anwar/B-2301-2017; Alshrari, Ahmed/JJF-4976-2023</t>
  </si>
  <si>
    <t xml:space="preserve">Hassan, Ahmed/0000-0003-2890-8275; BASODE, VINOD KUMAR/0000-0003-4997-6592; Hashem, Anwar/0000-0002-8471-7011; Abdulhaq, Ahmed/0000-0003-3650-1301; Hassan deif, Ahmed/0009-0002-7989-0466; solan, yahia/0000-0002-1491-1441; Alshrari, Ahmed/0000-0002-3666-3848; Azhar, Esam Ibraheem/0000-0002-1736-181X</t>
  </si>
  <si>
    <t xml:space="preserve">Deanship of Scientific Affairs and Research, Jazan University, Jazan, Saudi Arabia [3475-36]</t>
  </si>
  <si>
    <t xml:space="preserve">Deanship of Scientific Affairs and Research, Jazan University, Jazan, Saudi Arabia</t>
  </si>
  <si>
    <t xml:space="preserve">This study was funded Deanship of Scientific Affairs and Research, Jazan University, Jazan, Saudi Arabia (Grant 3475-36). The authors thank Dr. Mohammed Abdulhaleem Ahmed, Dr. Mohammed Saad Oraby, Dr. Maysa Saad Nadeem, Dr. Waad Hassaneen, and Dr. Shymaa Alsaid from different healthcare centers, Jazan Province, for helping in the collection of samples.</t>
  </si>
  <si>
    <t xml:space="preserve">4247853,</t>
  </si>
  <si>
    <t xml:space="preserve">10.1155/2017/4247853</t>
  </si>
  <si>
    <t xml:space="preserve">EQ3AN</t>
  </si>
  <si>
    <t xml:space="preserve">WOS:000397943400001</t>
  </si>
  <si>
    <t xml:space="preserve">Zhang, X; Huang, F; Yang, DY; Peng, T; Lu, G</t>
  </si>
  <si>
    <t xml:space="preserve">Zhang, Xu; Huang, Feng; Yang, Diyuan; Peng, Tao; Lu, Gen</t>
  </si>
  <si>
    <t xml:space="preserve">Identification of miRNA-mRNA Crosstalk in Respiratory Syncytial Virus- (RSV-) Associated Pediatric Pneumonia through Integrated miRNAome and Transcriptome Analysis</t>
  </si>
  <si>
    <t xml:space="preserve">microRNA; Transcriptome; Immune system; Pneumonia; Immunology; Biology; Virus</t>
  </si>
  <si>
    <t xml:space="preserve">HUMAN METAPNEUMOVIRUS; YOUNG-CHILDREN; EXPRESSION; MICRORNAS; BRONCHIOLITIS; MORTALITY; INFECTION; PROFILES; INFANTS; PROTEIN</t>
  </si>
  <si>
    <t xml:space="preserve">Respiratory syncytial virus (RSV) is the most common respiratory virus and is associated with pediatric pneumonia, causing bronchiolitis and significant mortality in infants and young children. MicroRNAs (miRNAs) are endogenous noncoding small RNAs that function in gene regulation and are associated with host immune response and disease progression. In the present study, we profiled the global transcriptome and miRNAome of whole blood samples from children with mild or severe RSV-associated pneumonia, aiming to identify the potential biomarkers and investigate the molecular mechanisms of severe RSV-associated pediatric pneumonia. We found that expression profiles of whole blood microRNAs and mRNAs were altered and distinctly different in children with severe RSV-associated pneumonia. In particular, the four most significantly upregulated miRNAs in children with severe RSV-associated pneumonia were hsa-miR-1271-5p, hsa-miR-10a-3p, hsa-miR-125b-5p, and hsa-miR-30b-3p. The severe RSV-associated pneumonia-specific differentially expressed miRNA target interaction network was also contrasted. These target genes were further analyzed with Gene Ontology enrichment analysis. We found that most of the target genes were involved in inflammatory and immune responses, including the NF-kappa B signaling pathway, the MAPK signaling pathway, and T cell receptor signaling. Our findings will contribute to the identification of biomarkers and new drug design strategies to treat severe RSV-associated pediatric pneumonia.</t>
  </si>
  <si>
    <t xml:space="preserve">[Zhang, Xu; Huang, Feng; Yang, Diyuan; Lu, Gen] Guangzhou Med Univ, Guangzhou Women &amp; Childrens Med Ctr, Guangzhou 510120, Guangdong, Peoples R China; [Zhang, Xu; Peng, Tao] Guangzhou Med Univ, Sino French Hoffmann Inst, Guangzhou 510120, Guangdong, Peoples R China; [Zhang, Xu; Huang, Feng] Sun Yat Sen Univ, Guangdong Engn Res Ctr Antimicrobial Agent &amp; Immu, Zhongshan Sch Med,Minist Educ, Inst Human Virol,Key Lab Trop Dis Control, Guangzhou, Guangdong, Peoples R China</t>
  </si>
  <si>
    <t xml:space="preserve">Guangzhou Medical University; Guangzhou Medical University; Sun Yat Sen University</t>
  </si>
  <si>
    <t xml:space="preserve">Lu, G (corresponding author), Guangzhou Med Univ, Guangzhou Women &amp; Childrens Med Ctr, Guangzhou 510120, Guangdong, Peoples R China.;Peng, T (corresponding author), Guangzhou Med Univ, Sino French Hoffmann Inst, Guangzhou 510120, Guangdong, Peoples R China.</t>
  </si>
  <si>
    <t xml:space="preserve">zhxu22@mail.sysu.edu.cn; huangf8@mail2.sysu.edu.cn; yangdy@gwcmc.org; peng_tao@gibh.ac.cn; lugen@gzhmu.edu.cn</t>
  </si>
  <si>
    <t xml:space="preserve">Peng, Tao/KPB-5806-2024; huang, feng/HSF-2323-2023</t>
  </si>
  <si>
    <t xml:space="preserve">Peng, Tao/0000-0001-5260-7128</t>
  </si>
  <si>
    <t xml:space="preserve">National Natural Science Foundation of China [81701990]; National Science and Technology Major Project [2018ZX10101004003001]</t>
  </si>
  <si>
    <t xml:space="preserve">National Natural Science Foundation of China(National Natural Science Foundation of China (NSFC)); National Science and Technology Major Project</t>
  </si>
  <si>
    <t xml:space="preserve">We thank LetPub (http://www.letpub.com) for its linguistic assistance during the preparation of this manuscript. This study was supported by the National Natural Science Foundation of China (81701990) and the National Science and Technology Major Project (2018ZX10101004003001).</t>
  </si>
  <si>
    <t xml:space="preserve">10.1155/2020/8919534</t>
  </si>
  <si>
    <t xml:space="preserve">LN9ZL</t>
  </si>
  <si>
    <t xml:space="preserve">WOS:000533289000001</t>
  </si>
  <si>
    <t xml:space="preserve">Pinto, LA; Pitrez, PM; Luisi, F; de Mello, PP; Gerhardt, M; Ferlini, R; Barbosa, DC; Daros, I; Jones, MH; Stein, RT; Marostica, PJ</t>
  </si>
  <si>
    <t xml:space="preserve">Pinto, Leonardo A.; Pitrez, Paulo M.; Luisi, Fernanda; de Mello, Patricia Piccoli; Gerhardt, Moises; Ferlini, Roberta; Barbosa, Daniel Cardoso; Daros, Ivana; Jones, Marcus H.; Stein, Renato T.; Marostica, Paulo J.</t>
  </si>
  <si>
    <t xml:space="preserve">Azithromycin Therapy in Hospitalized Infants with Acute Bronchiolitis is Not Associated with Better Clinical Outcomes: A Randomized, Double-Blinded, and Placebo-Controlled Clinical Trial</t>
  </si>
  <si>
    <t xml:space="preserve">Azithromycin; Medicine; Placebo; Bronchiolitis; Randomized controlled trial; Clinical trial</t>
  </si>
  <si>
    <t xml:space="preserve">RESPIRATORY SYNCYTIAL VIRUS; BRONCHIAL EPITHELIAL-CELLS; HUMAN METAPNEUMOVIRUS; ANTIBIOTIC-TREATMENT; PRIMARY INFECTION; TRACT INFECTIONS; CYSTIC-FIBROSIS; CHILDREN; CLARITHROMYCIN; MANAGEMENT</t>
  </si>
  <si>
    <t xml:space="preserve">Objective To test the hypothesis that azithromycin reduces the length of hospitalization and oxygen requirement in infants with acute viral bronchiolitis (AB). Study design We performed a randomized, double-blinded, placebo-controlled trial in southern Brazil, from 2009 to 2011. Infants (&lt;12 months of age) hospitalized with AB were recruited in 2 hospitals. Patients were randomized to receive either azithromycin or placebo, administered orally, for 7 days. At enrollment, clinical data were recorded and nasopharyngeal samples were collected for viral identification through immunofluorescence. Main outcomes were duration of oxygen requirement and length of hospitalization. Results One hundred eighty-four patients were included in the study (azithromycin 88 subjects, placebo 96 subjects). Baseline clinical characteristics and viral identification were not different between the groups studied. A virus was detected in 112 (63%) patients, and of those, 92% were positive for respiratory syncytial virus. The use of azithromycin did not reduce the median number of days of either hospitalization (P = .28) or oxygen requirement (P = .47). Conclusions Azithromycin did not improve major clinical outcomes in a large sample of hospitalized infants with AB, even when restricting the findings to those with positive respiratory syncytial virus samples. Azithromycin therapy should not be given for AB because it provides no benefit and overuse increases overall antibiotic resistance. (J Pediatr 2012;161:1104-8).</t>
  </si>
  <si>
    <t xml:space="preserve">[Pinto, Leonardo A.; Pitrez, Paulo M.; Luisi, Fernanda; Jones, Marcus H.; Stein, Renato T.; Marostica, Paulo J.] Pontificia Univ Catolica Rio Grande do Sul, Hosp Sao Lucas, Inst Biomed Res, Dept Pediat, BR-90610000 Porto Alegre, RS, Brazil; [de Mello, Patricia Piccoli; Gerhardt, Moises; Ferlini, Roberta; Barbosa, Daniel Cardoso; Daros, Ivana; Marostica, Paulo J.] Pontificia Univ Catolica Rio Grande do Sul, Hosp Clin Porto Alegre, Dept Pediat, BR-90610000 Porto Alegre, RS, Brazil</t>
  </si>
  <si>
    <t xml:space="preserve">Pontificia Universidade Catolica Do Rio Grande Do Sul; Pontificia Universidade Catolica Do Rio Grande Do Sul</t>
  </si>
  <si>
    <t xml:space="preserve">Pinto, LA (corresponding author), Pontificia Univ Catolica Rio Grande do Sul, Hosp Sao Lucas, Inst Biomed Res, Dept Pediat, Av Ipiranga 6690-2 Andar, BR-90610000 Porto Alegre, RS, Brazil.</t>
  </si>
  <si>
    <t xml:space="preserve">leonardo.pinto@pucrs.br</t>
  </si>
  <si>
    <t xml:space="preserve">Pitrez, Paulo/W-2098-2019; Pinto, Leonardo/AAG-2800-2020; Stein, Renato/K-2568-2014; A. Pinto, Leonardo/C-6866-2008; Jones, Marcus Herbert/A-3580-2011; Pitrez, Paulo/A-3040-2011</t>
  </si>
  <si>
    <t xml:space="preserve">A. Pinto, Leonardo/0000-0002-3906-5456; STEIN, RENATO/0000-0003-0269-0757; Jones, Marcus Herbert/0000-0002-8263-1265; Pitrez, Paulo/0000-0001-7319-1133</t>
  </si>
  <si>
    <t xml:space="preserve">Fundacao de Amparo a Pesquisa do Estado do Rio Grande do Sul</t>
  </si>
  <si>
    <t xml:space="preserve">Fundacao de Amparo a Pesquisa do Estado do Rio Grande do Sul(Fundacao de Amparo a Ciencia e Tecnologia do Estado do Rio Grande do Sul (FAPERGS))</t>
  </si>
  <si>
    <t xml:space="preserve">Funded by Fundacao de Amparo a Pesquisa do Estado do Rio Grande do Sul, which did not participate in the collection, analysis, or interpretation of data, nor in the writing or the decision to submit the manuscript. The authors declare no conflicts of interest.</t>
  </si>
  <si>
    <t xml:space="preserve">10.1016/j.jpeds.2012.05.053</t>
  </si>
  <si>
    <t xml:space="preserve">040TZ</t>
  </si>
  <si>
    <t xml:space="preserve">WOS:000311348400027</t>
  </si>
  <si>
    <t xml:space="preserve">Rihkanen, H; Beng, ER; Nieminen, T; Komsi, KL; Räty, R; Saxen, H; Ziegler, T; Roivainen, M; Soderlund-Venermo, M; Beng, LA; Hovi, T; Pitkäranta, A</t>
  </si>
  <si>
    <t xml:space="preserve">Rihkanen, Heikki; Beng, Esa Ronkko; Nieminen, Tea; Komsi, Kaija-Leena; Raty, Riitta; Saxen, Harri; Ziegler, Thedi; Roivainen, Merja; Soderlund-Venermo, Maria; Beng, Lahtinen Anne; Hovi, Tapani; Pitkaranta, Anne</t>
  </si>
  <si>
    <t xml:space="preserve">Respiratory viruses in laryngeal croup of young children</t>
  </si>
  <si>
    <t xml:space="preserve">Croup; Respiratory system; Medicine; Laryngitis; Virology</t>
  </si>
  <si>
    <t xml:space="preserve">POLYMERASE-CHAIN-REACTION; HUMAN BOCAVIRUS; PARAINFLUENZA VIRUS; PCR ASSAY; TRACT INFECTIONS; SYNCYTIAL-VIRUS; OTITIS-MEDIA; RT-PCR; EPIDEMIOLOGY; RHINOVIRUSES</t>
  </si>
  <si>
    <t xml:space="preserve">Objectives To determine the viral cause of laryngeal croup by use of highly sensitive methods, and including recently recognized viruses in the analysis. Study design One hundred forty-four consecutive children with hoarse voice and inspiratory stridor attending the emergency department were enrolled. Age- and season-matched children presenting with a wheezing illness served as control subjects (n = 76). Nasopharyngeal swabs were analyzed by polymerase chain reaction for rhinovirus laid enterovirus, coronavirus, respiratory syncytial virus (RSV), parainfluenza virus (PIV) influenza A and B virus, human bocavirus, human metapneumovirus, adenovirus, and Mycoplasma pneumoniae. Results Virus infection was documented in 80% of patients with croup and 71% of control subjects. Children with croup had significantly more positive test results for PIV 1 and 2 (31% vs; 4% and 6% vs 0%, respectively) and significantly fewer positive test results for RSV (15% vs 28%) than wheezing children. Rhinoviruses and enteroviruses were present equally in both groups (21% vs; 25%). There wits no significant difference in the frequency of influenza A virus or human bocavirus. Few subjects with adenovirus or M. pneumoniae were detected. Conclusion Acute laryngeal croup is most often associated with PIV, RSV, rhinovirus, and enterovirus. Rhinovirus and enterovirus appeared equally often in croup and in wheezing illness. During late fall, they were found in 39% and 40%, respectively, of the tested samples.</t>
  </si>
  <si>
    <t xml:space="preserve">[Rihkanen, Heikki] Univ Helsinki, Dept Otorhinolaryngol Head &amp; Neck Surg, Helsinki 00029, Finland; [Nieminen, Tea; Saxen, Harri] Hosp Children &amp; Adolescents, Helsinki, Finland; [Komsi, Kaija-Leena; Raty, Riitta] Jorvi Hosp, Dept Pediat, Helsinki, Finland; [Beng, Esa Ronkko; Ziegler, Thedi; Roivainen, Merja] Univ Helsinki, Cent Hosp, Dept Virol Dis &amp; Immunol, Natl Publ Hlth Inst, Helsinki, Finland; [Soderlund-Venermo, Maria; Beng, Lahtinen Anne; Hovi, Tapani] Univ Helsinki, Haartman Inst, Dept Virol, Helsinki, Finland</t>
  </si>
  <si>
    <t xml:space="preserve">University of Helsinki; Finland National Institute for Health &amp; Welfare; University of Helsinki; Helsinki University Central Hospital; University of Helsinki</t>
  </si>
  <si>
    <t xml:space="preserve">Rihkanen, H (corresponding author), Univ Helsinki, Dept Otorhinolaryngol Head &amp; Neck Surg, PL 220, Helsinki 00029, Finland.</t>
  </si>
  <si>
    <t xml:space="preserve">heikki.rihkanen@hus.fi</t>
  </si>
  <si>
    <t xml:space="preserve">Söderlund-Venermo, Maria/AAX-2112-2020; Hovi, Tapani/AAG-9156-2020; nieminen, tea/B-9402-2015</t>
  </si>
  <si>
    <t xml:space="preserve">nieminen, tea/0000-0003-2157-4567</t>
  </si>
  <si>
    <t xml:space="preserve">J PEDIATR</t>
  </si>
  <si>
    <t xml:space="preserve">10.1016/j.jpeds.2007.10.043</t>
  </si>
  <si>
    <t xml:space="preserve">294AE</t>
  </si>
  <si>
    <t xml:space="preserve">WOS:000255375700015</t>
  </si>
  <si>
    <t xml:space="preserve">Padem, N; Robison, RG</t>
  </si>
  <si>
    <t xml:space="preserve">Padem, Nurcicek; Robison, Rachel Glick</t>
  </si>
  <si>
    <t xml:space="preserve">The infant and toddler with wheezing</t>
  </si>
  <si>
    <t xml:space="preserve">ALLERGY AND ASTHMA PROCEEDINGS</t>
  </si>
  <si>
    <t xml:space="preserve">Medicine; Wheeze; Rhinovirus; Asthma; Pediatrics; Exacerbation; Toddler</t>
  </si>
  <si>
    <t xml:space="preserve">PRESCHOOL-CHILDREN; HIGH-RISK; ASTHMA</t>
  </si>
  <si>
    <t xml:space="preserve">Recurrent wheezing is common in young infants and toddlers, with 50% of all children having at least one wheezing episode in the first 6 years of life. Initial wheezing episodes in young children often are linked to respiratory infections due to viral pathogens, such as respiratory syncytial virus, human rhinovirus, human metapneumovirus, and influenza virus. Bacterial colonization of the neonatal airway also may be significant in the late development of recurrent wheeze and asthma. Wheezing in young children can be classified into specific phenotypes based on the onset and persistence of wheezing. Although some children will only wheeze transiently in early childhood, persistent wheezing is often classified as immunoglobulin E (IgE) associated and/or atopic or nonatopic. By using a modified asthma predictive index, future development of asthma can be interpreted, especially in high-risk populations. It is recommended to follow National Asthma Education and Prevention Program (NAEPP) guidelines for initiation of treatment; however, asthma management of young children often requires tailored regimens. Inhaled corticosteroids used as a daily controller medication have been shown to aid symptoms and exacerbation control; however, these do not change the natural course of the disease or progression to asthma. Although randomized double-blind studies in preschoolers investigated a role of macrolide antibiotics in early infection as well as high-dose inhaled corticosteroids during severe lower respiratory tract infections, more research is needed in this field to understand mechanisms of asthma development and optimal treatment in this young age group.</t>
  </si>
  <si>
    <t xml:space="preserve">[Padem, Nurcicek; Robison, Rachel Glick] Northwestern Univ, Feinberg Sch Med, Dept Med, Div Allergy &amp; Immunol, Chicago, IL 60611 USA</t>
  </si>
  <si>
    <t xml:space="preserve">Robison, RG (corresponding author), Box 60,255 E Chicago Ave, Chicago, IL 60671 USA.</t>
  </si>
  <si>
    <t xml:space="preserve">rrobison@luriechildrens.org</t>
  </si>
  <si>
    <t xml:space="preserve">Robison, Rachel/0000-0003-0160-0529</t>
  </si>
  <si>
    <t xml:space="preserve">Ernest S. Bazley Grant</t>
  </si>
  <si>
    <t xml:space="preserve">Funded by the Ernest S. Bazley Grant to Northwestern Memorial Hospital and Northwestern University</t>
  </si>
  <si>
    <t xml:space="preserve">OCEAN SIDE PUBLICATIONS INC</t>
  </si>
  <si>
    <t xml:space="preserve">PROVIDENCE</t>
  </si>
  <si>
    <t xml:space="preserve">95 PITMAN ST, PROVIDENCE, RI 02906 USA</t>
  </si>
  <si>
    <t xml:space="preserve">1088-5412</t>
  </si>
  <si>
    <t xml:space="preserve">1539-6304</t>
  </si>
  <si>
    <t xml:space="preserve">ALLERGY ASTHMA PROC</t>
  </si>
  <si>
    <t xml:space="preserve">Allergy Asthma Proc.</t>
  </si>
  <si>
    <t xml:space="preserve">10.2500/aap.2019.40.4255</t>
  </si>
  <si>
    <t xml:space="preserve">JZ4EJ</t>
  </si>
  <si>
    <t xml:space="preserve">WOS:000505054000010</t>
  </si>
  <si>
    <t xml:space="preserve">Pérez, A; Gómez, D; Montoro, J; Chorao, P; Hernani, R; Guerreiro, M; Villalba, M; Albert, E; Carbonell-Asins, JA; Hernández-Boluda, JC; Navarro, D; Solano, C; Piñana, JL</t>
  </si>
  <si>
    <t xml:space="preserve">Perez, Ariadna; Gomez, Dolores; Montoro, Juan; Chorao, Pedro; Hernani, Rafael; Guerreiro, Manuel; Villalba, Marta; Albert, Eliseo; Carbonell-Asins, Juan Antonio; Hernandez-Boluda, Juan Carlos; Navarro, David; Solano, Carlos; Pinana, Jose Luis</t>
  </si>
  <si>
    <t xml:space="preserve">Are any specific respiratory viruses more severe than others in recipients of allogeneic stem cell transplantation? A focus on lower respiratory tract disease</t>
  </si>
  <si>
    <t xml:space="preserve">Medicine; Transplantation; Respiratory system; Stem cell; Disease; Respiratory disease; Respiratory tract infections; Respiratory tract</t>
  </si>
  <si>
    <t xml:space="preserve">INFECTIONS; ASSOCIATION; OUTCOMES; THERAPY</t>
  </si>
  <si>
    <t xml:space="preserve">In the general population, influenza virus, respiratory syncytial virus, and SARS-CoV-2 are considered the most severe community-acquired respiratory viruses (CARVs). However, allogeneic stem cell transplant (allo-SCT) recipients may also face severe courses from other CARVs. This retrospective study compared outcomes of various CARV lower respiratory tract diseases (LRTD) in 235 adult allo-SCT recipients, excluding co-infection episodes. We included 235 adults allo-SCT recipients experiencing 353 CARV LRTD consecutive episodes (130 rhinovirus, 63 respiratory syncytial virus, 43 influenza, 43 human parainfluenza virus, 23 human metapneumovirus, 19 Omicron SARS-CoV-2, 17 common coronavirus, 10 adenovirus and 5 human bocavirus) between December 2013 and June 2023. Day 100 overall survival ranged from 78% to 90% without significant differences among CARV types. Multivariable analysis of day 100 all-cause mortality identified corticosteroid use of &gt;1 to &lt;30 mg/d [Hazard ratio (HR) 2.45, p = 0.02) and &gt;= 30 mg/d (HR 2.20, p = 0.015) along with absolute lymphocyte count &lt;0.2 x 10(9)/L (HR 5.82, p &lt; 0.001) and number of CARV episodes as a continuous variable per one episode increase (HR 0.48, p = 0.001) as independent risk factors for all-cause mortality. Degree of immunosuppression, rather than intrinsic CARV virulence, has the most significant impact on mortality in allo-SCT recipients with CARV-LRTD.</t>
  </si>
  <si>
    <t xml:space="preserve">[Perez, Ariadna; Hernani, Rafael; Hernandez-Boluda, Juan Carlos; Solano, Carlos; Pinana, Jose Luis] Hosp Clin Univ Valencia, Dept Hematol, Valencia, Spain; [Perez, Ariadna; Hernani, Rafael; Hernandez-Boluda, Juan Carlos; Solano, Carlos; Pinana, Jose Luis] INCLIVA Biomed Res Inst, Valencia, Spain; [Gomez, Dolores] Hosp Univ &amp; Politecn La Fe, Microbiol Serv, Valencia, Spain; [Montoro, Juan; Chorao, Pedro; Guerreiro, Manuel; Villalba, Marta] Hosp Univ &amp; Politecn La Fe, Hematol Div, Valencia, Spain; [Albert, Eliseo; Navarro, David] Hosp Clin Univ, Microbiol Serv, Valencia, Spain; [Carbonell-Asins, Juan Antonio] INCLIVA, Biostat Unit, Valencia, Spain; [Hernandez-Boluda, Juan Carlos; Solano, Carlos] Univ Valencia, Sch Med, Dept Med, Valencia, Spain; [Navarro, David] Univ Valencia, Sch Med, Dept Microbiol, Valencia, Spain</t>
  </si>
  <si>
    <t xml:space="preserve">Hospital Clinic Universitari de Valencia; Hospital Universitari i Politecnic La Fe; Hospital Universitari i Politecnic La Fe; Hospital Clinic Universitari de Valencia; University of Valencia; University of Valencia</t>
  </si>
  <si>
    <t xml:space="preserve">Piñana, JL (corresponding author), Hosp Clin Univ Valencia, Dept Hematol, Valencia, Spain.;Piñana, JL (corresponding author), INCLIVA Biomed Res Inst, Valencia, Spain.</t>
  </si>
  <si>
    <t xml:space="preserve">Piñana, Jose-Luis/J-9996-2015; Solano, Carlos/AAW-4678-2020; Villalba, Marta/KBQ-9505-2024; Albert, Eliseo/ABF-6073-2021</t>
  </si>
  <si>
    <t xml:space="preserve">Carbonell-Asins, Juan/0000-0002-8449-5674; Direito de Morais Guerreiro, Manuel Nuno/0000-0001-5978-2578; Montoro, Juan/0000-0003-0024-8068; Hernandez-Boluda, Juan Carlos/0000-0002-4289-3113; Hernani, Rafael/0000-0003-1043-8076</t>
  </si>
  <si>
    <t xml:space="preserve">10.1038/s41409-024-02304-4</t>
  </si>
  <si>
    <t xml:space="preserve">A6C4B</t>
  </si>
  <si>
    <t xml:space="preserve">WOS:001221732000001</t>
  </si>
  <si>
    <t xml:space="preserve">Liu, BM; Li, NL; Shen, Y; Bao, XY; Fabrizio, T; Elbahesh, H; Webby, RJ; Li, K</t>
  </si>
  <si>
    <t xml:space="preserve">Liu, Baoming; Li, Nan L.; Shen, Yang; Bao, Xiaoyong; Fabrizio, Thomas; Elbahesh, Husni; Webby, Richard J.; Li, Kui</t>
  </si>
  <si>
    <t xml:space="preserve">The C-Terminal Tail of TRIM56 Dictates Antiviral Restriction of Influenza A and B Viruses by Impeding Viral RNA Synthesis</t>
  </si>
  <si>
    <t xml:space="preserve">Biology; Virology; RNA</t>
  </si>
  <si>
    <t xml:space="preserve">TOLL-LIKE RECEPTORS; INNATE IMMUNITY; SIGNALING PATHWAYS; UBIQUITIN LIGASE; FAMILY PROTEINS; RING-FINGER; RIG-I; NUCLEOPROTEIN; REPLICATION; RECOGNITION</t>
  </si>
  <si>
    <t xml:space="preserve">Accumulating data suggest that tripartite-motif-containing (TRIM) proteins participate in host responses to viral infections, either by acting as direct antiviral restriction factors or through regulating innate immune signaling of the host. Of &gt; 70 TRIMs, TRIM56 is a restriction factor of several positive-strand RNA viruses, including three members of the family Flaviviridae (yellow fever virus, dengue virus, and bovine viral diarrhea virus) and a human coronavirus (OC43), and this ability invariably depends upon the E3 ligase activity of TRIM56. However, the impact of TRIM56 on negative-strand RNA viruses remains unclear. Here, we show that TRIM56 puts a check on replication of influenza A and B viruses in cell culture but does not inhibit Sendai virus or human metapneumovirus, two paramyxoviruses. Interestingly, the anti-influenza virus activity was independent of the E3 ligase activity, B-box, or coiled-coil domain. Rather, deletion of a 63-residue-long C-terminal-tail portion of TRIM56 abrogated the antiviral function. Moreover, expression of this short C-terminal segment curtailed the replication of influenza viruses as effectively as that of full-length TRIM56. Mechanistically, TRIM56 was found to specifically impede intracellular influenza virus RNA synthesis. Together, these data reveal a novel antiviral activity of TRIM56 against influenza A and B viruses and provide insights into the mechanism by which TRIM56 restricts these medically important orthomyxoviruses.</t>
  </si>
  <si>
    <t xml:space="preserve">[Liu, Baoming; Li, Nan L.; Shen, Yang; Elbahesh, Husni; Li, Kui] Univ Tennessee, Ctr Hlth Sci, Dept Microbiol Immunol &amp; Biochem, Memphis, TN 38163 USA; [Bao, Xiaoyong] Univ Texas Med Branch, Dept Pediat, Galveston, TX 77555 USA; [Fabrizio, Thomas; Webby, Richard J.] St Jude Childrens Res Hosp, Dept Infect Dis, 332 N Lauderdale St, Memphis, TN 38105 USA</t>
  </si>
  <si>
    <t xml:space="preserve">University of Tennessee System; University of Tennessee Health Science Center; University of Texas System; University of Texas Medical Branch Galveston; St Jude Children's Research Hospital</t>
  </si>
  <si>
    <t xml:space="preserve">Li, K (corresponding author), Univ Tennessee, Ctr Hlth Sci, Dept Microbiol Immunol &amp; Biochem, Memphis, TN 38163 USA.</t>
  </si>
  <si>
    <t xml:space="preserve">kli1@uthsc.edu</t>
  </si>
  <si>
    <t xml:space="preserve">Elbahesh, Husni/AAR-6880-2021; Webby, Richard/N-5657-2018; Fabrizio, Thomas/J-9935-2013; Liu, Benjamin M/ADF-8969-2022</t>
  </si>
  <si>
    <t xml:space="preserve">Li, Kui/0000-0002-2413-6020; Elbahesh, Husni/0000-0003-1243-0967; Fabrizio, Thomas/0000-0002-8960-0728; Liu, Benjamin M/0000-0003-1225-9936</t>
  </si>
  <si>
    <t xml:space="preserve">HHS \ National Institutes of Health (NIH) [AI101526, AI069285]; American Heart Association (AHA) [15PRE25080234]; American Heart Association (AHA) [15PRE25080234] Funding Source: American Heart Association (AHA)</t>
  </si>
  <si>
    <t xml:space="preserve">HHS \ National Institutes of Health (NIH)(United States Department of Health &amp; Human ServicesNational Institutes of Health (NIH) - USAOffice of the Administrator (NIH)); American Heart Association (AHA)(American Heart Association); American Heart Association (AHA)(American Heart Association)</t>
  </si>
  <si>
    <t xml:space="preserve">This work, including the efforts of Kui Li, was funded by HHS vertical bar National Institutes of Health (NIH) (AI101526 and AI069285). This work, including the efforts of Baoming Liu, was funded by American Heart Association (AHA) (15PRE25080234).</t>
  </si>
  <si>
    <t xml:space="preserve">10.1128/JVI.03172-15</t>
  </si>
  <si>
    <t xml:space="preserve">DK7SG</t>
  </si>
  <si>
    <t xml:space="preserve">WOS:000375125400012</t>
  </si>
  <si>
    <t xml:space="preserve">Harun, A; Beyza, E</t>
  </si>
  <si>
    <t xml:space="preserve">Harun, Agca; Beyza, Ener</t>
  </si>
  <si>
    <t xml:space="preserve">Viral and Atypical Bacterial Respiratory Infections in a University Teaching Hospital</t>
  </si>
  <si>
    <t xml:space="preserve">Human bocavirus; Rhinovirus; Human metapneumovirus; Virology; Mycoplasma pneumoniae; Virus; Medicine</t>
  </si>
  <si>
    <t xml:space="preserve">STEM-CELL TRANSPLANTATION; REAL-TIME PCR; ENTEROVIRUS D68; HUMAN BOCAVIRUS; RHINOVIRUS; PNEUMONIA; OUTPATIENTS; MORTALITY; INFLUENZA; DIAGNOSIS</t>
  </si>
  <si>
    <t xml:space="preserve">Respiratory viral and atypical bacterial agents lead to infections in a large spectrum, from mild symptoms to respiratory failure. In the present study, we aimed to detect multiple viral and bacterial agents in the respiratory samples of inpatients by real-time polymerase chain reaction (RT-PCR). Nasopharyngeal swabs and broncho-alveolar lavage samples from inpatients with respiratory infection symptoms at the Uludag University Hospital between December 1, 2015 and March 31,2018 were investigated. DNA/RNA was extracted using the EZ1 Virus Mini Kit v2.0 (Qiagen, Belgium) with the EZ1 extraction device (Qiagen, Belgium). The R-GENE (R) RT-PCR (Biomerioux, France) kit was used to detect influenza A, influenza B, respiratory syncytial virus (RSV), human metapneumovirus, rhinovirus/enterovirus (RV/EV), adenovirus, human bocavirus (hBoV), corona virus, parainfluenza virus, Chlamydia pneumoniae/Mycoplasma pneumoniae, and Legionella pneumophila in Rotor-Gene Q (Qiagen, Belgium). Patients were aged between 0 and 90 years. Overall, 177 (56.9%) patients were men and 134 (43.1%) were women. A total of 311 samples were analyzed, of which 214 (68.8%) were positive. In total, 360 agents, including 338 viruses and 22 bacteria, were detected. The commonest agents were influenza A+B (n = 65, 18,1%), hBoV (n = 64, 17.8%), RV/EV (n = 56, 15.6%), and RSV (n = 47, 13.1%). Rapid diagnosis of viral infections by RT-PCR is important for the specific treatment of patients.</t>
  </si>
  <si>
    <t xml:space="preserve">[Harun, Agca; Beyza, Ener] Bursa Uludag Univ, Fac Med, Dept Med Microbiol, Bursa, Turkey</t>
  </si>
  <si>
    <t xml:space="preserve">Uludag University</t>
  </si>
  <si>
    <t xml:space="preserve">Harun, A (corresponding author), Bursa Uludag Univ, Fac Med, Dept Med Microbiol, TR-16059 Gorukle, Nilufer Bursa, Turkey.</t>
  </si>
  <si>
    <t xml:space="preserve">drharunagca@yahoo.com</t>
  </si>
  <si>
    <t xml:space="preserve">AGCA, HARUN/ISU-9626-2023</t>
  </si>
  <si>
    <t xml:space="preserve">10.7883/yoken.JJID.2018.510</t>
  </si>
  <si>
    <t xml:space="preserve">WOS:000489677000006</t>
  </si>
  <si>
    <t xml:space="preserve">Matsuda, S; Kiyota, N; Yoshizumi, M; Noda, M</t>
  </si>
  <si>
    <t xml:space="preserve">Matsuda, Shunji; Kiyota, Naoko; Yoshizumi, Masakazu; Noda, Masahiro</t>
  </si>
  <si>
    <t xml:space="preserve">Alteration in Serum Levels of Inflammatory Cytokines during Parainfluenza Virus Type 1 Infection in Patients with Severe Multiple Disabilities</t>
  </si>
  <si>
    <t xml:space="preserve">Immunology; Medicine</t>
  </si>
  <si>
    <t xml:space="preserve">HUMAN METAPNEUMOVIRUS; IDENTIFICATION</t>
  </si>
  <si>
    <t xml:space="preserve">An epidemic of parainfluenza virus type 1 (PIV1) infection occurred in a hospital ward housing patients with severe motor and intellectual disabilities. Twenty-three infected patients exhibited persistent high fever for 4-16 days and decreased lymphocyte counts. One-half of the symptomatic patients had increased blood monocyte counts and the other half progressed to bronchitis or pneumonia. We also compared levels of 27 cytokines in the sera of 21 patients during the acute and normal phases of infection. Cytokine levels were measured with a bead immunoassay performed using the Luminex Multiplex System. Serum levels of interleukin (IL)-1Ra, C-C-motif chemokine (CCL) 2, and C-X-C-motif chemokine (CXCL) 10 significantly increased during the acute phase. In contrast, the serum level of CXCL8 decreased slightly. These results suggest the involvement of monocytes/macrophages and respiratory epithelial cells in the initial stage of PIV1 infection. A previous report using nasal wash samples also found a significant increase in levels of CXCL10 during the acute phase. Hence, CXCL10 may be a useful marker of a cytokine storm produced upon viral infection. However, alterations in levels of IL-1Ra, CCL2, and other cytokines differed between the 2 studies, suggesting that the cytokine profile produced systemically at viral infection is different from that produced at mucosal sites. Further analysis is required to clarify the mechanisms underlying cytokine production during PIV1 infections.</t>
  </si>
  <si>
    <t xml:space="preserve">[Matsuda, Shunji] Natl Hosp Org Ehime, Med Ctr, Inst Clin Res, Tohon, Ehime 7910281, Japan; [Kiyota, Naoko] Kumamoto Prefectural Inst Publ Hlth &amp; Environm Sc, Div Microbiol, Kumamoto 8690425, Japan; [Yoshizumi, Masakazu] Gunma Prefectural Inst Publ Hlth &amp; Environm Sci, Infect Control Ctr, Maebashi, Gunma 3710052, Japan; [Noda, Masahiro] Natl Inst Infect Dis, Infect Dis Surveillance Ctr, Tokyo 2080011, Japan</t>
  </si>
  <si>
    <t xml:space="preserve">Matsuda, S (corresponding author), Natl Hosp Org Ehime, Med Ctr, Inst Clin Res, 366 Yokogawara, Tohon, Ehime 7910281, Japan.</t>
  </si>
  <si>
    <t xml:space="preserve">Japanese Ministry of Health, Labour and Welfare; National Hospital Organization</t>
  </si>
  <si>
    <t xml:space="preserve">Japanese Ministry of Health, Labour and Welfare(Ministry of Health, Labour and Welfare, Japan); National Hospital Organization</t>
  </si>
  <si>
    <t xml:space="preserve">This study was supported by grants from the Japanese Ministry of Health, Labour and Welfare and by clinical research grants from the National Hospital Organization.</t>
  </si>
  <si>
    <t xml:space="preserve">10.7883/yoken.67.392</t>
  </si>
  <si>
    <t xml:space="preserve">AQ2II</t>
  </si>
  <si>
    <t xml:space="preserve">WOS:000342608600014</t>
  </si>
  <si>
    <t xml:space="preserve">Outlaw, VK; Cheloha, RW; Jurgens, EM; Bovier, FT; Zhu, Y; Kreitler, DF; Harder, O; Niewiesk, S; Porotto, M; Gellman, SH; Moscona, A</t>
  </si>
  <si>
    <t xml:space="preserve">Outlaw, Victor K.; Cheloha, Ross W.; Jurgens, Eric M.; Bovier, Francesca T.; Zhu, Yun; Kreitler, Dale F.; Harder, Olivia; Niewiesk, Stefan; Porotto, Matteo; Gellman, Samuel H.; Moscona, Anne</t>
  </si>
  <si>
    <t xml:space="preserve">Engineering Protease-Resistant Peptides to Inhibit Human Parainfluenza Viral Respiratory Infection</t>
  </si>
  <si>
    <t xml:space="preserve">JOURNAL OF THE AMERICAN CHEMICAL SOCIETY</t>
  </si>
  <si>
    <t xml:space="preserve">Lipopeptide; Human metapneumovirus; Heptad repeat; Viral envelope; Glycoprotein; Chemistry; Protease; Lipid bilayer fusion; Virology; Viral entry</t>
  </si>
  <si>
    <t xml:space="preserve">MEASLES-VIRUS INFECTION; ALPHA-HELIX MIMICRY; HEMAGGLUTININ-NEURAMINIDASE; PARAMYXOVIRUS FUSION; MEMBRANE-FUSION; BINDING-SITE; ENTRY; ACTIVATION; MECHANISMS; PROTEINS</t>
  </si>
  <si>
    <t xml:space="preserve">The lower respiratory tract infections affecting children worldwide are in large part caused by the parainfluenza viruses (HPIVs), particularly HPIV3, along with human metapneumovirus and respiratory syncytial virus, enveloped negative-strand RNA viruses. There are no vaccines for these important human pathogens, and existing treatments have limited or no efficacy. Infection by HPIV is initiated by viral glycoprotein-mediated fusion between viral and host cell membranes. A viral fusion protein (F), once activated in proximity to a target cell, undergoes a series of conformational changes that first extend the trimer subunits to allow insertion of the hydrophobic domains into the target cell membrane and then refold the trimer into a stable postfusion state, driving the merger of the viral and host cell membranes. Lipopeptides derived from the C-terminal heptad repeat (HRC) domain of HPIV3 F inhibit infection by interfering with the structural transitions of the trimeric F assembly. Clinical application of this strategy, however, requires improving the in vivo stability of antiviral peptides. We show that the HRC peptide backbone can be modified via partial replacement of alpha-amino acid residues with beta-amino acid residues to generate alpha/beta-peptides that retain antiviral activity but are poor protease substrates. Relative to a conventional alpha-lipopeptide, our best alpha/beta-lipopeptide exhibits improved persistence in vivo and improved anti-HPIV3 antiviral activity in animals.</t>
  </si>
  <si>
    <t xml:space="preserve">[Outlaw, Victor K.; Cheloha, Ross W.; Kreitler, Dale F.; Gellman, Samuel H.] Univ Wisconsin, Dept Chem, Madison, WI 53706 USA; [Jurgens, Eric M.; Bovier, Francesca T.; Zhu, Yun; Porotto, Matteo] Columbia Univ, Dept Pediat, Vagelos Coll Phys &amp; Surg, New York, NY 10032 USA; [Bovier, Francesca T.; Zhu, Yun; Porotto, Matteo] Columbia Univ, Ctr Host Pathogen Interact, Vagelos Coll Phys &amp; Surg, New York, NY 10032 USA; [Bovier, Francesca T.; Porotto, Matteo] Univ Campania Luigi Vanvitelli, Dept Expt Med, I-81100 Caserta, Italy; [Zhu, Yun] Capital Med Univ, Beijing Childrens Hosp, Beijing Pediat Res Inst, Beijing 100045, Peoples R China; [Harder, Olivia; Niewiesk, Stefan] Ohio State Univ, Coll Vet Med, Dept Vet Biosci, Columbus, OH 43210 USA; [Moscona, Anne] Columbia Univ, Vagelos Coll Phys &amp; Surg, Dept Microbiol &amp; Immunol, Ctr Host Pathogen Interact,Dept Pediat, New York, NY 10032 USA; [Moscona, Anne] Columbia Univ, Vagelos Coll Phys &amp; Surg, Dept Physiol &amp; Cellular Biophys, New York, NY 10032 USA</t>
  </si>
  <si>
    <t xml:space="preserve">University of Wisconsin System; University of Wisconsin Madison; Columbia University; Columbia University; Universita della Campania Vanvitelli; Capital Medical University; University System of Ohio; Ohio State University; Columbia University; Columbia University</t>
  </si>
  <si>
    <t xml:space="preserve">Gellman, SH (corresponding author), Univ Wisconsin, Dept Chem, Madison, WI 53706 USA.;Moscona, A (corresponding author), Columbia Univ, Vagelos Coll Phys &amp; Surg, Dept Microbiol &amp; Immunol, Ctr Host Pathogen Interact,Dept Pediat, New York, NY 10032 USA.;Moscona, A (corresponding author), Columbia Univ, Vagelos Coll Phys &amp; Surg, Dept Physiol &amp; Cellular Biophys, New York, NY 10032 USA.</t>
  </si>
  <si>
    <t xml:space="preserve">gellman@chem.wisc.edu; am939@cumc.columbia.edu</t>
  </si>
  <si>
    <t xml:space="preserve">Outlaw, Victor/0000-0001-7054-4204; Gellman, Samuel/0000-0001-5617-0058; Kreitler, Dale/0000-0003-4758-7913; Bovier, Francesca T./0000-0003-3446-9619; POROTTO, Matteo/0000-0003-3866-9220</t>
  </si>
  <si>
    <t xml:space="preserve">NIH [R01AI114736, R01 GM056414, F32 GM122263, T32 GM008349]; Sharon Golub Fund</t>
  </si>
  <si>
    <t xml:space="preserve">NIH(United States Department of Health &amp; Human ServicesNational Institutes of Health (NIH) - USA); Sharon Golub Fund</t>
  </si>
  <si>
    <t xml:space="preserve">This work was supported by NIH grants R01AI114736 to A.M. and R01 GM056414 to S.H.G. and by the Sharon Golub Fund. V.K.O. was supported in part by NIH F32 GM122263. R.W.C. was supported in part by NIH T32 GM008349.</t>
  </si>
  <si>
    <t xml:space="preserve">0002-7863</t>
  </si>
  <si>
    <t xml:space="preserve">1520-5126</t>
  </si>
  <si>
    <t xml:space="preserve">J AM CHEM SOC</t>
  </si>
  <si>
    <t xml:space="preserve">J. Am. Chem. Soc.</t>
  </si>
  <si>
    <t xml:space="preserve">APR 21</t>
  </si>
  <si>
    <t xml:space="preserve">10.1021/jacs.1c01565</t>
  </si>
  <si>
    <t xml:space="preserve">RS2DB</t>
  </si>
  <si>
    <t xml:space="preserve">WOS:000643591600046</t>
  </si>
  <si>
    <t xml:space="preserve">Johnstone, J; Parsons, R; Botelho, F; Millar, J; McNeil, S; Fulop, T; McElhaney, J; Andrew, MK; Walter, SD; Devereaux, PJ; Malekesmaeili, M; Brinkman, RR; Mahony, J; Bramson, J; Loeb, M</t>
  </si>
  <si>
    <t xml:space="preserve">Johnstone, Jennie; Parsons, Robin; Botelho, Fernando; Millar, Jamie; McNeil, Shelly; Fulop, Tamas; McElhaney, Janet; Andrew, Melissa K.; Walter, Stephen D.; Devereaux, P. J.; Malekesmaeili, Mehrnoush; Brinkman, Ryan R.; Mahony, James; Bramson, Jonathan; Loeb, Mark</t>
  </si>
  <si>
    <t xml:space="preserve">Immune Biomarkers Predictive of Respiratory Viral Infection in Elderly Nursing Home Residents</t>
  </si>
  <si>
    <t xml:space="preserve">Immunosenescence; Medicine; Immune system; Immunology; Rhinovirus</t>
  </si>
  <si>
    <t xml:space="preserve">REGULATORY T-CELLS; CYTOMEGALOVIRUS-INFECTION; INFLUENZA VACCINATION; OLDER PERSONS; IMMUNOSENESCENCE; ASSOCIATION; FRAILTY; MORTALITY; RISK; AGE</t>
  </si>
  <si>
    <t xml:space="preserve">Objective: To determine if immune phenotypes associated with immunosenescence predict risk of respiratory viral infection in elderly nursing home residents. Methods: Residents &gt;= 65 years from 32 nursing homes in 4 Canadian cities were enrolled in Fall 2009, 2010 and 2011, and followed for one influenza season. Following influenza vaccination, peripheral blood mononuclear cells (PBMCs) were obtained and analysed by flow cytometry for T-regs, CD4+ and CD8+ T-cell subsets (CCR7+ CD45RA+, CCR7-CD45RA+ and CD28-CD57+) and CMV-reactive CD4+ and CD8+ T-cells. Nasopharyngeal swabs were obtained and tested for viruses in symptomatic residents. A Cox proportional hazards model adjusted for age, sex and frailty, determined the relationship between immune phenotypes and time to viral infection. Results: 1072 residents were enrolled; median age 86 years and 72% female. 269 swabs were obtained, 87 were positive for virus: influenza (24%), RSV (14%), coronavirus (32%), rhinovirus (17%), human metapneumovirus (9%) and parainfluenza (5%). In multivariable analysis, high T-reg% (HR 0.41, 95% CI 0.20-0.81) and high CMV-reactive CD4+ T-cell% (HR 1.69, 95% CI 1.03-2.78) were predictive of respiratory viral infection. Conclusions: In elderly nursing home residents, high CMV-reactive CD4+ T-cells were associated with an increased risk and high T-regs were associated with a reduced risk of respiratory viral infection.</t>
  </si>
  <si>
    <t xml:space="preserve">[Johnstone, Jennie; Walter, Stephen D.; Devereaux, P. J.; Loeb, Mark] McMaster Univ, Dept Clin Epidemiol &amp; Biostat, Hamilton, ON, Canada; [Parsons, Robin; Botelho, Fernando; Millar, Jamie; Bramson, Jonathan] McMaster Univ, McMaster Immunol Res Ctr, Hamilton, ON, Canada; [McNeil, Shelly] Dalhousie Univ, Canadian Ctr Vaccinol, IWK Hlth Ctr &amp; Capital Hlth, Halifax, NS, Canada; [Fulop, Tamas] Univ Sherbrooke, Div Geriatr, Dept Med, Res Ctr Aging, Sherbrooke, PQ J1K 2R1, Canada; [McElhaney, Janet] Northern Ontario Sch Med, Dept Med, Sudbury, ON, Canada; [Andrew, Melissa K.] Dalhousie Univ, Dept Med, Halifax, NS, Canada; [Devereaux, P. J.] McMaster Univ, Dept Med, Hamilton, ON, Canada; [Malekesmaeili, Mehrnoush; Brinkman, Ryan R.] British Columbia Canc Agcy, Terry Fox Lab, Vancouver, BC V5Z 1L3, Canada; [Brinkman, Ryan R.] Univ British Columbia, Dept Med Genet, Vancouver, BC, Canada; [Mahony, James; Bramson, Jonathan; Loeb, Mark] McMaster Univ, Dept Pathol &amp; Mol Med, Hamilton, ON, Canada; [Mahony, James; Bramson, Jonathan; Loeb, Mark] McMaster Univ, Inst Infect Dis Res, Hamilton, ON, Canada</t>
  </si>
  <si>
    <t xml:space="preserve">McMaster University; McMaster University; Dalhousie University; University of Sherbrooke; NOSM University; Dalhousie University; McMaster University; British Columbia Cancer Agency; University of British Columbia; McMaster University; McMaster University</t>
  </si>
  <si>
    <t xml:space="preserve">Johnstone, J (corresponding author), McMaster Univ, Dept Clin Epidemiol &amp; Biostat, Hamilton, ON, Canada.</t>
  </si>
  <si>
    <t xml:space="preserve">johnsj48@mcmaster.ca; loebm@mcmaster.ca</t>
  </si>
  <si>
    <t xml:space="preserve">Devereaux, PJ/AAF-2862-2019; Larche, Mark/B-4326-2010; Walter, Stephen/AAB-5548-2022; Andrew, Melissa/AAR-7052-2021; Brinkman, Ryan/B-1108-2008</t>
  </si>
  <si>
    <t xml:space="preserve">Bramson, Jonathan/0000-0003-2874-6886; Andrew, Melissa/0000-0001-7514-8972; Devereaux, PJ/0000-0003-2935-637X; McNeil, Shelly/0000-0001-5444-4166; Brinkman, Ryan/0000-0002-9765-2990</t>
  </si>
  <si>
    <t xml:space="preserve">Canadian Institutes of Health Research (CIHR); Public Health Agency of Canada (PHAC)/CIHR Influenza Research Network (PCIRN); National Institues of Health [R01 EB008400/EB/NIBIB]; Natural Sciences and Engineering Research Council of Canada</t>
  </si>
  <si>
    <t xml:space="preserve">Canadian Institutes of Health Research (CIHR)(Canadian Institutes of Health Research (CIHR)); Public Health Agency of Canada (PHAC)/CIHR Influenza Research Network (PCIRN); National Institues of Health(United States Department of Health &amp; Human ServicesNational Institutes of Health (NIH) - USA); Natural Sciences and Engineering Research Council of Canada(Natural Sciences and Engineering Research Council of Canada (NSERC)CGIAR)</t>
  </si>
  <si>
    <t xml:space="preserve">This work was supported by Canadian Institutes of Health Research (CIHR), Public Health Agency of Canada (PHAC)/CIHR Influenza Research Network (PCIRN), National Institues of Health (R01 EB008400/EB/NIBIB), Natural Sciences and Engineering Research Council of Canada. The funders had no role in study design, data collection and analysis, decision to publish, or preparation of the manuscript.</t>
  </si>
  <si>
    <t xml:space="preserve">OCT 2</t>
  </si>
  <si>
    <t xml:space="preserve">e108481</t>
  </si>
  <si>
    <t xml:space="preserve">10.1371/journal.pone.0108481</t>
  </si>
  <si>
    <t xml:space="preserve">AQ2BX</t>
  </si>
  <si>
    <t xml:space="preserve">WOS:000342591500018</t>
  </si>
  <si>
    <t xml:space="preserve">Thaitrong, N; Liu, P; Briese, T; Lipkin, WI; Chiesl, TN; Higa, Y; Mathies, RA</t>
  </si>
  <si>
    <t xml:space="preserve">Thaitrong, Numrin; Liu, Peng; Briese, Thomas; Lipkin, W. Ian; Chiesl, Thomas N.; Higa, Yukiko; Mathies, Richard A.</t>
  </si>
  <si>
    <t xml:space="preserve">Integrated Capillary Electrophoresis Microsystem for Multiplex Analysis of Human Respiratory Viruses</t>
  </si>
  <si>
    <t xml:space="preserve">Capillary electrophoresis; Chemistry; Multiplex; Chromatography; Biotinylation; Nucleic acid</t>
  </si>
  <si>
    <t xml:space="preserve">POLYMERASE-CHAIN-REACTION; NUCLEIC-ACID AMPLIFICATION; MICROFLUIDIC CHIP; PCR ASSAY; TRACT INFECTIONS; ANALYSIS SYSTEMS; INFLUENZA; MICRODEVICE; PATHOGENS; POLYACRYLAMIDE</t>
  </si>
  <si>
    <t xml:space="preserve">We developed a two-layer, four-channel polymerase chain reaction (PCR)-capillary electrophoresis microdevice that integrates nucleic acid amplification, sample cleanup and concentration, capillary electrophoretic separation, and detection for multiplex analysis of four human respiratory viral pathogens, influenza A, influenza B, coronavirus OC43, and human metapneumovirus. Biotinylated and fluorescently labeled double-stranded (ds) deoxyribonucleic acid (DNA) amplification products are generated in a 100 nL PCR reactor incorporating an integrated heater and a temperature sensor. After amplification, the products are captured and concentrated in a cross-linked acrylamide gel capture matrix copolymerized with acrydite-functionalized streptavidin-capture agents. Thermal dehybridization releases the fluorescently labeled DNA strand for capillary electrophoresis injection, separation, and detection. Using plasmid standards containing the viral genes of interest, each target can be detected starting from as few as 10 copies/reactor. When a two-step reverse transcription PCR amplification is employed, the device can detect ribonucleic acid (RNA) analogues of all four viral targets with detection limits in the range of 25-100 copies/reactor. The utility of the microdevice for analyzing samples from nasopharyngeal swabs is demonstrated. When size-based separation is combined with four-color detection, this platform provides excellent product discrimination, making it readily extendable to higher-order multiplex assays. This portable microsystem is also suitable for performing automated assays in point-of-care diagnostic applications.</t>
  </si>
  <si>
    <t xml:space="preserve">[Thaitrong, Numrin; Chiesl, Thomas N.; Higa, Yukiko; Mathies, Richard A.] Univ Calif Berkeley, Dept Chem, Berkeley, CA 94720 USA; [Liu, Peng; Mathies, Richard A.] Univ Calif Berkeley, UCSF UC Berkeley Joint Grad Grp Bioengn, Berkeley, CA 94720 USA; [Briese, Thomas; Lipkin, W. Ian] Columbia Univ, Mailman Sch Publ Hlth, Ctr Infect &amp; Immun, New York, NY 10032 USA</t>
  </si>
  <si>
    <t xml:space="preserve">University of California System; University of California Berkeley; University of California System; University of California Berkeley; University of California San Francisco; Columbia University</t>
  </si>
  <si>
    <t xml:space="preserve">Mathies, RA (corresponding author), Univ Calif Berkeley, Dept Chem, MS 1460, Berkeley, CA 94720 USA.</t>
  </si>
  <si>
    <t xml:space="preserve">ramathies@berkeley.edu</t>
  </si>
  <si>
    <t xml:space="preserve">liu, peng/G-2954-2010; Lipkin, W./ABE-6216-2020; Briese, Thomas/LGY-0435-2024</t>
  </si>
  <si>
    <t xml:space="preserve">Lipkin, W. Ian/0000-0002-8768-9386</t>
  </si>
  <si>
    <t xml:space="preserve">Samsung Electronics Co. Ltd. [20082064]; National Institutes of Health (NIH) [CA77664, AI57158]</t>
  </si>
  <si>
    <t xml:space="preserve">Samsung Electronics Co. Ltd.; National Institutes of Health (NIH)(United States Department of Health &amp; Human ServicesNational Institutes of Health (NIH) - USA)</t>
  </si>
  <si>
    <t xml:space="preserve">We thank Vishal Kapoor and Aaloki Shah for excellent technical assistance, as well as helpful suggestions and valuable discussions. We also acknowledge Dr. James Scherer for the design and fabrication of the portable genetic analyzer. Microfabrication was performed at the University of California Berkeley Microfabrication Laboratory. This work was supported by Samsung Electronics Co. Ltd., Award 20082064, National Institutes of Health (NIH) Grants #CA77664 and #AI57158 (Lipkin, Northeast Biodefense Center).</t>
  </si>
  <si>
    <t xml:space="preserve">10.1021/ac1020744</t>
  </si>
  <si>
    <t xml:space="preserve">693HS</t>
  </si>
  <si>
    <t xml:space="preserve">WOS:000285215800020</t>
  </si>
  <si>
    <t xml:space="preserve">Santos, LD; Antunes, KH; Muraro, SP; de Souza, GF; da Silva, AG; Felipe, JD; Zanetti, LC; Czepielewski, RS; Magnus, K; Scotta, M; Mattiello, R; Maito, F; de Souza, APD; Weinlich, R; Vinolo, MAR; Porto, BN</t>
  </si>
  <si>
    <t xml:space="preserve">Santos, Leonardo Duarte; Antunes, Krist Helen; Muraro, Stefanie Primon; de Souza, Gabriela Fabiano; da Silva, Amanda Gonzalez; Felipe, Jaqueline de Souza; Zanetti, Larissa Cardoso; Czepielewski, Rafael Sanguinetti; Magnus, Karen; Scotta, Marcelo; Mattiello, Rita; Maito, Fabio; Duarte de Souza, Ana Paula; Weinlich, Ricardo; Ramirez Vinolo, Marco Aurelio; Porto, Barbara Nery</t>
  </si>
  <si>
    <t xml:space="preserve">TNF-mediated alveolar macrophage necroptosis drives disease pathogenesis during respiratory syncytial virus infection</t>
  </si>
  <si>
    <t xml:space="preserve">Necroptosis; Bronchiolitis; Medicine; Tumor necrosis factor alpha; Alveolar macrophage; Immunology; Macrophage</t>
  </si>
  <si>
    <t xml:space="preserve">MIXED LINEAGE KINASE; CELL-DEATH; INFLAMMATORY RESPONSE; HUMAN METAPNEUMOVIRUS; PROGRAMMED NECROSIS; ALPHA; PROTEIN; DOMAIN; RIP3; MICE</t>
  </si>
  <si>
    <t xml:space="preserve">Respiratory syncytial virus (RSV) is the major cause of acute bronchiolitis in infants under 2 years old. Necroptosis has been implicated in the outcomes of respiratory virus infections. We report that RSV infection triggers necroptosis in primary mouse macrophages and human monocytes in a RIPK1-, RIPK3- and MLKL-dependent manner. Moreover, necroptosis pathways are harmful to RSV clearance from alveolar macrophages. Additionally, Ripk3(-/-) mice were protected from RSV-induced weight loss and presented with reduced viral loads in the lungs. Alveolar macrophage depletion also protected mice from weight loss and decreased lung RSV virus load. Importantly, alveolar macrophage depletion abolished the upregulation of Ripk3 and Mlkl gene expression induced by RSV infection in the lung tissue. Autocrine tumor necrosis factor (TNF)-mediated RSV-triggered macrophage necroptosis and necroptosis pathways were also involved in TNF secretion even when macrophages were committed to cell death, which can worsen lung injury during RSV infection. In line, Tnfr1(-/-) mice had a marked decrease in Ripk3 and Mlkl gene expression and a sharp reduction in the numbers of necrotic alveolar macrophages in the lungs. Finally, we provide evidence that elevated nasal levels of TNF are associated with disease severity in infants with RSV bronchiolitis. We propose that targeting TNF and/or the necroptotic machinery may be valuable therapeutic approaches to reduce the respiratory morbidity caused by RSV infection in young children.</t>
  </si>
  <si>
    <t xml:space="preserve">[Santos, Leonardo Duarte; Antunes, Krist Helen; Muraro, Stefanie Primon; de Souza, Gabriela Fabiano; da Silva, Amanda Gonzalez; Czepielewski, Rafael Sanguinetti; Magnus, Karen; Duarte de Souza, Ana Paula; Porto, Barbara Nery] Pontificia Univ Catolica Rio Grande do Sul, Infant Ctr, Sch Life &amp; Hlth Sci, Lab Clin &amp; Expt Immunol, Porto Alegre, RS, Brazil; [Muraro, Stefanie Primon; de Souza, Gabriela Fabiano] Univ Estadual Campinas, Inst Biol, Dept Genet Evolut Microbiol &amp; Immunol, Lab Emerging Viruses, Campinas, Brazil; [Felipe, Jaqueline de Souza; Ramirez Vinolo, Marco Aurelio] Univ Estadual Campinas, Inst Biol, Dept Genet Evolut Microbiol &amp; Immunol, Lab Immunoinflammat, Campinas, Brazil; [Zanetti, Larissa Cardoso; Weinlich, Ricardo] Hosp Israelita Albert Einstein, Sao Paulo, Brazil; [Czepielewski, Rafael Sanguinetti] Washington Univ, Sch Med, Dept Pathol &amp; Immunol, St Louis, MO USA; [Scotta, Marcelo; Mattiello, Rita] Pontificia Univ Catolica Rio Grande do Sul, Infant Ctr, Sch Life &amp; Hlth Sci, Porto Alegre, RS, Brazil; [Maito, Fabio] Pontificia Univ Catolica Rio Grande do Sul, Hlth Sci Sch, Lab Oral Pathol, Porto Alegre, RS, Brazil; [Porto, Barbara Nery] Hosp Sick Children, Program Translat Med, 686 Bay St, Toronto, ON M5G 1X8, Canada</t>
  </si>
  <si>
    <t xml:space="preserve">Pontificia Universidade Catolica Do Rio Grande Do Sul; Universidade de Sao Paulo; Universidade Estadual de Campinas; Universidade Estadual de Campinas; Universidade de Sao Paulo; Hospital Israelita Albert Einstein; Washington University (WUSTL); Pontificia Universidade Catolica Do Rio Grande Do Sul; Pontificia Universidade Catolica Do Rio Grande Do Sul; University of Toronto; Hospital for Sick Children (SickKids)</t>
  </si>
  <si>
    <t xml:space="preserve">Porto, BN (corresponding author), Hosp Sick Children, Program Translat Med, 686 Bay St, Toronto, ON M5G 1X8, Canada.</t>
  </si>
  <si>
    <t xml:space="preserve">barbara.porto@sickkids.ca</t>
  </si>
  <si>
    <t xml:space="preserve">Souza, Ana/KFB-3039-2024; De Souza, Gabriela/ABC-1616-2021; Scotta, Marcelo/J-5258-2017; Vinolo, Marco/K-3753-2012; Czepielewski, Rafael/ABB-7858-2021; Antunes, Krist/I-3778-2014; Mattiello, Rita/B-1748-2012; Muraro, Stefanie/M-6705-2013; Souza, Gabriela Fabiano de/K-3958-2018</t>
  </si>
  <si>
    <t xml:space="preserve">Muraro, Stefanie/0000-0002-5105-6659; Antunes Fernandes, Krist/0000-0002-1525-6581; Souza, Gabriela Fabiano de/0000-0001-7285-0790; Souza, Ana Paula/0000-0002-6021-5068</t>
  </si>
  <si>
    <t xml:space="preserve">Conselho Nacional de Desenvolvimento Cientifico e Tecnologico (CNPq) [456282/2014-9]; Coordenacao de Aperfeicoamento de Pessoal de Nivel Superior (CAPES) [001]</t>
  </si>
  <si>
    <t xml:space="preserve">Conselho Nacional de Desenvolvimento Cientifico e Tecnologico (CNPq)(Conselho Nacional de Desenvolvimento Cientifico e Tecnologico (CNPQ)); Coordenacao de Aperfeicoamento de Pessoal de Nivel Superior (CAPES)(Coordenacao de Aperfeicoamento de Pessoal de Nivel Superior (CAPES))</t>
  </si>
  <si>
    <t xml:space="preserve">This study was supported by Conselho Nacional de Desenvolvimento Cientifico e Tecnologico (CNPq) grant number 456282/2014-9 (to B.N. Porto) and Coordenacao de Aperfeicoamento de Pessoal de Nivel Superior (CAPES) -Finance Code 001. Funding information for this article has been deposited with the Crossref Funder Registry.</t>
  </si>
  <si>
    <t xml:space="preserve">10.1183/13993003.03764-2020</t>
  </si>
  <si>
    <t xml:space="preserve">TF7PX</t>
  </si>
  <si>
    <t xml:space="preserve">WOS:000670910500012</t>
  </si>
  <si>
    <t xml:space="preserve">Hernes, SS; Quarsten, H; Hagen, E; Lyngroth, AL; Pripp, AH; Bjorvatn, B; Bakke, PS</t>
  </si>
  <si>
    <t xml:space="preserve">Hernes, S. S.; Quarsten, H.; Hagen, E.; Lyngroth, A. L.; Pripp, A. H.; Bjorvatn, B.; Bakke, P. S.</t>
  </si>
  <si>
    <t xml:space="preserve">Swabbing for respiratory viral infections in older patients: a comparison of rayon and nylon flocked swabs</t>
  </si>
  <si>
    <t xml:space="preserve">Medicine; Medical microbiology</t>
  </si>
  <si>
    <t xml:space="preserve">SYNCYTIAL VIRUS-INFECTION; REAL-TIME PCR; TERM-CARE FACILITY; HIGH-RISK ADULTS; NASOPHARYNGEAL ASPIRATE; HUMAN METAPNEUMOVIRUS; QUANTITATIVE PCR; DIAGNOSIS; INFLUENZA; ASSAY</t>
  </si>
  <si>
    <t xml:space="preserve">The purpose of this study was to compare the sampling efficacy of rayon swabs and nylon flocked swabs, and of oropharyngeal and nasopharyngeal specimens for the detection of respiratory viruses in elderly patients. Samples were obtained from patients 60 years of age or above who were newly admitted to Sorlandet Hospital Arendal, Norway. The patients were interviewed for current symptoms of a respiratory tract infection. Using rayon swabs and nylon flocked swabs, comparable sets of mucosal samples were harvested from the nasopharynx and the oropharynx. The samples were analysed using real-time polymerase chain reaction (PCR) methods. A total of 223 patients (mean age 74.9 years, standard deviation [SD] 9.0 years) were swabbed and a virus was recovered from 11% of the symptomatic patients. Regardless of the sampling site, a calculated 4.8 times higher viral load (95% confidence interval [CI] 1.3-17, p = 0.017) was obtained using the nylon flocked swabs as compared to the rayon swabs. Also, regardless of the type of swab, a calculated 19 times higher viral load was found in the samples from the nasopharynx as compared to the oropharynx (95% CI 5.4-67.4, p &lt; 0.001). When swabbing for respiratory viruses in elderly patients, nasopharyngeal rather than oropharyngeal samples should be obtained. Nylon flocked swabs appear to be more efficient than rayon swabs.</t>
  </si>
  <si>
    <t xml:space="preserve">[Hernes, S. S.; Hagen, E.; Lyngroth, A. L.] Sorlandet Hosp Arendal HF, Dept Geriatr &amp; Internal Med, N-4809 Arendal, Norway; [Quarsten, H.] Sorlandet Hosp Kristiansand HF, Dept Microbiol, Kristiansand, Norway; [Pripp, A. H.] Oslo Univ Hosp, Res Serv Dept, Biostat Unit, Oslo, Norway; [Bjorvatn, B.] Univ Bergen, Ctr Int Hlth, Bergen, Norway; [Bakke, P. S.] Haukeland Hosp, Dept Thorac Med, N-5021 Bergen, Norway; [Bakke, P. S.] Univ Bergen, Inst Thorac Med, Bergen, Norway</t>
  </si>
  <si>
    <t xml:space="preserve">University of Oslo; University of Bergen; University of Bergen; Haukeland University Hospital; University of Bergen</t>
  </si>
  <si>
    <t xml:space="preserve">Hernes, SS (corresponding author), Sorlandet Hosp Arendal HF, Dept Geriatr &amp; Internal Med, Serviceboks 605, N-4809 Arendal, Norway.</t>
  </si>
  <si>
    <t xml:space="preserve">drhernes@gmail.com</t>
  </si>
  <si>
    <t xml:space="preserve">Hernes, Susanne/H-7653-2019</t>
  </si>
  <si>
    <t xml:space="preserve">Hernes, Susanne Sorensen/0000-0001-6018-652X</t>
  </si>
  <si>
    <t xml:space="preserve">Norwegian Foundation for Health and Rehabilitation; South-Eastern Norway Regional Health Authority; Sorlandet Hospital HF; Norwegian Heart and Lung Patient Organisation</t>
  </si>
  <si>
    <t xml:space="preserve">This project was financed with the aid of EXTRA funds from the Norwegian Foundation for Health and Rehabilitation in association with the Norwegian Heart and Lung Patient Organisation, from the South-Eastern Norway Regional Health Authority and from Sorlandet Hospital HF.</t>
  </si>
  <si>
    <t xml:space="preserve">10.1007/s10096-010-1064-2</t>
  </si>
  <si>
    <t xml:space="preserve">708AS</t>
  </si>
  <si>
    <t xml:space="preserve">WOS:000286333700004</t>
  </si>
  <si>
    <t xml:space="preserve">Fuehner, T; Dierich, M; Duesberg, C; DeWall, C; Welte, T; Haverich, A; Warnecke, G; Simon, AR; Gottlieb, J</t>
  </si>
  <si>
    <t xml:space="preserve">Fuehner, Thomas; Dierich, Martin; Duesberg, Christoph; DeWall, Claudia; Welte, Tobias; Haverich, Axel; Warnecke, Gregor; Simon, Andre R.; Gottlieb, Jens</t>
  </si>
  <si>
    <t xml:space="preserve">Single-centre experience with oral ribavirin in lung transplant recipients with paramyxovirus infections</t>
  </si>
  <si>
    <t xml:space="preserve">Ribavirin; Medicine; Lung transplantation; Internal medicine; Bronchiolitis obliterans</t>
  </si>
  <si>
    <t xml:space="preserve">RESPIRATORY SYNCYTIAL VIRUS; BRONCHIOLITIS-OBLITERANS-SYNDROME; VIRAL-INFECTIONS; INTRAVENOUS RIBAVIRIN; HUMAN METAPNEUMOVIRUS; HEPATITIS-C; ADULT LUNG; TRACT; PNEUMONIA; DIAGNOSIS</t>
  </si>
  <si>
    <t xml:space="preserve">Background: Paramyxovirus (PV) infections are increasingly recognized in lung transplant recipients and have been linked to subsequent graft failure and bronchiolitis obliterans syndrome (BOS). Ribavirin represents a possible treatment option although the outcome on graft function and BOS incidence is unknown. Methods: We analysed outcomes of all PV infections in lung/heart-lung recipients between September 2006 and April 2009 in a single centre. PV-infected recipients treated with oral ribavirin were compared with those unable to receive ribavirin due to contraindications. Recovery of graft function, time to recovery and new development of BOS were compared. Results: A total of 38 patients (ribavirin group) were treated with ribavirin for a median of 9 days (IQR 8-12), whilst 29 patients (non-ribavirin group) received best supportive care including corticosteroids. The median forced expiratory volume in 1 s dropped 20% (IQR 15-32) from baseline in the ribavirin group versus 18% (IQR 13-30) in the non-ribavirin group during infection. In 84% of patients treated with ribavirin and 59% of the non-ribavirin group, graft function recovered within 30 days (P=0.02). New onset of BOS developed within 6 months in 5% of the ribavirin group versus 24% of the non-ribavirin group (P=0.02). Conclusions: Treatment of PV after lung/heart-lung transplantation with oral ribavirin seems to be associated with earlier recovery of graft function and to prevent BOS.</t>
  </si>
  <si>
    <t xml:space="preserve">[Fuehner, Thomas; Dierich, Martin; Duesberg, Christoph; DeWall, Claudia; Welte, Tobias; Gottlieb, Jens] Hannover Med Sch, Dept Resp Med, D-3000 Hannover, Germany; [Haverich, Axel; Warnecke, Gregor] Hannover Med Sch, Dept Cardiothorac Transplant &amp; Vasc Surg, D-3000 Hannover, Germany; [Simon, Andre R.] Univ London Imperial Coll Sci Technol &amp; Med, Dept Cardiac Surg, Harefield &amp; Royal Brompton NHS Trust, Natl Heart &amp; Lung Inst, London, England</t>
  </si>
  <si>
    <t xml:space="preserve">Hannover Medical School; Hannover Medical School; Imperial College London</t>
  </si>
  <si>
    <t xml:space="preserve">Fuehner, T (corresponding author), Hannover Med Sch, Dept Resp Med, D-3000 Hannover, Germany.</t>
  </si>
  <si>
    <t xml:space="preserve">fuehner.thomas@mh-hannover.de</t>
  </si>
  <si>
    <t xml:space="preserve">Gottlieb, Jens/AGG-9082-2022; Haverich, Axel/AAC-7552-2022</t>
  </si>
  <si>
    <t xml:space="preserve">Gottlieb, Prof. Jens/0000-0002-9540-9022</t>
  </si>
  <si>
    <t xml:space="preserve">German Federal Ministry of Education and Research [01EO0802]</t>
  </si>
  <si>
    <t xml:space="preserve">German Federal Ministry of Education and Research(Federal Ministry of Education &amp; Research (BMBF))</t>
  </si>
  <si>
    <t xml:space="preserve">This work was supported by grants from the German Federal Ministry of Education and Research (reference number: 01EO0802).</t>
  </si>
  <si>
    <t xml:space="preserve">10.3851/IMP1811</t>
  </si>
  <si>
    <t xml:space="preserve">813OC</t>
  </si>
  <si>
    <t xml:space="preserve">WOS:000294375800013</t>
  </si>
  <si>
    <t xml:space="preserve">Cebey-López, M; Herberg, J; Pardo-Seco, J; Gómez-Carballa, A; Martinón-Torres, N; Salas, A; Martinón-Sánchez, JM; Gormley, S; Sumner, E; Fink, C; Martinón-Torres, F</t>
  </si>
  <si>
    <t xml:space="preserve">Cebey-Lopez, Miriam; Herberg, Jethro; Pardo-Seco, Jacobo; Gomez-Carballa, Alberto; Martinon-Torres, Nazareth; Salas, Antonio; Maria Martinon-Sanchez, Jose; Gormley, Stuart; Sumner, Edward; Fink, Colin; Martinon-Torres, Federico</t>
  </si>
  <si>
    <t xml:space="preserve">GENDRES Network</t>
  </si>
  <si>
    <t xml:space="preserve">Viral Co-Infections in Pediatric Patients Hospitalized with Lower Tract Acute Respiratory Infections</t>
  </si>
  <si>
    <t xml:space="preserve">Human bocavirus; Rhinovirus; Human metapneumovirus; Respiratory tract infections; Medicine; Cohort; Metapneumovirus</t>
  </si>
  <si>
    <t xml:space="preserve">HUMAN BOCAVIRUS INFECTION; HUMAN CORONAVIRUSES 229E; PARAINFLUENZA VIRUSES 1; HUMAN METAPNEUMOVIRUS; SYNCYTIAL VIRUS; CLINICAL-SAMPLES; PCR ASSAYS; CHILDREN; INFANTS; RNA</t>
  </si>
  <si>
    <t xml:space="preserve">Background Molecular techniques can often reveal a broader range of pathogens in respiratory infections. We aim to investigate the prevalence and age pattern of viral co-infection in children hospitalized with lower tract acute respiratory infection (LT-ARI), using molecular techniques. Methods A nested polymerase chain reaction approach was used to detect Influenza (A, B), metapneumovirus, respiratory syncytial virus (RSV), parainfluenza (1-4), rhinovirus, adenovirus (A-F), bocavirus and coronaviruses (NL63, 229E, OC43) in respiratory samples of children with acute respiratory infection prospectively admitted to any of the GENDRES network hospitals between 2011-2013. The results were corroborated in an independent cohort collected in the UK. Results A total of 204 and 97 nasopharyngeal samples were collected in the GENDRES and UK cohorts, respectively. In both cohorts, RSV was the most frequent pathogen (52.9% and 36.1% of the cohorts, respectively). Co-infection with multiple viruses was found in 92 samples (45.1%) and 29 samples (29.9%), respectively; this was most frequent in the 12-24 months age group. The most frequently observed co-infection patterns were RSV-Rhinovirus (23 patients, 11.3%, GENDRES cohort) and RSV-bocavirus/bocavirus-influenza (5 patients, 5.2%, UK cohort). Conclusion The presence of more than one virus in pediatric patients admitted to hospital with LT-ARI is very frequent and seems to peak at 12-24 months of age. The clinical significance of these findings is unclear but should warrant further analysis.</t>
  </si>
  <si>
    <t xml:space="preserve">[Cebey-Lopez, Miriam; Pardo-Seco, Jacobo; Gomez-Carballa, Alberto; Martinon-Torres, Nazareth; Salas, Antonio; Maria Martinon-Sanchez, Jose; Martinon-Torres, Federico] Hosp Clin Univ, Grp Invest Genet Vacunas Infecc &amp; Pediat GENVIP, Galicia, Spain; [Cebey-Lopez, Miriam; Pardo-Seco, Jacobo; Gomez-Carballa, Alberto; Martinon-Torres, Nazareth; Salas, Antonio; Maria Martinon-Sanchez, Jose; Martinon-Torres, Federico] Univ Santiago de Compostela USC, Galicia, Spain; [Herberg, Jethro; Gormley, Stuart] Univ London Imperial Coll Sci Technol &amp; Med, Div Infect Dis, Paediat Sect, London, England; [Pardo-Seco, Jacobo; Gomez-Carballa, Alberto; Salas, Antonio] Univ Santiago de Compostela, Unidade Xenet, Dept Anat Patol &amp; Ciencias Forenses, Galicia, Spain; [Pardo-Seco, Jacobo; Gomez-Carballa, Alberto; Salas, Antonio] Univ Santiago de Compostela, Inst Ciencias Forenses, GMX, Galicia, Spain; [Cebey-Lopez, Miriam; Pardo-Seco, Jacobo; Gomez-Carballa, Alberto; Martinon-Torres, Nazareth; Maria Martinon-Sanchez, Jose; Martinon-Torres, Federico] Hosp Clin Univ Santiago, Dept Pediat, Translat Pediat &amp; Infect Dis Sect, Santiago De Compostela, Galicia, Spain; [Sumner, Edward; Fink, Colin] Univ Warwick, Micropathol Ltd, Coventry CV4 7AL, W Midlands, England</t>
  </si>
  <si>
    <t xml:space="preserve">Universidade de Santiago de Compostela; Imperial College London; Universidade de Santiago de Compostela; Universidade de Santiago de Compostela; Complexo Hospitalario Universitario de Santiago de Compostela; University of Warwick</t>
  </si>
  <si>
    <t xml:space="preserve">Cebey-López, M (corresponding author), Hosp Clin Univ, Grp Invest Genet Vacunas Infecc &amp; Pediat GENVIP, Galicia, Spain.</t>
  </si>
  <si>
    <t xml:space="preserve">Cebey-Lopez, Miriam/K-9347-2014; Pardo-Seco, Jacobo/G-3752-2016; Moreno-Galarraga, Laura/B-2460-2017; Calvo, Cristina/T-5028-2018; Martinon-Torres, Federico/E-4982-2016; Salas, Antonio/E-3977-2012; Gomez-Carballa, Alberto/I-4610-2014</t>
  </si>
  <si>
    <t xml:space="preserve">Cebey-Lopez, Miriam/0000-0003-0599-7519; Pardo-Seco, Jacobo/0000-0002-8059-8908; Moreno-Galarraga, Laura/0000-0003-0293-0749; Calvo, Cristina/0000-0002-6503-3423; Martinon-Torres, Federico/0000-0002-9023-581X; Herberg, Jethro/0000-0001-6941-6491; Salas, Antonio/0000-0002-2336-702X; Gomez-Carballa, Alberto/0000-0003-0927-1272</t>
  </si>
  <si>
    <t xml:space="preserve">Spanish Government [PI10/00540]; Regional Galician funds [10 PXIB 918 184 PR]; Ministerio de Ciencia e Innovacion [SAF2011-26983]; Plan Galego IDT, Xunta de Galicia [EM 2012/045]; Instituto de Investigacion Sanitaria de Santiago de Compostela; Instituto Carlos III (Intensificacion de la actividad investigadora); European Union's seventh Framework program under ECGA [279185]; Imperial College Comprehensive Biomedical Research Centre; Wellcome Trust Centre for Respiratory Infection at Imperial College (DMPED) [P26077]</t>
  </si>
  <si>
    <t xml:space="preserve">Spanish Government(Spanish Government); Regional Galician funds; Ministerio de Ciencia e Innovacion(Ministry of Science and Innovation, Spain (MICINN)Instituto de Salud Carlos IIISpanish Government); Plan Galego IDT, Xunta de Galicia; Instituto de Investigacion Sanitaria de Santiago de Compostela; Instituto Carlos III (Intensificacion de la actividad investigadora)(Instituto de Salud Carlos III); European Union's seventh Framework program under ECGA(European Union (EU)); Imperial College Comprehensive Biomedical Research Centre; Wellcome Trust Centre for Respiratory Infection at Imperial College (DMPED)(Wellcome Trust)</t>
  </si>
  <si>
    <t xml:space="preserve">This work was supported by the Spanish Government (Research Program Health Research Fund (FIS; PI10/00540) National Plan I + D + I and FEDER funds), Regional Galician funds (Promotion of Research Project 10 PXIB 918 184 PR) (FMT), Ministerio de Ciencia e Innovacion (SAF2011-26983) and the Plan Galego IDT, Xunta de Galicia (EM 2012/045) (AS). MC research activities have been supported by grants from Instituto de Investigacion Sanitaria de Santiago de Compostela. FMT research activities have been supported by grants from Instituto Carlos III (Intensificacion de la actividad investigadora). Additional funding was received from the European Union's seventh Framework program under ECGA no. 279185 (EUCLIDS) during the production of this paper. JH was supported by the Imperial College Comprehensive Biomedical Research Centre and the Wellcome Trust Centre for Respiratory Infection at Imperial College (DMPED P26077 to JAH).</t>
  </si>
  <si>
    <t xml:space="preserve">e0136526</t>
  </si>
  <si>
    <t xml:space="preserve">10.1371/journal.pone.0136526</t>
  </si>
  <si>
    <t xml:space="preserve">CQ4ZT</t>
  </si>
  <si>
    <t xml:space="preserve">WOS:000360613800060</t>
  </si>
  <si>
    <t xml:space="preserve">Van Wesenbeeck, L; Meeuws, H; Van Immerseel, A; Ispas, G; Schmidt, K; Houspie, L; Van Ranst, M; Stuyver, L</t>
  </si>
  <si>
    <t xml:space="preserve">Van Wesenbeeck, Liesbeth; Meeuws, Hanne; Van Immerseel, Andrea; Ispas, Gabriela; Schmidt, Kristiane; Houspie, Lieselot; Van Ranst, Marc; Stuyver, Lieven</t>
  </si>
  <si>
    <t xml:space="preserve">Comparison of the FilmArray RP, Verigene RV+, and Prodesse ProFLU+/FAST+ Multiplex Platforms for Detection of Influenza Viruses in Clinical Samples from the 2011-2012 Influenza Season in Belgium</t>
  </si>
  <si>
    <t xml:space="preserve">Virology; Multiplex</t>
  </si>
  <si>
    <t xml:space="preserve">POLYMERASE-CHAIN-REACTION; REAL-TIME PCR; RESPIRATORY PANEL; ASSAY; H1N1; INFECTIONS; GENOME; A/B</t>
  </si>
  <si>
    <t xml:space="preserve">Respiratory tract infections (RTIs) are caused by a plethora of viral and bacterial pathogens. In particular, lower RTIs are a leading cause of hospitalization and mortality. Timely detection of the infecting respiratory pathogens is crucial to optimize treatment and care. In this study, three U.S. Food and Drug Administration-approved molecular multiplex platforms (Prodesse ProFLU+/FAST+, FilmArray RP, and Verigene RV+) were evaluated for influenza virus detection in 171 clinical samples collected during the Belgian 2011-2012 influenza season. Sampling was done using mid-turbinate flocked swabs, and the collected samples were stored in universal transport medium. The amount of viral RNA present in the swab samples ranged between 3.07 and 8.82 log(10) copies/ml. Sixty samples were concordant influenza A virus positive, and 8 samples were found to be concordant influenza B virus positive. Other respiratory viruses that were detected included human rhinovirus/enterovirus, respiratory syncytial virus, parainfluenza virus type 1, human metapneumovirus, and coronavirus NL63. Twenty-five samples yielded discordant results across the various assays which required further characterization by sequencing. The FilmArray RP and Prodesse ProFLU+/FAST+ assays were convenient to perform with regard to sensitivity, ease of use, and low percentages of invalid results. Although the limit of sensitivity is of utmost importance, many other factors should be taken into account in selecting the most convenient molecular diagnostic assay for the detection of respiratory pathogens in clinical samples.</t>
  </si>
  <si>
    <t xml:space="preserve">[Van Wesenbeeck, Liesbeth; Meeuws, Hanne; Van Immerseel, Andrea; Ispas, Gabriela; Schmidt, Kristiane; Stuyver, Lieven] Janssen Infect Dis Diagnost BVBA, Beerse, Belgium; [Houspie, Lieselot; Van Ranst, Marc] Univ Louvain, Rega Inst Med Res, Lab Clin Virol, Louvain, Belgium</t>
  </si>
  <si>
    <t xml:space="preserve">KU Leuven</t>
  </si>
  <si>
    <t xml:space="preserve">Van Wesenbeeck, L (corresponding author), Janssen Infect Dis Diagnost BVBA, Beerse, Belgium.</t>
  </si>
  <si>
    <t xml:space="preserve">lvwesenb@its.jnj.com</t>
  </si>
  <si>
    <t xml:space="preserve">Van Ranst, Marc/P-7522-2017</t>
  </si>
  <si>
    <t xml:space="preserve">Van Ranst, Marc/0000-0002-1674-4157</t>
  </si>
  <si>
    <t xml:space="preserve">10.1128/JCM.00911-13</t>
  </si>
  <si>
    <t xml:space="preserve">202KL</t>
  </si>
  <si>
    <t xml:space="preserve">WOS:000323214200027</t>
  </si>
  <si>
    <t xml:space="preserve">Lahti, E; Peltola, V; Waris, M; Virkki, R; Rantakokko-Jalava, K; Jalava, J; Eerola, E; Ruuskanen, O</t>
  </si>
  <si>
    <t xml:space="preserve">Lahti, E.; Peltola, V.; Waris, M.; Virkki, R.; Rantakokko-Jalava, K.; Jalava, J.; Eerola, E.; Ruuskanen, O.</t>
  </si>
  <si>
    <t xml:space="preserve">Induced sputum in the diagnosis of childhood community-acquired pneumonia</t>
  </si>
  <si>
    <t xml:space="preserve">Sputum; Medicine; Pneumonia; Rhinovirus; Community-acquired pneumonia; Streptococcus pneumoniae</t>
  </si>
  <si>
    <t xml:space="preserve">STREPTOCOCCUS-PNEUMONIAE; HUMAN BOCAVIRUS; STAPHYLOCOCCUS-AUREUS; YOUNG-CHILDREN; ETIOLOGY; PREVALENCE; COLONIZATION; RESISTANCE; BACTERIAL; INFANTS</t>
  </si>
  <si>
    <t xml:space="preserve">Background: The usefulness of induced sputum in searching for causative agents of pneumonia in children has not been studied. Methods: The study involved 101 children, aged 6 months to 15 years, treated for community-acquired pneumonia at Turku University Hospital (Turku, Finland) from January 2006 to April 2007. Nasopharyngeal aspirate samples were first collected through both nostrils. Sputum production was then induced by inhalation of 5.0% hypertonic saline for 5-10 min and a sputum sample was either aspirated or expectorated. The presence and amount of bacteria and viruses in paired nasopharyngeal aspirate and sputum specimens was analysed and compared using semiquantitative bacterial culture and quantitative PCR techniques. Results: A good quality sputum specimen was obtained from 76 children. The possible causative agent was found in 90% of cases. Streptococcus pneumoniae (46%) and rhinovirus (29%) were the most common microbes detected. Newly discovered viruses human bocavirus and human metapneumovirus were detected in 18% and 13% of the children, respectively. One-quarter of all bacterial findings were only detected in sputum, and the amount of bacteria in the remainder of the sputum specimens compared with nasopharyngeal aspirate was higher in 14% and equal in 70%. The amount of rhinovirus in sputum was higher than in nasopharyngeal aspirate in 82%. Conclusions: Sputum induction provides good quality sputum specimens with high microbiological yield in children with community-acquired pneumonia. Induced sputum analysis can be useful in the microbiological diagnosis of childhood community-acquired pneumonia.</t>
  </si>
  <si>
    <t xml:space="preserve">[Lahti, E.; Peltola, V.; Ruuskanen, O.] Turku Univ Hosp, Dept Paediat, Turku 20521, Finland; [Lahti, E.; Eerola, E.] Turku Univ, Dept Med Microbiol &amp; Immunol, Turku, Finland; [Waris, M.] Turku Univ, Dept Virol, Turku, Finland; [Virkki, R.] Mehilainen Hosp, Dept Radiol, Turku, Finland; [Virkki, R.] Turku Univ Hosp, Dept Radiol, Turku 20521, Finland; [Rantakokko-Jalava, K.] Turku Univ Hosp, Dept Clin Microbiol, Turku 20521, Finland; [Jalava, J.] Natl Publ Hlth Inst, Dept Bacterial &amp; Inflammatory Dis, Turku, Finland</t>
  </si>
  <si>
    <t xml:space="preserve">University of Turku; University of Turku; University of Turku; University of Turku; University of Turku; Finland National Institute for Health &amp; Welfare</t>
  </si>
  <si>
    <t xml:space="preserve">Lahti, E (corresponding author), Turku Univ Hosp, Dept Paediat, POB 52, Turku 20521, Finland.</t>
  </si>
  <si>
    <t xml:space="preserve">elkrla@utu.fi</t>
  </si>
  <si>
    <t xml:space="preserve">The Foundation of the Finnish Anti-Tuberculosis Association; The Finnish Foundation for Paediatric Research; The Maud Kuistila Foundation; The Paulo Foundation; The Turku University Foundation</t>
  </si>
  <si>
    <t xml:space="preserve">The authors thank all the children who participated in this study, Kaisu Kaistinen, RN, for her excellent assistance in the conduct of this study, Tiina Haarala, Kirsi Sundholm-Heino and Tiina Ylinen for skilful technical assistance, Jaakko Matomaki for his assistance in statistical analysis and the staff members at the Paediatric Infectious Disease Ward for their collaboration in performing the sputum induction on study children.Funding: The Foundation of the Finnish Anti-Tuberculosis Association, The Finnish Foundation for Paediatric Research, The Maud Kuistila Foundation, The Paulo Foundation, and The Turku University Foundation.</t>
  </si>
  <si>
    <t xml:space="preserve">10.1136/thx.2008.099051</t>
  </si>
  <si>
    <t xml:space="preserve">413KW</t>
  </si>
  <si>
    <t xml:space="preserve">WOS:000263793000015</t>
  </si>
  <si>
    <t xml:space="preserve">Prachayangprecha, S; Schapendonk, CME; Koopmans, MP; Osterhaus, ADME; Schürch, AC; Pas, SD; van der Eijk, AA; Poovorawan, Y; Haagmans, BL; Smits, SL</t>
  </si>
  <si>
    <t xml:space="preserve">Prachayangprecha, Slinporn; Schapendonk, Claudia M. E.; Koopmans, Marion P.; Osterhaus, Albert D. M. E.; Schuerch, Anita C.; Pas, Suzan D.; van der Eijk, Annemiek A.; Poovorawan, Yong; Haagmans, Bart L.; Smits, Saskia L.</t>
  </si>
  <si>
    <t xml:space="preserve">Exploring the Potential of Next-Generation Sequencing in Detection of Respiratory Viruses</t>
  </si>
  <si>
    <t xml:space="preserve">Human metapneumovirus; Human bocavirus; Rhinovirus; Biology; DNA sequencing; Respiratory tract infections; Virology</t>
  </si>
  <si>
    <t xml:space="preserve">HUMAN ENTEROVIRUS 68; TRACT INFECTION; CHILDREN; IDENTIFICATION; ANELLOVIRUSES</t>
  </si>
  <si>
    <t xml:space="preserve">Efficient detection of human respiratory viral pathogens is crucial in the management of patients with acute respiratory tract infection. Sequence-independent amplification of nucleic acids combined with next-generation sequencing technology and bioinformatics analyses is a promising strategy for identifying pathogens in clinical and public health settings. It allows the characterization of hundreds of different known pathogens simultaneously and of novel pathogens that elude conventional testing. However, major hurdles for its routine use exist, including cost, turnaround time, and especially sensitivity of the assay, as the detection limit is dependent on viral load, host genetic material, and sequencing depth. To obtain insights into these aspects, we analyzed nasopharyngeal aspirates from a cohort of 81 Thai children with respiratory disease for the presence of respiratory viruses using a sequence-independent next-generation sequencing approach and routinely used diagnostic real-time reverse transcriptase PCR (real-time RT-PCR) assays. With respect to the detection of rhinovirus and human metapneumovirus, the next-generation sequencing approach was at least as sensitive as diagnostic real-time RT-PCR in this small cohort, whereas for bocavirus and enterovirus, next-generation sequencing was less sensitive than real-time RT-PCR. The advantage of the sequencing approach over real-time RT-PCR was the immediate availability of virus-typing information. Considering the development of platforms capable of generating more output data at declining costs, next-generation sequencing remains of interest for future virus diagnosis in clinical and public health settings and certainly as an additional tool when screening results from real-time RT-PCR are negative.</t>
  </si>
  <si>
    <t xml:space="preserve">[Prachayangprecha, Slinporn; Poovorawan, Yong] Chulalongkorn Univ &amp; Hosp, Dept Pediat, Ctr Excellence Clin Virol, Bangkok, Thailand; [Schapendonk, Claudia M. E.; Koopmans, Marion P.; Osterhaus, Albert D. M. E.; Schuerch, Anita C.; Pas, Suzan D.; van der Eijk, Annemiek A.; Haagmans, Bart L.; Smits, Saskia L.] Erasmus MC, Dept Virosci, Rotterdam, Netherlands; [Koopmans, Marion P.] Natl Inst Publ Hlth &amp; Environm, Ctr Infect Dis Res Diagnost &amp; Screening, Div Virol, NL-3720 BA Bilthoven, Netherlands; [Osterhaus, Albert D. M. E.; Smits, Saskia L.] Viroclin Biosci, Rotterdam, Netherlands</t>
  </si>
  <si>
    <t xml:space="preserve">Chulalongkorn University; Erasmus University Rotterdam; Erasmus MC; Netherlands National Institute for Public Health &amp; the Environment</t>
  </si>
  <si>
    <t xml:space="preserve">Smits, SL (corresponding author), Erasmus MC, Dept Virosci, Rotterdam, Netherlands.</t>
  </si>
  <si>
    <t xml:space="preserve">s.smits@erasmusmc.nl</t>
  </si>
  <si>
    <t xml:space="preserve">Smits, Saskia/A-2953-2014; Koopmans, Marion/Y-9170-2019; ภู่วรวรรณ, ศนพ.ยง/GZK-8615-2022; Pas, Suzan/M-9863-2013; Haagmans, Bart L./E-9791-2015</t>
  </si>
  <si>
    <t xml:space="preserve">Poovorawan, Yong/0000-0002-2337-6807; Schurch, Anita/0000-0003-1894-7545; Haagmans, Bart L./0000-0001-6221-2015; Koopmans, Marion/0000-0002-5204-2312; Schapendonk, Claudia/0009-0000-5646-1218</t>
  </si>
  <si>
    <t xml:space="preserve">Virgo Consortium; Dutch government [FES0908]; Netherlands Genomics Initiative (NGI) [050 060 452]; ZonMW TOP [91213058]; National Research University Project; Office of Higher Education Commission [HR1155A, WCU-001, 007-HR-57]; Center of Excellence in Clinical Virology; Chulalongkorn University; Centenary Academic Development Project; Integrated Innovation Academic Center; Chulalongkorn University Centenary Academic Development Project [CU56-HR01]; Ratchadaphiseksomphot Endowment Fund of Chulalongkorn University [RES560530093]; Thailand Research Fund [DPG5480002, PHD/0114/2551]</t>
  </si>
  <si>
    <t xml:space="preserve">Virgo Consortium; Dutch government; Netherlands Genomics Initiative (NGI); ZonMW TOP; National Research University Project; Office of Higher Education Commission(Office of Higher Education Commission (OHEC)); Center of Excellence in Clinical Virology; Chulalongkorn University(Chulalongkorn University); Centenary Academic Development Project; Integrated Innovation Academic Center; Chulalongkorn University Centenary Academic Development Project; Ratchadaphiseksomphot Endowment Fund of Chulalongkorn University(Chulalongkorn University); Thailand Research Fund(Thailand Research Fund (TRF))</t>
  </si>
  <si>
    <t xml:space="preserve">This work was partially funded by the Virgo Consortium, which is funded by the Dutch government (project number FES0908), the Netherlands Genomics Initiative (NGI) (project number 050 060 452), and ZonMW TOP (project 91213058). Thai sites included the National Research University Project, Office of Higher Education Commission (HR1155A, WCU-001,007-HR-57); the Center of Excellence in Clinical Virology, Chulalongkorn University; the Centenary Academic Development Project, Integrated Innovation Academic Center; the Chulalongkorn University Centenary Academic Development Project (CU56-HR01); the Ratchadaphiseksomphot Endowment Fund of Chulalongkorn University (RES560530093); and the Outstanding Professor and RGJ Ph.D. program of the Thailand Research Fund (DPG5480002, PHD/0114/2551).</t>
  </si>
  <si>
    <t xml:space="preserve">10.1128/JCM.01641-14</t>
  </si>
  <si>
    <t xml:space="preserve">WOS:000342371700027</t>
  </si>
  <si>
    <t xml:space="preserve">Babady, NE; Mead, P; Stiles, J; Brennan, C; Li, HJ; Shuptar, S; Stratton, CW; Tang, YW; Kamboj, M</t>
  </si>
  <si>
    <t xml:space="preserve">Babady, N. Esther; Mead, Peter; Stiles, Jeffrey; Brennan, Carrie; Li, Haijing; Shuptar, Susan; Stratton, Charles W.; Tang, Yi-Wei; Kamboj, Mini</t>
  </si>
  <si>
    <t xml:space="preserve">Comparison of the Luminex xTAG RVP Fast Assay and the Idaho Technology FilmArray RP Assay for Detection of Respiratory Viruses in Pediatric Patients at a Cancer Hospital</t>
  </si>
  <si>
    <t xml:space="preserve">Human metapneumovirus; Human bocavirus; Virology; Multiplex; Rhinovirus</t>
  </si>
  <si>
    <t xml:space="preserve">CELL TRANSPLANT RECIPIENTS; VIRAL-INFECTIONS; CHILDREN; DIAGNOSIS; OUTBREAK; PANEL</t>
  </si>
  <si>
    <t xml:space="preserve">Respiratory viruses are increasingly recognized as serious causes of morbidity and mortality in immunocompromised patients. The rapid and sensitive detection of respiratory viruses is essential for the early diagnosis and administration of appropriate antiviral therapy, as well as for the effective implementation of infection control measures. We compared the performance of two commercial assays, xTAG RVP Fast (Luminex Diagnostics, Toronto, Canada) and FilmArray RVP (FA RVP; Idaho Technology, Salt Lake City, UT), in pediatric patients at Memorial Sloan-Kettering Cancer Center. These assays detect the following viruses: respiratory syncytial virus; influenza A and B viruses; parainfluenza viruses 1, 2, 3, and 4; human metapneumovirus; adenovirus; enterovirus-rhinovirus; coronaviruses NL63, HKU1, 229E, and OC43; and bocavirus. We tested a total of 358 respiratory specimens from 173 pediatric patients previously tested by direct fluorescence assay (DFA) and viral culture. The overall detection rate (number of positive specimens/total specimens) for viruses tested by all methods was 24% for DFA/culture, 45% for xTAG RVP Fast, and 51% for FA RVP. The agreement between the two multiplex assays was 84.5%, and the difference in detection rate was statistically significant (P &lt; 0.0001). Overall, the FA RVP assay was more sensitive than the xTAG RVP Fast assay and had a turnaround time of approximately 1 h. The sensitivity, simplicity, and random-access platform make FA RVP an excellent choice for laboratory on-demand service with low to medium volume.</t>
  </si>
  <si>
    <t xml:space="preserve">[Babady, N. Esther; Stiles, Jeffrey; Brennan, Carrie; Shuptar, Susan; Tang, Yi-Wei] Mem Sloan Kettering Canc Ctr, Clin Microbiol Serv, Dept Lab Med, New York, NY 10021 USA; [Mead, Peter; Tang, Yi-Wei; Kamboj, Mini] Mem Sloan Kettering Canc Ctr, Dept Med, Infect Dis Serv, New York, NY 10021 USA; [Li, Haijing; Stratton, Charles W.] Vanderbilt Univ, Med Ctr, Dept Pathol, Nashville, TN 37232 USA</t>
  </si>
  <si>
    <t xml:space="preserve">Memorial Sloan Kettering Cancer Center; Memorial Sloan Kettering Cancer Center; Vanderbilt University</t>
  </si>
  <si>
    <t xml:space="preserve">Babady, NE (corresponding author), Mem Sloan Kettering Canc Ctr, Clin Microbiol Serv, Dept Lab Med, 1275 York Ave, New York, NY 10021 USA.</t>
  </si>
  <si>
    <t xml:space="preserve">Li, Huaming/GZG-6983-2022; Tang, Yiwei/F-6622-2017</t>
  </si>
  <si>
    <t xml:space="preserve">Tang, Yi-Wei/0000-0003-4888-6771; KAMBOJ, MINI/0000-0002-3122-6374</t>
  </si>
  <si>
    <t xml:space="preserve">Society of the Memorial Sloan-Kettering Cancer Center</t>
  </si>
  <si>
    <t xml:space="preserve">This work was supported in part by a grant from the Society of the Memorial Sloan-Kettering Cancer Center (to N.E.B.).</t>
  </si>
  <si>
    <t xml:space="preserve">10.1128/JCM.06186-11</t>
  </si>
  <si>
    <t xml:space="preserve">986RB</t>
  </si>
  <si>
    <t xml:space="preserve">WOS:000307360800019</t>
  </si>
  <si>
    <t xml:space="preserve">Dingle, KE; Crook, D; Jeffery, K</t>
  </si>
  <si>
    <t xml:space="preserve">Stable and noncompetitive RNA internal control for routine clinical diagnostic reverse transcription-PCR</t>
  </si>
  <si>
    <t xml:space="preserve">Biology; Virology; RNA; Virus; Reverse transcriptase; Multiplex</t>
  </si>
  <si>
    <t xml:space="preserve">DELTA VIRUS GENOME; INFLUENZA-VIRUS; HEPATITIS; INFECTIONS; ASSAY; AMPLIFICATION; CONSTRUCTION; REPLICATION; INITIATION; SEQUENCE</t>
  </si>
  <si>
    <t xml:space="preserve">Clinical diagnostic tests based on nucleic acid amplification assist with the prompt diagnosis of microbial infections because of their speeds and extremely low limits of detection. However, the design of appropriate internal controls for such assays has proven difficult. We describe a reaction-specific RNA internal control for diagnostic reverse transcription (RT)-PCR which allows extraction, RT, amplification, and detection to be monitored. The control consists of a G+C-rich (60%) RNA molecule with an extensive secondary structure, based on a modified hepatitis delta virus genome. The rod-like structure of this RNA, with 70% intramolecular base pairing, provides a difficult template for RT-PCR. This ensures that the more favorable target virus amplicon is generated in preference to the control, with the control being detected only if the target virus is absent. The unusual structure of hepatitis delta virus RNA has previously been shown to enhance its stability and resistance to nucleases, an advantage for routine use as an internal control. The control was implemented in three nested multiplex RT-PCRs to detect nine clinically important respiratory viruses: (i) influenza A and B viruses, (ii) respiratory syncytial viruses A and B and human metapneumovirus, and (iii) parainfluenza virus types 1 to 4. The detection limits of these assays were not detectably compromised by the presence of the RNA control. During routine testing of 324 consecutive unselected respiratory samples, the presence of the internal control ensured that genuine and false-negative results were distinguishable, thus increasing the diagnostic confidence in the assay.</t>
  </si>
  <si>
    <t xml:space="preserve">Univ Oxford, Nuffield Dept Clin Sci, Oxford OX3 9DU, England; John Radcliffe Hosp, Oxford Radcliffe NHS Trust, Dept Microbiol, Oxford OX3 9DU, England</t>
  </si>
  <si>
    <t xml:space="preserve">University of Oxford; University of Oxford</t>
  </si>
  <si>
    <t xml:space="preserve">Univ Oxford, John Radcliffe Hosp, Microbiol Level 6,Headley Way, Oxford OX3 9DU, England.</t>
  </si>
  <si>
    <t xml:space="preserve">kate.dingle@ndcls.ox.ac.uk</t>
  </si>
  <si>
    <t xml:space="preserve">Dingle, Kate/0000-0002-2303-5957</t>
  </si>
  <si>
    <t xml:space="preserve">10.1128/JCM.42.3.1003-1011.2004</t>
  </si>
  <si>
    <t xml:space="preserve">WOS:000220376900010</t>
  </si>
  <si>
    <t xml:space="preserve">Gordon, CJ; Walker, SM; Tchesnokov, EP; Kocincova, D; Pitts, J; Siegel, DS; Perry, JK; Feng, JY; Bilello, JP; Götte, M</t>
  </si>
  <si>
    <t xml:space="preserve">Gordon, Calvin J.; Walker, Simon M.; Tchesnokov, Egor P.; Kocincova, Dana; Pitts, Jared; Siegel, Dustin S.; Perry, Jason K.; Feng, Joy Y.; Bilello, John P.; Gotte, Matthias</t>
  </si>
  <si>
    <t xml:space="preserve">Mechanism and spectrum of inhibition of a 4'-cyano modified nucleotide analog against diverse RNA polymerases of prototypic respiratory RNA viruses</t>
  </si>
  <si>
    <t xml:space="preserve">RNA; Mechanism (biology); Nucleotide; Polymerase</t>
  </si>
  <si>
    <t xml:space="preserve">NUCLEOSIDE ANALOGS; POTENT INHIBITORS; STRUCTURAL BASIS; GLOBAL BURDEN; REMDESIVIR; REPLICATION; DISCOVERY; CHILDREN; GS-5734; REVEALS</t>
  </si>
  <si>
    <t xml:space="preserve">The development of safe and effective broad-spectrum antivirals that target the replication machinery of respiratory viruses is of high priority in pandemic preparedness programs. Here, we studied the mechanism of action of a newly discovered nucleotide analog against diverse RNA-dependent RNA polymerases (RdRps) of prototypic respiratory viruses. GS646939 is the active 5'-triphosphate metabolite of a 4'-cyano 7682. Enzyme kinetics show that the RdRps of human rhinovirus type 16 (HRV-16) and enterovirus 71 incorporate GS646939 with unprecedented selectivity; GS-646939 is incorporated 20-50-fold more efficiently than its natural ATP counterpart. The RdRp complex of respiratory syncytial virus and human metapneumovirus incorporate GS-646939 and ATP with similar efficiency. In contrast, influenza B RdRp shows a clear preference for ATP and human mitochondrial RNA polymerase does not show significant incorporation of GS646939. Once incorporated into the nascent RNA strand, GS646939 acts as a chain terminator although higher NTP concentrations can partially overcome inhibition for some polymerases. Modeling and biochemical data suggest that the 4'with GS-443902, the active triphosphate form of the 1'-cyano modified prodrugs remdesivir and obeldesivir, reveal not only different mechanisms of inhibition, but also differences in the spectrum of inhibition of viral polymerases. In conclusion, 1'cyano and 4'-cyano modifications of nucleotide analogs provide complementary strategies to target the polymerase of several families of respiratory RNA viruses.</t>
  </si>
  <si>
    <t xml:space="preserve">[Gordon, Calvin J.; Walker, Simon M.; Tchesnokov, Egor P.; Kocincova, Dana; Gotte, Matthias] Univ Alberta, Dept Med Microbiol &amp; Immunol, Edmonton, AB, Canada; [Pitts, Jared; Siegel, Dustin S.; Perry, Jason K.; Feng, Joy Y.; Bilello, John P.] Gilead Sci Inc, Foster City, CA USA</t>
  </si>
  <si>
    <t xml:space="preserve">University of Alberta; Gilead Sciences</t>
  </si>
  <si>
    <t xml:space="preserve">Götte, M (corresponding author), Univ Alberta, Dept Med Microbiol &amp; Immunol, Edmonton, AB, Canada.</t>
  </si>
  <si>
    <t xml:space="preserve">Canadian Institutes of Health Research (CIHR) [170343]; Gilead Sciences Inc; Alberta Ministry of Technology and Innovation through SPP-ARC (Striving for Pandemic Preparedness-The Alberta Research Consortium); National Institute of Allergy and Infectious Diseases of the National Institutes of Health [U19AI171292]; CIHR [181545]</t>
  </si>
  <si>
    <t xml:space="preserve">Canadian Institutes of Health Research (CIHR)(Canadian Institutes of Health Research (CIHR)); Gilead Sciences Inc(Gilead Sciences); Alberta Ministry of Technology and Innovation through SPP-ARC (Striving for Pandemic Preparedness-The Alberta Research Consortium); National Institute of Allergy and Infectious Diseases of the National Institutes of Health(United States Department of Health &amp; Human ServicesNational Institutes of Health (NIH) - USANIH National Institute of Allergy &amp; Infectious Diseases (NIAID)); CIHR(Canadian Institutes of Health Research (CIHR))</t>
  </si>
  <si>
    <t xml:space="preserve">This study was supported by grants to M. G. from the Canadian Institutes of Health Research (CIHR) under the funding reference number 170343, Gilead Sciences Inc, the Alberta Ministry of Technology and Innovation through SPP-ARC (Striving for Pandemic Preparedness-The Alberta Research Consortium) and by the National Institute of Allergy and Infectious Diseases of the National Institutes of Health under Award Number U19AI171292. The content is solely the re-sponsibility of the authors and does not necessarily represent the official views of the National Institutes of Health. C. J. G. is sup-ported by a grant from the CIHR under the funding reference number 181545.</t>
  </si>
  <si>
    <t xml:space="preserve">10.1016/j.jbc.2024.107514</t>
  </si>
  <si>
    <t xml:space="preserve">N5T6A</t>
  </si>
  <si>
    <t xml:space="preserve">WOS:001364963500001</t>
  </si>
  <si>
    <t xml:space="preserve">Gilman, MSA; Castellanos, CA; Chen, M; Ngwuta, JO; Goodwin, E; Moin, SM; Mas, V; Melero, JA; Wright, PF; Graham, BS; McLellan, JS; Walker, LM</t>
  </si>
  <si>
    <t xml:space="preserve">Gilman, Morgan S. A.; Castellanos, Carlos A.; Chen, Man; Ngwuta, Joan O.; Goodwin, Eileen; Moin, Syed M.; Mas, Vicente; Melero, Jose A.; Wright, Peter F.; Graham, Barney S.; McLellan, Jason S.; Walker, Laura M.</t>
  </si>
  <si>
    <t xml:space="preserve">Rapid profiling of RSV antibody repertoires from the memory B cells of naturally infected adult donors</t>
  </si>
  <si>
    <t xml:space="preserve">SCIENCE IMMUNOLOGY</t>
  </si>
  <si>
    <t xml:space="preserve">Antibody; Profiling (computer programming); Biology; Virology</t>
  </si>
  <si>
    <t xml:space="preserve">RESPIRATORY-SYNCYTIAL-VIRUS; FUSION GLYCOPROTEIN; MONOCLONAL-ANTIBODIES; NEUTRALIZING ANTIBODIES; IN-VITRO; STRUCTURAL BASIS; F-GLYCOPROTEIN; ANTIGEN; IDENTIFICATION; AFFINITY</t>
  </si>
  <si>
    <t xml:space="preserve">Respiratory syncytial virus (RSV) causes substantial morbidity and mortality in young children and the elderly. There are currently no licensed RSV vaccines, and passive prophylaxis with the monoclonal antibody palivizumab is restricted to high-risk infants in part due to its modest efficacy. Although it is widely agreed that an effective RSV vaccine will require the induction of a potent neutralizing antibody response against the RSV fusion (F) glycoprotein, little is known about the specificities and functional activities of RSV F-specific antibodies induced by natural infection. We have comprehensively profiled the human antibody response to RSV F by isolating and characterizing 364 RSV F-specific monoclonal antibodies from the memory B cells of three healthy adult donors. In all donors, the antibody response to RSV F was composed of a broad diversity of clones that targeted several antigenic sites. Nearly half of the most potent antibodies targeted a previously undefined site of vulnerability near the apex of the prefusion conformation of RSV F (preF). Additionally, the antibodies targeting this new site displayed convergent sequence features, thus providing a future means to rapidly detect the presence of these antibodies in human vaccine samples. Many of the antibodies that bind preF-specific surfaces were &gt;100 times more potent than palivizumab and several cross-neutralized human metapneumovirus. Together, the results have implications for the design and evaluation of RSV vaccine candidates and offer new options for passive prophylaxis.</t>
  </si>
  <si>
    <t xml:space="preserve">[Gilman, Morgan S. A.; McLellan, Jason S.] Geisel Sch Med Dartmouth, Dept Biochem &amp; Cell Biol, Hanover, NH 03755 USA; [Castellanos, Carlos A.; Goodwin, Eileen; Walker, Laura M.] Adimab LLC, Lebanon, NH 03766 USA; [Chen, Man; Ngwuta, Joan O.; Moin, Syed M.; Graham, Barney S.] NIAID, Vaccine Res Ctr, NIH, 9000 Rockville Pike, Bethesda, MD 20892 USA; [Mas, Vicente; Melero, Jose A.] Inst Salud Carlos III, Ctr Nacl Microbiol, Madrid, Spain; [Mas, Vicente; Melero, Jose A.] Inst Salud Carlos III, CIBER Enfermedades Resp, Madrid, Spain; [Wright, Peter F.] Geisel Sch Med Dartmouth, Dept Pediat, Hanover, NH 03755 USA</t>
  </si>
  <si>
    <t xml:space="preserve">Dartmouth College; National Institutes of Health (NIH) - USA; NIH National Institute of Allergy &amp; Infectious Diseases (NIAID); Instituto de Salud Carlos III; Centro Nacional de Microbiologia (CNM); Instituto de Salud Carlos III; CIBER - Centro de Investigacion Biomedica en Red; CIBERES; Dartmouth College</t>
  </si>
  <si>
    <t xml:space="preserve">Walker, LM (corresponding author), Adimab LLC, Lebanon, NH 03766 USA.</t>
  </si>
  <si>
    <t xml:space="preserve">laura.walker@adimab.com</t>
  </si>
  <si>
    <t xml:space="preserve">Graham, Barney/AAC-5898-2019; McLellan, Jason/A-6874-2010; Zhou, Shungui/B-3581-2012; Mas, Vicente/M-4776-2015</t>
  </si>
  <si>
    <t xml:space="preserve">Melero, Jose A./0000-0001-8148-6521; Mas, Vicente/0000-0002-0887-0743; Castellanos, Carlos/0000-0003-3615-2009; Chen, Man/0009-0006-4599-7328; Moin, Syed/0000-0001-8789-9167; McLellan, Jason/0000-0003-3991-542X; Gilman, Morgan/0000-0001-6746-6284</t>
  </si>
  <si>
    <t xml:space="preserve">National Institute of General Medical Sciences of the NIH [T32GM008704, P20GM113132]; National Institute of Allergy and Infectious Diseases; Plan Nacional I+D+i [SAF2015-67033-R]</t>
  </si>
  <si>
    <t xml:space="preserve">National Institute of General Medical Sciences of the NIH(United States Department of Health &amp; Human ServicesNational Institutes of Health (NIH) - USANIH National Institute of General Medical Sciences (NIGMS)); National Institute of Allergy and Infectious Diseases(United States Department of Health &amp; Human ServicesNational Institutes of Health (NIH) - USANIH National Institute of Allergy &amp; Infectious Diseases (NIAID)); Plan Nacional I+D+i</t>
  </si>
  <si>
    <t xml:space="preserve">Support for this work was provided by the National Institute of General Medical Sciences of the NIH awards T32GM008704 (M.S.A.G.) and P20GM113132 (J.S.M.) and by intramural funding from the National Institute of Allergy and Infectious Diseases to support work at the Vaccine Research Center (B.S.G.). This work was partially supported by grant SAF2015-67033-R to J.A.M. from Plan Nacional I+D+i.</t>
  </si>
  <si>
    <t xml:space="preserve">2470-9468</t>
  </si>
  <si>
    <t xml:space="preserve">SCI IMMUNOL</t>
  </si>
  <si>
    <t xml:space="preserve">Sci. Immunol.</t>
  </si>
  <si>
    <t xml:space="preserve">eaaj1879</t>
  </si>
  <si>
    <t xml:space="preserve">10.1126/sciimmunol.aaj1879</t>
  </si>
  <si>
    <t xml:space="preserve">VC6FM</t>
  </si>
  <si>
    <t xml:space="preserve">WOS:000434303700008</t>
  </si>
  <si>
    <t xml:space="preserve">Mehedi, M; McCarty, T; Martin, SE; Le Nouën, C; Buehler, E; Chen, YC; Smelkinson, M; Ganesan, S; Fischer, ER; Brock, LG; Liang, B; Munir, S; Collins, PL; Buchholz, UJ</t>
  </si>
  <si>
    <t xml:space="preserve">Mehedi, Masfique; McCarty, Thomas; Martin, Scott E.; Le Nouen, Cyril; Buehler, Eugen; Chen, Yu-Chi; Smelkinson, Margery; Ganesan, Sundar; Fischer, Elizabeth R.; Brock, Linda G.; Liang, Bo; Munir, Shirin; Collins, Peter L.; Buchholz, Ursula J.</t>
  </si>
  <si>
    <t xml:space="preserve">Actin-Related Protein 2 (ARP2) and Virus-Induced Filopodia Facilitate Human Respiratory Syncytial Virus Spread</t>
  </si>
  <si>
    <t xml:space="preserve">Filopodia; Biology; Virology</t>
  </si>
  <si>
    <t xml:space="preserve">HUMAN DENDRITIC CELLS; GROWTH CONE MOTILITY; IN-VITRO MODEL; PARAINFLUENZA VIRUS; HUMAN METAPNEUMOVIRUS; CELLULAR ACTIN; F-ACTIN; INFECTION; COMPLEX; MORPHOGENESIS</t>
  </si>
  <si>
    <t xml:space="preserve">Human respiratory syncytial virus (RSV) is an enveloped RNA virus that is the most important viral cause of acute pediatric lower respiratory tract illness worldwide, and lacks a vaccine or effective antiviral drug. The involvement of host factors in the RSV replicative cycle remains poorly characterized. A genome-wide siRNA screen in human lung epithelial A549 cells identified actin-related protein 2 (ARP2) as a host factor involved in RSV infection. ARP2 knockdown did not reduce RSV entry, and did not markedly reduce gene expression during the first 24 hr of infection, but decreased viral gene expression thereafter, an effect that appeared to be due to inhibition of viral spread to neighboring cells. Consistent with reduced spread, there was a 10-fold reduction in the release of infectious progeny virions in ARP2-depleted cells at 72 hr post-infection. In addition, we found that RSV infection induced filopodia formation and increased cell motility in A549 cells and that this phenotype was ARP2 dependent. Filopodia appeared to shuttle RSV to nearby uninfected cells, facilitating virus spread. Expression of the RSV F protein alone from a plasmid or heterologous viral vector in A549 cells induced filopodia, indicating a new role for the RSV F protein, driving filopodia induction and virus spread. Thus, this study identified roles for ARP2 and filopodia in RSV-induced cell motility, RSV production, and RSV cell-to-cell spread.</t>
  </si>
  <si>
    <t xml:space="preserve">[Mehedi, Masfique; McCarty, Thomas; Le Nouen, Cyril; Brock, Linda G.; Liang, Bo; Munir, Shirin; Collins, Peter L.; Buchholz, Ursula J.] NIAID, RNA Viruses Sect, Infect Dis Lab, NIH, 9000 Rockville Pike, Bethesda, MD 20892 USA; [Martin, Scott E.; Buehler, Eugen; Chen, Yu-Chi] Natl Ctr Adv Translat Sci, Div Preclin Innovat, Rockville, MD USA; [Smelkinson, Margery; Ganesan, Sundar] NIAID, Biol Imaging Sect, Res Technol Branch, NIH, 9000 Rockville Pike, Bethesda, MD 20892 USA; [Fischer, Elizabeth R.] NIAID, Microscopy Unit, Rocky Mt Labs, Res Technol Branch,NIH, Hamilton, MT USA; [Martin, Scott E.] Genentech Inc, Dept Discovery Oncol, San Francisco, CA 94080 USA</t>
  </si>
  <si>
    <t xml:space="preserve">National Institutes of Health (NIH) - USA; NIH National Institute of Allergy &amp; Infectious Diseases (NIAID); National Institutes of Health (NIH) - USA; NIH National Center for Advancing Translational Sciences (NCATS); National Institutes of Health (NIH) - USA; NIH National Institute of Allergy &amp; Infectious Diseases (NIAID); National Institutes of Health (NIH) - USA; NIH National Institute of Allergy &amp; Infectious Diseases (NIAID); Roche Holding; Genentech</t>
  </si>
  <si>
    <t xml:space="preserve">Mehedi, M (corresponding author), NIAID, RNA Viruses Sect, Infect Dis Lab, NIH, 9000 Rockville Pike, Bethesda, MD 20892 USA.</t>
  </si>
  <si>
    <t xml:space="preserve">masfique.mehedi@nih.gov</t>
  </si>
  <si>
    <t xml:space="preserve">McCarty, Tom/ABG-6003-2020; Buchholz, Ursula/AAA-4547-2022; Munir, Shirin/AAA-7943-2021; Liang, Bo/R-6221-2016; Mehedi, Masfique/J-6618-2014</t>
  </si>
  <si>
    <t xml:space="preserve">Liang, Bo/0000-0002-3592-2481; Smelkinson, Margery/0000-0001-7777-5574; McCarty, Tom/0000-0001-5815-2531; Mehedi, Masfique/0000-0003-1728-3126</t>
  </si>
  <si>
    <t xml:space="preserve">Intramural Research Program of NIAID, NIH</t>
  </si>
  <si>
    <t xml:space="preserve">Intramural Research Program of NIAID, NIH(United States Department of Health &amp; Human ServicesNational Institutes of Health (NIH) - USANIH National Institute of Allergy &amp; Infectious Diseases (NIAID))</t>
  </si>
  <si>
    <t xml:space="preserve">This study was supported by the Intramural Research Program of NIAID, NIH. The funders had no role in study design, data collection and analysis, decision to publish, or preparation of the manuscript.</t>
  </si>
  <si>
    <t xml:space="preserve">e1006062</t>
  </si>
  <si>
    <t xml:space="preserve">10.1371/journal.ppat.1006062</t>
  </si>
  <si>
    <t xml:space="preserve">EI0YQ</t>
  </si>
  <si>
    <t xml:space="preserve">WOS:000392202100039</t>
  </si>
  <si>
    <t xml:space="preserve">Carrol, ED; Mankhambo, LA; Guiver, M; Banda, DL; Denis, B; Dove, W; Jeffers, G; Molyneux, EM; Molyneux, ME; Hart, CA; Graham, SM</t>
  </si>
  <si>
    <t xml:space="preserve">Carrol, Enitan D.; Mankhambo, Limangeni A.; Guiver, Malcolm; Banda, Daniel L.; Denis, Brigitte; Dove, Winifred; Jeffers, Graham; Molyneux, Elizabeth M.; Molyneux, Malcolm E.; Hart, C. Anthony; Graham, Stephen M.</t>
  </si>
  <si>
    <t xml:space="preserve">IPD Study Grp</t>
  </si>
  <si>
    <t xml:space="preserve">PCR Improves Diagnostic Yield from Lung Aspiration in Malawian Children with Radiologically Confirmed Pneumonia</t>
  </si>
  <si>
    <t xml:space="preserve">Pneumonia; Medicine; Lung</t>
  </si>
  <si>
    <t xml:space="preserve">RESPIRATORY-TRACT INFECTIONS; COMMUNITY-ACQUIRED PNEUMONIA; TRANSTHORACIC NEEDLE ASPIRATION; INVASIVE PNEUMOCOCCAL DISEASE; SEQUENTIAL MULTIPLEX PCR; REAL-TIME PCR; HUMAN BOCAVIRUS; CHILDHOOD PNEUMONIA; SYNCYTIAL-VIRUS; HUMAN METAPNEUMOVIRUS</t>
  </si>
  <si>
    <t xml:space="preserve">Background: Accurate data on childhood pneumonia aetiology are essential especially from regions where mortality is high, in order to inform case-management guidelines and the potential of prevention strategies such as bacterial conjugate vaccines. Yield from blood culture is low, but lung aspirate culture provides a higher diagnostic yield. We aimed to determine if diagnostic yield could be increased further by polymerase chain reaction (PCR) detection of bacteria (Streptococcus pneumoniae and Haemophilus influenzae b) and viruses in lung aspirate fluid. Methods: A total of 95 children with radiological focal, lobar or segmental consolidation had lung aspirate performed and sent for bacterial culture and for PCR for detection of bacteria, viruses and Pneumocystis jirovecii. In children with a pneumococcal aetiology, pneumococcal bacterial loads were calculated in blood and lung aspirate fluid. Results: Blood culture identified a bacterial pathogen in only 8 patients (8%). With the addition of PCR on lung aspirate samples, causative pathogens (bacterial, viral, pneumocystis) were identified singly or as co-infections in 59 children (62%). The commonest bacterial organism was S. pneumoniae (41%), followed by H. influenzae b (6%), and the commonest virus identified was adenovirus (16%), followed by human bocavirus (HBoV) (4%), either as single or co-infection. Conclusions: In a select group of African children, lung aspirate PCR significantly improves diagnostic yield. Our study confirms a major role of S. pneumoniae and viruses in the aetiology of childhood pneumonia in Africa.</t>
  </si>
  <si>
    <t xml:space="preserve">[Carrol, Enitan D.; Jeffers, Graham] Univ Liverpool, Inst Child Hlth, Alder Hey Childrens NHS Fdn Trust, Dept Womens &amp; Childrens Hlth, Liverpool L69 3BX, Merseyside, England; [Carrol, Enitan D.; Mankhambo, Limangeni A.; Banda, Daniel L.; Denis, Brigitte; Molyneux, Malcolm E.; Graham, Stephen M.; IPD Study Grp] Univ Malawi, Coll Med, Malawi Liverpool Wellcome Trust Clin Res Programm, Blantyre, Malawi; [Mankhambo, Limangeni A.; Molyneux, Elizabeth M.] Univ Malawi, Coll Med, Dept Paediat, Blantyre, Malawi; [Guiver, Malcolm] Hlth Protect Agcy, Hlth Protect Agcy NW, Manchester, Lancs, England; [Dove, Winifred; Hart, C. Anthony] Univ Liverpool, Dept Clin Infect Microbiol &amp; Immunol, Liverpool L69 3BX, Merseyside, England; [Graham, Stephen M.] Univ Melbourne, Dept Paediat, Ctr Int Child Hlth, Melbourne, Vic, Australia; [Graham, Stephen M.] Royal Childrens Hosp, Murdoch Childrens Res Inst, Melbourne, Vic, Australia</t>
  </si>
  <si>
    <t xml:space="preserve">University of Liverpool; Alder Hey Children's NHS Foundation Trust; University of Malawi; University of Malawi; Health Protection Agency; University of Liverpool; University of Melbourne; Royal Children's Hospital Melbourne; Murdoch Children's Research Institute</t>
  </si>
  <si>
    <t xml:space="preserve">Carrol, ED (corresponding author), Univ Liverpool, Inst Child Hlth, Alder Hey Childrens NHS Fdn Trust, Dept Womens &amp; Childrens Hlth, Liverpool L69 3BX, Merseyside, England.</t>
  </si>
  <si>
    <t xml:space="preserve">edcarrol@liv.ac.uk</t>
  </si>
  <si>
    <t xml:space="preserve">Banda, Daniel/HOA-4950-2023; Carrol, Enitan/AFR-7125-2022</t>
  </si>
  <si>
    <t xml:space="preserve">Graham, Stephen/0000-0003-3525-2294; Carrol, Enitan/0000-0001-8357-7726</t>
  </si>
  <si>
    <t xml:space="preserve">Wellcome Trust [068026, 074124/Z/04/Z]</t>
  </si>
  <si>
    <t xml:space="preserve">This work was supported by a Wellcome Trust Career Development Fellowship (Grant No. 068026) to EDC. SMG and MEM were recipients of Wellcome Trust funding (core grant 074124/Z/04/Z). The funders had no role in study design, data collection and analysis, decision to publish, or preparation of the manuscript.</t>
  </si>
  <si>
    <t xml:space="preserve">e21042</t>
  </si>
  <si>
    <t xml:space="preserve">10.1371/journal.pone.0021042</t>
  </si>
  <si>
    <t xml:space="preserve">778EB</t>
  </si>
  <si>
    <t xml:space="preserve">WOS:000291682300027</t>
  </si>
  <si>
    <t xml:space="preserve">Dangor, Z; Izu, A; Moore, DP; Nunes, MC; Solomon, F; Beylis, N; von Gottberg, A; McAnerney, JM; Madhi, SA</t>
  </si>
  <si>
    <t xml:space="preserve">Dangor, Ziyaad; Izu, Alane; Moore, David P.; Nunes, Marta C.; Solomon, Fatima; Beylis, Natalie; von Gottberg, Anne; McAnerney, Johanna M.; Madhi, Shabir A.</t>
  </si>
  <si>
    <t xml:space="preserve">Temporal Association in Hospitalizations for Tuberculosis, Invasive Pneumococcal Disease and Influenza Virus Illness in South African Children</t>
  </si>
  <si>
    <t xml:space="preserve">Medicine; Incidence (geometry); Tuberculosis; Influenza A virus; Virus; Pneumococcal infections; Disease</t>
  </si>
  <si>
    <t xml:space="preserve">COMMUNITY-ACQUIRED PNEUMONIA; STREPTOCOCCUS-PNEUMONIAE; MYCOBACTERIUM-TUBERCULOSIS; HUMAN METAPNEUMOVIRUS; BACTERIAL-INFECTIONS; PANDEMIC INFLUENZA; NATURAL-HISTORY; UNITED-STATES; COINFECTION; IMPACT</t>
  </si>
  <si>
    <t xml:space="preserve">Introduction: The seasonal variability in hospitalization for tuberculosis may in part relate to super-imposed bacterial or predisposing respiratory viral infections. We aimed to study the temporal association between hospitalization for culture-confirmed pulmonary tuberculosis (PTB), invasive pneumococcal disease (IPD) and influenza virus epidemics in South African children. Methods: We undertook a retrospective analysis which examined seasonal trends, from 2005 to 2008, for hospitalization for culture-confirmed PTB and IPD among children in relation to the influenza epidemics in Soweto, South Africa. Original time-series of the influenza virus epidemics and hospitalization rates for PTB and IPD were decomposed into three components: a trend cycle component, a seasonal component and an irregular component using the X-11 seasonal adjustment method. To compare the seasonality amongst the three series, the trend and irregular components were removed and only seasonal components examined. Results: Across the study period, the influenza virus epidemics peaked during May to July (winter) months, which was closely followed by an increase in the incidence of hospitalization for IPD (August to October) and PTB (August to November). Discussion: Within-and between-year temporal changes associated with childhood TB hospitalization may in part be driven by factors which influence temporal changes in pneumococcal disease, including potential variability in the severity of influenza virus epidemics in temperate climates. The dynamics of the interplay between the host and these infectious agents appears to be complex and multifactorial.</t>
  </si>
  <si>
    <t xml:space="preserve">[Dangor, Ziyaad; Izu, Alane; Moore, David P.; Nunes, Marta C.; Solomon, Fatima; Madhi, Shabir A.] Univ Witwatersrand, Fac Hlth Sci, MRC, Resp &amp; Meningeal Pathogens Res Unit, Johannesburg, South Africa; [Dangor, Ziyaad] Univ Witwatersrand, Fac Hlth Sci, Dept Paediat, Johannesburg, South Africa; [Izu, Alane; Moore, David P.; Nunes, Marta C.; Solomon, Fatima; Madhi, Shabir A.] Univ Witwatersrand, Dept Sci &amp; Technol, Natl Res Fdn Vaccine Preventable Dis, Johannesburg, South Africa; [Beylis, Natalie] Natl Hlth Lab Serv, Mycobacteriol Referral Lab, Johannesburg, South Africa; [von Gottberg, Anne; McAnerney, Johanna M.; Madhi, Shabir A.] Natl Inst Communicable Dis, Ctr Resp &amp; Meningitis Dis, Johannesburg, South Africa</t>
  </si>
  <si>
    <t xml:space="preserve">University of Witwatersrand; University of Witwatersrand; National Research Foundation - South Africa; University of Witwatersrand; National Health Laboratory Service; National Institute for Communicable Diseases (NICD)</t>
  </si>
  <si>
    <t xml:space="preserve">Madhi, SA (corresponding author), Univ Witwatersrand, Fac Hlth Sci, MRC, Resp &amp; Meningeal Pathogens Res Unit, Johannesburg, South Africa.</t>
  </si>
  <si>
    <t xml:space="preserve">Moore, David/AAU-7186-2020</t>
  </si>
  <si>
    <t xml:space="preserve">von Gottberg, Anne/0000-0002-0243-7455; Madhi, Shabir/0000-0002-7629-0636; Nunes, Marta/0000-0003-3788-878X; Dangor, Ziyaad/0000-0003-4089-147X; Moore, David/0000-0001-6091-1605</t>
  </si>
  <si>
    <t xml:space="preserve">Medical Research Council: Respiratory and Meningeal Pathogens Unit; Department of Science and Technology/National Research Foundation: Vaccine Preventable Diseases South African Research Chair Initiative; Carnegie Corporation of New York; National Research Foundation/Department of Science and Technology: South African Research Chair Initiative Program</t>
  </si>
  <si>
    <t xml:space="preserve">The authors acknowledge financial support from the Medical Research Council: Respiratory and Meningeal Pathogens Unit and the Department of Science and Technology/National Research Foundation: Vaccine Preventable Diseases South African Research Chair Initiative. ZD is funded in part by the Carnegie Corporation of New York. SAM is funded in part by National Research Foundation/Department of Science and Technology: South African Research Chair Initiative Program. The funders had no role in study design, data collection and analysis, decision to publish, or preparation of the manuscript.</t>
  </si>
  <si>
    <t xml:space="preserve">e91464</t>
  </si>
  <si>
    <t xml:space="preserve">10.1371/journal.pone.0091464</t>
  </si>
  <si>
    <t xml:space="preserve">WOS:000332842400095</t>
  </si>
  <si>
    <t xml:space="preserve">Tang, RS; MacPhail, M; Schickli, JH; Kaur, J; Lawlor, HA; Guzzetta, JM; Spaete, RR; Haller, AA</t>
  </si>
  <si>
    <t xml:space="preserve">Parainfluenza virus type 3 expressing the native or soluble fusion (F) protein of respiratory syncytial virus (RSV) confers protection from RSV infection in African green monkeys</t>
  </si>
  <si>
    <t xml:space="preserve">Virology; Biology; Virus; Immunogenicity; Mononegavirales; Paramyxoviridae</t>
  </si>
  <si>
    <t xml:space="preserve">SURFACE GLYCOPROTEINS; HUMAN METAPNEUMOVIRUS; RHESUS-MONKEYS; VACCINE; LIVE; IMMUNOGENICITY; SAFETY; INFANTS; CHIMPANZEES; RECOMBINANTS</t>
  </si>
  <si>
    <t xml:space="preserve">Respiratory syncytial virus (RSV) causes respiratory disease in young children, the elderly, and immunocompromised individuals, often resulting in hospitalization and/or death. After more than 40 years of research, a Food and Drug Administration-approved vaccine for RSV is still not available. In this study, a chimeric bovine/human (b/h) parainfluenza virus type 3 (PIV3) expressing the human PIV3 (hPIV3) fusion (F) and hemagglutinin-neuraminidase (HN) proteins from an otherwise bovine PIV3 (bPIV3) genome was employed as a vector for RSV antigen expression with the aim of generating novel RSV vaccines. b/h PIV3 vaccine candidates expressing native or soluble RSV F proteins were evaluated for efficacy and immunogenicity in a nonhuman primate model. b/h PIV3 is suited for development of pediatric vaccines since bPIV3 had already been evaluated in clinical studies in 1- and 2-month-old infants and was found to be safe, immunogenic, and nontransmissible in a day care setting (Karron et al., Pediatr. Infect. Dis. J. 15:650-654, 1996; Lee et al., J. Infect. Dis. 184:909-913,2001). African green monkeys immunized with b/h PIV3 expressing either the native or soluble RSV F protein were protected from challenge with wild-type RSV and produced RSV neutralizing and RSV F-protein specific immunoglobulin G serum antibodies. The PIV3-vectored RSV vaccines evaluated here further underscore the utility of this vector system for developing safe and immunogenic pediatric respiratory virus vaccines.</t>
  </si>
  <si>
    <t xml:space="preserve">MedImmune Vaccines Inc, Mountain View, CA 94043 USA</t>
  </si>
  <si>
    <t xml:space="preserve">MedImmune Vaccines Inc, 297 N Bernerdo Ave, Mountain View, CA 94043 USA.</t>
  </si>
  <si>
    <t xml:space="preserve">10.1128/JVI.78.20.11198-11207.2004</t>
  </si>
  <si>
    <t xml:space="preserve">858YO</t>
  </si>
  <si>
    <t xml:space="preserve">WOS:000224229000036</t>
  </si>
  <si>
    <t xml:space="preserve">Takayama, N; Sakaki, H; Nishioka, M; Aminaka, M; Shirai, M; Toyoda, A; Endo, E</t>
  </si>
  <si>
    <t xml:space="preserve">Takayama, Naoki; Sakaki, Haruyo; Nishioka, Midori; Aminaka, Mayumi; Shirai, Masahiro; Toyoda, Atsushi; Endo, Eiko</t>
  </si>
  <si>
    <t xml:space="preserve">Exploring Concurrent Approach for Respiratory Epidemiological Surveillance and Symptom Screening (CARES): a new strategy for preventing respiratory infection outbreaks in long-term care facilities</t>
  </si>
  <si>
    <t xml:space="preserve">Medicine; Outbreak; Epidemiology; Emergency medicine</t>
  </si>
  <si>
    <t xml:space="preserve">HUMAN METAPNEUMOVIRUS; SEVERE MOTOR; PRESENTEEISM; INFLUENZA</t>
  </si>
  <si>
    <t xml:space="preserve">Objective: The Concurrent Approach for Respiratory Epidemiological Surveillance and Symptom Screening (CARES) combines symptom screening to prevent external respiratory infections by managing staff and visitor health and surveillance to monitor the infection rates within the facility and take timely decisions on activity programs based on outbreak prevalence. This study examines the efficacy of the CARES strategy in preventing respiratory infection outbreaks in long-term care facilities. Design: Prospective cohort study utilizing historical controls including an intervention and control group. Setting: This study was conducted in two long-term care facility wards (total: 110 beds) in Japan. Patients: We enrolled patients aged 1-72 years from the target ward with severe intellectual and physical disabilities from October 1, 2018, to March 31, 2019, and from October 1, 2017, to March 31, 2018, for the intervention (n = 104) and control (n = 98) groups, respectively. The study included all admitted patients and excluded those hospitalized or discharged during the study period. Intervention: The total number of days that activity programs, new admissions, and visitations were cancelled in the two groups was compared before and after the introduction of CARES. Results: CARES reduced the duration of new admission cancellations and visitation cancellations by 16 and 23 days, respectively (alpha = 0.1, P value &lt; 0.001). Additionally, the maximum duration of activity program cancellations was reduced by 2 days. Furthermore, five cases of presenteeism were prevented. Conclusions: CARES improves patients' quality of life by continuation of activity programs, new patient admission, and ongoing visitations.</t>
  </si>
  <si>
    <t xml:space="preserve">[Takayama, Naoki] NHO Tenryu Hosp, Dept Infect Control &amp; Prevent, Hamamatsu, Shizuoka, Japan; [Sakaki, Haruyo; Endo, Eiko] Int Univ Hlth &amp; Welf, Minato City, Tokyo, Japan; [Nishioka, Midori; Aminaka, Mayumi] Natl Coll Nursing, Kiyose, Tokyo, Japan; [Shirai, Masahiro] NHO Tenryu Hosp, Dept Resp Med, Hamamatsu, Shizuoka, Japan; [Toyoda, Atsushi] NHO Tenryu Hosp, Dept Pediat, Hamamatsu, Shizuoka, Japan</t>
  </si>
  <si>
    <t xml:space="preserve">Takayama, N (corresponding author), NHO Tenryu Hosp, Dept Infect Control &amp; Prevent, Hamamatsu, Shizuoka, Japan.</t>
  </si>
  <si>
    <t xml:space="preserve">NAKANISHI MUTSUKO NURSING PRACTICE RESEARCH FUND; JSPS KAKENHI [JP18H03079]</t>
  </si>
  <si>
    <t xml:space="preserve">NAKANISHI MUTSUKO NURSING PRACTICE RESEARCH FUND; JSPS KAKENHI(Ministry of Education, Culture, Sports, Science and Technology, Japan (MEXT)Japan Society for the Promotion of ScienceGrants-in-Aid for Scientific Research (KAKENHI))</t>
  </si>
  <si>
    <t xml:space="preserve">This work was supported by grants-in-aid of the NAKANISHI MUTSUKO NURSING PRACTICE RESEARCH FUND and JSPS KAKENHI Grant Number JP18H03079.</t>
  </si>
  <si>
    <t xml:space="preserve">10.1017/ice.2024.108</t>
  </si>
  <si>
    <t xml:space="preserve">P2A3F</t>
  </si>
  <si>
    <t xml:space="preserve">WOS:001306049900001</t>
  </si>
  <si>
    <t xml:space="preserve">Milliken, E; de Zwart, AES; Alffenaar, JWC; Marriott, DJE; Riezebos-Brilman, A; Schteinman, A; Evans, AM; Glanville, AR; Verschuuren, EAM; Reuter, SE</t>
  </si>
  <si>
    <t xml:space="preserve">Milliken, Eliza; de Zwart, Auke E. S.; Alffenaar, Jan-Willem C.; Marriott, Deborah J. E.; Riezebos-Brilman, Annelies; Schteinman, Ana; Evans, Allan M.; Glanville, Allan R.; Verschuuren, Erik A. M.; Reuter, Stephanie E.</t>
  </si>
  <si>
    <t xml:space="preserve">Population pharmacokinetics of ribavirin in lung transplant recipients and examination of current and alternative dosing regimens</t>
  </si>
  <si>
    <t xml:space="preserve">JOURNAL OF ANTIMICROBIAL CHEMOTHERAPY</t>
  </si>
  <si>
    <t xml:space="preserve">Dosing; Pharmacokinetics; Medicine; Ribavirin</t>
  </si>
  <si>
    <t xml:space="preserve">RESPIRATORY SYNCYTIAL VIRUS; ORAL RIBAVIRIN; HUMAN METAPNEUMOVIRUS; COMBINATION THERAPY; VIRAL-INFECTIONS; INTERFERON; EFFICACY</t>
  </si>
  <si>
    <t xml:space="preserve">Background Ribavirin is used in the treatment of respiratory paramyxovirus infection in lung transplant recipients; however, its pharmacokinetic profile in the transplant population is unknown despite the potential for alterations due to underlying pathology. Furthermore, the ability of current regimens to meet exposure targets has not been established. Objectives This study examined the pharmacokinetics of ribavirin in a lung transplant population for which current and alternative dosing regimens were assessed. Methods Population pharmacokinetic modelling was conducted in NONMEM using concentration-time data from 24 lung transplant recipients and 6 healthy volunteers. Monte Carlo simulation was used to assess the ability of dosing regimens to achieve pre-specified target concentrations. Results and conclusions A three-compartment model with first-order elimination most adequately described ribavirin concentration-time data, with CLCR and patient type (i.e. lung transplant) identified as significant covariates in the model. Simulations indicate that current regimens achieve efficacious concentrations within 24h of treatment initiation that increase to supra-therapeutic levels over the treatment period. A regimen of 8mg/kg q6h orally for 48h followed by 8mg/kg q24h orally for the remainder of the treatment period was predicted to result in &gt;90% of patients exhibiting concentrations within the defined target range throughout the entire treatment course. Additional work to formally establish target therapeutic concentrations is required; however, this study provides a valuable first step in determining optimal ribavirin treatment regimens for paramyxovirus infections in the lung transplant population.</t>
  </si>
  <si>
    <t xml:space="preserve">[Milliken, Eliza; Glanville, Allan R.] Univ Notre Dame, Fac Med, Sydney, NSW, Australia; [de Zwart, Auke E. S.; Verschuuren, Erik A. M.] Univ Groningen, Univ Med Ctr Groningen, Dept Pulm Dis &amp; TB, Groningen, Netherlands; [Alffenaar, Jan-Willem C.] Univ Groningen, Univ Med Ctr Groningen, Dept Clin Pharm &amp; Pharmacol, Groningen, Netherlands; [Marriott, Deborah J. E.] St Vincents Hosp, Dept Microbiol, Sydney, NSW, Australia; [Riezebos-Brilman, Annelies] Univ Utrecht, Univ Med Ctr Utrecht, Dept Med Microbiol, Utrecht, Netherlands; [Schteinman, Ana] St Vincents Hosp, Dept Clin Pharmacol &amp; Toxicol, Sydney, NSW, Australia; [Schteinman, Ana] Univ New South Wales, St Vincents Clin Sch, UNSW Med, Sydney, NSW, Australia; [Evans, Allan M.; Reuter, Stephanie E.] Univ South Australia, Sch Pharm &amp; Med Sci, Adelaide, SA, Australia; [Glanville, Allan R.] St Vincents Hosp, Dept Thorac Med, Sydney, NSW, Australia; [Reuter, Stephanie E.] Univ Newcastle, Sch Med &amp; Publ Hlth, Newcastle, NSW, Australia</t>
  </si>
  <si>
    <t xml:space="preserve">The University of Notre Dame Australia; University of Groningen; University of Groningen; NSW Health; St Vincents Hospital Sydney; Utrecht University; Utrecht University Medical Center; NSW Health; St Vincents Hospital Sydney; University of New South Wales Sydney; University of South Australia; NSW Health; St Vincents Hospital Sydney; University of Newcastle</t>
  </si>
  <si>
    <t xml:space="preserve">Reuter, SE (corresponding author), Univ South Australia, CEA 19,GPO Box 2471, Adelaide, SA 5001, Australia.</t>
  </si>
  <si>
    <t xml:space="preserve">stephanie.reuter@unisa.edu.au</t>
  </si>
  <si>
    <t xml:space="preserve">Alffenaar, Jan-Willem/AFV-0554-2022; Evans, Allan/G-5179-2010; Reuter Lange, Stephanie/F-6026-2011</t>
  </si>
  <si>
    <t xml:space="preserve">Reuter Lange, Stephanie/0000-0003-3888-7287; Verschuuren, Erik/0000-0002-6807-6744; Evans, Allan/0000-0001-5094-098X</t>
  </si>
  <si>
    <t xml:space="preserve">National Health and Medical Research Council [APP1054746]</t>
  </si>
  <si>
    <t xml:space="preserve">National Health and Medical Research Council(National Health &amp; Medical Research Council (NHMRC) of Australia)</t>
  </si>
  <si>
    <t xml:space="preserve">This work was supported by internal funding and the National Health and Medical Research Council (APP1054746 to S. E. R.).</t>
  </si>
  <si>
    <t xml:space="preserve">0305-7453</t>
  </si>
  <si>
    <t xml:space="preserve">1460-2091</t>
  </si>
  <si>
    <t xml:space="preserve">J ANTIMICROB CHEMOTH</t>
  </si>
  <si>
    <t xml:space="preserve">J. Antimicrob. Chemother.</t>
  </si>
  <si>
    <t xml:space="preserve">10.1093/jac/dky466</t>
  </si>
  <si>
    <t xml:space="preserve">HR0RH</t>
  </si>
  <si>
    <t xml:space="preserve">WOS:000462835800023</t>
  </si>
  <si>
    <t xml:space="preserve">Khuri-Bulos, N; Williams, JV; Shehabi, AA; Faouri, S; Al Jundi, E; Abushariah, O; Chen, QX; Ali, SA; Vermund, S; Halasa, NB</t>
  </si>
  <si>
    <t xml:space="preserve">Khuri-Bulos, Najwa; Williams, John V.; Shehabi, Asem A.; Faouri, Samir; Al Jundi, Ehsan; Abushariah, Omar; Chen, Qingxia; Ali, S. Asad; Vermund, Sten; Halasa, Natasha B.</t>
  </si>
  <si>
    <t xml:space="preserve">Burden of respiratory syncytial virus in hospitalized infants and young children in Amman, Jordan</t>
  </si>
  <si>
    <t xml:space="preserve">Medicine; Pediatrics; Throat; Prospective cohort study; Respiratory system</t>
  </si>
  <si>
    <t xml:space="preserve">REVERSE TRANSCRIPTION-PCR; HUMAN METAPNEUMOVIRUS; DEVELOPING-COUNTRIES; RISK-FACTORS; HUMAN BOCAVIRUS; INFECTION; VACCINES; DISEASE; EPIDEMIOLOGY; ILLNESSES</t>
  </si>
  <si>
    <t xml:space="preserve">Acute respiratory infections (ARI) play a major role in hospitalizations in the Middle East, but the specific viral causes are unknown. We conducted prospective viral surveillance in children &lt; 5 y of age admitted with ARI and/or fever at 2 dissimilar hospitals in Amman, Jordan during peak respiratory syncytial virus (RSV) season. We collected prospective clinical and demographic data and obtained nose/throat swabs for testing for RSV by real-time polymerase chain reaction (RT-PCR). We obtained clinical and laboratory data for 728/743 (98%) subjects enrolled. The children's median age was 4.3 months, 58.4% were males, 87% were breastfed, 4% attended day care, 67% were exposed to smokers, 7% were admitted to the intensive care unit, and 0.7% died (n = 5). Out of 728 subjects, 467 (64%) tested positive by RT-PCR for RSV. Comparing RSV-positive with RSV-negative subjects, the RSV-positive subjects had lower median age (3.6 vs 6.4 months, p &lt; 0.001) and fewer males (55% vs 64%, p = 0.02). RSV-positive children had higher rates of oxygen use (72% vs 42%, p &lt; 0.001), a longer hospital stay (5 vs 4 days, p = 0.001), and higher hospital charges (US$538 vs US$431, p &lt; 0.001) than RSV-negative children. In young hospitalized Jordanian infants, the medical and financial burden of RSV was found to be high. Effective preventive measures, such as an RSV vaccine, would have a significant beneficial impact.</t>
  </si>
  <si>
    <t xml:space="preserve">[Khuri-Bulos, Najwa; Shehabi, Asem A.] Univ Jordan, Dept Paediat &amp; Pathol Microbiol, Amman, Jordan; [Williams, John V.; Ali, S. Asad; Vermund, Sten; Halasa, Natasha B.] Vanderbilt Univ, Sch Med, Dept Pediat, Nashville, TN 37212 USA; [Williams, John V.] Vanderbilt Univ, Sch Med, Dept Microbiol &amp; Immunol, Nashville, TN 37212 USA; [Faouri, Samir; Abushariah, Omar] Al Bashir Hosp, Dept Paediat, Amman, Jordan; [Al Jundi, Ehsan] Saad Specialist Hosp, Dept Paediat, Al Khobar, Saudi Arabia; [Chen, Qingxia] Vanderbilt Univ, Sch Med, Dept Biostat, Nashville, TN 37212 USA; [Ali, S. Asad; Vermund, Sten; Halasa, Natasha B.] Vanderbilt Univ, Sch Med, Inst Global Hlth, Nashville, TN 37212 USA; [Ali, S. Asad] Aga Khan Univ, Dept Paediat, Karachi, Pakistan</t>
  </si>
  <si>
    <t xml:space="preserve">University of Jordan; Vanderbilt University; Vanderbilt University; Saad Specialist Hospital; Vanderbilt University; Vanderbilt University; Aga Khan University</t>
  </si>
  <si>
    <t xml:space="preserve">Halasa, NB (corresponding author), 1161 21st Ave S,D7232 MCN, Nashville, TN 37232 USA.</t>
  </si>
  <si>
    <t xml:space="preserve">natasha.halasa@vanderbilt.edu</t>
  </si>
  <si>
    <t xml:space="preserve">PAN, WILLIAM/HTR-1125-2023; Williams, John/ABE-3227-2020; Vermund, Sten/AAD-3592-2020; Williams, John/F-6962-2010</t>
  </si>
  <si>
    <t xml:space="preserve">Ali, Syed Asad/0000-0001-5274-7665; Williams, John/0000-0001-8377-5175; Vermund, Sten/0000-0001-7289-8698</t>
  </si>
  <si>
    <t xml:space="preserve">FIC NIH HHS [R25 TW007766, R25 TW007766-03] Funding Source: Medline</t>
  </si>
  <si>
    <t xml:space="preserve">FIC NIH HHS(United States Department of Health &amp; Human ServicesNational Institutes of Health (NIH) - USANIH Fogarty International Center (FIC))</t>
  </si>
  <si>
    <t xml:space="preserve">10.3109/00365540903496544</t>
  </si>
  <si>
    <t xml:space="preserve">581JB</t>
  </si>
  <si>
    <t xml:space="preserve">WOS:000276517500007</t>
  </si>
  <si>
    <t xml:space="preserve">Megalaa, R; Perez, GF; Kilaikode-Cheruveettara, S; Kotwal, N; Rodriguez-Martinez, CE; Nino, G</t>
  </si>
  <si>
    <t xml:space="preserve">Megalaa, Rosemary; Perez, Geovanny F.; Kilaikode-Cheruveettara, Sasikumar; Kotwal, Nidhi; Rodriguez-Martinez, Carlos E.; Nino, Gustavo</t>
  </si>
  <si>
    <t xml:space="preserve">Clinical definition of respiratory viral infections in young children and potential bronchiolitis misclassification</t>
  </si>
  <si>
    <t xml:space="preserve">JOURNAL OF INVESTIGATIVE MEDICINE</t>
  </si>
  <si>
    <t xml:space="preserve">Bronchiolitis; Medicine; Pediatrics; Etiology</t>
  </si>
  <si>
    <t xml:space="preserve">SYNCYTIAL VIRUS; HUMAN METAPNEUMOVIRUS; RHINOVIRUS INFECTION; ASTHMA; INFANTS; TRIAL; BIRTH</t>
  </si>
  <si>
    <t xml:space="preserve">Viral respiratory infections are often grouped as a single respiratory syndrome named 'viral bronchiolitis', independently of the viral etiology or individual risk factors. Clinical trials and guidelines have used a more stringent definition of viral bronchiolitis, including only the first episode of wheezing in children less than 12 months of age without concomitant respiratory comorbidities. There is increasing evidence suggesting that this definition is not being followed by pediatric care providers, but it is unclear to what extent viral respiratory infections are currently misclassified as viral bronchiolitis using standard definitions. We conducted a retrospective analysis of hospitalized young children (&lt;= 3 years) due to viral respiratory infections. Bronchiolitis was defined as the first wheezing episode less than 12 months of age. Demographic variables and comorbidities were obtained by electronic medical record review. The study comprised a total of 513 hospitalizations (n=453). Viral bronchiolitis was diagnosed in 144 admissions (28.1%). Notably, we identified that the majority of children diagnosed with bronchiolitis (63%) were misclassified as they had prior episodes of wheezing. Many children with bronchiolitis misclassification had significant comorbidities, including prematurity (51%), neuromuscular conditions (9.8%), and congenital heart disease (9.8%). Misclassification of bronchiolitis is a common problem that may lead to inappropriate management of viral respiratory infections in young children. A comprehensive approach that takes into consideration viral etiology and individual risk factors may lead to a more accurate clinical assessment of this condition and would potentially prevent bronchiolitis misclassification.</t>
  </si>
  <si>
    <t xml:space="preserve">[Megalaa, Rosemary; Perez, Geovanny F.; Kilaikode-Cheruveettara, Sasikumar; Kotwal, Nidhi; Nino, Gustavo] Childrens Natl Med Ctr, Div Pulm &amp; Sleep Med, Washington, DC 20010 USA; [Perez, Geovanny F.; Nino, Gustavo] George Washington Univ, Sch Med &amp; Hlth Sci, Dept Pediat, Washington, DC 20052 USA; [Perez, Geovanny F.; Nino, Gustavo] George Washington Univ, Ctr Genet Med Res, Dept Integrat Syst Biol, Washington, DC USA; [Perez, Geovanny F.; Nino, Gustavo] Childrens Natl Med Ctr, Ctr Genet Res Med, Washington, DC 20010 USA; [Rodriguez-Martinez, Carlos E.] Univ Nacl Colombia, Dept Pediat, Sch Med, Bogota, Colombia; [Rodriguez-Martinez, Carlos E.] Univ El Bosque, Dept Pediat Pulmonol &amp; Pediat Crit Care Med, Sch Med, Bogota, Colombia; [Rodriguez-Martinez, Carlos E.] Mil Hosp Colombia, Res Unit, Bogota, Colombia</t>
  </si>
  <si>
    <t xml:space="preserve">Children's National Health System; George Washington University; George Washington University; Children's National Health System; Universidad Nacional de Colombia; Universidad El Bosque</t>
  </si>
  <si>
    <t xml:space="preserve">Nino, G (corresponding author), Childrens Natl Med Ctr, Div Pediat Pulmonol &amp; Sleep Med, Ctr Genet Med Res, 111 Michigan Ave NW, Washington, DC 20010 USA.;Nino, G (corresponding author), Childrens Natl Med Ctr, Div Pediat Pulmonol &amp; Sleep Med, 111 Michigan Ave NW, Washington, DC 20010 USA.</t>
  </si>
  <si>
    <t xml:space="preserve">NIH National Center for Advancing Translational Sciences [NHLBI/HL090020, NICHC/HD001399, UL1TR000075 KL2TR000076]</t>
  </si>
  <si>
    <t xml:space="preserve">NIH National Center for Advancing Translational Sciences</t>
  </si>
  <si>
    <t xml:space="preserve">This work is supported by grant nos NHLBI/HL090020 (K12 Genomics of Lung), NICHC/HD001399 (K12 Child Health Research Career Development Award), and UL1TR000075 KL2TR000076 Awards from the NIH National Center for Advancing Translational Sciences.</t>
  </si>
  <si>
    <t xml:space="preserve">1081-5589</t>
  </si>
  <si>
    <t xml:space="preserve">1708-8267</t>
  </si>
  <si>
    <t xml:space="preserve">J INVEST MED</t>
  </si>
  <si>
    <t xml:space="preserve">J. Invest. Med.</t>
  </si>
  <si>
    <t xml:space="preserve">10.1136/jim-2017-000491</t>
  </si>
  <si>
    <t xml:space="preserve">GF5LA</t>
  </si>
  <si>
    <t xml:space="preserve">WOS:000432007400010</t>
  </si>
  <si>
    <t xml:space="preserve">Prasad, N; Newbern, EC; Trenholme, AA; Thompson, MG; McArthur, C; Wong, CA; Jelley, L; Aminisani, N; Huang, QS; Grant, CC</t>
  </si>
  <si>
    <t xml:space="preserve">Prasad, Namrata; Newbern, E. Claire; Trenholme, Adrian A.; Thompson, Mark G.; McArthur, Colin; Wong, Conroy A.; Jelley, Lauren; Aminisani, Nayyereh; Huang, Q. Sue; Grant, Cameron C.</t>
  </si>
  <si>
    <t xml:space="preserve">The health and economic burden of respiratory syncytial virus associated hospitalizations in adults</t>
  </si>
  <si>
    <t xml:space="preserve">Medicine; Interquartile range; Incidence (geometry); Disease burden; Confidence interval; Population; Pediatrics</t>
  </si>
  <si>
    <t xml:space="preserve">HUMAN METAPNEUMOVIRUS; INFLUENZA; SURVEILLANCE; INFECTIONS; PCR</t>
  </si>
  <si>
    <t xml:space="preserve">Background Respiratory syncytial virus (RSV) is increasingly recognized as an important cause of illness in adults; however, data on RSV disease and economic burden in this age group remain limited. We aimed to provide comprehensive estimates of RSV disease burden among adults aged &gt;= 18 years. Methods During 2012-2015, population-based, active surveillance of acute respiratory infection (ARI) hospitalizations enabled estimation of the seasonal incidence of RSV hospitalizations and direct health costs in adults aged &gt;= 18 years in Auckland, New Zealand. Results Of 4,600 ARI hospitalizations tested for RSV, 348 (7.6%) were RSV positive. The median (interquartile range) length of hospital stay for RSV positive patients was 4 (2-6) days. The seasonal incidence rate (IR) of RSV hospitalizations, corrected for non-testing, was 23.6 (95% confidence intervals [CI] 21.0-26.1) per 100,000 adults aged &gt;= 18 years. Hospitalization risk increased with age with the highest incidence among adults aged &gt;= 80 years (IR 190.8 per 100,000, 95% CI 137.6-244.0). Being of Maori or Pacific ethnicity or living in a neighborhood with low socioeconomic status (SES) were independently associated with increased RSV hospitalization rates. We estimate RSV-associated hospitalizations among adults aged &gt;= 18 years to cost on average NZD $4,758 per event. Conclusions RSV infection is associated with considerable disease and economic cost in adults. RSV disproportionally affects adult sub-groups defined by age, ethnicity, and neighborhood SES. An effective RSV vaccine or RSV treatment may offer benefits for older adults.</t>
  </si>
  <si>
    <t xml:space="preserve">[Prasad, Namrata; Newbern, E. Claire; Jelley, Lauren; Aminisani, Nayyereh; Huang, Q. Sue] Inst Environm Sci &amp; Res, Wellington, New Zealand; [Prasad, Namrata; Grant, Cameron C.] Univ Auckland, Dept Paediat Child &amp; Youth Hlth, Auckland, New Zealand; [Trenholme, Adrian A.; Wong, Conroy A.] Counties Manukau Dist Hlth Board, Auckland, New Zealand; [Thompson, Mark G.] US Ctr Dis Control &amp; Prevent, Atlanta, GA USA; [McArthur, Colin] Auckland City Hosp, Dept Crit Care Med, Auckland, New Zealand; [Aminisani, Nayyereh] Neyshabur Univ Med Sci, Noncommunicable Dis Res Ctr, Neyshabur, Iran; [Grant, Cameron C.] Starship Childrens Hosp, Gen Paediat, Auckland, New Zealand</t>
  </si>
  <si>
    <t xml:space="preserve">Institute of Environmental Science &amp; Research (ESR) - New Zealand; University of Auckland; Centers for Disease Control &amp; Prevention - USA; Auckland City Hospital; Starship Children's Hospital</t>
  </si>
  <si>
    <t xml:space="preserve">Prasad, N; Newbern, EC (corresponding author), Inst Environm Sci &amp; Res, Wellington, New Zealand.;Prasad, N (corresponding author), Univ Auckland, Dept Paediat Child &amp; Youth Hlth, Auckland, New Zealand.</t>
  </si>
  <si>
    <t xml:space="preserve">Namrata.Prasad@esr.cri.nz; Claire.Newbern@esr.cri.nz</t>
  </si>
  <si>
    <t xml:space="preserve">Huang, Q. Sue/0000-0002-3923-5195; Prasad, Namrata/0000-0002-2268-279X; Newbern, Elizabeth Claire/0000-0002-8486-6471</t>
  </si>
  <si>
    <t xml:space="preserve">US Centers of Disease Control and Prevention [1U01IP000480-01]; Pacific Health Research scholarship by the New Zealand Health Research Council; New Zealand Ministry of Health</t>
  </si>
  <si>
    <t xml:space="preserve">US Centers of Disease Control and Prevention(United States Department of Health &amp; Human ServicesCenters for Disease Control &amp; Prevention - USACDC Intramural Centers for Disease Control and Prevention); Pacific Health Research scholarship by the New Zealand Health Research Council; New Zealand Ministry of Health</t>
  </si>
  <si>
    <t xml:space="preserve">This work was supported by the US Centers of Disease Control and Prevention funded (cooperative agreement number 1U01IP000480-01) and a Pacific Health Research scholarship by the New Zealand Health Research Council to NP. Support in kind was provided by the New Zealand Ministry of Health.</t>
  </si>
  <si>
    <t xml:space="preserve">e0234235</t>
  </si>
  <si>
    <t xml:space="preserve">10.1371/journal.pone.0234235</t>
  </si>
  <si>
    <t xml:space="preserve">MA6QL</t>
  </si>
  <si>
    <t xml:space="preserve">WOS:000542036800024</t>
  </si>
  <si>
    <t xml:space="preserve">Jansen, RR; Wieringa, J; Koekkoek, SM; Visser, CE; Pajkrt, D; Molenkamp, R; de Jong, MD; Schinkel, J</t>
  </si>
  <si>
    <t xml:space="preserve">Jansen, Rogier R.; Wieringa, Joanne; Koekkoek, Sylvie M.; Visser, Caroline E.; Pajkrt, Dasja; Molenkamp, Richard; de Jong, Menno D.; Schinkel, Janke</t>
  </si>
  <si>
    <t xml:space="preserve">Frequent Detection of Respiratory Viruses without Symptoms: Toward Defining Clinically Relevant Cutoff Values</t>
  </si>
  <si>
    <t xml:space="preserve">Rhinovirus; Asymptomatic; Virus; Respiratory system; Clinical significance; Virology</t>
  </si>
  <si>
    <t xml:space="preserve">POLYMERASE-CHAIN-REACTION; REVERSE TRANSCRIPTION-PCR; HUMAN-METAPNEUMOVIRUS; SYNCYTIAL-VIRUS; BIRTH COHORT; VIRAL-INFECTION; 1ST YEAR; CHILDREN; ILLNESS; TRACT</t>
  </si>
  <si>
    <t xml:space="preserve">Highly sensitive techniques, such as PCR, have greatly improved the detection of respiratory viruses. However, the sensitivity of PCR tests also complicates clinical interpretation, as the presence of small amounts of viral targets may not necessarily have clinical relevance. We performed a prospective case-control study in asymptomatic and symptomatic young children. PCR detection of 14 respiratory viruses was performed in nasal washes, and results were quantified in copies per milliliter. A total of 141 cases and 157 controls were included. In 72% of the cases and 28% of the controls, at least one virus was identified. When stratified for age, at least one virus was identified in 47% of the controls younger than 1 year old. Rhinovirus (RV) was frequently detected in both symptomatic and asymptomatic individuals. Receiver operating characteristic analysis for quantitative rhinovirus detection showed that cutoff values for clinical relevance are feasible for RV. In contrast to rhinovirus, respiratory syncytial virus (RSV) was rarely detected in controls, suggesting that a positive RSV test result is almost always of clinical relevance, independent of viral quantity. In conclusion, our study shows that asymptomatic carriage of a respiratory virus occurs frequently in young children. However, significant differences in the amount of virus present were observed between cases and controls. This suggests that defining cutoff levels should be feasible and represents the next necessary step for diagnosing viral respiratory infections using molecular tests.</t>
  </si>
  <si>
    <t xml:space="preserve">[Jansen, Rogier R.; Wieringa, Joanne; Koekkoek, Sylvie M.; Visser, Caroline E.; Molenkamp, Richard; de Jong, Menno D.; Schinkel, Janke] Univ Amsterdam, Acad Med Ctr, Dept Med Microbiol, NL-1105 AZ Amsterdam, Netherlands; [Pajkrt, Dasja] Univ Amsterdam, Acad Med Ctr, Dept Pediat, NL-1105 AZ Amsterdam, Netherlands</t>
  </si>
  <si>
    <t xml:space="preserve">University of Amsterdam; Academic Medical Center Amsterdam; University of Amsterdam; Academic Medical Center Amsterdam</t>
  </si>
  <si>
    <t xml:space="preserve">Jansen, RR (corresponding author), Univ Amsterdam, Acad Med Ctr, Dept Med Microbiol, Room L1-245,Meibergdreef 9, NL-1105 AZ Amsterdam, Netherlands.</t>
  </si>
  <si>
    <t xml:space="preserve">R.R.Jansen@amc.uva.nl</t>
  </si>
  <si>
    <t xml:space="preserve">Schinkel, Janke/I-3099-2012</t>
  </si>
  <si>
    <t xml:space="preserve">Molenkamp, Richard/0000-0002-9004-3850; Schinkel, Janke/0000-0002-1112-0644</t>
  </si>
  <si>
    <t xml:space="preserve">10.1128/JCM.02094-10</t>
  </si>
  <si>
    <t xml:space="preserve">WOS:000292276200040</t>
  </si>
  <si>
    <t xml:space="preserve">Gong, YN; Yang, SL; Chen, GW; Chen, YW; Huang, YC; Ning, HC; Tsao, KC</t>
  </si>
  <si>
    <t xml:space="preserve">Gong, Yu-Nong; Yang, Shu-Li; Chen, Guang-Wu; Chen, Yu-Wen; Huang, Yhu-Chering; Ning, Hsiao-Chen; Tsao, Kuo-Chien</t>
  </si>
  <si>
    <t xml:space="preserve">A metagenomics study for the identification of respiratory viruses in mixed clinical specimens: an application of the iterative mapping approach</t>
  </si>
  <si>
    <t xml:space="preserve">Human metapneumovirus; Biology; Virology; Human Parainfluenza Virus; Metagenomics; Virus</t>
  </si>
  <si>
    <t xml:space="preserve">HUMAN RHINOVIRUS C; SEQUENCING TECHNOLOGY; HUMAN CORONAVIRUS; SAMPLES; GENOME; CHILDREN; BRONCHIOLITIS; PNEUMONIA; DISCOVERY; DIAGNOSIS</t>
  </si>
  <si>
    <t xml:space="preserve">Metagenomic approaches to detect viral genomes and variants in clinical samples have various challenges, including low viral titers and bacterial and human genome contamination. To address these limitations, we examined a next-generation sequencing (NGS) and iterative mapping approach for virus detection in clinical samples. We analyzed 40 clinical specimens from hospitalized children diagnosed with acute bronchiolitis, croup, or respiratory tract infections in which virus identification by viral culture or polymerase chain reaction (PCR) was unsuccessful. For our NGS data analysis pipeline, clinical samples were pooled into two NGS groups to reduce sequencing costs, and the depth and coverage of assembled contigs were effectively increased using an iterative mapping approach. PCR was individually performed for each specimen according to the NGS-predicted viral type. We successfully detected previously unidentified respiratory viruses in 26 of 40 specimens using our proposed NGS pipeline. Two dominant populations within the detected viruses were human rhinoviruses (HRVs; n = 14) and human coronavirus NL63 (n = 8), followed by human parainfluenza virus (HPIV), human parechovirus, influenza A virus, respiratory syncytial virus (RSV), and human metapneumovirus. This is the first study reporting the complete genome sequences of HRV-A101, HRV-C3, HPIV-4a, and RSV, as well as an analysis of their genetic variants, in Taiwan. These results demonstrate that this NGS pipeline allows to detect viruses which were not identified by routine diagnostic assays, directly from clinical samples.</t>
  </si>
  <si>
    <t xml:space="preserve">[Gong, Yu-Nong; Yang, Shu-Li; Chen, Guang-Wu; Ning, Hsiao-Chen; Tsao, Kuo-Chien] Linkou Chang Gung Mem Hosp, Dept Lab Med, Taoyuan, Taiwan; [Gong, Yu-Nong; Chen, Guang-Wu; Tsao, Kuo-Chien] Chang Gung Univ, Coll Med, Res Ctr Emerging Viral Infect, Taoyuan, Taiwan; [Yang, Shu-Li; Ning, Hsiao-Chen; Tsao, Kuo-Chien] Chang Gung Univ, Dept Med Biotechnol &amp; Lab Sci, Coll Med, Taoyuan, Taiwan; [Chen, Guang-Wu] Chang Gung Univ, Sch Elect &amp; Comp Engn, Dept Comp Sci &amp; Informat Engn, Coll Engn, Taoyuan, Taiwan; [Chen, Yu-Wen; Huang, Yhu-Chering] Linkou Chang Gung Mem Hosp, Dept Pediat, Taoyuan, Taiwan; [Huang, Yhu-Chering] Chang Gung Univ, Coll Med, Taoyuan, Taiwan</t>
  </si>
  <si>
    <t xml:space="preserve">Chang Gung Memorial Hospital; Chang Gung University; Chang Gung University; Chang Gung University; Chang Gung Memorial Hospital; Chang Gung University</t>
  </si>
  <si>
    <t xml:space="preserve">Tsao, KC (corresponding author), Linkou Chang Gung Mem Hosp, Dept Lab Med, Taoyuan, Taiwan.;Tsao, KC (corresponding author), Chang Gung Univ, Coll Med, Res Ctr Emerging Viral Infect, Taoyuan, Taiwan.;Tsao, KC (corresponding author), Chang Gung Univ, Dept Med Biotechnol &amp; Lab Sci, Coll Med, Taoyuan, Taiwan.</t>
  </si>
  <si>
    <t xml:space="preserve">kctsao@cgmh.org.tw</t>
  </si>
  <si>
    <t xml:space="preserve">liu, yuchen/GYQ-6286-2022; Chen, Guang-Wu/M-6768-2016; Chen, Yuwen/JOZ-7901-2023</t>
  </si>
  <si>
    <t xml:space="preserve">Gong, Yu-Nong/0000-0002-6799-1561; Chen, Guang-Wu/0000-0002-5322-4839</t>
  </si>
  <si>
    <t xml:space="preserve">Linkou Chang Gung Memorial Hospital, Taoyuan, Taiwan [CLRPG3B0045, CMRPG3F1881]</t>
  </si>
  <si>
    <t xml:space="preserve">Linkou Chang Gung Memorial Hospital, Taoyuan, Taiwan</t>
  </si>
  <si>
    <t xml:space="preserve">This study was partially supported by two grants from Linkou Chang Gung Memorial Hospital, Taoyuan, Taiwan to KCT (No. CLRPG3B0045 and CMRPG3F1881; http://www.cgmh.org.tw). The funders had no role in study design, data collection and analysis, decision to publish, or preparation of the manuscript.</t>
  </si>
  <si>
    <t xml:space="preserve">10.1007/s00705-017-3367-4</t>
  </si>
  <si>
    <t xml:space="preserve">EX7UO</t>
  </si>
  <si>
    <t xml:space="preserve">WOS:000403454900017</t>
  </si>
  <si>
    <t xml:space="preserve">Chan, KH; To, KKW; Li, PTW; Wong, TL; Zhang, R; Chik, KKH; Chan, G; Yip, CCY; Chen, HL; Hung, IFN; Chan, JFW; Yuen, KY</t>
  </si>
  <si>
    <t xml:space="preserve">Chan, K. H.; To, K. K. W.; Li, P. T. W.; Wong, T. L.; Zhang, R.; Chik, K. K. H.; Chan, G.; Yip, C. C. Y.; Chen, H. L.; Hung, I. F. N.; Chan, J. F. W.; Yuen, K. Y.</t>
  </si>
  <si>
    <t xml:space="preserve">Evaluation of NxTAG Respiratory Pathogen Panel and Comparison with xTAG Respiratory Viral Panel Fast v2 and Film Array Respiratory Panel for Detecting Respiratory Pathogens in Nasopharyngeal Aspirates and Swine/Avian-Origin Influenza A Subtypes in Culture Isolates</t>
  </si>
  <si>
    <t xml:space="preserve">Multiplex; Influenza A virus subtype H5N1; Multiplex polymerase chain reaction; Respiratory system; Virology</t>
  </si>
  <si>
    <t xml:space="preserve">HUMAN METAPNEUMOVIRUS; CLINICAL-EVALUATION; MOLECULAR TESTS; INFECTIONS; SPECIMENS; CHILDREN; VIRUS; ASSAY; HOSPITALIZATION; CORONAVIRUS</t>
  </si>
  <si>
    <t xml:space="preserve">This study evaluated a new multiplex kit, Luminex NxTAG Respiratory Pathogen Panel, for respiratory pathogens and compared it with xTAG RVP Fast v2 and FilmArray Respiratory Panel using nasopharyngeal aspirate specimens and culture isolates of different swine/avian-origin influenza A subtypes (H2N2, H5N1, H7N9, H5N6, and H9N2). NxTAG RPP gave sensitivity of 95.2%, specificity of 99.6%, PPV of 93.5%, and NPV of 99.7%. NxTAG RPP, xTAG RVP, and FilmArray RP had highly concordant performance among each other for the detection of respiratory pathogens. The mean analytic sensitivity (TCID50/ml) of NxTAG RPP, xTAG RVP, and FilmArray RP for detection of swine/avian-origin influenza A subtype isolates was 0.7, 41.8, and 0.8, respectively. All three multiplex assays correctly typed and genotyped the influenza viruses, except for NxTAG RRP that could not distinguish H3N2 from H3N2v. Further investigation should be performed if H3N2v is suspected to be the cause of disease. Sensitive and specific laboratory diagnosis of all influenza A viruses subtypes is especially essential in certain epidemic regions, such as Southeast Asia. The results of this study should help clinical laboratory professionals to be aware of the different performances of commercially available molecular multiplex RT-PCR assays that are commonly adopted in many clinical diagnostic laboratories.</t>
  </si>
  <si>
    <t xml:space="preserve">[Chan, K. H.; To, K. K. W.; Li, P. T. W.; Wong, T. L.; Zhang, R.; Chik, K. K. H.; Chan, G.; Chen, H. L.; Chan, J. F. W.; Yuen, K. Y.] Univ Hong Kong, Dept Microbiol, Pokfulam, Hong Kong, Peoples R China; [To, K. K. W.; Chen, H. L.; Chan, J. F. W.; Yuen, K. Y.] Univ Hong Kong, State Key Lab Emerging Infect Dis, Pokfulam, Hong Kong, Peoples R China; [To, K. K. W.; Chen, H. L.; Chan, J. F. W.; Yuen, K. Y.] Univ Hong Kong, Carol Yu Ctr Infect, Pokfulam, Hong Kong, Peoples R China; [Yip, C. C. Y.] Queen Mary Hosp, Dept Microbiol, Pokfulam, Hong Kong, Peoples R China; [Hung, I. F. N.] Univ Hong Kong, Dept Med, Pokfulam, Hong Kong, Peoples R China; [Yuen, K. Y.] Univ Hong Kong, Collaborat Innovat Ctr Diag &amp; Treatment Infect Di, Pokfulam, Hong Kong, Peoples R China</t>
  </si>
  <si>
    <t xml:space="preserve">University of Hong Kong; University of Hong Kong; University of Hong Kong; University of Hong Kong; University of Hong Kong; University of Hong Kong; Collaborative Innovation Center for Diagnosis &amp; Treatment of Infectious Diseases</t>
  </si>
  <si>
    <t xml:space="preserve">Chan, KH; Yuen, KY (corresponding author), Univ Hong Kong, Dept Microbiol, Pokfulam, Hong Kong, Peoples R China.;Yuen, KY (corresponding author), Univ Hong Kong, State Key Lab Emerging Infect Dis, Pokfulam, Hong Kong, Peoples R China.;Yuen, KY (corresponding author), Univ Hong Kong, Carol Yu Ctr Infect, Pokfulam, Hong Kong, Peoples R China.;Yuen, KY (corresponding author), Univ Hong Kong, Collaborat Innovat Ctr Diag &amp; Treatment Infect Di, Pokfulam, Hong Kong, Peoples R China.</t>
  </si>
  <si>
    <t xml:space="preserve">chankh2@hkucc.hku.hk; kyyuen@hkucc.hku.hk</t>
  </si>
  <si>
    <t xml:space="preserve">Yip, Chik/B-7078-2013; Chan, Kwok/ITU-6861-2023; To, Kelvin/AAV-7007-2020; Yuen, Kwok/C-4465-2009; Hung, Ivan FN/ABD-5916-2021; Chan, Jasper Fuk-Woo/D-8007-2013</t>
  </si>
  <si>
    <t xml:space="preserve">Yuen, Kwok-yung/0000-0002-2083-1552; /0000-0003-1771-8249; Hung, Ivan Fan Ngai/0000-0002-1556-2538; To, Kelvin/0000-0002-1921-5824; Chan, Jasper Fuk-Woo/0000-0001-6336-6657</t>
  </si>
  <si>
    <t xml:space="preserve">Consultancy Service for Enhancing Laboratory Surveillance of Emerging Infectious Diseases, the Department of Health, Hong Kong Special Administrative Region; University Development Fund; Committee for Research and Conference Grant; University of Hong Kong; Collaborative Innovation Center for Diagnosis and Treatment of Infectious Diseases, the Ministry of Education of China; Commissioned Research on Control of Infectious Diseases (Phase III) of the Health and Medical Research Fund of the Food and Health Bureau of the HKSAR Government [HKM-15-M-04]</t>
  </si>
  <si>
    <t xml:space="preserve">Consultancy Service for Enhancing Laboratory Surveillance of Emerging Infectious Diseases, the Department of Health, Hong Kong Special Administrative Region; University Development Fund; Committee for Research and Conference Grant; University of Hong Kong(University of Hong Kong); Collaborative Innovation Center for Diagnosis and Treatment of Infectious Diseases, the Ministry of Education of China(Ministry of Education, China); Commissioned Research on Control of Infectious Diseases (Phase III) of the Health and Medical Research Fund of the Food and Health Bureau of the HKSAR Government</t>
  </si>
  <si>
    <t xml:space="preserve">The authors would like to thank the staff of the Department of Microbiology, Queen Mary Hospital, for the facilitation of this project. This work was partly supported by the donations of Larry Chi-Kin Yung and Hui Hoy and Chow Sin Lan Charity Fund Limited; the authors also obtained funding from the Consultancy Service for Enhancing Laboratory Surveillance of Emerging Infectious Diseases, the Department of Health, Hong Kong Special Administrative Region; the University Development Fund and the Committee for Research and Conference Grant; the University of Hong Kong; the Collaborative Innovation Center for Diagnosis and Treatment of Infectious Diseases, the Ministry of Education of China; and the Commissioned Research on Control of Infectious Diseases (Phase III) of the Health and Medical Research Fund (HKM-15-M-04) of the Food and Health Bureau of the HKSAR Government.</t>
  </si>
  <si>
    <t xml:space="preserve">10.1155/2017/1324276</t>
  </si>
  <si>
    <t xml:space="preserve">FF8WE</t>
  </si>
  <si>
    <t xml:space="preserve">WOS:000409297700001</t>
  </si>
  <si>
    <t xml:space="preserve">Robinson, JL; Lee, BE; Kothapalli, S; Craig, WR; Fox, JD</t>
  </si>
  <si>
    <t xml:space="preserve">Robinson, Joan L.; Lee, Bonita E.; Kothapalli, Sushma; Craig, William R.; Fox, Julie D.</t>
  </si>
  <si>
    <t xml:space="preserve">Use of throat swab or saliva specimens for detection of respiratory viruses in children</t>
  </si>
  <si>
    <t xml:space="preserve">Saliva; Throat; Virology; Virus; Medicine</t>
  </si>
  <si>
    <t xml:space="preserve">INFLUENZA-A</t>
  </si>
  <si>
    <t xml:space="preserve">Background. Nasopharyngeal (NP) specimens are commonly used for the detection of respiratory viruses, but throat and saliva specimens are easier to obtain. The objective of this study was to compare the viral yield of direct fluorescent antigen detection of NP specimens and nucleic acid amplification tests (NAT) of direct fluorescent antigen-negative NP specimens with the viral yield of NAT of throat swab and saliva specimens. Methods. NP, throat swab, and saliva specimens were obtained from children and adolescents aged &lt;= 17 years. Direct fluorescent antigen testing of the NP specimen for respiratory syncytial virus, influenza A and B viruses, and parainfluenza virus was performed. If no virus was detected, NAT was performed for these 4 viruses, adenovirus, and human metapneumovirus. If a virus was detected by either method, NAT for the same virus was performed for the corresponding throat swab and saliva specimens. Results. A virus was detected in 105 of the 137 NP specimens. The same virus was detectable by NAT in 87 (83%) of 105 throat swab specimens and 77 (74%) of 104 saliva specimens. The likelihood of viral detection among throat swab and saliva swab specimens was higher when the NP specimen tested positive by direct fluorescent antigen testing, compared with NAT alone, and when the specimens were obtained within 3 days after symptom onset, compared with later in the illness. Conclusions. Throat swab and saliva specimens are inferior to NP specimens for the detection of respiratory viruses but might be acceptable for screening in a setting where it is impractical to obtain an NP specimen.</t>
  </si>
  <si>
    <t xml:space="preserve">[Robinson, Joan L.; Lee, Bonita E.; Kothapalli, Sushma; Fox, Julie D.] Univ Alberta, Publ Hlth &amp; Provinicial Lab Microbiol, Calgary, AB, Canada; [Robinson, Joan L.; Lee, Bonita E.; Craig, William R.] Univ Alberta, Dept Pediat, Calgary, AB, Canada; [Robinson, Joan L.; Lee, Bonita E.; Craig, William R.] Alberta &amp; Stollery Childrens Hosp, Edmonton, AB, Canada</t>
  </si>
  <si>
    <t xml:space="preserve">University of Alberta; University of Alberta; Stollery Children's Hospital</t>
  </si>
  <si>
    <t xml:space="preserve">Robinson, JL (corresponding author), Aberhart Ctr 1,11402 Univ Ave NW, Edmonton, AB T6G 2J3, Canada.</t>
  </si>
  <si>
    <t xml:space="preserve">Craig, William/0000-0002-4804-194X</t>
  </si>
  <si>
    <t xml:space="preserve">E61</t>
  </si>
  <si>
    <t xml:space="preserve">10.1086/529386</t>
  </si>
  <si>
    <t xml:space="preserve">271VW</t>
  </si>
  <si>
    <t xml:space="preserve">WOS:000253817800033</t>
  </si>
  <si>
    <t xml:space="preserve">Debur, MD; Raboni, SM; Flizikowski, FBZ; Chong, DC; Persicote, AP; Nogueira, MB; Rosele, LV; de Almeida, SM; de Noronha, L</t>
  </si>
  <si>
    <t xml:space="preserve">Debur, Maria do Carmo; Raboni, Sonia Mara; Flizikowski, Fabiane B. Z.; Chong, Debora C.; Persicote, Ana Paula; Nogueira, Meri B.; Rosele, Luine V.; de Almeida, Sergio Monteiro; de Noronha, Lucia</t>
  </si>
  <si>
    <t xml:space="preserve">Immunohistochemical assessment of respiratory viruses in necropsy samples from lethal non-pandemic seasonal respiratory infections</t>
  </si>
  <si>
    <t xml:space="preserve">JOURNAL OF CLINICAL PATHOLOGY</t>
  </si>
  <si>
    <t xml:space="preserve">Respiratory system; Virus; Pneumonia; Respiratory tract infections; Virology; Medicine</t>
  </si>
  <si>
    <t xml:space="preserve">COMMUNITY-ACQUIRED PNEUMONIA; 5 YEARS OLD; HUMAN METAPNEUMOVIRUS; RISK-FACTORS; ACUTE BRONCHIOLITIS; CHILDREN YOUNGER; TRACT INFECTIONS; INFLUENZA-VIRUS; LUNG-BIOPSY; DISEASE</t>
  </si>
  <si>
    <t xml:space="preserve">Background/aim Acute respiratory infections are an important cause of childhood morbidity and mortality throughout the world, and viruses have often been reported to be an aetiological agent. This study aimed to identify respiratory viruses in paraffin-embedded samples of paediatric lung necropsy specimens, using immunohistochemistry on tissue microarray slides. Methods Retrospective study in 200 lung tissue samples from children who had died from severe respiratory infections during 1985-2005. Immunoperoxidase assay was performed to detect the viruses that were most commonly associated with respiratory tract infections: influenza virus A (FLU A), influenza virus B (FLU B), respiratory syncytial virus (RSV), adenovirus (AdV) and parainfluenza virus (PIV) types 1, 2 and 3. Results Viruses were detected in 71 (35.5%) cases. Most positive cases were observed in children younger than 6 months. In 42.3% of cases, only one virus was detected: 11 (36.7%) RSV; 7 (23.3%) AdV; 4 (13.3%) PIV2; 3 (10%) FLU A; 2 (6.7%) FLU B; 2 ( 6.7%) PIV3; and 1 (3.3%) PIV1. Co-infection with more than one virus was observed in 41 (57.7%) cases. No positive correlations were observed between the presence of viral antigens and seasonality of the infection, sex, age or histopathological findings. Conclusions Non-pandemic seasonal respiratory viruses are involved in a significant number of deaths in paediatric patients; these findings highlight the importance of laboratory investigation of these agents in patients hospitalised with severe acute respiratory infections.</t>
  </si>
  <si>
    <t xml:space="preserve">[Raboni, Sonia Mara] Univ Fed Parana, Hosp Clin, Dept Infect Dis, Infect Dis Discipline,Virol Lab, BR-80060240 Curitiba, Parana, Brazil; [Debur, Maria do Carmo] Univ Fed Parana, Internal Med Postgrad Program, BR-80060240 Curitiba, Parana, Brazil; [Flizikowski, Fabiane B. Z.; Persicote, Ana Paula; de Noronha, Lucia] Univ Fed Parana, Hosp Clin, Serv Anat Pathol, BR-80060240 Curitiba, Parana, Brazil; [Chong, Debora C.] Univ Fed Parana, Hosp Clin, Dept Pediat, BR-80060240 Curitiba, Parana, Brazil</t>
  </si>
  <si>
    <t xml:space="preserve">Universidade Federal do Parana; Universidade Federal do Parana; Universidade Federal do Parana; Universidade Federal do Parana</t>
  </si>
  <si>
    <t xml:space="preserve">Raboni, SM (corresponding author), Univ Fed Parana, Hosp Clin, Dept Infect Dis, Infect Dis Discipline,Virol Lab, R Padre Camargo 280,2nd Floor,Room 203, BR-80060240 Curitiba, Parana, Brazil.</t>
  </si>
  <si>
    <t xml:space="preserve">Raboni, Sonia/AAF-7142-2020; NOGUEIRA, MERI/AAX-9795-2021; noronha, lucia/F-6339-2015</t>
  </si>
  <si>
    <t xml:space="preserve">noronha, lucia/0000-0003-0310-7164</t>
  </si>
  <si>
    <t xml:space="preserve">0021-9746</t>
  </si>
  <si>
    <t xml:space="preserve">1472-4146</t>
  </si>
  <si>
    <t xml:space="preserve">J CLIN PATHOL</t>
  </si>
  <si>
    <t xml:space="preserve">J. Clin. Pathol.</t>
  </si>
  <si>
    <t xml:space="preserve">10.1136/jcp.2010.077867</t>
  </si>
  <si>
    <t xml:space="preserve">654KY</t>
  </si>
  <si>
    <t xml:space="preserve">WOS:000282168400014</t>
  </si>
  <si>
    <t xml:space="preserve">Davey, BT; Elder, RW; Cloutier, MM; Bennett, N; Lee, JH; Wang, Z; Manning, A; Doan, T; Griffiths, M; Perez, M; Ahluwalia, N; Toro-Salazar, OH</t>
  </si>
  <si>
    <t xml:space="preserve">Davey, Brooke T.; Elder, Robert W.; Cloutier, Michelle M.; Bennett, Nicholas; Lee, Ji Hyun; Wang, Zhu; Manning, Adrienne; Doan, Tam; Griffiths, Megan; Perez, Maria; Ahluwalia, Neha; Toro-Salazar, Olga H.</t>
  </si>
  <si>
    <t xml:space="preserve">T-Cell Receptor Excision Circles in Newborns with Congenital Heart Disease</t>
  </si>
  <si>
    <t xml:space="preserve">Medicine; Population; Pediatrics; Disease</t>
  </si>
  <si>
    <t xml:space="preserve">SEVERE COMBINED IMMUNODEFICIENCY; HUMAN METAPNEUMOVIRUS; IMMUNE FUNCTION; RISK-FACTORS; CHILDREN; INFANTS; SURGERY; INFECTIONS; THYMECTOMY; MORBIDITY</t>
  </si>
  <si>
    <t xml:space="preserve">Objectives To determine if children with congenital heart disease (CHD) have lower newborn T-cell receptor excision circles (TREC) levels than the general population and to evaluate if low TREC levels in newborns with CHD are associated with clinical complications such as hospitalization for infection. Study design The Connecticut Newborn Screening Program reported TREC levels for newborns with CHD delivered between October 2011 and September 2016 at 2 major Connecticut children's hospitals. TREC levels for children with CHD were compared with the general population. TREC levels and outcome measures, including hospitalization for infection, were compared. Results We enrolled 575 participants with CHD in the study. The median TREC level for newborns with CHD was lower than the general population (180.1 copies/mu L vs 312.5 copies/mu L; P &lt; .01). patients with CHD requiring hospitalization for infection had lower median TREC levels than their counterparts (143.0 copies/mu L vs 186.7 copies/mu L; P &lt; .01). The combination of prematurity and low TREC level had a strong relationship to hospitalization for infection (area under the receiver operative characteristic curve of 0.89). There was no association between TREC level and CHD severity. Conclusions Newborns with CHD demonstrated lower TREC levels than the general population. Low TREC levels were associated with hospitalization for infection in preterm children with CHD. Study limitations include that this was a retrospective chart review. These findings may help to identify newborns with CHD at highest risk for infection, allowing for potential opportunities for intervention.</t>
  </si>
  <si>
    <t xml:space="preserve">[Davey, Brooke T.; Cloutier, Michelle M.; Bennett, Nicholas; Lee, Ji Hyun; Wang, Zhu; Doan, Tam; Griffiths, Megan; Toro-Salazar, Olga H.] Connecticut Childrens Med Ctr, Dept Pediat, Hartford, CT USA; [Elder, Robert W.; Perez, Maria; Ahluwalia, Neha] Yale New Haven Childrens Hosp, Dept Pediat, New Haven, CT USA; [Manning, Adrienne] Connecticut Dept Publ Hlth, Newborn Screening Program, Rocky Hill, CT USA</t>
  </si>
  <si>
    <t xml:space="preserve">Connecticut Children's Medical Center; Yale University</t>
  </si>
  <si>
    <t xml:space="preserve">Davey, BT (corresponding author), Div Cardiol, 282 Washington St,Suite 2B, Hartford, CT 06106 USA.</t>
  </si>
  <si>
    <t xml:space="preserve">bdavey@connecticutchildrens.org</t>
  </si>
  <si>
    <t xml:space="preserve">Griffiths, Megan/AAU-8344-2021; Toro Salazar, Olga/AAE-2310-2022</t>
  </si>
  <si>
    <t xml:space="preserve">Griffiths, Megan/0000-0002-8598-9078; Doan, Tam T/0000-0002-8256-1535</t>
  </si>
  <si>
    <t xml:space="preserve">New England Congenital Cardiology Research Foundation [2015-01]</t>
  </si>
  <si>
    <t xml:space="preserve">New England Congenital Cardiology Research Foundation</t>
  </si>
  <si>
    <t xml:space="preserve">Supported by a research grant from the New England Congenital Cardiology Research Foundation (2015-01). The authors declare no conflicts of interest.</t>
  </si>
  <si>
    <t xml:space="preserve">10.1016/j.jpeds.2019.05.061</t>
  </si>
  <si>
    <t xml:space="preserve">JA1LP</t>
  </si>
  <si>
    <t xml:space="preserve">WOS:000487578800018</t>
  </si>
  <si>
    <t xml:space="preserve">Loens, K; van Loon, AM; Coenjaerts, F; van Aarle, Y; Goossens, H; Wallace, P; Claas, EJC; Ieven, M</t>
  </si>
  <si>
    <t xml:space="preserve">Loens, K.; van Loon, A. M.; Coenjaerts, F.; van Aarle, Y.; Goossens, H.; Wallace, P.; Claas, E. J. C.; Ieven, M.</t>
  </si>
  <si>
    <t xml:space="preserve">GRACE Study Grp</t>
  </si>
  <si>
    <t xml:space="preserve">Performance of Different Mono- and Multiplex Nucleic Acid Amplification Tests on a Multipathogen External Quality Assessment Panel</t>
  </si>
  <si>
    <t xml:space="preserve">External quality assessment; Nucleic Acid Amplification Tests; Multiplex; Mycoplasma pneumoniae; Rhinovirus; Human metapneumovirus</t>
  </si>
  <si>
    <t xml:space="preserve">COMMUNITY-ACQUIRED PNEUMONIA; RESPIRATORY-SYNCYTIAL-VIRUS; REAL-TIME PCR; MYCOPLASMA-PNEUMONIAE; DIAGNOSIS; INFECTIONS; SPECIMENS</t>
  </si>
  <si>
    <t xml:space="preserve">An external quality assessment (EQA) panel consisting of a total of 48 samples in bronchoalveolar lavage (BAL) fluid or transport medium was prepared in collaboration with Quality Control for Molecular Diagnostics (QCMD) (www.qcmd.org). The panel was used to assess the proficiency of the three laboratories that would be responsible for examining the 6,000 samples to be collected in the GRACE Network of Excellence (www.grace-lrti.org). The main objective was to decide on the best-performing testing approach for the detection of influenza viruses A and B, parainfluenza virus types 1 to 3, respiratory syncytial virus (RSV), human metapneumovirus, coronavirus, rhinovirus, adenovirus, Chlamydophila pneumoniae, Mycoplasma pneumoniae, and Legionella pneumophila by nucleic acid amplification techniques (NAATs). Two approaches were chosen: (i) laboratories testing samples using their in-house procedures for extraction and amplification and (ii) laboratories using their in-house amplification procedures on centrally extracted samples. Furthermore, three commercially available multiplex NAAT tests-the ResPlex (Qiagen GmbH, Hilden, Germany), RespiFinder plus (PathoFinder, Maastricht, The Netherlands), and RespiFinder Smart 21 (PathoFinder) tests-were evaluated by examination of the same EQA panel by the manufacturer. No large differences among the 3 laboratories were noticed when the performances of the assays developed in-house in combination with the in-house extraction procedures were compared. Also, the extraction procedure (central versus local) had little effect on performance. However, large differences in amplification efficacy were found between the commercially available tests; acceptable results were obtained by using the PathoFinder assays.</t>
  </si>
  <si>
    <t xml:space="preserve">[Loens, K.; Goossens, H.; Ieven, M.] Univ Antwerp, Dept Microbiol, Vaccine &amp; Infect Dis Inst, B-2020 Antwerp, Belgium; [van Loon, A. M.; Coenjaerts, F.] Univ Med Ctr, Dept Virol, Utrecht, Netherlands; [van Aarle, Y.; Claas, E. J. C.] Leiden Univ, Med Ctr, Dept Med Microbiol, Leiden, Netherlands; [Wallace, P.] Qual Control Mol Diagnost, Glasgow, Lanark, Scotland</t>
  </si>
  <si>
    <t xml:space="preserve">University of Antwerp; Utrecht University; Utrecht University Medical Center; Leiden University - Excl LUMC; Leiden University; Leiden University Medical Center (LUMC)</t>
  </si>
  <si>
    <t xml:space="preserve">Loens, K (corresponding author), Univ Antwerp, Dept Microbiol, Vaccine &amp; Infect Dis Inst, B-2020 Antwerp, Belgium.</t>
  </si>
  <si>
    <t xml:space="preserve">Katherine.loens@ua.ac.be</t>
  </si>
  <si>
    <t xml:space="preserve">European Union [LSHM-CT-2005-518226]</t>
  </si>
  <si>
    <t xml:space="preserve">K. Loens is supported through Priority 1 (Life Sciences, Genomics and Biotechnology for Health) of the European Union's FP6, contract LSHM-CT-2005-518226, GRACE.</t>
  </si>
  <si>
    <t xml:space="preserve">10.1128/JCM.00200-11</t>
  </si>
  <si>
    <t xml:space="preserve">901WB</t>
  </si>
  <si>
    <t xml:space="preserve">WOS:000300997800063</t>
  </si>
  <si>
    <t xml:space="preserve">Sánchez-Yebra, W; Avila-Carrillo, JA; Giménez-Sánchez, F; Reyes-Bertos, A; Sánchez-Forte, M; Morales-Torres, M; Rojas, A; Mendoza, J</t>
  </si>
  <si>
    <t xml:space="preserve">Sanchez-Yebra, W.; Avila-Carrillo, J. A.; Gimenez-Sanchez, F.; Reyes-Bertos, A.; Sanchez-Forte, M.; Morales-Torres, M.; Rojas, A.; Mendoza, J.</t>
  </si>
  <si>
    <t xml:space="preserve">LRTI Res Grp</t>
  </si>
  <si>
    <t xml:space="preserve">Viral agents causing lower respiratory tract infections in hospitalized children: evaluation of the Speed-Oligo® RSV assay for the detection of respiratory syncytial virus</t>
  </si>
  <si>
    <t xml:space="preserve">Human metapneumovirus; Virology; Pneumovirinae; Medical microbiology; Virus; Respiratory tract infections; Medicine; Paramyxoviridae; Respiratory tract</t>
  </si>
  <si>
    <t xml:space="preserve">REVERSE TRANSCRIPTION-PCR; REAL-TIME PCR; RAPID DIAGNOSTIC-TESTS; YOUNG-CHILDREN; INFLUENZA-A; IMMUNOCOMPROMISED ADULTS; RISK-FACTORS; MULTIPLEX; IDENTIFICATION; SAMPLES</t>
  </si>
  <si>
    <t xml:space="preserve">Respiratory syncytial virus (RSV) is the viral agent which is more frequently involved in lower respiratory tract infections (LRTIs) in infants under 1 year of age in developed countries. A new oligochromatographic assay, Speed-OligoA (R) RSV, was designed and optimized for the specific detection and identification of RSV subtypes A and B. The test was evaluated in 289 clinical samples from 169 hospitalized children using an immunochromatography (IC) test, virus isolation by culture, and an in-house real-time polymerase chain reaction (RT-PCR). Other viruses causing LRTIs were investigated by cell culture or PCR-based tests. Sixty-two patients were infected by RSV (36.7%). In addition, adenovirus, influenza B, parainfluenza 2, and human metapneumovirus were detected in rates ranging from 5 to 8%. A proportion of 10.1% of the patients had mixed infections. The sensitivity, specificity, and positive and negative predictive values were, respectively, 94.9, 99.4, 98.9, and 97.4% for Speed-OligoA (R) RSV, 92.9, 96.3, 92.9, and 96.3% for RT-PCR/RSV, and 58.4, 98.1, 93.3, and 82.6% for IC. Our rates of viral detection and co-infection were similar to those of previously reported series. Finally, we find that Speed-OligoA (R) RSV is a rapid and easy-to-perform technique for the detection of RSV and the identification of subtypes A and B.</t>
  </si>
  <si>
    <t xml:space="preserve">[Sanchez-Yebra, W.; Reyes-Bertos, A.; Morales-Torres, M.] CH Torrecardenas, Dept Microbiol, Almeria 04009, Spain; [Avila-Carrillo, J. A.; Rojas, A.; Mendoza, J.] Vircell SL Res, Granada 18320, Spain; [Gimenez-Sanchez, F.; Sanchez-Forte, M.] CH Torrecardenas, Dept Pediat, Almeria 04009, Spain</t>
  </si>
  <si>
    <t xml:space="preserve">Sánchez-Yebra, W (corresponding author), CH Torrecardenas, Dept Microbiol, Almeria 04009, Spain.</t>
  </si>
  <si>
    <t xml:space="preserve">wsyebra@telefonica.net</t>
  </si>
  <si>
    <t xml:space="preserve">Sanchez-Yebra Romera, Waldo/0000-0001-8546-1989</t>
  </si>
  <si>
    <t xml:space="preserve">10.1007/s10096-011-1300-4</t>
  </si>
  <si>
    <t xml:space="preserve">892MV</t>
  </si>
  <si>
    <t xml:space="preserve">WOS:000300291200005</t>
  </si>
  <si>
    <t xml:space="preserve">Velasco, JMS; Yoon, IK; Mason, CJ; Jarman, RG; Bodhidatta, L; Klungthong, C; Silapong, S; Valderama, MTG; Wongstitwilairoong, T; Torres, AG; De Cecchis, DP; Pavlin, JA</t>
  </si>
  <si>
    <t xml:space="preserve">Velasco, John Mark S.; Yoon, In-Kyu; Mason, Carl J.; Jarman, Richard G.; Bodhidatta, Ladaporn; Klungthong, Chonticha; Silapong, Sasikorn; Valderama, Maria Theresa G.; Wongstitwilairoong, Tippa; Torres, Arturo G.; De Cecchis, Daniel P.; Pavlin, Julie A.</t>
  </si>
  <si>
    <t xml:space="preserve">Applications of PCR (Real-Time and Mass Tag) and Enzyme-Linked Immunosorbent Assay in Diagnosis of Respiratory Infections and Diarrheal Illness Among Deployed US Military Personnel During Exercise Balikatan 2009, Philippines</t>
  </si>
  <si>
    <t xml:space="preserve">MILITARY MEDICINE</t>
  </si>
  <si>
    <t xml:space="preserve">Microbiology; Virology; Rotavirus; Human bocavirus; Campylobacter; Human metapneumovirus</t>
  </si>
  <si>
    <t xml:space="preserve">ENTEROTOXIGENIC ESCHERICHIA-COLI; POLYMERASE-CHAIN-REACTION; VIBRIO-CHOLERAE; DISEASE; OPERATIONS</t>
  </si>
  <si>
    <t xml:space="preserve">Laboratory-based surveillance for diarrheal and respiratory illness was conducted at the 2009 Republic of the Philippines United States Balikatan exercise to determine the presence of specific pathogens endemic in the locations where the military exercises were conducted. Ten stool and 6 respiratory specimens were obtained from individuals meeting case definitions for diarrhea or respiratory illness. Stool specimens were frozen in dry ice and remotely tested using enzyme-linked immunosorbent assay for Rotavirus, Astrovirus, Adenovirus, Entamoeba histolytica, Giardia, and Cryptosporidium and polymerase chain reaction for enterotoxigenic Escherichia coli, Campylobacter, Shigella, Vibrio, Salmonella, and Norovirus. Eight (4 for Campylobacter jejuni, 2 for Campylobacter coli, 1 for Norovirus genogroup II, and 1 for both Campylobacter coli and enterotoxigenic Escherichia coli) of 10 samples were positive for at least 1 enteric pathogen. MassTag polymerase chain reaction for influenza A and B, respiratory syncytial virus groups A and B, human coronavirus-229E and human coronavirus-OC43, human metapneumovirus, enterovirus, human parainfluenza viruses 2,3, and 4a, human adenovirus. Haemophilus influenzae, Neisseria meningitidis, Streptococcus pneumoniae, Legionella pneumonia, and Mycoplasma pneumonia was done on respiratory specimens. Out of 6 samples, 3 tested positive for H. influenzae; 1 tested positive for both H. influenzae and human parainfluenza virus 3; and 2 tested negative. Laboratory-based surveillance can be useful in determining etiologies of diarrheal and respiratory illness of deployed military personnel.</t>
  </si>
  <si>
    <t xml:space="preserve">[Velasco, John Mark S.; Yoon, In-Kyu; Jarman, Richard G.; Klungthong, Chonticha; Valderama, Maria Theresa G.] Armed Forces Res Inst Med Sci, Dept Virol, Bangkok 10400, Thailand; [Mason, Carl J.; Bodhidatta, Ladaporn; Silapong, Sasikorn] Armed Forces Res Inst Med Sci, Dept Enter Dis, Bangkok 10400, Thailand; [Torres, Arturo G.; De Cecchis, Daniel P.] FPO AP, Unit 35621, Marine Expeditionary Unit 31, Marine Corps Base Camp Smedley D Butler, Okinawa 966065621, Japan</t>
  </si>
  <si>
    <t xml:space="preserve">Walter Reed Army Institute of Research (WRAIR); Armed Forces Research Institute of Medical Science (AFRIMS); United States Department of Defense; United States Army; United States Department of Defense; United States Army; Walter Reed Army Institute of Research (WRAIR); Armed Forces Research Institute of Medical Science (AFRIMS)</t>
  </si>
  <si>
    <t xml:space="preserve">Velasco, JMS (corresponding author), Armed Forces Res Inst Med Sci, Dept Virol, 315-6 Rajvithi Rd, Bangkok 10400, Thailand.</t>
  </si>
  <si>
    <t xml:space="preserve">Velasco, John/AAY-8550-2020; MASON, CARL/F-3538-2010</t>
  </si>
  <si>
    <t xml:space="preserve">MASON, CARL/0000-0002-3676-2811</t>
  </si>
  <si>
    <t xml:space="preserve">U.S. Armed Forces Health Surveillance Center - Global Emerging Infections Surveillance and Response System, Silver Spring, Maryland</t>
  </si>
  <si>
    <t xml:space="preserve">Funding for this work was partially provided by the U.S. Armed Forces Health Surveillance Center - Global Emerging Infections Surveillance and Response System, Silver Spring, Maryland. This research was conducted as a public health measure and was determined as not human subjects research by the Walter Reed Army Institute of Research Division of Human Subjects Protection. Some of the authors are military service members. This work was prepared as part of their official duties. Title 17 U.S.C. 105 provides that Copyright protection under this title is not available for any work of the U.S. Government. Title 17 U.S.C. 101 defines a U.S. Government work as a work prepared by a military service member or employee of the U.S. Government as part of that person's official duties.</t>
  </si>
  <si>
    <t xml:space="preserve">0026-4075</t>
  </si>
  <si>
    <t xml:space="preserve">1930-613X</t>
  </si>
  <si>
    <t xml:space="preserve">MIL MED</t>
  </si>
  <si>
    <t xml:space="preserve">Milit. Med.</t>
  </si>
  <si>
    <t xml:space="preserve">10.7205/MILMED-D-11-00027</t>
  </si>
  <si>
    <t xml:space="preserve">831EK</t>
  </si>
  <si>
    <t xml:space="preserve">WOS:000295711300004</t>
  </si>
  <si>
    <t xml:space="preserve">Morbey, RA; Elliot, AJ; Harcourt, S; Smith, S; de Lusignan, S; Pebody, R; Yeates, A; Zambon, M; Smith, GE</t>
  </si>
  <si>
    <t xml:space="preserve">Morbey, R. A.; Elliot, A. J.; Harcourt, S.; Smith, S.; de Lusignan, S.; Pebody, R.; Yeates, A.; Zambon, M.; Smith, G. E.</t>
  </si>
  <si>
    <t xml:space="preserve">Estimating the burden on general practitioner services in England from increases in respiratory disease associated with seasonal respiratory pathogen activity</t>
  </si>
  <si>
    <t xml:space="preserve">Rhinovirus; Respiratory tract infections; Medicine; Streptococcus pneumoniae; Respiratory system; Incidence (geometry)</t>
  </si>
  <si>
    <t xml:space="preserve">SYNDROMIC SURVEILLANCE SYSTEM; INFLUENZA-LIKE ILLNESS; PANDEMIC INFLUENZA; INFECTION; COMMUNITY; CHILDREN; VIRUSES</t>
  </si>
  <si>
    <t xml:space="preserve">Understanding the burden of respiratory pathogens on health care is key to improving public health emergency response and interventions. In temperate regions, there is a large seasonal rise in influenza and other respiratory pathogens. We have examined the associations between individual pathogens and reported respiratory tract infections to estimate attributable burden. We used multiple linear regression to model the relationship between doctor consultation data and laboratory samples from week 3 2011 until week 37 2015. We fitted separate models for consultation data with in-hours and out-of-hours doctor services, stratified by different age bands. The best fitting all ages models (R-2 &gt; 80%) for consultation data resulted in the greatest burden being associated with influenza followed by respiratory syncytial virus (RSV). For models of adult age bands, there were significant associations between consultation data and invasive Streptococcus pneumoniae. There were also smaller numbers of consultations significantly associated with rhinovirus, parainfluenza, and human metapneumovirus. We estimate that a general practice with 10 000 patients would have seen an additional 18 respiratory tract infection consultations per winter week of which six had influenza and four had RSV. Our results are important for the planning of health care services to minimise the impact of winter pressures. Respiratory pathogen incidence explains over 80% of seasonal variation in respiratory consultation data. Influenza and RSV are associated with the biggest seasonal rises in respiratory consultation counts. A third of consultation counts associated with respiratory pathogens were due to influenza.</t>
  </si>
  <si>
    <t xml:space="preserve">[Morbey, R. A.; Elliot, A. J.; Harcourt, S.; Smith, S.; Pebody, R.; Smith, G. E.] Publ Hlth England, Natl Infect Serv, Birmingham B3 2PW, W Midlands, England; [de Lusignan, S.] Univ Surrey, Dept Clin &amp; Expt Med, Guildford, Surrey, England; [de Lusignan, S.] Royal Coll Gen Practitioners, Res &amp; Surveillance Ctr, London, England; [Yeates, A.] 210 Eureka Pk, Ashford TN25 4AZ, Kent, England; [Zambon, M.] Publ Hlth England, Reference Microbiol Ctr, London NW9 5EQ, England</t>
  </si>
  <si>
    <t xml:space="preserve">Public Health England; University of Surrey; Public Health England</t>
  </si>
  <si>
    <t xml:space="preserve">Morbey, RA (corresponding author), Publ Hlth England, Natl Infect Serv, Birmingham B3 2PW, W Midlands, England.</t>
  </si>
  <si>
    <t xml:space="preserve">Roger.Morbey@phe.gov.uk</t>
  </si>
  <si>
    <t xml:space="preserve">de Lusignan, Simon/A-4125-2009; zambon, maria/AEQ-6657-2022</t>
  </si>
  <si>
    <t xml:space="preserve">Smith, Sue/0000-0002-1066-5175; Elliot, Alex/0000-0002-6414-3065; de Lusignan, Simon/0000-0002-8553-2641; Pebody, Richard/0000-0002-9069-2885</t>
  </si>
  <si>
    <t xml:space="preserve">National Institute of Health Research's (NIHR) Health Protection Research Unit in Emergency Preparedness and Response</t>
  </si>
  <si>
    <t xml:space="preserve">The authors would like to thank and acknowledge the University of Nottingham, ClinRisk (R) and the contribution of EMIS and EMIS general practices. Data source: version one of the QSurveillance (R) database. The authors thank TPP, ResearchOne and the SystmOne general practices contributing to the GPIHSSS. The authors are grateful to Advanced Health and Care and the GP out-of-hours and unscheduled care service providers who have kindly agreed to participate in this system. AJE and GES are supported by the National Institute of Health Research's (NIHR) Health Protection Research Unit in Emergency Preparedness and Response. The views expressed are those of the author(s) and not necessarily those of the NHS, the NIHR, the Department of Health or Public Health England.</t>
  </si>
  <si>
    <t xml:space="preserve">10.1017/S0950268818000262</t>
  </si>
  <si>
    <t xml:space="preserve">GO4TX</t>
  </si>
  <si>
    <t xml:space="preserve">WOS:000440009600007</t>
  </si>
  <si>
    <t xml:space="preserve">O'Brien, KL; Levine, OS; Knoll, MD; Feikin, DR; DeLuca, AN; Driscoll, AJ; Fancourt, N; Fu, W; Haddix, M; Hammitt, LL; Higdon, MM; Kagucia, EW; Karron, RA; Li, MY; Park, DE; Prosperi, C; Shi, QY; Wu, ZK; Zeger, SL; Watson, NL; Crawley, J; Murdoch, DR; Brooks, WA; Endtz, HP; Zaman, K; Goswami, D; Hossain, L; Jahan, Y; Chisti, MJ; Howie, SRC; Ebruke, BE; Antonio, M; McLellan, JL; Machuka, EM; Shamsul, A; Zaman, SMA; Mackenzie, G; Scott, JAG; Awori, JO; Morpeth, SC; Kamau, A; Kazungu, S; Ominde, MS; Kotloff, KL; Tapia, MD; Sow, SO; Sylla, M; Tamboura, B; Onwuchekwa, U; Kourouma, N; Toure, A; Sissoko, S; Madhi, SA; Moore, DP; Adrian, PV; Baillie, VL; Kuwanda, L; Mudau, A; Groome, MJ; Mahomed, N; Simoes, EAF; Baggett, HC; Thamthitiwat, S; Maloney, SA; Bunthi, C; Rhodes, J; Sawatwong, P; Akarasewi, P; Thea, DM; Mwananyanda, L; Chipeta, J; Seidenberg, P; Mwansa, J; Somwe, SW; Kwenda, G; Anderson, TP; Mitchell, JL</t>
  </si>
  <si>
    <t xml:space="preserve">O'Brien, Katherine L.; Levine, Orin S.; Knoll, Maria Deloria; Feikin, Daniel R.; DeLuca, Andrea N.; Driscoll, Amanda J.; Fancourt, Nicholas; Fu, Wei; Haddix, Meredith; Hammitt, Laura L.; Higdon, Melissa M.; Kagucia, E. Wangeci; Karron, Ruth A.; Li, Mengying; Park, Daniel E.; Prosperi, Christine; Shi, Qiyuan; Wu, Zhenke; Zeger, Scott L.; Watson, Nora L.; Crawley, Jane; Murdoch, David R.; Brooks, W. Abdullah; Endtz, Hubert P.; Zaman, Khalequ; Goswami, Doli; Hossain, Lokman; Jahan, Yasmin; Chisti, Mohammod Jobayer; Howie, Stephen R. C.; Ebruke, Bernard E.; Antonio, Martin; McLellan, Jessica L.; Machuka, Eunice M.; Shamsul, Arifin; Zaman, Syed M. A.; Mackenzie, Grant; Scott, J. Anthony G.; Awori, Juliet O.; Morpeth, Susan C.; Kamau, Alice; Kazungu, Sidi; Ominde, Micah Silaba; Kotloff, Karen L.; Tapia, Milagritos D.; Sow, Samba O.; Sylla, Mamadou; Tamboura, Boubou; Onwuchekwa, Uma; Kourouma, Nana; Toure, Aliou; Sissoko, Seydou; Madhi, Shabir A.; Moore, David P.; Adrian, Peter V.; Baillie, Vicky L.; Kuwanda, Locadiah; Mudau, Azwifarwi; Groome, Michelle J.; Mahomed, Nasreen; Simoes, Eric A. F.; Baggett, Henry C.; Thamthitiwat, Somsak; Maloney, Susan A.; Bunthi, Charatdao; Rhodes, Julia; Sawatwong, Pongpun; Akarasewi, Pasakorn; Thea, Donald M.; Mwananyanda, Lawrence; Chipeta, James; Seidenberg, Phil; Mwansa, James; Somwe, Somwe Wa; Kwenda, Geoffrey; Anderson, Trevor P.; Mitchell, Joanne L.</t>
  </si>
  <si>
    <t xml:space="preserve">Causes of severe pneumonia requiring hospital admission in children without HIV infection from Africa and Asia: the PERCH multi-country case-control study</t>
  </si>
  <si>
    <t xml:space="preserve">Pneumonia; Medicine</t>
  </si>
  <si>
    <t xml:space="preserve">PNEUMOCOCCAL CONJUGATE VACCINE; POLYMERASE-CHAIN-REACTION; INDUCED SPUTUM SPECIMENS; CHILDHOOD PNEUMONIA; ETIOLOGY RESEARCH; YOUNG-CHILDREN; STANDARDIZED INTERPRETATION; DEVELOPING-COUNTRIES; PEDIATRIC PNEUMONIA; RESPIRATORY VIRUSES</t>
  </si>
  <si>
    <t xml:space="preserve">Background Pneumonia is the leading cause of death among children younger than 5 years. In this study, we estimated causes of pneumonia in young African and Asian children, using novel analytical methods applied to clinical and microbiological findings. Methods We did a multi-site, international case-control study in nine study sites in seven countries: Bangladesh, The Gambia, Kenya, Mali, South Africa, Thailand, and Zambia. All sites enrolled in the study for 24 months. Cases were children aged 1-59 months admitted to hospital with severe pneumonia. Controls were age-group-matched children randomly selected from communities surrounding study sites. Nasopharyngeal and oropharyngeal (NP-OP), urine, blood, induced sputum, lung aspirate, pleural fluid, and gastric aspirates were tested with cultures, multiplex PCR, or both. Primary analyses were restricted to cases without HIV infection and with abnormal chest x-rays and to controls without HIV infection. We applied a Bayesian, partial latent class analysis to estimate probabilities of aetiological agents at the individual and population level, incorporating case and control data. Findings Between Aug 15, 2011, and Jan 30, 2014, we enrolled 4232 cases and 5119 community controls. The primary analysis group was comprised of 1769 (41.8% of 4232) cases without HIV infection and with positive chest x-rays and 5102 (99.7% of 5119) community controls without HIV infection. Wheezing was present in 555 (31.7%) of 1752 cases (range by site 10.6-97.3%). 30-day case-fatality ratio was 6.4% (114 of 1769 cases). Blood cultures were positive in 56 (3.2%) of 1749 cases, and Streptococcus pneumoniae was the most common bacteria isolated (19 [33.9%] of 56). Almost all cases (98.9%) and controls (98.0%) had at least one pathogen detected by PCR in the NP-OP specimen. The detection of respiratory syncytial virus (RSV), parainfluenza virus, human metapneumovirus, influenza virus, S pneumoniae, Haemophilus influenzae type b (Hib), H influenzae non-type b, and Pneumocystis jirovecii in NP-OP specimens was associated with case status. The aetiology analysis estimated that viruses accounted for 61.4% (95% credible interval [CrI] 57.3-65.6) of causes, whereas bacteria accounted for 27.3% (2.3-31.6) and Mycobacterium tuberculosis for 5.9% (3.9-8.3). Viruses were less common (54.5%, 95% CrI 47.4-61.5 vs 68.0%, 62.7-72.7) and bacteria more common (33.7%, 27.2-40.8 vs 22.8%, 18.3-27.6) in very severe pneumonia cases than in severe cases. RSV had the greatest aetiological fraction (31.1%, 95% CrI 28.4-34.2) of all pathogens. Human rhinovirus, human metapneumovirus A or B, human parainfluenza virus, S pneumoniae, M tuberculosis, and H influenzae each accounted for 5% or more of the aetiological distribution. We observed differences in aetiological fraction by age for Bordetella pertussis, parainfluenza types 1 and 3, parechovirus-enterovirus, P jirovecii, RSV, rhinovirus, Staphylococcus aureus, and S pneumoniae, and differences by severity for RSV, S aureus, S pneumoniae, and parainfluenza type 3. The leading ten pathogens of each site accounted for 79% or more of the site's aetiological fraction. Interpretation In our study, a small set of pathogens accounted for most cases of pneumonia requiring hospital admission. Preventing and treating a subset of pathogens could substantially affect childhood pneumonia outcomes. Copyright (C) 2019 The Author(s). Published by Elsevier Ltd.</t>
  </si>
  <si>
    <t xml:space="preserve">[O'Brien, Katherine L.; Levine, Orin S.] Johns Hopkins Bloomberg Sch Publ Hlth, Baltimore, MD USA; [Knoll, Maria Deloria; Feikin, Daniel R.] Bill &amp; Melinda Gates Fdn, Seattle, WA USA; [Knoll, Maria Deloria; Feikin, Daniel R.] US Ctr Dis Control &amp; Prevent, Atlanta, GA USA; [DeLuca, Andrea N.; Driscoll, Amanda J.; Fancourt, Nicholas; Fu, Wei; Haddix, Meredith; Hammitt, Laura L.; Higdon, Melissa M.; Kagucia, E. Wangeci; Karron, Ruth A.; Li, Mengying; Park, Daniel E.; Prosperi, Christine; Shi, Qiyuan; Wu, Zhenke; Zeger, Scott L.] Emmes Corp, Rockville, MD USA; [Crawley, Jane] Univ Oxford, Nuffield Dept Clin Med, Oxford, England; [Murdoch, David R.] Univ Otago, Christchurch, New Zealand; [Brooks, W. Abdullah; Endtz, Hubert P.; Zaman, Khalequ; Goswami, Doli; Hossain, Lokman; Jahan, Yasmin; Chisti, Mohammod Jobayer] Int Ctr Diarrhoeal Dis Res, Dhaka, Bangladesh; [Howie, Stephen R. C.; Ebruke, Bernard E.; Antonio, Martin; McLellan, Jessica L.; Machuka, Eunice M.; Shamsul, Arifin; Zaman, Syed M. A.; Mackenzie, Grant] MRC, Basse, Gambia; [Scott, J. Anthony G.] KEMRI Wellcome Trust Res Programme, Kilifi, Kenya; [Scott, J. Anthony G.] London Sch Hyg &amp; Trop Med, London, England; [Awori, Juliet O.; Morpeth, Susan C.; Kamau, Alice; Kazungu, Sidi; Ominde, Micah Silaba] Univ Maryland, Sch Med, Div Infect Dis &amp; Trop Pediat, Dept Pediat,Ctr Vaccine Dev, Baltimore, MD 21201 USA; [Kotloff, Karen L.; Tapia, Milagritos D.; Sow, Samba O.; Sylla, Mamadou; Tamboura, Boubou; Onwuchekwa, Uma; Kourouma, Nana; Toure, Aliou; Sissoko, Seydou] Ctr Dev Vaccins CVD Mali, Bamako, Mali; [Kotloff, Karen L.; Tapia, Milagritos D.; Sow, Samba O.; Sylla, Mamadou; Tamboura, Boubou; Onwuchekwa, Uma; Kourouma, Nana; Toure, Aliou; Sissoko, Seydou] Univ Witwatersrand, MRC, Resp &amp; Meningeal Pathogens Res Unit, Johannesburg, South Africa; [Kotloff, Karen L.; Tapia, Milagritos D.; Sow, Samba O.; Sylla, Mamadou; Tamboura, Boubou; Onwuchekwa, Uma; Kourouma, Nana; Toure, Aliou; Sissoko, Seydou] Univ Witwatersrand, Natl Res Fdn, Dept Sci &amp; Technol, Vaccine Preventable Dis, Johannesburg, South Africa; [Madhi, Shabir A.; Moore, David P.; Adrian, Peter V.; Baillie, Vicky L.; Kuwanda, Locadiah; Mudau, Azwifarwi; Groome, Michelle J.; Mahomed, Nasreen; Simoes, Eric A. F.] US Ctr Dis Control &amp; Prevent Collaborat, Thailand Minist Publ Hlth, Nonthaburi, Thailand; [Baggett, Henry C.; Thamthitiwat, Somsak; Maloney, Susan A.; Bunthi, Charatdao; Rhodes, Julia; Sawatwong, Pongpun; Akarasewi, Pasakorn] Boston Univ, Sch Publ Hlth, Boston, MA USA; [Thea, Donald M.; Mwananyanda, Lawrence; Chipeta, James; Seidenberg, Phil; Mwansa, James; Somwe, Somwe Wa; Kwenda, Geoffrey] Univ Teaching Hosp, Lusaka, Zambia; [Thea, Donald M.; Mwananyanda, Lawrence; Chipeta, James; Seidenberg, Phil; Mwansa, James; Somwe, Somwe Wa; Kwenda, Geoffrey] Canterbury Hlth Labs, Christchurch, New Zealand</t>
  </si>
  <si>
    <t xml:space="preserve">Johns Hopkins University; Johns Hopkins Bloomberg School of Public Health; Bill &amp; Melinda Gates Foundation; Centers for Disease Control &amp; Prevention - USA; Emmes Corporation; University of Oxford; University of Otago; International Centre for Diarrhoeal Disease Research (ICDDR); University of London; London School of Hygiene &amp; Tropical Medicine; University of London; London School of Hygiene &amp; Tropical Medicine; University System of Maryland; University of Maryland Baltimore; University of Witwatersrand; University of Witwatersrand; National Research Foundation - South Africa; Ministry of Public Health - Thailand; Boston University; University of Zambia; Canterbury Health Laboratories</t>
  </si>
  <si>
    <t xml:space="preserve">O'Brien, KL (corresponding author), Johns Hopkins Bloomberg Sch Publ Hlth, Int Vaccine Access Ctr, Dept Int Hlth, Baltimore, MD 21231 USA.</t>
  </si>
  <si>
    <t xml:space="preserve">obrienk@who.int</t>
  </si>
  <si>
    <t xml:space="preserve">Chisti, Mohammod/A-7216-2018; Mitchell, Joanne/KWE-2976-2024; Atwell, Jessica/IVV-7755-2023; kotloff, karen/E-7768-2012; Brooks, W./AAD-3876-2021; Moore, David/AAU-7186-2020; Jahan, Yasmin/AFM-4321-2022; Baillie, Vicky/LJL-0428-2024; Ebruke, Bernard/AAX-7133-2020; Murdoch, David/A-2012-2009; Groome, Michelle/AAI-9967-2021; Machuka, Eunice/AFK-3646-2022; Park, Daniel/R-5604-2016; Wu, Zhenke/U-7793-2019</t>
  </si>
  <si>
    <t xml:space="preserve">Zeger, Scott/0000-0001-8907-1603; Higdon, Melissa/0000-0002-1932-9442; Thea, Donald/0000-0002-6933-1030; Park, Daniel/0000-0001-5139-5397; Deloria Knoll, Maria/0000-0001-9041-2671; Moore, David/0000-0001-6091-1605; Fancourt, Nicholas/0000-0002-1772-9960; Machuka, Eunice/0000-0002-1142-3442; Kagucia, Eunice Wangeci/0000-0002-4481-8889; Ebruke, Bernard/0000-0002-3474-1347; Groome, Michelle/0000-0001-5893-3725; Madhi, Shabir/0000-0002-7629-0636; Baillie, Vicky Lynne/0000-0003-1327-9090; Kamau, Alice/0000-0001-9846-5372; Mackenzie, Grant/0000-0002-4994-2627; Wu, Zhenke/0000-0001-7582-669X</t>
  </si>
  <si>
    <t xml:space="preserve">Bill &amp; Melinda Gates Foundation [48968]; Wellcome Trust (UK) [098532]</t>
  </si>
  <si>
    <t xml:space="preserve">Bill &amp; Melinda Gates Foundation(Bill &amp; Melinda Gates FoundationBill &amp; Melinda Gates Foundation Grand Challenges Explorations InitiativeCGIAR); Wellcome Trust (UK)(Wellcome Trust)</t>
  </si>
  <si>
    <t xml:space="preserve">Bill &amp; Melinda Gates Foundation.The PERCH study was supported by grant 48968 from the Bill &amp; Melinda Gates Foundation to the International Vaccine Access Center, Department of International Health, Johns Hopkins Bloomberg School of Public Health (Baltimore, MD, USA). JAGS was supported by a clinical fellowship from the Wellcome Trust (UK; 098532). We gratefully acknowledge the substantial contributions to the design of the study by the Pneumonia Methods Working Group (Zulfiqar A Bhutta, Robert E Black, Harry Campbell, Thomas Cherian, Derrick Crook, Menno D de Jong, Scott F Dowell, Stephen M Graham, Keith P Klugman, Claudio F Lanata, Shabir A Madhi, Paul Martin, James Nataro, Franco Piazza, Shamim Ahmed Qazi, Heather Zar) and the PERCH Site Selection Committee (David L Blazes, Robert Bollinger, Claire V Broome, John A Crump, Olivier Fontaine, Robert Gie, David Goldblatt, Patrick W Kelley, Sharon J Peacock, Mark S Riddle, Montse Soriano-Gabarro, Annelies Van Rie, Christopher W Woods). The PERCH Expert Group (William C Blackwelder, Harry Campbell, John A Crump, Menno D de Jong, Adegoke Falade, Claudio F Lanata, Kim Mulholland, Shamim Ahmed Qazi, Cynthia G Whitney) provided valuable advice during the conduct of the study and the analysis of the results for which we are indebted. We also recognise the support provided by the Institutional Review Boards for study oversight. We appreciate the helpful discussions with our many colleagues who were conducting aetiology studies of pneumonia, neonatal sepsis, and diarrhoea during the same period, including the EPIC study, the GABRIEL study, the ANISA study, and the GEMS study. We acknowledge the work of all PERCH contributors who were involved in data collection at the local sites and central laboratories, members of the PERCH Chest Radiograph Reading Panel (see appendix for the list of members in each group), and Shalika Jayawardena and Rose Watt from Canterbury Health Laboratories. Finally, we gratefully recognise the willingness and confidence in the study by the parents of the participating children and express our gratitude for their commitment to the advancement of knowledge toward better health for children of their community and those of other communities. This paper is published with the permission of the Director of the Kenya Medical Research Institute. The findings and conclusions in this report are those of the authors and do not necessarily represent the official position of the US Centers for Disease Control and Prevention, US Department of Health and Human Services, or the US Government.</t>
  </si>
  <si>
    <t xml:space="preserve">AUG 31</t>
  </si>
  <si>
    <t xml:space="preserve">10.1016/S0140-6736(19)30721-4</t>
  </si>
  <si>
    <t xml:space="preserve">IT6UW</t>
  </si>
  <si>
    <t xml:space="preserve">WOS:000483011400029</t>
  </si>
  <si>
    <t xml:space="preserve">Nicholls, JM; Poon, LLM; Lee, KC; Ng, WF; Lai, ST; Leung, CY; Chu, CM; Hui, PK; Mak, KL; Lim, W; Yan, KW; Chan, KH; Tsang, NC; Guan, Y; Yuen, KY; Peiris, JSM</t>
  </si>
  <si>
    <t xml:space="preserve">Lung pathology of fatal severe acute respiratory syndrome</t>
  </si>
  <si>
    <t xml:space="preserve">Medicine; Respiratory system; Lung; Pathology</t>
  </si>
  <si>
    <t xml:space="preserve">CLINICAL-FEATURES; HUMAN MACROPHAGES; CORONAVIRUS; PATHOGENICITY; AMPLIFICATION; PNEUMONIA; VIRUSES</t>
  </si>
  <si>
    <t xml:space="preserve">Background Severe acute respiratory syndrome (SARS) is a novel infectious disease with global impact. A virus from the family Coronaviridae has been identified as the cause, but the pathogenesis is still unclear. Methods Post-mortem tissue samples from six patients who died from SARS in February and March, 2003, and an open lung biopsy from one of these patients were studied by histology and virology. Only one full autopsy was done. Evidence of infection with the SARS-associated coronavirus (SARS-CoV) and human metapneumovirus was sought by reverse-transcriptase PCR and serology. Pathological samples were examined by light and electron microscopy and immunohistochemistry. Findings All six patients had serological evidence of recent infection with SARS-CoV. Diffuse alveolar damage was common but not universal. Morphological changes identified were bronchial epithelial denudation, loss of cilia, and squamous metaplasia. Secondary bacterial pneumonia was present in one case. A giant-cell infiltrate was seen in four patients, with a pronounced increase in macrophages in the alveoli and the interstitium of the lung. Haemophagocytosis was present in two patients. The alveolar pneumocytes also showed cytomegaly with granular amphophilic cytoplasm. The patient for whom full autopsy was done had atrophy of the white pulp of the spleen. Electron microscopy revealed viral particles in the cytoplasm of epithelial cells corresponding to coronavirus. Interpretation SARS is associated with epithelial-cell proliferation and an increase in macrophages in the lung. The presence of haemophagocytosis supports the contention that cytokine dysregulation may account, at least partly, for the severity of the clinical disease. The case definition of SARS should acknowledge the range of lung pathology associated with this disease.</t>
  </si>
  <si>
    <t xml:space="preserve">Univ Hong Kong, Dept Microbiol, Hong Kong, Hong Kong, Peoples R China; Univ Hong Kong, Dept Pathol, Hong Kong, Hong Kong, Peoples R China; Princess Margaret Hosp, Dept Pathol &amp; Med, Kowloon, Hong Kong, Peoples R China; Yan Chai Hosp, Dept Pathol, Kowloon, Hong Kong, Peoples R China; United Christian Hosp, Dept Pathol, Kowloon, Hong Kong, Peoples R China; United Christian Hosp, Dept Med, Kowloon, Hong Kong, Peoples R China; Kwong Wah Hosp, Dept Pathol, Kowloon, Hong Kong, Peoples R China; Govt Virus Unit, Kowloon, Hong Kong, Peoples R China; Queen Elizabeth Hosp, Dept Pathol, Kowloon, Hong Kong, Peoples R China; Queen Elizabeth Hosp, Dept Microbiol, Kowloon, Hong Kong, Peoples R China</t>
  </si>
  <si>
    <t xml:space="preserve">University of Hong Kong; University of Hong Kong; United Christian Hospital; United Christian Hospital; Kwong Wah Hospital</t>
  </si>
  <si>
    <t xml:space="preserve">Univ Hong Kong, Dept Microbiol, Hong Kong, Hong Kong, Peoples R China.</t>
  </si>
  <si>
    <t xml:space="preserve">malik@hkucc.hku.hk</t>
  </si>
  <si>
    <t xml:space="preserve">Yuen, Kwok/C-4465-2009; Peiris, Joseph/C-4380-2009; Chan, Kelvin/HGA-3097-2022; Poon, Leo/AAP-6887-2020; Guan, Yi/ADW-5842-2022; Nicholls, John Malcolm/C-4375-2009; Poon, Leo/C-4382-2009</t>
  </si>
  <si>
    <t xml:space="preserve">Yuen, Kwok-yung/0000-0002-2083-1552; Chu, Chung Ming/0000-0002-9959-1271; Nicholls, John Malcolm/0000-0001-7217-7444; Poon, Leo/0000-0002-9101-7953; Guan, Yi/0000-0001-6057-9243</t>
  </si>
  <si>
    <t xml:space="preserve">MAY 24</t>
  </si>
  <si>
    <t xml:space="preserve">10.1016/S0140-6736(03)13413-7</t>
  </si>
  <si>
    <t xml:space="preserve">682CY</t>
  </si>
  <si>
    <t xml:space="preserve">WOS:000183074800009</t>
  </si>
  <si>
    <t xml:space="preserve">Izu, A; Nunes, MC; Solomon, F; Baillie, V; Serafin, N; Verwey, C; Moore, DP; Laubscher, M; Ncube, M; Olwagen, C; Dangor, Z; Madhi, SA</t>
  </si>
  <si>
    <t xml:space="preserve">Izu, Alane; Nunes, Marta C.; Solomon, Fatima; Baillie, Vicky; Serafin, Natali; Verwey, Charl; Moore, David P.; Laubscher, Marius; Ncube, Musawenkosi; Olwagen, Courtney; Dangor, Ziyaad; Madhi, Shabir A.</t>
  </si>
  <si>
    <t xml:space="preserve">All-cause and pathogen-specific lower respiratory tract infection hospital admissions in children younger than 5 years during the COVID-19 pandemic (2020-22) compared with the pre-pandemic period (2015-19) in South Africa: an observational study</t>
  </si>
  <si>
    <t xml:space="preserve">Medicine; Pandemic; Incidence (geometry); Pediatrics; Respiratory tract infections; Lower respiratory tract infection</t>
  </si>
  <si>
    <t xml:space="preserve">DISEASE; INFLUENZA; TUBERCULOSIS; CHILDHOOD; PATTERNS; IMMUNITY</t>
  </si>
  <si>
    <t xml:space="preserve">Background Non-pharmaceutical interventions affected the circulation of and illness due to endemic respiratory pathogens during the COVID-19 pandemic. We investigated the incidence of admissions to hospital for overall and specific pathogen-associated lower respiratory tract infection (LRTI) during the COVID-19 pandemic compared with incidence in the pre-pandemic period. Methods In this observational study, we analysed surveillance data for children younger than 5 years from two public hospitals in Soweto, South Africa, for all-cause LRTI, respiratory syncytial virus (RSV), influenza, human metapneumovirus, and Bordetella pertussis from Jan 1, 2015 to Dec 31, 2022. Data were obtained from an electronic database that includes information for all admissions to the general paediatric wards at the two hospitals, automatically identified by a computer program. We excluded children admitted to hospital with incidental SARS-CoV-2 infection or COVID-19 without LRTI diagnosis. Incidence during COVID-19 pandemic years (2020, 2021, and 2022) were compared with pre-pandemic rates (2015-19). Findings Overall, there were 42 068 all-cause hospital admissions, including 18 303 all-cause LRTI hospital admissions, from Jan 1, 2015, to Dec 31, 2022, 17 822 (42 &amp; BULL;4%) of whom were female, 23 893 (57 &amp; BULL;0%) were male, and 353 (0 &amp; BULL;8%) had missing data. All-cause LRTI incidence risk ratio (IRR) was 30% lower in 2020 (IRR 0 &amp; BULL;70, 95% CI 0 &amp; BULL;67-0 &amp; BULL;74) and 13% lower in 2021 (0 &amp; BULL;87, 0 &amp; BULL;83-0 &amp; BULL;91), but 16% higher in 2022 (1 &amp; BULL;16, 1 &amp; BULL;11-1 &amp; BULL;21) compared with the pre-pandemic period. Furthermore, compared with the pre-pandemic period, incidence of RSV-associated LRTI (0 &amp; BULL;52, 0 &amp; BULL;45-0 &amp; BULL;58), influenza-associated LRTI (0 &amp; BULL;05, 0 &amp; BULL;02-0 &amp; BULL;11), and pulmonary tuberculosis (0 &amp; BULL;52, 0 &amp; BULL;41-0 &amp; BULL;65) were lower in 2020, with similar trends observed for human-metapneumovirus-associated LRTI, pertussis, and invasive pneumococcal disease (IPD). Compared with the pre-pandemic period, by 2022, RSV-associated LRTI incidence was similar (1 &amp; BULL;04, 0 &amp; BULL;95-1 &amp; BULL;14) and influenza-associated LRTI showed a non-significant increase (1 &amp; BULL;14, 0 &amp; BULL;92-1 &amp; BULL;39), whereas incidence remained lower for tuberculosis (0 &amp; BULL;79, 0 &amp; BULL;65-0 &amp; BULL;94) and IPD (0 &amp; BULL;51, 0 &amp; BULL;24-0 &amp; BULL;99). In 2022, the incidence of COVID-19-associated LRTI hospital admission (65 per 100 000 children younger than 5 years) was lower than pre-pandemic RSV-associated LRTI (0 &amp; BULL;23, 0 &amp; BULL;19-0 &amp; BULL;27) but higher than pre-pandemic influenza-associated LRTI (1 &amp; BULL;19, 0 &amp; BULL;97-1 &amp; BULL;45), although the difference was not significant. All-cause LRTI death in 2022 (57 per 100 000 children younger than 5 years) was 28% higher than in the pre-pandemic period (1 &amp; BULL;28, 1 &amp; BULL;03-1 &amp; BULL;58). Interpretation The higher incidence of all-cause LRTI admissions to hospital in 2022 compared with the pre-pandemic period is partly due to ongoing COVID-19 admission to hospital, and could worsen if other endemic respiratory pathogens revert to pre-pandemic incidence. Interventions, including the introduction of vaccines for people who are pregnant that aim to prevent RSV and possibly COVID-19 in young children, are warranted.</t>
  </si>
  <si>
    <t xml:space="preserve">[Izu, Alane; Nunes, Marta C.; Solomon, Fatima; Baillie, Vicky; Serafin, Natali; Verwey, Charl; Moore, David P.; Laubscher, Marius; Ncube, Musawenkosi; Olwagen, Courtney; Dangor, Ziyaad; Madhi, Shabir A.] Univ Witwatersrand, South African Med Res Council, Vaccines &amp; Infect Dis Analyt Res Unit, Johannesburg, South Africa; [Madhi, Shabir A.] Univ Witwatersrand, Infect Dis &amp; Oncol Res Inst, Johannesburg, South Africa; [Izu, Alane; Nunes, Marta C.; Solomon, Fatima; Baillie, Vicky; Serafin, Natali; Laubscher, Marius; Ncube, Musawenkosi; Olwagen, Courtney; Dangor, Ziyaad; Madhi, Shabir A.] Univ Witwatersrand, Natl Res Fdn Vaccine Preventable Dis, Fac Hlth Sci, Dept Sci, Johannesburg, South Africa; [Verwey, Charl; Moore, David P.] Univ Witwatersrand, Chris Hani Baragwanath Acad Hosp, Dept Paediat &amp; Child Hlth, Johannesburg, South Africa; [Nunes, Marta C.] Hosp Civils Lyon, Ctr Excellence Resp Pathogens, Lyon, France; [Nunes, Marta C.] Univ Claude Bernard Lyon, INSERM, Ctr Int Rech Infectiol, Lyon, France; [Madhi, Shabir A.] Univ Witwatersrand, Fac Hlth Sci, South Africa Med Res Council, Vaccines &amp; Infect Dis Analyt Res Unit, ZA-2193 Johannesburg, South Africa</t>
  </si>
  <si>
    <t xml:space="preserve">University of Witwatersrand; South African Medical Research Council; University of Witwatersrand; University of Witwatersrand; National Research Foundation - South Africa; University of Witwatersrand; CHU Lyon; Universite Claude Bernard Lyon 1; Institut National de la Sante et de la Recherche Medicale (Inserm); University of Witwatersrand</t>
  </si>
  <si>
    <t xml:space="preserve">Madhi, SA (corresponding author), Univ Witwatersrand, Fac Hlth Sci, South Africa Med Res Council, Vaccines &amp; Infect Dis Analyt Res Unit, ZA-2193 Johannesburg, South Africa.</t>
  </si>
  <si>
    <t xml:space="preserve">shabir.madhi@wits.ac.za</t>
  </si>
  <si>
    <t xml:space="preserve">Baillie, Vicky/LJL-0428-2024; Verwey, Charl/K-7183-2019; Laubscher, Maritz/AAY-2382-2020; Olwagen, Courtney/AAF-2566-2019</t>
  </si>
  <si>
    <t xml:space="preserve">Dangor, Ziyaad/0000-0003-4089-147X; Laubscher, Matt/0009-0007-7835-0421; Olwagen, Courtney/0009-0007-3674-8415; Nunes, Marta/0000-0003-3788-878X; Ncube, Musawenkosi/0000-0003-3124-7033</t>
  </si>
  <si>
    <t xml:space="preserve">Bill amp; Melinda Gates Foundation</t>
  </si>
  <si>
    <t xml:space="preserve">Bill amp; Melinda Gates Foundation(CGIAR)</t>
  </si>
  <si>
    <t xml:space="preserve">Funding The Bill &amp; Melinda Gates Foundation.</t>
  </si>
  <si>
    <t xml:space="preserve">10.1016/S1473-3099(23)00200-1</t>
  </si>
  <si>
    <t xml:space="preserve">S1JM3</t>
  </si>
  <si>
    <t xml:space="preserve">WOS:001068800300001</t>
  </si>
  <si>
    <t xml:space="preserve">Kim, C; Ahmed, JA; Eidex, RB; Nyoka, R; Waiboci, LW; Erdman, D; Tepo, A; Mahamud, AS; Kabura, W; Nguhi, M; Muthoka, P; Burton, W; Breiman, RF; Njenga, MK; Katz, MA</t>
  </si>
  <si>
    <t xml:space="preserve">Kim, Curi; Ahmed, Jamal A.; Eidex, Rachel B.; Nyoka, Raymond; Waiboci, Lilian W.; Erdman, Dean; Tepo, Adan; Mahamud, Abdirahman S.; Kabura, Wamburu; Nguhi, Margaret; Muthoka, Philip; Burton, Wagacha; Breiman, Robert F.; Njenga, M. Kariuki; Katz, Mark A.</t>
  </si>
  <si>
    <t xml:space="preserve">Comparison of Nasopharyngeal and Oropharyngeal Swabs for the Diagnosis of Eight Respiratory Viruses by Real-Time Reverse Transcription-PCR Assays</t>
  </si>
  <si>
    <t xml:space="preserve">Virus; Human metapneumovirus; Virology; Influenza A virus; Respiratory system; Medicine; Reverse transcription polymerase chain reaction</t>
  </si>
  <si>
    <t xml:space="preserve">POLYMERASE-CHAIN-REACTION; CHILDREN; INFECTIONS; SPECIMENS; H5N1</t>
  </si>
  <si>
    <t xml:space="preserve">Background: Many acute respiratory illness surveillance systems collect and test nasopharyngeal (NP) and/or oropharyngeal (OP) swab specimens, yet there are few studies assessing the relative measures of performance for NP versus OP specimens. Methods: We collected paired NP and OP swabs separately from pediatric and adult patients with influenza-like illness or severe acute respiratory illness at two respiratory surveillance sites in Kenya. The specimens were tested for eight respiratory viruses by real-time reverse transcription-polymerase chain reaction (qRT-PCR). Positivity for a specific virus was defined as detection of viral nucleic acid in either swab. Results: Of 2,331 paired NP/OP specimens, 1,402 (60.1%) were positive for at least one virus, and 393 (16.9%) were positive for more than one virus. Overall, OP swabs were significantly more sensitive than NP swabs for adenovirus (72.4% vs. 57.6%, p &lt; 0.01) and 2009 pandemic influenza A (H1N1) virus (91.2% vs. 70.4%, p &lt; 0.01). NP specimens were more sensitive for influenza B virus (83.3% vs. 61.5%, p = 0.02), parainfluenza virus 2 (85.7%, vs. 39.3%, p &lt; 0.01), and parainfluenza virus 3 (83.9% vs. 67.4%, p &lt; 0.01). The two methods did not differ significantly for human metapneumovirus, influenza A (H3N2) virus, parainfluenza virus 1, or respiratory syncytial virus. Conclusions: The sensitivities were variable among the eight viruses tested; neither specimen was consistently more effective than the other. For respiratory disease surveillance programs using qRT-PCR that aim to maximize sensitivity for a large number of viruses, collecting combined NP and OP specimens would be the most effective approach.</t>
  </si>
  <si>
    <t xml:space="preserve">[Kim, Curi; Erdman, Dean] US Ctr Dis Control &amp; Prevent, Atlanta, GA USA; [Ahmed, Jamal A.; Eidex, Rachel B.; Nyoka, Raymond; Waiboci, Lilian W.; Tepo, Adan; Mahamud, Abdirahman S.; Breiman, Robert F.; Njenga, M. Kariuki; Katz, Mark A.] Ctr Dis Control &amp; Prevent Kenya, Nairobi, Kenya; [Kabura, Wamburu] Kenya Govt Med Res Ctr, Nairobi, Kenya; [Nguhi, Margaret] Int Rescue Comm, Nairobi, Kenya; [Muthoka, Philip] Minist Publ Hlth &amp; Sanitat, Nairobi, Kenya; [Burton, Wagacha] United Nations High Commissioner Refugees, Nairobi, Kenya</t>
  </si>
  <si>
    <t xml:space="preserve">Centers for Disease Control &amp; Prevention - USA; Kenya Medical Research Institute</t>
  </si>
  <si>
    <t xml:space="preserve">Kim, C (corresponding author), US Ctr Dis Control &amp; Prevent, Atlanta, GA USA.</t>
  </si>
  <si>
    <t xml:space="preserve">mkatz@ke.cdc.gov</t>
  </si>
  <si>
    <t xml:space="preserve">; Breiman, Robert/ISS-4450-2023</t>
  </si>
  <si>
    <t xml:space="preserve">Musyoka, Dr. Raymond/0000-0001-6881-9555; Breiman, Robert/0000-0002-7099-2936; Waiboci, Lilian W./0000-0002-8727-5124</t>
  </si>
  <si>
    <t xml:space="preserve">e21610</t>
  </si>
  <si>
    <t xml:space="preserve">10.1371/journal.pone.0021610</t>
  </si>
  <si>
    <t xml:space="preserve">786GP</t>
  </si>
  <si>
    <t xml:space="preserve">WOS:000292291800026</t>
  </si>
  <si>
    <t xml:space="preserve">Ouyang, K; Woodiga, SA; Dwivedi, V; Buckwalter, CM; Singh, AK; Binjawadagi, B; Hiremath, J; Manickam, C; Schleappi, R; Khatri, M; Wu, JM; King, SJ; Renukaradhya, GJ</t>
  </si>
  <si>
    <t xml:space="preserve">Ouyang, Kang; Woodiga, Shireen A.; Dwivedi, Varun; Buckwalter, Carolyn M.; Singh, Anirudh K.; Binjawadagi, Basavaraj; Hiremath, Jagadish; Manickam, Cordelia; Schleappi, Rose; Khatri, Mahesh; Wu, Jianmin; King, Samantha J.; Renukaradhya, Gourapura J.</t>
  </si>
  <si>
    <t xml:space="preserve">Pretreatment of Epithelial Cells with Live Streptococcus pneumoniae Has No Detectable Effect on Influenza A Virus Replication In Vitro</t>
  </si>
  <si>
    <t xml:space="preserve">Streptococcus pneumoniae; Biology; Microbiology; Influenza A virus; Virology; Virus; Cell culture; Pathogen</t>
  </si>
  <si>
    <t xml:space="preserve">MDCK CELLS; SWINE; MODEL; EXOGLYCOSIDASES; SUSCEPTIBILITY; INFECTION; DISEASE; TRYPSIN; GROWTH; LINE</t>
  </si>
  <si>
    <t xml:space="preserve">Influenza A virus (IAV) and Streptococcus pneumoniae (pneumococcus) are two major upper respiratory tract pathogens responsible for exacerbated disease in coinfected individuals. Despite several studies showing increased susceptibility to secondary bacterial infections following IAV infection, information on the direct effect of S. pneumoniae on IAV in vitro is unknown. This is an important area of investigation as S. pneumoniae is a common commensal of the human upper respiratory tract, present as an important coinfecting pathogen with IAV infection. A recent study showed that S. pneumoniae enhances human metapneumovirus infection in polarized bronchial epithelial cells in vitro. The aim of the current study was to determine whether treatment of epithelial cells with S. pneumoniae affects IAV replication using a standard immunofluorescence assay (IFA). For this study we used four IAV permissive epithelial cell lines including two human-derived cell lines, 12 pneumococcal strains including recent human clinical isolates which represent different genetic backgrounds and serotypes, and six IAV strains of varying genetic nature and pathogenic potential including the pandemic 2009 H1N1 virus. Our results suggested that pretreatment of MDCK cells with 7.5x10(6) colony-forming units (CFUs) of live S. pneumoniae resulted in gradual cell-death in a time-dependent manner (0.5 to 4 hr). But, pretreatment of cell lines with 7.5x10(5) and lower CFUs of S. pneumoniae had no detectable effect on either the morphology of cells or on the IAV replication. However, unlike in epithelial cell lines, due to influence of secreted host factors the effect of pneumococci on IAV replication may be different during coinfections in vivo in the human upper respiratory tract, and in vitro with primary human polarized bronchial epithelial cells.</t>
  </si>
  <si>
    <t xml:space="preserve">[Ouyang, Kang; Wu, Jianmin] Guangxi Univ, Coll Anim Sci &amp; Technol, Nanning 530004, Peoples R China; [Ouyang, Kang; Dwivedi, Varun; Binjawadagi, Basavaraj; Hiremath, Jagadish; Manickam, Cordelia; Schleappi, Rose; Khatri, Mahesh; Renukaradhya, Gourapura J.] Ohio State Univ, OARDC, Dept Vet Prevent Med, Food Anim Hlth Res Program FAHRP, Wooster, OH USA; [Woodiga, Shireen A.; Buckwalter, Carolyn M.; Singh, Anirudh K.; King, Samantha J.] Nationwide Childrens Hosp, Ctr Microbial Pathogenesis, Columbus, OH 43205 USA; [Buckwalter, Carolyn M.; King, Samantha J.] Ohio State Univ, Dept Pediat, Columbus, OH 43210 USA</t>
  </si>
  <si>
    <t xml:space="preserve">Guangxi University; University System of Ohio; Ohio State University; University System of Ohio; Ohio State University; Nationwide Childrens Hospital; Research Institute at Nationwide Children's Hospital; University System of Ohio; Ohio State University</t>
  </si>
  <si>
    <t xml:space="preserve">King, SJ (corresponding author), Nationwide Childrens Hosp, Ctr Microbial Pathogenesis, Columbus, OH 43205 USA.</t>
  </si>
  <si>
    <t xml:space="preserve">Samantha.King@nationwidechildrens.org; gourapura.1@osu.edu</t>
  </si>
  <si>
    <t xml:space="preserve">Gourapura, Renukaradhya/E-3143-2011; Hiremath, Jagadish/KPB-2080-2024; king, samantha/AAS-4813-2021</t>
  </si>
  <si>
    <t xml:space="preserve">Gourapura, Renukaradhya/0000-0003-2861-180X</t>
  </si>
  <si>
    <t xml:space="preserve">National Center For Advancing Translational Sciences [UL1TR001070]; state and federal funds; China Scholarship Council (CSC) [2011666005]</t>
  </si>
  <si>
    <t xml:space="preserve">National Center For Advancing Translational Sciences(United States Department of Health &amp; Human ServicesNational Institutes of Health (NIH) - USANIH National Center for Advancing Translational Sciences (NCATS)); state and federal funds; China Scholarship Council (CSC)(China Scholarship Council)</t>
  </si>
  <si>
    <t xml:space="preserve">The project described was supported by award number grant UL1TR001070 from the National Center For Advancing Translational Sciences. The content is solely the responsibility of the authors and does not necessarily represent the official views of the National Center For Advancing Translational Sciences or the National Institutes of Health. Pilot funding from this grant was awarded to SJK and RJG. Salaries and research support were provided by state and federal funds appropriated to Ohio Agricultural Research and Development Center, The Ohio State University. The fellowship support by China Scholarship Council (CSC#2011666005) during KO's visit to OSU is acknowledged. The funders had no role in study design, data collection and analysis, decision to publish, or preparation of the manuscript.</t>
  </si>
  <si>
    <t xml:space="preserve">e90066</t>
  </si>
  <si>
    <t xml:space="preserve">10.1371/journal.pone.0090066</t>
  </si>
  <si>
    <t xml:space="preserve">AC4CT</t>
  </si>
  <si>
    <t xml:space="preserve">WOS:000332468900064</t>
  </si>
  <si>
    <t xml:space="preserve">Anh, HLD; van Doorn, HR; My, NN; Bryant, JE; Thanh, HTH; Quang, HD; Tan, LV; Tan, TT; Wills, B; Vinh, CV; Minh, HV; Cong, KV; Minh, DN; Farrar, J; Tinh, HT; de Jong, MD</t>
  </si>
  <si>
    <t xml:space="preserve">Anh Ha Lien Do; van Doorn, H. Rogier; My Ngoc Nghiem; Bryant, Juliet E.; Thanh Hang Thi Hoang; Quang Ha Do; Tan Le Van; Tan Thanh Tran; Wills, Bridget; Vinh Chau van Nguyen; Minh Hien Vo; Cong Khanh Vo; Minh Dung Nguyen; Farrar, Jeremy; Tinh Hien Tran; de Jong, Menno D.</t>
  </si>
  <si>
    <t xml:space="preserve">Viral Etiologies of Acute Respiratory Infections among Hospitalized Vietnamese Children in Ho Chi Minh City, 2004-2008</t>
  </si>
  <si>
    <t xml:space="preserve">Rhinovirus; Human metapneumovirus; Human bocavirus; Throat; Medicine; Etiology; Nose</t>
  </si>
  <si>
    <t xml:space="preserve">SYNCYTIAL VIRUS-INFECTION; NASAL SWAB SPECIMENS; INDOOR AIR-POLLUTION; NASOPHARYNGEAL ASPIRATE; DEVELOPING-COUNTRIES; CLINICAL-FEATURES; INFLUENZA; ENTEROVIRUS; PNEUMONIA; DISEASE</t>
  </si>
  <si>
    <t xml:space="preserve">Background: The dominant viral etiologies responsible for acute respiratory infections (ARIs) are poorly understood, particularly among hospitalized children in resource-limited tropical countries where morbidity and mortality caused by ARIs are highest. Improved etiological insight is needed to improve clinical management and prevention. Objectives: We conducted a three-year prospective descriptive study of severe respiratory illness among children from 2 months to 13 years of age within the largest referral hospital for infectious diseases in southern Vietnam. Methods: Molecular detection for 15 viral species and subtypes was performed on three types of respiratory specimens (nose, throat swabs and nasopharyngeal aspirates) using a multiplex RT-PCR kit (Seeplex (TM) RV detection, Seegene) and additional monoplex real-time RT-PCRs. Results: A total of 309 children were enrolled from November 2004 to January 2008. Viruses were identified in 72% (222/309) of cases, including respiratory syncytial virus (24%), influenza virus A and B (17%), human bocavirus (16%), enterovirus (9%), human coronavirus (8%), human metapneumovirus (7%), parainfluenza virus 1-3 (6%), adenovirus (5%), and human rhinovirus A (4%). Co-infections with multiple viruses were detected in 20% (62/309) of patients. When combined, diagnostic yields in nose and throat swabs were similar to nasopharyngeal aspirates. Conclusion: Similar to other parts in the world, RSV and influenza were the predominant viral pathogens detected in Vietnamese hospitalized children. Combined nasal and throat swabs are the specimens of choice for sensitive molecular detection of a broad panel of viral agents. Further research is required to better understand the clinical significance of single versus multiple viral coinfections and to address the role of bacterial (co-) infections involved in severe respiratory illness.</t>
  </si>
  <si>
    <t xml:space="preserve">[Anh Ha Lien Do; van Doorn, H. Rogier; Bryant, Juliet E.; Thanh Hang Thi Hoang; Quang Ha Do; Tan Le Van; Tan Thanh Tran; Wills, Bridget; Farrar, Jeremy; de Jong, Menno D.] Univ Oxford, Clin Res Unit, Wellcome Trust Major Overseas Program, Ho Chi Minh City, Vietnam; [van Doorn, H. Rogier; Bryant, Juliet E.; Wills, Bridget; Farrar, Jeremy; de Jong, Menno D.] Univ Oxford, Nuffield Dept Clin Med, Oxford, England; [de Jong, Menno D.] Univ Amsterdam, Acad Med Ctr, Dept Med Microbiol, NL-1105 AZ Amsterdam, Netherlands; [My Ngoc Nghiem; Vinh Chau van Nguyen; Minh Hien Vo; Cong Khanh Vo; Minh Dung Nguyen; Tinh Hien Tran] Hosp Trop Dis, Ho Chi Minh City, Vietnam</t>
  </si>
  <si>
    <t xml:space="preserve">University of Oxford; University of Oxford; University of Amsterdam; Academic Medical Center Amsterdam</t>
  </si>
  <si>
    <t xml:space="preserve">Anh, HLD (corresponding author), Univ Oxford, Clin Res Unit, Wellcome Trust Major Overseas Program, Ho Chi Minh City, Vietnam.</t>
  </si>
  <si>
    <t xml:space="preserve">hadla@oucru.org</t>
  </si>
  <si>
    <t xml:space="preserve">Farrar, Jeremy J./HGA-7610-2022; van Doorn, H. Rogier/H-3080-2019; Tran, Thanh/AAE-4091-2021</t>
  </si>
  <si>
    <t xml:space="preserve">Wellcome Trust of Great-Britain</t>
  </si>
  <si>
    <t xml:space="preserve">Wellcome Trust of Great-Britain(Wellcome Trust)</t>
  </si>
  <si>
    <t xml:space="preserve">This study was funded by the Wellcome Trust of Great-Britain. The funders had no role in study design, data collection and analysis, decision to publish, or preparation of the manuscript.</t>
  </si>
  <si>
    <t xml:space="preserve">e18176</t>
  </si>
  <si>
    <t xml:space="preserve">10.1371/journal.pone.0018176</t>
  </si>
  <si>
    <t xml:space="preserve">740RG</t>
  </si>
  <si>
    <t xml:space="preserve">WOS:000288811500027</t>
  </si>
  <si>
    <t xml:space="preserve">Noell, BC; Dawson, KL; Seethamraju, H</t>
  </si>
  <si>
    <t xml:space="preserve">Noell, B. C.; Dawson, K. L.; Seethamraju, H.</t>
  </si>
  <si>
    <t xml:space="preserve">Effect of Hypogammaglobulinemia on the Incidence of Community-Acquired Respiratory Viral Infections After Lung Transplantation</t>
  </si>
  <si>
    <t xml:space="preserve">Hypogammaglobulinemia; Incidence (geometry); Medicine; Lung transplantation; Respiratory system; Transplantation; Respiratory disease; Lung</t>
  </si>
  <si>
    <t xml:space="preserve">BRONCHIOLITIS OBLITERANS SYNDROME; RISK-FACTORS; ADULT LUNG; RECIPIENTS; IMMUNOGLOBULIN; OUTCOMES</t>
  </si>
  <si>
    <t xml:space="preserve">Background. Hypogammaglobulinemia (HGG) has been associated with an increased risk of infectious complications in lung transplant recipients, but its effect specifically on community-acquired respiratory viruses (CARVs) remains unknown. This study aimed to determine if lung transplant recipients with HGG are at an increased risk of developing CARV infection. Secondary endpoints included the effect of HGG on lung function, incidence of rejection, and mortality. Methods. A retrospective review of all lung transplant recipients from 2008 to 2011 was performed. Patients were stratified as either having HGG after transplantation or having normal IgG titers according to their nadir IgG level. HGG was defined a serum IgG level of &lt;700 mg/dL. CARVs included human metapneumovirus, influenza A/B, respiratory syncytial virus A/B, parainfiuenza 1/2/3, rhinovirus, and adenovirus isolated from bronchoalveolar lavage/wash, sputum, or nasal swab. Results. The cohort consisted of 263 patients with a mean follow-up time of 612 +/- 356 days. The incidence of CARV infection was 27% in patients with normal IgG titers and 23.4% in patients with HGG (P = .62). No difference in rejection, mortality, or lung function was found between the groups. As expected, patients who ever had a CARV infection had a significantly lower 1-second forced expiratory volume % reference on their most recent spirometry than those who had not had a CARV infection (81.6% vs 86.9%; P = .027). Conclusions. Although CARV infection has been shown to affect lung graft function, these data suggests that HGG is not associated with the incidence of CARV infection.</t>
  </si>
  <si>
    <t xml:space="preserve">[Noell, B. C.; Dawson, K. L.] Methodist Hosp, Dept Pharm, Houston, TX 77030 USA; [Seethamraju, H.] Methodist Hosp, Dept Surg, Houston, TX 77030 USA</t>
  </si>
  <si>
    <t xml:space="preserve">Houston Methodist; Houston Methodist</t>
  </si>
  <si>
    <t xml:space="preserve">Noell, BC (corresponding author), 6565 Fannin St,DBI-09, Houston, TX 77030 USA.</t>
  </si>
  <si>
    <t xml:space="preserve">bcnoell@gmail.com</t>
  </si>
  <si>
    <t xml:space="preserve">10.1016/j.transproceed.2012.11.010</t>
  </si>
  <si>
    <t xml:space="preserve">210RK</t>
  </si>
  <si>
    <t xml:space="preserve">WOS:000323852000052</t>
  </si>
  <si>
    <t xml:space="preserve">McNamara, PS; Fonceca, AM; Howarth, D; Correia, JB; Slupsky, JR; Trinick, RE; Al Turaiki, W; Smyth, RL; Flanagan, BF</t>
  </si>
  <si>
    <t xml:space="preserve">McNamara, P. S.; Fonceca, A. M.; Howarth, D.; Correia, J. B.; Slupsky, J. R.; Trinick, R. E.; Al Turaiki, W.; Smyth, R. L.; Flanagan, B. F.</t>
  </si>
  <si>
    <t xml:space="preserve">Respiratory syncytial virus infection of airway epithelial cells, in vivo and in vitro, supports pulmonary antibody responses by inducing expression of the B cell differentiation factor BAFF</t>
  </si>
  <si>
    <t xml:space="preserve">B-cell activating factor; Medicine; Immunology; Bronchoalveolar lavage; Antibody</t>
  </si>
  <si>
    <t xml:space="preserve">ACTIVATING FACTOR; INFLUENZA-VIRUS; IMMUNITY; CHILDREN; RECEPTOR; BRONCHIOLITIS; MATURATION; SURVIVAL; INFANTS; SIGNALS</t>
  </si>
  <si>
    <t xml:space="preserve">Background The mechanisms regulating antibody expression within the human lung during airway infection are largely unknown. In this study, our objectives were to determine if infection with respiratory syncytial virus (RSV) upregulates expression of the B cell differentiation factors A proliferation inducing ligand (APRIL) and B cell activating factor of the TNF family (BAFF), if this is a common feature of viral airway infection, and how this is regulated in human airway epithelial cells. Methods We measured BAFF and APRIL protein expression in bronchoalveolar lavage (BAL) fluid from infants with severe RSV disease, and healthy control children, and in nasopharyngeal aspirates from preschool children with other single respiratory viral infections. We also measured mRNA expression in bronchial brushings from RSV-infected infants, and in RSV-infected paediatric primary airway epithelial cell cultures (pAEC). Beas-2B cell cultures were used to examine mechanisms regulating BAFF expression. Results BAFF protein and mRNA were elevated (in marked contrast with APRIL) in BAL and bronchial brushings, respectively, from RSV-infected infants. BAFF protein was also found in upper airway secretions from children with human metapneumovirus, H1N1, bocavirus, rhinovirus, RSV and Mycoplasma pneumoniae infection. BAFF mRNA and protein were expressed following in vitro RSV infection of both pAEC and Beas-2B cultures, with mRNA expression peaking 12-h postinfection. BAFF induction was blocked by addition of a neutralising anti-interferon-beta antibody or palivizumab. Conclusions BAFF, produced through an interferon-beta-dependant process, is a consistent feature of airway infection, and suggests a role for the airway epithelia in supporting protective antibody and B cell responses in the lung.</t>
  </si>
  <si>
    <t xml:space="preserve">[McNamara, P. S.; Fonceca, A. M.; Trinick, R. E.; Al Turaiki, W.; Smyth, R. L.; Flanagan, B. F.] Univ Liverpool, Alder Hey Childrens NHS Fdn Trust Hosp, Inst Translat Med, Dept Womens &amp; Childrens Hlth, Liverpool L12 2AP, Merseyside, England; [Howarth, D.] Univ Liverpool, Inst Infect &amp; Global Hlth, Dept Clin Infect Microbiol &amp; Immunol, Liverpool L12 2AP, Merseyside, England; [Correia, J. B.] Inst Med Integral Prof Fernando Figueira IMIP, Recife, PE, Brazil</t>
  </si>
  <si>
    <t xml:space="preserve">Alder Hey Children's NHS Foundation Trust; University of Liverpool; University of Liverpool; Instituto de Medicina Integral Professor Fernando Figueira (IMIP)</t>
  </si>
  <si>
    <t xml:space="preserve">Flanagan, BF (corresponding author), Univ Liverpool, Alder Hey Childrens NHS Fdn Trust Hosp, Inst Translat Med, Dept Womens &amp; Childrens Hlth, Eaton Rd, Liverpool L12 2AP, Merseyside, England.</t>
  </si>
  <si>
    <t xml:space="preserve">fla1@liv.ac.uk</t>
  </si>
  <si>
    <t xml:space="preserve">Correia, Jailson/J-4331-2015; Slupsky, Joseph/H-2843-2019</t>
  </si>
  <si>
    <t xml:space="preserve">Slupsky, Joseph/0000-0002-7410-9004; de Barros Correia, Jailson/0000-0002-0927-2219; McNamara, Paul/0000-0002-7055-6034</t>
  </si>
  <si>
    <t xml:space="preserve">Wellcome Trust; Alder Hey Children's Imagine Appeal; Liverpool cancer research centre; Brazil's National Council for Scientific and Technological Development [479381/2006-2]; IMIP's Fund for Teaching and Research</t>
  </si>
  <si>
    <t xml:space="preserve">Wellcome Trust(Wellcome Trust); Alder Hey Children's Imagine Appeal; Liverpool cancer research centre; Brazil's National Council for Scientific and Technological Development; IMIP's Fund for Teaching and Research</t>
  </si>
  <si>
    <t xml:space="preserve">This work was supported by a Wellcome Trust award to PSM and Alder Hey Children's Imagine Appeal supporting AF and RET, a research development award from the Liverpool cancer research centre to J R Slupsky and B F Flanagan. Brazil's National Council for Scientific and Technological Development (Grant number 479381/2006-2) and IMIP's Fund for Teaching and Research supported aspects of this study.</t>
  </si>
  <si>
    <t xml:space="preserve">10.1136/thoraxjnl-2012-202288</t>
  </si>
  <si>
    <t xml:space="preserve">052NP</t>
  </si>
  <si>
    <t xml:space="preserve">WOS:000312204900014</t>
  </si>
  <si>
    <t xml:space="preserve">Mao, NY; Ji, YX; Xie, ZD; Wang, HH; Wang, HL; An, JJ; Zhang, XX; Zhang, Y; Zhu, Z; Cui, AL; Xu, ST; Shen, KL; Liu, CY; Yang, WZ; Xu, WB</t>
  </si>
  <si>
    <t xml:space="preserve">Mao, Naiying; Ji, Yixin; Xie, Zhengde; Wang, Huanhuan; Wang, Huiling; An, Junjing; Zhang, Xinxin; Zhang, Yan; Zhu, Zhen; Cui, Aili; Xu, Songtao; Shen, Kunling; Liu, Chunyan; Yang, Weizhong; Xu, Wenbo</t>
  </si>
  <si>
    <t xml:space="preserve">Human Parainfluenza Virus-Associated Respiratory Tract Infection among Children and Genetic Analysis of HPIV-3 Strains in Beijing, China</t>
  </si>
  <si>
    <t xml:space="preserve">Beijing; Virology; Biology; Molecular epidemiology; Human Parainfluenza Virus</t>
  </si>
  <si>
    <t xml:space="preserve">COMMUNITY-ACQUIRED PNEUMONIA; REAL-TIME PCR; SYNCYTIAL-VIRUS; HEMAGGLUTININ-NEURAMINIDASE; YOUNG-CHILDREN; MOLECULAR EPIDEMIOLOGY; HUMAN METAPNEUMOVIRUS; PEDIATRIC-PATIENTS; TYPE-3; EVOLUTION</t>
  </si>
  <si>
    <t xml:space="preserve">The relevance of human parainfluenza viruses (HPIVs) to the epidemiology of acute respiratory infections (ARI) in China is unclear. From May 2008 to September 2010, 443 nasopharyngeal aspirates (NPAs) from hospitalized pediatric patients (age from 1 to 93 months) in Beijing were collected and screened for HPIVs and other common respiratory viruses by real-time RT-PCR. Sixty-two of 443 samples were positive for HPIVs with 4 positive for HPIV-2 and 58 positive for HPIV-3, indicating that HPIV-3 was the predominant virus present during the study period. A phylogenetic tree based on all the available HN (hemagglutinin-neuraminidase) sequences of HPIV-3 indicated that three distinct clusters (A, B, and C) were circulating with some temporal and regional clustering. Cluster C was further divided into sub-clusters, C1, C2, C3 and C4. HPIV-3 from Beijing isolates belonged to sub-cluster C3, and were grouped with the isolates from two Provinces of China and the neighboring country of Japan. Genetic analysis based on entire HN gene revealed that the HPIV-3 isolates from Beijing were highly similar with 97.2%-100% identity at the nucleotide level and these could be divided into two closely related lineages, C3a and C3b. These findings suggested that there was co-circulation of multiple lineages of HPIV-3 in the Beijing region during the study period. This is the first study to describe the epidemiology and molecular characterization of HPIVs in China.</t>
  </si>
  <si>
    <t xml:space="preserve">[Mao, Naiying; Ji, Yixin; Wang, Huanhuan; Wang, Huiling; An, Junjing; Zhang, Xinxin; Zhang, Yan; Zhu, Zhen; Cui, Aili; Xu, Songtao; Xu, Wenbo] Chinese Ctr Dis Control &amp; Prevent, Natl Inst Viral Dis Control &amp; Prevent, World Hlth Org Reg Off, Western Pacific Reg Reference Measles Lab, Beijing, Peoples R China; [Mao, Naiying; Ji, Yixin; Wang, Huanhuan; Wang, Huiling; An, Junjing; Zhang, Xinxin; Zhang, Yan; Zhu, Zhen; Cui, Aili; Xu, Songtao; Xu, Wenbo] Chinese Ctr Dis Control &amp; Prevent, Natl Inst Viral Dis Control &amp; Prevent, State Key Lab Mol Virol &amp; Genet Engn, Beijing, Peoples R China; [Xie, Zhengde; Wang, Huiling; Zhang, Xinxin; Shen, Kunling; Liu, Chunyan] Capital Med Univ, Beijing Childrens Hosp, Beijing, Peoples R China; [Wang, Huanhuan] Taishan Med Coll, Dept Neurobiol, Tai An, Shandong, Peoples R China; [Yang, Weizhong] Chinese Ctr Dis Control &amp; Prevent, Off Dis Control &amp; Emergency Response, Beijing, Peoples R China</t>
  </si>
  <si>
    <t xml:space="preserve">Chinese Center for Disease Control &amp; Prevention; National Institute for Viral Disease Control &amp; Prevention, Chinese Center for Disease Control &amp; Prevention; World Health Organization; Chinese Center for Disease Control &amp; Prevention; National Institute for Viral Disease Control &amp; Prevention, Chinese Center for Disease Control &amp; Prevention; Capital Medical University; Shandong First Medical University &amp; Shandong Academy of Medical Sciences; Chinese Center for Disease Control &amp; Prevention</t>
  </si>
  <si>
    <t xml:space="preserve">Mao, NY (corresponding author), Chinese Ctr Dis Control &amp; Prevent, Natl Inst Viral Dis Control &amp; Prevent, World Hlth Org Reg Off, Western Pacific Reg Reference Measles Lab, Beijing, Peoples R China.</t>
  </si>
  <si>
    <t xml:space="preserve">Wenbo_xu1@yahoo.com.cn</t>
  </si>
  <si>
    <t xml:space="preserve">li, yukun/AIB-3253-2022</t>
  </si>
  <si>
    <t xml:space="preserve">Mao, Naiying/0000-0002-3832-8728</t>
  </si>
  <si>
    <t xml:space="preserve">Ministry of Science and Technology of the People's Republic of China [2009ZX1004-201, 2009ZX1004-202, 2007AA02Z463]</t>
  </si>
  <si>
    <t xml:space="preserve">Ministry of Science and Technology of the People's Republic of China(Ministry of Science and Technology, China)</t>
  </si>
  <si>
    <t xml:space="preserve">This work was supported by grants 2009ZX1004-201 and 2009ZX1004-202 from the National Infectious Disease Surveillance Program of the Ministry of Science and Technology of the People's Republic of China and grant 2007AA02Z463 from the Ministry of Science and Technology of the People's Republic of China. The funders had no role in study design, data collection and analysis, decision to publish, or preparation of the manuscript.</t>
  </si>
  <si>
    <t xml:space="preserve">e43893</t>
  </si>
  <si>
    <t xml:space="preserve">10.1371/journal.pone.0043893</t>
  </si>
  <si>
    <t xml:space="preserve">998CA</t>
  </si>
  <si>
    <t xml:space="preserve">WOS:000308213600055</t>
  </si>
  <si>
    <t xml:space="preserve">Drysdale, SB; Wilson, T; Alcazar, M; Broughton, S; Zuckerman, M; Smith, M; Rafferty, GF; Johnston, SL; Greenough, A</t>
  </si>
  <si>
    <t xml:space="preserve">Drysdale, Simon B.; Wilson, Theresa; Alcazar, Mireia; Broughton, Simon; Zuckerman, Mark; Smith, Melvyn; Rafferty, Gerrard F.; Johnston, S. L.; Greenough, Anne</t>
  </si>
  <si>
    <t xml:space="preserve">Lung function prior to viral lower respiratory tract infections in prematurely born infants</t>
  </si>
  <si>
    <t xml:space="preserve">Medicine; Rhinovirus; Respiratory tract infections; Human metapneumovirus; Lower respiratory tract infection</t>
  </si>
  <si>
    <t xml:space="preserve">REAL-TIME PCR; SYNCYTIAL VIRUS-INFECTION; ACUTE BRONCHIOLITIS; RSV INFECTION; MORBIDITY; SYMPTOMS; CHILDREN; LIFE</t>
  </si>
  <si>
    <t xml:space="preserve">Objective Prematurely born infants who develop respiratory syncytial virus (RSV) lower respiratory tract infections (LRTIs) have lung function abnormalities at follow-up. The aim of this study was to determine whether prematurely born infants who developed symptomatic RSV, or other viral LRTI(s), had poorer premorbid lung function than infants who did not develop LRTIs during the RSV season. Methods Lung function (functional residual capacity (FRC), compliance (Crs) and resistance (Rrs) of the respiratory system) was measured at 36 weeks postmenstrual age. After neonatal unit discharge, nasopharyngeal aspirates were obtained whenever the infants had an LRTI, regardless of whether this was in the community or in hospital. Nasopharyngeal aspirates were examined for RSV A and B, rhinovirus, influenza A and B, parainfluenza 1, 2 and 3, human metapneumovirus and adenovirus. Results 159 infants with a median gestational age of 34 (range 23-36) weeks were prospectively followed. 73 infants developed LRTIs: 27 had at least one RSV LRTI and 31 had at least one other viral LRTI, but not an RSV LRTI. Overall, there were no significant differences in the FRC (p=0.54), Crs (p=0.11) or Rrs (p=0.12) results between those who developed an RSV or other viral LRTI and those who did not develop an LRTI. Infants with RSV or other viral LRTIs who were admitted to hospital compared with those who were not had higher Rrs results (p=0.033 and p=0.039, respectively). Conclusion Diminished premorbid lung function may predispose prematurely born infants to severe viral LRTIs in infancy.</t>
  </si>
  <si>
    <t xml:space="preserve">[Zuckerman, Mark; Smith, Melvyn] Kings Coll Hosp London, Hlth Protect Agcy London Reg Lab, London SE5 9RS, England; [Johnston, S. L.] Univ London Imperial Coll Sci Technol &amp; Med, Natl Heart &amp; Lung Inst, Dept Resp Med, London, England; [Drysdale, Simon B.; Wilson, Theresa; Alcazar, Mireia; Broughton, Simon; Rafferty, Gerrard F.; Greenough, Anne] Kings Coll London, Div Asthma Allergy &amp; Lung Biol, London WC2R 2LS, England; [Zuckerman, Mark; Smith, Melvyn] Kings Coll Hosp London, S London Specialist Virol Ctr, London, England</t>
  </si>
  <si>
    <t xml:space="preserve">Health Protection Agency; King's College Hospital NHS Foundation Trust; King's College Hospital; Imperial College London; University of London; King's College London; King's College Hospital NHS Foundation Trust; King's College Hospital</t>
  </si>
  <si>
    <t xml:space="preserve">Rafferty, Gerrard/B-2826-2011; Johnston, Sebastian/I-2423-2012; Drysdale, Simon/K-3601-2012</t>
  </si>
  <si>
    <t xml:space="preserve">Rafferty, Gerrard/0000-0001-9520-6500; Johnston, Sebastian/0000-0003-3009-9200; Greenough, Anne/0000-0002-8672-5349; Alcazar, Mireia/0000-0002-9691-7942; Drysdale, Simon/0000-0002-6350-6557</t>
  </si>
  <si>
    <t xml:space="preserve">National Institute for Health Research Biomedical Research Centre at Guy's and St Thomas' NHS Foundation Trust/King's College London; Abbott Laboratories</t>
  </si>
  <si>
    <t xml:space="preserve">National Institute for Health Research Biomedical Research Centre at Guy's and St Thomas' NHS Foundation Trust/King's College London; Abbott Laboratories(Abbott Laboratories)</t>
  </si>
  <si>
    <t xml:space="preserve">Funding SBD is supported by the National Institute for Health Research Biomedical Research Centre at Guy's and St Thomas' NHS Foundation Trust/King's College London. TW was, and MA is, supported by Abbott Laboratories.</t>
  </si>
  <si>
    <t xml:space="preserve">10.1136/thx.2010.148023</t>
  </si>
  <si>
    <t xml:space="preserve">767JL</t>
  </si>
  <si>
    <t xml:space="preserve">WOS:000290852600005</t>
  </si>
  <si>
    <t xml:space="preserve">Chekuri, S; Szymczak, WA; Goldstein, DY; Nori, P; Rolon, RM; Spund, B; Singh-Tan, S; Mohrmann, L; Assa, A; Southern, WN; Baron, SW</t>
  </si>
  <si>
    <t xml:space="preserve">Chekuri, Sweta; Szymczak, Wendy A.; Goldstein, D. Yitzchak; Nori, Priya; Rolon, Rebecca Marrero; Spund, Brian; Singh-Tan, Sumeet; Mohrmann, Laurel; Assa, Andrei; Southern, William N.; Baron, Sarah W.</t>
  </si>
  <si>
    <t xml:space="preserve">SARS-CoV-2 coinfection with additional respiratory virus does not predict severe disease: a retrospective cohort study</t>
  </si>
  <si>
    <t xml:space="preserve">Coinfection; Medicine; Retrospective cohort study; Virus; Respiratory system</t>
  </si>
  <si>
    <t xml:space="preserve">HUMAN METAPNEUMOVIRUS; INFLUENZA-A; INFECTIONS; MULTIPLE; HOSPITALIZATION; CORONAVIRUS; SINGLE; RISK</t>
  </si>
  <si>
    <t xml:space="preserve">Background: The coronavirus disease 2019 (COVID-19) pandemic caused by severe acute respiratory syndrome coronavirus 2 (SARS-CoV-2) claimed over 4 million lives by July 2021 and continues to pose a serious public health threat. Objectives: Our retrospective study utilized respiratory pathogen panel (RPP) results in patients with SARS-CoV-2 to determine if coinfection (i.e. SARS-CoV-2 positivity with an additional respiratory virus) was associated with more severe presentation and outcomes. Methods: All patients with negative influenza/respiratory syncytial virus testing who underwent RPP testing within 7days of a positive SARS-CoV-2 test at a large, academic medical centre in New York were examined. Patients positive for SARS-CoV-2 with a negative RPP were compared with patients positive for SARS-CoV-2 and positive for a virus by RPP in terms of biomarkers, oxygen requirements and severe COVID-19 outcome, as defined by mechanical ventilation or death within 30days. Results: Of the 306 SARS-CoV-2-positive patients with RPP testing, 14 (4.6%) were positive for a non-influenza virus (coinfected). Compared with the coinfected group, patients positive for SARS-CoV-2 with a negative RPP had higher inflammatory markers and were significantly more likely to be admitted (P=0.01). Severe COVID-19 outcome occurred in 111 (36.3%) patients in the SARS-CoV-2-only group and 3 (21.4%) patients in the coinfected group (P=0.24). Conclusions: Patients infected with SARS-CoV-2 along with a non-influenza respiratory virus had less severe disease on presentation and were more likely to be admitted-but did not have more severe outcomes-than those infected with SARS-CoV-2 alone.</t>
  </si>
  <si>
    <t xml:space="preserve">[Chekuri, Sweta; Szymczak, Wendy A.; Goldstein, D. Yitzchak; Nori, Priya; Rolon, Rebecca Marrero; Spund, Brian; Singh-Tan, Sumeet; Mohrmann, Laurel; Assa, Andrei; Southern, William N.; Baron, Sarah W.] Montefiore Med Ctr, Albert Einstein Coll Med, Bronx, NY 10467 USA; [Chekuri, Sweta; Nori, Priya; Spund, Brian; Singh-Tan, Sumeet; Mohrmann, Laurel; Assa, Andrei; Southern, William N.; Baron, Sarah W.] Montefiore Med Ctr, Dept Med, Bronx, NY 10467 USA; [Chekuri, Sweta; Spund, Brian; Singh-Tan, Sumeet; Mohrmann, Laurel; Assa, Andrei; Southern, William N.; Baron, Sarah W.] Montefiore Med Ctr, Div Hosp Med, Bronx, NY 10467 USA; [Szymczak, Wendy A.; Goldstein, D. Yitzchak; Rolon, Rebecca Marrero] Montefiore Med Ctr, Dept Pathol, Bronx, NY 10467 USA; [Nori, Priya] Montefiore Med Ctr, Div Infect Dis, Bronx, NY USA</t>
  </si>
  <si>
    <t xml:space="preserve">Montefiore Medical Center; Albert Einstein College of Medicine; Yeshiva University; Montefiore Medical Center; Albert Einstein College of Medicine; Montefiore Medical Center; Albert Einstein College of Medicine; Montefiore Medical Center; Albert Einstein College of Medicine; Montefiore Medical Center; Albert Einstein College of Medicine</t>
  </si>
  <si>
    <t xml:space="preserve">Chekuri, S (corresponding author), Montefiore Med Ctr, Albert Einstein Coll Med, Bronx, NY 10467 USA.;Chekuri, S (corresponding author), Montefiore Med Ctr, Dept Med, Bronx, NY 10467 USA.;Chekuri, S (corresponding author), Montefiore Med Ctr, Div Hosp Med, Bronx, NY 10467 USA.</t>
  </si>
  <si>
    <t xml:space="preserve">schekuri@montefiore.org</t>
  </si>
  <si>
    <t xml:space="preserve">Singh-Tan, Sumeet/JXM-5930-2024; Baron, Sarah/JEO-9027-2023</t>
  </si>
  <si>
    <t xml:space="preserve">Goldstein, D. Yitzchak/0000-0001-6367-8335</t>
  </si>
  <si>
    <t xml:space="preserve">10.1093/jac/dkab244</t>
  </si>
  <si>
    <t xml:space="preserve">WC0RK</t>
  </si>
  <si>
    <t xml:space="preserve">WOS:000703971400004</t>
  </si>
  <si>
    <t xml:space="preserve">Pabbaraju, K; Wong, S; Tokaryk, KL; Fonseca, K; Drews, SJ</t>
  </si>
  <si>
    <t xml:space="preserve">Pabbaraju, Kanti; Wong, Sallene; Tokaryk, Kara L.; Fonseca, Kevin; Drews, Steven J.</t>
  </si>
  <si>
    <t xml:space="preserve">Comparison of the Luminex xTAG Respiratory Viral Panel with xTAG Respiratory Viral Panel Fast for Diagnosis of Respiratory Virus Infections</t>
  </si>
  <si>
    <t xml:space="preserve">Human metapneumovirus; Virology; Respiratory system; Virus; Viral load; Multiplex</t>
  </si>
  <si>
    <t xml:space="preserve">ACID AMPLIFICATION TESTS; REAL-TIME PCR; MULTIPLEX PCR; CLINICAL SPECIMENS; HIGH-THROUGHPUT; ASSAY; PATHOGENS; SYSTEM</t>
  </si>
  <si>
    <t xml:space="preserve">Nucleic acid tests are sensitive and specific and provide a rapid diagnosis, making them invaluable for patient and outbreak management. Multiplex PCR assays have additional advantages in providing an economical and comprehensive panel for many common respiratory viruses. Previous reports have shown the utility of the xTAG respiratory viral panel (RVP) assay manufactured by Luminex Molecular Diagnostics for this purpose. A newer generation of this kit, released in Canada in early 2010, is designed to simplify the procedure and reduce the turnaround time by about 24 h. The assay methodology and targets included in this version of the kit are different; consequently, the objective of this study was to compare the detection of a panel of respiratory viral targets using the older Luminex xTAG RVP (RVP Classic) assay with that using the newer xTAG RVP Fast assay. This study included 334 respiratory specimens that had been characterized for a variety of respiratory viral targets; all samples were tested by both versions of the RVP assay in parallel. Overall, the RVP Classic assay was more sensitive than the RVP Fast assay (88.6% and 77.5% sensitivities, respectively) for all the viral targets combined. Targets not detected by the RVP Fast assay included primarily influenza B virus, parainfluenza virus type 2, and human coronavirus 229E. A small number of samples positive for influenza A virus, respiratory syncytial virus B, human metapneumovirus, and parainfluenza virus type 1 were not detected by the RVP Classic assay and in general had low viral loads.</t>
  </si>
  <si>
    <t xml:space="preserve">[Pabbaraju, Kanti; Wong, Sallene; Tokaryk, Kara L.; Fonseca, Kevin; Drews, Steven J.] Prov Lab Publ Hlth Microbiol, Calgary, AB T2N 4W4, Canada; [Fonseca, Kevin; Drews, Steven J.] Univ Calgary, Dept Microbiol &amp; Infect Dis, Calgary, AB, Canada</t>
  </si>
  <si>
    <t xml:space="preserve">10.1128/JCM.02090-10</t>
  </si>
  <si>
    <t xml:space="preserve">755OA</t>
  </si>
  <si>
    <t xml:space="preserve">WOS:000289941000006</t>
  </si>
  <si>
    <t xml:space="preserve">Allander, T; Jartti, T; Gupta, S; Niesters, HGM; Lehtinen, P; Österback, R; Vuorinen, T; Waris, M; Bjerkner, A; Tiveljung-Lindell, A; van den Hoogen, BG; Hyypiä, T; Ruuskanen, O</t>
  </si>
  <si>
    <t xml:space="preserve">Allander, Tobias; Jartti, Tuomas; Gupta, Shawon; Niesters, Hubert G. M.; Lehtinen, Pasi; Osterback, Riikka; Vuorinen, Tytti; Waris, Matti; Bjerkner, Annelie; Tiveljung-Lindell, Annika; van den Hoogen, Bernadette G.; Hyypia, Timo; Ruuskanen, Olli</t>
  </si>
  <si>
    <t xml:space="preserve">Human bocavirus and acute wheezing in children</t>
  </si>
  <si>
    <t xml:space="preserve">Human bocavirus; Medicine; Virology; Virus</t>
  </si>
  <si>
    <t xml:space="preserve">RESPIRATORY SYNCYTIAL VIRUS; HUMAN METAPNEUMOVIRUS; FREQUENT DETECTION; CORONAVIRUS HKU1; HUMAN PARVOVIRUS; YOUNG-CHILDREN; INFECTION; RHINOVIRUS; DISEASE; IDENTIFICATION</t>
  </si>
  <si>
    <t xml:space="preserve">Background. Human bocavirus is a newly discovered parvovirus. It has been detected primarily in children with acute lower respiratory tract infection, but its occurrence, clinical profile, and role as a causative agent of respiratory tract disease are not clear. Methods. We investigated the presence of human bocavirus by quantitative polymerase chain reaction of nasopharyngeal aspirate specimens and selected serum samples obtained from 259 children (median age, 1.6 years) who had been hospitalized for acute expiratory wheezing. The samples were analyzed for 16 respiratory viruses by polymerase chain reaction, virus culture, antigen detection, and serological assays. Results. At least 1 potential etiologic agent was detected in 95% of children, and 11 agent was detected in 34% of children. Human bocavirus was detected in 49 children (19%). A large proportion of the cases were mixed infections with other viruses, but human bocavirus was the only virus detected in 12 children (5%). High viral loads of human bocavirus were noted mainly in the absence of other viral agents, suggesting a causative role for acute wheezing. In addition, infections that had uncertain clinical relevance and low viral loads were prevalent. Human bocavirus DNA was frequently detected in serum specimens obtained from patients with acute wheezing, suggesting systemic infection. Conclusions. Human bocavirus is prevalent among children with acute wheezing and can cause systemic infection. Results suggest a model for bocavirus infection in which high viral loads are potentially associated with respiratory symptoms and low viral loads indicate asymptomatic shedding. Therefore, quantitative polymerase chain reaction analysis may be important for additional studies of human bocavirus.</t>
  </si>
  <si>
    <t xml:space="preserve">Karolinska Univ Hosp, Dept Clin Microbiol, SE-17176 Stockholm, Sweden; Karolinska Inst, Karolinska Univ Hosp, Dept Microbiol Tumor &amp; Cell Biol, SE-17176 Stockholm, Sweden; Univ Turku, Dept Virol, Turku, Finland; Turku Univ Hosp, Dept Pediat, FIN-20520 Turku, Finland; Erasmus MC, Dept Virol, Rotterdam, Netherlands</t>
  </si>
  <si>
    <t xml:space="preserve">Karolinska Institutet; Karolinska University Hospital; Karolinska Institutet; Karolinska University Hospital; University of Turku; University of Turku; Erasmus University Rotterdam; Erasmus MC</t>
  </si>
  <si>
    <t xml:space="preserve">Allander, T (corresponding author), Karolinska Univ Hosp, Dept Clin Microbiol, L2-02, SE-17176 Stockholm, Sweden.</t>
  </si>
  <si>
    <t xml:space="preserve">tobias.allander@karolinska.se</t>
  </si>
  <si>
    <t xml:space="preserve">Waris, Matti/A-6418-2008; Bert, Niesters/AAH-6808-2019; van den Hoogen, Bernadette/J-5461-2013; Lehtinen, Pasi/HKV-1933-2023</t>
  </si>
  <si>
    <t xml:space="preserve">Gupta, Shawon/0000-0002-8501-6962; Niesters, Hubert/0000-0002-1758-0430; Waris, Matti/0000-0002-6747-0889</t>
  </si>
  <si>
    <t xml:space="preserve">10.1086/512196</t>
  </si>
  <si>
    <t xml:space="preserve">143KY</t>
  </si>
  <si>
    <t xml:space="preserve">WOS:000244721600003</t>
  </si>
  <si>
    <t xml:space="preserve">Kenmoe, S; Bowo-Ngandji, A; Kengne-Nde, C; Ebogo-Belobo, JT; Mbaga, DS; Mahamat, G; Emoh, CPD; Njouom, R</t>
  </si>
  <si>
    <t xml:space="preserve">Kenmoe, Sebastien; Bowo-Ngandji, Arnol; Kengne-Nde, Cyprien; Ebogo-Belobo, Jean Thierry; Mbaga, Donatien Serge; Mahamat, Gadji; Emoh, Cynthia Paola Demeni; Njouom, Richard</t>
  </si>
  <si>
    <t xml:space="preserve">Association between early viral LRTI and subsequent wheezing development, a meta-analysis and sensitivity analyses for studies comparable for confounding factors</t>
  </si>
  <si>
    <t xml:space="preserve">Confounding; Medicine; Bronchiolitis; Lower respiratory tract infection; Meta-analysis; Respiratory tract infections</t>
  </si>
  <si>
    <t xml:space="preserve">RESPIRATORY-SYNCYTIAL-VIRUS; IMPORTANT RISK-FACTOR; ACUTE BRONCHIOLITIS; RSV BRONCHIOLITIS; EARLY-CHILDHOOD; YOUNG-CHILDREN; HUMAN METAPNEUMOVIRUS; PULMONARY-FUNCTION; LUNG-FUNCTION; FOLLOW-UP</t>
  </si>
  <si>
    <t xml:space="preserve">Introduction Consideration of confounding factors about the association between Lower Respiratory Tract Infections (LRTI) in childhood and the development of subsequent wheezing has been incompletely described. We determined the association between viral LRTI at &lt;= 5 years of age and the development of wheezing in adolescence or adulthood by a meta-analysis and a sensitivity analysis including comparable studies for major confounding factors. Methods We performed searches through Pubmed and Global Index Medicus databases. We selected cohort studies comparing the frequency of subsequent wheezing in children with and without LRTI in childhood regardless of the associated virus. We extracted the publication data, clinical and socio-demographic characteristics of the children, and confounding factors. We analyzed data using random effect model. Results The meta-analysis included 18 publications (22 studies) that met the inclusion criteria. These studies showed that viral LRTI in children &lt;= 3 years was associated with an increased risk of subsequent development of wheezing (OR = 3.1, 95% CI = 2.4-3.9). The risk of developing subsequent wheezing was conserved when considering studies with comparable groups for socio-demographic and clinical confounders. Conclusions When considering studies with comparable groups for most confounding factors, our results provided strong evidence for the association between neonatal viral LRTI and the subsequent wheezing development. Further studies, particularly from lower-middle income countries, are needed to investigate the role of non-bronchiolitis and non-HRSV LRTI in the association between viral LRTI in childhood and the wheezing development later. In addition, more studies are needed to investigate the causal effect between childhood viral LRTI and the wheezing development later.</t>
  </si>
  <si>
    <t xml:space="preserve">[Kenmoe, Sebastien; Njouom, Richard] Ctr Pasteur Cameroon, Dept Virol, Yaounde, Cameroon; [Bowo-Ngandji, Arnol; Mbaga, Donatien Serge; Mahamat, Gadji; Emoh, Cynthia Paola Demeni] Univ Yaounde I, Fac Sci, Dept Microbiol, Yaounde, Cameroon; [Kengne-Nde, Cyprien] Natl AIDS Control Comm, Epidemiol Surveillance Evaluat &amp; Res Unit, Yaounde, Cameroon; [Ebogo-Belobo, Jean Thierry] Inst Med Res &amp; Med Plants Studies, Med Res Ctr, Yaounde, Cameroon</t>
  </si>
  <si>
    <t xml:space="preserve">University of Yaounde I</t>
  </si>
  <si>
    <t xml:space="preserve">Kenmoe, S; Njouom, R (corresponding author), Ctr Pasteur Cameroon, Dept Virol, Yaounde, Cameroon.</t>
  </si>
  <si>
    <t xml:space="preserve">kenmoe@pasteur-yaounde.org; njouom@pasteur-yaounde.org</t>
  </si>
  <si>
    <t xml:space="preserve">NDE, Cyprien/AAM-7309-2020; Mbaga, Donatien Serge/ABG-4231-2021; Kenmoe, Sebastien/J-9678-2019</t>
  </si>
  <si>
    <t xml:space="preserve">Ebogo-Belobo, Jean Thierry/0000-0002-4057-889X; MBAGA, Donatien Serge/0000-0002-9496-0445; KENGNE NDE, CYPRIEN/0000-0002-8338-2221; KENMOE, SEBASTIEN/0000-0002-5536-080X</t>
  </si>
  <si>
    <t xml:space="preserve">e0249831</t>
  </si>
  <si>
    <t xml:space="preserve">10.1371/journal.pone.0249831</t>
  </si>
  <si>
    <t xml:space="preserve">RP1DC</t>
  </si>
  <si>
    <t xml:space="preserve">WOS:000641474900117</t>
  </si>
  <si>
    <t xml:space="preserve">Tillekeratne, LG; Bodinayake, CK; Simmons, R; Nagahawatte, A; Devasiri, V; Arachchi, WK; Nicholson, BP; Park, LP; Vanderburg, S; Kurukulasooriya, R; De Silva, AD; Ostybe, T; Reller, ME; Woods, CW</t>
  </si>
  <si>
    <t xml:space="preserve">Tillekeratne, L. Gayani; Bodinayake, Champica K.; Simmons, Ryan; Nagahawatte, Ajith; Devasiri, Vasantha; Arachchi, Wasantha Kodikara; Nicholson, Bradly P.; Park, Lawrence P.; Vanderburg, Sky; Kurukulasooriya, Ruvini; De Silva, Aruna Dharshan; Ostybe, Truls; Reller, Megan E.; Woods, Christopher W.</t>
  </si>
  <si>
    <t xml:space="preserve">Respiratory Viral Infection: An Underappreciated Cause of Acute Febrile Illness Admissions in Southern Sri Lanka</t>
  </si>
  <si>
    <t xml:space="preserve">Rhinovirus; Medicine; Human metapneumovirus; Respiratory system; Interquartile range</t>
  </si>
  <si>
    <t xml:space="preserve">SEASONAL INFLUENZA; TRACT INFECTIONS; SURVEILLANCE; VIRUSES; IMPACT; DENGUE; ASSAY</t>
  </si>
  <si>
    <t xml:space="preserve">The contribution of respiratory viruses to acute febrile illness (AFI) burden is poorly characterized. We describe the prevalence, seasonality, and clinical features of respiratory viral infection among AFI admissions in Sri Lanka. We enrolled AFI patients &gt;= 1 year of age admitted to a tertiary care hospital in southern Sri Lanka, June 2012-October 2014. We collected epidemiologic/clinical data and a nasal or nasopharyngeal sample that was tested using polymerase chain reaction (Luminex NxTAG, Austin, TX). We determined associations between weather data and respiratory viral activity using the Spearman correlation and assessed respiratory virus seasonality using a Program for Appropriate Technology definition. Bivariable and multivariable regression analyses were conducted to identify features associated with respiratory virus detection. Among 964 patients, median age was 26.2 years (interquartile range 14.6-39.9) and 646 (67.0%) were male. One-fifth (203, 21.1%) had respiratory virus detected: 13.9% influenza, 1.4% human enterovirus/rhinovirus, 1.4% parainfluenza virus, 1.1% respiratory syncytial virus, and 1.1% human metapneumovirus. Patients with respiratory virus identified were younger (median 9.8 versus 27.7 years, P &lt; 0.001) and more likely to have respiratory signs and symptoms. Influenza A and respiratory viral activity peaked in February-June each year. Maximum daily temperature was associated with influenza and respiratory viral activity (P = 0.03 each). Patients with respiratory virus were as likely as others to be prescribed antibiotics (55.2% versus 52.6%, P = 0.51), and none reported prior influenza vaccination. Respiratory viral infection wasacommoncause of AFI. Improved access to vaccines and respiratory diagnosticsmayhelp reduce disease burden and inappropriate antibiotic use.</t>
  </si>
  <si>
    <t xml:space="preserve">[Tillekeratne, L. Gayani; Nicholson, Bradly P.; Park, Lawrence P.; Vanderburg, Sky; Ostybe, Truls; Reller, Megan E.; Woods, Christopher W.] Duke Univ, Durham, NC USA; [Tillekeratne, L. Gayani; Simmons, Ryan; Park, Lawrence P.; Ostybe, Truls; Reller, Megan E.; Woods, Christopher W.] Duke Global Hlth Inst, 310 Trent Dr, Durham, NC 27705 USA; [Tillekeratne, L. Gayani; Bodinayake, Champica K.; Nagahawatte, Ajith; Devasiri, Vasantha; Arachchi, Wasantha Kodikara; Nicholson, Bradly P.; Vanderburg, Sky; Kurukulasooriya, Ruvini; De Silva, Aruna Dharshan; Ostybe, Truls; Reller, Megan E.; Woods, Christopher W.] Duke Ruhuna Collaborat Res Ctr, Galle, Sri Lanka; [Bodinayake, Champica K.; Nagahawatte, Ajith; Devasiri, Vasantha] Univ Ruhuna, Fac Med, Galle, Sri Lanka; [Arachchi, Wasantha Kodikara] Teaching Hosp Karapitiya, Galle, Sri Lanka; [De Silva, Aruna Dharshan] Gen Sir Kotelawala Def Univ, Ratmalana, Sri Lanka</t>
  </si>
  <si>
    <t xml:space="preserve">Duke University; Duke University; University Ruhuna; General Sir John Kotelawala Defence University</t>
  </si>
  <si>
    <t xml:space="preserve">Tillekeratne, LG (corresponding author), Duke Global Hlth Inst, 310 Trent Dr, Durham, NC 27705 USA.</t>
  </si>
  <si>
    <t xml:space="preserve">tillekeratne@dm.duke.edu</t>
  </si>
  <si>
    <t xml:space="preserve">Simmons, Ryan/0000-0003-0855-4334; De Silva, Aruna/0000-0001-5291-9543; Tillekeratne, L Gayani/0000-0001-6012-7271</t>
  </si>
  <si>
    <t xml:space="preserve">National Institutes of Allergy and Infectious Diseases [K23AI125677]; Fogarty International Center; National Institute of Mental Health [R25 TW009337]; U.S. Department of Defense [BA150703]; Office of Naval Research; Johns Hopkins Center for Global Health Junior Faculty Grant; Hubert-Yeargan Center for Global Health</t>
  </si>
  <si>
    <t xml:space="preserve">National Institutes of Allergy and Infectious Diseases(United States Department of Health &amp; Human ServicesNational Institutes of Health (NIH) - USANIH National Institute of Allergy &amp; Infectious Diseases (NIAID)); Fogarty International Center(United States Department of Health &amp; Human ServicesNational Institutes of Health (NIH) - USANIH Fogarty International Center (FIC)); National Institute of Mental Health(United States Department of Health &amp; Human ServicesNational Institutes of Health (NIH) - USANIH National Institute of Mental Health (NIMH)); U.S. Department of Defense(United States Department of Defense); Office of Naval Research(United States Department of DefenseUnited States NavyOffice of Naval Research); Johns Hopkins Center for Global Health Junior Faculty Grant; Hubert-Yeargan Center for Global Health</t>
  </si>
  <si>
    <t xml:space="preserve">This work was supported by a grant from the National Institutes of Allergy and Infectious Diseases (K23AI125677 to LGT); Fogarty International Center and the National Institute of Mental Health (#R25 TW009337), the U.S. Department of Defense (BA150703 to CWW); the Office of Naval Research to the Emerging Infectious Diseases Programme, Duke-NUS Graduate Medical School, Singapore; a Johns Hopkins Center for Global Health Junior Faculty Grant (MER); and the Hubert-Yeargan Center for Global Health.</t>
  </si>
  <si>
    <t xml:space="preserve">10.4269/ajtmh.18-0699</t>
  </si>
  <si>
    <t xml:space="preserve">HN8AQ</t>
  </si>
  <si>
    <t xml:space="preserve">WOS:000460416400038</t>
  </si>
  <si>
    <t xml:space="preserve">Boivin, G; Côté, S; Déry, P; De Serres, G; Bergeron, MG</t>
  </si>
  <si>
    <t xml:space="preserve">Multiplex real-time PCR assay for detection of influenza and human respiratory syncytial viruses</t>
  </si>
  <si>
    <t xml:space="preserve">Multiplex; Virology; Multiplex polymerase chain reaction; Virus; Biology; Influenza A virus; Respiratory tract infections</t>
  </si>
  <si>
    <t xml:space="preserve">REVERSE TRANSCRIPTION-PCR; NEURAMINIDASE INHIBITOR ZANAMIVIR; ENZYME HYBRIDIZATION ASSAY; POLYMERASE-CHAIN-REACTION; HUMAN METAPNEUMOVIRUS; SUBTYPING INFLUENZA; PARAINFLUENZA VIRUS; A VIRUSES; CHILDREN; INFECTIONS</t>
  </si>
  <si>
    <t xml:space="preserve">A multiplex real-time PCR assay was developed with a LightCycler instrument for detection of influenza viruses A and B and the human respiratory syncytial virus (HRSV). Detection of each viral product and of an internal control was based on determination of specific melting temperatures by the LightCycler software. The lower limit of detection in the multiplex PCR assay was found to be 50 copies for each viral target. In an evaluation of nasopharyngeal samples collected from hospitalized children (ages, 0 to 3 years) with acute respiratory tract infections during the winter of 2001 to 2002, a viral pathogen was detected by the multiplex PCR test in 139 (66.8%) of 208 cases, including 45 (21.6%) influenza A virus infections, no (0%) influenza B virus infections, 106 (51%) HRSV infections, and 12 (5.8%) coinfections. The multiplex PCR test was compared to rapid antigen detection assays for influenza viruses A and B (Directigen; Becton Dickinson, Sparks, Md.) and HRSV (RSV TestPack; Abbott Laboratories, Abbott Park, III.) in 172 and 204 samples, respectively. After resolution of discrepant test results by use of additional PCR assays targeting other viral genes, the sensitivity (Se) and specificity (Sp) of the multiplex PCR assay for influenza A virus were 100 and 97.7% compared to 43.6 and 98.5% for the antigenic test. Similarly, the Se and Sp of the multiplex PCR assay for HRSV were 94.5 and 98.9% compared to 81.6 and 94.7% for the antigenic test. In conclusion, our multiplex real-time PCR assay combines both rapidity and sensitivity for detecting the most important respiratory viral pathogens in children.</t>
  </si>
  <si>
    <t xml:space="preserve">CHUQ CHUL, Res Ctr Infect Dis, Quebec City, PQ, Canada; Univ Laval, Dept Prevent Med, Quebec City, PQ, Canada; Univ Laval, Dept Med Biol, Quebec City, PQ, Canada</t>
  </si>
  <si>
    <t xml:space="preserve">CHUQ, Ctr Rech Infectiol, Pavillon CHUL,Room RC-709,2705 Blvd, Quebec City, PQ G1V 4G2, Canada.</t>
  </si>
  <si>
    <t xml:space="preserve">10.1128/JCM.42.1.45-51.2004</t>
  </si>
  <si>
    <t xml:space="preserve">WOS:000188121800008</t>
  </si>
  <si>
    <t xml:space="preserve">Iwane, MK; Prill, MM; Lu, XY; Miller, EK; Edwards, KM; Hall, CB; Griffin, MR; Staat, MA; Anderson, LJ; Williams, JV; Weinberg, GA; Ali, A; Szilagyi, PG; Zhu, YW; Erdman, DD</t>
  </si>
  <si>
    <t xml:space="preserve">Iwane, Marika K.; Prill, Mila M.; Lu, Xiaoyan; Miller, E. Kathryn; Edwards, Kathryn M.; Hall, Caroline B.; Griffin, Marie R.; Staat, Mary A.; Anderson, Larry J.; Williams, John V.; Weinberg, Geoffrey A.; Ali, Asad; Szilagyi, Peter G.; Zhu, Yuwei; Erdman, Dean D.</t>
  </si>
  <si>
    <t xml:space="preserve">Human Rhinovirus Species Associated With Hospitalizations for Acute Respiratory Illness in Young US Children</t>
  </si>
  <si>
    <t xml:space="preserve">Rhinovirus; Medicine; Human metapneumovirus; Asthma; Asymptomatic; Pediatrics</t>
  </si>
  <si>
    <t xml:space="preserve">INFECTIONS; INFLUENZA; ASTHMA; LIFE; EXACERBATION; PERSISTENCE; FAMILIES; INFANTS; VIRUSES; RNA</t>
  </si>
  <si>
    <t xml:space="preserve">Background. The contribution of human rhinovirus (HRV) to severe acute respiratory illness (ARI) is unclear. Objective. To assess the association between HRV species detection and ARI hospitalizations. Methods. Children,5 years old hospitalized for ARI were prospectively enrolled between December 2003 and April 2005 in 3 US counties. Asymptomatic controls were enrolled between December 2003 and March 2004 and between October 2004 and April 2005 in clinics. Nasal and throat swab samples were tested for HRV and other viruses (ie, respiratory syncytial virus, human metapneumovirus, parainfluenza virus, and influenza virus) by reverse-transcription-polymerase chain reaction, and genetic sequencing identified HRV species and types. HRV species detection was compared between controls and patients hospitalized during months in which controls were enrolled. Results. A total of 1867 children with 1947 ARI hospitalizations and 784 controls with 790 clinic visits were enrolled and tested for HRV. The HRV-A detection rate among participants &gt;= 24 months old was 8.1% in the hospitalized group and 2.2% in the control group (P = .009), and the HRV-C detection rates among those &gt;= 6 months old were 8.2% and 3.9%, respectively (P = .002); among younger children, the detection rates for both species were similar between groups. The HRV-B detection rate was &lt;= 1%. A broad diversity of HRV types was observed in both groups. Clinical presentations were similar among HRV species. Compared with children infected with other viruses, children with HRV detected were similar for severe hospital outcomes and more commonly had histories or diagnoses of asthma or wheezing. Conclusions. HRV-A and HRV-C were associated with ARI hospitalization and serious illness outcomes.</t>
  </si>
  <si>
    <t xml:space="preserve">[Iwane, Marika K.; Prill, Mila M.; Lu, Xiaoyan; Erdman, Dean D.] Ctr Dis Control &amp; Prevent, Natl Ctr Immunizat &amp; Resp Dis, Atlanta, GA 30333 USA; [Anderson, Larry J.] Emory Univ, Sch Med, Dept Pediat, Atlanta, GA USA; [Miller, E. Kathryn; Edwards, Kathryn M.; Williams, John V.; Ali, Asad] Vanderbilt Univ, Med Ctr, Dept Pediat, Nashville, TN 37232 USA; [Griffin, Marie R.] Vanderbilt Univ, Med Ctr, Dept Prevent Med, Nashville, TN 37232 USA; [Zhu, Yuwei] Vanderbilt Univ, Med Ctr, Dept Biostat, Nashville, TN 37232 USA; [Hall, Caroline B.; Weinberg, Geoffrey A.; Szilagyi, Peter G.] Univ Rochester, Sch Med &amp; Dent, Dept Pediat, New York, NY USA; [Staat, Mary A.] Cincinnati Childrens Hosp Med Ctr, Dept Pediat, Cincinnati, OH USA</t>
  </si>
  <si>
    <t xml:space="preserve">Centers for Disease Control &amp; Prevention - USA; Emory University; Vanderbilt University; Vanderbilt University; Vanderbilt University; University of Rochester; Cincinnati Children's Hospital Medical Center</t>
  </si>
  <si>
    <t xml:space="preserve">Iwane, MK (corresponding author), Ctr Dis Control &amp; Prevent, Natl Ctr Immunizat &amp; Resp Dis, 1600 Clifton Rd,MS A34, Atlanta, GA 30333 USA.</t>
  </si>
  <si>
    <t xml:space="preserve">miwane@cdc.gov</t>
  </si>
  <si>
    <t xml:space="preserve">PAN, WILLIAM/HTR-1125-2023; Williams, John/ABE-3227-2020; Weinberg, Geoffrey/W-7510-2019; Williams, John/F-6962-2010</t>
  </si>
  <si>
    <t xml:space="preserve">Ali, Syed Asad/0000-0001-5274-7665; Weinberg, Geoffrey/0000-0002-3900-379X; Williams, John/0000-0001-8377-5175</t>
  </si>
  <si>
    <t xml:space="preserve">CDC; National Vaccine Program Office [U38/CCU217969, U01/IP000017, U38/CCU417958, U01/IP000022, U38/CCU522352, U01/IP000147]; Novartis; MedImmune; Merck; GlaxoSmithKline; Pediatric Infectious Diseases Society-MedImmune</t>
  </si>
  <si>
    <t xml:space="preserve">CDC(United States Department of Health &amp; Human ServicesCenters for Disease Control &amp; Prevention - USA); National Vaccine Program Office; Novartis(Novartis); MedImmune(AstraZenecaMedimmune); Merck(Merck &amp; Company); GlaxoSmithKline(GlaxoSmithKline); Pediatric Infectious Diseases Society-MedImmune(AstraZenecaMedimmune)</t>
  </si>
  <si>
    <t xml:space="preserve">The work was supported by the CDC and in part by the National Vaccine Program Office (cooperative agreements U38/CCU217969, U01/IP000017, U38/CCU417958, U01/IP000022, U38/CCU522352, and U01/IP000147).K. M. E. received grant funding from Novartis and previously was a consultant to NexBio. M. R. G. received grant funding from MedImmune. G. A. W. was on speaker's bureaus of Merck, GlaxoSmithKline and Sanofi-Pasteur. C. B. H. has been on a MedImmune Advisory Board and is a consultant for MedImmune. J. V. W. has served as a consultant for MedImmune and Quidel. M. A. S. had funding from MedImmune for RSV studies, was on the MedImmune Advisory Board, and had funding from Merck and GlaxoSmithKline for rotavirus presentations and from GlaxoSmithKline for infectious disease studies. L. J. A. has been a consultant for Novartis, MedImmune, and LigoCyte Pharmaceuticals, Inc. A. A. received a 2008 Pediatric Infectious Diseases Society-MedImmune fellowship. All other authors report no potential conflicts. All authors have submitted the ICMJE Form for Disclosure of Potential Conflicts of Interest. Conflicts that the editors consider relevant to the content of the manuscript have been disclosed.</t>
  </si>
  <si>
    <t xml:space="preserve">10.1093/infdis/jir634</t>
  </si>
  <si>
    <t xml:space="preserve">838MZ</t>
  </si>
  <si>
    <t xml:space="preserve">WOS:000296297900009</t>
  </si>
  <si>
    <t xml:space="preserve">Sumino, KC; Walter, MJ; Mikols, CL; Thompson, SA; Gaudreault-Keener, M; Arens, MQ; Agapov, E; Hormozdi, D; Gaynor, AM; Holtzman, MJ; Storch, GA</t>
  </si>
  <si>
    <t xml:space="preserve">Sumino, Kaharu C.; Walter, Michael J.; Mikols, Cassandra L.; Thompson, Samantha A.; Gaudreault-Keener, Monique; Arens, Max Q.; Agapov, Eugene; Hormozdi, David; Gaynor, Anne M.; Holtzman, Michael J.; Storch, Gregory A.</t>
  </si>
  <si>
    <t xml:space="preserve">Detection of respiratory viruses and the associated chemokine responses in serious acute respiratory illness</t>
  </si>
  <si>
    <t xml:space="preserve">Rhinovirus; Human bocavirus; Medicine; Human metapneumovirus; Respiratory system; Virology</t>
  </si>
  <si>
    <t xml:space="preserve">BRONCHIAL EPITHELIAL-CELLS; IMMUNOCOMPROMISED PATIENTS; RHINOVIRUS INFECTION; BRONCHOALVEOLAR LAVAGE; VIRAL-INFECTIONS; IN-VITRO; TRACT; RECEPTORS; EOTAXIN; ASTHMA</t>
  </si>
  <si>
    <t xml:space="preserve">Background A specific diagnosis of a lower respiratory viral infection is often difficult despite frequent clinical suspicion. This low diagnostic yield may be improved by use of sensitive detection methods and biomarkers. Methods The prevalence, clinical predictors and inflammatory mediator profile of respiratory viral infection in serious acute respiratory illness were investigated. Sequential bronchoalveolar lavage (BAL) fluids from all patients hospitalised with acute respiratory illness over 12 months (n=283) were tested for the presence of 17 respiratory viruses by multiplex PCR assay and for newly discovered respiratory viruses (bocavirus, WU and KI polyomaviruses) by single-target PCR. BAL samples also underwent conventional testing (direct immunoflorescence and viral culture) for respiratory virus at the clinician's discretion. 27 inflammatory mediators were measured in a subset of the patients (n=64) using a multiplex immunoassay. Results 39 respiratory viruses were detected in 37 (13.1% of total) patients by molecular testing, including rhinovirus (n=13), influenza virus (n=8), respiratory syncytial virus (n=6), human metapneumovirus (n=3), coronavirus NL63 (n=2), parainfluenza virus (n=2), adenovirus (n=1) and newly discovered viruses (n=4). Molecular methods were 3.8-fold more sensitive than conventional methods. Clinical characteristics alone were insufficient to separate patients with and without respiratory virus. The presence of respiratory virus was associated with increased levels of interferon gamma-inducible protein 10 (IP-10) (p&lt;0.001) and eotaxin-1 (p=0.017) in BAL. Conclusions Respiratory viruses can be found in patients with serious acute respiratory illness by use of PCR assays more frequently than previously appreciated. IP-10 may be a useful biomarker for respiratory viral infection.</t>
  </si>
  <si>
    <t xml:space="preserve">[Sumino, Kaharu C.; Walter, Michael J.; Mikols, Cassandra L.; Agapov, Eugene; Holtzman, Michael J.] Washington Univ, Sch Med, Dept Internal Med, St Louis, MO 63110 USA; [Thompson, Samantha A.; Gaudreault-Keener, Monique; Arens, Max Q.; Hormozdi, David; Storch, Gregory A.] Washington Univ, Sch Med, Dept Pediat, St Louis, MO 63110 USA; [Gaynor, Anne M.] Washington Univ, Sch Med, Dept Mol Microbiol, St Louis, MO 63110 USA</t>
  </si>
  <si>
    <t xml:space="preserve">Sumino, KC (corresponding author), Washington Univ, Sch Med, Dept Internal Med, 660 Euclid Ave,Campus Box 8052, St Louis, MO 63110 USA.</t>
  </si>
  <si>
    <t xml:space="preserve">US NIH [U54 AI057160]; Idaho Technology; Diagnostic Hybrids; Roche Molecular Diagnostics</t>
  </si>
  <si>
    <t xml:space="preserve">US NIH(United States Department of Health &amp; Human ServicesNational Institutes of Health (NIH) - USA); Idaho Technology; Diagnostic Hybrids; Roche Molecular Diagnostics</t>
  </si>
  <si>
    <t xml:space="preserve">US NIH grant U54 AI057160 to the Midwest Regional Centers of Excellence for Biodefense and Emerging Infectious Diseases Research (MRCE).GS received consultation fees from Idaho Technology, Diagnostic Hybrids, and Roche Molecular Diagnostics, and has received an honorarium from Abbott Laboratories. All other authors have no competing interests to report.</t>
  </si>
  <si>
    <t xml:space="preserve">B M J PUBLISHING GROUP</t>
  </si>
  <si>
    <t xml:space="preserve">10.1136/thx.2009.132480</t>
  </si>
  <si>
    <t xml:space="preserve">624GY</t>
  </si>
  <si>
    <t xml:space="preserve">Green Accepted, Green Submitted, Bronze</t>
  </si>
  <si>
    <t xml:space="preserve">WOS:000279806400016</t>
  </si>
  <si>
    <t xml:space="preserve">Parcina, M; Schneider, UV; Visseaux, B; Jozi, R; Hannet, I; Lisby, JG</t>
  </si>
  <si>
    <t xml:space="preserve">Parcina, Marijo; Schneider, Uffe Vest; Visseaux, Benoit; Jozi, Robert; Hannet, Irene; Lisby, Jan Gorm</t>
  </si>
  <si>
    <t xml:space="preserve">Multicenter evaluation of the QIAstat Respiratory Panel-A new rapid highly multiplexed PCR based assay for diagnosis of acute respiratory tract infections</t>
  </si>
  <si>
    <t xml:space="preserve">Human metapneumovirus; Human bocavirus; Mycoplasma pneumoniae; Rhinovirus; Medicine; Respiratory tract infections; Pneumonia; Streptococcus pneumoniae</t>
  </si>
  <si>
    <t xml:space="preserve">INTENSIVE-CARE-UNIT; VIRUSES; IMPACT; POINT; PNEUMONIA; INFLUENZA</t>
  </si>
  <si>
    <t xml:space="preserve">Acute respiratory tract infections (ARTI), including the common cold, pharyngitis, sinusitis, otitis media, bronchiolitis and pneumonia are the most common diagnoses among patients seeking medical care in western countries, and account for most antibiotic prescriptions. While a confirmed and fast ARTI diagnosis is key for antibiotic prescribing, empiric antimicrobial treatment remains common, because viral symptoms are often clinically similar and difficult to distinguish from those caused by bacteria. As a result, inappropriate antibiotic prescriptions are high and in certain settings likely higher than the commonly estimated 30%. The QIAstat Respiratory Panel (R) assay (QIAstat RP) is a multiplexed in vitro diagnostics test for the rapid simultaneous detection of 21 pathogens directly from respiratory samples, including human mastadenovirus A-G, primate bocaparvovirus 1+2, human coronavirus (HKU1, NL63, OC43, 229E), human metapneumovirus A/B, rhinovirus/enterovirus, influenza A virus (no subtype, subtype H1, H1N1/2009, H3), influenza B virus, human respirovirus 1+3, human orthorubulavirus 2+4, human orthopneumovirus, Bordetella pertussis, Chlamydia pneumoniae, Mycoplasma pneumoniae and Legionella pneumophila. We describe the first multicenter study of 445 respiratory samples, collected through the 2016-2017 and 2018 respiratory seasons, with performance compared against BioFire FilmArray RP v1.7 and discrepancy testing by Seegene Allplex RP. The QIAstat RP demonstrated a positive percentage of agreement of 98.0% (95% CI: 96.0-99.1%) and a negative percentage agreement of 99.8% (95% CI: 99.6-99.9%). With use of this comprehensive and rapid test, improved patient outcomes and antimicrobial stewardship may potentially be achieved.</t>
  </si>
  <si>
    <t xml:space="preserve">[Parcina, Marijo; Jozi, Robert] Univ Hosp Bonn, Inst Med Microbiol Immunol &amp; Parasitol, Bonn, Germany; [Schneider, Uffe Vest; Lisby, Jan Gorm] Copenhagen Univ Hosp Hvidovre, Dept Clin Microbiol, Hvidovre, Denmark; [Visseaux, Benoit] Univ Paris Diderot, Hop Bichat, AP HP, Lab Virol,Sorbonne Paris Cite,IAME,UMR 1137,INSER, Paris, France; [Hannet, Irene] STAT Dx Life Qiagen Parc Cient, Barcelona, Spain</t>
  </si>
  <si>
    <t xml:space="preserve">University of Bonn; University of Copenhagen; Assistance Publique Hopitaux Paris (APHP); Universite Paris Cite; Hopital Universitaire Bichat-Claude Bernard - APHP; Institut National de la Sante et de la Recherche Medicale (Inserm)</t>
  </si>
  <si>
    <t xml:space="preserve">Schneider, UV (corresponding author), Copenhagen Univ Hosp Hvidovre, Dept Clin Microbiol, Hvidovre, Denmark.</t>
  </si>
  <si>
    <t xml:space="preserve">uffe.vest.schneider@regionh.dk</t>
  </si>
  <si>
    <t xml:space="preserve">Lisby, Gorm/GMX-0386-2022; Parcina, Marijo/ABG-4659-2020; Schneider, Uffe Vest/GPT-3115-2022</t>
  </si>
  <si>
    <t xml:space="preserve">Parcina, Marijo/0009-0005-2275-633X; Visseaux, Benoit/0000-0002-9279-5538; Schneider, Uffe Vest/0000-0003-1372-7885</t>
  </si>
  <si>
    <t xml:space="preserve">Qiagen Company; STAT-Dx</t>
  </si>
  <si>
    <t xml:space="preserve">The study was sponsored by STAT-Dx Life (now a Qiagen Company). MP and BV have received funding for travel accomodations for a congress from STAT-Dx. BV has received fees from bioMerieux for scientific symposiums. JGL has received travel support from Qiagen. The funder provided support in the form of salaries for authors IH, but did not have any additional role in the study design, data collection and analysis, decision to publish, or preparation of the manuscript. The specific roles of these authors are articulated in the author contributions section.</t>
  </si>
  <si>
    <t xml:space="preserve">MAR 12</t>
  </si>
  <si>
    <t xml:space="preserve">e0230183</t>
  </si>
  <si>
    <t xml:space="preserve">10.1371/journal.pone.0230183</t>
  </si>
  <si>
    <t xml:space="preserve">LQ9AF</t>
  </si>
  <si>
    <t xml:space="preserve">WOS:000535288600065</t>
  </si>
  <si>
    <t xml:space="preserve">Green, DA; Hitoaliaj, L; Kotansky, B; Campbell, SM; Peaper, DR</t>
  </si>
  <si>
    <t xml:space="preserve">Green, Daniel A.; Hitoaliaj, Letiana; Kotansky, Brian; Campbell, Sheldon M.; Peaper, David R.</t>
  </si>
  <si>
    <t xml:space="preserve">Clinical Utility of On-Demand Multiplex Respiratory Pathogen Testing among Adult Outpatients</t>
  </si>
  <si>
    <t xml:space="preserve">Oseltamivir; Medicine; Medical prescription; Respiratory tract infections; Internal medicine; Antibiotics</t>
  </si>
  <si>
    <t xml:space="preserve">LENGTH-OF-STAY; SYNCYTIAL VIRUS; HUMAN METAPNEUMOVIRUS; RAPID DIAGNOSIS; TRACT INFECTION; RISK-FACTORS; CHILDREN; IMPACT; BRONCHIOLITIS; MANAGEMENT</t>
  </si>
  <si>
    <t xml:space="preserve">Multiplex tests for respiratory tract infections include up to 20 targets for common pathogens, predominantly viruses. A specific therapeutic intervention is available for individuals testing positive for influenza viruses (oseltamivir), and it is potentially beneficial to identify non-influenza viruses to avoid unnecessary antibiotic use. We evaluated antimicrobial prescriptions following respiratory pathogen testing among outpatients at a large Veterans Administration (VA) medical center. Results of the Film-Array respiratory panel (BioFire, Salt Lake City, UT) from 15 December 2014 to 15 April 2015 were evaluated among 408 outpatients, and patient medical records were reviewed. Differences in antibiotic and oseltamivir prescription rates were analyzed. Among 408 patients tested in outpatient centers (emergency departments, urgent care clinics, and outpatient clinics), 295 (72.3%) were managed as outpatients. Among these 295 outpatients, 105 (35.6%) tested positive for influenza virus, 109 (36.9%) tested positive for a non-influenza virus pathogen, and 81 (27.5%) had no respiratory pathogen detected. Rates of oseltamivir and antibiotic prescriptions were significantly different among the three test groups (chi-squared values of 167.6 [P &lt; 0.0001] and 10.48 [P = 0.005], respectively), but there was no significant difference in antibiotic prescription rates between the non-influenza virus pathogen group and those who tested negative (chi-square value, 0; P = 1.0). Among adult outpatients, testing positive for influenza virus was associated with receiving fewer antibiotic prescriptions, but no such effect was seen for those who tested positive for a non-influenza virus. These data suggest that testing for influenza viruses alone may be sufficient and more cost-effective than multiplex pathogen testing for outpatients.</t>
  </si>
  <si>
    <t xml:space="preserve">[Green, Daniel A.; Campbell, Sheldon M.; Peaper, David R.] Yale Sch Med, Dept Lab Med, New Haven, CT 06510 USA; [Green, Daniel A.; Campbell, Sheldon M.; Peaper, David R.] West Haven Vet Adm Hosp, Pathol &amp; Lab Med Serv, West Haven, CT 06516 USA; [Hitoaliaj, Letiana; Kotansky, Brian] West Haven Vet Adm Hosp, Serv Pharm, West Haven, CT 06516 USA; [Green, Daniel A.] Columbia Univ Coll Phys &amp; Surg, Dept Pathol &amp; Cell Biol, 630 W 168th St, New York, NY 10032 USA</t>
  </si>
  <si>
    <t xml:space="preserve">Yale University; Columbia University</t>
  </si>
  <si>
    <t xml:space="preserve">Peaper, DR (corresponding author), Yale Sch Med, Dept Lab Med, New Haven, CT 06510 USA.;Peaper, DR (corresponding author), West Haven Vet Adm Hosp, Pathol &amp; Lab Med Serv, West Haven, CT 06516 USA.</t>
  </si>
  <si>
    <t xml:space="preserve">david.peaper@yale.edu</t>
  </si>
  <si>
    <t xml:space="preserve">NCATS NIH HHS [UL1 TR001863] Funding Source: Medline</t>
  </si>
  <si>
    <t xml:space="preserve">10.1128/JCM.01579-16</t>
  </si>
  <si>
    <t xml:space="preserve">ED9RF</t>
  </si>
  <si>
    <t xml:space="preserve">WOS:000389209600017</t>
  </si>
  <si>
    <t xml:space="preserve">Krempl, CD; Wnekowicz, A; Lamirande, EW; Nayebagha, G; Collins, PL; Buchholz, UJ</t>
  </si>
  <si>
    <t xml:space="preserve">Krempl, Christine D.; Wnekowicz, Anna; Lamirande, Elaine W.; Nayebagha, Giw; Collins, Peter L.; Buchholz, Ursula J.</t>
  </si>
  <si>
    <t xml:space="preserve">Identification of a novel virulence factor in recombinant pneumonia virus of mice</t>
  </si>
  <si>
    <t xml:space="preserve">Biology; Virulence; Recombinant DNA; Virus; Virology; Mutant; Recombinant virus; Viral replication; Virulence factor</t>
  </si>
  <si>
    <t xml:space="preserve">RESPIRATORY SYNCYTIAL VIRUS; TRANSCRIPTION ELONGATION-FACTOR; HUMAN METAPNEUMOVIRUS LACKING; NONSTRUCTURAL PROTEINS NS1; SMALL HYDROPHOBIC SH; G-GLYCOPROTEIN; MESSENGER-RNA; IN-VITRO; PNEUMOVIRUS INFECTIONS; EPITHELIAL-CELLS</t>
  </si>
  <si>
    <t xml:space="preserve">Pneumonia virus of mice (PVM) is a murine relative of human respiratory syncytial virus (HRSV). Here we developed a reverse genetics system for PVM based on a consensus sequence for virulent strain 15. Recombinant PVM and a version engineered to express green fluorescent protein replicated as efficiently as the biological parent in vitro but were 4- and 12.5-fold attenuated in vivo, respectively. The G proteins of HRSV and PVM have been suggested to contribute to viral pathogenesis, but this had not been possible to study in a defined manner in a fully permissive host. As a first step, we evaluated recombinant mutants bearing a deletion of the entire G gene (Delta G) or expressing a G protein lacking its cytoplasmic tail (Gt). Both G mutants replicated as efficiently in vitro as their recombinant parent, but both were nonpathogenic in mice at doses that would otherwise be lethal. We could not detect replication of the Delta G mutant in mice, indicating that its attenuation is based on a severe reduction in the virus load. In contrast, the Gt mutant appeared to replicate as efficiently in mice as its recombinant parent. Thus, the reduction in virulence associated with the Gt mutant could not be accounted for by a reduction in viral replication. These results identified the cytoplasmic tail of G as a virulence factor whose effect is not mediated solely by the viral load. In addition to its intrinsic interest, a recombinant virus that replicates with wild-type-like efficiency but does not cause disease defines optimal properties for vaccine development.</t>
  </si>
  <si>
    <t xml:space="preserve">Univ Freiburg, Inst Med Microbiol &amp; Hyg, Dept Virol, Freiburg, Germany; NIAID, Infect Dis Lab, Bethesda, MD 20892 USA</t>
  </si>
  <si>
    <t xml:space="preserve">University of Freiburg; National Institutes of Health (NIH) - USA; NIH National Institute of Allergy &amp; Infectious Diseases (NIAID)</t>
  </si>
  <si>
    <t xml:space="preserve">Krempl, CD (corresponding author), Univ Wurzburg, Inst Immunol &amp; Virol, Versbacher Str 7, D-97078 Wurzburg, Germany.</t>
  </si>
  <si>
    <t xml:space="preserve">ckrempl@vim.uni-wuerzburg.de</t>
  </si>
  <si>
    <t xml:space="preserve">Krempl, Christine/O-2081-2015; Buchholz, Ursula/AAA-4547-2022</t>
  </si>
  <si>
    <t xml:space="preserve">10.1128/JVI.00364-07</t>
  </si>
  <si>
    <t xml:space="preserve">202SL</t>
  </si>
  <si>
    <t xml:space="preserve">WOS:000248923700062</t>
  </si>
  <si>
    <t xml:space="preserve">Chakhunashvili, G; Wagner, AL; Power, LE; Janusz, CB; Machablishvili, A; Karseladze, I; Tarkhan-Mouravi, O; Zakhashvili, K; Imnadze, P; Gray, GC; Anderson, B; Boulton, ML</t>
  </si>
  <si>
    <t xml:space="preserve">Chakhunashvili, Giorgi; Wagner, Abram L.; Power, Laura E.; Janusz, Cara B.; Machablishvili, Ann; Karseladze, Irakil; Tarkhan-Mouravi, Olgha; Zakhashvili, Khatuna; Imnadze, Paata; Gray, Gregory C.; Anderson, Benjamin; Boulton, Matthew L.</t>
  </si>
  <si>
    <t xml:space="preserve">Severe Acute Respiratory Infection (SARI) sentinel surveillance in the country of Georgia, 2015-2017</t>
  </si>
  <si>
    <t xml:space="preserve">Medicine; Vaccination; Etiology; Mycoplasma pneumoniae; Rhinovirus</t>
  </si>
  <si>
    <t xml:space="preserve">PNEUMONIA REQUIRING HOSPITALIZATION; INFLUENZA; BURDEN</t>
  </si>
  <si>
    <t xml:space="preserve">Background Severe Acute Respiratory Infection (SARI) causes substantial mortality and morbidity worldwide. The country of Georgia conducts sentinel surveillance to monitor SARI activity and changes in its infectious etiology. This study characterizes the epidemiology of SARI in Georgia over the 2015/16 and 2016/17 influenza seasons, compares clinical presentations by etiology, and estimates influenza vaccine effectiveness using a test-negative design. Methods SARI cases were selected through alternate day systematic sampling between September 2015 and March 2017 at five sentinel surveillance inpatient sites. Nasopharyngeal swabs were tested for respiratory viruses and Mycoplasma pneumoniae using a multiplex diagnostic system. We present SARI case frequencies by demographic characteristics, co-morbidities, and clinical presentation, and used logistic regression to estimate influenza A vaccine effectiveness. Results 1,624 patients with SARI were identified. More cases occurred in February (28.7%; 466/1624) than other months. Influenza was the dominant pathogen in December-February, respiratory syncytial virus in March-May, and rhinovirus in June-November. Serious clinical symptoms including breathing difficulties, ICU hospitalization, and artificial ventilation were common among influenza A and human metapneumovirus cases. For influenza A/H3, a protective association between vaccination and disease status was observed when cases with unknown vaccination status were combined with those who were unvaccinated (OR: 0.53, 95% CI: 0.30, 0.97). Conclusions Multi-pathogen diagnostic testing through Georgia's sentinel surveillance provides useful information on etiology, seasonality, and demographic associations. Influenza A and B were associated with more severe outcomes, although the majority of the population studied was unvaccinated. Findings from sentinel surveillance can assist in prevention planning.</t>
  </si>
  <si>
    <t xml:space="preserve">[Chakhunashvili, Giorgi; Machablishvili, Ann; Karseladze, Irakil; Tarkhan-Mouravi, Olgha; Zakhashvili, Khatuna; Imnadze, Paata] Natl Ctr Dis Control &amp; Publ Hlth, Tbilisi, Georgia; [Wagner, Abram L.; Power, Laura E.; Janusz, Cara B.; Boulton, Matthew L.] Univ Michigan, Sch Publ Hlth, Dept Epidemiol, Ann Arbor, MI 48109 USA; [Power, Laura E.; Boulton, Matthew L.] Univ Michigan Med Sch, Dept Internal Med, Div Infect Dis, Ann Arbor, MI USA; [Gray, Gregory C.] Duke Univ, Sch Med, Div Infect Dis, Global Hlth Inst, Durham, NC USA; [Gray, Gregory C.; Anderson, Benjamin] Duke Kunshan Univ, Global Hlth Res Ctr, Kunshan, Peoples R China; [Gray, Gregory C.] Duke NUS Med Sch, Program Emerging Infect Dis, Singapore, Singapore</t>
  </si>
  <si>
    <t xml:space="preserve">National Center for Disease Control &amp; Public Health - Georgia; University of Michigan System; University of Michigan; University of Michigan System; University of Michigan; Duke University; Duke Kunshan University; National University of Singapore</t>
  </si>
  <si>
    <t xml:space="preserve">Wagner, AL (corresponding author), Univ Michigan, Sch Publ Hlth, Dept Epidemiol, Ann Arbor, MI 48109 USA.</t>
  </si>
  <si>
    <t xml:space="preserve">awag@umich.edu</t>
  </si>
  <si>
    <t xml:space="preserve">Gray, Gregory/ABF-1298-2020; Wagner, Abram/X-6379-2019</t>
  </si>
  <si>
    <t xml:space="preserve">Chakhunashvili, Giorgi/0009-0004-4083-7160; Wagner, Abram/0000-0003-4691-7802; Boulton, Matthew/0000-0002-0565-9010</t>
  </si>
  <si>
    <t xml:space="preserve">Department of Defense Global Emerging Infections Surveillance section (PI: GCG) [W81XWJ-13-D-0023-01]; PhRMA Foundation; U.S. government, Cooperative Biological Engagement Program; CRDF Global</t>
  </si>
  <si>
    <t xml:space="preserve">Department of Defense Global Emerging Infections Surveillance section (PI: GCG)(United States Department of Defense); PhRMA Foundation; U.S. government, Cooperative Biological Engagement Program; CRDF Global</t>
  </si>
  <si>
    <t xml:space="preserve">The development of this study was supported by grant W81XWJ-13-D-0023-01 from the Department of Defense Global Emerging Infections Surveillance section (PI: GCG). ALW's salary was funded through a fellowship from the PhRMA Foundation. This publication is sponsored by the U.S. government, Cooperative Biological Engagement Program with support from CRDF Global. The content of the information does not necessarily reflect the position or the policy of the federal government, and no official endorsement should be inferred. The funders had no role in study design, data collection and analysis, decision to publish, or preparation of the manuscript.</t>
  </si>
  <si>
    <t xml:space="preserve">e0201497</t>
  </si>
  <si>
    <t xml:space="preserve">10.1371/journal.pone.0201497</t>
  </si>
  <si>
    <t xml:space="preserve">GO7MT</t>
  </si>
  <si>
    <t xml:space="preserve">WOS:000440251600047</t>
  </si>
  <si>
    <t xml:space="preserve">Cia, CT; Lin, IT; Lee, JC; Tsai, HP; Wang, JR; Ko, WC</t>
  </si>
  <si>
    <t xml:space="preserve">Cia, Cong-Tat; Lin, I-Ting; Lee, Jen-Chieh; Tsai, Huey-Pin; Wang, Jen-Ren; Ko, Wen-Chien</t>
  </si>
  <si>
    <t xml:space="preserve">Respiratory viral infections in pragmatically selected adults in intensive care units</t>
  </si>
  <si>
    <t xml:space="preserve">Human metapneumovirus; Rhinovirus; Respiratory tract infections; Medicine; Human Parainfluenza Virus; Respiratory system; Virology</t>
  </si>
  <si>
    <t xml:space="preserve">COMMUNITY-ACQUIRED PNEUMONIA; BRONCHOALVEOLAR LAVAGE; ASPIRATION PNEUMONIA; ANTIBIOTIC USE; SINGLE-CENTER; VIRUSES; IMPACT; PATHOGENS; ASSOCIATION; BURDEN</t>
  </si>
  <si>
    <t xml:space="preserve">Respiratory viruses can be detected in 18.3 to 48.9% of critically ill adults with severe respiratory tract infections (RTIs). The present study aims to assess the clinical significance of respiratory viruses in pragmatically selected adults in medical intensive care unit patients and to identify factors associated with viral respiratory viral tract infections (VRTIs). We conducted a prospective study on critically ill adults with suspected RTIs without recognized respiratory pathogens. Viral cultures with monoclonal antibody identification, in-house real-time polymerase chain reaction (PCR) for influenza virus, and FilmArray respiratory panel were used to detect viral pathogens. Multivariable logistic regression was applied to identify factors associated with VRTIs. Sixty-four (40.5%) of the included 158 critically ill adults had respiratory viruses detected in their respiratory specimens. The commonly detected viruses included influenza virus (20), followed by human rhinovirus/enterovirus (11), respiratory syncitial virus (9), human metapneumovirus (9), human parainfluenza viruses (8), human adenovirus (7), and human coronaviruses (2). The FilmArray respiratory panel detected respiratory viruses in 54 (34.6%) patients, but showed negative results for seven of 13 patients with influenza A/H3 infection. In the multivariable logistic regression model, patient characters associated with VRTIs included those aged &lt; 65 years, household contact with individuals with upper RTI, the presence of fever, cough with sputum production, and sore throat. Respiratory viruses were not uncommonly detected in the pragmatically selected adults with critical illness. The application of multiplex PCR testing for respiratory viruses in selected patient population is a practical strategy, and the viral detection rate could be further improved by the patient characters recognized in this study.</t>
  </si>
  <si>
    <t xml:space="preserve">[Cia, Cong-Tat; Lee, Jen-Chieh] Natl Cheng Kung Univ, Coll Med, Natl Cheng Kung Univ Hosp, Div Crit Care Med,Dept Internal Med, Tainan, Taiwan; [Cia, Cong-Tat; Ko, Wen-Chien] Natl Cheng Kung Univ, Natl Cheng Kung Univ Hosp, Coll Med, Ctr Infect Control, Tainan, Taiwan; [Lin, I-Ting; Tsai, Huey-Pin; Wang, Jen-Ren] Natl Cheng Kung Univ, Natl Cheng Kung Univ Hosp, Coll Med, Dept Pathol, Tainan, Taiwan; [Tsai, Huey-Pin; Wang, Jen-Ren] Natl Cheng Kung Univ, Dept Med Lab Sci &amp; Biotechnol, Tainan, Taiwan; [Wang, Jen-Ren] Natl Cheng Kung Univ, Ctr Infect Dis &amp; Signaling Res, Tainan, Taiwan; [Wang, Jen-Ren] Natl Hlth Res Inst, Natl Inst Infect Dis &amp; Vaccinol, Tainan, Taiwan; [Ko, Wen-Chien] Natl Cheng Kung Univ, Coll Med, Natl Cheng Kung Univ Hosp, Div Infect Dis,Dept Internal Med, 138 Sheng Li Rd, Tainan 704, Taiwan; [Ko, Wen-Chien] Natl Cheng Kung Univ, Coll Med, Dept Med, Tainan, Taiwan</t>
  </si>
  <si>
    <t xml:space="preserve">National Cheng Kung University; National Cheng Kung University Hospital; National Cheng Kung University; National Cheng Kung University Hospital; National Cheng Kung University; National Cheng Kung University Hospital; National Cheng Kung University; National Cheng Kung University; National Health Research Institutes - Taiwan; National Cheng Kung University; National Cheng Kung University Hospital; National Cheng Kung University</t>
  </si>
  <si>
    <t xml:space="preserve">Ko, WC (corresponding author), Natl Cheng Kung Univ, Natl Cheng Kung Univ Hosp, Coll Med, Ctr Infect Control, Tainan, Taiwan.;Ko, WC (corresponding author), Natl Cheng Kung Univ, Coll Med, Natl Cheng Kung Univ Hosp, Div Infect Dis,Dept Internal Med, 138 Sheng Li Rd, Tainan 704, Taiwan.;Ko, WC (corresponding author), Natl Cheng Kung Univ, Coll Med, Dept Med, Tainan, Taiwan.</t>
  </si>
  <si>
    <t xml:space="preserve">winston3415@gmail.com</t>
  </si>
  <si>
    <t xml:space="preserve">Wang, Jen-Ren/F-5254-2011; Ko, Wen-Chien/ABG-4316-2020</t>
  </si>
  <si>
    <t xml:space="preserve">Ko, Wen-Chien/0000-0001-7497-149X; Cia, Cong-Tat/0000-0002-1552-1082; Lin, Ying-Jun/0000-0002-4906-0974</t>
  </si>
  <si>
    <t xml:space="preserve">National Cheng Kung University Hospital [NCKUH-10608008]</t>
  </si>
  <si>
    <t xml:space="preserve">National Cheng Kung University Hospital</t>
  </si>
  <si>
    <t xml:space="preserve">The study was funded by National Cheng Kung University Hospital (NCKUH-10608008). The BioFire Filmarray respiratory panel test kits were sponsored by Wei Mao Co., Ltd. (Taiwan).</t>
  </si>
  <si>
    <t xml:space="preserve">OCT 8</t>
  </si>
  <si>
    <t xml:space="preserve">10.1038/s41598-021-99608-y</t>
  </si>
  <si>
    <t xml:space="preserve">WD9HN</t>
  </si>
  <si>
    <t xml:space="preserve">WOS:000705243600021</t>
  </si>
  <si>
    <t xml:space="preserve">Suzuki, A; Lupisan, S; Furuse, Y; Fuji, N; Saito, M; Tamaki, R; Galang, H; Sombrero, L; Mondoy, M; Aniceto, R; Olveda, R; Oshitani, H</t>
  </si>
  <si>
    <t xml:space="preserve">Suzuki, Akira; Lupisan, Socorro; Furuse, Yuki; Fuji, Naoko; Saito, Mariko; Tamaki, Raita; Galang, Hazel; Sombrero, Lydia; Mondoy, Melisa; Aniceto, Rapunzel; Olveda, Remigio; Oshitani, Hitoshi</t>
  </si>
  <si>
    <t xml:space="preserve">Respiratory viruses from hospitalized children with severe pneumonia in the Philippines</t>
  </si>
  <si>
    <t xml:space="preserve">Human metapneumovirus; Human bocavirus; Pneumonia; Streptococcus pneumoniae; Medical microbiology; Rhinovirus; Haemophilus influenzae; Medicine; Virology</t>
  </si>
  <si>
    <t xml:space="preserve">INFLUENZA-LIKE ILLNESS; HUMAN RHINOVIRUS C; CHILDHOOD PNEUMONIA; INTEGRATED MANAGEMENT; TRACT INFECTION; GROUP-A; COMMUNITY; IDENTIFICATION; ETIOLOGY; STRAINS</t>
  </si>
  <si>
    <t xml:space="preserve">Background: Pneumonia remains a leading cause of child death in developing countries. The viruses in severe pneumonia remain poorly defined. Methods: The study was conducted at the Eastern Visayas Regional Medical Center in Tacloban City, Philippines from May 2008 to May 2009. Patients aged 8 days to 13 years old who were admitted to the Department of Pediatrics with severe pneumonia were enrolled for the study. Upon admission, polymerase chain reaction was performed using nasopharyngeal swabs and blood cultures to detect respiratory viruses and bacteria, respectively. Result: Among the 819 patients enrolled, at least one virus was detected in 501 cases (61.2%). In addition, 423 cases were positive for a single virus while bacteria were detected in the blood culture sample of 31 cases. The most commonly detected viruses were human rhinoviruses (n = 189), including types A (n = 103), B (n = 17), and C (n = 69), and respiratory syncytial virus (RSV) (n = 165). Novel viruses such as human metapneumovirus, human coronavirus NL63, human bocavirus, and human polyomaviruses WU and KI were also detected. There were 70 deaths, and one or more viruses were detected in 35 (50%) of these cases. Positivity only for influenza A virus (OR = 4.3, 95% CI = 1.3-14.6) was significantly associated with fatal outcome. From the blood culture, Burkholderia cepacia group (n = 9), Streptococcus pneumoniae (n = 4), Staphylococcus aureus (n = 4), Haemophilus influenzae (n = 1), and Salmonella C1 (n = 1) were also isolated. Conclusion: Viruses were commonly detected in children with severe pneumonia in the Philippines. Hence, viral etiologies should be considered while developing better effective strategies to reduce child pneumonia-related deaths in developing countries.</t>
  </si>
  <si>
    <t xml:space="preserve">[Suzuki, Akira; Furuse, Yuki; Fuji, Naoko; Oshitani, Hitoshi] Tohoku Univ, Grad Sch Med, Dept Virol, Aoba Ku, Sendai, Miyagi 9808575, Japan; [Lupisan, Socorro; Galang, Hazel; Sombrero, Lydia; Mondoy, Melisa; Olveda, Remigio] FILINVEST Corp City, Dept Hlth Compound, Res Inst Trop Med, Muntinlupa, Philippines; [Saito, Mariko; Tamaki, Raita; Aniceto, Rapunzel] FILINVEST Corp City, Dept Hlth Compound, Collaborating Res Ctr Emerging &amp; Reemerging Infec, Muntinlupa, Philippines</t>
  </si>
  <si>
    <t xml:space="preserve">Suzuki, A (corresponding author), Tohoku Univ, Grad Sch Med, Dept Virol, Aoba Ku, 2-1 Seiryo Machi, Sendai, Miyagi 9808575, Japan.</t>
  </si>
  <si>
    <t xml:space="preserve">suzukia@med.tohoku.ac.jp</t>
  </si>
  <si>
    <t xml:space="preserve">Japan Initiative for Global Research Network on Infectious Diseases (J-GRID) through the Tohoku-RITM Collaborating Center on Emerging and Reemerging Diseases</t>
  </si>
  <si>
    <t xml:space="preserve">This work was supported by the Japan Initiative for Global Research Network on Infectious Diseases (J-GRID) through the Tohoku-RITM Collaborating Center on Emerging and Reemerging Diseases. We thank our colleagues at EVRMC, RITM, and the Department of Virology Tohoku University Graduate School of Medicine for technical assistance. We especially thank Dr. Michiko Okamoto, Dr. Nobuko Sato and Dr. Chandra Nath Roy for technical assistance.</t>
  </si>
  <si>
    <t xml:space="preserve">10.1186/1471-2334-12-267</t>
  </si>
  <si>
    <t xml:space="preserve">054WB</t>
  </si>
  <si>
    <t xml:space="preserve">WOS:000312374700001</t>
  </si>
  <si>
    <t xml:space="preserve">Soccal, PM; Aubert, JD; Bridevaux, PO; Garbino, J; Thomas, Y; Rochat, T; Rochat, TS; Meylan, P; Tapparel, C; Kaiser, L</t>
  </si>
  <si>
    <t xml:space="preserve">Soccal, P. M.; Aubert, J. -D.; Bridevaux, P. -O.; Garbino, J.; Thomas, Y.; Rochat, T.; Rochat, T. S.; Meylan, P.; Tapparel, C.; Kaiser, L.</t>
  </si>
  <si>
    <t xml:space="preserve">Upper and Lower Respiratory Tract Viral Infections and Acute Graft Rejection in Lung Transplant Recipients</t>
  </si>
  <si>
    <t xml:space="preserve">Medicine; Bronchoalveolar lavage; Lung transplantation; Respiratory tract; Respiratory system; Respiratory tract infections; Lung</t>
  </si>
  <si>
    <t xml:space="preserve">HUMAN METAPNEUMOVIRUS INFECTION; PARAINFLUENZA VIRUS-INFECTION; BRONCHIOLITIS OBLITERANS; CLINICAL IMPACT; BRONCHOALVEOLAR LAVAGE; SYNCYTIAL VIRUS; EPIDEMIOLOGY; INFLUENZA; DIAGNOSIS; ETIOLOGY</t>
  </si>
  <si>
    <t xml:space="preserve">Background. Lung transplant recipients are frequently exposed to respiratory viruses and are particularly at risk for severe complications. The aim of this study was to assess the association among the presence of a respiratory virus detected by molecular assays in bronchoalveolar lavage (BAL) fluid, respiratory symptoms, and acute rejection in adult lung transplant recipients. Methods. Upper (nasopharyngeal swab) and lower (BAL) respiratory tract specimens from 77 lung transplant recipients enrolled in a cohort study and undergoing bronchoscopy with BAL and transbronchial biopsies were screened using 17 different polymerase chain reaction-based assays. Results. BAL fluid and biopsy specimens from 343 bronchoscopic procedures performed in 77 patients were analyzed. We also compared paired nasopharyngeal and BAL fluid specimens collected in a subgroup of 283 cases. The overall viral positivity rate was 29.3% in the upper respiratory tract specimens and 17.2% in the BAL samples (). We observed a significant association P &lt; .001 between the presence of respiratory symptoms and positive viral detection in the lower respiratory tract (Pp. 012). Conversely, acute rejection was not associated with the presence of viral infection (odds ratio, 0.41; 95% confidence interval, 0.20-0.88). The recovery of lung function was significantly slower when acute rejection and viral infection were both present. Conclusions. A temporal relationship exists between acute respiratory symptoms and positive viral nucleic acid detection in BAL fluid from lung transplant recipients. We provide evidence suggesting that respiratory viruses are not associated with acute graft rejection during the acute phase of infection.</t>
  </si>
  <si>
    <t xml:space="preserve">[Soccal, P. M.] Univ Hosp Geneva, Dept Internal Med, Div Pulm Med, CH-1211 Geneva 14, Switzerland; [Soccal, P. M.] Univ Hosp Geneva, Clin Thorac Surg, CH-1211 Geneva 14, Switzerland; [Garbino, J.; Thomas, Y.; Rochat, T. S.; Tapparel, C.; Kaiser, L.] Univ Hosp Geneva, Div Infect Dis, CH-1211 Geneva 14, Switzerland; [Thomas, Y.; Rochat, T. S.; Tapparel, C.; Kaiser, L.] Univ Hosp Geneva, Virol Lab, CH-1211 Geneva 14, Switzerland; [Thomas, Y.; Rochat, T. S.; Tapparel, C.; Kaiser, L.] Univ Hosp Geneva, Div Lab Med, CH-1211 Geneva 14, Switzerland; [Thomas, Y.; Rochat, T. S.; Tapparel, C.; Kaiser, L.] Univ Geneva, Sch Med, CH-1211 Geneva, Switzerland; [Aubert, J. -D.] Univ Lausanne Hosp, Div Pulm Med, Lausanne, Switzerland; [Meylan, P.] Univ Lausanne Hosp, Inst Microbiol, Lausanne, Switzerland; [Meylan, P.] Univ Lausanne Hosp, Div Infect Dis, Lausanne, Switzerland</t>
  </si>
  <si>
    <t xml:space="preserve">University of Geneva; University of Geneva; University of Geneva; University of Geneva; University of Geneva; University of Geneva; University of Lausanne; Centre Hospitalier Universitaire Vaudois (CHUV); University of Lausanne; Centre Hospitalier Universitaire Vaudois (CHUV); University of Lausanne; Centre Hospitalier Universitaire Vaudois (CHUV)</t>
  </si>
  <si>
    <t xml:space="preserve">Soccal, PM (corresponding author), Univ Hosp Geneva, Dept Internal Med, Div Pulm Med, 4 Rue Gabrielle Perret Gentil, CH-1211 Geneva 14, Switzerland.</t>
  </si>
  <si>
    <t xml:space="preserve">paola.soccal@hcuge.ch</t>
  </si>
  <si>
    <t xml:space="preserve">Bridevaux, Pierre-Olivier/AAN-8046-2021; Aubert, John-David/H-5561-2019</t>
  </si>
  <si>
    <t xml:space="preserve">Bridevaux, Pierre-Olivier/0000-0002-8021-0950; Kaiser, Laurent/0000-0002-0857-2252; Tapparel Vu, Caroline/0000-0002-0411-6567; Aubert, John-David/0000-0001-8856-4000</t>
  </si>
  <si>
    <t xml:space="preserve">Swiss National Science Foundation (grant 3200B-101670 to L.K.).</t>
  </si>
  <si>
    <t xml:space="preserve">10.1086/653529</t>
  </si>
  <si>
    <t xml:space="preserve">612UQ</t>
  </si>
  <si>
    <t xml:space="preserve">WOS:000278929900007</t>
  </si>
  <si>
    <t xml:space="preserve">Habbous, S; Hota, S; Allen, VG; Henry, M; Hellsten, E</t>
  </si>
  <si>
    <t xml:space="preserve">Habbous, Steven; Hota, Susy; Allen, Vanessa; Henry, Michele; Hellsten, Erik</t>
  </si>
  <si>
    <t xml:space="preserve">Changes in hospitalizations and emergency department respiratory viral diagnosis trends before and during the COVID-19 pandemic in Ontario, Canada</t>
  </si>
  <si>
    <t xml:space="preserve">Human metapneumovirus; Medicine; Rhinovirus; Emergency department; Pandemic</t>
  </si>
  <si>
    <t xml:space="preserve">IntroductionPopulation-level surveillance systems have demonstrated reduced transmission of non-SARS-CoV-2 respiratory viruses during the COVID-19 pandemic. In this study, we examined whether this reduction translated to reduced hospital admissions and emergency department (ED) visits associated with influenza, respiratory syncytial virus (RSV), human metapneumovirus, human parainfluenza virus, adenovirus, rhinovirus/enterovirus, and common cold coronavirus in Ontario. MethodsHospital admissions were identified from the Discharge Abstract Database and exclude elective surgical admissions and non-emergency medical admissions (January 2017-March 2022). Emergency department (ED) visits were identified from the National Ambulatory Care Reporting System. International Classification of Diseases (ICD-10) codes were used to classify hospital visits by virus type (January 2017-May 2022). ResultsAt the onset of the COVID-19 pandemic, hospitalizations for all viruses were reduced to near-trough levels. Hospitalizations and ED visits for influenza (9,127/year and 23,061/year, respectively) were nearly absent throughout the pandemic (two influenza seasons; April 2020-March 2022). Hospitalizations and ED visits for RSV (3,765/year and 736/year, respectively) were absent for the first RSV season during the pandemic, but returned for the 2021/2022 season. This resurgence of hospitalizations for RSV occurred earlier in the season than expected, was more likely among younger infants (age &amp; LE;6 months), more likely among older children (aged 6.1-24 months), and less likely to comprise of patients residing in higher areas of ethnic diversity (p&lt;0.0001). ConclusionDuring the COVID-19 pandemic, there was a reduced the burden of other respiratory infections on patients and hospitals. The epidemiology of respiratory viruses in the 2022/23 season remains to be seen.</t>
  </si>
  <si>
    <t xml:space="preserve">[Habbous, Steven; Allen, Vanessa; Henry, Michele; Hellsten, Erik] Ontario Hlth Strateg Analyt, Toronto, ON, Canada; [Habbous, Steven] Western Univ, Epidemiol &amp; Biostat, London, ON, Canada; [Hota, Susy; Allen, Vanessa] Univ Hlth Network, Dept Med, Div Infect Dis, Toronto, ON, Canada; [Allen, Vanessa] Univ Hlth Network, Sinai Hlth, Dept Microbiol, Toronto, ON, Canada</t>
  </si>
  <si>
    <t xml:space="preserve">Western University (University of Western Ontario); University of Toronto; University Health Network Toronto; University of Toronto; Sinai Health System Toronto; University Health Network Toronto</t>
  </si>
  <si>
    <t xml:space="preserve">Habbous, S (corresponding author), Ontario Hlth Strateg Analyt, Toronto, ON, Canada.;Habbous, S (corresponding author), Western Univ, Epidemiol &amp; Biostat, London, ON, Canada.</t>
  </si>
  <si>
    <t xml:space="preserve">steven.habbous@ontariohealth.ca</t>
  </si>
  <si>
    <t xml:space="preserve">Habbous, Steven/0000-0002-9650-9105</t>
  </si>
  <si>
    <t xml:space="preserve">JUN 16</t>
  </si>
  <si>
    <t xml:space="preserve">e0287395</t>
  </si>
  <si>
    <t xml:space="preserve">10.1371/journal.pone.0287395</t>
  </si>
  <si>
    <t xml:space="preserve">M4IP6</t>
  </si>
  <si>
    <t xml:space="preserve">WOS:001029859700028</t>
  </si>
  <si>
    <t xml:space="preserve">Kim, MC; Kweon, OJ; Lim, YK; Choi, SH; Chung, JW; Lee, MK</t>
  </si>
  <si>
    <t xml:space="preserve">Kim, Min-Chul; Kweon, Oh Joo; Lim, Yong Kwan; Choi, Seong-Ho; Chung, Jin-Won; Lee, Mi-Kyung</t>
  </si>
  <si>
    <t xml:space="preserve">Impact of social distancing on the spread of common respiratory viruses during the coronavirus disease outbreak</t>
  </si>
  <si>
    <t xml:space="preserve">Social distance; Virology; Virus</t>
  </si>
  <si>
    <t xml:space="preserve">ADULT PATIENTS; RHINOVIRUSES</t>
  </si>
  <si>
    <t xml:space="preserve">During the coronavirus disease (COVID-19) pandemic, social distancing was effective in controlling disease spread across South Korea. The impact of national social distancing on the spread of common respiratory virus infections has rarely been investigated. We evaluated the weekly proportion of negative respiratory virus polymerase chain reaction (PCR) test results and weekly positive rates of each respiratory virus during the social distancing period (10th-41st weeks of 2020) and the corresponding period in different years, utilizing the national respiratory virus surveillance dataset reported by the Korean Center for Disease Control and Prevention. The proportions of negative respiratory virus PCR test results increased up to 87.8% and 86.1% during level 3 and level 2 of the social distancing period, respectively. The higher the level of social distancing, the higher the proportion of negative respiratory virus PCR test results. During the social distancing period, the mean weekly positive rates for parainfluenza virus, influenza virus, human coronavirus, and human metapneumovirus were significantly lower than those during the same period in 2015-2019 (0.1% vs. 9.3%, P &lt;0.001; 0.1% vs. 7.2%, P &lt;0.001; 0.4% vs. 2.3%, P &lt;0.001; and 0.2% vs. 5.3%, P &lt;0.001, respectively). The mean positive rate for rhinovirus/enterovirus during level 3 social distancing was lower than that in the same period in 2015-2019 (8.5% vs. 19.0%, P &lt;0.001), but the rate during level 1 social distancing was higher than that in the same period in 2015-2019 (38.3% vs. 19.4%, P &lt;0.001). The national application of social distancing reduced the spread of common respiratory virus infections during the COVID-19 pandemic.</t>
  </si>
  <si>
    <t xml:space="preserve">[Kim, Min-Chul; Choi, Seong-Ho; Chung, Jin-Won] Chung Ang Univ, Chung Ang Univ Hosp, Coll Med, Div Infect Dis,Dept Internal Med, Seoul, South Korea; [Kweon, Oh Joo; Lim, Yong Kwan; Lee, Mi-Kyung] Chung Ang Univ, Chung Ang Univ Hosp, Coll Med, Dept Lab Med, Seoul, South Korea</t>
  </si>
  <si>
    <t xml:space="preserve">Choi, SH (corresponding author), Chung Ang Univ, Chung Ang Univ Hosp, Coll Med, Div Infect Dis,Dept Internal Med, Seoul, South Korea.</t>
  </si>
  <si>
    <t xml:space="preserve">choi, sangho/KBQ-3756-2024; Lim, Yong Kwan/AAD-9243-2022</t>
  </si>
  <si>
    <t xml:space="preserve">Lim, Yong Kwan/0000-0002-4300-8964; Choi, Seong-Ho/0000-0001-8108-2412; Kweon, Oh Joo/0000-0003-4751-7384</t>
  </si>
  <si>
    <t xml:space="preserve">National Research Foundation of Korea - Korean Government [2019R1C1C006417]</t>
  </si>
  <si>
    <t xml:space="preserve">National Research Foundation of Korea - Korean Government(National Research Foundation of KoreaKorean Government)</t>
  </si>
  <si>
    <t xml:space="preserve">This work was supported by a National Research Foundation of Korea grant funded by the Korean Government (2019R1C1C006417). The funders had no role in study design, data collection, and analysis, decision to publish, or preparation of the manuscript.</t>
  </si>
  <si>
    <t xml:space="preserve">e0252963</t>
  </si>
  <si>
    <t xml:space="preserve">10.1371/journal.pone.0252963</t>
  </si>
  <si>
    <t xml:space="preserve">SW6SI</t>
  </si>
  <si>
    <t xml:space="preserve">WOS:000664643500019</t>
  </si>
  <si>
    <t xml:space="preserve">Gurgel, RQ; Bezerra, PGD; Duarte, MDMB; Moura, AA; Souza, EL; Silva, LSD; Suzuki, CE; Peixoto, RB</t>
  </si>
  <si>
    <t xml:space="preserve">Gurgel, Ricardo Queiroz; de Matos Bezerra, Patricia Gomes; Menezes Bezerra Duarte, Maria do Carmo; Moura, Adriana Avila; Souza, Edna Lucia; da Silveira Silva, Luciana Sobral; Suzuki, Claudia Eiko; Peixoto, Rodrigo Buzzatti</t>
  </si>
  <si>
    <t xml:space="preserve">Relative frequency, Possible Risk Factors, Viral Codetection Rates, and Seasonality of Respiratory Syncytial Virus Among Children With Lower Respiratory Tract Infection in Northeastern Brazil</t>
  </si>
  <si>
    <t xml:space="preserve">Rhinovirus; Medicine; Respiratory tract infections; Virus; Human metapneumovirus; Lower respiratory tract infection; Respiratory system</t>
  </si>
  <si>
    <t xml:space="preserve">EPIDEMIOLOGIC ASPECTS; HUMAN METAPNEUMOVIRUS; SOUTHEAST; CITY; HOSPITALIZATION; SURVEILLANCE; ADENOVIRUS; INFLUENZA; SEVERITY; PCR</t>
  </si>
  <si>
    <t xml:space="preserve">Few studies, each limited to a single major city, have investigated the prevalence and seasonal patterns of different viruses among children with low respiratory tract infections (LRTI) in Northeastern Brazil. The aim of this study was to determine the frequency of respiratory syncytial virus (RSV) and of 7 other viruses in children for LRTI in 4 capitals from this region, and investigate their association with several risk factors, including meteorological data. From April 2012 to March 2013, 507 children, aged up to 24 months and hospitalized with LRTI in one of the participating centers at Aracaju, Salvador, Recife, and Maceio, had a sample of nasopharyngeal aspirate collected and analyzed for the following viruses by reverse-transcription polymerase chain reaction followed by hybridization on low-density microarrays: RSV, influenza, parainfluenza, adenovirus, rhinovirus, metapneumovirus, bocavirus, and coronavirus. The result was positive in 66.5% of cases, RSV was the most common virus (40.2%). Except for rhinovirus (17%), all other virus had frequency rates lower than 6%. Viral coinfections were detected in 13.8% of samples. Possible related risk factors for RSV infection were low age upon entry, attendance of daycare, low gestational age, and low educational level of the father. The relative frequency of viral infections was associated with increasing temperature and decreasing humidity separately, but the results also suggested both associated with increased frequency of RSV. Some of these findings differ from those reported for other regions in Brazil and may be used to guide policies that address LRTI.</t>
  </si>
  <si>
    <t xml:space="preserve">[Gurgel, Ricardo Queiroz] Univ Fed Sergipe, Dept Med, Rua Claudio Batista S-N, BR-49060100 Aracaju, SE, Brazil; [de Matos Bezerra, Patricia Gomes; Menezes Bezerra Duarte, Maria do Carmo] Inst Med Integral Prof Fernando Figueira IMIP, Recife, PE, Brazil; [Moura, Adriana Avila] Univ Fed Alagoas, Dept Med, Maceio, Brazil; [Souza, Edna Lucia] Univ Fed Bahia, Fac Med Bahia, Salvador, BA, Brazil; [da Silveira Silva, Luciana Sobral] Hosp Martagao Gesteira, Salvador, BA, Brazil; [Suzuki, Claudia Eiko; Peixoto, Rodrigo Buzzatti] AbbVie Brazil, Sao Paulo, Brazil</t>
  </si>
  <si>
    <t xml:space="preserve">Universidade Federal de Sergipe; Instituto de Medicina Integral Professor Fernando Figueira (IMIP); Universidade Federal de Alagoas; Universidade Federal da Bahia; AbbVie</t>
  </si>
  <si>
    <t xml:space="preserve">Gurgel, RQ (corresponding author), Univ Fed Sergipe, Dept Med, Rua Claudio Batista S-N, BR-49060100 Aracaju, SE, Brazil.</t>
  </si>
  <si>
    <t xml:space="preserve">ricardoqgurgel@gmail.com</t>
  </si>
  <si>
    <t xml:space="preserve">SOUZA, EDNA LÚCIA/M-5218-2018; Moura, Adriana/F-5857-2016; Gurgel, RQ/N-5105-2018</t>
  </si>
  <si>
    <t xml:space="preserve">AbbVie Farmaceutica Brasil</t>
  </si>
  <si>
    <t xml:space="preserve">AbbVie Farmaceutica Brasil(AbbVie)</t>
  </si>
  <si>
    <t xml:space="preserve">The authors thank AbbVie (AbbVie contributed to the study design, research, analysis and interpretation of data, and publication writing, reviewing, and approval). The authors also thank Eloisa de Sa Moreira and Everardo D. Saad, from Dendrix for providing medical writing support; AbbVie Farmaceutica Brasil for the support; subinvestigators Ana Claudia Dowsley (Universidade de Ciencias de Saude de Alagoas); Fernanda Rodrigues Dubourg (Universidade Federal do Bahia); Marlene Amalia da Silva (Universidade Federal do Bahia); Marcela Pinheiro de Albuquerque (Institute de Medicina Integral Professor Fernando Figueira); Marilha Will Albuquerque (Hospital Memorial Arthur Ramos); and study manager Karla Salomao (AbbVie).</t>
  </si>
  <si>
    <t xml:space="preserve">e3090</t>
  </si>
  <si>
    <t xml:space="preserve">10.1097/MD.0000000000003090</t>
  </si>
  <si>
    <t xml:space="preserve">DN2WU</t>
  </si>
  <si>
    <t xml:space="preserve">WOS:000376924500011</t>
  </si>
  <si>
    <t xml:space="preserve">Weinberger, R; Riffelmann, M; Kennerknecht, N; Hülsse, C; Littmann, M; O'Brien, J; von Kries, R; von König, CHW</t>
  </si>
  <si>
    <t xml:space="preserve">Weinberger, Raphael; Riffelmann, Marion; Kennerknecht, Nicole; Huelsse, Christel; Littmann, Martina; O'Brien, Judith; von Kries, Ruediger; von Koenig, Carl Heinz Wirsing</t>
  </si>
  <si>
    <t xml:space="preserve">Long-lasting cough in an adult German population: incidence, symptoms, and related pathogens</t>
  </si>
  <si>
    <t xml:space="preserve">Medicine; Rhinovirus; Incidence (geometry); Population; Interquartile range; Pediatrics; Medical microbiology</t>
  </si>
  <si>
    <t xml:space="preserve">BORDETELLA-PERTUSSIS; INFECTIONS; RHINOVIRUS; ADOLESCENTS; ADENOVIRUS; ILLNESSES; INFLUENZA; TESTS</t>
  </si>
  <si>
    <t xml:space="preserve">Studies of the incidence of pertussis in adults have shown that it accounts for only 5-15% cases of prolonged coughing. We assessed the burden of suffering related to prolonged coughing and tried to identify further causative agents. Based on a sentinel study with 35 general practitioners in two German cities (Krefeld, Rostock), with 3,946 patients fulfilling the inclusion criteria, we estimated the incidence of prolonged coughing in adults. In 975 of these outpatients, PCR and/or serology for adenovirus, Bordetella pertussis and B. parapertussis, human metapneumovirus, influenza virus A and rhinovirus, parainfluenza virus, Mycoplasma pneumonia, and respiratory syncytial virus (RSV) were performed. Treatment data were extracted for a subgroup of 138 patients. Descriptive statistics, including Kaplan-Maier curves were generated. Yearly incidence ranged between 1.4 and 2.1% per population in the two cities. Adult patients sought medical attention only after a median of 3 weeks of coughing. Irrespective of smoking and unrelated to the identified pathogens, the median duration of coughing was 6 weeks, with an interquartile range of 4-11 weeks. In 48.3% of patients, possible pathogens were identified, among which adenovirus (15.1%), RSV (7.5%), B. pertussis (5.6%), and influenza viruses (4.0%) were most often found. Symptoms were not indicative of a specific agent and a total of 64% of patients received antibiotics. Prolonged adult coughing requiring medical attention prompts substantial healthcare use. Apart from B. pertussis, a broad range of pathogens was associated with the symptoms. However, patients sought medical attention too late to guide efficacious therapeutic interventions using the diagnostic tests.</t>
  </si>
  <si>
    <t xml:space="preserve">[Weinberger, Raphael; von Kries, Ruediger] Ludwig Maximilians Univ Munchen, Inst Soziale Padiatrie, Munich, Germany; [Riffelmann, Marion; O'Brien, Judith; von Koenig, Carl Heinz Wirsing] Lab Med Krefeld MVZ GmbH, Krefeld, Germany; [Riffelmann, Marion; Kennerknecht, Nicole; O'Brien, Judith] HELIOS Klinikum Krefeld, Inst Hyg &amp; Lab Med, Krefeld, Germany; [Huelsse, Christel; Littmann, Martina; O'Brien, Judith] Landesamt Gesundheit &amp; Soziales Landes Mecklenbur, Rostock, Germany</t>
  </si>
  <si>
    <t xml:space="preserve">University of Munich; Helios Kliniken</t>
  </si>
  <si>
    <t xml:space="preserve">von König, CHW (corresponding author), Lab Med Krefeld MVZ GmbH, Krefeld, Germany.</t>
  </si>
  <si>
    <t xml:space="preserve">chwvk@gmx.de</t>
  </si>
  <si>
    <t xml:space="preserve">GlaxoSmithKline Pharma, Munich, Germany; Sanofi Pasteur, Leimen, Germany</t>
  </si>
  <si>
    <t xml:space="preserve">The logistics of the sentinel were funded jointly by GlaxoSmithKline Pharma, Munich, Germany and Sanofi Pasteur, Leimen, Germany, to produce estimates of the incidence of adult pertussis. Both sponsors had no influence on any part of the study. All other laboratory tests, the data analysis, and the production of the manuscript were not funded externally.</t>
  </si>
  <si>
    <t xml:space="preserve">10.1007/s10096-017-3158-6</t>
  </si>
  <si>
    <t xml:space="preserve">GA3RO</t>
  </si>
  <si>
    <t xml:space="preserve">WOS:000428247300009</t>
  </si>
  <si>
    <t xml:space="preserve">Campbell, AP; Chien, JW; Kuypers, J; Englund, JA; Wald, A; Guthrie, KA; Corey, L; Boeckh, M</t>
  </si>
  <si>
    <t xml:space="preserve">Campbell, Angela P.; Chien, Jason W.; Kuypers, Jane; Englund, Janet A.; Wald, Anna; Guthrie, Katherine A.; Corey, Lawrence; Boeckh, Michael</t>
  </si>
  <si>
    <t xml:space="preserve">Respiratory Virus Pneumonia after Hematopoietic Cell Transplantation (HCT): Associations between Viral Load in Bronchoalveolar Lavage Samples, Viral RNA Detection in Serum Samples, and Clinical Outcomes of HCT</t>
  </si>
  <si>
    <t xml:space="preserve">Virus; Bronchoalveolar lavage; Viral load; Human metapneumovirus; Virology; Pneumonia; Viral pneumonia</t>
  </si>
  <si>
    <t xml:space="preserve">POLYMERASE-CHAIN-REACTION; INFLUENZA-A-VIRUS; BONE-MARROW; PERIPHERAL-BLOOD; CYTOMEGALOVIRUS-INFECTION; HUMAN METAPNEUMOVIRUS; CORONAVIRUS RNA; RISK-FACTORS; RECIPIENTS; VIREMIA</t>
  </si>
  <si>
    <t xml:space="preserve">Background. Few data exist on respiratory virus quantitation in lower respiratory samples and detection in serum from hematopoietic cell transplant (HCT) recipients with respiratory virus-associated pneumonia. Methods. We retrospectively identified HCT recipients with respiratory syncytial virus (RSV), parainfluenza virus, influenza virus, metapneumovirus (MPV), and coronavirus (CoV) detected in bronchoalveolar lavage (BAL) samples, and we tested stored BAL and/or serum samples by quantitative polymerase chain reaction. Results. In 85 BAL samples from 82 patients, median viral loads were as follows: for RSV (n = 35), 2.6 x 10(6) copies/mL; for parainfluenza virus (n = 35), 4.9 x 10(7) copies/mL; for influenza virus (n = 9), 6.8 x 10(5) copies/mL; for MPV (n = 7), 3.9 x 10(7) copies/mL; and for CoV (n = 4), 1.8 x 10(5) copies/mL. Quantitative viral load was not associated with mechanical ventilation or death. Viral RNA was detected in serum samples from 6 of 66 patients: 4 of 41 with RSV pneumonia, 1 with influenza B, and 1 with MPV/influenza A virus/CoV coinfection (influenza A virus and MPV RNA detected). RSV detection in serum was associated with high viral load in BAL samples (P = .05), and viral RNA detection in serum was significantly associated with death (adjusted rate ratio, 1.8; P = .02). Conclusion. Quantitative polymerase chain reaction detects high viral loads in BAL samples from HCT recipients with respiratory virus pneumonia. Viral RNA is also detectable in the serum of patients with RSV, influenza, and MPV pneumonia and may correlate with the severity of disease.</t>
  </si>
  <si>
    <t xml:space="preserve">[Campbell, Angela P.; Englund, Janet A.] Univ Washington, Dept Pediat, Seattle, WA 98195 USA; [Chien, Jason W.; Wald, Anna; Corey, Lawrence; Boeckh, Michael] Univ Washington, Dept Med, Seattle, WA 98195 USA; [Kuypers, Jane; Wald, Anna; Corey, Lawrence] Univ Washington, Dept Lab Med, Seattle, WA 98195 USA; [Wald, Anna] Univ Washington, Dept Epidemiol, Seattle, WA 98195 USA; [Campbell, Angela P.; Chien, Jason W.; Kuypers, Jane; Englund, Janet A.; Guthrie, Katherine A.; Corey, Lawrence; Boeckh, Michael] Fred Hutchinson Canc Res Ctr, Div Clin Res, Seattle, WA 98104 USA; [Campbell, Angela P.; Englund, Janet A.; Wald, Anna; Corey, Lawrence; Boeckh, Michael] Fred Hutchinson Canc Res Ctr, Vaccine &amp; Infect Dis Inst, Seattle, WA 98104 USA</t>
  </si>
  <si>
    <t xml:space="preserve">University of Washington; University of Washington Seattle; University of Washington; University of Washington Seattle; University of Washington; University of Washington Seattle; University of Washington; University of Washington Seattle; Fred Hutchinson Cancer Center; Fred Hutchinson Cancer Center</t>
  </si>
  <si>
    <t xml:space="preserve">Campbell, AP (corresponding author), 4800 Sand Point Way NE,Mailstop R-5441, Seattle, WA 98105 USA.</t>
  </si>
  <si>
    <t xml:space="preserve">angela.campbell@seattlechildrens.org</t>
  </si>
  <si>
    <t xml:space="preserve">Englund, Janet/ABV-6379-2022; Corey, Lawrence/AAE-1796-2020; Boeckh, Michael/AAA-1607-2022; Wald, Anna/B-6272-2012</t>
  </si>
  <si>
    <t xml:space="preserve">National Institutes of Health [CA18029, HL081595, K23HL091059, L40AI071572, K24HL093294, K24AI071113]; MedImmune</t>
  </si>
  <si>
    <t xml:space="preserve">National Institutes of Health(United States Department of Health &amp; Human ServicesNational Institutes of Health (NIH) - USA); MedImmune(AstraZenecaMedimmune)</t>
  </si>
  <si>
    <t xml:space="preserve">National Institutes of Health (grants CA18029, HL081595, K23HL091059, L40AI071572, K24HL093294, and K24AI071113); MedImmune (Pediatric Fellowship Grant Award and Pediatric Infectious Diseases Society Fellowship Award to A.P.C.)</t>
  </si>
  <si>
    <t xml:space="preserve">10.1086/651662</t>
  </si>
  <si>
    <t xml:space="preserve">577UB</t>
  </si>
  <si>
    <t xml:space="preserve">WOS:000276248400018</t>
  </si>
  <si>
    <t xml:space="preserve">Tran, T; Chien, BT; Papadakis, G; Druce, J; Birch, C; Chibo, D; An, TP; Trang, LTK; Trieu, NB; Thuy, DTT; Catton, M; Mai, TX</t>
  </si>
  <si>
    <t xml:space="preserve">Tran, Thomas; Bui Trong Chien; Papadakis, Georgina; Druce, Julian; Birch, Chris; Chibo, Doris; Truong Phuoc An; Le Thi Kim Trang; Nguyen Bao Trieu; Doan Thi Thanh Thuy; Catton, Mike; Trinh Xuan Mai</t>
  </si>
  <si>
    <t xml:space="preserve">Respiratory virus laboratory pandemic planning and surveillance in central Viet Nam, 2008-2010</t>
  </si>
  <si>
    <t xml:space="preserve">Food safety; Environmental health; Notice</t>
  </si>
  <si>
    <t xml:space="preserve">Introduction: Laboratory capacity is needed in central Viet Nam to provide early warning to public health authorities of respiratory outbreaks of importance to human health, for example the outbreak of influenza A(H1N1) pandemic in 2009. Polymerase chain reaction (PCR) procedures established as part of a capacity-building process were used to conduct prospective respiratory surveillance in a region where few previous studies have been undertaken. Methods: Between October 2008 and September 2010, nose and throat swabs from adults and children (approximately 20 per week) presenting with an acute respiratory illness to the Ninh Hoa General Hospital were collected. Same-day PCR testing and result reporting for 13 respiratory viruses were carried out by locally trained scientists. Results: Of 2144 surveillance samples tested, 1235 (57.6%) were positive for at least one virus. The most common were influenza A strains (17.9%), with pandemic influenza A(H1N1) 2009 and seasonal H3N2 strain accounting for 52% and 43% of these, respectively. Other virus detections included: rhinovirus (12.4%), enterovirus (8.9%), influenza B (8.3%), adenovirus (5.3%), parainfluenza (4.7%), respiratory syncytial virus (RSV) (3.9%), human coronavirus (3.0%) and human metapneumovirus (0.3%). The detection rate was greatest in the 0-5 year age group. Viral co-infections were identified in 148 (6.9%) cases. Discussion: The outbreak in 2009 of the influenza A(H1N1) pandemic strain provided a practical test of the laboratory's pandemic plan. This study shows that the availability of appropriate equipment and molecular-based testing can contribute to important individual and public health outcomes in geographical locations susceptible to emerging infections.</t>
  </si>
  <si>
    <t xml:space="preserve">[Tran, Thomas; Papadakis, Georgina; Druce, Julian; Birch, Chris; Chibo, Doris; Catton, Mike] Victorian Infect Dis Reference Lab, North Melbourne, Vic, Australia; [Bui Trong Chien; Le Thi Kim Trang; Nguyen Bao Trieu; Doan Thi Thanh Thuy; Trinh Xuan Mai] Nha Trang Pasteur Inst, Nha Trang, Vietnam; [Truong Phuoc An] Ninh Hoa Gen Hosp, Khanh Hoa, Vietnam</t>
  </si>
  <si>
    <t xml:space="preserve">Tran, T (corresponding author), Victorian Infect Dis Reference Lab, North Melbourne, Vic, Australia.</t>
  </si>
  <si>
    <t xml:space="preserve">thomas.tran@mh.org.au</t>
  </si>
  <si>
    <t xml:space="preserve">Druce, Julian/0000-0002-3521-3298; Chibo, Doris/0000-0002-6950-6910</t>
  </si>
  <si>
    <t xml:space="preserve">Australian Agency for International Development under its AustraliaViet Nam Laboratory Partnership Programme</t>
  </si>
  <si>
    <t xml:space="preserve">This study was conceived and funded by the Australian Agency for International Development under its AustraliaViet Nam Laboratory Partnership Programme.</t>
  </si>
  <si>
    <t xml:space="preserve">10.5365/wpsar.2012.3.2.011</t>
  </si>
  <si>
    <t xml:space="preserve">V19EC</t>
  </si>
  <si>
    <t xml:space="preserve">WOS:000214801300012</t>
  </si>
  <si>
    <t xml:space="preserve">Samuels, RJ; Sumah, I; Alhasan, F; McHenry, R; Short, L; Chappell, JD; Haddadin, Z; Halasa, NB; Valério, ID; Amorim, G; Grant, DS; Schieffelin, JS; Moon, TD</t>
  </si>
  <si>
    <t xml:space="preserve">Samuels, Robert J.; Sumah, Ibrahim; Alhasan, Foday; McHenry, Rendie; Short, Laura; Chappell, James D.; Haddadin, Zaid; Halasa, Natasha B.; Valerio, Inae D.; Amorim, Gustavo; Grant, Donald S.; Schieffelin, John S.; Moon, Troy D.</t>
  </si>
  <si>
    <t xml:space="preserve">Respiratory virus surveillance in hospitalized children less than two-years of age in Kenema, Sierra Leone during the COVID-19 pandemic (October 2020-October 2021)</t>
  </si>
  <si>
    <t xml:space="preserve">Sierra leone; Human metapneumovirus; Medicine; Rhinovirus; Pandemic; Pediatrics</t>
  </si>
  <si>
    <t xml:space="preserve">SYNCYTIAL VIRUS; RISK-FACTORS; PARAINFLUENZA VIRUS; INFLUENZA ACTIVITY; UNDER-5 CHILDREN; YOUNG-CHILDREN; INFECTIONS; EPIDEMIOLOGY; BURDEN; SEASONALITY</t>
  </si>
  <si>
    <t xml:space="preserve">Globally, viral pathogens are the leading cause of acute respiratory infection in children under-five years. We aim to describe the epidemiology of viral respiratory pathogens in hospitalized children under-two years of age in Eastern Province of Sierra Leone, during the second year of the SARS-CoV-2 pandemic. We conducted a prospective study of children hospitalized with respiratory symptoms between October 2020 and October 2021. We collected demographic and clinical characteristics and calculated each participant ' s respiratory symptom severity. Nose and throat swabs were collected at enrollment. Total nucleic acid was purified and tested for multiple respiratory viruses. Statistical analysis was performed using R version 4.2.0 software. 502 children less than two-years of age were enrolled. 376 (74.9%) had at least one respiratory virus detected. The most common viruses isolated were HRV/EV (28.2%), RSV (19.5%) and PIV (13.1%). Influenza and SARS-CoV-2 were identified in only 9.2% and 3.9% of children, respectively. Viral co-detection was common. Human metapneumovirus and RSV had more than two-fold higher odds of requiring O2 therapy while hospitalized. Viral pathogen prevalence was high (74.9%) in our study population. Despite this, 100% of children received antibiotics, underscoring a need to expand laboratory diagnostic capacity and to revisit clinical guidelines implementation in these children. Continuous surveillance and serologic studies among more diverse age groups, with greater geographic breadth, are needed in Sierra Leone to better characterize the long-term impact of COVID-19 on respiratory virus prevalence and to better characterize the seasonality of respiratory viruses in Sierra Leone.</t>
  </si>
  <si>
    <t xml:space="preserve">[Samuels, Robert J.; Sumah, Ibrahim; Alhasan, Foday; Grant, Donald S.] Kenema Govt Hosp, Minist Hlth &amp; Sanitat, Kenema, Sierra Leone; [McHenry, Rendie; Short, Laura; Chappell, James D.; Haddadin, Zaid; Halasa, Natasha B.; Moon, Troy D.] Vanderbilt Univ, Med Ctr, Dept Pediat, Div Pediat Infect Dis, Nashville, TN USA; [Valerio, Inae D.; Moon, Troy D.] Vanderbilt Univ, Vanderbilt Inst Global Hlth, Med Ctr, Nashville, TN USA; [Amorim, Gustavo] Vanderbilt Univ, Med Ctr, Dept Biostat, Nashville, TN USA; [Grant, Donald S.] Univ Sierra Leone, Coll Med &amp; Allied Hlth Sci, Freetown, Sierra Leone; [Schieffelin, John S.; Moon, Troy D.] Tulane Univ, Dept Pediat, Div Pediat Infect Dis, New Orleans, LA USA; [Moon, Troy D.] Tulane Univ, Dept Trop Med, Sch Publ Hlth &amp; Trop Med, New Orleans, LA USA</t>
  </si>
  <si>
    <t xml:space="preserve">Ministry of Health &amp; Sanitation Sierra Leone; Kenema Government Hospital; Vanderbilt University; Vanderbilt University; Vanderbilt University; Tulane University; Tulane University</t>
  </si>
  <si>
    <t xml:space="preserve">Samuels, RJ (corresponding author), Kenema Govt Hosp, Minist Hlth &amp; Sanitat, Kenema, Sierra Leone.</t>
  </si>
  <si>
    <t xml:space="preserve">robjsam190@yahoo.co.uk</t>
  </si>
  <si>
    <t xml:space="preserve">Amorim, Gustavo/KLD-8849-2024</t>
  </si>
  <si>
    <t xml:space="preserve">Moon, Troy/0000-0002-1637-829X; Dutra Valerio, Inae/0000-0003-4855-7388; Samuels, Robert/0009-0003-7000-4218; Amorim, Gustavo/0000-0002-2941-5360</t>
  </si>
  <si>
    <t xml:space="preserve">The authors are very grateful to the study subjects for their participation in this study, as well as the staff and management of Kenema Government Hospital.</t>
  </si>
  <si>
    <t xml:space="preserve">e0292652</t>
  </si>
  <si>
    <t xml:space="preserve">10.1371/journal.pone.0292652</t>
  </si>
  <si>
    <t xml:space="preserve">U7HH6</t>
  </si>
  <si>
    <t xml:space="preserve">WOS:001086473900022</t>
  </si>
  <si>
    <t xml:space="preserve">Takashima, MD; Grimwood, K; Sly, PD; Lambert, SB; Ware, RS</t>
  </si>
  <si>
    <t xml:space="preserve">Takashima, Mari D.; Grimwood, Keith; Sly, Peter D.; Lambert, Stephen B.; Ware, Robert S.</t>
  </si>
  <si>
    <t xml:space="preserve">Interference between rhinovirus and other RNA respiratory viruses in the first 2-years of life: A longitudinal community-based birth cohort study</t>
  </si>
  <si>
    <t xml:space="preserve">Rhinovirus; Virology; Virus; Odds ratio; Medicine</t>
  </si>
  <si>
    <t xml:space="preserve">VIRAL INTERFERENCE; SYNCYTIAL VIRUS; INFECTION; CIRCULATION; CHILDREN</t>
  </si>
  <si>
    <t xml:space="preserve">Background: Cross-sectional studies report negative associations between rhinovirus and other RNA respiratory viruses. However, longitudinal studies with frequent, serial sampling are needed to identify the directionality of this relationship and its nature. Objective: To investigate the association between rhinovirus and other RNA respiratory viruses detected 1-week apart. Methods: The Observational Research in Childhood InfectiousDiseases cohort study was conducted in Brisbane, Australia (2010-2014). Parents collected nasal swabs weekly from birth until age 2-years. Swabs were analysed by real-time polymerase chain reaction. The association between new rhinovirus detections and five other RNA viruses (influenza, respiratory syncytial virus, parainfluenza viruses, seasonal human coronaviruses, and human metapneumovirus) in paired swabs 1-week apart were investigated. Results: Overall, 157 children provided 8,101 swabs, from which 4,672 paired swabs 1-week apart were analysed. New rhinovirus detections were negatively associated with new pooled RNA respiratory virus detections 1-week later (adjusted odds ratio (aOR) 0.48; 95% confidence interval (CI): 0.13-0.83), as were pooled RNA virus detections with new rhinovirus detections the following week (aOR 0.34; 95%CI: 0.09-0.60). At the individual species level, rhinovirus had the strongest negative association with new seasonal human coronavirus detections in the subsequent week (aOR 0.34; 95%CI: 0.12-0.95) and respiratory syncytial virus had the strongest negative association with rhinovirus 1-week later (aOR 0.21; 95%CI: 0.05-0.88). Conclusion: A strong, negative bidirectional association was observed between rhinovirus and other RNA viruses in a longitudinal study of a community-based cohort of young Australian children. This suggests within-host interference between RNA respiratory viruses.</t>
  </si>
  <si>
    <t xml:space="preserve">[Takashima, Mari D.; Grimwood, Keith; Ware, Robert S.] Griffith Univ, Menzies Hlth Inst Queensland, Gold Coast, Qld 4222, Australia; [Takashima, Mari D.; Grimwood, Keith; Ware, Robert S.] Griffith Univ, Sch Med &amp; Dent, Gold Coast, Qld 4222, Australia; [Grimwood, Keith] Gold Coast Hlth, Dept Infect Dis, Gold Coast, Qld 4215, Australia; [Grimwood, Keith] Gold Coast Hlth, Dept Paediat, Gold Coast, Qld 4215, Australia; [Sly, Peter D.] Univ Queensland, Child Hlth Res Ctr, Childrens Hlth &amp; Environm Program, South Brisbane, Qld 4101, Australia; [Sly, Peter D.] Univ Queensland, Australian Infect Dis Res Ctr, St Lucia, Qld 4072, Australia; [Lambert, Stephen B.] Univ Queensland, UQ Ctr Clin Res, Herston, Qld 4006, Australia; [Lambert, Stephen B.] Natl Ctr Immunisat Res &amp; Surveillance, Westmead, NSW 2145, Australia</t>
  </si>
  <si>
    <t xml:space="preserve">Griffith University; Griffith University - Gold Coast Campus; Menzies Health Institute Queensland; Griffith University; Griffith University - Gold Coast Campus; Gold Coast Health; Gold Coast Health; University of Queensland; University of Queensland; University of Queensland; University of Sydney</t>
  </si>
  <si>
    <t xml:space="preserve">Takashima, MD (corresponding author), Griffith Univ, Sch Med &amp; Dent, Nathan Campus,170 Kessels Rd, Nathan, Qld 4111, Australia.</t>
  </si>
  <si>
    <t xml:space="preserve">m.takashima@griffith.edu.au</t>
  </si>
  <si>
    <t xml:space="preserve">Sly, Peter/F-1486-2010; Lambert, Stephen/N-7819-2019; Grimwood, Keith/F-9334-2011; Ware, Robert/B-2024-2014</t>
  </si>
  <si>
    <t xml:space="preserve">Grimwood, Keith/0000-0003-3174-9834; Takashima, Mari/0000-0002-1167-9106; Ware, Robert/0000-0002-6129-6736</t>
  </si>
  <si>
    <t xml:space="preserve">10.1016/j.jcv.2022.105249</t>
  </si>
  <si>
    <t xml:space="preserve">5A0GI</t>
  </si>
  <si>
    <t xml:space="preserve">WOS:000862574800002</t>
  </si>
  <si>
    <t xml:space="preserve">Valtonen, M; Waris, M; Vuorinen, T; Eerola, E; Hakanen, AJ; Mjosund, K; Grönroos, W; Heinonen, OJ; Ruuskanen, O</t>
  </si>
  <si>
    <t xml:space="preserve">Valtonen, Maarit; Waris, Matti; Vuorinen, Tytti; Eerola, Erkki; Hakanen, Antti J.; Mjosund, Katja; Gronroos, Wilma; Heinonen, Olli J.; Ruuskanen, Olli</t>
  </si>
  <si>
    <t xml:space="preserve">Common cold in Team Finland during 2018 Winter Olympic Games (PyeongChang): epidemiology, diagnosis including molecular point-of-care testing (POCT) and treatment</t>
  </si>
  <si>
    <t xml:space="preserve">BRITISH JOURNAL OF SPORTS MEDICINE</t>
  </si>
  <si>
    <t xml:space="preserve">Rhinovirus; Common cold; Point-of-care testing; Medicine</t>
  </si>
  <si>
    <t xml:space="preserve">RESPIRATORY VIRUSES; SPORTS INJURIES; INFLUENZA-A; ADULTS; ILLNESS; INFECTIONS; IDENTIFICATION; TRANSMISSION; PERFORMANCE; COMPETITION</t>
  </si>
  <si>
    <t xml:space="preserve">Objectives The common cold is the main cause of medical time loss in elite sport. Rapid diagnosis has been a challenge that may be amenable to molecular point-of-care testing (POCT). Methods We performed a prospective observational study of the common cold in Team Finland during the 2018 Winter Olympic Games. There were 44 elite athletes and 68 staff members. The chief physician recorded the symptoms of the common cold daily on a standardised form. Two nasal swabs were taken at the onset of symptoms. One swab was analysed within 45 min using a molecular POCT for respiratory syncytial virus and influenza A and B viruses. After the Games, the other swab was tested for 16 possible causative respiratory viruses using PCR in laboratory-based testing. Results 20 out of 44 (45%) athletes and 22 out of 68 (32%) staff members experienced symptoms of the common cold during a median stay of 21 days. Eleven (26%) samples tested virus-positive using POCT. All subjects with influenza (n=6) and 32 close contacts were treated with oseltamivir. The aetiology of the common cold was finally detected in 75% of the athletes and 68 % of the staff members. Seven virus clusters were identified. They were caused by coronaviruses 229E, NL63 and OC43, influenza B virus, respiratory syncytial virus A, rhinovirus and human metapneumovirus. The virus infections spread readily within the team, most commonly within the same sport discipline. Conclusions The cold was indeed a common illness in Team Finland during the Winter Olympic Games. POCT proved to be clinically valuable, especially for influenza. The aetiology of the common cold was identified in most cases.</t>
  </si>
  <si>
    <t xml:space="preserve">[Valtonen, Maarit] Res Ctr Olymp Sports, Jyvaskyla 40700, Finland; [Waris, Matti; Vuorinen, Tytti; Eerola, Erkki; Hakanen, Antti J.] Univ Turku, Inst Biomed, Turku, Finland; [Waris, Matti; Vuorinen, Tytti] Turku Univ Hosp, Dept Clin Virol, Turku, Finland; [Eerola, Erkki; Hakanen, Antti J.] Turku Univ Hosp, Dept Clin Microbiol, Turku, Finland; [Mjosund, Katja; Gronroos, Wilma; Heinonen, Olli J.] Univ Turku, Paavo Nurmi Ctr, Turku, Finland; [Mjosund, Katja; Gronroos, Wilma; Heinonen, Olli J.] Univ Turku, Unit Hlth &amp; Phys Act, Turku, Finland; [Ruuskanen, Olli] Turku Univ Hosp, Dept Paediat, Res Ctr, Turku, Finland</t>
  </si>
  <si>
    <t xml:space="preserve">University of Turku; University of Turku; University of Turku; University of Turku; University of Turku; University of Turku</t>
  </si>
  <si>
    <t xml:space="preserve">Valtonen, M (corresponding author), Res Ctr Olymp Sports, Jyvaskyla 40700, Finland.</t>
  </si>
  <si>
    <t xml:space="preserve">maarit.valtonen@kihu.fi</t>
  </si>
  <si>
    <t xml:space="preserve">Heinonen, Olli/AAG-7298-2019; Waris, Matti/A-6418-2008</t>
  </si>
  <si>
    <t xml:space="preserve">Gronroos, Wilma/0000-0001-9488-6946; Heinonen, Olli J./0000-0002-1722-1729</t>
  </si>
  <si>
    <t xml:space="preserve">Jenny and Antti Wihuri Foundation; Signe and Ane Gyllenberg Foundation</t>
  </si>
  <si>
    <t xml:space="preserve">This study was funded by the Jenny and Antti Wihuri Foundation and Signe and Ane Gyllenberg Foundation.</t>
  </si>
  <si>
    <t xml:space="preserve">0306-3674</t>
  </si>
  <si>
    <t xml:space="preserve">1473-0480</t>
  </si>
  <si>
    <t xml:space="preserve">BRIT J SPORT MED</t>
  </si>
  <si>
    <t xml:space="preserve">Br. J. Sports Med.</t>
  </si>
  <si>
    <t xml:space="preserve">10.1136/bjsports-2018-100487</t>
  </si>
  <si>
    <t xml:space="preserve">Sport Sciences</t>
  </si>
  <si>
    <t xml:space="preserve">JJ1KW</t>
  </si>
  <si>
    <t xml:space="preserve">WOS:000493920700007</t>
  </si>
  <si>
    <t xml:space="preserve">Ferguson, GD; Gadsby, NJ; Henderson, SS; Hardie, A; Kalima, P; Morris, AC; Hil, AT; Cunningham, S; Templeton, KE</t>
  </si>
  <si>
    <t xml:space="preserve">Ferguson, Graeme D.; Gadsby, Naomi J.; Henderson, Sarah S.; Hardie, Alison; Kalima, Pota; Morris, Andrew Conway; Hil, Adam T.; Cunningham, Steve; Templeton, Kate E.</t>
  </si>
  <si>
    <t xml:space="preserve">Clinical outcomes and macrolide resistance in Mycoplasma pneumoniae infection in Scotland, UK</t>
  </si>
  <si>
    <t xml:space="preserve">Mycoplasma pneumoniae; Microbiology; Macrolide Antibiotics</t>
  </si>
  <si>
    <t xml:space="preserve">REAL-TIME PCR; RESPIRATORY SYNCYTIAL VIRUS; HUMAN METAPNEUMOVIRUS; VIRAL-INFECTION; EPIDEMIOLOGY; DIAGNOSIS; EMERGENCE; STRAINS; INFANTS</t>
  </si>
  <si>
    <t xml:space="preserve">Mycoplasma pneumoniae has a cyclical, epidemic pattern of infection and the most recent epidemic occurred in Europe in 2011. Macrolides are recommended for the treatment of M. pneumoniae respiratory tract infection, but macrolide resistance has been reported at low levels in Europe. The aim of the study was to examine the clinical impact of the recent M. pneumoniae epidemic in a hospital setting in Scotland and to determine whether macrolide-resistant strains are present. Data were analysed retrospectively for 307 patients with M. pneumoniae respiratory infection diagnosed in 2010 and 2011 in Edinburgh, UK. Genotypic macrolide resistance testing was also carried out in 32 patients in whom resistance was considered most likely, based on their clinical picture. We found that 175 patients (59 %) were admitted to hospital, 20 (7%) were admitted to critical care and 97 (38%) required oxygen. All 48 adult patients (100%) were admitted to hospital, compared with 127 children (51 %). Adults were also more likely to require oxygen [odds ratio (OR) 4.964, P&lt;0.001, 95% confidence interval (CI) 2.129-11.803] and to be admitted to critical care (OR 4.909, P=0.001, 95% CI 1.735-13.829), compared with children. Macrolide resistance conferred by the 23S rRNA gene mutation was found in samples from 6 out of 32 patients (19 %) in the subset tested. The results suggest that the recent M. pneumoniae epidemic was associated with a significant burden of hospital admission locally. The study also describes the first case series of macrolide-resistant M. pneumoniae in the UK, indicating that macrolide resistance surveillance is warranted in preparation for the next epidemic.</t>
  </si>
  <si>
    <t xml:space="preserve">[Ferguson, Graeme D.; Gadsby, Naomi J.; Hardie, Alison; Templeton, Kate E.] Royal Infirm Edinburgh NHS Trust, Specialist Virol Ctr, Dept Lab Med, Edinburgh EH16 4SA, Midlothian, Scotland; [Henderson, Sarah S.; Templeton, Kate E.] Royal Hosp Sick Children, Edinburgh EH9 1LF, Midlothian, Scotland; [Kalima, Pota] Royal Infirm Edinburgh NHS Trust, Dept Lab Med, Edinburgh EH16 4SA, Midlothian, Scotland; [Morris, Andrew Conway] Univ Edinburgh, Med Res Council Ctr Inflammat Res, Queens Med Res Inst, Edinburgh EH16 4TJ, Midlothian, Scotland; [Hil, Adam T.] Royal Infirm Edinburgh NHS Trust, Edinburgh EH16 4SA, Midlothian, Scotland</t>
  </si>
  <si>
    <t xml:space="preserve">Royal Infirmary of Edinburgh; University of Edinburgh; University of Edinburgh; Royal Infirmary of Edinburgh; University of Edinburgh; University of Edinburgh; Royal Infirmary of Edinburgh</t>
  </si>
  <si>
    <t xml:space="preserve">Gadsby, NJ (corresponding author), Royal Infirm Edinburgh NHS Trust, Specialist Virol Ctr, Dept Lab Med, Edinburgh EH16 4SA, Midlothian, Scotland.</t>
  </si>
  <si>
    <t xml:space="preserve">naomi.gadsby@luht.scot.nhs.uk</t>
  </si>
  <si>
    <t xml:space="preserve">Morris, Andrew/B-8644-2012; Cunningham, Steve/LFU-9827-2024</t>
  </si>
  <si>
    <t xml:space="preserve">Cunningham, Steve/0000-0001-7342-251X; Ferguson, Graeme/0000-0003-1624-3616; Templeton, Kate/0000-0001-7414-1277; Conway Morris, Andrew/0000-0002-3211-3216</t>
  </si>
  <si>
    <t xml:space="preserve">Chief Scientist Office, Scotland [ETM/250]</t>
  </si>
  <si>
    <t xml:space="preserve">Chief Scientist Office, Scotland</t>
  </si>
  <si>
    <t xml:space="preserve">The authors thank the staff of the Specialist Virology Centre, Royal Infirmary of Edinburgh, for carrying out routine testing and for obtaining information from the laboratory database for this study. The authors also thank Karen MacSween and Margaret MacDougall for helpful discussion. N. J. G. was supported by the Chief Scientist Office, Scotland, project grant ETM/250.</t>
  </si>
  <si>
    <t xml:space="preserve">10.1099/jmm.0.066191-0</t>
  </si>
  <si>
    <t xml:space="preserve">AA2IH</t>
  </si>
  <si>
    <t xml:space="preserve">WOS:000330917800013</t>
  </si>
  <si>
    <t xml:space="preserve">Luchsinger, V; Piedra, PA; Ruiz, M; Zunino, E; Martínez, MA; Machado, C; Fasce, R; Ulloa, MT; Fink, MC; Lara, P; Avendaño, LF</t>
  </si>
  <si>
    <t xml:space="preserve">Luchsinger, Vivian; Piedra, Pedro A.; Ruiz, Mauricio; Zunino, Enna; Angelica Martinez, Maria; Machado, Clarisse; Fasce, Rodrigo; Teresa Ulloa, Maria; Fink, Maria Cristina; Lara, Pamela; Avendano, Luis F.</t>
  </si>
  <si>
    <t xml:space="preserve">Role of Neutralizing Antibodies in Adults With Community-Acquired Pneumonia by Respiratory Syncytial Virus</t>
  </si>
  <si>
    <t xml:space="preserve">Medicine; Serology; Virus; Antibody; Virology; Titer; Pneumonia</t>
  </si>
  <si>
    <t xml:space="preserve">REVERSE TRANSCRIPTION-PCR; HUMAN METAPNEUMOVIRUS; CYSTIC-FIBROSIS; INFECTION; CHILDREN; DISEASE; EPIDEMIOLOGY; SURVEILLANCE; DIAGNOSIS; ETIOLOGY</t>
  </si>
  <si>
    <t xml:space="preserve">Background. Respiratory syncytial virus (RSV) has been implicated in the etiology of adult community-acquired pneumonia (CAP). We investigated RSV infection in Chilean adults with CAP using direct viral detection, real-time reverse-transcription polymerase chain reaction (rtRT-PCR), and serology (microneutralization assay). Methods. RSV, other respiratory viruses, and bacteria were studied by conventional and molecular techniques in adults aged &gt;= 18 years presenting with CAP to the healthcare facilities in Santiago, Chile from February 2005 through December 2007. Results. All 356 adults with CAP enrolled had an acute blood sample collected at enrollment, and 184 had a convalescent blood sample. RSV was detected in 48 cases (13.4%). Immunofluorescence assay and viral isolation each detected only 1 infection (0.2%), whereas rtRT-PCR was positive in 32 (8.9%) cases and serology was positive in 20 (10.8%) cases. CAP clinical characteristics were similar in RSV-infected and non-RSV-infected cases. RSV-specific geometric mean serum-neutralizing antibody titer (GMST) was significantly lower at admission in the 48 RSV-infected cases compared with 308 non-RSV-infected adults (GMST in log(2): RSV/A 8.1 vs 8.9, and RSV/B 9.3 vs 10.4; P &lt; .02). Conclusions. RSV infection is frequent in Chilean adults with CAP. Microneutralization assay was as sensitive as rtRT-PCR in detecting RSV infection and is a good adjunct assay for diagnostic research. High RSV-specific serum-neutralizing antibody levels were associated with protection against common and severe infection. The development of a vaccine could prevent RSV-related CAP in adults.</t>
  </si>
  <si>
    <t xml:space="preserve">[Luchsinger, Vivian; Lara, Pamela; Avendano, Luis F.] Univ Chile, Fac Med, Programa Virol, Santiago 7, Chile; [Piedra, Pedro A.] Baylor Coll Med, Dept Mol Virol &amp; Microbiol, Houston, TX 77030 USA; [Piedra, Pedro A.] Baylor Coll Med, Dept Pediat, Houston, TX 77030 USA; [Angelica Martinez, Maria; Teresa Ulloa, Maria] Univ Chile, Fac Med, Programa Microbiol, Santiago 7, Chile; [Ruiz, Mauricio] Univ Chile, Hosp Clin, Santiago, Chile; [Zunino, Enna] Hosp Infecciosos Dr Lucio Cordova, Santiago, Chile; [Machado, Clarisse; Fink, Maria Cristina] Univ Sao Paulo, Virol Lab, Inst Med Trop Sao Paulo, Sao Paulo, Brazil; [Fasce, Rodrigo] Inst Salud Publ Chile, Subdept Virol Clin, Santiago, Chile</t>
  </si>
  <si>
    <t xml:space="preserve">Universidad de Chile; Baylor College of Medicine; Baylor College of Medicine; Universidad de Chile; Universidad de Chile; Universidade de Sao Paulo</t>
  </si>
  <si>
    <t xml:space="preserve">Luchsinger, V (corresponding author), Univ Chile, Fac Med, Programa Virol, Independencia 1027, Santiago 7, Chile.</t>
  </si>
  <si>
    <t xml:space="preserve">Fink, Maria/M-8718-2015</t>
  </si>
  <si>
    <t xml:space="preserve">Fondo Nacional de Ciencia y Tecnologia [1050734]; Fondo Nacional de Investigacion en Salud [SA04 I 2084]</t>
  </si>
  <si>
    <t xml:space="preserve">Fondo Nacional de Ciencia y Tecnologia; Fondo Nacional de Investigacion en Salud</t>
  </si>
  <si>
    <t xml:space="preserve">This work was supported by the Fondo Nacional de Ciencia y Tecnologia (grant number 1050734) and Fondo Nacional de Investigacion en Salud (grant number SA04 I 2084).</t>
  </si>
  <si>
    <t xml:space="preserve">10.1093/cid/cir955</t>
  </si>
  <si>
    <t xml:space="preserve">905TB</t>
  </si>
  <si>
    <t xml:space="preserve">WOS:000301296200010</t>
  </si>
  <si>
    <t xml:space="preserve">van de Pol, AC; Wolfs, TFW; Jansen, NJG; van Loon, AM; Rossen, JWA</t>
  </si>
  <si>
    <t xml:space="preserve">van de Pol, Alma C.; Wolfs, Tom F. W.; Jansen, Nicolaas J. G.; van Loon, Anton M.; Rossen, John W. A.</t>
  </si>
  <si>
    <t xml:space="preserve">Diagnostic value of real-time polymerase chain reaction to detect viruses in young children admitted to the paediatric intensive care unit with lower respiratory tract infection</t>
  </si>
  <si>
    <t xml:space="preserve">CRITICAL CARE</t>
  </si>
  <si>
    <t xml:space="preserve">Human metapneumovirus; Medicine; Respiratory tract infections; Respiratory system; Mycoplasma pneumoniae; Virology; Chlamydia; Respiratory tract; Virus</t>
  </si>
  <si>
    <t xml:space="preserve">PCR ASSAY; RHINOVIRUS INFECTIONS; QUANTITATIVE PCR; SYNCYTIAL VIRUS; CORONAVIRUS; PNEUMONIA; HOSPITALIZATIONS; AMPLIFICATION; HYBRIDIZATION; HEXAPLEX</t>
  </si>
  <si>
    <t xml:space="preserve">Introduction The aetiology of lower respiratory tract infections in young children admitted to the paediatric intensive care unit (PICU) is often difficult to establish. However, most infections are believed to be caused by respiratory viruses. A diagnostic study was performed to compare conventional viral tests with the recently developed real-time PCR technique. Method Samples from children aged under 5 years presenting to a tertiary PICU suspected of having a lower respiratory tract infection were tested using conventional methods ( viral culture and immunofluorescence) and real-time PCR during the winter season from December 2004 to May 2005. Conventional methods were used to check for respiratory syncytial virus, influenzavirus, parainfluenzavirus 1 - 3, rhinoviruses and adenoviruses. Real-time PCR was used to test for respiratory syncytial virus, influenzavirus, parainfluenzavirus 1 - 4, rhinoviruses, adenoviruses, human coronaviruses OC43, NL63 and 229E, human metapneumovirus, Mycoplasma pneumoniae and Chlamydia pneumoniae. Results A total of 23 patients were included, of whom 11 (48%) were positive for a respiratory virus by conventional methods. Real-time PCR confirmed all of these positive results. In addition, real-time PCR identified 22 more viruses in 11 patients, yielding a total of 22 (96%) patients with a positive sample. More than one virus was detected in eight (35%) children. Conclusion Real-time PCR for respiratory viruses was found to be a sensitive and reliable method in PICU patients with lower respiratory tract infection, increasing the diagnostic yield twofold compared to conventional methods.</t>
  </si>
  <si>
    <t xml:space="preserve">Univ Med Ctr Utrecht, Eijkman Winkler Inst, Dept Virol, Utrecht, Netherlands; Univ Med Ctr Utrecht, Wilhelmina Childrens Hosp, Dept Pediat, Div Infect Dis, Utrecht, Netherlands; Univ Med Ctr Utrecht, Wilhelmina Childrens Hosp, Dept Pediat, Div Intens Care, Utrecht, Netherlands</t>
  </si>
  <si>
    <t xml:space="preserve">Utrecht University; Utrecht University Medical Center; Utrecht University; Utrecht University Medical Center; Wilhelmina Kinderziekenhuis; Utrecht University; Utrecht University Medical Center; Wilhelmina Kinderziekenhuis</t>
  </si>
  <si>
    <t xml:space="preserve">Rossen, JWA (corresponding author), Univ Med Ctr Utrecht, Eijkman Winkler Inst, Dept Virol, Utrecht, Netherlands.</t>
  </si>
  <si>
    <t xml:space="preserve">J.W.A.Rossen@umcutrecht.nl</t>
  </si>
  <si>
    <t xml:space="preserve">1466-609X</t>
  </si>
  <si>
    <t xml:space="preserve">1364-8535</t>
  </si>
  <si>
    <t xml:space="preserve">CRIT CARE</t>
  </si>
  <si>
    <t xml:space="preserve">Crit. Care</t>
  </si>
  <si>
    <t xml:space="preserve">R61</t>
  </si>
  <si>
    <t xml:space="preserve">10.1186/cc4895</t>
  </si>
  <si>
    <t xml:space="preserve">083DP</t>
  </si>
  <si>
    <t xml:space="preserve">WOS:000240436400022</t>
  </si>
  <si>
    <t xml:space="preserve">Brinkman, KM; Zabrocki, L; Cadotte, N; Matos, R</t>
  </si>
  <si>
    <t xml:space="preserve">Brinkman, Kevin M.; Zabrocki, Luke; Cadotte, Noelle; Matos, Renee, I</t>
  </si>
  <si>
    <t xml:space="preserve">When a Critically Ill Child is Oceans Away From a PICU: A Military Pediatric CCAT Mission</t>
  </si>
  <si>
    <t xml:space="preserve">Medicine; Pediatric intensive care unit; Intensive care unit</t>
  </si>
  <si>
    <t xml:space="preserve">MORTALITY; RISK</t>
  </si>
  <si>
    <t xml:space="preserve">A 4-year-old former 26-week premature male presented to the U.S. Naval Hospital Guam emergency department in respiratory failure secondary to human metapneumovirus requiring urgent intubation. His condition was complicated by a bradycardic arrest requiring 15 minutes of resuscitation before the return of circulation. He was admitted to the adult intensive care unit and was managed via pediatric telecritical care from San Diego. He developed acute respiratory distress syndrome, acute renal failure, hypotension requiring multiple pressors, and fluid overload necessitating bilateral chest tubes and two peritoneal drains. A pediatric critical care air transport team departed San Antonio within 36 hours of activation and transported the patient via C-17 to Hawaii, performing a tail swap to a KC-135. Before takeoff, mechanical delays caused prolonged ground time and lack of temperature control resulted in patient's hyperthermia to reach 104.2 degrees F despite the ice packing. The ambient temperature caused equipment malfunction (suction, handheld blood analyzer, and ventilator), necessitating manual bagging. Despite initial temperature challenges, the team removed 700 mL of peritoneal fluid and substantially reduced the patient's ventilator settings. After 22 hours of care, the team arrived with the patient to a civilian pediatric intensive care unit in CA, USA. Over several weeks, the patient made a full recovery. This pediatric critical care air transport mission highlights the complications intrinsic to air transport. Missions of this severity and length benefit from utilization of pediatric specialists to minimize morbidity and mortality. Highlighting the challenges related to preparation, air frame, and equipment malfunction should help others prepare for future pediatric air transports.</t>
  </si>
  <si>
    <t xml:space="preserve">[Brinkman, Kevin M.; Matos, Renee, I] Brooke Army Med Ctr, Dept Pediat, San Antonio Uniformed Serv Educ Consortium, JBSA Fort Sam Houston, Ft Sam Houston, TX 78234 USA; [Zabrocki, Luke; Cadotte, Noelle] Naval Med Ctr San Diego, Dept Pediat, San Diego, CA 92134 USA</t>
  </si>
  <si>
    <t xml:space="preserve">United States Department of Defense; United States Army; San Antonio Military Medical Center; United States Department of Defense; United States Navy; Naval Medical Center San Diego</t>
  </si>
  <si>
    <t xml:space="preserve">Brinkman, KM (corresponding author), Brooke Army Med Ctr, Dept Pediat, San Antonio Uniformed Serv Educ Consortium, JBSA Fort Sam Houston, Ft Sam Houston, TX 78234 USA.</t>
  </si>
  <si>
    <t xml:space="preserve">Brinkman, Kevin/0009-0007-1499-1588</t>
  </si>
  <si>
    <t xml:space="preserve">7-8</t>
  </si>
  <si>
    <t xml:space="preserve">e1765</t>
  </si>
  <si>
    <t xml:space="preserve">e1770</t>
  </si>
  <si>
    <t xml:space="preserve">10.1093/milmed/usae013</t>
  </si>
  <si>
    <t xml:space="preserve">XI3O4</t>
  </si>
  <si>
    <t xml:space="preserve">WOS:001157785000001</t>
  </si>
  <si>
    <t xml:space="preserve">Dananché, C; Paranhos-Baccalà, G; Messaoudi, M; Sylla, M; Awasthi, S; Bavdekar, A; Pape, JW; Rouzier, V; Wang, JW; Sanghavi, S; Diallo, S; Chou, M; Eap, T; Rakoto-Andrianarivelo, M; Endtz, H; Ren, LL; Dash-Yandag, B; Guillen, R; Nymadawa, P; Russomando, G; Komurian-Pradel, F; Vanhems, P; Picot, VS</t>
  </si>
  <si>
    <t xml:space="preserve">Dananche, Cedric; Paranhos-Baccala, Glaucia; Messaoudi, Melina; Sylla, Mariam; Awasthi, Shally; Bavdekar, Ashish; Pape, Jean-William; Rouzier, Vanessa; Wang, Jianwei; Sanghavi, Sonali; Diallo, Souleymane; Chou, Monidarin; Eap, Tekchheng; Rakoto-Andrianarivelo, Mala; Endtz, Hubert; Ren, Lili; Dash-Yandag, Budragchaagiin; Guillen, Rosa; Nymadawa, Pagbajabyn; Russomando, Graciela; Komurian-Pradel, Florence; Vanhems, Philippe; Picot, Valentina Sanchez</t>
  </si>
  <si>
    <t xml:space="preserve">Global Approach Biol Res Infect Di</t>
  </si>
  <si>
    <t xml:space="preserve">Nasopharyngeal Viral and Bacterial Co-Detection among Children from Low- and Middle-Income Countries with and without Pneumonia</t>
  </si>
  <si>
    <t xml:space="preserve">Coinfection; Pneumonia; Rhinovirus; Streptococcus pneumoniae; Human metapneumovirus; Virus</t>
  </si>
  <si>
    <t xml:space="preserve">COMMUNITY-ACQUIRED PNEUMONIA; STREPTOCOCCUS-PNEUMONIAE; PNEUMOCOCCAL DENSITY; RESPIRATORY VIRUSES; HUMAN BOCAVIRUS; COINFECTION; COLONIZATION; EPIDEMIOLOGY; INFECTIONS; SEVERITY</t>
  </si>
  <si>
    <t xml:space="preserve">The role of microbial coinfection in the pathogenesis of pneumonia in children is not well known. The aim of this work was to describe the prevalence of microorganism co-detection in nasopharyngeal samples (NPS) of pneumonia cases and control subjects and to study the potential association between nasopharyngeal microorganism co-detection and pneumonia. A case-control study was carried out from 2010 to 2014 in nine study sites located in low- or middleincome countries. The data from 888 children under 5 years of age with pneumonia (cases) and 870 children under 5 without pneumonia (controls) were analyzed. Nasopharyngeal samples were collected; reverse transcription polymerase chain reaction (RT-PCR) enabled the detection of five bacteria and 19 viruses. Multiple, mixed-effects logistic regression modeling was undertaken to evaluate the association between microorganism co-detection and pneumonia. A single Streptococcus pneumoniae colonization was observed in 15.2% of the controls and 10.1% of the cases (P = 0.001), whereas S. pneumoniae and a single virus co-detection was observed in 33.3% of the cases and in 14.6% of the controls (P &lt; 0.001). Co-detections with rhinovirus, respiratory syncytial virus, parainfluenza virus, human metapneumovirus, and influenza virus were more frequent in the cases compared with the controls (P &lt; 0.001) and were significantly associated with pneumonia in multiple regression analysis. The proportion of single virus detection without bacterial co-detection was not different between cases and controls (13.6% versus 11.3%, P = 0 .1 3) . This study suggests that coinfection of S. pneumoniae and certain viruses may play a role in the pathophysiology of pneumonia in children.</t>
  </si>
  <si>
    <t xml:space="preserve">[Dananche, Cedric; Vanhems, Philippe] Univ Claude Bernard Lyon 1, Univ Lyon, CIRI,Ctr Int Rech Infectiol,INSERM,UMR5308,U1111, CNRS,ENS Lyon,Team Publ Hlth Epidemiol &amp; Evolutio, F-69007 Lyon, France; [Dananche, Cedric; Vanhems, Philippe] Hosp Civils Lyon, Infect Control &amp; Epidemiol Dept, Lyon, France; [Paranhos-Baccala, Glaucia; Messaoudi, Melina; Endtz, Hubert; Komurian-Pradel, Florence; Picot, Valentina Sanchez] Merieux Fdn, Lyon, France; [Sylla, Mariam] Gabriel Toure Hosp, Bamako, Mali; [Awasthi, Shally] Chatrapati Shahu Ji Maharaj Med Univ, Lucknow, Uttar Pradesh, India; [Bavdekar, Ashish; Sanghavi, Sonali] KEM Hosp Res Ctr, Pune, Maharashtra, India; [Pape, Jean-William; Rouzier, Vanessa] Ctr GHESKIO Grp Haftien Etud Sarcome Kaposi &amp; Inf, Port Au Prince, Haiti; [Wang, Jianwei; Ren, Lili] Chinese Acad Med Sci &amp; Peking Union Med Coll, Inst Pathogen Biol, Fdn Merieux, MOH Key Lab Syst Biol Pathogens, Beijing, Peoples R China; [Wang, Jianwei; Ren, Lili] Chinese Acad Med Sci &amp; Peking Union Med Coll, Inst Pathogen Biol, Fdn Merieux, Dr Christophe Merieux Lab, Beijing, Peoples R China; [Diallo, Souleymane] Ctr Infectiol Charles Merieux, Bamako, Mali; [Chou, Monidarin] Univ Hlth Sci, Fac Pharm, Phnom Penh, Cambodia; [Eap, Tekchheng] Natl Pediat Hosp, Dept Pneumol, Phnom Penh, Cambodia; [Rakoto-Andrianarivelo, Mala] Fdn Merieux, Ctr Infectiol Charles Merieux, Antananarivo, Madagascar; [Endtz, Hubert] Erasmus MC, Dept Clin Microbiol &amp; Infect Dis, Rotterdam, Netherlands; [Dash-Yandag, Budragchaagiin] Bayanzurkh Dist Gen Hosp, Ulaanbaatar, Mongolia; [Guillen, Rosa; Russomando, Graciela] Natl Univ Asuncion, Inst Invest Ciencias Salud, Asuncion, Paraguay; [Nymadawa, Pagbajabyn] Mongolian Acad Med Sci, Ulaanbaatar, Mongolia; [Vanhems, Philippe] Lyon Ctr, Reseau Innovat Clin Res Vaccinol I REIVAC, INSERM, F CRIN, Lyon, France</t>
  </si>
  <si>
    <t xml:space="preserve">Ecole Normale Superieure de Lyon (ENS de LYON); Universite Claude Bernard Lyon 1; Centre National de la Recherche Scientifique (CNRS); CNRS - National Institute for Biology (INSB); Institut National de la Sante et de la Recherche Medicale (Inserm); CHU Lyon; King George's Medical University; Chinese Academy of Medical Sciences - Peking Union Medical College; Institute of Pathogen Biology - CAMS; Peking Union Medical College; Chinese Academy of Medical Sciences - Peking Union Medical College; Institute of Pathogen Biology - CAMS; Peking Union Medical College; Erasmus University Rotterdam; Erasmus MC; Universidad Nacional de Asuncion; Research Institute for Health Sciences (IICS); Mongolian Academy of Sciences; Institut National de la Sante et de la Recherche Medicale (Inserm)</t>
  </si>
  <si>
    <t xml:space="preserve">Dananché, C (corresponding author), Univ Claude Bernard Lyon 1, INSERM U1111, Ctr Int Rech Infectiol,ENS Lyon,CNRS UMR5308, Team Publ Hlth Epidemiol &amp; Evolutionary Ecol Infe, 7-11 Rue Guillaume Paradin, F-69372 Lyon, France.</t>
  </si>
  <si>
    <t xml:space="preserve">cedric.dananche@chu-lyon.fr; baccala@biomerieux.com; melina.messaoudi@fondation-merieux.org; dr_mame@yahoo.fr; shally07@gmail.com; bavdekar@vsnl.com; jwpape@gheskio.org; vrouzier@gheskio.org; wangjw28@163.com; sanghsk@yahoo.com; souleymane.diallo@cicm-mali.org; cmonidarin@uhs.edu.kh; techheng@yahoo.com; mala@cicm-madagascar.com; endtz@fondation-merieux.org; skimmilk@163.com; dashyandag@mobinet.mn; rmguillen@gmail.com; nymadawa@gyals.mn; grusso@rieder.net.py; florence.pradel@fondation-merieux.org; philippe.vanhems@chu-lyon.fr; valentina.picot@fondation-merieux.org</t>
  </si>
  <si>
    <t xml:space="preserve">Wang, Jianwei/W-5916-2019; Ren, Lili/ACL-3052-2022</t>
  </si>
  <si>
    <t xml:space="preserve">GUILLEN FRETES, ROSA MARIA/0000-0002-4778-4960; SYLLA, MARIAM/0000-0001-9967-9356; Rakoto Andrianarivelo, Mala/0000-0001-6767-9554; Russomando, Graciela/0000-0003-4107-2038</t>
  </si>
  <si>
    <t xml:space="preserve">10.4269/ajtmh.21-0980</t>
  </si>
  <si>
    <t xml:space="preserve">1J5YT</t>
  </si>
  <si>
    <t xml:space="preserve">WOS:000797995100017</t>
  </si>
  <si>
    <t xml:space="preserve">Tong, S; Amand, C; Kieffer, A; Kyaw, MH</t>
  </si>
  <si>
    <t xml:space="preserve">Tong, Sabine; Amand, Caroline; Kieffer, Alexia; Kyaw, Moe H.</t>
  </si>
  <si>
    <t xml:space="preserve">Incidence of respiratory syncytial virus related health care utilization in the United States</t>
  </si>
  <si>
    <t xml:space="preserve">Medicine; Bronchiolitis; Incidence (geometry); Emergency department; Pediatrics; Health care; Population</t>
  </si>
  <si>
    <t xml:space="preserve">HUMAN METAPNEUMOVIRUS; INFLUENZA-VIRUS; YOUNG-CHILDREN; RISK-FACTORS; INFECTIONS; HOSPITALIZATIONS; BURDEN; RSV</t>
  </si>
  <si>
    <t xml:space="preserve">Background Respiratory Syncytial Virus (RSV) is one of the most frequent causes of acute respiratory infection worldwide. Understanding age-specific health care utilization is necessary to guide effective prevention strategies. This retrospective database analysis assessed the incidence rates of RSV-related health care utilization in the USA over a 7-year period. Methods Episodes of RSV were identified in the Truven Health Market-Scan (R) Commercial Claims and Encounters database between 2008 and 2014 using ICD-9-CM codes for pneumonia, bronchiolitis and RSV (480-486, 487.0, 466.1, 491.2, 079.6). Annual RSV-related health care utilization was calculated for the total population, by age group (&lt;1, 1, 2-4, 5-17, 18-49, 50-64, 65-74, 75-84 and &gt;= 85 years) and the proportion of cases for each setting (hospitalization, outpatient, or emergency department [ED] / urgent care [UC]). Results: Over the 7-year study period, the mean rate of all RSV-associated health care utilization was 2.4 per 1000 person-years, with mean rates ranging from 2.0 to 2.6). The highest rate was seen in infants aged &lt;1 year (mean 79.0 per 1000 over the 7-year period), which decreased with increasing age in the range 2-49 years before increasing with age in older adults (mean rate 8.1 per 1000 over the 7-year period in those &gt;= 85 years). Of all RSV cases, 82% were reported in an outpatient setting, 11% in the ED/UC and 7% were hospitalized. Conclusions: The annual RSV-related healthcare utilization rates were substantial, especially in infants and young children. These results underscore the need to accelerate the development of RSV prevention strategies to reduce the healthcare burden of RSV.</t>
  </si>
  <si>
    <t xml:space="preserve">[Tong, Sabine] IVIDATA Stats, Levallois Perret, France; [Amand, Caroline] Sanofi, Chilly Mazarin, France; [Kieffer, Alexia] Sanofi Pasteur, Lyon, France; [Kyaw, Moe H.] Sanofi Pasteur, Swiftwater, PA USA; [Kyaw, Moe H.] Boehringer Ingelheim GmbH &amp; Co KG, Ridgefield, CT USA</t>
  </si>
  <si>
    <t xml:space="preserve">Sanofi-Aventis; Sanofi France; Sanofi-Aventis; Sanofi France; Sanofi-Aventis; Sanofi USA; Boehringer Ingelheim</t>
  </si>
  <si>
    <t xml:space="preserve">Kyaw, MH (corresponding author), 900 Ridgebury Rd, Ridgefield, CT 06877 USA.</t>
  </si>
  <si>
    <t xml:space="preserve">MKyaw11@gmail.com</t>
  </si>
  <si>
    <t xml:space="preserve">Sanofi Pasteur</t>
  </si>
  <si>
    <t xml:space="preserve">Study funding was provided by Sanofi Pasteur. The study sponsor had no role in the study design or in the collection or analysis of the data; an employee of Sanofi Pasteur, as an author, had a role in interpreting the data, in the writing of the report and in the decision to submit the paper for publication.</t>
  </si>
  <si>
    <t xml:space="preserve">CALEDONIAN EXCHANGE, 19A CANNING ST, EDINBURGH, ENGLAND</t>
  </si>
  <si>
    <t xml:space="preserve">10.7189/jogh.10.020422</t>
  </si>
  <si>
    <t xml:space="preserve">PZ1CH</t>
  </si>
  <si>
    <t xml:space="preserve">WOS:000612476300134</t>
  </si>
  <si>
    <t xml:space="preserve">Zhang, C; Xiao, Y; Du, J; Ren, LL; Wang, JW; Peng, JP; Jin, Q</t>
  </si>
  <si>
    <t xml:space="preserve">Zhang, Chi; Xiao, Yan; Du, Jiang; Ren, Lili; Wang, Jianwei; Peng, Junping; Jin, Qi</t>
  </si>
  <si>
    <t xml:space="preserve">Application of Multiplex PCR Coupled with Matrix-Assisted Laser Desorption Ionization-Time of Flight Analysis for Simultaneous Detection of 21 Common Respiratory Viruses</t>
  </si>
  <si>
    <t xml:space="preserve">Respiratory system; Multiplex; Respiratory tract infections</t>
  </si>
  <si>
    <t xml:space="preserve">INFLUENZA-A H7N9; REAL-TIME; HUMAN METAPNEUMOVIRUS; VIRAL COINFECTIONS; SYNCYTIAL-VIRUS; NESTED-PCR; CLINICAL SPECIMENS; CORONAVIRUS HKU1; TRACT INFECTION; RAPID DETECTION</t>
  </si>
  <si>
    <t xml:space="preserve">Respiratory infections continue to pose a significant threat to human health. It is important to accurately and rapidly detect respiratory viruses. To compensate for the limits of current respiratory virus detection methods, we developed a 24-plex analysis (common respiratory virus-mass spectrometry [CRV-MS]) that can simultaneously detect and identify 21 common respiratory viruses based on a matrix-assisted laser desorption ionization-time of flight (MALDI-TOF) mass spectrometry system. To evaluate the efficacy of the CRV-MS method, we used 102 samples that were confirmed positive for these common respiratory viruses. All tests using the CRV-MS method were effective, with no cross-reactivity observed with other common respiratory viruses. To confirm the usefulness of the CRV-MS method, we screened 336 nasal and throat swabs that were collected from adults or children with suspected viral acute respiratory tract infections using the CRV-MS method and consensus PCR/reverse transcription-PCR (RT-PCR) methods. Excluding four RNase P-negative samples, the CRV-MS and consensus PCR/RT-PCR methods detected respiratory viruses in 92.5% (307/332) and 89.5% (297/332) of the samples, respectively. The two methods yielded identical results for 306 (92.2%) samples, including negative results for 25 samples (7.5%) and positive results for 281 samples (84.6%). Differences between the two methods may reflect their different sensitivities. The CRV-MS method proved to be sensitive and robust, and it can be used in large-scale epidemiological studies of common respiratory virus infections.</t>
  </si>
  <si>
    <t xml:space="preserve">[Zhang, Chi; Xiao, Yan; Du, Jiang; Ren, Lili; Wang, Jianwei; Peng, Junping; Jin, Qi] Chinese Acad Med Sci, Inst Pathogen Biol, MOH Key Lab Syst Biol Pathogens, Beijing 100730, Peoples R China; [Xiao, Yan; Ren, Lili; Wang, Jianwei] Chinese Acad Med Sci, Inst Pathogen Biol, Christophe Merieux Lab, Beijing 100730, Peoples R China; Peking Union Med Coll, Beijing 100021, Peoples R China</t>
  </si>
  <si>
    <t xml:space="preserve">Peng, JP (corresponding author), Chinese Acad Med Sci, Inst Pathogen Biol, MOH Key Lab Syst Biol Pathogens, Beijing 100730, Peoples R China.</t>
  </si>
  <si>
    <t xml:space="preserve">pengjp@gmail.com; zdsys@vip.sina.com</t>
  </si>
  <si>
    <t xml:space="preserve">Ren, Lili/ACL-3052-2022; Wang, Jianwei/W-5916-2019; Peng, Junping/AET-0267-2022</t>
  </si>
  <si>
    <t xml:space="preserve">Ministry of Science and Technology of the People's Republic of China [2014ZX10004-001]; National Health and Family Planning Commission of the People's Republic of China [201402001]; Program for Changjiang Scholars and Innovative Research Team in University [IRT13007]; Institute of Pathogen Biology, CAMSPUMC [2013IPB102]; PUMC Youth Fund; Fundamental Research Funds for the Central Universities [3332013118]</t>
  </si>
  <si>
    <t xml:space="preserve">Ministry of Science and Technology of the People's Republic of China(Ministry of Science and Technology, China); National Health and Family Planning Commission of the People's Republic of China; Program for Changjiang Scholars and Innovative Research Team in University(Program for Changjiang Scholars &amp; Innovative Research Team in University (PCSIRT)); Institute of Pathogen Biology, CAMSPUMC; PUMC Youth Fund; Fundamental Research Funds for the Central Universities(Fundamental Research Funds for the Central Universities)</t>
  </si>
  <si>
    <t xml:space="preserve">This work was supported by grants from the Ministry of Science and Technology of the People's Republic of China (grant 2014ZX10004-001), the National Health and Family Planning Commission of the People's Republic of China (grant 201402001), the Program for Changjiang Scholars and Innovative Research Team in University (grant IRT13007), the Institute of Pathogen Biology, CAMS&amp;PUMC (grant 2013IPB102), the PUMC Youth Fund, and the Fundamental Research Funds for the Central Universities (grant 3332013118).</t>
  </si>
  <si>
    <t xml:space="preserve">10.1128/JCM.00943-15</t>
  </si>
  <si>
    <t xml:space="preserve">CN2YV</t>
  </si>
  <si>
    <t xml:space="preserve">WOS:000358290200022</t>
  </si>
  <si>
    <t xml:space="preserve">Permpalung, N; Bazemore, K; Chiang, TPY; Mathew, J; Barker, L; Nematollahi, S; Cochran, W; Sait, AS; Avery, RK; Shah, PD</t>
  </si>
  <si>
    <t xml:space="preserve">Permpalung, Nitipong; Bazemore, Katrina; Chiang, Teresa Po-Yu; Mathew, Joby; Barker, Lindsay; Nematollahi, Saman; Cochran, Willa; Sait, Afrah S.; Avery, Robin K.; Shah, Pali D.</t>
  </si>
  <si>
    <t xml:space="preserve">Impact of COVID-19 on Lung Allograft and Clinical Outcomes in Lung Transplant Recipients: A Case-control Study</t>
  </si>
  <si>
    <t xml:space="preserve">Medicine; Lung; Lung transplantation; Incidence (geometry); Internal medicine</t>
  </si>
  <si>
    <t xml:space="preserve">HUMAN METAPNEUMOVIRUS; WORKING FORMULATION; RESPIRATORY VIRUSES; INFECTION; STANDARDIZATION; DIAGNOSIS</t>
  </si>
  <si>
    <t xml:space="preserve">Background. The impacts of COVID-19 on lung allograft function, rejection, secondary infection, and clinical outcomes in lung transplant recipients (LTRs) remain unknown. Methods. A 1:2 matched case-control study was performed to evaluate rehospitalization, lung allograft function, and secondary infections up to 90 d after COVID-19 diagnosis (or index dates for controls). Results. Twenty-four LTRs with COVID-19 (cases) and 48 controls were identified. Cases and controls had similar baseline characteristics and lung allograft function. LTRs with COVID-19 had higher incidence of secondary bacterial infection (29.2% versus 6.3%, P = 0.008), readmission (29.2% versus 10.4%, P = 0.04), and for-cause bronchoscopy (33.3% versus 12.5%, P = 0.04) compared with controls. At d 90, mortality in cases versus controls was 8.3% versus 2.1% (P = 0.21), incidence of invasive fungal infections in cases versus controls was 20.8% versus 8.3% (P = 0.13) and forced expiratory volume in 1 s (FEV1) decline &gt;= 10% from baseline occurred in 19% of cases versus 12.2% of controls (P = 0.46). No acute cellular rejection, acute antibody-mediated rejection, or new donor-specific anti-HLA antibodies were observed among cases or controls within 90 d post index date. Conclusions. We found LTRs with COVID-19 were at risk to develop secondary infections and rehospitalization post COVID-19, compared with controls. While we did not observe post viral acute cellular rejection or antibody-mediated rejection, further studies are needed to understand if LTRs with COVID-19 who did not recover baseline lung function within 90 d have developed chronic lung allograft dysfunction stage progression.</t>
  </si>
  <si>
    <t xml:space="preserve">[Permpalung, Nitipong; Nematollahi, Saman; Sait, Afrah S.; Avery, Robin K.] Johns Hopkins Univ, Sch Med, Dept Med, Div Infect Dis, 601N Wolfe St,Carnegie Bldg Room 340, Baltimore, MD 21205 USA; [Permpalung, Nitipong] Chulalongkorn Univ, Fac Med, Dept Microbiol, Div Mycol, Bangkok, Thailand; [Bazemore, Katrina; Mathew, Joby; Barker, Lindsay; Shah, Pali D.] Johns Hopkins Univ, Dept Med, Div Pulm &amp; Crit Care, Sch Med, Baltimore, MD 21205 USA; [Chiang, Teresa Po-Yu; Cochran, Willa] Johns Hopkins Univ, Dept Surg, Sch Med, Baltimore, MD 21205 USA</t>
  </si>
  <si>
    <t xml:space="preserve">Johns Hopkins University; Chulalongkorn University; Johns Hopkins University; Johns Hopkins University</t>
  </si>
  <si>
    <t xml:space="preserve">Permpalung, N (corresponding author), Johns Hopkins Univ, Sch Med, Dept Med, Div Infect Dis, 601N Wolfe St,Carnegie Bldg Room 340, Baltimore, MD 21205 USA.</t>
  </si>
  <si>
    <t xml:space="preserve">Permpalung, Nitipong/R-3686-2018; Chiang, Po-Yu/GSJ-0380-2022</t>
  </si>
  <si>
    <t xml:space="preserve">Permpalung, Nitipong/0000-0002-0749-7342; Chiang, Po-Yu/0000-0003-0601-7420; Cochran, Willa/0009-0009-0750-1768; Bazemore, Katrina/0000-0002-2006-623X</t>
  </si>
  <si>
    <t xml:space="preserve">10.1097/TP.0000000000003839</t>
  </si>
  <si>
    <t xml:space="preserve">UE3TM</t>
  </si>
  <si>
    <t xml:space="preserve">WOS:000687814500036</t>
  </si>
  <si>
    <t xml:space="preserve">Nair, H; Nokes, DJ; Gessner, BD; Dherani, M; Madhi, SA; Singleton, RJ; O'Brien, KL; Roca, A; Wright, PF; Bruce, N; Chandran, A; Theodoratou, E; Sutanto, A; Sedyaningsih, ER; Ngama, M; Munywoki, PK; Kartasasmita, C; Simoes, EAF; Rudan, I; Weber, MW; Campbell, H</t>
  </si>
  <si>
    <t xml:space="preserve">Nair, Harish; Nokes, D. James; Gessner, Bradford D.; Dherani, Mukesh; Madhi, Shabir A.; Singleton, Rosalyn J.; O'Brien, Katherine L.; Roca, Anna; Wright, Peter F.; Bruce, Nigel; Chandran, Aruna; Theodoratou, Evropi; Sutanto, Agustinus; Sedyaningsih, Endang R.; Ngama, Mwanajuma; Munywoki, Patrick K.; Kartasasmita, Cissy; Simoes, Eric A. F.; Rudan, Igor; Weber, Martin W.; Campbell, Harry</t>
  </si>
  <si>
    <t xml:space="preserve">Global burden of acute lower respiratory infections due to respiratory syncytial virus in young children: a systematic review and meta-analysis</t>
  </si>
  <si>
    <t xml:space="preserve">Medicine; Incidence (geometry); Case fatality rate; Pediatrics; Population; Pneumonia</t>
  </si>
  <si>
    <t xml:space="preserve">HUMAN METAPNEUMOVIRUS; TRACT INFECTIONS; INFLUENZA-VIRUS; DISEASE; PNEUMONIA; RSV; EPIDEMIOLOGY; POPULATION; AGE; BRONCHIOLITIS</t>
  </si>
  <si>
    <t xml:space="preserve">Background The global burden of disease attributable to respiratory syncytial virus (RSV) remains unknown. We aimed to estimate the global incidence of and mortality from episodes of acute lower respiratory infection (ALRI) due to RSV in children younger than 5 years in 2005. Methods We estimated the incidence of RSV-associated ALRI in children younger than 5 years, stratified by age, using data from a systematic review of studies published between January, 1995, and June, 2009, and ten unpublished population-based studies. We estimated possible boundaries for RSV-associated ALRI mortality by combining case fatality ratios with incidence estimates from hospital-based reports from published and unpublished studies and identifying studies with population-based data for RSV seasonality and monthly ALRI mortality. Findings In 2005, an estimated 33.8 (95% CI 19.3-46-2) million new episodes of RSV-associated ALRI occurred worldwide in children younger than 5 years (22% of ALRI episodes), with at least 3.4 (2.8-4.3) million episodes representing severe RSV-associated ALRI necessitating hospital admission. We estimated that 66 000-199 000 children younger than 5 years died from RSV-associated ALRI in 2005, with 99% of these deaths occurring in developing countries. Incidence and mortality can vary substantially from year to year in any one setting. Interpretation Globally, RSV is the most common cause of childhood ALRI and a major cause of admission to hospital as a result of severe ALRI. Mortality data suggest that RSV is an important cause of death in childhood from ALRI, after pneumococcal pneumonia and Haemophilus influenzae type b. The development of novel prevention and treatment strategies should be accelerated as a priority.</t>
  </si>
  <si>
    <t xml:space="preserve">[Campbell, Harry] Univ Edinburgh, Ctr Populat Hlth Sci, Sch Med, Global Hlth Acad, Edinburgh EH8 9AG, Midlothian, Scotland; [Nair, Harish] Publ Hlth Fdn India, New Delhi, India; [Nokes, D. James; Ngama, Mwanajuma; Munywoki, Patrick K.] Ctr Geog Med Res Coast, KEMRI, Kilifi, Kenya; [Nokes, D. James] Univ Warwick, Dept Biol Sci, Coventry CV4 7AL, W Midlands, England; [Gessner, Bradford D.] Agence Med Prevent, Paris, France; [Dherani, Mukesh; Bruce, Nigel] Univ Liverpool, Div Publ Hlth, Liverpool L69 3BX, Merseyside, England; [Madhi, Shabir A.] Univ Witwatersrand, MRC, Resp &amp; Meningeal Pathogens Res Unit, Johannesburg, South Africa; [Madhi, Shabir A.] Univ Witwatersrand, Dept Sci &amp; Technol, Natl Res Fdn Vaccine Preventable Dis, Johannesburg, South Africa; [Singleton, Rosalyn J.] Alaska Native Tribal Hlth Consortium, Anchorage, AK USA; [Singleton, Rosalyn J.] CDC, Arctic Invest Program, Natl Ctr Preparedness Detect &amp; Control Infect Dis, Anchorage, AK USA; [O'Brien, Katherine L.; Chandran, Aruna] Johns Hopkins Bloomberg Sch Publ Hlth, Ctr Amer Indian Hlth, Baltimore, MD USA; [Roca, Anna] Univ Barcelona, Hosp Clin, IDIBAPS, Barcelona Ctr Int Hlth Res CRESIB, Barcelona, Spain; [Roca, Anna] Minist Saude, CISM, Maputo, Mozambique; [Wright, Peter F.] Dartmouth Med Sch, Div Infect Dis &amp; Int Hlth, Lebanon, NH USA; [Sutanto, Agustinus] W Nusa Tenggara Prov Govt, Lombok, Indonesia; [Sedyaningsih, Endang R.] Indonesian Minist Hlth, Jakarta, Indonesia; [Kartasasmita, Cissy] Padjadjaran State Univ, Hasan Sadikin Gen Hosp, Fac Med, Bandung, Indonesia; [Simoes, Eric A. F.] Univ Colorado, Denver, CO 80202 USA; [Simoes, Eric A. F.] Childrens Hosp, Denver, CO 80218 USA; [Rudan, Igor] Univ Split, Fac Med, Croatian Ctr Global Hlth, Split, Croatia; [Weber, Martin W.] WHO, Indonesia Country Off, Jakarta, Indonesia</t>
  </si>
  <si>
    <t xml:space="preserve">University of Edinburgh; Public Health Foundation of India; University of Warwick; Agence de Medecine Preventive; University of Liverpool; University of Witwatersrand; University of Witwatersrand; National Research Foundation - South Africa; Alaska Native Tribal Health Consortium; Centers for Disease Control &amp; Prevention - USA; Johns Hopkins University; Johns Hopkins Bloomberg School of Public Health; ISGlobal; CRESIB; University of Barcelona; Hospital Clinic de Barcelona; IDIBAPS; Centro de Investigacao em Saude de Manhica; Dartmouth College; Ministry of Health - Indonesia; Universitas Padjadjaran; Dr Hasan Sadikin General Hospital; University of Colorado System; University of Colorado Denver; Children's Hospital Colorado; University of Split; World Health Organization</t>
  </si>
  <si>
    <t xml:space="preserve">Campbell, H (corresponding author), Univ Edinburgh, Ctr Populat Hlth Sci, Sch Med, Global Hlth Acad, Teviot Pl, Edinburgh EH8 9AG, Midlothian, Scotland.</t>
  </si>
  <si>
    <t xml:space="preserve">Harry.Campbell@ed.ac.uk</t>
  </si>
  <si>
    <t xml:space="preserve">Campbell, Harry/E-2959-2010; Rudan, Igor/JOJ-5671-2023; Munywoki, Patrick/GQP-4775-2022; Atwell, Jessica/IVV-7755-2023; Weber, Martin/GPW-6095-2022; Rudan, Igor/I-1467-2012; Theodoratou, Evropi/C-3430-2014; Nair, Harish/E-7431-2010</t>
  </si>
  <si>
    <t xml:space="preserve">Madhi, Shabir/0000-0002-7629-0636; Dherani, Mukesh/0000-0002-3055-9636; Rudan, Igor/0000-0001-6993-6884; Munywoki, Patrick K./0000-0001-9419-7155; O'Brien, Katherine/0000-0002-0164-4030; Theodoratou, Evropi/0000-0001-5887-9132; Nair, Harish/0000-0002-9432-9100; Nokes, James/0000-0001-5426-1984</t>
  </si>
  <si>
    <t xml:space="preserve">WHO CAH [WHO OD/AP-07-04680]; Bill &amp; Melinda Gates Foundation [R41202]; Wellcome Trust [061584, 076278]; Spanish Ministry of Education and Science (Ramon y Cajal) [RYC-2008-02777]</t>
  </si>
  <si>
    <t xml:space="preserve">WHO CAH; Bill &amp; Melinda Gates Foundation(Bill &amp; Melinda Gates FoundationBill &amp; Melinda Gates Foundation Grand Challenges Explorations InitiativeCGIAR); Wellcome Trust(Wellcome Trust); Spanish Ministry of Education and Science (Ramon y Cajal)(Spanish Government)</t>
  </si>
  <si>
    <t xml:space="preserve">This work was done as part of the wider programme of the Child Epidemiology Reference Group (CHERG) to establish the major causes of global childhood disease burden. We thank Emelda A Okiro, Ann Bett, John Abwao (KEMRI-Wellcome Trust Research Programme, Kenya); Dana Bruden (Arctic Investigations Program, National Center for Preparedness, Detection and Control of Infectious Disease, CDC, Anchorage, AK, USA); Byron Arana (Center for Health Studies, Universidad del Valle de Guatemala, Guatemala City, Guatemala); Keith P Kingman (University of the Witwatersrand/Medical Research Council: Respiratory and Meningeal Pathogens Research Unit and Hubert Department of Global Health, Rollins School of Public Health and Division of Infectious Diseases, School of Medicine, Emory University, Atlanta, GA, USA); Pedro Alonso (Barcelona Centre for International Health Research (CRESIB), Hospital Clinic/IDIBAPS, Universitat de Barcelona, Spain and Centro de Investigacao em Saude da Manhica (CISM), Ministerio de Sande, Mozambique); Llorenc Quinto (Barcelona Centre for International Health Research (CRESIB), Hospital Clinic/IDIBAPS, Universitat de Barcelona, Spain); Kuswandewi Mutyara (Medical Faculty, Padjadjaran University, Hasan Sadikin General Hospital, Bandung, Indonesia); Lesley C McGoohan (Centre for Population Studies, Global Health Academy, The University of Edinburgh) assistance with some of the illustrations in this report; and Douglas Holtzman (Bill &amp; Melinda Gates Foundation, Seattle, WA, USA) for participating in the expert group meeting in Edinburgh and reviewing the report. Financial support for this work was provided by WHO CAH (grant number WHO OD/AP-07-04680) and the Bill &amp; Melinda Gates Foundation (R41202). Studies from Kilifi, Kenya received Wellcome Trust funding (061584, 076278). AR was supported by a grant from the Spanish Ministry of Education and Science (Ramon y Cajal: RYC-2008-02777). MWW is a WHO staff member; he is responsible for the views expressed in this publication and they do not necessarily represent the decisions or the policies of WHO.</t>
  </si>
  <si>
    <t xml:space="preserve">10.1016/S0140-6736(10)60206-1</t>
  </si>
  <si>
    <t xml:space="preserve">596AH</t>
  </si>
  <si>
    <t xml:space="preserve">WOS:000277655100027</t>
  </si>
  <si>
    <t xml:space="preserve">Branche, AR; Rouphael, NG; Diemert, DJ; Falsey, AR; Losada, C; Baden, LR; Frey, SE; Whitaker, JA; Little, SJ; Anderson, EJ; Walter, EB; Novak, RM; Rupp, R; Jackson, LA; Babu, TM; Kottkamp, AC; Luetkemeyer, AF; Immergluck, LC; Presti, RM; Baecker, M; Winokur, PL; Mahgoub, SM; Goepfert, PA; Fusco, DN; Malkin, E; Bethony, JM; Walsh, EE; Graciaa, DS; Samaha, H; Sherman, AC; Walsh, SR; Abate, G; Oikonomopoulou, Z; El Sahly, HM; Martin, TCS; Kamidani, S; Smith, MJ; Ladner, BG; Porterfield, L; Dunstan, M; Wald, A; Davis, T; Atmar, RL; Mulligan, MJ; Lyke, KE; Posavad, CM; Meagher, MA; Stephens, DS; Neuzil, KM; Abebe, K; Hill, H; Albert, J; Telu, K; Mu, JJ; Lewis, TC; Giebeig, LA; Eaton, A; Netzl, A; Wilks, SH; Tuereli, S; Makhene, M; Crandon, S; Montefiori, DC; Makowski, M; Smith, DJ; Nayak, SU; Roberts, PC; Beigel, JH; COVAIL Study Grp</t>
  </si>
  <si>
    <t xml:space="preserve">Branche, Angela R.; Rouphael, Nadine G.; Diemert, David J.; Falsey, Ann R.; Losada, Cecilia; Baden, Lindsey R.; Frey, Sharon E.; Whitaker, Jennifer A.; Little, Susan J.; Anderson, Evan J.; Walter, Emmanuel B.; Novak, Richard M.; Rupp, Richard; Jackson, Lisa A.; Babu, Tara M.; Kottkamp, Angelica C.; Luetkemeyer, Anne F.; Immergluck, Lilly C.; Presti, Rachel M.; Baecker, Martin; Winokur, Patricia L.; Mahgoub, Siham M.; Goepfert, Paul A.; Fusco, Dahlene N.; Malkin, Elissa; Bethony, Jeffrey M.; Walsh, Edward E.; Graciaa, Daniel S.; Samaha, Hady; Sherman, Amy C.; Walsh, Stephen R.; Abate, Getahun; Oikonomopoulou, Zacharoula; El Sahly, Hana M.; Martin, Thomas C. S.; Kamidani, Satoshi; Smith, Michael J.; Ladner, Benjamin G.; Porterfield, Laura; Dunstan, Maya; Wald, Anna; Davis, Tamia; Atmar, Robert L.; Mulligan, Mark J.; Lyke, Kirsten E.; Posavad, Christine M.; Meagher, Megan A.; Stephens, David S.; Neuzil, Kathleen M.; Abebe, Kuleni; Hill, Heather; Albert, Jim; Telu, Kalyani; Mu, Jinjian; Lewis, Teri C.; Giebeig, Lisa A.; Eaton, Amanda; Netzl, Antonia; Wilks, Samuel H.; Tuereli, Sina; Makhene, Mamodikoe; Crandon, Sonja; Montefiori, David C.; Makowski, Mat; Smith, Derek J.; Nayak, Seema U.; Roberts, Paul C.; Beigel, John H.; COVAIL Study Grp</t>
  </si>
  <si>
    <t xml:space="preserve">Comparison of bivalent and monovalent SARS-CoV-2 variant vaccines: the phase 2 randomized open-label COVAIL trial</t>
  </si>
  <si>
    <t xml:space="preserve">Bivalent (engine); Severe acute respiratory syndrome coronavirus 2 (SARS-CoV-2); Coronavirus disease 2019 (COVID-19); Virology; Open label; 2019-20 coronavirus outbreak</t>
  </si>
  <si>
    <t xml:space="preserve">HUMAN METAPNEUMOVIRUS; OMICRON; INFECTION; VACCINATION</t>
  </si>
  <si>
    <t xml:space="preserve">Vaccine protection against severe acute respiratory syndrome coronavirus 2 (SARS-CoV-2) infection wanes over time, requiring updated boosters. In a phase 2, open-label, randomized clinical trial with sequentially enrolled stages at 22 US sites, we assessed safety and immunogenicity of a second boost with monovalent or bivalent variant vaccines from mRNA and protein-based platforms targeting wild-type, Beta, Delta and Omicron BA.1 spike antigens. The primary outcome was pseudovirus neutralization titers at 50% inhibitory dilution (ID50 titers) with 95% confidence intervals against different SARS-CoV-2 strains. The secondary outcome assessed safety by solicited local and systemic adverse events (AEs), unsolicited AEs, serious AEs and AEs of special interest. Boosting with prototype/wild-type vaccines produced numerically lower ID50 titers than any variant-containing vaccine against all variants. Conversely, boosting with a variant vaccine excluding prototype was not associated with decreased neutralization against D614G. Omicron BA.1 or Beta monovalent vaccines were nearly equivalent to Omicron BA.1 + prototype or Beta + prototype bivalent vaccines for neutralization of Beta, Omicron BA.1 and Omicron BA.4/5, although they were lower for contemporaneous Omicron subvariants. Safety was similar across arms and stages and comparable to previous reports. Our study shows that updated vaccines targeting Beta or Omicron BA.1 provide broadly crossprotective neutralizing antibody responses against diverse SARS-CoV-2 variants without sacrificing immunity to the ancestral strain. ClinicalTrials.gov registration: NCT05289037. Analysis of antibody responses to COVID-19 vaccines encoding variant-specific spike, with or without ancestral spike, suggests no loss of neutralization of the ancestral virus with variant-only vaccines, which may simplify future vaccine updates.</t>
  </si>
  <si>
    <t xml:space="preserve">[Branche, Angela R.; Falsey, Ann R.; Walsh, Edward E.] Univ Rochester, Dept Med, Div Infect Dis, Rochester, NY 55905 USA; [Rouphael, Nadine G.; Losada, Cecilia; Graciaa, Daniel S.; Samaha, Hady] Emory Univ, Hope Clin, Decatur, GA USA; [Diemert, David J.; Malkin, Elissa; Bethony, Jeffrey M.] George Washington Univ, George Washington Vaccine Res Unit, Washington, DC USA; [Baden, Lindsey R.; Sherman, Amy C.; Walsh, Stephen R.] Harvard Med Sch, Brigham &amp; Womens Hosp, Boston, MA USA; [Frey, Sharon E.; Abate, Getahun; Oikonomopoulou, Zacharoula] St Louis Univ, Ctr Vaccine Dev, St Louis, MO USA; [Whitaker, Jennifer A.; El Sahly, Hana M.] Baylor Coll Med, Dept Mol Virol &amp; Microbiol, Houston, TX USA; [Whitaker, Jennifer A.; El Sahly, Hana M.] Baylor Coll Med, Dept Med, Houston, TX USA; [Little, Susan J.; Martin, Thomas C. S.] Univ Calif San Diego, Dept Med, Div Infect Dis &amp; Global Publ Hlth, La Jolla, CA USA; [Anderson, Evan J.; Kamidani, Satoshi] Childrens Healthcare Atlanta, Ctr Childhood Infect &amp; Vaccines CCIV, Atlanta, GA USA; [Anderson, Evan J.; Kamidani, Satoshi] Emory Univ, Dept Pediat, Atlanta, GA USA; [Walter, Emmanuel B.; Smith, Michael J.; Eaton, Amanda; Montefiori, David C.] Duke Univ, Sch Med, Duke Human Vaccine Inst, Durham, NC USA; [Novak, Richard M.; Ladner, Benjamin G.] Univ Illinois, Project WISH, Chicago, IL USA; [Rupp, Richard; Porterfield, Laura] Univ Texas Med Branch, Galveston, TX USA; [Jackson, Lisa A.; Dunstan, Maya] Kaiser Permanente Washington Hlth Res Inst, Seattle, WA USA; [Babu, Tara M.; Wald, Anna] Univ Washington, Dept Med, Vaccines &amp; Infect Dis Div, Fred Hutchinson Canc Ctr, Seattle, WA USA; [Babu, Tara M.; Wald, Anna] Univ Washington, Fred Hutchinson Canc Ctr, Vaccines &amp; Infect Dis Div, Dept Epidemiol, Seattle, WA USA; [Babu, Tara M.; Wald, Anna] Univ Washington, Fred Hutchinson Canc Ctr, Dept Lab Med &amp; Pathol, Vaccines &amp; Infect Dis Div, Seattle, WA USA; [Kottkamp, Angelica C.; Davis, Tamia; Mulligan, Mark J.] NYU Grossman Sch Med, NYU VTEU Manhattan Res Clin, New York, NY USA; [Luetkemeyer, Anne F.] Univ Calif San Francisco, Zuckerberg San Francisco Gen, San Francisco, CA USA; [Immergluck, Lilly C.] Morehouse Sch Med, Dept Microbiol Biochem &amp; Immunol, Atlanta, GA USA; [Immergluck, Lilly C.] Morehouse Sch Med, Clin Res Ctr, Atlanta, GA USA; [Presti, Rachel M.] Washington Univ, Sch Med, St Louis, MO USA; [Baecker, Martin] NYU Long Isl Sch Med, NYU VTEU Long Isl Res Clin, Mineola, NY USA; [Winokur, Patricia L.] Univ Iowa, Coll Med, Iowa City, IA USA; [Mahgoub, Siham M.] Howard Univ, Coll Med, Howard Univ Hosp, Washington, DC USA; [Goepfert, Paul A.] Univ Alabama Birmingham, Dept Med, Birmingham, AL USA; [Fusco, Dahlene N.] Tulane Univ, Sch Med, New Orleans, LA USA; [Lyke, Kirsten E.; Neuzil, Kathleen M.] Univ Maryland, Sch Med Baltimore, Ctr Vaccine Dev &amp; Global Hlth, Baltimore, MD USA; [Posavad, Christine M.; Meagher, Megan A.] Fred Hutchinson Canc Res Ctr, IDCRC Lab Operat Unit, Seattle, WA USA; [Stephens, David S.] Emory Univ, Dept Med, Atlanta, GA USA; [Stephens, David S.] Emory Univ, Woodruff Hlth Sci Ctr, Atlanta, GA USA; [Abebe, Kuleni] FHI 360, Durham, NC USA; [Albert, Jim; Telu, Kalyani; Mu, Jinjian; Makowski, Mat] Emmes Co LLC, Rockville, MD USA; [Lewis, Teri C.; Giebeig, Lisa A.] Frederick Natl Lab Canc Res, Clin Monitoring Res Program Directorate, Frederick, MD USA; [Hill, Heather; Eaton, Amanda; Montefiori, David C.] Duke Univ, Dept Surg, Med Ctr, Durham, NC USA; [Netzl, Antonia; Wilks, Samuel H.; Tuereli, Sina; Smith, Derek J.] Univ Cambridge, Ctr Pathogen Evolut, Dept Zool, Cambridge, England; [Makhene, Mamodikoe; Crandon, Sonja; Nayak, Seema U.; Roberts, Paul C.; Beigel, John H.] NIAID, Div Microbiol &amp; Infect Dis, NIH, Bethesda, MD USA</t>
  </si>
  <si>
    <t xml:space="preserve">University of Rochester; Emory University; George Washington University; Harvard University; Harvard Medical School; Brigham &amp; Women's Hospital; Saint Louis University; Baylor College of Medicine; Baylor College of Medicine; University of California System; University of California San Diego; Children's Healthcare of Atlanta (CHOA); Emory University; Duke University; University of Illinois System; University of Illinois Chicago; University of Illinois Chicago Hospital; University of Texas System; University of Texas Medical Branch Galveston; Kaiser Permanente; Fred Hutchinson Cancer Center; University of Washington; University of Washington Seattle; Fred Hutchinson Cancer Center; University of Washington; University of Washington Seattle; University of Washington; University of Washington Seattle; Fred Hutchinson Cancer Center; University of California System; University of California San Francisco; Morehouse School of Medicine; Morehouse School of Medicine; Washington University (WUSTL); University of Iowa; Howard University; University of Alabama System; University of Alabama Birmingham; Tulane University; University System of Maryland; University of Maryland Baltimore; Fred Hutchinson Cancer Center; Emory University; Emory University; FHI 360; National Institutes of Health (NIH) - USA; NIH National Cancer Institute (NCI); Frederick National Laboratory for Cancer Research; Duke University; University of Cambridge; National Institutes of Health (NIH) - USA; NIH National Institute of Allergy &amp; Infectious Diseases (NIAID)</t>
  </si>
  <si>
    <t xml:space="preserve">Branche, AR (corresponding author), Univ Rochester, Dept Med, Div Infect Dis, Rochester, NY 55905 USA.</t>
  </si>
  <si>
    <t xml:space="preserve">Wilks, Samuel/IUN-0880-2023; Whitaker, JA/ACS-3641-2022; Stephens, David/A-8788-2012; Diemert, David/AAQ-3353-2020; Montefiori, David/ABJ-5204-2022; Smith, Derek/AFB-9387-2022; Little, Susan/AAA-6116-2019</t>
  </si>
  <si>
    <t xml:space="preserve">Rostad, Christina/0000-0001-8439-0592; Diemert, David/0000-0002-2789-0512; BRANCHE, ANGELA/0000-0002-7742-5352; Schmader, Kenneth/0000-0001-5036-2155; Walsh, Stephen/0000-0002-0817-9370; Little, Susan/0000-0002-7645-9737; Anderson, Evan/0000-0002-1576-4420; Goepfert, Paul/0000-0001-8441-5737; Wilks, Samuel/0000-0002-7760-8474; Martin, Thomas/0000-0002-5935-2348</t>
  </si>
  <si>
    <t xml:space="preserve">NIAID [75N91022F00007, 75A50122C00008]; National Cancer Institute, NIH [75N93021C00012]; Office of the Assistant Secretary for Preparedness and Response, Biomedical Advanced Research and Development Authority, under Government; LabCorp [UM1AI148684]; NIAID, NIH [75N93021C00014]; Infectious Diseases Clinical Research Consortium (IDCRC) through the NIAID [75N93019C00050]; NIH-NIAID Centers of Excellence for Influenza Research and Response (CEIRR) [75N93021D00021]; NIAID Collaborative Influenza Vaccine Innovation Centers (CIVICs) [75N93021C00012]; Department of Health and Human Services, Office of the Assistant Secretary for Preparedness and Response, Biomedical Advanced Research and Development Authority</t>
  </si>
  <si>
    <t xml:space="preserve">NIAID(United States Department of Health &amp; Human ServicesNational Institutes of Health (NIH) - USANIH National Institute of Allergy &amp; Infectious Diseases (NIAID)); National Cancer Institute, NIH(United States Department of Health &amp; Human ServicesNational Institutes of Health (NIH) - USANIH National Cancer Institute (NCI)); Office of the Assistant Secretary for Preparedness and Response, Biomedical Advanced Research and Development Authority, under Government; LabCorp; NIAID, NIH(United States Department of Health &amp; Human ServicesNational Institutes of Health (NIH) - USANIH National Institute of Allergy &amp; Infectious Diseases (NIAID)); Infectious Diseases Clinical Research Consortium (IDCRC) through the NIAID; NIH-NIAID Centers of Excellence for Influenza Research and Response (CEIRR); NIAID Collaborative Influenza Vaccine Innovation Centers (CIVICs); Department of Health and Human Services, Office of the Assistant Secretary for Preparedness and Response, Biomedical Advanced Research and Development Authority</t>
  </si>
  <si>
    <t xml:space="preserve">We thank all the participants in this trial; the members of the safety monitoring committee (K. Talaat, J. Treanor, G. Paulsen and D. Stablein), who provided thoughtful discussions resulting in the early trial design; and staff members at Moderna, Pfizer and Sanofi-GSK for their collaboration, scientific input and sharing of documents needed to implement the trial. The COVAIL trial has been funded in part with federal funds from the NIAID and the National Cancer Institute, NIH, under contract HHSN261200800001E 75N910D00024, task order no. 75N91022F00007, and in part by the Office of the Assistant Secretary for Preparedness and Response, Biomedical Advanced Research and Development Authority, under Government Contract no. 75A50122C00008 with Monogram Biosciences, LabCorp. This work was also supported in part with federal funds from the NIAID, NIH, under contract no. 75N93021C00012, and by the Infectious Diseases Clinical Research Consortium (IDCRC) through the NIAID, under award no. UM1AI148684. D.J.S., A.N., S.H.W. and S.T. were supported by the NIH-NIAID Centers of Excellence for Influenza Research and Response (CEIRR) contract no. 75N93021C00014 as part of the SAVE program. D.C.M. and A.E. were supported by the NIAID Collaborative Influenza Vaccine Innovation Centers (CIVICs) contract no. 75N93019C00050. Testing of neutralizing antibody titers by Monogram Biosciences, LabCorp has been funded in part with federal funds from the Department of Health and Human Services, Office of the Assistant Secretary for Preparedness and Response, Biomedical Advanced Research and Development Authority, under contract no. 75A50122C00008. Testing for anti-N-specific antibody was conducted by Cerba Research under contract no. 75N93021D00021. The content of this paper is solely the responsibility of the authors and does not necessarily represent the official views of the NIH-NIAID.</t>
  </si>
  <si>
    <t xml:space="preserve">10.1038/s41591-023-02503-4</t>
  </si>
  <si>
    <t xml:space="preserve">S1NK7</t>
  </si>
  <si>
    <t xml:space="preserve">WOS:001063746200003</t>
  </si>
  <si>
    <t xml:space="preserve">Mordstein, M; Neugebauer, E; Ditt, V; Jessen, B; Rieger, T; Falcone, V; Sorgeloos, F; Ehl, S; Mayer, D; Kochs, G; Schwemmle, M; Günther, S; Drosten, C; Michiels, T; Staeheli, P</t>
  </si>
  <si>
    <t xml:space="preserve">Mordstein, Markus; Neugebauer, Eva; Ditt, Vanessa; Jessen, Birthe; Rieger, Toni; Falcone, Valeria; Sorgeloos, Frederic; Ehl, Stephan; Mayer, Daniel; Kochs, Georg; Schwemmle, Martin; Guenther, Stephan; Drosten, Christian; Michiels, Thomas; Staeheli, Peter</t>
  </si>
  <si>
    <t xml:space="preserve">Lambda Interferon Renders Epithelial Cells of the Respiratory and Gastrointestinal Tracts Resistant to Viral Infections</t>
  </si>
  <si>
    <t xml:space="preserve">Biology; Virology; Interferon; Virus; Receptor; Coronavirus</t>
  </si>
  <si>
    <t xml:space="preserve">INFLUENZA-A VIRUS; ANTIVIRAL ACTIVITY; SYNCYTIAL VIRUS; RECEPTOR; CORONAVIRUS; PROTEIN; IDENTIFICATION; DISEASE; SYSTEM; FAMILY</t>
  </si>
  <si>
    <t xml:space="preserve">Virus-infected cells secrete a broad range of interferons (IFN) which confer resistance to yet uninfected cells by triggering the synthesis of antiviral factors. The relative contributions of the various IFN subtypes to innate immunity against virus infections remain elusive. IFN-alpha, IFN-beta, and other type I IFN molecules signal through a common, universally expressed cell surface receptor, whereas type III IFN (IFN-lambda) uses a distinct cell-type-specific receptor complex for signaling. Using mice lacking functional receptors for type I IFN, type III IFN, or both, we found that IFN-lambda plays an important role in the defense against several human pathogens that infect the respiratory tract, such as influenza A virus, influenza B virus, respiratory syncytial virus, human metapneumovirus, and severe acute respiratory syndrome (SARS) coronavirus. These viruses were more pathogenic and replicated to higher titers in the lungs of mice lacking both IFN receptors than in mice with single IFN receptor defects. In contrast, Lassa fever virus, which infects via the respiratory tract but primarily replicates in the liver, was not influenced by the IFN-lambda receptor defect. Careful analysis revealed that expression of functional IFN-lambda receptor complexes in the lung and intestinal tract is restricted to epithelial cells and a few other, undefined cell types. Interestingly, we found that SARS coronavirus was present in feces from infected mice lacking receptors for both type I and type III IFN but not in those from mice lacking single receptors, supporting the view that IFN-lambda contributes to the control of viral infections in epithelial cells of both respiratory and gastrointestinal tracts.</t>
  </si>
  <si>
    <t xml:space="preserve">[Mordstein, Markus; Falcone, Valeria; Mayer, Daniel; Kochs, Georg; Schwemmle, Martin; Staeheli, Peter] Univ Freiburg, Dept Virol, D-79104 Freiburg, Germany; [Mordstein, Markus] Univ Freiburg, Spemann Grad Sch Biol &amp; Med SGBM, D-79104 Freiburg, Germany; [Neugebauer, Eva; Ditt, Vanessa; Drosten, Christian] Univ Med Ctr, Inst Virol, D-53127 Bonn, Germany; [Jessen, Birthe; Ehl, Stephan] Univ Freiburg, Ctr Chron Immunodeficiency, D-79106 Freiburg, Germany; [Rieger, Toni; Guenther, Stephan] Bernhard Nocht Inst Trop Med, D-20359 Hamburg, Germany; [Sorgeloos, Frederic; Michiels, Thomas] Catholic Univ Louvain, de Duve Inst, B-1200 Brussels, Belgium</t>
  </si>
  <si>
    <t xml:space="preserve">University of Freiburg; University of Freiburg; University of Bonn; University of Freiburg; Bernhard Nocht Institut fur Tropenmedizin; Universite Catholique Louvain</t>
  </si>
  <si>
    <t xml:space="preserve">Staeheli, P (corresponding author), Univ Freiburg, Dept Virol, Hermann Herder Str 11, D-79104 Freiburg, Germany.</t>
  </si>
  <si>
    <t xml:space="preserve">peter.staeheli@uniklinik-freiburg.de</t>
  </si>
  <si>
    <t xml:space="preserve">Ehl, Stephan/JVP-3487-2024; Michiels, Thomas/ABE-3203-2021; Drosten, Christian/AFF-8529-2022; Mayer, Daniel/ABB-5655-2020</t>
  </si>
  <si>
    <t xml:space="preserve">Ehl, Stephan/0000-0002-9265-2721; Rieger, Toni/0000-0002-7863-1916; Gunther, Stephan/0000-0002-6562-0230; Michiels, Thomas/0000-0001-9615-8053; Sorgeloos, Frederic/0000-0002-6492-8524</t>
  </si>
  <si>
    <t xml:space="preserve">Deutsche Forschungsgemeinschaft [SFB 620]; German Ministry of Education and Research; University of Louvain</t>
  </si>
  <si>
    <t xml:space="preserve">Deutsche Forschungsgemeinschaft(German Research Foundation (DFG)); German Ministry of Education and Research(Federal Ministry of Education &amp; Research (BMBF)); University of Louvain</t>
  </si>
  <si>
    <t xml:space="preserve">This work was supported by grants from the Deutsche Forschungsgemeinschaft (SFB 620) to P. S. and S. E., the German Ministry of Education and Research (Project Code Okologie und Pathogenese von SARS) to C. D., FRSM to T. M., and the University of Louvain (FSR) to F. S.</t>
  </si>
  <si>
    <t xml:space="preserve">10.1128/JVI.00272-10</t>
  </si>
  <si>
    <t xml:space="preserve">592NQ</t>
  </si>
  <si>
    <t xml:space="preserve">WOS:000277386700020</t>
  </si>
  <si>
    <t xml:space="preserve">Hall, CB; Weinberg, GA; Iwane, MK; Blumkin, AK; Edwards, KM; Staat, MA; Auinger, P; Griffin, MR; Poehling, KA; Erdman, D; Grijalva, CG; Zhu, YW; Szilagyi, P</t>
  </si>
  <si>
    <t xml:space="preserve">Hall, Caroline Breese; Weinberg, Geoffrey A.; Iwane, Marika K.; Blumkin, Aaron K.; Edwards, Kathryn M.; Staat, Mary A.; Auinger, Peggy; Griffin, Marie R.; Poehling, Katherine A.; Erdman, Dean; Grijalva, Carlos G.; Zhu, Yuwei; Szilagyi, Peter</t>
  </si>
  <si>
    <t xml:space="preserve">The Burden of Respiratory Syncytial Virus Infection in Young Children</t>
  </si>
  <si>
    <t xml:space="preserve">Medicine; Emergency department; Pediatrics; Population</t>
  </si>
  <si>
    <t xml:space="preserve">RISK-FACTORS; HUMAN METAPNEUMOVIRUS; TRACT INFECTIONS; 1ST YEAR; INFLUENZA; HOSPITALIZATION; INFANTS; DISEASE; RATES; RSV</t>
  </si>
  <si>
    <t xml:space="preserve">Background The primary role of respiratory syncytial virus ( RSV) in causing infant hospitalizations is well recognized, but the total burden of RSV infection among young children remains poorly defined. Methods We conducted prospective, population- based surveillance of acute respiratory infections among children under 5 years of age in three U. S. counties. We enrolled hospitalized children from 2000 through 2004 and children presenting as outpatients in emergency departments and pediatric offices from 2002 through 2004. RSV was detected by culture and reverse- transcriptase polymerase chain reaction. Clinical information was obtained from parents and medical records. We calculated population- based rates of hospitalization associated with RSV infection and estimated the rates of RSV- associated outpatient visits. Results Among 5067 children enrolled in the study, 919 ( 18%) had RSV infections. Overall, RSV was associated with 20% of hospitalizations, 18% of emergency department visits, and 15% of office visits for acute respiratory infections from November through April. Average annual hospitalization rates were 17 per 1000 children under 6 months of age and 3 per 1000 children under 5 years of age. Most of the children had no coexisting illnesses. Only prematurity and a young age were independent risk factors for hospitalization. Estimated rates of RSV- associated office visits among children under 5 years of age were three times those in emergency departments. Outpatients had moderately severe RSV- associated illness, but few of the illnesses ( 3%) were diagnosed as being caused by RSV. Conclusions RSV infection is associated with substantial morbidity in U. S. children in both inpatient and outpatient settings. Most children with RSV infection were previously healthy, suggesting that control strategies targeting only high- risk children will have a limited effect on the total disease burden of RSV infection.</t>
  </si>
  <si>
    <t xml:space="preserve">[Hall, Caroline Breese; Weinberg, Geoffrey A.; Blumkin, Aaron K.; Auinger, Peggy; Szilagyi, Peter] Univ Rochester, Sch Med &amp; Dent, Div Infect Dis, Dept Pediat, Rochester, NY 14642 USA; [Hall, Caroline Breese] Univ Rochester, Sch Med &amp; Dent, Div Infect Dis, Dept Med, Rochester, NY 14642 USA; [Iwane, Marika K.; Erdman, Dean] Ctr Dis Control &amp; Prevent, Natl Ctr Immunizat &amp; Resp Dis, Atlanta, GA 30333 USA; [Edwards, Kathryn M.; Poehling, Katherine A.] Vanderbilt Univ, Med Ctr, Dept Pediat, Nashville, TN 37232 USA; [Griffin, Marie R.; Grijalva, Carlos G.] Vanderbilt Univ, Med Ctr, Dept Prevent Med, Nashville, TN 37232 USA; [Zhu, Yuwei] Vanderbilt Univ, Med Ctr, Dept Biostat, Nashville, TN 37232 USA; [Staat, Mary A.] Univ Cincinnati, Coll Med, Dept Pediat, Cincinnati Childrens Hosp Med Ctr, Cincinnati, OH USA</t>
  </si>
  <si>
    <t xml:space="preserve">University of Rochester; University of Rochester; Centers for Disease Control &amp; Prevention - USA; Vanderbilt University; Vanderbilt University; Vanderbilt University; Cincinnati Children's Hospital Medical Center; University System of Ohio; University of Cincinnati</t>
  </si>
  <si>
    <t xml:space="preserve">Hall, CB (corresponding author), Univ Rochester, Sch Med &amp; Dent, Div Infect Dis, Dept Pediat, 601 Elmwood Ave,Box 689, Rochester, NY 14642 USA.</t>
  </si>
  <si>
    <t xml:space="preserve">caroline_hall@urmc.rochester.edu</t>
  </si>
  <si>
    <t xml:space="preserve">Grijalva, Carlos/HRA-9217-2023; Weinberg, Geoffrey/W-7510-2019</t>
  </si>
  <si>
    <t xml:space="preserve">Grijalva, Carlos/0000-0002-2329-7797; Weinberg, Geoffrey/0000-0002-3900-379X</t>
  </si>
  <si>
    <t xml:space="preserve">MedImmune; Astellas; GlaxoSmithKline; Merck; Pfizer; Wyeth</t>
  </si>
  <si>
    <t xml:space="preserve">MedImmune(AstraZenecaMedimmune); Astellas(Astellas Pharmaceuticals); GlaxoSmithKline(GlaxoSmithKline); Merck(Merck &amp; Company); Pfizer(Pfizer); Wyeth(Wyeth)</t>
  </si>
  <si>
    <t xml:space="preserve">Supported through cooperative agreements with the CDC.Dr. Hall reports receiving grant support and consulting fees from MedImmune; Dr. Weinberg, research support from Astellas and MedImmune and consulting fees from MedImmune; Dr. Staat, consulting fees or fees for serving on paid advisory boards from GlaxoSmithKline, Merck, and MedImmune, lecture fees from Merck, and research support from MedImmune; Dr. Griffin, grant support from MedImmune and Pfizer; and Dr. Grijalva, lecture fees from Wyeth. No other potential conflict of interest relevant to this article was reported.The content of this article is solely the responsibility of the authors and does not necessarily represent the official views of the CDC.We thank the children and their parents who participated in this study; all the members of the New Vaccine Surveillance Network, including Geraldine Lofthus, Kenneth Schnabel, Andrea Marino, Lynne Shelley, Jennifer Carnahan, Linda Anderson, Gladys Lathan, Charlene Freundlich, Christina Albertin, and Rebecca Martinez at the University of Rochester; John Williams, Diane Kent, Ann Clay, Ayesha Khan, Yi Wei Tang, Haijing Li, Jennifer Doersam, Amondrea Blackman, Nayleen Whitehead, Erin Keckley, and Jody Peters at Vanderbilt University; Linda Jamison, David Witte, David Bernstein, Emilie Grube, Vanessa Florian, Pamela Groen, and Joel Mortensen at the Cincinnati Children's Medical Center; and Ranee Seither, Aaron Curns, Larry Anderson, Carolyn B. Bridges, Benjamin Schwartz, Frances Walker, John Copeland, Alicia Fry, Jennifer Reuer, and John Zhang at the CDC.</t>
  </si>
  <si>
    <t xml:space="preserve">10.1056/NEJMoa0804877</t>
  </si>
  <si>
    <t xml:space="preserve">402QS</t>
  </si>
  <si>
    <t xml:space="preserve">WOS:000263028800005</t>
  </si>
  <si>
    <t xml:space="preserve">Edderdouri, K; Kabbaj, H; Laamara, L; Lahmouddi, N; Lamdarsi, O; Zouaki, A; El Amin, G; Zirar, J; Seffar, M</t>
  </si>
  <si>
    <t xml:space="preserve">Edderdouri, Khalid; Kabbaj, Hakima; Laamara, Leila; Lahmouddi, Noureddine; Lamdarsi, Oumayma; Zouaki, Amal; El Amin, Ghizlane; Zirar, Jalila; Seffar, Myriam</t>
  </si>
  <si>
    <t xml:space="preserve">Contribution of the FilmArray BioFire® Technology in the Diagnosis of Viral Respiratory Infections during the COVID-19 Pandemic at Ibn Sina University Hospital Center in Rabat: Epidemiological Study about 503 Cases</t>
  </si>
  <si>
    <t xml:space="preserve">Medicine; Epidemiology; Population; Pandemic</t>
  </si>
  <si>
    <t xml:space="preserve">SYNCYTIAL VIRUS; CHILDREN; INFLUENZA; SEASONALITY; FREQUENCY; IMPACT; TRACT</t>
  </si>
  <si>
    <t xml:space="preserve">Respiratory viruses are the most involved pathogens in acute respiratory infections. During the COVID-19 pandemic, new elements have been brought to this topic, especially at the diagnostic and therapeutic level. The objective of this work is to describe the epidemiology of respiratory viruses in patients admitted to the Ibn Sina University Hospital of Rabat during a period characterized by the emergence and spread of SARS-CoV-2. We conducted a retrospective study from January 1 to December 31. We included all patients treated for acute respiratory infection and for whom a multiplex respiratory panel PCR was requested. Virus detection was performed using a FilmArray RP 2.1 plus BioFire multiplex respiratory panel. The study population was relatively adults with a mean age of 39 years. The sex ratio M/F was 1.20. The survey revealed a high prevalence of 42.3% of patients hospitalized in the adult intensive care unit whose respiratory distress was the most common reason for hospitalization (58%). The positivity rate was 48.1%. This rate was higher in the pediatric population 83.13% compared to adults 29.7%. Monoinfection was found in 36.4% of cases, and codetection in 11.7% of cases. This survey revealed that a total of 322 viruses were detected, HRV being the most incriminated virus (48.7%), followed by RSV in 13.8% of patients. Considering the five most detected viruses in our study (HRV, RSV, PIV3, ADV, and hMPV), we found that the incidence was significantly higher in the pediatric population. SARS-CoV-2 was detected only in adult's population. In our study, we found that influenza A and B viruses, PIV2, MERS, and all bacteria were not detected by this kit during the study period. Regarding the seasonal distribution, RSV and hMPV showed a significantly high incidence during autumn and summer and SARS-CoV-2 and CoV OC43 showed a high peak during winter. In this study, we found a lack of detection of influenza virus and a shift in the usual winter peak of RSV to the summer, while the detection of ADV and HRV was less affected. This difference in detection could be due on the one hand to the difference in stability between enveloped and nonenveloped viruses and on the other hand to the escape of certain viruses to the different sanitary measures introduced after the declaration of the COVID-19 pandemic. These same measures were effective against enveloped viruses such as RSV and influenza viruses. The emergence of SARS-CoV-2 has modified the epidemiology of other respiratory viruses, either directly by viral interference or indirectly by the preventive measures taken.</t>
  </si>
  <si>
    <t xml:space="preserve">[Edderdouri, Khalid; Kabbaj, Hakima; Laamara, Leila; Lahmouddi, Noureddine; Lamdarsi, Oumayma; Zouaki, Amal; El Amin, Ghizlane; Zirar, Jalila; Seffar, Myriam] Mohamed V Univ, Fac Med &amp; Pharm, Rabat, Morocco; [Edderdouri, Khalid; Kabbaj, Hakima; Laamara, Leila; Lahmouddi, Noureddine; Lamdarsi, Oumayma; Zouaki, Amal; El Amin, Ghizlane; Zirar, Jalila; Seffar, Myriam] Ibn Sina Univ Hosp Ctr, Cent Lab Virol, Rabat, Morocco</t>
  </si>
  <si>
    <t xml:space="preserve">Mohammed V University in Rabat; Ibn sina University Hospital Center of Rabat</t>
  </si>
  <si>
    <t xml:space="preserve">Edderdouri, K (corresponding author), Mohamed V Univ, Fac Med &amp; Pharm, Rabat, Morocco.;Edderdouri, K (corresponding author), Ibn Sina Univ Hosp Ctr, Cent Lab Virol, Rabat, Morocco.</t>
  </si>
  <si>
    <t xml:space="preserve">khalid.edderdouri@gmail.com; kabbaj_hakima@yahoo.fr; laamaraleila4@gmail.com; n-lahmoudi@hotmail.com; omayma.lam@hotmail.com; dr.zouakiamal@gmail.com; laminghizlane@gmail.com; jalila.zirar@gmail.com; myriamseffar@yahoo.fr</t>
  </si>
  <si>
    <t xml:space="preserve">LAAMARA, LEILA/KHV-9791-2024</t>
  </si>
  <si>
    <t xml:space="preserve">JUN 20</t>
  </si>
  <si>
    <t xml:space="preserve">10.1155/2023/2679770</t>
  </si>
  <si>
    <t xml:space="preserve">K6PT3</t>
  </si>
  <si>
    <t xml:space="preserve">WOS:001017647300001</t>
  </si>
  <si>
    <t xml:space="preserve">Otomaru, H; Kamigaki, T; Tamaki, R; Opinion, J; Santo, A; Daya, E; Okamoto, M; Saito, M; Tallo, V; Lupisan, S; Suzuki, A; Oshitani, H</t>
  </si>
  <si>
    <t xml:space="preserve">Otomaru, Hirono; Kamigaki, Taro; Tamaki, Raita; Opinion, Jamie; Santo, Arlene; Daya, Edgard; Okamoto, Michiko; Saito, Mariko; Tallo, Veronica; Lupisan, Soccoro; Suzuki, Akira; Oshitani, Hitoshi</t>
  </si>
  <si>
    <t xml:space="preserve">Influenza and Other Respiratory Viruses Detected by Influenza-Like Illness Surveillance in Leyte Island, the Philippines, 2010-2013</t>
  </si>
  <si>
    <t xml:space="preserve">Influenza-like illness; Rhinovirus; Sore throat; Medicine; Virus; Virology; Respiratory system</t>
  </si>
  <si>
    <t xml:space="preserve">REAL-TIME PCR; HUMAN METAPNEUMOVIRUS; SYNCYTIAL VIRUS; SENTINEL SURVEILLANCE; MICROPLATE METHOD; VIRAL ETIOLOGY; CHILDREN; INFECTIONS; SEASONS; OUTPATIENTS</t>
  </si>
  <si>
    <t xml:space="preserve">This study aimed to determine the role of influenza-like illness (ILI) surveillance conducted on Leyte Island, the Philippines, including involvement of other respiratory viruses, from 2010 to 2013. ILI surveillance was conducted from January 2010 to March 2013 with 3 sentinel sites located in Tacloban city, Palo and Tanauan of Leyte Island. ILI was defined as fever &gt;= 38 degrees C or feverish feeling and either cough or running nose in a patient of any age. Influenza virus and other 5 respiratory viruses were searched. A total of 5,550 ILI cases visited the 3 sites and specimens were collected from 2,031 (36.6%) cases. Among the cases sampled, 1,637 (75.6%) were children aged &lt;5 years. 874 (43.0%) cases were positive for at least one of the respiratory viruses tested. Influenza virus and respiratory syncytial virus (RSV) were predominantly detected (both were 25.7%) followed by human rhinovirus (HRV) (17.5%). The age distributions were significantly different between those who were positive for influenza, HRV, and RSV. ILI cases were reported throughout the year and influenza virus was co-detected with those viruses on approximately half of the weeks of study period (RSV in 60.5% and HRV 47.4%). In terms of clinical manifestations, only the rates of headache and sore throat were significantly higher in influenza positive cases than cases positive to other viruses. In conclusion, syndromic ILI surveillance in this area is difficult to detect the start of influenza epidemic without laboratory confirmation which requires huge resources. Age was an important factor that affected positive rates of influenza and other respiratory viruses. Involvement of older age children may be useful to detect influenza more effectively.</t>
  </si>
  <si>
    <t xml:space="preserve">[Otomaru, Hirono; Kamigaki, Taro; Tamaki, Raita; Okamoto, Michiko; Saito, Mariko; Oshitani, Hitoshi] Tohoku Univ, Sch Med, Dept Virol, Sendai, Miyagi 980, Japan; [Opinion, Jamie] Tacloban City Hlth Off, Tacloban City, Philippines; [Santo, Arlene] Tanauan Rural Hlth Unit, Tanauan, Philippines; [Daya, Edgard] Leyte Prov Hlth Off, Palo, Philippines; [Saito, Mariko] Tohoku RITM Res Ctr Emerging &amp; Reemerging Infect, Muntinlupa, Philippines; [Tallo, Veronica; Lupisan, Soccoro] Res Inst Trop Med, Muntinlupa, Philippines; [Suzuki, Akira] Sendai Med Ctr, Virus Res Ctr, Div Clin Res, Sendai, Miyagi, Japan</t>
  </si>
  <si>
    <t xml:space="preserve">Kamigaki, T (corresponding author), Tohoku Univ, Sch Med, Dept Virol, Sendai, Miyagi 980, Japan.</t>
  </si>
  <si>
    <t xml:space="preserve">kamigakit@med.tohoku.ac.jp</t>
  </si>
  <si>
    <t xml:space="preserve">Okamoto, Michiko/AAE-4373-2019; Oshitani, Hitoshi/AAE-4349-2019</t>
  </si>
  <si>
    <t xml:space="preserve">Japan Initiative for Global Research Network on Infectious Diseases (J-GRID) from the Ministry of Education, Culture, Sports, Science and Technology (MEXT), Japan; Science and Technology Research Partnership for Sustainable Development (SATREPS) from the Japan Science and Technology Agency (JICA), Japan; JSPS KAKENHI [24249041]</t>
  </si>
  <si>
    <t xml:space="preserve">Japan Initiative for Global Research Network on Infectious Diseases (J-GRID) from the Ministry of Education, Culture, Sports, Science and Technology (MEXT), Japan(Ministry of Education, Culture, Sports, Science and Technology, Japan (MEXT)); Science and Technology Research Partnership for Sustainable Development (SATREPS) from the Japan Science and Technology Agency (JICA), Japan; JSPS KAKENHI(Ministry of Education, Culture, Sports, Science and Technology, Japan (MEXT)Japan Society for the Promotion of ScienceGrants-in-Aid for Scientific Research (KAKENHI))</t>
  </si>
  <si>
    <t xml:space="preserve">This study was supported by a Grant-in-Aid from the Japan Initiative for Global Research Network on Infectious Diseases (J-GRID) from the Ministry of Education, Culture, Sports, Science and Technology (MEXT), Japan; the Science and Technology Research Partnership for Sustainable Development (SATREPS) from the Japan Science and Technology Agency (JICA), Japan; and JSPS KAKENHI Grant number 24249041. The funders had no role in study design, data collection and analysis, decision to publish, or preparation of the manuscript.</t>
  </si>
  <si>
    <t xml:space="preserve">e0123755</t>
  </si>
  <si>
    <t xml:space="preserve">10.1371/journal.pone.0123755</t>
  </si>
  <si>
    <t xml:space="preserve">CG3XA</t>
  </si>
  <si>
    <t xml:space="preserve">WOS:000353211700053</t>
  </si>
  <si>
    <t xml:space="preserve">Palmas, G; Duke, T</t>
  </si>
  <si>
    <t xml:space="preserve">Palmas, Giordano; Duke, Trevor</t>
  </si>
  <si>
    <t xml:space="preserve">Severe encephalitis: aetiology, management and outcomes over 10 years in a paediatric intensive care unit</t>
  </si>
  <si>
    <t xml:space="preserve">Medicine; Encephalitis; Pediatrics; Intensive care unit; Enterovirus</t>
  </si>
  <si>
    <t xml:space="preserve">LONG-TERM OUTCOMES; VIRAL ENCEPHALITIS; CASE DEFINITIONS; MENINGITIS; GUIDELINES; COLLECTION; ENGLAND</t>
  </si>
  <si>
    <t xml:space="preserve">Objective To describe the characteristics, differential diagnoses, management and outcomes of severe encephalitis in children. Design A 10-year retrospective cohort study in children admitted to a tertiary paediatric intensive care unit (PICU) with suspected encephalitis. One to 6 months' follow-up data were compared between different categories. Participants Patients from 0 to 17 years of age with acute encephalopathy and one or more of fever, seizure, focal neurological findings, cerebrospinal fluid abnormalities, EEG/neuroimaging consistent with encephalitis. Main outcome measures Epidemiology, clinical features, outcomes and risk factor analysis. Results 175 children with encephalitis required intensive care unit (ICU) admission over 10 years. The median age was 4.5 months (IQR 1.6-54.8). The leading cause was enterovirus (n=49, 28%), followed by parechovirus, influenza, herpes simplex virus (HSV), human herpesvirus-6 (HHV-6), Streptococcus pneumoniae, acute-disseminated encephalomyelitis and anti-N-methyl-D-aspartate-receptor-associated encephalitis. Immune-mediated encephalitis had higher prevalence in females, older age and longer duration of encephalopathy. Mechanical ventilation was required by 74 children (42%); haemodynamic support by 28 children (16%), 3 received extracorporeal membrane oxygenation (ECMO) support. Eleven patients died (case fatality rate 6.3%): five with HHV-6, two enterovirus, two influenza, one HSV, one human-metapneumovirus. At follow-up, 34 children had mild or moderate disability, and six severe disability. In a multivariable logistic regression model, three factors were associated with severe disability or death: age &lt;2 years old (OR 8.2, CI 1.0 to 67.2), Herpesviridae aetiology (OR 14.5, CI 1.2 to 177.3) and length of intubation (OR 1.005, CI 1.00 to 1.01). Conclusions Encephalitis has a varied aetiology and causes death or severe disability in 1 in every 10 children requiring intensive care.</t>
  </si>
  <si>
    <t xml:space="preserve">[Palmas, Giordano] Meyer Childrens Hosp, Dept Paediat, IRCCS, Florence, Italy; [Palmas, Giordano; Duke, Trevor] Royal Childrens Hosp, Paediat Intens Care Unit, Parkville, Vic, Australia; [Duke, Trevor] Univ Melbourne, Dept Paediat, Parkville, Vic, Australia</t>
  </si>
  <si>
    <t xml:space="preserve">University of Florence; Azienda Ospedaliera Universitaria (AOU) MEYER; Royal Children's Hospital Melbourne; University of Melbourne</t>
  </si>
  <si>
    <t xml:space="preserve">Palmas, G (corresponding author), Meyer Childrens Hosp, IRCCS, I-50139 Florence, Italy.</t>
  </si>
  <si>
    <t xml:space="preserve">giordano.palmas@gmail.com</t>
  </si>
  <si>
    <t xml:space="preserve">Palmas, Giordano/0000-0001-5949-4680; Duke, Trevor/0000-0003-4637-1416</t>
  </si>
  <si>
    <t xml:space="preserve">10.1136/archdischild-2023-325305</t>
  </si>
  <si>
    <t xml:space="preserve">Y8JR8</t>
  </si>
  <si>
    <t xml:space="preserve">WOS:001033580000001</t>
  </si>
  <si>
    <t xml:space="preserve">Smuts, HE; Workman, LJ; Zar, HJ</t>
  </si>
  <si>
    <t xml:space="preserve">Smuts, Heidi E.; Workman, Lesley J.; Zar, Heather J.</t>
  </si>
  <si>
    <t xml:space="preserve">Human rhinovirus infection in young African children with acute wheezing</t>
  </si>
  <si>
    <t xml:space="preserve">Rhinovirus; Human bocavirus; Medicine; Human metapneumovirus; Medical microbiology</t>
  </si>
  <si>
    <t xml:space="preserve">REVERSE TRANSCRIPTION-PCR; VIRAL-INFECTIONS; HUMAN BOCAVIRUS; ASTHMA; INFANTS; VIRUSES; CULTURE; ILLNESS</t>
  </si>
  <si>
    <t xml:space="preserve">Background: Infections caused by human rhinoviruses (HRVs) are important triggers of wheezing in young children. Wheezy illness has increasingly been recognised as an important cause of morbidity in African children, but there is little information on the contribution of HRV to this. The aim of this study was to determine the role of HRV as a cause of acute wheezing in South African children. Methods: Two hundred and twenty children presenting consecutively at a tertiary children's hospital with a wheezing illness from May 2004 to November 2005 were prospectively enrolled. A nasal swab was taken and reverse transcription PCR used to screen the samples for HRV. The presence of human metapneumovirus, human bocavirus and human coronavirus NL63 was assessed in all samples using PCR based assays. A general shell vial culture using a pool of monoclonal antibodies was used to detect other common respiratory viruses on 26% of samples. Phylogenetic analysis to determine circulating HRV species was performed on a portion of HRV-positive samples. Categorical characteristics were analysed using Fisher's Exact test. Results: HRV was detected in 128 (58.2%) of children, most (72%) of whom were under 2 years of age. Presenting symptoms between the HRV-positive and negative groups were similar. Most illness was managed with ambulatory therapy, but 45 (35%) were hospitalized for treatment and 3 (2%) were admitted to intensive care. There were no in-hospital deaths. All 3 species of HRV were detected with HRV-C being the most common (52%) followed by HRV-A (37%) and HRV-B (11%). Infection with other respiratory viruses occurred in 20/128 (16%) of HRV-positive children and in 26/92 (28%) of HRV-negative samples. Conclusion: HRV may be the commonest viral infection in young South African children with acute wheezing. Infection is associated with mild or moderate clinical disease.</t>
  </si>
  <si>
    <t xml:space="preserve">[Smuts, Heidi E.] Univ Cape Town, Dept Clin Lab Sci, NHLS, Div Med Virol, ZA-7925 Cape Town, South Africa; [Workman, Lesley J.] Univ Cape Town, Dept Med, Div Clin Pharmacol, ZA-7925 Cape Town, South Africa; [Zar, Heather J.] Univ Cape Town, Red Cross War Mem Childrens Hosp, Dept Paediat &amp; Child Hlth, ZA-7925 Cape Town, South Africa</t>
  </si>
  <si>
    <t xml:space="preserve">Smuts, HE (corresponding author), Univ Cape Town, Dept Clin Lab Sci, NHLS, Div Med Virol, ZA-7925 Cape Town, South Africa.</t>
  </si>
  <si>
    <t xml:space="preserve">Heidi.Smuts@uct.ac.za</t>
  </si>
  <si>
    <t xml:space="preserve">10.1186/1471-2334-11-65</t>
  </si>
  <si>
    <t xml:space="preserve">741HI</t>
  </si>
  <si>
    <t xml:space="preserve">WOS:000288854400001</t>
  </si>
  <si>
    <t xml:space="preserve">Piñana, JL; Pérez, A; Montoro, J; Hernani, R; Lorenzo, I; Giménez, E; Gómez, MD; Guerreiro, M; González-Barberá, EM; Carretero, C; Salavert, M; Balaguer-Roselló, A; Sanz, G; Hernández-Boluda, JC; Solano, C; Sanz, J; Navarro, D</t>
  </si>
  <si>
    <t xml:space="preserve">Luis Pinana, Jose; Perez, Ariadna; Montoro, Juan; Hernani, Rafael; Lorenzo, Ignacio; Gimenez, Estela; Dolores Gomez, Maria; Guerreiro, Manuel; Maria Gonzalez-Barbera, Eva; Carretero, Carlos; Salavert, Miguel; Balaguer-Rosello, Aitana; Sanz, Guillermo; Carlos Hernandez-Boluda, Juan; Solano, Carlos; Sanz, Jaime; Navarro, David</t>
  </si>
  <si>
    <t xml:space="preserve">The effect of timing on community acquired respiratory virus infection mortality during the first year after allogeneic hematopoietic stem cell transplantation: a prospective epidemiological survey</t>
  </si>
  <si>
    <t xml:space="preserve">Medicine; Internal medicine; Transplantation; Hematopoietic stem cell transplantation; Odds ratio</t>
  </si>
  <si>
    <t xml:space="preserve">BONE-MARROW TRANSPLANTS; VERSUS-HOST-DISEASE; SYNCYTIAL VIRUS; PARAINFLUENZA VIRUS; RISK-FACTORS; AEROSOLIZED RIBAVIRIN; HUMAN METAPNEUMOVIRUS; INFLUENZA INFECTIONS; STATISTICAL-METHODS; HUMAN CORONAVIRUS</t>
  </si>
  <si>
    <t xml:space="preserve">The effect of timing of community acquired respiratory virus (CARV) infection after allogeneic hematopoietic stem cell transplant (allo-HCT) is an as yet unsettled issue. We evaluate this issue by including all consecutive allo-HCT recipients with molecularly-documented CARV infection during the first year after transplant. The study cohort was drawn from a prospective longitudinal survey of CARV in allo-HCT recipient having respiratory symptoms conducted from December 2013 to December 2018 at two Spanish transplant centers. Respiratory viruses in upper and/or lower respiratory specimens were tested using multiplex PCR panel assays. The study cohort comprised 233 allo-HCT recipients with 376 CARV infection episodes diagnosed during the first year after allo-HCT. Overall, 60% of CARV episodes occurred within the first 6 months (227 out of 376). Thirty patients (13%) had died at 3 months after CARV detection, of which 25 (83%) were recipients developing CARV within the first 6 months after transplant. Multivariate analysis identified four risk factors for mortality: ATG used as part of conditioning regimen [odds ratio (OR) 2.8, 95% confidence interval (C.I.) 1.21-6.4, p = 0.01], CARV lower respiratory tract disease (OR 3.4, 95% C.I. 1.4-8.4, p = 0.007), CARV infection within the first 6 months of transplant (OR 3.04, 95% C.I. 1.1-8.7, p = 0.03), and absolute lymphocyte count &lt;0.2 x 109/L (OR 2.4, 95% C.I. 1-5.3, p = 0.04). Developing CARV infection within the first 6 months was associated with higher mortality. Our data supports that the timing of CARV development after allo-HCT could be of major interest.</t>
  </si>
  <si>
    <t xml:space="preserve">[Luis Pinana, Jose; Montoro, Juan; Lorenzo, Ignacio; Guerreiro, Manuel; Carretero, Carlos; Balaguer-Rosello, Aitana; Sanz, Guillermo; Sanz, Jaime] Hosp Univ &amp; Politecn La Fe, Hematol Dept, Valencia, Spain; [Luis Pinana, Jose; Sanz, Guillermo; Sanz, Jaime] Inst Carlos III, CIBERONC, Madrid, Spain; [Perez, Ariadna; Hernani, Rafael; Carlos Hernandez-Boluda, Juan; Solano, Carlos] Hosp Clin Univ, INCLIVA Res Inst, Hematol Dept, Valencia, Spain; [Gimenez, Estela; Navarro, David] Hosp Clin Univ, INCLIVA Res Inst, Microbiol Dept, Valencia, Spain; [Dolores Gomez, Maria; Maria Gonzalez-Barbera, Eva] Hosp Univ &amp; Politecn La Fe, Microbiol Dept, Valencia, Spain; [Salavert, Miguel] Hosp Univ &amp; Politecn La Fe, Dept Infect Dis, Valencia, Spain; [Carlos Hernandez-Boluda, Juan; Solano, Carlos] Univ Valencia, Sch Med, Dept Med, Valencia, Spain; [Navarro, David] Univ Valencia, Sch Med, Dept Microbiol, Valencia, Spain</t>
  </si>
  <si>
    <t xml:space="preserve">Hospital Universitari i Politecnic La Fe; CIBER - Centro de Investigacion Biomedica en Red; CIBERONC; Hospital Universitari i Politecnic La Fe; Hospital Universitari i Politecnic La Fe; University of Valencia; University of Valencia</t>
  </si>
  <si>
    <t xml:space="preserve">Piñana, JL (corresponding author), Hosp Univ &amp; Politecn La Fe, Hematol Dept, Valencia, Spain.;Piñana, JL (corresponding author), Inst Carlos III, CIBERONC, Madrid, Spain.</t>
  </si>
  <si>
    <t xml:space="preserve">Solano, Carlos/AAW-4678-2020; Piñana, Jose-Luis/J-9996-2015; Sanz, Jaime/K-7141-2019</t>
  </si>
  <si>
    <t xml:space="preserve">Balaguer Rosello, Aitana/0000-0003-1633-2918; SANZ, GUILLERMO/0000-0002-2767-8191; Hernandez-Boluda, Juan Carlos/0000-0002-4289-3113; Montoro, Juan/0000-0003-0024-8068; Salavert Lleti, Miguel/0000-0002-8571-2124; Hernani, Rafael/0000-0003-1043-8076; Direito de Morais Guerreiro, Manuel Nuno/0000-0001-5978-2578; Sanz, Jaime/0000-0001-6934-4619; Pinana, Jose Luis/0000-0001-8533-2562</t>
  </si>
  <si>
    <t xml:space="preserve">10.1038/s41409-019-0698-7</t>
  </si>
  <si>
    <t xml:space="preserve">KI2KH</t>
  </si>
  <si>
    <t xml:space="preserve">WOS:000511176900020</t>
  </si>
  <si>
    <t xml:space="preserve">Glowacka, I; Bertram, S; Müller, MA; Allen, P; Soilleux, E; Pfefferle, S; Steffen, I; Tsegaye, TS; He, YX; Gnirss, K; Niemeyer, D; Schneider, H; Drosten, C; Pöhlmann, S</t>
  </si>
  <si>
    <t xml:space="preserve">Glowacka, Ilona; Bertram, Stephanie; Mueller, Marcel A.; Allen, Paul; Soilleux, Elizabeth; Pfefferle, Susanne; Steffen, Imke; Tsegaye, Theodros Solomon; He, Yuxian; Gnirss, Kerstin; Niemeyer, Daniela; Schneider, Heike; Drosten, Christian; Poehlmann, Stefan</t>
  </si>
  <si>
    <t xml:space="preserve">Evidence that TMPRSS2 Activates the Severe Acute Respiratory Syndrome Coronavirus Spike Protein for Membrane Fusion and Reduces Viral Control by the Humoral Immune Response</t>
  </si>
  <si>
    <t xml:space="preserve">Biology; Immune system; Coronavirus; Virology; Respiratory system</t>
  </si>
  <si>
    <t xml:space="preserve">ANGIOTENSIN-CONVERTING ENZYME-2; RECEPTOR-BINDING DOMAIN; POTENT NEUTRALIZING ANTIBODIES; INFLUENZA-VIRUS HEMAGGLUTININ; SARS-CORONAVIRUS; S-PROTEIN; FUNCTIONAL RECEPTOR; SERINE-PROTEASE; PROTEOLYTIC ACTIVATION; DC-SIGN</t>
  </si>
  <si>
    <t xml:space="preserve">The spike (S) protein of the severe acute respiratory syndrome coronavirus (SARS-CoV) can be proteolytically activated by cathepsins B and L upon viral uptake into target cell endosomes. In contrast, it is largely unknown whether host cell proteases located in the secretory pathway of infected cells and/or on the surface of target cells can cleave SARS S. We along with others could previously show that the type II transmembrane protease TMPRSS2 activates the influenza virus hemagglutinin and the human metapneumovirus F protein by cleavage. Here, we assessed whether SARS S is proteolytically processed by TMPRSS2. Western blot analysis revealed that SARS S was cleaved into several fragments upon coexpression of TMPRSS2 (cis-cleavage) and upon contact between SARS S-expressing cells and TMPRSS2-positive cells (trans-cleavage). cis-cleavage resulted in release of SARS S fragments into the cellular supernatant and in inhibition of antibody-mediated neutralization, most likely because SARS S fragments function as antibody decoys. trans-cleavage activated SARS S on effector cells for fusion with target cells and allowed efficient SARS S-driven viral entry into targets treated with a lysosomotropic agent or a cathepsin inhibitor. Finally, ACE2, the cellular receptor for SARS-CoV, and TMPRSS2 were found to be coexpressed by type II pneumocytes, which represent important viral target cells, suggesting that SARS S is cleaved by TMPRSS2 in the lung of SARS-CoV-infected individuals. In summary, we show that TMPRSS2 might promote viral spread and pathogenesis by diminishing viral recognition by neutralizing antibodies and by activating SARS S for cell-cell and virus-cell fusion.</t>
  </si>
  <si>
    <t xml:space="preserve">[Poehlmann, Stefan] German Primate Ctr, Infect Biol Unit, D-37077 Gottingen, Germany; [Glowacka, Ilona; Bertram, Stephanie; Steffen, Imke; Tsegaye, Theodros Solomon; Gnirss, Kerstin; Poehlmann, Stefan] Hannover Med Sch, Inst Virol, D-30625 Hannover, Germany; [Mueller, Marcel A.; Niemeyer, Daniela; Drosten, Christian] Univ Bonn, Med Ctr, Inst Virol, D-53127 Bonn, Germany; [Allen, Paul; Soilleux, Elizabeth] John Radcliffe Hosp, Dept Cellular Pathol, Oxford OX3 9DU, England; [Pfefferle, Susanne] Bernhard Nocht Inst Trop Med, D-20359 Hamburg, Germany; [He, Yuxian] Chinese Acad Med Sci, Inst Pathogen Biol, Beijing 1007302, Peoples R China; [He, Yuxian] Peking Union Med Coll, Beijing 1007302, Peoples R China; [Schneider, Heike] Hannover Med Sch, Inst Physiol Chem, D-30625 Hannover, Germany</t>
  </si>
  <si>
    <t xml:space="preserve">Deutsches Primatenzentrum (DPZ); Hannover Medical School; University of Bonn; University of Oxford; Bernhard Nocht Institut fur Tropenmedizin; Chinese Academy of Medical Sciences - Peking Union Medical College; Institute of Pathogen Biology - CAMS; Chinese Academy of Medical Sciences - Peking Union Medical College; Peking Union Medical College; Hannover Medical School</t>
  </si>
  <si>
    <t xml:space="preserve">Pöhlmann, S (corresponding author), German Primate Ctr, Infect Biol Unit, Kellnerweg 4, D-37077 Gottingen, Germany.</t>
  </si>
  <si>
    <t xml:space="preserve">s.poehlmann@dpz.eu</t>
  </si>
  <si>
    <t xml:space="preserve">Müller, Marcel/O-2425-2019; Niemeyer, Daniela/JGD-4385-2023; Drosten, Christian/AFF-8529-2022; Steffen, Imke/AAY-3266-2020; Soilleux, Elizabeth/G-6265-2011; Pohlmann, Stefan/H-2395-2011</t>
  </si>
  <si>
    <t xml:space="preserve">Tsegaye, Theodros Solomon/0000-0002-1573-4600; Niemeyer, Daniela/0000-0002-1897-6365; Soilleux, Elizabeth Jane/0000-0002-4032-7249; Mueller, Marcel/0000-0003-2242-5117; Pohlmann, Stefan/0000-0001-6086-9136; Steffen, Imke/0000-0001-6592-0332</t>
  </si>
  <si>
    <t xml:space="preserve">BMBF [01KI 0703]; Center for Infection Biology; Ph.D. program Molecular Medicine</t>
  </si>
  <si>
    <t xml:space="preserve">BMBF(Federal Ministry of Education &amp; Research (BMBF)); Center for Infection Biology; Ph.D. program Molecular Medicine</t>
  </si>
  <si>
    <t xml:space="preserve">This work was supported by BMBF (grant 01KI 0703), the Center for Infection Biology (I.S.), and the Ph.D. program Molecular Medicine (T.S.T.).</t>
  </si>
  <si>
    <t xml:space="preserve">10.1128/JVI.02232-10</t>
  </si>
  <si>
    <t xml:space="preserve">751LG</t>
  </si>
  <si>
    <t xml:space="preserve">WOS:000289618600007</t>
  </si>
  <si>
    <t xml:space="preserve">Vasconcelos, MK; Sauteur, PMM; Keitel, K; Santoro, R; Egli, A; Coslovsky, M; Seiler, M; Lurà, M; Köhler, H; Loevy, N; Kahlert, CR; Heininger, U; van den Anker, J; Bielicki, JA</t>
  </si>
  <si>
    <t xml:space="preserve">Vasconcelos, Malte Kohns; Sauteur, Patrick M. Meyer; Keitel, Kristina; Santoro, Regina; Egli, Adrian; Coslovsky, Michael; Seiler, Michelle; Lura, Marco; Kohler, Henrik; Loevy, Natasha; Kahlert, Christian R.; Heininger, Ulrich; van den Anker, Johannes; Bielicki, Julia A.</t>
  </si>
  <si>
    <t xml:space="preserve">Detection of mostly viral pathogens and high proportion of antibiotic treatment initiation in hospitalised children with community-acquired pneumonia in Switzerland - baseline findings from the first two years of the KIDS-STEP trial</t>
  </si>
  <si>
    <t xml:space="preserve">SWISS MEDICAL WEEKLY</t>
  </si>
  <si>
    <t xml:space="preserve">Medicine; Pneumonia; Antibiotics; Community-acquired pneumonia; Pediatrics</t>
  </si>
  <si>
    <t xml:space="preserve">IMPACT</t>
  </si>
  <si>
    <t xml:space="preserve">AIMS OF THE STUDY: Globally, since the introduction of conjugate-vaccines against encapsulated bacteria, respiratory viruses have caused most hospitalisations for community-acquired pneumonia. The aim of this study was to describe pathogens detected and their association with clinical findings in Switzerland. METHODS: Baseline data were analysed for all trial participants enrolled between September 2018 and September 2020 into the KIDS-STEP Trial, a randomised controlled superiority trial on the effect of betamethasone on clinical stabilisation of children admitted with communityacquired pneumonia. Data included clinical presentation, antibiotic use and results of pathogen detection. In addition to routine sampling, nasopharyngeal specimens were analysed for respiratory pathogens using a panel polymerase chain reaction test covering 18 viral and 4 bacterial pathogens. RESULTS: 138 children with a median age of 3 years were enrolled at the eight trial sites. Fever (obligatory for enrolment) had been present for median 5 days before admission. Most common symptoms were reduced activity (129, 93.5%) and reduced oral intake (108, 78.3%). Oxygen saturation &lt;92% was found in 43 (31.2%). Forty-three participants (29.0%) were already on antibiotic treatment prior to admission and 104 participants (75.4%) received antibiotic treatment on admission. Pathogen testing results were available from 132 children: 31 (23.5%) had respiratory syncytial virus detected, 21 (15.9%) human metapneumovirus. The pathogens detected showed expected seasonal and age preponderance and were not associated with chest X-ray findings. CONCLUSIONS: In the context of the predominantly viral pathogens detected, the majority of antibiotic treatment is probably unnecessary. The ongoing trial, as well as other studies, will be able to provide comparative pathogen detection data to compare pre- and post-COVID-19-pandemic settings.</t>
  </si>
  <si>
    <t xml:space="preserve">[Vasconcelos, Malte Kohns; Heininger, Ulrich; Bielicki, Julia A.] Univ Basel Childrens Hosp UKBB, Dept Infect Dis &amp; Vaccinol, Basel, Switzerland; [Vasconcelos, Malte Kohns; van den Anker, Johannes; Bielicki, Julia A.] Univ Basel Childrens Hosp UKBB, Dept Paediat Pharmacol, Basel, Switzerland; [Vasconcelos, Malte Kohns] Heinrich Heine Univ Dusseldorf, Inst Med Microbiol &amp; Hosp Hyg, Dusseldorf, Germany; [Sauteur, Patrick M. Meyer] Univ Childrens Hosp Zurich, Div Infect Dis, Zurich, Switzerland; [Sauteur, Patrick M. Meyer] Univ Childrens Hosp Zurich, Hosp Epidemiol, Zurich, Switzerland; [Keitel, Kristina] Univ Bern, Univ Childrens Hosp, Dept Paediat Emergency Med, Dept Paediat,Inselspital, Bern, Switzerland; [Keitel, Kristina] Univ Basel, Swiss Trop &amp; Publ Hlth Inst, Basel, Switzerland; [Santoro, Regina] Univ Basel Childrens Hosp UKBB, Paediat Res Ctr, Basel, Switzerland; [Egli, Adrian] Univ Basel, Univ Hosp Basel, Clin Bacteriol &amp; Mycol, Basel, Switzerland; [Egli, Adrian] Univ Basel, Appl Microbiol Res, Basel, Switzerland; [Coslovsky, Michael] Univ Basel, Clin Trial Unit, Basel, Switzerland; [Seiler, Michelle] Univ Childrens Hosp Zurich, Paediat Emergency Dept, Zurich, Switzerland; [Lura, Marco] Childrens Hosp Lucerne, Div Paediat Pulmonol, Luzern, Switzerland; [Kohler, Henrik] Childrens Hosp Aarau KSA, Paediat Emergency Unit, Aarau, Switzerland; [Loevy, Natasha] Geneva Univ Hosp, Dept Woman Child &amp; Adolescent Med, Paediat Platform Clin Res, Geneva, Switzerland; [Kahlert, Christian R.] Childrens Hosp Eastern Switzerland, Infect Dis, St Gallen, Switzerland; [Kahlert, Christian R.] Childrens Hosp Eastern Switzerland, Hosp Epidemiol, St Gallen, Switzerland</t>
  </si>
  <si>
    <t xml:space="preserve">Heinrich Heine University Dusseldorf; University Children's Hospital Zurich; University Children's Hospital Zurich; University of Bern; University Hospital of Bern; University of Basel; Swiss Tropical &amp; Public Health Institute; University of Basel; University of Basel; University of Basel; University Children's Hospital Zurich; University of Geneva</t>
  </si>
  <si>
    <t xml:space="preserve">Vasconcelos, MK (corresponding author), Univ Basel Childrens Hosp UKBB, Dept Paediat Pharmacol, Spitalstr 33, CH-4056 Basel, Switzerland.</t>
  </si>
  <si>
    <t xml:space="preserve">malte.kohns@ukbb.ch</t>
  </si>
  <si>
    <t xml:space="preserve">Coslovsky, Michael/A-6879-2013; Kahlert, Christian/B-9659-2017; Meyer Sauteur, Patrick M./A-9659-2018</t>
  </si>
  <si>
    <t xml:space="preserve">Kahlert, Christian R./0000-0002-0784-3276; Egli, Adrian/0000-0002-3564-8603; Meyer Sauteur, Patrick M./0000-0002-4312-9803; Keitel, Kristina/0000-0002-9663-3843</t>
  </si>
  <si>
    <t xml:space="preserve">Swiss National Science Foundation (SNSF) [SNSF-ID 173532]</t>
  </si>
  <si>
    <t xml:space="preserve">Swiss National Science Foundation (SNSF)(Swiss National Science Foundation (SNSF))</t>
  </si>
  <si>
    <t xml:space="preserve">KIDS-STEP is funded by the Swiss National Science Foundation (SNSF) under the IICT call. Project title: A randomised controlled trial of adjunct corticosteroid therapy in hospitalised children with community acquired pneumonia (CAP): THE KIDS-STEP STUDY (SNSF-ID 173532).</t>
  </si>
  <si>
    <t xml:space="preserve">SMW supporting association</t>
  </si>
  <si>
    <t xml:space="preserve">Basel</t>
  </si>
  <si>
    <t xml:space="preserve">Tragerverein Swiss Medical Weekly, Malzgasse 15, Basel, SWITZERLAND</t>
  </si>
  <si>
    <t xml:space="preserve">1424-7860</t>
  </si>
  <si>
    <t xml:space="preserve">1424-3997</t>
  </si>
  <si>
    <t xml:space="preserve">SWISS MED WKLY</t>
  </si>
  <si>
    <t xml:space="preserve">Swiss Med. Wkly.</t>
  </si>
  <si>
    <t xml:space="preserve">10.57187/smw.2023.40040</t>
  </si>
  <si>
    <t xml:space="preserve">L0ZH6</t>
  </si>
  <si>
    <t xml:space="preserve">Green Published, Green Accepted, gold</t>
  </si>
  <si>
    <t xml:space="preserve">WOS:001020619000003</t>
  </si>
  <si>
    <t xml:space="preserve">Branche, AR; Saiman, L; Walsh, EE; Falsey, AR; Sieling, WD; Greendyke, W; Peterson, DR; Vargas, CY; Phillips, M; Finelli, L</t>
  </si>
  <si>
    <t xml:space="preserve">Branche, Angela R.; Saiman, Lisa; Walsh, Edward E.; Falsey, Ann R.; Sieling, William D.; Greendyke, William; Peterson, Derick R.; Vargas, Celibell Y.; Phillips, Matthew; Finelli, Lyn</t>
  </si>
  <si>
    <t xml:space="preserve">Incidence of Respiratory Syncytial Virus Infection Among Hospitalized Adults, 2017-2020</t>
  </si>
  <si>
    <t xml:space="preserve">Medicine; Incidence (geometry); Exacerbation</t>
  </si>
  <si>
    <t xml:space="preserve">HUMAN METAPNEUMOVIRUS; INFLUENZA; MORTALITY</t>
  </si>
  <si>
    <t xml:space="preserve">Background Respiratory syncytial virus (RSV) causes acute respiratory illness (ARI) and triggers exacerbations of cardiopulmonary disease. Estimates of incidence in hospitalized adults range widely, with few data on incidence in adults with comorbidities that increase the risk of severity. We conducted a prospective, population-based, surveillance study to estimate incidence of RSV hospitalization among adults overall and those with specific comorbidities. Methods Hospitalized adults aged &gt;= 18 years residing in the surveillance area with &gt;= 2 ARI symptoms or exacerbation of underlying cardiopulmonary disease were screened during the 2017-2018, 2018-2019, and 2019-2020 RSV seasons in 3 hospitals in Rochester, New York and New York City. Respiratory specimens were tested for RSV using polymerase chain reaction assays. RSV incidence per 100 000 was adjusted by market share. Results Active and passive surveillance identified 1099 adults hospitalized with RSV. Annual incidence during 3 seasons ranged from 44.2 to 58.9/100 000. Age-group-specific incidence ranged from 7.7 to 11.9/100 000, 33.5 to 57.5/100 000, and 136.9 to 255.6/100 000 in patients ages 18-49, 50-64, and &gt;= 65 years, respectively. Incidence rates in patients with chronic obstructive pulmonary disease, coronary artery disease, and congestive heart failure were 3-13, 4-7, and 4-33 times, respectively, the incidence in patients without these conditions. Conclusions We found a high burden of RSV hospitalization in this large prospective study. Notable was the high incidence among older patients and those with cardiac conditions. These data confirm the need for effective vaccines to prevent RSV infection in older and vulnerable adults. We found a high burden of respiratory syncytial virus (RSV) in this prospective study of hospitalized adults over 3 winters. Population-based estimates confirm highest incidence among older patients and those with cardiac conditions. These data confirm the need for effective RSV vaccines.</t>
  </si>
  <si>
    <t xml:space="preserve">[Branche, Angela R.; Walsh, Edward E.; Falsey, Ann R.] Univ Rochester, Dept Med, Div Infect Dis, Rochester, NY 14642 USA; [Saiman, Lisa; Sieling, William D.; Vargas, Celibell Y.] Columbia Univ, Dept Pediat, Irving Med Ctr, New York, NY 10027 USA; [Saiman, Lisa] New York Presbyterian Hosp, Dept Infect Prevent &amp; Control, New York, NY USA; [Walsh, Edward E.; Falsey, Ann R.] Rochester Gen Hosp, Rochester, NY 14621 USA; [Greendyke, William] Columbia Univ, Dept Med, Irving Med Ctr, New York, NY USA; [Peterson, Derick R.] Univ Rochester, Dept Biostat &amp; Computat Biol, Rochester, NY 14642 USA; [Phillips, Matthew; Finelli, Lyn] Merck &amp; Co Inc, Ctr Observat &amp; Real World Evidence, Kenilworth, NJ USA</t>
  </si>
  <si>
    <t xml:space="preserve">University of Rochester; Columbia University; NewYork-Presbyterian Hospital; NewYork-Presbyterian Hospital; Rochester General Hospital; NewYork-Presbyterian Hospital; Columbia University; University of Rochester; Merck &amp; Company; Merck &amp; Company USA</t>
  </si>
  <si>
    <t xml:space="preserve">Branche, AR (corresponding author), Univ Rochester, Dept Med, 601 Elmwood Ave,Box 689, Rochester, NY 14642 USA.</t>
  </si>
  <si>
    <t xml:space="preserve">Greendyke, William/JXN-1317-2024</t>
  </si>
  <si>
    <t xml:space="preserve">Merck Sharp &amp; Dohme Corporation (MSD)</t>
  </si>
  <si>
    <t xml:space="preserve">This work was supported by Merck Sharp &amp; Dohme Corporation (MSD), a subsidiary of Merck &amp; Co, Inc, Kenilworth, New Jersey, USA.</t>
  </si>
  <si>
    <t xml:space="preserve">MAR 23</t>
  </si>
  <si>
    <t xml:space="preserve">10.1093/cid/ciab595</t>
  </si>
  <si>
    <t xml:space="preserve">ZY4WX</t>
  </si>
  <si>
    <t xml:space="preserve">WOS:000755831900001</t>
  </si>
  <si>
    <t xml:space="preserve">Proenca-Modena, JL; Valera, FCP; Jacob, MG; Buzatto, GP; Saturno, TH; Lopes, L; Souza, JM; Paula, FE; Silva, ML; Carenzi, LR; Tamashiro, E; Arruda, E; Anselmo-Lima, WT</t>
  </si>
  <si>
    <t xml:space="preserve">Proenca-Modena, Jose Luiz; Pereira Valera, Fabiana Cardoso; Jacob, Marcos Gerhardinger; Buzatto, Guilherme Pietrucci; Saturno, Tamara Honorato; Lopes, Lucia; Souza, Jamila Mendonca; Paula, Flavia Escremim; Silva, Maria Lucia; Carenzi, Lucas Rodrigues; Tamashiro, Edwin; Arruda, Eurico; Anselmo-Lima, Wilma Terezinha</t>
  </si>
  <si>
    <t xml:space="preserve">High Rates of Detection of Respiratory Viruses in Tonsillar Tissues from Children with Chronic Adenotonsillar Disease</t>
  </si>
  <si>
    <t xml:space="preserve">Human bocavirus; Rhinovirus; Enterovirus; Virology; Human metapneumovirus; Virus; Tonsil; Palatine tonsil; Biology; Respiratory system</t>
  </si>
  <si>
    <t xml:space="preserve">RECURRENT TONSILLITIS; HUMAN BOCAVIRUS; HYPERTROPHY; LYMPHOCYTES; PREVALENCE; APOPTOSIS; RNA; DNA</t>
  </si>
  <si>
    <t xml:space="preserve">Chronic tonsillar diseases are an important health problem, leading to large numbers of surgical procedures worldwide. Little is known about pathogenesis of these diseases. In order to investigate the role of respiratory viruses in chronic adenotonsillar diseases, we developed a cross-sectional study to determine the rates of viral detections of common respiratory viruses detected by TaqMan real time PCR (qPCR) in nasopharyngeal secretions, tonsillar tissues and peripheral blood from 121 children with chronic tonsillar diseases, without symptoms of acute respiratory infections. At least one respiratory virus was detected in 97.5% of patients. The viral co-infection rate was 69.5%. The most frequently detected viruses were human adenovirus in 47.1%, human enterovirus in 40.5%, human rhinovirus in 38%, human bocavirus in 29.8%, human metapneumovirus in 17.4% and human respiratory syncytial virus in 15.7%. Results of qPCR varied widely between sample sites: human adenovirus, human bocavirus and human enterovirus were predominantly detected in tissues, while human rhinovirus was more frequently detected in secretions. Rates of virus detection were remarkably high in tonsil tissues: over 85% in adenoids and close to 70% in palatine tonsils. In addition, overall virus detection rates were higher in more hypertrophic than in smaller adenoids (p = 0.05), and in the particular case of human enteroviruses, they were detected more frequently (p = 0.05) in larger palatine tonsils than in smaller ones. While persistence/latency of DNA viruses in tonsillar tissues has been documented, such is not the case of RNA viruses. Respiratory viruses are highly prevalent in adenoids and palatine tonsils of patients with chronic tonsillar diseases, and persistence of these viruses in tonsils may stimulate chronic inflammation and play a role in the pathogenesis of these diseases.</t>
  </si>
  <si>
    <t xml:space="preserve">[Proenca-Modena, Jose Luiz; Paula, Flavia Escremim; Silva, Maria Lucia; Arruda, Eurico] Univ Sao Paulo, Dept Cell Biol, Sch Med Ribeirao Preto, BR-14049 Ribeirao Preto, Brazil; [Pereira Valera, Fabiana Cardoso; Buzatto, Guilherme Pietrucci; Carenzi, Lucas Rodrigues; Tamashiro, Edwin; Anselmo-Lima, Wilma Terezinha] Univ Sao Paulo, Dept Ophthalmol Otorhinolaryngol &amp; Head &amp; Neck Su, Sch Med Ribeirao Preto, BR-14049 Ribeirao Preto, Brazil; [Proenca-Modena, Jose Luiz; Jacob, Marcos Gerhardinger; Saturno, Tamara Honorato; Lopes, Lucia; Souza, Jamila Mendonca; Paula, Flavia Escremim; Silva, Maria Lucia; Arruda, Eurico] Univ Sao Paulo, Virol Res Ctr, Sch Med Ribeirao Preto, BR-14049 Ribeirao Preto, Brazil</t>
  </si>
  <si>
    <t xml:space="preserve">Universidade de Sao Paulo; Universidade de Sao Paulo; Universidade de Sao Paulo</t>
  </si>
  <si>
    <t xml:space="preserve">Proenca-Modena, JL (corresponding author), Univ Sao Paulo, Dept Cell Biol, Sch Med Ribeirao Preto, BR-14049 Ribeirao Preto, Brazil.</t>
  </si>
  <si>
    <t xml:space="preserve">Arruda, Eurico/E-4101-2012; Proenca-Modena, Jose Luiz/C-8231-2014; Tamashiro, Edwin/C-5062-2012; Valera, Fabiana Cardoso Pereira/D-3787-2012</t>
  </si>
  <si>
    <t xml:space="preserve">Proenca-Modena, Jose Luiz/0000-0002-4996-3153; Tamashiro, Edwin/0000-0002-3153-6292; Valera, Fabiana Cardoso Pereira/0000-0002-6605-5317</t>
  </si>
  <si>
    <t xml:space="preserve">FAPESP-Sao Paulo Research Foundation [2009/51818-8]; National Research Counsel (CNPq)</t>
  </si>
  <si>
    <t xml:space="preserve">FAPESP-Sao Paulo Research Foundation(Fundacao de Amparo a Pesquisa do Estado de Sao Paulo (FAPESP)); National Research Counsel (CNPq)(Conselho Nacional de Desenvolvimento Cientifico e Tecnologico (CNPQ))</t>
  </si>
  <si>
    <t xml:space="preserve">This study was supported by FAPESP-Sao Paulo Research Foundation (Grant No. 2009/51818-8). EA, WTAL and FCPV are recipients of longstanding research scholarships from the National Research Counsel (CNPq). The funders had no role in study design, data collection and analysis, decision to publish, or preparation of the manuscript.</t>
  </si>
  <si>
    <t xml:space="preserve">e42136</t>
  </si>
  <si>
    <t xml:space="preserve">10.1371/journal.pone.0042136</t>
  </si>
  <si>
    <t xml:space="preserve">985QT</t>
  </si>
  <si>
    <t xml:space="preserve">WOS:000307284100047</t>
  </si>
  <si>
    <t xml:space="preserve">Llor, C; Moragas, A; Bayona, C; Morros, R; Pera, H; Cots, JM; Fernández, Y; Miravitlles, M; Boada, A</t>
  </si>
  <si>
    <t xml:space="preserve">Llor, Carl; Moragas, Ana; Bayona, Carolina; Morros, Rosa; Pera, Helena; Cots, Josep M.; Fernandez, Yvonne; Miravitlles, Marc; Boada, Albert</t>
  </si>
  <si>
    <t xml:space="preserve">Effectiveness of anti-inflammatory treatment versus antibiotic therapy and placebo for patients with non-complicated acute bronchitis with purulent sputum. The BAAP Study protocol</t>
  </si>
  <si>
    <t xml:space="preserve">Medicine; Placebo; Bronchitis; Sputum; Respiratory tract infections; Lower respiratory tract infection; Internal medicine</t>
  </si>
  <si>
    <t xml:space="preserve">RESPIRATORY-TRACT INFECTIONS; HUMAN METAPNEUMOVIRUS; AMBULATORY-CARE; MANAGEMENT; ADULTS; BLIND</t>
  </si>
  <si>
    <t xml:space="preserve">Background: Acute bronchitis is one of the most prevalent respiratory infections in primary care, and in more than 90% of the cases antibiotics are prescribed, mainly when purulent expectoration is present. However, this process is usually viral in origin and the benefits of antibiotic treatment are marginal. On the other hand, in recent years bronchitis has been considered more as an inflammatory than an infectious process. Thus, the aim of this study is to evaluate the clinical effectiveness of a schedule of an oral anti-inflammatory compared with an antibiotic regimen and another group assigned to receive a placebo. Methods and design: A total of 420 patients from 15 to 70 years of age with no associated comorbidity, presenting respiratory tract infection of at least one week of evolution, with cough as the predominant symptom, the presence of purulent expectoration and at least one other symptom of the respiratory tract (dyspnoea, wheezing, chest discomfort or pain), with no alternative explanation such as pneumonia, will be included in a prospective, randomised and controlled, clinical trial with placebo. The patients will be randomised to receive one of three treatments: ibuprofen, amoxycillin and clavulanic acid or placebo for 10 days. The main outcome measure is the number of days with frequent cough defined by the symptom diary with a score of 1 or more. Discussion: This trial is designed to evaluate the number of days with frequent cough with anti-inflammatory treatment compared with antimicrobial treatment and placebo in previously healthy patients with a clinical picture of acute bronchitis and purulent expectoration. It is hypothesized that anti-inflammatory treatment is more effective than antibiotic treatment to reduce cough, which is the most disturbing symptom for patients with this infection.</t>
  </si>
  <si>
    <t xml:space="preserve">[Llor, Carl; Moragas, Ana; Fernandez, Yvonne] Univ Rovira &amp; Virgili, Primary Healthcare Ctr Jaume 1, Tarragona, Spain; [Bayona, Carolina] Primary Healthcare Ctr Valls Urba, Valls, Tarragona, Spain; [Cots, Josep M.] Univ Barcelona, Primary Healthcare Ctr La Marina, Barcelona, Spain; [Miravitlles, Marc] Hosp Clin Barcelona, Dept Pneumol, Inst Clin Torax IDIBAPS, CIBER Enfermedades Resp CIBERES, Barcelona, Spain; [Boada, Albert] Primary Healthcare Ctr Maragall, Barcelona, Spain</t>
  </si>
  <si>
    <t xml:space="preserve">Universitat Rovira i Virgili; University of Barcelona; CIBER - Centro de Investigacion Biomedica en Red; CIBERES; University of Barcelona; Hospital Clinic de Barcelona; IDIBAPS</t>
  </si>
  <si>
    <t xml:space="preserve">Llor, C (corresponding author), Univ Rovira &amp; Virgili, Primary Healthcare Ctr Jaume 1, Tarragona, Spain.</t>
  </si>
  <si>
    <t xml:space="preserve">carles.llor@urv.cat</t>
  </si>
  <si>
    <t xml:space="preserve">Cots, Josep/G-5677-2015; Llor, Carl/AFR-3639-2022; Miravitlles, Marc/AAH-5284-2019</t>
  </si>
  <si>
    <t xml:space="preserve">Miravitlles, Marc/0000-0002-9850-9520; Moragas Moreno, Ana/0000-0002-1307-0943; Pera Pujadas, Helena/0000-0003-3593-819X; Morros, Rosa/0000-0001-6752-8748; Llor, Carl/0000-0001-6644-717X</t>
  </si>
  <si>
    <t xml:space="preserve">Spanish Ministry of Science and Innovation via Instituto de Salud Carlos III [07/90333]; Catalan Society of Family Medicine</t>
  </si>
  <si>
    <t xml:space="preserve">Spanish Ministry of Science and Innovation via Instituto de Salud Carlos III; Catalan Society of Family Medicine</t>
  </si>
  <si>
    <t xml:space="preserve">This research is supported by the Spanish Ministry of Science and Innovation via Instituto de Salud Carlos III (Project code Fondo de Investigacion Sanitaria: 07/90333). The authors would like to thank all the GPs who have accepted to recruit patients and for their involvement in this study and the Catalan Society of Family Medicine for its support.</t>
  </si>
  <si>
    <t xml:space="preserve">10.1186/1471-2466-11-38</t>
  </si>
  <si>
    <t xml:space="preserve">V27DB</t>
  </si>
  <si>
    <t xml:space="preserve">WOS:000208592800038</t>
  </si>
  <si>
    <t xml:space="preserve">Cohen, C; Moyes, J; Tempia, S; Groome, M; Walaza, S; Pretorius, M; Naby, F; Mekgoe, O; Kahn, K; von Gottberg, A; Wolter, N; Cohen, AL; von Mollendorf, C; Venter, M; Madhi, SA</t>
  </si>
  <si>
    <t xml:space="preserve">Cohen, Cheryl; Moyes, Jocelyn; Tempia, Stefano; Groome, Michelle; Walaza, Sibongile; Pretorius, Marthi; Naby, Fathima; Mekgoe, Omphile; Kahn, Kathleen; von Gottberg, Anne; Wolter, Nicole; Cohen, Adam L.; von Mollendorf, Claire; Venter, Marietjie; Madhi, Shabir A.</t>
  </si>
  <si>
    <t xml:space="preserve">Epidemiology of Acute Lower Respiratory Tract Infection in HIV-Exposed Uninfected Infants</t>
  </si>
  <si>
    <t xml:space="preserve">Medicine; Odds ratio; Incidence (geometry); Confidence interval; Respiratory tract infections; Epidemiology; Lower respiratory tract infection</t>
  </si>
  <si>
    <t xml:space="preserve">INVASIVE PNEUMOCOCCAL DISEASE; SOUTH-AFRICAN CHILDREN; INCREASED RISK; MORTALITY; PNEUMONIA; MORBIDITY; WOMEN; AGE; AVAILABILITY; MOTHERS</t>
  </si>
  <si>
    <t xml:space="preserve">BACKGROUND: Increased morbidity and mortality from lower respiratory tract infection (LRTI) has been suggested in HIV-exposed uninfected (HEU) children; however, the contribution of respiratory viruses is unclear. We studied the epidemiology of LRTI hospitalization in HIV-unexposed uninfected (HUU) and HEU infants aged &lt;6 months in South Africa. METHODS: We prospectively enrolled hospitalized infants with LRTI from 4 provinces from 2010 to 2013. Using polymerase chain reaction, nasopharyngeal aspirates were tested for 10 viruses and blood for pneumococcal DNA. Incidence for 2010-2011 was estimated at 1 site with population denominators. RESULTS: We enrolled 3537 children aged &lt;6 months. HIV infection and exposure status were determined for 2507 (71%), of whom 211 (8%) were HIV infected, 850 (34%) were HEU, and 1446 (58%) were HUU. The annual incidence of LRTI was elevated in HEU (incidence rate ratio [IRR] 1.4; 95% confidence interval [CI] 1.3-1.5) and HIV infected (IRR 3.8; 95% CI 3.3-4.5), compared with HUU infants. Relative incidence estimates were greater in HEU than HUU, for respiratory syncytial virus (RSV; IRR 1.4; 95% CI 1.3-1.6) and human metapneumovirus-associated (IRR 1.4; 95% CI 1.1-2.0) LRTI, with a similar trend observed for influenza (IRR 1.2; 95% CI 0.8-1.8). HEU infants overall, and those with RSV-associated LRTI had greater odds (odds ratio 2.1, 95% CI 1.1-3.8, and 12.2, 95% CI 1.7-infinity, respectively) of death than HUU. CONCLUSIONS: HEU infants were more likely to be hospitalized and to die in-hospital than HUU, including specifically due to RSV. This group should be considered a high-risk group for LRTI.</t>
  </si>
  <si>
    <t xml:space="preserve">[Cohen, Cheryl; Moyes, Jocelyn; Walaza, Sibongile; von Gottberg, Anne; Wolter, Nicole; von Mollendorf, Claire; Madhi, Shabir A.] Natl Hlth Lab Serv, Natl Inst Communicable Dis, Ctr Resp Dis &amp; Meningitis, Johannesburg, South Africa; [Cohen, Cheryl; Moyes, Jocelyn; Walaza, Sibongile; von Mollendorf, Claire] Univ Witwatersrand, Fac Hlth Sci, Sch Publ Hlth, Johannesburg, South Africa; [Groome, Michelle; Madhi, Shabir A.] Univ Witwatersrand, MRC, Resp &amp; Meningeal Pathogens Res Unit, Fac Hlth Sci, Johannesburg, South Africa; [Groome, Michelle; Madhi, Shabir A.] Univ Witwatersrand, Dept Sci &amp; Technol, Natl Res Fdn Vaccine Preventable Dis, Johannesburg, South Africa; [Kahn, Kathleen] Univ Witwatersrand, MRC, Wits Rural Publ Hlth &amp; Hlth Transit Res Unit Agin, Sch Publ Hlth,Fac Hlth Sci, Johannesburg, South Africa; [von Gottberg, Anne; Wolter, Nicole] Univ Witwatersrand, Fac Hlth Sci, Sch Pathol, Johannesburg, South Africa; [Tempia, Stefano; Cohen, Adam L.] Ctr Dis Control &amp; Prevent, Influenza Div, Atlanta, GA USA; [Tempia, Stefano; Cohen, Adam L.] US Ctr Dis Control &amp; Prevent South Africa, Influenza Programme, Pretoria, South Africa; [Venter, Marietjie] US Ctr Dis Control &amp; Prevent South Africa, Global Dis Detect, Pretoria, South Africa; [Pretorius, Marthi; Venter, Marietjie] Univ Pretoria, Dept Med Virol, Zoonosis Res Unit, ZA-0001 Pretoria, South Africa; [Naby, Fathima] Univ KwaZulu Natal, Pietermaritzburg Metropolitan Hosp, Dept Paediat, Kwa Zulu, South Africa; [Mekgoe, Omphile] Klerksdorp Hosp, Dept Paediat, Flamwood, Northwest Provi, South Africa; [Kahn, Kathleen] Umea Univ, Ctr Global Hlth Res, Umea, Sweden; [Kahn, Kathleen] INDEPTH Network, Accra, Ghana</t>
  </si>
  <si>
    <t xml:space="preserve">National Health Laboratory Service; National Institute for Communicable Diseases (NICD); University of Witwatersrand; University of Witwatersrand; National Research Foundation - South Africa; University of Witwatersrand; University of Witwatersrand; University of Witwatersrand; Centers for Disease Control &amp; Prevention - USA; University of Pretoria; University of Kwazulu Natal; Umea University; INDEPTH Network</t>
  </si>
  <si>
    <t xml:space="preserve">Groome, Michelle/AAI-9967-2021; Walaza, Sibongile/HKP-0810-2023; Moyes, Jocelyn/AAF-7882-2019; Venter, Marietjie/P-9604-2016; Cohen, Cheryl/HKV-1000-2023</t>
  </si>
  <si>
    <t xml:space="preserve">Venter, Marietjie/0000-0003-2696-824X; Groome, Michelle/0000-0001-5893-3725; Madhi, Shabir/0000-0002-7629-0636; Wolter, Nicole/0000-0002-9526-0133; Pretorius, Marthi/0000-0003-2163-6158; Walaza, Sibongile/0000-0001-7588-2480; Cohen, Cheryl/0000-0003-0376-2302; Kahn, Kathleen/0000-0003-3339-3931; von Gottberg, Anne/0000-0002-0243-7455</t>
  </si>
  <si>
    <t xml:space="preserve">National Institute for Communicable Diseases/National Health Laboratory Service; US Centers for Disease Control and Prevention (CDC; Atlanta, Georgia); Preparedness and Response to Avian and Pandemic Influenza in South Africa [U51/IP000155-04]</t>
  </si>
  <si>
    <t xml:space="preserve">National Institute for Communicable Diseases/National Health Laboratory Service; US Centers for Disease Control and Prevention (CDC; Atlanta, Georgia); Preparedness and Response to Avian and Pandemic Influenza in South Africa</t>
  </si>
  <si>
    <t xml:space="preserve">This study received funding from the National Institute for Communicable Diseases/National Health Laboratory Service and was supported in part by funds from the US Centers for Disease Control and Prevention (CDC; Atlanta, Georgia), Preparedness and Response to Avian and Pandemic Influenza in South Africa (Cooperative Agreement U51/IP000155-04). The contents are solely the responsibility of the authors and do not necessarily represent the official views of the CDC. The funders had no role in study design, implementation, manuscript writing, or the decision to submit for publication. The corresponding author had full access to all the data in the study and takes final responsibility for the decision to submit for publication.</t>
  </si>
  <si>
    <t xml:space="preserve">e20153272</t>
  </si>
  <si>
    <t xml:space="preserve">10.1542/peds.2015-3272</t>
  </si>
  <si>
    <t xml:space="preserve">DI0OU</t>
  </si>
  <si>
    <t xml:space="preserve">Green Accepted, Bronze, Green Submitted</t>
  </si>
  <si>
    <t xml:space="preserve">WOS:000373197500034</t>
  </si>
  <si>
    <t xml:space="preserve">Doroshenko, A; Lee, N; MacDonald, C; Zelyas, N; Asadi, L; Kanji, JN</t>
  </si>
  <si>
    <t xml:space="preserve">Doroshenko, Alexander; Lee, Nelson; MacDonald, Clayton; Zelyas, Nathan; Asadi, Leyla; Kanji, Jamil N.</t>
  </si>
  <si>
    <t xml:space="preserve">Decline of Influenza and Respiratory Viruses With COVID-19 Public Health Measures: Alberta, Canada</t>
  </si>
  <si>
    <t xml:space="preserve">MAYO CLINIC PROCEEDINGS</t>
  </si>
  <si>
    <t xml:space="preserve">Medicine; Coronavirus disease 2019 (COVID-19); Virology; 2019-20 coronavirus outbreak; Pandemic; Severe acute respiratory syndrome coronavirus 2 (SARS-CoV-2); Public health; Betacoronavirus; Respiratory system</t>
  </si>
  <si>
    <t xml:space="preserve">Objective: To determine the incidence of influenza and noninfluenza respiratory viruses (NIRVs) pre-/post-implementation of public health measures aimed to decrease coronavirus disease 2019 (COVID-19) transmission using population-based surveillance data. We hypothesized that such measures could reduce the burden of respiratory viruses (RVs) transmitting via the same routes. Patients and Methods: An interrupted time-series analysis of RV surveillance data in Alberta, Canada, from May 2017 to July 2020 was conducted. The burden of influenza and NIRVs before and after intervention initiation at week 11 was compared. The analysis was adjusted for seasonality, over-dispersion, and autocorrelation. Results: During the study period, an average of 708 and 4056 weekly respiratory multiplex molecular panels were conducted pre-/post-intervention, respectively. We found significant reductions in test positivity rates in the postintervention period for influenza (-94.3%; 95% CI, -93.8 to 97.4%; P&lt;.001) and all NIRVs (-76.5%; 95% CI, -77.3 to -75.8%; P&lt;.001) in the crude model, and -86.2% (95% CI, -91.5 to -77.4%: P&lt;.001) and -75% (95% CI, -79.7 to -69.3%; P&lt;.001), respectively, in the adjusted models. Subanalyses for individual viruses showed significant decreases in respiratory syncytial virus, human metapneumovirus, enterovirus/rhinovirus, and parainfluenza. For non-severe acute respiratory coronavirus 2 human coronaviruses, the decline was not statistically significant after adjustment (-22.3%; 95% CI, -49.3 to +19%, P=.246). Conclusion: The implementation of COVID-19 public health measures likely resulted in reduced transmission of common RVs. Although drastic lockdowns are unlikely to be required given widespread COVID-19 vaccination, targeted implementation of such measures can lower RV disease burden. Studies to evaluate relative contributions of individual interventions are warranted. (C) 2021 Mayo Foundation for Medical Education and Research. Published by Elsevier Inc.</t>
  </si>
  <si>
    <t xml:space="preserve">[Doroshenko, Alexander] Univ Alberta, Fac Med &amp; Dent, Div Prevent Med, Edmonton, AB, Canada; [Doroshenko, Alexander] Univ Alberta, Sch Publ Hlth, Edmonton, AB, Canada; [Lee, Nelson; Kanji, Jamil N.] Univ Alberta, Dept Med, Div Infect Dis, Edmonton, AB, Canada; [Zelyas, Nathan; Kanji, Jamil N.] Univ Alberta, Dept Lab Med &amp; Pathol, Edmonton, AB, Canada; [Asadi, Leyla] Univ Alberta, Dept Med, Edmonton, AB, Canada; [MacDonald, Clayton] Vancouver Coastal Hlth, Dept Med Microbiol &amp; Infect Control, Vancouver, BC, Canada; [Zelyas, Nathan; Kanji, Jamil N.] Publ Hlth Lab, Alberta Precis Labs, Edmonton, AB, Canada</t>
  </si>
  <si>
    <t xml:space="preserve">University of Alberta; University of Alberta; University of Alberta; University of Alberta; University of Alberta; Vancouver Coastal Health Research Institute</t>
  </si>
  <si>
    <t xml:space="preserve">Kanji, JN (corresponding author), Publ Hlth Lab, Alberta Precis Labs, Foothills Med Ctr, 3030 Hosp Dr NW, Calgary, AB T2N 4W4, Canada.</t>
  </si>
  <si>
    <t xml:space="preserve">jamil.kanji@ahs.ca</t>
  </si>
  <si>
    <t xml:space="preserve">Zelyas, Nathan/JTD-2678-2023; Lee, Nelson/B-6418-2008; Asadi, Leyla/H-3282-2016; MacDonald, Clint/AAR-6962-2021</t>
  </si>
  <si>
    <t xml:space="preserve">MacDonald, Clint/0000-0003-0995-0072</t>
  </si>
  <si>
    <t xml:space="preserve">0025-6196</t>
  </si>
  <si>
    <t xml:space="preserve">1942-5546</t>
  </si>
  <si>
    <t xml:space="preserve">MAYO CLIN PROC</t>
  </si>
  <si>
    <t xml:space="preserve">Mayo Clin. Proc.</t>
  </si>
  <si>
    <t xml:space="preserve">10.1016/j.mayocp.2021.09.004</t>
  </si>
  <si>
    <t xml:space="preserve">DEC 2021</t>
  </si>
  <si>
    <t xml:space="preserve">XJ3NM</t>
  </si>
  <si>
    <t xml:space="preserve">WOS:000726699200018</t>
  </si>
  <si>
    <t xml:space="preserve">Moesker, FM; van Kampen, JJA; van Rossum, AMC; de Hoog, M; Koopmans, MPG; Osterhaus, ADME; Fraaij, PLA</t>
  </si>
  <si>
    <t xml:space="preserve">Moesker, Fleur M.; van Kampen, Jeroen J. A.; van Rossum, Annemarie M. C.; de Hoog, Matthijs; Koopmans, Marion P. G.; Osterhaus, Albert D. M. E.; Fraaij, Pieter L. A.</t>
  </si>
  <si>
    <t xml:space="preserve">Viruses as Sole Causative Agents of Severe Acute Respiratory Tract Infections in Children</t>
  </si>
  <si>
    <t xml:space="preserve">Respiratory tract infections; Virus; Medicine; Respiratory tract</t>
  </si>
  <si>
    <t xml:space="preserve">SYNCYTIAL VIRUS; YOUNG-CHILDREN; VIRAL LOAD; HUMAN METAPNEUMOVIRUS; BACTERIAL-INFECTIONS; DISEASE SEVERITY; RISK; PCR; BRONCHIOLITIS; PATHOGENS</t>
  </si>
  <si>
    <t xml:space="preserve">Background Respiratory syncytial virus (RSV) and influenza A viruses are known to cause severe acute respiratory tract infections (SARIs) in children. For other viruses like human rhinoviruses (HRVs) this is less well established. Viral or bacterial co-infections are often considered essential for severe manifestations of these virus infections. Objective The study aims at identifying viruses that may cause SARI in children in the absence of viral and bacterial co-infections, at identifying disease characteristics associated with these single virus infections, and at identifying a possible correlation between viral loads and disease severities. Study Design Between April 2007 and March 2012, we identified children (&lt;18 year) with or without a medical history, admitted to our paediatric intensive care unit (PICU) with SARI or to the medium care (MC) with an acute respiratory tract infection (ARTI) (controls). Data were extracted from the clinical and laboratory databases of our tertiary care paediatric hospital. Patient specimens were tested for fifteen respiratory viruses with real-time reverse transcriptase PCR assays and we selected patients with a single virus infection only. Typical bacterial co-infections were considered unlikely to have contributed to the PICU or MC admission based on C-reactive protein-levels or bacteriological test results if performed. Results We identified 44 patients admitted to PICU with SARI and 40 patients admitted to MC with ARTI. Twelve viruses were associated with SARI, ten of which were also associated with ARTI in the absence of typical bacterial and viral co-infections, with RSV and HRV being the most frequent causes. Viral loads were not different between PICU-SARI patients and MCARTI patients. Conclusion Both SARI and ARTI may be caused by single viral pathogens in previously healthy children as well as in children with a medical history. No relationship between viral load and disease severity was identified.</t>
  </si>
  <si>
    <t xml:space="preserve">[Moesker, Fleur M.; van Kampen, Jeroen J. A.; Koopmans, Marion P. G.; Osterhaus, Albert D. M. E.; Fraaij, Pieter L. A.] Erasmus MC, Dept Virosci, Rotterdam, Netherlands; [van Rossum, Annemarie M. C.; Fraaij, Pieter L. A.] Erasmus MC Sophia, Dept Paediat, Rotterdam, Netherlands; [de Hoog, Matthijs] Erasmus MC Sophia, Dept Paediat, Paediat Intens Care Unit, Rotterdam, Netherlands; [Osterhaus, Albert D. M. E.] Univ Vet Med, Res Ctr Emerging Infect &amp; Zoonoses RIZ, Hannover, Germany</t>
  </si>
  <si>
    <t xml:space="preserve">Erasmus University Rotterdam; Erasmus MC; Erasmus University Rotterdam; Erasmus MC; Erasmus University Rotterdam; Erasmus MC; University of Veterinary Medicine Hannover</t>
  </si>
  <si>
    <t xml:space="preserve">Moesker, FM (corresponding author), Erasmus MC, Dept Virosci, Rotterdam, Netherlands.</t>
  </si>
  <si>
    <t xml:space="preserve">fleur.moesker@gmail.com</t>
  </si>
  <si>
    <t xml:space="preserve">Koopmans, Marion/Y-9170-2019; Fraaij, Pieter/AAU-9783-2021; van Rossum, Annemarie/AAC-7050-2019</t>
  </si>
  <si>
    <t xml:space="preserve">van Kampen, Jeroen/0000-0002-7625-8230; van Rossum, Annemarie/0000-0002-1259-477X; Koopmans, Marion/0000-0002-5204-2312</t>
  </si>
  <si>
    <t xml:space="preserve">EU [602525]; VIRGO project NWO The Netherlands [FES0908]; N-RENNT DFG Germany; Sophia research Foundation; Hoffmann-La Roche; Erasmus MC</t>
  </si>
  <si>
    <t xml:space="preserve">EU(European Union (EU)); VIRGO project NWO The Netherlands; N-RENNT DFG Germany(German Research Foundation (DFG)); Sophia research Foundation; Hoffmann-La Roche(Hoffmann-La Roche); Erasmus MC</t>
  </si>
  <si>
    <t xml:space="preserve">PLAF, MPGK and ADMEO's institutions received funding from EU FP7 project PREPARE (grant number 602525) for studies on the pathogenesis of viruses in children. PLAF and ADMEO received funding from VIRGO project NWO The Netherlands (grant number FES0908). ADMEO receives funding from N-RENNT DFG Germany. AMCVR's institution received funding from the Sophia research Foundation. PLAF and ADMEO participated in the IRIS trial sponsored by Hoffmann-La Roche expenses were paid to their institution. GSK paid a speaker's fee to the Erasmus MC for PLAF. The funders had no role in study design, data collection and analysis, decision to publish, or preparation of the manuscript.</t>
  </si>
  <si>
    <t xml:space="preserve">MAR 10</t>
  </si>
  <si>
    <t xml:space="preserve">e0150776</t>
  </si>
  <si>
    <t xml:space="preserve">10.1371/journal.pone.0150776</t>
  </si>
  <si>
    <t xml:space="preserve">DG3TL</t>
  </si>
  <si>
    <t xml:space="preserve">WOS:000371993000062</t>
  </si>
  <si>
    <t xml:space="preserve">Bamberger, E; Srugo, I; Abu Raya, B; Segal, E; Chaim, B; Kassis, I; Kugelman, A; Miron, D</t>
  </si>
  <si>
    <t xml:space="preserve">Bamberger, E.; Srugo, I.; Abu Raya, B.; Segal, E.; Chaim, B.; Kassis, I.; Kugelman, A.; Miron, D.</t>
  </si>
  <si>
    <t xml:space="preserve">What is the clinical relevance of respiratory syncytial virus bronchiolitis?: findings from a multi-center, prospective study</t>
  </si>
  <si>
    <t xml:space="preserve">Bronchiolitis; Medicine; Prospective cohort study; Etiology; Clinical significance</t>
  </si>
  <si>
    <t xml:space="preserve">HUMAN METAPNEUMOVIRUS INFECTIONS; INTENSIVE-CARE-UNIT; TRACT INFECTIONS; HOSPITALIZED INFANTS; HUMAN BOCAVIRUS; VIRAL-ETIOLOGY; PCR ASSAY; CHILDREN; IDENTIFICATION; RHINOVIRUS</t>
  </si>
  <si>
    <t xml:space="preserve">Acute bronchiolitis (AB) is caused primarily by respiratory syncytial virus (RSV). Recent laboratory tools have implicated a variety of other pathogens; however, their clinical relevance has not been clearly defined. The purpose of this study was to determine whether the etiological agents of AB affect its course. A multicenter prospective study was performed in previously healthy children &lt; 24 months of age who presented with &lt; 4 days duration of AB. Subjects were divided into the following groups: only RSV, also RSV, no RSV, and no pathogen. The clinical severity score on admission as well as the overall severity of disease was assessed. RSV was the most common cause of AB (77.5 %). Only RSV or also RSV patients had a higher clinical score on admission compared to those with no RSV, p &lt; 0.001 and p &lt; 0.02, respectively. Only RSV and also RSV patients had a higher disease severity score when compared to patients with no RSV, 5.9 +/- 1.4 vs. 5.1 +/- 1.5, p &lt; 0.001, and 5.6 +/- 1.4 vs. 5.1 +/- 1.5, p &lt; 0.02, respectively. Disease severity did not vary as a function of transfer to the pediatric intensive care unit (PICU) or duration of supplemental oxygen, yet, only RSV was associated with a longer length of stay (LOS) than no RSV, p &lt; 0.02. Only RSV-related AB was associated with a more severe initial clinical presentation and a longer LOS. There appears to be little immediate clinical benefit to diagnosing RSV AB to the individual patient, but the application of these diagnostic methods may have significant cost-saving implications and, thus, deserves consideration by medical professionals and health policy analysts.</t>
  </si>
  <si>
    <t xml:space="preserve">[Bamberger, E.; Srugo, I.; Abu Raya, B.; Segal, E.; Chaim, B.; Kugelman, A.] Bnai Zion Med Ctr, Dept Pediat, IL-31048 Haifa, Israel; [Kassis, I.] Meyer Childrens Hosp, Div Infect Dis, Haifa, Israel; [Miron, D.] HaEmek Med Ctr, Pediat Infect Dis Unit, Afula, Israel; [Bamberger, E.; Srugo, I.; Abu Raya, B.; Segal, E.; Chaim, B.; Kassis, I.; Kugelman, A.; Miron, D.] Technion Israel Inst Technol, Rappaport Sch Med, Haifa, Israel</t>
  </si>
  <si>
    <t xml:space="preserve">Bnai Zion Medical Center; Rambam Health Care Campus; Emek Medical Center; Technion Israel Institute of Technology; Rappaport Faculty of Medicine</t>
  </si>
  <si>
    <t xml:space="preserve">Abu Raya, B (corresponding author), Bnai Zion Med Ctr, Dept Pediat, Golomb St 47, IL-31048 Haifa, Israel.</t>
  </si>
  <si>
    <t xml:space="preserve">baha_aboraya@yahoo.com</t>
  </si>
  <si>
    <t xml:space="preserve">Abu-Raya, Bahaa/ABC-9889-2021</t>
  </si>
  <si>
    <t xml:space="preserve">10.1007/s10096-012-1699-2</t>
  </si>
  <si>
    <t xml:space="preserve">029AH</t>
  </si>
  <si>
    <t xml:space="preserve">WOS:000310466700009</t>
  </si>
  <si>
    <t xml:space="preserve">Klink, T; Rankin, DA; Piya, B; Spieker, AJ; Faouri, S; Shehabi, A; Williams, JV; Khuri-Bulos, N; Halasa, NB</t>
  </si>
  <si>
    <t xml:space="preserve">Klink, Thomas; Rankin, Danielle A.; Piya, Bhinnata; Spieker, Andrew J.; Faouri, Samir; Shehabi, Asem; Williams, John V.; Khuri-Bulos, Najwa; Halasa, Natasha B.</t>
  </si>
  <si>
    <t xml:space="preserve">Evaluating the diagnostic accuracy of the WHO Severe Acute Respiratory Infection (SARI) criteria in Middle Eastern children under two years over three respiratory seasons</t>
  </si>
  <si>
    <t xml:space="preserve">Medicine; Predictive value; Respiratory system; Rhinovirus; Internal medicine; Throat; Pediatrics</t>
  </si>
  <si>
    <t xml:space="preserve">CASE DEFINITIONS; INFLUENZA SURVEILLANCE; HUMAN-METAPNEUMOVIRUS; HOSPITALIZED-PATIENTS; WESTERN KENYA; ILLNESS; EPIDEMIOLOGY</t>
  </si>
  <si>
    <t xml:space="preserve">Objective The World Health Organization created the Severe Acute Respiratory Infection (SARI) criteria in 2011 to monitor influenza (flu)-related hospitalization. Many studies have since used the SARI case definition as inclusion criteria for surveillance studies. We sought to determine the sensitivity, specificity, positive predictive value, and negative predictive value of the SARI criteria for detecting ten different respiratory viruses in a Middle Eastern pediatric cohort. Materials and methods The data for this study comes from a prospective acute respiratory surveillance study of hospitalized children &lt; 2 years in Amman, Jordan from March 16, 2010 to March 31, 2013. Participants were recruited if they had a fever and/or respiratory symptoms. Nasal and throat swabs were obtained and tested by real-time RT-PCR for eleven viruses. Subjects meeting SARI criteria were determined post-hoc. Sensitivity, specificity, positive predictive value, and negative predictive value of the SARI case definition for detecting ten different viruses were calculated and results were stratified by age. Results Of the 3,175 patients enrolled, 3,164 were eligible for this study, with a median age of 3.5 months, 60.4% male, and 82% virus-positive (44% RSV and 3.8% flu). The sensitivity and specificity of the SARI criteria for detecting virus-positive patients were 44% and 77.9%, respectively. Sensitivity of SARI criteria for any virus was lowest in children &lt; 3 months at 22.4%. Removing fever as a criterion improved the sensitivity by 65.3% for detecting RSV in children &lt;3 months; whereas when cough was removed, the sensitivity improved by 45.5% for detecting flu in same age group. Conclusions The SARI criteria have poor sensitivity for detecting RSV, flu, and other respiratory viruses -particularly in children &lt; 3 months. Researchers and policy makers should use caution if using the criteria to estimate burden of disease in children.</t>
  </si>
  <si>
    <t xml:space="preserve">[Klink, Thomas] Univ Minnesota, Med &amp; Pediat Residency Program, Minneapolis, MN USA; [Rankin, Danielle A.] Vanderbilt Univ, Sch Med, Vanderbilt Epidemiol PhD Program, Nashville, TN 37212 USA; [Rankin, Danielle A.; Halasa, Natasha B.] Vanderbilt Univ, Dept Pediat, Nashville, TN 37232 USA; [Piya, Bhinnata] Vanderbilt Inst Clin &amp; Translat Res, Nashville, TN USA; [Spieker, Andrew J.] Vanderbilt Univ, Dept Biostat, 221 Kirkland Hall, Nashville, TN 37235 USA; [Faouri, Samir] Al Bashir Hosp, Dept Pediat, Amman, Jordan; [Shehabi, Asem; Khuri-Bulos, Najwa] Jordan Univ, Dept Pediat, Amman, Jordan; [Williams, John V.] Univ Pittsburgh, Sch Med, Dept Pediat, Childrens Hosp Pittsburgh,Med Ctr, Pittsburgh, PA 15261 USA</t>
  </si>
  <si>
    <t xml:space="preserve">University of Minnesota System; University of Minnesota Twin Cities; Vanderbilt University; Vanderbilt University; Vanderbilt University; Vanderbilt University; University of Jordan; Pennsylvania Commonwealth System of Higher Education (PCSHE); University of Pittsburgh</t>
  </si>
  <si>
    <t xml:space="preserve">Halasa, NB (corresponding author), Vanderbilt Univ, Dept Pediat, Nashville, TN 37232 USA.</t>
  </si>
  <si>
    <t xml:space="preserve">Natasha.halasa@vumc.org</t>
  </si>
  <si>
    <t xml:space="preserve">Rankin, Danielle/AAT-8589-2021; Williams, John/ABE-3227-2020</t>
  </si>
  <si>
    <t xml:space="preserve">Rankin, Danielle/0000-0003-3018-3373</t>
  </si>
  <si>
    <t xml:space="preserve">UBS Optimus Foundation; National Institutes of Health [R01AI085062]; CTSA award from the National Center for Advancing Translational Sciences [UL1TR000445]</t>
  </si>
  <si>
    <t xml:space="preserve">N.H. received grants from Sanofi and Quidel and consulting fees for Moderna, and Karius outside the submitted work. J.V.W. reports personal fees from Quidel, personal fees from GlaxoSmithKline outside the submitted work. For the remaining authors, none were declared. This work was supported by the UBS Optimus Foundation; National Institutes of Health: R01AI085062, and the CTSA award UL1TR000445 from the National Center for Advancing Translational Sciences. Its contents are solely the responsibility of the authors and do not necessarily represent official views of the National Center for Advancing Translational Sciences or the National Institutes of Health.</t>
  </si>
  <si>
    <t xml:space="preserve">e0232188</t>
  </si>
  <si>
    <t xml:space="preserve">10.1371/journal.pone.0232188</t>
  </si>
  <si>
    <t xml:space="preserve">LS9BE</t>
  </si>
  <si>
    <t xml:space="preserve">WOS:000536673200050</t>
  </si>
  <si>
    <t xml:space="preserve">Liang, B; Munir, S; Amaro-Carambot, E; Surman, S; Mackow, N; Yang, LJ; Buchholz, UJ; Collins, PL; Schaap-Nutt, A</t>
  </si>
  <si>
    <t xml:space="preserve">Liang, Bo; Munir, Shirin; Amaro-Carambot, Emerito; Surman, Sonja; Mackow, Natalie; Yang, Lijuan; Buchholz, Ursula J.; Collins, Peter L.; Schaap-Nutt, Anne</t>
  </si>
  <si>
    <t xml:space="preserve">Chimeric Bovine/Human Parainfluenza Virus Type 3 Expressing Respiratory Syncytial Virus (RSV) F Glycoprotein: Effect of Insert Position on Expression, Replication, Immunogenicity, Stability, and Protection against RSV Infection</t>
  </si>
  <si>
    <t xml:space="preserve">Biology; Virology; Immunogenicity; Insert (composites); Virus; Glycoprotein; Viral replication</t>
  </si>
  <si>
    <t xml:space="preserve">ENHANCED PULMONARY PATHOLOGY; LIVE-ATTENUATED VACCINE; HEMAGGLUTININ-NEURAMINIDASE; HUMAN METAPNEUMOVIRUS; YOUNG-CHILDREN; COTTON RATS; INACTIVATED VIRUS; ANTIGEN INSERTION; GENE-EXPRESSION; RHESUS-MONKEYS</t>
  </si>
  <si>
    <t xml:space="preserve">A recombinant chimeric bovine/human parainfluenza type 3 virus (rB/HPIV3) vector expressing the respiratory syncytial virus (RSV) fusion F glycoprotein previously exhibited disappointing levels of RSV F immunogenicity and genetic stability in children (D. Bernstein et al., Pediatr. Infect. Dis. J. 31: 109-114, 2012; C.-F. Yang et al., Vaccine 31: 2822-2827, 2013). To investigate parameters that might affect vaccine performance and stability, we constructed and characterized rB/HPIV3 viruses expressing RSV F from the first (pre-N), second (N-P), third (P-M), and sixth (HN-L) genome positions. There was a 30- to 69-fold gradient in RSV F expression from the first to the sixth position. The inserts moderately attenuated vector replication in vitro and in the upper and lower respiratory tracts of hamsters: this was not influenced by the level of RSV F expression and syncytium formation. Surprisingly, inserts in the second, third, and sixth positions conferred increased temperature sensitivity: this was greatest for the third position and was the most attenuating in vivo. Each rB/HPIV3 vector induced a high titer of neutralizing antibodies in hamsters against RSV and HPIV3. Protection against RSV challenge was greater for position 2 than for position 6. Evaluation of insert stability suggested that RSV F is under selective pressure to be silenced during vector replication in vivo, but this was not exacerbated by a high level of RSV F expression and generally involved a small percentage of recovered vector. Vector passaged in vitro accumulated mutations in the HN open reading frame, causing a dramatic increase in plaque size that may have implications for vaccine production and immunogenicity.</t>
  </si>
  <si>
    <t xml:space="preserve">[Liang, Bo; Munir, Shirin; Amaro-Carambot, Emerito; Surman, Sonja; Mackow, Natalie; Yang, Lijuan; Buchholz, Ursula J.; Collins, Peter L.; Schaap-Nutt, Anne] NIAID, RNA Viruses Sect, Infect Dis Lab, NIH, Bethesda, MD 20892 USA</t>
  </si>
  <si>
    <t xml:space="preserve">Liang, B (corresponding author), NIAID, RNA Viruses Sect, Infect Dis Lab, NIH, 9000 Rockville Pike, Bethesda, MD 20892 USA.</t>
  </si>
  <si>
    <t xml:space="preserve">liangb@niaid.nih.gov</t>
  </si>
  <si>
    <t xml:space="preserve">Nutt, Anne/A-4137-2008; Munir, Shirin/AAA-7943-2021; Buchholz, Ursula/AAA-4547-2022; Liang, Bo/R-6221-2016</t>
  </si>
  <si>
    <t xml:space="preserve">Liang, Bo/0000-0002-3592-2481</t>
  </si>
  <si>
    <t xml:space="preserve">This study was supported by the Intramural Research Program of the NIAID, NIH.</t>
  </si>
  <si>
    <t xml:space="preserve">10.1128/JVI.03481-13</t>
  </si>
  <si>
    <t xml:space="preserve">WOS:000333676400028</t>
  </si>
  <si>
    <t xml:space="preserve">Woo, PCY; Lau, SKP; Chu, CM; Chan, KH; Tsoi, HW; Huang, Y; Wong, BHL; Wong, HL; Poon, RWS; Cai, JJ; Luk, WK; Poon, LLM; Wong, SSY; Guan, Y; Peiris, JSM; Yuen, KY</t>
  </si>
  <si>
    <t xml:space="preserve">Characterization and complete genome sequence of a novel coronavirus, coronavirus HKU1, from patients with pneumonia</t>
  </si>
  <si>
    <t xml:space="preserve">Coronavirus; Virology; Bovine coronavirus; Biology; Human metapneumovirus; Coronaviridae; Betacoronavirus; Pneumonia</t>
  </si>
  <si>
    <t xml:space="preserve">MOUSE HEPATITIS-VIRUS; RESPIRATORY-TRACT INFECTIONS; INTERNAL RIBOSOME ENTRY; HEMAGGLUTININ-ESTERASE; SARS-CORONAVIRUS; BOVINE CORONAVIRUS; MESSENGER-RNAS; LEADER RNA; PROTEIN; IDENTIFICATION</t>
  </si>
  <si>
    <t xml:space="preserve">Despite extensive laboratory investigations in patients with respiratory tract infections, no microbiological cause can be identified in a significant proportion of patients. In the past 3 years, several novel respiratory viruses, including human metapneumovirus, severe acute respiratory syndrome (SARS) coronavirus (SARSCoV), and human coronavirus NL63, were discovered. Here we report the discovery of another novel coronavirus, coronavirus HKU1 (CoV-HKU1), from a 71-year-old man with pneumonia who had just returned from Shenzhen, China. Quantitative reverse transcription-PCR showed that the amount of CoV-HKU1 RNA was 8.5 to 9.6 X 10(6) copies per ml in his nasopharyngeal aspirates (NPAs) during the first week of the illness and dropped progressively to undetectable levels in subsequent weeks. He developed increasing serum levels of specific antibodies against the recombinant nucleocapsid protein of CoV-HKU1, with immunoglobulin M (IgM) titers of 1:20, 1:40, and 1:80 and IgG titers of &lt;1:1,000, 1:2,000, and 1:8,000 in the first, second and fourth weeks of the illness, respectively. Isolation of the virus by using various cell lines, mixed neuron-glia culture, and intracerebral inoculation of suckling mice was unsuccessful. The complete genome sequence of CoV-HKUI is a 29,926-nucleotide, polyadenylated RNA, with G+C content of 32%, the lowest among all known coronaviruses with available genome sequence. Phylogenetic analysis reveals that CoV-HKU1 is a new group 2 coronavirus. Screening of 400 NPAs, negative for SARS-CoV, from patients with respiratory illness during the SARS period identified the presence of CoV-HKUI RNA in an additional specimen, with a viral load of 1.13 X 10(6) copies per ml, from a 35-year-old woman with pneumonia. Our data support the existence of a novel group 2 coronavirus associated with pneumonia in humans.</t>
  </si>
  <si>
    <t xml:space="preserve">Univ Hong Kong, Dept Microbiol, Hong Kong, Peoples R China; Univ Hong Kong, State Key Lab Emerging Infect Dis, Hong Kong, Peoples R China; United Christian Hosp, Dept Med, Div Resp Med, Hong Kong, Peoples R China; Tseung Kwan O Hosp, Dept Microbiol, Hong Kong, Hong Kong, Peoples R China</t>
  </si>
  <si>
    <t xml:space="preserve">University of Hong Kong; University of Hong Kong; United Christian Hospital</t>
  </si>
  <si>
    <t xml:space="preserve">Univ Hong Kong, Dept Microbiol, Univ Pathol Bldg,, Hong Kong, Peoples R China.</t>
  </si>
  <si>
    <t xml:space="preserve">hkumicro@hkucc.hku.hk</t>
  </si>
  <si>
    <t xml:space="preserve">Tsoi, Hoi/C-4428-2009; Chan, Kelvin/HGA-3097-2022; Guan, Yi/ADW-5842-2022; Wong, Samson/C-4446-2009; Yuen, Kwok/C-4465-2009; Poon, Rosana/ABE-2372-2021; Lau, Susanna/C-4321-2009; Poon, Leo/AAP-6887-2020; Poon, Leo/C-4382-2009; Woo, Patrick Chiu Yat/C-4449-2009; Peiris, Joseph Sriyal Malik/C-4380-2009; Cai, James/C-4928-2008</t>
  </si>
  <si>
    <t xml:space="preserve">Poon, Leo/0000-0002-9101-7953; Guan, Yi/0000-0001-6057-9243; Woo, Patrick Chiu Yat/0000-0001-9401-1832; Peiris, Joseph Sriyal Malik/0000-0001-8217-5995; Yuen, Kwok-yung/0000-0002-2083-1552; Cai, James/0000-0002-8081-6725; Chu, Chung Ming/0000-0002-9959-1271</t>
  </si>
  <si>
    <t xml:space="preserve">10.1128/JVI.79.2.884-895.2005</t>
  </si>
  <si>
    <t xml:space="preserve">885IG</t>
  </si>
  <si>
    <t xml:space="preserve">WOS:000226149700024</t>
  </si>
  <si>
    <t xml:space="preserve">Lambert, SB; Allen, KM; Carter, RC; Nolan, TM</t>
  </si>
  <si>
    <t xml:space="preserve">Lambert, Stephen B.; Allen, Kelly M.; Carter, Robert C.; Nolan, Terence M.</t>
  </si>
  <si>
    <t xml:space="preserve">The cost of community-managed viral respiratory illnesses in a cohort of healthy preschool-aged children</t>
  </si>
  <si>
    <t xml:space="preserve">Medicine; Cohort</t>
  </si>
  <si>
    <t xml:space="preserve">INFLUENZA VACCINATION; ECONOMIC-IMPACT; NONPHARMACEUTICAL INTERVENTIONS; PANDEMIC INFLUENZA; SYNCYTIAL VIRUS; HUMAN METAPNEUMOVIRUS; SOCIOECONOMIC IMPACT; TRACT INFECTIONS; YOUNG-CHILDREN; UNITED-STATES</t>
  </si>
  <si>
    <t xml:space="preserve">Background: Acute respiratory illnesses (ARIs) during childhood are often caused by respiratory viruses, result in significant morbidity, and have associated costs for families and society. Despite their ubiquity, there is a lack of interdisciplinary epidemiologic and economic research that has collected primary impact data, particularly associated with indirect costs, from families during ARIs in children. Methods: We conducted a 12-month cohort study in 234 preschool children with impact diary recording and PCR testing of nose-throat swabs for viruses during an ARI. We used applied values to estimate a virus-specific mean cost of ARIs. Results: Impact diaries were available for 72% (523/725) of community-managed illnesses between January 2003 and January 2004. The mean cost of ARIs was AU$309 (95% confidence interval $263 to $354). Influenza illnesses had a mean cost of $904, compared with RSV, $304, the next most expensive single-virus illness, although confidence intervals overlapped. Mean carer time away from usual activity per day was two hours for influenza ARIs and between 30 and 45 minutes for all other ARI categories. Conclusion: From a societal perspective, community-managed ARIs are a significant cost burden on families and society. The point estimate of the mean cost of community-managed influenza illnesses in healthy preschool aged children is three times greater than those illnesses caused by RSV and other respiratory viruses. Indirect costs, particularly carer time away from usual activity, are the key cost drivers for ARIs in children. The use of parent-collected specimens may enhance ARI surveillance and reduce any potential Hawthorne effect caused by compliance with study procedures. These findings reinforce the need for further integrated epidemiologic and economic research of ARIs in children to allow for comprehensive cost-effectiveness assessments of preventive and therapeutic options.</t>
  </si>
  <si>
    <t xml:space="preserve">[Lambert, Stephen B.; Allen, Kelly M.; Nolan, Terence M.] Royal Childrens Hosp, Murdoch Childrens Res Inst, Vaccine &amp; Immunisat Res Grp, Melbourne, Vic, Australia; [Lambert, Stephen B.; Allen, Kelly M.; Nolan, Terence M.] Univ Melbourne, Sch Populat Hlth, Melbourne, Vic, Australia; [Lambert, Stephen B.] Univ Queensland, Sir Albert Sakzewski Virus Res Ctr, Queensland Paediat Infectious Dis Lab, Royal Childrens Hosp, Brisbane, Qld, Australia; [Lambert, Stephen B.] Univ Queensland, Clin Med Virol Ctr, Brisbane, Qld, Australia; [Allen, Kelly M.] Monash Univ, Ctr Clin Effectiveness So Hlth, Melbourne, Vic 3004, Australia; [Allen, Kelly M.] Monash Univ, Monash Inst Hlth Serv Res, Melbourne, Vic 3004, Australia; [Carter, Robert C.] Univ Melbourne, Sch Populat Hlth, Ctr Hlth Policy Programs &amp; Econ, Melbourne, Vic, Australia; [Carter, Robert C.] Deakin Univ, Sch Hlth &amp; Social Dev, Hlth Econ Unit, Burwood, Vic, Australia</t>
  </si>
  <si>
    <t xml:space="preserve">Murdoch Children's Research Institute; Royal Children's Hospital Melbourne; University of Melbourne; University of Queensland; Royal Children's Hospital Brisbane; University of Queensland; Monash University; Monash University; University of Melbourne; Deakin University</t>
  </si>
  <si>
    <t xml:space="preserve">Lambert, SB (corresponding author), Royal Childrens Hosp, Murdoch Childrens Res Inst, Vaccine &amp; Immunisat Res Grp, Melbourne, Vic, Australia.</t>
  </si>
  <si>
    <t xml:space="preserve">sblambert@uq.edu.au; kelly.allen@med.monash.edu.au; rob.carter@deakin.edu.au; t.nolan@unimelb.edu.au</t>
  </si>
  <si>
    <t xml:space="preserve">Nolan, Terry/A-2236-2008; Lambert, Stephen/N-7819-2019; Lambert, Stephen/B-8348-2008</t>
  </si>
  <si>
    <t xml:space="preserve">Lambert, Stephen/0000-0002-2709-193X; Carter, Rob/0000-0002-1586-5619</t>
  </si>
  <si>
    <t xml:space="preserve">10.1186/1465-9921-9-11</t>
  </si>
  <si>
    <t xml:space="preserve">271OC</t>
  </si>
  <si>
    <t xml:space="preserve">WOS:000253796700001</t>
  </si>
  <si>
    <t xml:space="preserve">Nawattanapaiboon, K; Pasomsub, E; Prombun, P; Wongbunmak, A; Jenjitwanich, A; Mahasupachai, P; Vetcho, P; Chayrach, C; Manatjaroenlap, N; Samphaongern, C; Watthanachockchai, T; Leedorkmai, P; Manopwisedjaroen, S; Akkarawongsapat, R; Thitithanyanont, A; Phanchana, M; Panbangred, W; Chauvatcharin, S; Srikhirin, T</t>
  </si>
  <si>
    <t xml:space="preserve">Nawattanapaiboon, Kawin; Pasomsub, Ekawat; Prombun, Photchanathorn; Wongbunmak, Akanit; Jenjitwanich, Akarawit; Mahasupachai, Pantanat; Vetcho, Purichaya; Chayrach, Cholticha; Manatjaroenlap, Natthapon; Samphaongern, Chonchanok; Watthanachockchai, Treewat; Leedorkmai, Phonthanat; Manopwisedjaroen, Suwimon; Akkarawongsapat, Radeekorn; Thitithanyanont, Arunee; Phanchana, Matthew; Panbangred, Watanalai; Chauvatcharin, Somchai; Srikhirin, Toemsak</t>
  </si>
  <si>
    <t xml:space="preserve">Colorimetric reverse transcription loop-mediated isothermal amplification (RT-LAMP) as a visual diagnostic platform for the detection of the emerging coronavirus SARS-CoV-2</t>
  </si>
  <si>
    <t xml:space="preserve">ANALYST</t>
  </si>
  <si>
    <t xml:space="preserve">Loop-mediated isothermal amplification; Reverse Transcription Loop-mediated Isothermal Amplification; Severe acute respiratory syndrome coronavirus 2 (SARS-CoV-2); Coronavirus disease 2019 (COVID-19); Coronavirus; Virology</t>
  </si>
  <si>
    <t xml:space="preserve">ACUTE RESPIRATORY SYNDROME</t>
  </si>
  <si>
    <t xml:space="preserve">COVID-19, caused by the infection of SARS-CoV-2, has emerged as a rapidly spreading infection. The disease has now reached the level of a global pandemic and as a result a more rapid and simple detection method is imperative to curb the spread of the virus. We aimed to develop a visual diagnostic platform for SARS-CoV-2 based on colorimetric RT-LAMP with levels of sensitivity and specificity comparable to that of commercial qRT-PCR assays. In this work, the primers were designed to target a conserved region of the RNA-dependent RNA polymerase gene (RdRp). The assay was characterized for its sensitivity and specificity, and validated with clinical specimens collected in Thailand. The developed colorimetric RT-LAMP assay could amplify the target gene and enabled visual interpretation in 60 min at 65 degrees C. No cross-reactivity with six other common human respiratory viruses (influenza A virus subtypes H1 and H3, influenza B virus, respiratory syncytial virus types A and B, and human metapneumovirus) and five other human coronaviruses (MERS-CoV, HKU-1, OC43, 229E and NL63) was observed. The limit of detection was 25 copies per reaction when evaluated with contrived specimens. However, the detection rate at this concentration fell to 95.8% when the incubation time was reduced from 60 to 30 min. The diagnostic performance of the developed RT-LAMP assay was evaluated in 2120 clinical specimens and compared with the commercial qRT-PCR. The results revealed high sensitivity and specificity of 95.74% and 99.95%, respectively. The overall accuracy of the RT-LAMP assay was determined to be 99.86%. In summary, our results indicate that the developed colorimetric RT-LAMP provides a simple, sensitive and reliable approach for the detection of SARS-CoV-2 in clinical samples, implying its beneficial use as a diagnostic platform for COVID-19 screening.</t>
  </si>
  <si>
    <t xml:space="preserve">[Nawattanapaiboon, Kawin; Prombun, Photchanathorn; Wongbunmak, Akanit; Jenjitwanich, Akarawit; Mahasupachai, Pantanat; Vetcho, Purichaya; Chayrach, Cholticha; Manatjaroenlap, Natthapon; Samphaongern, Chonchanok] Zenost Co Ltd, Bangkok 10400, Thailand; [Nawattanapaiboon, Kawin; Srikhirin, Toemsak] Mahidol Univ, Sch Mat Sci &amp; Innovat, Fac Sci, Bangkok 10400, Thailand; [Pasomsub, Ekawat; Watthanachockchai, Treewat; Leedorkmai, Phonthanat] Mahidol Univ, Fac Med Ramathibodi Hosp, Dept Pathol, Virol &amp; Mol Microbiol Unit, Bangkok 10400, Thailand; [Manopwisedjaroen, Suwimon; Akkarawongsapat, Radeekorn; Thitithanyanont, Arunee] Mahidol Univ, Dept Microbiol, Fac Sci, Bangkok 10400, Thailand; [Phanchana, Matthew] Mahidol Univ, Fac Trop Med, Dept Mol Trop Med &amp; Genet, Bangkok 10400, Thailand; [Panbangred, Watanalai; Chauvatcharin, Somchai] Mahidol Univ, Dept Biotechnol, Fac Sci, Bangkok 10400, Thailand; [Panbangred, Watanalai] Mahidol Univ, Mahidol Univ Osaka Univ Collaborat Res Ctr Biosci, Fac Sci, Bangkok 10400, Thailand; [Srikhirin, Toemsak] Mahidol Univ, Dept Phys, Fac Sci, Bangkok 10400, Thailand</t>
  </si>
  <si>
    <t xml:space="preserve">Mahidol University; Mahidol University; Mahidol University; Mahidol University; Mahidol University; Mahidol University; Mahidol University</t>
  </si>
  <si>
    <t xml:space="preserve">Nawattanapaiboon, K (corresponding author), Zenost Co Ltd, Bangkok 10400, Thailand.;Nawattanapaiboon, K (corresponding author), Mahidol Univ, Sch Mat Sci &amp; Innovat, Fac Sci, Bangkok 10400, Thailand.</t>
  </si>
  <si>
    <t xml:space="preserve">kawin@zenostic.com</t>
  </si>
  <si>
    <t xml:space="preserve">Wongbunmak, Akanit/ABB-8024-2020; Thitithanyanont, Arunee/AAN-4383-2021; Phanchana, Matthew/AAH-4155-2019</t>
  </si>
  <si>
    <t xml:space="preserve">Thitithanyanont, Arunee/0000-0002-9756-4763; Manopwisedjaroen, Suwimon/0000-0002-7571-8733; Wongbunmak, Akanit/0000-0001-6021-528X; Nawattanapaiboon, Kawin/0000-0002-3181-4125</t>
  </si>
  <si>
    <t xml:space="preserve">Innovation Hub - Aging Society; Council of University Presidents of Thailand; Program Management Unit Competitiveness (PMU-C), Office of National Higher Education Science Research and Innovation Policy Council [C10F630013]</t>
  </si>
  <si>
    <t xml:space="preserve">Innovation Hub - Aging Society; Council of University Presidents of Thailand; Program Management Unit Competitiveness (PMU-C), Office of National Higher Education Science Research and Innovation Policy Council</t>
  </si>
  <si>
    <t xml:space="preserve">We would like to thank the Innovation Hub - Aging Society, Council of University Presidents of Thailand and Program Management Unit Competitiveness (PMU-C), Office of National Higher Education Science Research and Innovation Policy Council (C10F630013) for financial support, and Mr Putthipud Sirinontasit from Life Science AP Co. Ltd for his suggestions and assistance in the ddPCR experiment.</t>
  </si>
  <si>
    <t xml:space="preserve">0003-2654</t>
  </si>
  <si>
    <t xml:space="preserve">1364-5528</t>
  </si>
  <si>
    <t xml:space="preserve">Analyst</t>
  </si>
  <si>
    <t xml:space="preserve">10.1039/d0an01775b</t>
  </si>
  <si>
    <t xml:space="preserve">PX3VR</t>
  </si>
  <si>
    <t xml:space="preserve">WOS:000611287000009</t>
  </si>
  <si>
    <t xml:space="preserve">Satia, I; Cusack, R; Greene, JM; O'Byrne, PM; Killian, KJ; Johnston, N</t>
  </si>
  <si>
    <t xml:space="preserve">Satia, Imran; Cusack, Ruth; Greene, Justina M.; O'Byrne, Paul M.; Killian, Kieran J.; Johnston, Neil</t>
  </si>
  <si>
    <t xml:space="preserve">Prevalence and contribution of respiratory viruses in the community to rates of emergency department visits and hospitalizations with respiratory tract infections, chronic obstructive pulmonary disease and asthma</t>
  </si>
  <si>
    <t xml:space="preserve">Medicine; Emergency department; Asthma; Rhinovirus; COPD; Human metapneumovirus; Respiratory tract infections</t>
  </si>
  <si>
    <t xml:space="preserve">VIRAL-INFECTIONS; SYNCYTIAL VIRUS; EXACERBATIONS; MORTALITY; PRECIPITANTS; INFLUENZA; SYMPTOMS; CHILDREN; SEASON; AGE</t>
  </si>
  <si>
    <t xml:space="preserve">Background The individual and combined contribution of viral prevalence in the community to Emergency Department (ED) visits and hospitalizations with respiratory tract infections (RTIs), chronic obstructive pulmonary disease (COPD) and asthma is unclear. Methods A retrospective analysis on daily viral positive tests and daily ED visits and hospitalizations between 01/01/2003 to 31/12/2013 in Ontario, Canada. Viral data was collected from the Centre for Immunization and Respiratory Infectious Diseases (CIRID). The Canadian Institute for Health Information reports daily ED visits and hospitalizations for RTIs, COPD and asthma as a primary diagnosis. Results There were 4,365,578 ED visits with RTIs of which 321,719 (7.4%) were admitted to hospital; 817,141 ED visits for COPD of which 260,665 (31.9%) were admitted and 649,666 ED visits with asthma of which 68,626 (10.6%) were admitted. The percentage of positive tests to influenza A and B, respiratory syncytial virus (RSV), parainfluenza and adenovirus prevalence explained 57.4% of ED visits and 63.8% of hospitalizations for RTI, 41.4% of ED visits and 39.2% of hospitalizations with COPD but only 1.5% of ED visits and 2.7% of hospitalizations for asthma. The further addition of human metapneumovirus, rhinovirus and coronavirus over the final 3 years accounted for 66.7% of ED visits and 74.4% of hospitalizations for RTI, 52.5% of visits and 48.2% of hospitalizations for COPD, and only 13.3% of visits and 10.4% of hospitalizations for asthma. Conclusions Community respiratory viral epidemics are major drivers of ED visits and hospitalizations with RTIs and COPD but only a modest contributor to asthma.</t>
  </si>
  <si>
    <t xml:space="preserve">[Satia, Imran; Cusack, Ruth; O'Byrne, Paul M.; Johnston, Neil] St Josephs Healthcare, Firestone Inst Resp Hlth, Hamilton, ON, Canada; [Satia, Imran] Univ Manchester, Div Infect Immun &amp; Resp Med, Manchester Acad Hlth Sci Ctr, Manchester, Lancs, England; [Cusack, Ruth; Greene, Justina M.; O'Byrne, Paul M.; Killian, Kieran J.] McMaster Univ, Dept Med, Hamilton, ON, Canada</t>
  </si>
  <si>
    <t xml:space="preserve">McMaster University; University of Manchester; McMaster University</t>
  </si>
  <si>
    <t xml:space="preserve">Satia, I (corresponding author), St Josephs Healthcare, Firestone Inst Resp Hlth, Hamilton, ON, Canada.;Satia, I (corresponding author), Univ Manchester, Div Infect Immun &amp; Resp Med, Manchester Acad Hlth Sci Ctr, Manchester, Lancs, England.</t>
  </si>
  <si>
    <t xml:space="preserve">satiai@mcmaster.ca</t>
  </si>
  <si>
    <t xml:space="preserve">Satia, Imran/ABA-2872-2020</t>
  </si>
  <si>
    <t xml:space="preserve">O'Byrne, Paul/0000-0003-0979-281X; Cusack, Ruth/0000-0003-1204-648X</t>
  </si>
  <si>
    <t xml:space="preserve">AstraZeneca Canada</t>
  </si>
  <si>
    <t xml:space="preserve">AstraZeneca Canada(AstraZeneca)</t>
  </si>
  <si>
    <t xml:space="preserve">The research reported in this article was funded by an unrestricted grant from AstraZeneca Canada to PMO. The funder had no role in study design, data collection and analysis, decision to publish, or preparation of the manuscript.</t>
  </si>
  <si>
    <t xml:space="preserve">e0228544</t>
  </si>
  <si>
    <t xml:space="preserve">10.1371/journal.pone.0228544</t>
  </si>
  <si>
    <t xml:space="preserve">LP9GK</t>
  </si>
  <si>
    <t xml:space="preserve">WOS:000534623800045</t>
  </si>
  <si>
    <t xml:space="preserve">Nathan, AM; Teh, CSJ; Jabar, KA; Teoh, BT; Tangaperumal, A; Westerhout, C; Zaki, R; Eg, KP; Thavagnanam, S; de Bruyne, JA</t>
  </si>
  <si>
    <t xml:space="preserve">Nathan, Anna Marie; Teh, Cindy Shuan Ju; Jabar, Kartini Abdul; Teoh, Boon Teong; Tangaperumal, Anithaa; Westerhout, Caroline; Zaki, Rafdzah; Eg, Kah Peng; Thavagnanam, Surendran; de Bruyne, Jessie Anne</t>
  </si>
  <si>
    <t xml:space="preserve">Bacterial pneumonia and its associated factors in children from a developing country: A prospective cohort study</t>
  </si>
  <si>
    <t xml:space="preserve">Pneumonia; Prospective cohort study; Medicine; Cohort study</t>
  </si>
  <si>
    <t xml:space="preserve">COMMUNITY-ACQUIRED PNEUMONIA; NONTYPABLE HAEMOPHILUS-INFLUENZAE; PNEUMOCOCCAL CONJUGATE VACCINE; RESPIRATORY-TRACT; STREPTOCOCCUS-PNEUMONIAE; HOSPITALIZED CHILDREN; STAPHYLOCOCCUS-AUREUS; CHILDHOOD PNEUMONIA; INDUCED SPUTUM; MULTIPLEX PCR</t>
  </si>
  <si>
    <t xml:space="preserve">Introduction Pneumonia in children is a common disease yet determining its aetiology remains elusive. Objectives To determine the a) aetiology, b) factors associated with bacterial pneumonia and c) association between co-infections (bacteria + virus) and severity of disease, in children admitted with severe pneumonia. Methods A prospective cohort study involving children aged 1-month to 5-years admitted with very severe pneumonia, as per the WHO definition, over 2 years. Induced sputum and blood obtained within 24 hrs of admission were examined via PCR, immunofluorescence and culture to detect 17 bacteria/viruses. A designated radiologist read the chest radiographs. Results Three hundred patients with a mean (SD) age of 14 (+/- 15) months old were recruited. Significant pathogens were detected in 62% of patients (n = 186). Viruses alone were detected in 23.7% (n = 71) with rhinovirus (31%), human metapneumovirus (HMP) [22.5%] and respiratory syncytial virus (RSV) [16.9%] being the commonest. Bacteria alone was detected in 25% (n = 75) with Haemophilus influenzae (29.3%), Staphylococcus aureus (24%) and Streptococcus pneumoniae (22.7%) being the commonest. Co-infections were seen in 13.3% (n = 40) of patients. Male gender (AdjOR 1.84 [95% CI 1.10, 3.05]) and presence of crepitations (AdjOR 2.27 [95% CI 1.12, 4.60]) were associated with bacterial infection. C-reactive protein (CRP) [p = 0.007]) was significantly higher in patients with co-infections but duration of hospitalization (p = 0.77) and requirement for supplemental respiratory support (p = 0.26) were not associated with co-infection. Conclusions Bacteria remain an important cause of very severe pneumonia in developing countries with one in four children admitted isolating bacteria alone. Male gender and presence of crepitations were significantly associated with bacterial aetiology. Co-infection was associated with a higher CRP but no other parameters of severe clinical illness.</t>
  </si>
  <si>
    <t xml:space="preserve">[Nathan, Anna Marie; Eg, Kah Peng; Thavagnanam, Surendran; de Bruyne, Jessie Anne] Univ Malaya Paediat, Dept Paediat, Kuala Lumpur, Malaysia; [Nathan, Anna Marie; Eg, Kah Peng; Thavagnanam, Surendran; de Bruyne, Jessie Anne] Univ Malaya, Child Hlth Res Grp, Kuala Lumpur, Malaysia; [Teh, Cindy Shuan Ju; Jabar, Kartini Abdul] Univ Malaya, Dept Med Microbiol, Kuala Lumpur, Malaysia; [Teoh, Boon Teong] Univ Malaya, Dept Trop Infect Dis Res, Kuala Lumpur, Malaysia; [Teoh, Boon Teong] Univ Malaya, Educ Ctr TIDREC, Kuala Lumpur, Malaysia; [Tangaperumal, Anithaa; Westerhout, Caroline] Univ Malaya, Dept Biomed Imaging, Med Ctr, Kuala Lumpur, Malaysia; [Zaki, Rafdzah] Ctr Epidemiol &amp; Evidence Based Practice, Fac Med, Dept Social &amp; Prevent Med, Kuala Lumpur, Malaysia</t>
  </si>
  <si>
    <t xml:space="preserve">Universiti Malaya; Universiti Malaya; Universiti Malaya; Universiti Malaya; Universiti Malaya</t>
  </si>
  <si>
    <t xml:space="preserve">Nathan, AM (corresponding author), Univ Malaya Paediat, Dept Paediat, Kuala Lumpur, Malaysia.;Nathan, AM (corresponding author), Univ Malaya, Child Hlth Res Grp, Kuala Lumpur, Malaysia.</t>
  </si>
  <si>
    <t xml:space="preserve">psr9900@hotmail.com</t>
  </si>
  <si>
    <t xml:space="preserve">ZAKI, RAFDZAH/B-9520-2010; Teh, Cindy Shuan Ju/D-7161-2019; Tangaperumal, Anithaa/GOJ-8206-2022; Teoh, Boon-Teong/ABH-2475-2021; Nathan, Anna/IZD-6939-2023; Eg, Kah Peng/W-8347-2018; Abdul Jabar, Kartini/B-8752-2010</t>
  </si>
  <si>
    <t xml:space="preserve">Eg, Kah Peng/0000-0002-6814-7418; Zaki, Rafdzah/0000-0003-2884-5198; Tangaperumal, Anithaa/0000-0002-3508-5900; Teoh, Boon Teong/0000-0001-6786-5023; thavagnanam, surendran/0000-0002-4414-7915; Nathan, Anna/0000-0003-3618-5820; Abdul Jabar, Kartini/0000-0002-8716-4416</t>
  </si>
  <si>
    <t xml:space="preserve">Universiti Malaya [RP026-14HTM]</t>
  </si>
  <si>
    <t xml:space="preserve">Universiti Malaya(Universiti Malaya)</t>
  </si>
  <si>
    <t xml:space="preserve">This work was supported by Universiti Malaya, grant RP026-14HTM to AMN, JdB, CSJT, EKP, CW,ST, KAJ, RZ. The funder did not have any role in the study design, data collection, analysis, and decision to publish, or in the preparation of the manuscript.</t>
  </si>
  <si>
    <t xml:space="preserve">e0228056</t>
  </si>
  <si>
    <t xml:space="preserve">10.1371/journal.pone.0228056</t>
  </si>
  <si>
    <t xml:space="preserve">LQ7VI</t>
  </si>
  <si>
    <t xml:space="preserve">WOS:000535206600006</t>
  </si>
  <si>
    <t xml:space="preserve">Manji, R; Lotlikar, M; Zhang, F; Ginocchio, CC</t>
  </si>
  <si>
    <t xml:space="preserve">Manji, R.; Lotlikar, M.; Zhang, F.; Ginocchio, C. C.</t>
  </si>
  <si>
    <t xml:space="preserve">Clinical evaluation of NucliSENS magnetic extraction and NucliSENS analytical specific reagents for the real-time detection of respiratory syncytial virus (RSV) in paediatric respiratory specimens</t>
  </si>
  <si>
    <t xml:space="preserve">Virology; Respiratory system; Medicine</t>
  </si>
  <si>
    <t xml:space="preserve">HUMAN METAPNEUMOVIRUS; TRACT INFECTIONS; PALIVIZUMAB; SYMPTOMS; OUTBREAK; ASSAY; AGE</t>
  </si>
  <si>
    <t xml:space="preserve">Aims: To evaluate the combination of NucliSENS magnetic extraction and NucliSENS analytical specific reagents (bioMerieux, Marcy L'Etoile, France) for the detection of respiratory syncytial virus (RSV) from a variety of respiratory samples. Methods: Nucleic acids (NA) from paediatric samples (n = 603) and an RSV-specific inhibition control (R-IC) were coextracted using the miniMAG and/or the easyMAG. Nucleic-acid-sequence-based amplification (NASBA) and molecular beacon detection of RSV and R-IC were performed using NucliSENS analyte-specific reagents (NRSVA) and the NucliSENS EasyQ Analyzer. NRSVA results were compared with R-Mix culture and direct fluorescent antibody detection (DFA). Results: The NRSVA analytical specificity was 100%, and the NRSVA limit of detection was 5-20 RNA copies/reaction. The prediscordant analysis, sensitivity, specificity, PPV and NPV were, respectively, for R-Mix (64.7%, 100%, 100%, 94.5%); DFA (98.8%, 99.0%, 94.4%, 99.8%); NRSVA (94.1%, 95%, 75.5%, 99%). After discordant analysis, sensitivity, specificity, PPV and NPV were, respectively, for R-Mix (56.7%, 100%, 100%, 92.3%); DFA (87.6%, 99.2%, 95.5%, 97.7%); NRSVA (93.8%, 97%, 85.9%, 99%). RSV was detected in 17.8% of the samples and in seven coinfections. Children with proven RSV infection, compared with children without a pathogen identified, had shorter median hospitalisation stays (2 days vs 3 days, p = 0.035), used fewer antibiotics (54% vs 69%) and had shorter durations of antibiotic therapy (6.2 days vs 9.3 days, p = 0.021), respectively. Conclusions: NRSVA is sensitive and specific for RSV detection in respiratory samples. The R-IC monitored the test process, including NA extraction, target amplification and detection. The rapid detection of respiratory pathogens can foster appropriate patient management.</t>
  </si>
  <si>
    <t xml:space="preserve">[Manji, R.; Lotlikar, M.; Zhang, F.; Ginocchio, C. C.] N Shore Long Isl Jewish Hlth Syst Labs, Dept Lab Med, Lake Success, NY 11042 USA</t>
  </si>
  <si>
    <t xml:space="preserve">Northwell Health</t>
  </si>
  <si>
    <t xml:space="preserve">Ginocchio, CC (corresponding author), N Shore Long Isl Jewish Hlth Syst Labs, Dept Lab Med, 10 Nevada Dr, Lake Success, NY 11042 USA.</t>
  </si>
  <si>
    <t xml:space="preserve">Jane and Dayton Brown and Dayton Brown Jr Molecular Diagnostics Laboratory Research Fund</t>
  </si>
  <si>
    <t xml:space="preserve">This study was funded in part by the Jane and Dayton Brown and Dayton Brown Jr Molecular Diagnostics Laboratory Research Fund.</t>
  </si>
  <si>
    <t xml:space="preserve">10.1136/jcp.2009.066688</t>
  </si>
  <si>
    <t xml:space="preserve">512AF</t>
  </si>
  <si>
    <t xml:space="preserve">WOS:000271213400005</t>
  </si>
  <si>
    <t xml:space="preserve">Jones, HG; Ritschel, T; Pascual, G; Brakenhoff, JPJ; Keogh, E; Furmanova-Hollenstein, P; Lanckacker, E; Wadia, JS; Gilman, MSA; Williamson, RA; Roymans, D; van't Wout, AB; Langedijk, JP; McLellan, JS</t>
  </si>
  <si>
    <t xml:space="preserve">Jones, Harrison G.; Ritschel, Tina; Pascual, Gabriel; Brakenhoff, Just P. J.; Keogh, Elissa; Furmanova-Hollenstein, Polina; Lanckacker, Ellen; Wadia, Jehangir S.; Gilman, Morgan S. A.; Williamson, R. Anthony; Roymans, Dirk; van't Wout, Angelique B.; Langedijk, Johannes P.; McLellan, Jason S.</t>
  </si>
  <si>
    <t xml:space="preserve">Structural basis for recognition of the central conserved region of RSV G by neutralizing human antibodies</t>
  </si>
  <si>
    <t xml:space="preserve">Epitope; Antibody; Virology; Biology; Glycoprotein; CX3CL1</t>
  </si>
  <si>
    <t xml:space="preserve">RESPIRATORY SYNCYTIAL VIRUS; HUMAN METAPNEUMOVIRUS LACKING; REPLICATION IN-VITRO; G-PROTEIN; GLYCOPROTEIN-G; HEMAGGLUTININ-NEURAMINIDASE; MOLECULAR CHARACTERIZATION; ATTACHMENT PROTEIN; SUBGROUP-B; INFECTION</t>
  </si>
  <si>
    <t xml:space="preserve">Respiratory syncytial virus (RSV) is a major cause of severe lower respiratory tract infections in infants and the elderly, and yet there remains no effective treatment or vaccine. The surface of the virion is decorated with the fusion glycoprotein (RSV F) and the attachment glycoprotein (RSV G), which binds to CX3CR1 on human airway epithelial cells to mediate viral attachment and subsequent infection. RSV G is a major target of the humoral immune response, and antibodies that target the central conserved region of G have been shown to neutralize both subtypes of RSV and to protect against severe RSV disease in animal models. However, the molecular underpinnings for antibody recognition of this region have remained unknown. Therefore, we isolated two human antibodies directed against the central conserved region of RSV G and demonstrated that they neutralize RSV infection of human bronchial epithelial cell cultures in the absence of complement. Moreover, the antibodies protected cotton rats from severe RSV disease. Both antibodies bound with high affinity to a secreted form of RSV G as well as to a peptide corresponding to the unglycosylated central conserved region. High-resolution crystal structures of each antibody in complex with the G peptide revealed two distinct conformational epitopes that require proper folding of the cystine noose located in the C-terminal part of the central conserved region. Comparison of these structures with the structure of fractalkine (CX3CL1) alone or in complex with a viral homolog of CX3CR1 (US28) suggests that RSV G would bind to CX3CR1 in a mode that is distinct from that of fractalkine. Collectively, these results build on recent studies demonstrating the importance of RSV G in antibody-mediated protection from severe RSV disease, and the structural information presented here should guide the development of new vaccines and antibody-based therapies for RSV.</t>
  </si>
  <si>
    <t xml:space="preserve">[Jones, Harrison G.; Gilman, Morgan S. A.; McLellan, Jason S.] Geisel Sch Med Dartmouth, Dept Biochem &amp; Cell Biol, Hanover, NH 03755 USA; [Ritschel, Tina; Furmanova-Hollenstein, Polina; Langedijk, Johannes P.] Janssen Vaccines &amp; Prevent, Leiden, Netherlands; [Pascual, Gabriel; Keogh, Elissa] Johnson &amp; Johnson, Janssen Pharmaceut Co, Janssen Prevent Ctr, San Diego, CA USA; [Brakenhoff, Just P. J.; van't Wout, Angelique B.] Janssen Vaccines &amp; Prevent BV, Janssen Prevent Ctr, Leiden, Netherlands; [Lanckacker, Ellen; Roymans, Dirk] Janssen Pharmaceut NV, Janssen Infect Dis, Beerse, Belgium; [Wadia, Jehangir S.] Janssen R&amp;D US, San Diego, CA USA; [Williamson, R. Anthony] Johnson &amp; Johnson, Janssen Pharmaceut Co, Janssen Prevent Ctr, London, England; [Jones, Harrison G.; Gilman, Morgan S. A.; McLellan, Jason S.] Univ Texas Austin, Dept Mol Biosci, Austin, TX 78712 USA</t>
  </si>
  <si>
    <t xml:space="preserve">Dartmouth College; Johnson &amp; Johnson; Johnson &amp; Johnson USA; Janssen Pharmaceuticals; Johnson &amp; Johnson; Johson &amp; Johnson Belgium; Janssen Pharmaceuticals; Johnson &amp; Johnson; Janssen Pharmaceuticals; University of Texas System; University of Texas Austin</t>
  </si>
  <si>
    <t xml:space="preserve">McLellan, JS (corresponding author), Geisel Sch Med Dartmouth, Dept Biochem &amp; Cell Biol, Hanover, NH 03755 USA.;Langedijk, JP (corresponding author), Janssen Vaccines &amp; Prevent, Leiden, Netherlands.;McLellan, JS (corresponding author), Univ Texas Austin, Dept Mol Biosci, Austin, TX 78712 USA.</t>
  </si>
  <si>
    <t xml:space="preserve">HLangedi@its.jnj.com; jmclellan@austin.utexas.edu</t>
  </si>
  <si>
    <t xml:space="preserve">langedijk, johannes/IWE-1403-2023; McLellan, Jason/A-6874-2010; wadia, jay/AAQ-9944-2021; Roymans, Dirk/AFQ-3892-2022</t>
  </si>
  <si>
    <t xml:space="preserve">van 't Wout, Angelique/0000-0003-3705-2392; Roymans, Dirk/0000-0003-1309-415X; McLellan, Jason/0000-0003-3991-542X; Gilman, Morgan/0000-0001-6746-6284</t>
  </si>
  <si>
    <t xml:space="preserve">DOE Office of Science by Argonne National Laboratory [AC02-06CH11357]; NIH Office of Research Infrastructure Programs, High-End Instrumentation [1S100D012289-01A1]; Janssen Infectious Diseases Vaccines group</t>
  </si>
  <si>
    <t xml:space="preserve">DOE Office of Science by Argonne National Laboratory(United States Department of Energy (DOE)); NIH Office of Research Infrastructure Programs, High-End Instrumentation(United States Department of Health &amp; Human ServicesNational Institutes of Health (NIH) - USA); Janssen Infectious Diseases Vaccines group</t>
  </si>
  <si>
    <t xml:space="preserve">This research used the 19-ID-D and 23-ID-D beamlines and resources of the Advanced Photon Source, a U.S. Department of Energy (DOE) Office of Science User Facility operated for the DOE Office of Science by Argonne National Laboratory under Contract No. DE-AC02-06CH11357. The Eiger 16M detector was funded by an NIH Office of Research Infrastructure Programs, High-End Instrumentation Grant (1S100D012289-01A1). This research was supported by the Janssen Infectious Diseases &amp; Vaccines group. The funders had no role in study design, data collection and analysis, decision to publish, or preparation of the manuscript.</t>
  </si>
  <si>
    <t xml:space="preserve">e1006935</t>
  </si>
  <si>
    <t xml:space="preserve">10.1371/journal.ppat.1006935</t>
  </si>
  <si>
    <t xml:space="preserve">GD0LM</t>
  </si>
  <si>
    <t xml:space="preserve">WOS:000430192300028</t>
  </si>
  <si>
    <t xml:space="preserve">Cebey-López, M; Herberg, J; Pardo-Seco, J; Gómez-Carballa, A; Martinón-Torres, N; Salas, A; Martinón-Sánchez, JM; Justicia, A; Rivero-Calle, I; Sumner, E; Fink, C; Martinón-Torres, F</t>
  </si>
  <si>
    <t xml:space="preserve">Cebey-Lopez, Miriam; Herberg, Jethro; Pardo-Seco, Jacobo; Gomez-Carballa, Alberto; Martinon-Torres, Nazareth; Salas, Antonio; Maria Martinon-Sanchez, Jose; Justicia, Antonio; Rivero-Calle, Irene; Sumner, Edward; Fink, Colin; Martinon-Torres, Federico</t>
  </si>
  <si>
    <t xml:space="preserve">Does Viral Co-Infection Influence the Severity of Acute Respiratory Infection in Children?</t>
  </si>
  <si>
    <t xml:space="preserve">Medicine; Cohort; Respiratory system; Internal medicine; Cohort study</t>
  </si>
  <si>
    <t xml:space="preserve">INCREASED DISEASE SEVERITY; LENGTH-OF-STAY; HOSPITALIZED CHILDREN; SYNCYTIAL VIRUS; HUMAN METAPNEUMOVIRUS; STREPTOCOCCUS-PNEUMONIAE; PROSPECTIVE MULTICENTER; BOCAVIRUS INFECTION; TRACT INFECTIONS; ETIOLOGY</t>
  </si>
  <si>
    <t xml:space="preserve">Background Multiple viruses are often detected in children with respiratory infection but the significance of co-infection in pathogenesis, severity and outcome is unclear. Objectives To correlate the presence of viral co-infection with clinical phenotype in children admitted with acute respiratory infections (ARI). Methods We collected detailed clinical information on severity for children admitted with ARI as part of a Spanish prospective multicenter study (GENDRES network) between 2011-2013. A nested polymerase chain reaction (PCR) approach was used to detect respiratory viruses in respiratory secretions. Findings were compared to an independent cohort collected in the UK. Results 204 children were recruited in the main cohort and 97 in the replication cohort. The number of detected viruses did not correlate with any markers of severity. However, bacterial superinfection was associated with increased severity (OR: 4.356; P-value = 0.005), PICU admission (OR: 3.342; P-value = 0.006), higher clinical score (1.988; P-value = 0.002) respiratory support requirement (OR: 7.484; P-value &lt; 0.001) and longer hospital length of stay (OR: 1.468; P-value &lt; 0.001). In addition, pneumococcal vaccination was found to be a protective factor in terms of degree of respiratory distress (OR: 2.917; P-value = 0.035), PICU admission (OR: 0.301; P-value = 0.011), lower clinical score (-1.499; P-value = 0.021) respiratory support requirement (OR: 0.324; P-value = 0.016) and oxygen necessity (OR: 0.328; P-value = 0.001). All these findings were replicated in the UK cohort. Conclusion The presence of more than one virus in hospitalized children with ARI is very frequent but it does not seem to have a major clinical impact in terms of severity. However bacterial superinfection increases the severity of the disease course. On the contrary, pneumococcal vaccination plays a protective role.</t>
  </si>
  <si>
    <t xml:space="preserve">[Cebey-Lopez, Miriam; Pardo-Seco, Jacobo; Gomez-Carballa, Alberto; Martinon-Torres, Nazareth; Salas, Antonio; Maria Martinon-Sanchez, Jose; Justicia, Antonio; Rivero-Calle, Irene; Martinon-Torres, Federico] Hosp Clin Univ, Grp Invest Genet Vacunas Infecc &amp; Pediat, Galicia, Spain; [Cebey-Lopez, Miriam; Pardo-Seco, Jacobo; Gomez-Carballa, Alberto; Martinon-Torres, Nazareth; Salas, Antonio; Maria Martinon-Sanchez, Jose; Justicia, Antonio; Rivero-Calle, Irene; Martinon-Torres, Federico] Univ Santiago de Compostela, Galicia, Spain; [Cebey-Lopez, Miriam; Pardo-Seco, Jacobo; Gomez-Carballa, Alberto; Martinon-Torres, Nazareth; Maria Martinon-Sanchez, Jose; Justicia, Antonio; Rivero-Calle, Irene; Martinon-Torres, Federico] Hosp Clin Univ Santiago, Dept Pediat, Translat Pediat &amp; Infect Dis Sect, Santiago De Compostela, Galicia, Spain; [Herberg, Jethro] Univ London Imperial Coll Sci Technol &amp; Med, Div Infect Dis, Paediat Sect, South Kensington Campus, London, England; [Pardo-Seco, Jacobo; Gomez-Carballa, Alberto; Salas, Antonio] Univ Santiago de Compostela, Dept Anat Patol &amp; Ciencias Forenses, Unidade Xenet, Fac Med, Galicia, Spain; [Pardo-Seco, Jacobo; Gomez-Carballa, Alberto; Salas, Antonio] Univ Santiago de Compostela, Inst Ciencias Forenses, Grp Med Xenom, Fac Med, Galicia, Spain; [Sumner, Edward; Fink, Colin] Univ Warwick, Micropathol Ltd, Sci Pk, Coventry CV4 7AL, W Midlands, England</t>
  </si>
  <si>
    <t xml:space="preserve">Universidade de Santiago de Compostela; Complexo Hospitalario Universitario de Santiago de Compostela; Imperial College London; Universidade de Santiago de Compostela; Universidade de Santiago de Compostela; University of Warwick</t>
  </si>
  <si>
    <t xml:space="preserve">Cebey-López, M (corresponding author), Hosp Clin Univ, Grp Invest Genet Vacunas Infecc &amp; Pediat, Galicia, Spain.;Cebey-López, M (corresponding author), Univ Santiago de Compostela, Galicia, Spain.;Cebey-López, M (corresponding author), Hosp Clin Univ Santiago, Dept Pediat, Translat Pediat &amp; Infect Dis Sect, Santiago De Compostela, Galicia, Spain.</t>
  </si>
  <si>
    <t xml:space="preserve">Miriam.cebey.lopez@sergas.es</t>
  </si>
  <si>
    <t xml:space="preserve">rivero, irene/ABC-9006-2020; Martinon-Torres, Federico/E-4982-2016; Cebey-Lopez, Miriam/K-9347-2014; Pardo-Seco, Jacobo/G-3752-2016; Gomez-Carballa, Alberto/I-4610-2014; Salas, Antonio/E-3977-2012</t>
  </si>
  <si>
    <t xml:space="preserve">Martinon-Torres, Federico/0000-0002-9023-581X; Cebey-Lopez, Miriam/0000-0003-0599-7519; Pardo-Seco, Jacobo/0000-0002-8059-8908; Gomez-Carballa, Alberto/0000-0003-0927-1272; Justicia Grande, Antonio/0000-0002-0410-3328; Salas, Antonio/0000-0002-2336-702X; Herberg, Jethro/0000-0001-6941-6491; Rivero Calle, Irene/0000-0002-3678-9264</t>
  </si>
  <si>
    <t xml:space="preserve">Spanish Government (Research Program Health Research Fund (FIS)) [PI10/00540]; Spanish Government (FEDER funds); Regional Galician funds [10 PXIB 918 184 PR]; Ministerio de Ciencia e Innovacion [SAF2011-26983]; Plan Galego IDT, Xunta de Galicia [EM 2012/045]; Sistema Universitario Gallego Modalidad REDES from Xunta de Galicia [2014-PG139]; Instituto de Investigacion Sanitaria de Santiago de Compostela; Instituto Carlos III (Intensificacion de la actividad investigadora); European Union [279185]; Imperial College Comprehensive Biomedical Research Centre; Wellcome Trust Centre for Respiratory Infection at Imperial College [DMPED P26077]; Micropathology Ltd.</t>
  </si>
  <si>
    <t xml:space="preserve">Spanish Government (Research Program Health Research Fund (FIS)); Spanish Government (FEDER funds)(Spanish Government); Regional Galician funds; Ministerio de Ciencia e Innovacion(Ministry of Science and Innovation, Spain (MICINN)Instituto de Salud Carlos IIISpanish Government); Plan Galego IDT, Xunta de Galicia; Sistema Universitario Gallego Modalidad REDES from Xunta de Galicia; Instituto de Investigacion Sanitaria de Santiago de Compostela; Instituto Carlos III (Intensificacion de la actividad investigadora)(Instituto de Salud Carlos III); European Union(European Union (EU)); Imperial College Comprehensive Biomedical Research Centre; Wellcome Trust Centre for Respiratory Infection at Imperial College(Wellcome Trust); Micropathology Ltd.</t>
  </si>
  <si>
    <t xml:space="preserve">This work was supported by the Spanish Government (Research Program Health Research Fund (FIS; PI10/00540) National Plan I + D + I and FEDER funds), by Regional Galician funds (Promotion of Research Project 10 PXIB 918 184 PR) (FMT), by Ministerio de Ciencia e Innovacion (SAF2011-26983), and by the Plan Galego IDT, Xunta de Galicia (EM 2012/045) (AS). A grant was received from the Sistema Universitario Gallego Modalidad REDES (2014-PG139) from the Xunta de Galicia (to AS and FMT). MCL research activities have been supported by grants from Instituto de Investigacion Sanitaria de Santiago de Compostela. FMT research activities have been supported by grants from Instituto Carlos III (Intensificacion de la actividad investigadora). Investigators received funding from the European Union's seventh Framework program under ECGA no. 279185 (EUCLIDS) during the production of this paper. JH was supported by the Imperial College Comprehensive Biomedical Research Centre and the Wellcome Trust Centre for Respiratory Infection at Imperial College (DMPED P26077 to JH). Micropathology Ltd. provided support in the form of salaries for authors ES and CF, but did not have any additional role in the study design, data collection and analysis, decision to publish, or preparation of the manuscript. The specific roles of these authors are articulated in the 'author contributions' section.</t>
  </si>
  <si>
    <t xml:space="preserve">e0152481</t>
  </si>
  <si>
    <t xml:space="preserve">10.1371/journal.pone.0152481</t>
  </si>
  <si>
    <t xml:space="preserve">DJ9OU</t>
  </si>
  <si>
    <t xml:space="preserve">WOS:000374543600014</t>
  </si>
  <si>
    <t xml:space="preserve">Cozzi, G; Sovtic, A; Garelli, D; Krivec, U; Silvagni, D; Corsini, I; Colombo, M; Giangreco, M; Giannattasio, A; Milani, GP; Minute, M; Marchetti, F; Gatto, A; Debbia, C; Gortan, AJ; Massaro, M; Hatziagorou, E; Ravidà, D; Diamand, R; Jones, E; Visekruna, J; Zago, A; Barbi, E; Amaddeo, A; Wiel, LC</t>
  </si>
  <si>
    <t xml:space="preserve">Cozzi, Giorgio; Sovtic, Aleksandar; Garelli, Davide; Krivec, Uros; Silvagni, Davide; Corsini, Ilaria; Colombo, Marco; Giangreco, Manuela; Giannattasio, Antonietta; Milani, Gregorio Paolo; Minute, Marta; Marchetti, Federico; Gatto, Antonio; Debbia, Carla; Gortan, Anna Jolanda; Massaro, Marta; Hatziagorou, Elpis; Ravida, Domenico; Diamand, Raz; Jones, Elizabeth; Visekruna, Jelena; Zago, Alessandro; Barbi, Egidio; Amaddeo, Alessandro; Cortellazzo Wiel, Luisa</t>
  </si>
  <si>
    <t xml:space="preserve">Sars-Cov- Bronchiolitis Study Grp</t>
  </si>
  <si>
    <t xml:space="preserve">SARS-CoV-2-related bronchiolitis: a multicentre international study</t>
  </si>
  <si>
    <t xml:space="preserve">Bronchiolitis; Medicine; Pediatrics</t>
  </si>
  <si>
    <t xml:space="preserve">Background Bronchiolitis is the main acute lower respiratory tract infection in infants. Data regarding SARS-CoV-2-related bronchiolitis are limited. Objective To describe the main clinical characteristics of infants with SARS-CoV-2-related bronchiolitis in comparison with infants with bronchiolitis associated with other viruses. Setting, patients, interventions A multicentre retrospective study was conducted in 22 paediatric emergency departments (PED) in Europe and Israel. Infants diagnosed with bronchiolitis, who had a test for SARS-CoV-2 and were kept in clinical observation in the PED or admitted to hospital from 1 May 2021 to 28 February 2022 were considered eligible for participation. Demographic and clinical data, diagnostic tests, treatments and outcomes were collected. Main outcome measures The main outcome was the need for respiratory support in infants testing positive for SARS-CoV-2 compared with infants testing negative. Results 2004 infants with bronchiolitis were enrolled. Of these, 95 (4.7%) tested positive for SARS-CoV-2. Median age, gender, weight, history of prematurity and presence of comorbidities did not differ between the SARS-CoV-2-positive and SARS-CoV-2-negative infants. Human metapneumovirus and respiratory syncytial virus were the viruses most frequently detected in the group of infants negative for SARS-CoV-2. Infants testing positive for SARS-CoV-2 received oxygen supplementation less frequently compared with SARS-CoV-2-negative patients, 37 (39%) vs 1076 (56.4%), p=0.001, OR 0.49 (95% CI 0.32 to 0.75). They received less ventilatory support: 12 (12.6%) high flow nasal cannulae vs 468 (24.5%), p=0.01; 1 (1.0%) continuous positive airway pressure vs 125 (6.6%), p=0.03, OR 0.48 (95% CI 0.27 to 0.85). Conclusions SARS-CoV-2 rarely causes bronchiolitis in infants. SARS-CoV-2-related bronchiolitis mostly has a mild clinical course.</t>
  </si>
  <si>
    <t xml:space="preserve">[Cozzi, Giorgio; Barbi, Egidio; Amaddeo, Alessandro] Inst Maternal &amp; Child Hlth IRCCS Burlo Garofolo, Trieste, Italy; [Sovtic, Aleksandar; Visekruna, Jelena] Inst Hlth Protect Mother &amp; Child Serbia Dr Vukan, Beograd, Serbia; [Sovtic, Aleksandar] Univ Belgrade, Fac Med, Belgrade, Serbia; [Garelli, Davide] Regina Margherita Childrens Hosp, Turin, Italy; [Krivec, Uros] Univ Childrens Hosp Ljubljana, Dept Pediat Pulmol, Ljubljana, Slovenia; [Krivec, Uros] Univ Ljubljana, Fac Med, Dept Pediat, Ljubljana, Slovenia; [Silvagni, Davide] Azienda Osped Univ Integrata Verona, Verona, Italy; [Corsini, Ilaria] IRCCS Policlin Osped Univ Bologna, Bologna, Italy; [Colombo, Marco] ASST Sette Laghi, Osped Filippo Ponte, Pediat Emergency Dept, Varese, Italy; [Giangreco, Manuela] IRCCS Burlo Garofolo, Inst Maternal &amp; Child Hlth, Clin Epidemiol &amp; Publ Hlth Res Unit, Trieste, Italy; [Giannattasio, Antonietta] Santobono Pausilipon Childrens Hosp, Pediat Emergency Unit, Naples, Italy; [Milani, Gregorio Paolo] Fdn IRCCS Ca Granda Osped Maggiore Policlin, Paediat Emergency Dept, Milan, Italy; [Milani, Gregorio Paolo] Univ Milan, Dept Clin Sci &amp; Community Hlth, Milan, Italy; [Minute, Marta] Osped Reg Ca Foncello Treviso, Treviso, Italy; [Marchetti, Federico] Osped S Maria Croci, Dept Pediat, Ravenna, Italy; [Gatto, Antonio] Fdn Policlin Univ Gemelli IRCCS, Rome, Italy; [Debbia, Carla] IRCCS Ist Giannina Gaslini, Emergency Dept, Genoa, Italy; [Gortan, Anna Jolanda] Azienda Sanitaria Univ Friuli Centrale, Udine, Italy; [Massaro, Marta] Osped Santa Maria Angeli Pordenone, Pordenone, Italy; [Hatziagorou, Elpis] Aristotle Univ Thessaloniki, Hippokrat Hosp Thessaloniki, Pediat Dept 3, Pediat Pulmonol Unit, Thessaloniki, Greece; [Ravida, Domenico] EOC, Inst Pediat Southern Switzerland, Bellinzona, Switzerland; [Diamand, Raz] Ruth Rappaport Childrens Hosp, Haifa, Israel; [Jones, Elizabeth; Cortellazzo Wiel, Luisa] Royal Infirm, Bradford, England; [Zago, Alessandro; Amaddeo, Alessandro] Univ Trieste, Trieste, Italy</t>
  </si>
  <si>
    <t xml:space="preserve">IRCCS Burlo Garofolo; University of Belgrade; A.O.U. Citta della Salute e della Scienza di Torino; University Medical Centre Ljubljana; University of Ljubljana; University of Verona; Azienda Ospedaliera Universitaria Integrata Verona; IRCCS Burlo Garofolo; IRCCS Ca Granda Ospedale Maggiore Policlinico; University of Milan; Catholic University of the Sacred Heart; IRCCS Policlinico Gemelli; University of Genoa; IRCCS Istituto Giannina Gaslini; Aristotle University of Thessaloniki; Rambam Health Care Campus; Bradford Royal Infirmary; University of Trieste</t>
  </si>
  <si>
    <t xml:space="preserve">Cozzi, G (corresponding author), IRCCS Materno Infantile Burlo Garofolo, Trieste, Italy.</t>
  </si>
  <si>
    <t xml:space="preserve">giorgio.cozzi@burlo.trieste.it</t>
  </si>
  <si>
    <t xml:space="preserve">Corsini, Ilaria/IZP-6108-2023; Gatto, Antonio/AAK-6261-2020; Hatziagorou, Elpis/D-3247-2012; Marchetti, Federico/LRC-4578-2024; Barbi, Egidio/K-4016-2018; AMADDEO, Alessandro/LSK-5879-2024; Milani, Gregorio Paolo/I-7777-2015; GIANGRECO, Manuela/R-7555-2016</t>
  </si>
  <si>
    <t xml:space="preserve">Milani, Gregorio Paolo/0000-0003-3829-4254; Gatto, Antonio/0000-0002-8778-9328; Basa, Mihail/0000-0002-1420-6072; GIANGRECO, Manuela/0000-0002-4479-3087; , Pascarella Antonia/0000-0002-6997-8950; AMADDEO, Alessandro/0000-0003-2117-0781; Marchetti, Federico/0000-0002-1257-7312; Sovtic, Aleksandar/0000-0002-2760-5582</t>
  </si>
  <si>
    <t xml:space="preserve">Ministry of Health, Rome, Italy; Institute for Maternal and Child Health IRCCS Burlo Garofolo, Trieste, Italy</t>
  </si>
  <si>
    <t xml:space="preserve">Ministry of Health, Rome, Italy(Ministry of Health, Italy); Institute for Maternal and Child Health IRCCS Burlo Garofolo, Trieste, Italy</t>
  </si>
  <si>
    <t xml:space="preserve">This work was supported by the Ministry of Health, Rome, Italy, in collaboration with the Institute for Maternal and Child Health IRCCS Burlo Garofolo, Trieste, Italy.</t>
  </si>
  <si>
    <t xml:space="preserve">e15</t>
  </si>
  <si>
    <t xml:space="preserve">10.1136/archdischild-2023-325448</t>
  </si>
  <si>
    <t xml:space="preserve">Q8AN5</t>
  </si>
  <si>
    <t xml:space="preserve">WOS:001009541500001</t>
  </si>
  <si>
    <t xml:space="preserve">Wei, L; Liu, W; Zhang, XA; Liu, EM; Wo, Y; Cowling, BJ; Cao, WC</t>
  </si>
  <si>
    <t xml:space="preserve">Wei, Lan; Liu, Wei; Zhang, Xiao-Ai; Liu, En-Mei; Wo, Yin; Cowling, Benjamin J.; Cao, Wu-Chun</t>
  </si>
  <si>
    <t xml:space="preserve">Detection of Viral and Bacterial Pathogens in Hospitalized Children With Acute Respiratory Illnesses, Chongqing, 2009-2013</t>
  </si>
  <si>
    <t xml:space="preserve">Medicine; Virus; Streptococcus pneumoniae; Pneumonia; Sputum</t>
  </si>
  <si>
    <t xml:space="preserve">COMMUNITY-ACQUIRED PNEUMONIA; SYNCYTIAL VIRUS; STREPTOCOCCUS-PNEUMONIAE; HUMAN METAPNEUMOVIRUS; YOUNG-CHILDREN; RHINOVIRUS INFECTION; SYSTEMATIC ANALYSIS; EPITHELIAL-CELLS; DISEASE SEVERITY; TRACT INFECTIONS</t>
  </si>
  <si>
    <t xml:space="preserve">Acute respiratory infections (ARIs) cause large disease burden each year. The codetection of viral and bacterial pathogens is quite common; however, the significance for clinical severity remains controversial. We aimed to identify viruses and bacteria in hospitalized children with ART and the impact of mixed detections. Hospitalized children with ART aged &lt;= 16 were recruited from 2009 to 2013 at the Children's Hospital of Chongqing Medical University, Chongqing, China. Nasopharyngeal aspirates (NPAs) were collected for detection of common respiratory viruses by reverse transcription polymerase chain reaction (RT-PCR) or PCR. Bacteria were isolated from NPAs by routine culture methods. Detection and codetection frequencies and clinical features and severity were compared. Of the 3181 hospitalized children, 2375 (74.7%) were detected with &gt;= 1 virus and 707 (22.2%) with &gt;= 1 bacteria, 901 (28.3%) with &gt;= 2 viruses, 57 (1.8%) with &gt;= 2 bacteria, and 542(17.0%) with both virus and bacteria. The most frequently detected were Streptococcus pneumoniae, respiratory syncytial virus, parainfluenza virus, and influenza virus. Clinical characteristics were similar among different pathogen infections for older group (&gt;= 6 years old), with some significant difference fir the younger. Cases with any codetection were more likely to present with fever; those with &gt;= 2 virus detections had higher prevalence of cough; cases with virus and bacteria codetection were more likely to have cough and sputum. No significant difference in the risk of pneumonia, severe pneumonia, and intensive care unit admission were found for any codetection than monodetection. There was a high codetection rate of common respiratory pathogens among hospitalized pediatric ART cases, with fever as a significant predictor. Cases with codetection showed no significant difference in severity than those with single pathogens.</t>
  </si>
  <si>
    <t xml:space="preserve">[Wei, Lan; Cowling, Benjamin J.] Univ Hong Kong, Li Ka Shing Fac Med, Sch Publ Hlth, Hong Kong, Hong Kong, Peoples R China; [Liu, Wei; Zhang, Xiao-Ai; Wo, Yin; Cao, Wu-Chun] Beijing Inst Microbiol &amp; Epidemiol, State Key Lab Pathogen &amp; Biosecur, Beijing, Peoples R China; [Liu, En-Mei] Childrens Hosp Chongqing Med Univ, Chongqing, Peoples R China</t>
  </si>
  <si>
    <t xml:space="preserve">University of Hong Kong; Beijing Institute of Microbiology &amp; Epidemiology</t>
  </si>
  <si>
    <t xml:space="preserve">Liu, W (corresponding author), Beijing Inst Microbiol &amp; Epidemiol, State Key Lab Pathogen &amp; Biosecur, 20 Dongda St, Beijing 100071, Peoples R China.</t>
  </si>
  <si>
    <t xml:space="preserve">liu_weis@sohu.com</t>
  </si>
  <si>
    <t xml:space="preserve">liu, li/HGC-0900-2022; Zhang, XZ/HJA-4189-2022; Cowling, Benjamin/C-4263-2009</t>
  </si>
  <si>
    <t xml:space="preserve">Liu, Wei/0000-0002-9302-8170; Liu, Wei/0009-0001-6937-2430; Zhang, Xiao-Ai/0000-0002-9505-1307; Cowling, Benjamin/0000-0002-6297-7154</t>
  </si>
  <si>
    <t xml:space="preserve">China Mega-Project on Infectious Disease Prevention [2013ZX10004202-002]; National Science Fund for Young Scholars [81222037]; MedImmune Inc.; Sanofi Pasteur</t>
  </si>
  <si>
    <t xml:space="preserve">China Mega-Project on Infectious Disease Prevention; National Science Fund for Young Scholars(National Natural Science Foundation of China (NSFC)National Science Fund for Distinguished Young Scholars); MedImmune Inc.(AstraZenecaMedimmune); Sanofi Pasteur</t>
  </si>
  <si>
    <t xml:space="preserve">This study was supported by grants from the China Mega-Project on Infectious Disease Prevention (No. 2013ZX10004202-002) and National Science Fund for Young Scholars (No. 81222037). BJC received research funding from MedImmune Inc. and Sanofi Pasteur.</t>
  </si>
  <si>
    <t xml:space="preserve">e742</t>
  </si>
  <si>
    <t xml:space="preserve">10.1097/MD.0000000000000742</t>
  </si>
  <si>
    <t xml:space="preserve">CH1PV</t>
  </si>
  <si>
    <t xml:space="preserve">WOS:000353794700014</t>
  </si>
  <si>
    <t xml:space="preserve">Branche, AR; Falsey, AR</t>
  </si>
  <si>
    <t xml:space="preserve">Branche, Angela R.; Falsey, Ann R.</t>
  </si>
  <si>
    <t xml:space="preserve">Respiratory Syncytial Virus Infection in Older Adults: An Under-Recognized Problem</t>
  </si>
  <si>
    <t xml:space="preserve">DRUGS &amp; AGING</t>
  </si>
  <si>
    <t xml:space="preserve">Medicine; Sore throat; Respiratory tract infections</t>
  </si>
  <si>
    <t xml:space="preserve">OBSTRUCTIVE PULMONARY-DISEASE; CELL TRANSPLANT RECIPIENTS; INFLUENZA-LIKE ILLNESS; REVERSE TRANSCRIPTION-PCR; NURSING-HOME PATIENTS; TRACT VIRAL ILLNESS; HIGH-RISK ADULTS; UNITED-STATES; IMMUNOCOMPROMISED ADULTS; HUMAN METAPNEUMOVIRUS</t>
  </si>
  <si>
    <t xml:space="preserve">Human respiratory syncytial virus (RSV) is an enveloped, single-stranded, negative-sense RNA virus and member of the Paramyxoviridae family of the genus Pneumovirus that was first reported as a major pathogen in pediatric populations. However, since its discovery, RSV has not infrequently been detected in adults. Reinfection occurs throughout life, with more severe disease occurring in older adults, immunocompromised patients, and those with underlying cardiopulmonary disease. Initially described as the cause of nursing home outbreaks of respiratory disease, there is a now significant body of literature describing the clinical importance of RSV in older adults in a multitude of settings including long-term care, adult daycares, and in community-dwelling adults. Moreover, recent reports from China and other countries emphasize that RSV is a global pathogen that will become increasingly important in developed nations with aging populations. Annual attack rates in the USA range from 2 to 10 % in community-dwelling older adults and 5-10 % in older adults living in congregate settings. Population-based calculations of the proportion of acute respiratory illnesses attributable to RSV estimate that 11,000 elderly persons die annually in the USA of illnesses related to RSV infection. Clinical manifestations of RSV infections are similar to that of other viral respiratory pathogens and include cough, nasal congestion, rhinorrhea, sore throat, and dyspnea. Lower respiratory tract disease is common and may result in respiratory failure (8-13 %) or death (2-5 %). Recent advances in molecular diagnostics have made it possible to rapidly identify RSV infection using nucleic acid amplification tests, although clinicians will need to suspect the diagnosis when viral activity is high. At the present time, treatment is supportive. Effective antiviral agents for the treatment and vaccines for prevention of RSV remain a significant unmet medical need in the older adult population.</t>
  </si>
  <si>
    <t xml:space="preserve">[Branche, Angela R.; Falsey, Ann R.] Univ Rochester, Dept Med, Infect Dis Unit, Rochester, NY 14642 USA; [Falsey, Ann R.] Rochester Gen Hosp, Dept Med, Rochester, NY 14621 USA</t>
  </si>
  <si>
    <t xml:space="preserve">Branche, AR (corresponding author), Univ Rochester, Dept Med, Infect Dis Unit, 601 Elmwood Ave, Rochester, NY 14642 USA.</t>
  </si>
  <si>
    <t xml:space="preserve">1170-229X</t>
  </si>
  <si>
    <t xml:space="preserve">1179-1969</t>
  </si>
  <si>
    <t xml:space="preserve">DRUG AGING</t>
  </si>
  <si>
    <t xml:space="preserve">Drugs Aging</t>
  </si>
  <si>
    <t xml:space="preserve">10.1007/s40266-015-0258-9</t>
  </si>
  <si>
    <t xml:space="preserve">Geriatrics &amp; Gerontology; Pharmacology &amp; Pharmacy</t>
  </si>
  <si>
    <t xml:space="preserve">CF8DT</t>
  </si>
  <si>
    <t xml:space="preserve">WOS:000352786600001</t>
  </si>
  <si>
    <t xml:space="preserve">Garbino, J; Soccal, PM; Aubert, JD; Rochat, T; Meylan, P; Thomas, Y; Tapparel, C; Bridevaux, PO; Kaiser, L</t>
  </si>
  <si>
    <t xml:space="preserve">Garbino, J.; Soccal, P. M.; Aubert, J-D; Rochat, T.; Meylan, P.; Thomas, Y.; Tapparel, C.; Bridevaux, P-O; Kaiser, L.</t>
  </si>
  <si>
    <t xml:space="preserve">Respiratory viruses in bronchoalveolar lavage: a hospital-based cohort study in adults</t>
  </si>
  <si>
    <t xml:space="preserve">Rhinovirus; Medicine; Bronchoalveolar lavage; Human metapneumovirus; Human bocavirus; Respiratory system</t>
  </si>
  <si>
    <t xml:space="preserve">HUMAN BOCAVIRUS; CORONAVIRUS INFECTIONS; EPIDEMIOLOGIC PROFILE; HUMAN RHINOVIRUS; CLINICAL IMPACT; LOWER AIRWAYS; EPITHELIUM; INFANTS; DISEASE; SAMPLES</t>
  </si>
  <si>
    <t xml:space="preserve">Background: The epidemiology of respiratory viruses and their potential clinical impact when recovered in lower respiratory specimens has not been established in the hospital setting. A study was performed to investigate the association between positive viral detection and respiratory infection in an at-risk population. Methods: 299 adult patients who underwent bronchoalveolar lavage (BAL) procedures were enrolled in a hospital-based prospective cohort study. Descriptive epidemiology is presented of 17 different respiratory viruses detected by reverse transcription-polymerase chain reaction assays in BAL fluid specimens. Multivariate analysis was conducted to identify the clinical characteristics independently associated with the presence of virus. Results: Of 522 BAL fluid specimens analysed, 81% were collected in adult transplant recipients or other immuno-compromised patients. Overall, PCR assays identified viral nucleic acid in 91 BAL fluid samples (17.4%). Similar rates of virus-positive BAL fluid were found in the different subpopulations studied (p=0.113). Coronaviruses were the most frequent (32.3%), followed by rhinovirus (22.6%), parainfluenza (19.5%), influenza (9.7%), respiratory synctial virus (8.6%), human metapneumovirus (4.2%) and bocavirus (3.1%). Multivariate analysis using mixed models showed that respiratory viral infections were associated with a lack of antibiotic treatment response (OR 2.2, 95% CI 1.2 to 4.1) and the absence of radiological infiltrate (OR 0.3, 95% CI 0.2 to 0.8). In lung transplant recipients in whom a respiratory infection was suspected, the respiratory viral detection rate was 24.4% compared with 13.8% overall in other patients (p=0.02). Conclusions: In this cohort of hospitalised adults, respiratory viruses detected in BAL fluid specimens were associated with respiratory symptoms, absence of radiological infiltrates and a poor response to antibiotic therapy.</t>
  </si>
  <si>
    <t xml:space="preserve">[Garbino, J.; Thomas, Y.; Tapparel, C.; Kaiser, L.] Univ Hosp Geneva, Div Infect Dis, Cent Lab Virol, CH-1211 Geneva 14, Switzerland; [Soccal, P. M.; Rochat, T.; Bridevaux, P-O] Univ Hosp Geneva, Div Pulm Med, CH-1211 Geneva, Switzerland; [Soccal, P. M.] Univ Hosp Geneva, Clin Thorac Surg, CH-1211 Geneva 14, Switzerland; [Aubert, J-D] Univ Lausanne Hosp, Div Pulm Med, Lausanne, Switzerland; [Meylan, P.] Univ Lausanne Hosp, Inst Microbiol, Lausanne, Switzerland; [Meylan, P.] Univ Lausanne Hosp, Div Infect Dis, Lausanne, Switzerland</t>
  </si>
  <si>
    <t xml:space="preserve">University of Geneva; University of Geneva; University of Geneva; University of Lausanne; Centre Hospitalier Universitaire Vaudois (CHUV); University of Lausanne; Centre Hospitalier Universitaire Vaudois (CHUV); University of Lausanne; Centre Hospitalier Universitaire Vaudois (CHUV)</t>
  </si>
  <si>
    <t xml:space="preserve">Garbino, J (corresponding author), Univ Hosp Geneva, Div Infect Dis, Cent Lab Virol, 24 Rue Micheli du Crest, CH-1211 Geneva 14, Switzerland.</t>
  </si>
  <si>
    <t xml:space="preserve">Kaiser, Laurent/0000-0002-0857-2252; Tapparel Vu, Caroline/0000-0002-0411-6567; Bridevaux, Pierre-Olivier/0000-0002-8021-0950</t>
  </si>
  <si>
    <t xml:space="preserve">Swiss National Foundation [3200B-101670]</t>
  </si>
  <si>
    <t xml:space="preserve">Swiss National Foundation(Swiss National Science Foundation (SNSF))</t>
  </si>
  <si>
    <t xml:space="preserve">This study was supported by a grant of the Swiss National Foundation to Laurent Kaiser (3200B-101670).</t>
  </si>
  <si>
    <t xml:space="preserve">10.1136/thx.2008.105155</t>
  </si>
  <si>
    <t xml:space="preserve">438UC</t>
  </si>
  <si>
    <t xml:space="preserve">WOS:000265579900010</t>
  </si>
  <si>
    <t xml:space="preserve">Kujawski, SA; Whitaker, M; Ritchey, MD; Reingold, AL; Chai, SJ; Anderson, EJ; Openo, KP; Monroe, M; Ryan, P; Bye, E; Como-Sabetti, K; Barney, GR; Muse, A; Bennett, NM; Felsen, CB; Thomas, A; Crawford, C; Talbot, HK; Schaffner, W; Gerber, SI; Langley, GE; Kim, L</t>
  </si>
  <si>
    <t xml:space="preserve">Kujawski, Stephanie A.; Whitaker, Michael; Ritchey, Matthew D.; Reingold, Arthur L.; Chai, Shua J.; Anderson, Evan J.; Openo, Kyle P.; Monroe, Maya; Ryan, Patricia; Bye, Erica; Como-Sabetti, Kathryn; Barney, Grant R.; Muse, Alison; Bennett, Nancy M.; Felsen, Christina B.; Thomas, Ann; Crawford, Courtney; Talbot, H. Keipp; Schaffner, William; Gerber, Susan, I; Langley, Gayle E.; Kim, Lindsay</t>
  </si>
  <si>
    <t xml:space="preserve">Rates of respiratory syncytial virus (RSV)-associated hospitalization among adults with congestive heart failure-United States, 2015-2017</t>
  </si>
  <si>
    <t xml:space="preserve">Medicine; Heart failure; Population</t>
  </si>
  <si>
    <t xml:space="preserve">HUMAN METAPNEUMOVIRUS; RISK-FACTORS; INFECTION; DISEASE; BURDEN</t>
  </si>
  <si>
    <t xml:space="preserve">BackgroundRespiratory syncytial virus (RSV) can cause severe disease in adults with cardiopulmonary conditions, such as congestive heart failure (CHF). We quantified the rate of RSV-associated hospitalization in adults by CHF status using population-based surveillance in the United States. MethodsPopulation-based surveillance for RSV (RSV-NET) was performed in 35 counties in seven sites during two respiratory seasons (2015-2017) from October 1-April 30. Adults (&gt;= 18 years) admitted to a hospital within the surveillance catchment area with laboratory-confirmed RSV identified by clinician-directed testing were included. Presence of underlying CHF was determined by medical chart abstraction. We calculated overall and age-stratified (&lt;65 years and &gt;= 65 years) RSV-associated hospitalization rates by CHF status. Estimates were adjusted for age and the under-detection of RSV. We also report rate differences (RD) and rate ratios (RR) by comparing the rates for those with and without CHF. Results2042 hospitalized RSV cases with CHF status recorded were identified. Most (60.2%, n = 1230) were &gt;= 65 years, and 28.3% (n = 577) had CHF. The adjusted RSV hospitalization rate was 26.7 (95% CI: 22.2, 31.8) per 10,000 population in adults with CHF versus 3.3 (95% CI: 3.3, 3.3) per 10,000 in adults without CHF (RR: 8.1, 95% CI: 6.8, 9.7; RD: 23.4, 95% CI: 18.9, 28.5). Adults with CHF had higher rates of RSV-associated hospitalization in both age groups (&lt;65 years and &gt;= 65 years). Adults &gt;= 65 years with CHF had the highest rate (40.5 per 10,000 population, 95% CI: 35.1, 46.6). ConclusionsAdults with CHF had 8 times the rate of RSV-associated hospitalization compared with adults without CHF. Identifying high-risk populations for RSV infection can inform future RSV vaccination policies and recommendations.</t>
  </si>
  <si>
    <t xml:space="preserve">[Kujawski, Stephanie A.] Ctr Dis Control &amp; Prevent CDC, Epidem Intelligence Serv, Atlanta, GA USA; [Kujawski, Stephanie A.; Whitaker, Michael; Gerber, Susan, I; Langley, Gayle E.; Kim, Lindsay] Ctr Dis Control &amp; Prevent CDC, Div Viral Dis, Natl Ctr Immunizat &amp; Resp Dis, Atlanta, GA 30333 USA; [Whitaker, Michael] Eagle Global Sci, Atlanta, GA USA; [Ritchey, Matthew D.] Ctr Dis Control &amp; Prevent CDC, Div Heart Dis &amp; Stroke Prevent, Natl Ctr Chron Dis Prevent &amp; Hlth Promot, Atlanta, GA USA; [Ritchey, Matthew D.; Chai, Shua J.; Kim, Lindsay] US PHS, Rockville, MD 20852 USA; [Reingold, Arthur L.] Univ Calif Berkeley, Sch Publ Hlth, Div Epidemiol, Berkeley, CA USA; [Chai, Shua J.] Calif Emerging Infect Program, Oakland, CA USA; [Chai, Shua J.] Ctr Dis Control &amp; Prevent, Ctr Preparedness &amp; Response, Atlanta, GA USA; [Anderson, Evan J.] Emory Univ, Sch Med, Dept Med, Atlanta, GA USA; [Anderson, Evan J.; Openo, Kyle P.] Georgia Emerging Infect Program, Atlanta, GA USA; [Anderson, Evan J.; Openo, Kyle P.] Atlanta Vet Affairs Med Ctr, Atlanta, GA USA; [Openo, Kyle P.] Fdn Atlanta Vet Educ &amp; Res, Decatur, GA USA; [Monroe, Maya; Ryan, Patricia] Maryland Dept Hlth, Baltimore, MD USA; [Bye, Erica; Como-Sabetti, Kathryn] Minnesota Dept Hlth, St Paul, MN USA; [Barney, Grant R.; Muse, Alison] New York State Dept Hlth, Albany, NY USA; [Bennett, Nancy M.; Felsen, Christina B.] Univ Rochester, Sch Med &amp; Dent, Rochester, NY USA; [Thomas, Ann; Crawford, Courtney] Oregon Hlth Author, Publ Hlth Div, Portland, OR USA; [Talbot, H. Keipp; Schaffner, William] Vanderbilt Univ, Med Ctr, Nashville, TN USA</t>
  </si>
  <si>
    <t xml:space="preserve">Centers for Disease Control &amp; Prevention - USA; Centers for Disease Control &amp; Prevention - USA; Centers for Disease Control &amp; Prevention - USA; United States Public Health Service; University of California System; University of California Berkeley; California Emerging Infections Program; Centers for Disease Control &amp; Prevention - USA; Emory University; US Department of Veterans Affairs; Veterans Health Administration (VHA); Atlanta VA Health Care System; Minnesota Department of Health (MHD); State University of New York (SUNY) System; University of Rochester; Vanderbilt University</t>
  </si>
  <si>
    <t xml:space="preserve">Kim, L (corresponding author), Ctr Dis Control &amp; Prevent CDC, Div Viral Dis, Natl Ctr Immunizat &amp; Resp Dis, Atlanta, GA 30333 USA.;Kim, L (corresponding author), US PHS, Rockville, MD 20852 USA.</t>
  </si>
  <si>
    <t xml:space="preserve">iyn2@cdc.gov</t>
  </si>
  <si>
    <t xml:space="preserve">Chai, Shua/KHU-4548-2024; Talbot, Helen/KLY-2181-2024; Schaffner, William/KMA-4097-2024</t>
  </si>
  <si>
    <t xml:space="preserve">Talbot, H. Keipp/0000-0003-0141-1760; Schaffner, William/0000-0002-1375-8078</t>
  </si>
  <si>
    <t xml:space="preserve">Centers for Disease Control and Prevention (CDC) through an Emerging Infections Program [CK17-1701]</t>
  </si>
  <si>
    <t xml:space="preserve">Centers for Disease Control and Prevention (CDC) through an Emerging Infections Program(United States Department of Health &amp; Human ServicesCenters for Disease Control &amp; Prevention - USACDC Intramural Centers for Disease Control and Prevention)</t>
  </si>
  <si>
    <t xml:space="preserve">enough Funding: This work was supported by the Centers for Disease Control and Prevention (CDC) through an Emerging Infections Program cooperative agreement [grant CK17-1701]. CDC designed and conducted the study; collected, managed, analyzed, and interpreted the data; prepared, reviewed, and approved the manuscript; and had a role in the decision to submit the manuscript for publication and journal choice, and had the right to veto publication.</t>
  </si>
  <si>
    <t xml:space="preserve">e0264890</t>
  </si>
  <si>
    <t xml:space="preserve">10.1371/journal.pone.0264890</t>
  </si>
  <si>
    <t xml:space="preserve">WOS:000804638700040</t>
  </si>
  <si>
    <t xml:space="preserve">Chen, JHK; Lam, HY; Yip, CCY; Wong, SCY; Chan, JFW; Ma, ESK; Cheng, VCC; Tang, BSF; Yuen, KY</t>
  </si>
  <si>
    <t xml:space="preserve">Chen, Jonathan H. K.; Lam, Ho-Yin; Yip, Cyril C. Y.; Wong, Sally C. Y.; Chan, Jasper F. W.; Ma, Edmond S. K.; Cheng, Vincent C. C.; Tang, Bone S. F.; Yuen, Kwok-Yung</t>
  </si>
  <si>
    <t xml:space="preserve">Clinical Evaluation of the New High-Throughput Luminex NxTAG Respiratory Pathogen Panel Assay for Multiplex Respiratory Pathogen Detection</t>
  </si>
  <si>
    <t xml:space="preserve">Multiplex; Virology; Pathogen; Multiplex polymerase chain reaction; Biology; Respiratory system; Respiratory tract infections</t>
  </si>
  <si>
    <t xml:space="preserve">INFLUENZA-A H7N9; TRACT INFECTIONS; HUMAN BOCAVIRUS; VIRAL PANEL; CORONAVIRUS; EMERGENCE; DIAGNOSIS; IMPACT; RISK; RVP</t>
  </si>
  <si>
    <t xml:space="preserve">A broad range of viral and bacterial pathogens can cause acute respiratory tract infection. For rapid detection of a broad respiratory pathogen spectrum, multiplex real-time PCR is ideal. This study evaluated the performance of the new Luminex NxTAG Respiratory Pathogen Panel (NxTAG-RPP) in comparison with the BioFire FilmArray Respiratory Panel (FA-RP) or singleplex real-time PCR as reference. A total of 284 clinical respiratory specimens and 3 influenza A/H7N9 viral culture samples were tested. All clinical specimens were processed and analyzed in parallel using NxTAG-RPP and the reference standard method. The H7N9 viral culture samples were tested using NxTAG-RPP only. Overall, the NxTAG-RPP demonstrated &gt;= 93% sensitivity and specificity for all respiratory targets except human coronavirus OC43 (HCoV-OC43) and HCoV-HKU1. The H7N9 virus was detected by the influenza A virus matrix gene target, while other influenza A virus subtyping gene targets in the panel remained negative. Complete concordance between NxTAG-RPP and FA-RP was observed in 98.8% (318/322) of positive results (kappa = 0.92). Substantial agreement was found for most respiratory targets, but significant differences were observed in human metapneumovirus (P = 0.001) and parainfluenza virus type 3 (P = 0.031). NxTAG-RPP has a higher sample throughput than FA-RP (96 samples versus 1 sample per run) while the turnaround times for NxTAG-RPP and FA-RP were 5 h (up to 96 samples) and 1 h (for one sample), respectively. Overall, NxTAG-RPP demonstrated good diagnostic performance for most respiratory pathogens. The high sample throughput with reasonable turnaround time of this new assay makes it a suitable multiplex platform for routine screening of respiratory specimens in hospital-based laboratories.</t>
  </si>
  <si>
    <t xml:space="preserve">[Chen, Jonathan H. K.; Yip, Cyril C. Y.; Wong, Sally C. Y.; Chan, Jasper F. W.; Cheng, Vincent C. C.; Yuen, Kwok-Yung] Queen Mary Hosp, Dept Microbiol, Hong Kong, Hong Kong, Peoples R China; [Lam, Ho-Yin; Ma, Edmond S. K.; Tang, Bone S. F.] Hong Kong Sanat &amp; Hosp, Dept Pathol, Hong Kong, Hong Kong, Peoples R China; [Chan, Jasper F. W.; Yuen, Kwok-Yung] Univ Hong Kong, State Key Lab Emerging Infect Dis, Hong Kong, Hong Kong, Peoples R China; [Chan, Jasper F. W.; Yuen, Kwok-Yung] Univ Hong Kong, Carol Yu Ctr Infect, Hong Kong, Hong Kong, Peoples R China; [Yuen, Kwok-Yung] Zhejiang Univ, Collaborat Innovat Ctr Diag &amp; Treatment Infect Di, Hangzhou 310003, Zhejiang, Peoples R China</t>
  </si>
  <si>
    <t xml:space="preserve">University of Hong Kong; University of Hong Kong; University of Hong Kong; Collaborative Innovation Center for Diagnosis &amp; Treatment of Infectious Diseases; Zhejiang University</t>
  </si>
  <si>
    <t xml:space="preserve">Yuen, KY (corresponding author), Queen Mary Hosp, Dept Microbiol, Hong Kong, Hong Kong, Peoples R China.;Yuen, KY (corresponding author), Univ Hong Kong, State Key Lab Emerging Infect Dis, Hong Kong, Hong Kong, Peoples R China.;Yuen, KY (corresponding author), Univ Hong Kong, Carol Yu Ctr Infect, Hong Kong, Hong Kong, Peoples R China.;Yuen, KY (corresponding author), Zhejiang Univ, Collaborat Innovat Ctr Diag &amp; Treatment Infect Di, Hangzhou 310003, Zhejiang, Peoples R China.</t>
  </si>
  <si>
    <t xml:space="preserve">kyyuen@hku.hk</t>
  </si>
  <si>
    <t xml:space="preserve">Ma, Shiu Kwan Edmond/AAZ-7637-2021; Yuen, Kwok/C-4465-2009; Yip, Chik/B-7078-2013; Chan, Jasper Fuk-Woo/D-8007-2013</t>
  </si>
  <si>
    <t xml:space="preserve">Chen, Jonathan Hon Kwan/0000-0002-7510-1696; Ma, Edmond/0000-0002-1259-2205; CHENG, Vincent Chi-Chung/0000-0003-1765-7706; Yuen, Kwok-yung/0000-0002-2083-1552; Chan, Jasper Fuk-Woo/0000-0001-6336-6657</t>
  </si>
  <si>
    <t xml:space="preserve">10.1128/JCM.00517-16</t>
  </si>
  <si>
    <t xml:space="preserve">DP6WZ</t>
  </si>
  <si>
    <t xml:space="preserve">WOS:000378641600024</t>
  </si>
  <si>
    <t xml:space="preserve">Kuypers, J; Wright, N; Ferrenberg, J; Huang, ML; Cent, A; Corey, L; Morrow, R</t>
  </si>
  <si>
    <t xml:space="preserve">Kuypers, Jane; Wright, Nancy; Ferrenberg, James; Huang, Meei-Li; Cent, Anne; Corey, Lawrence; Morrow, Rhoda</t>
  </si>
  <si>
    <t xml:space="preserve">Comparison of real-time PCR assays with fluorescent-antibody assays for diagnosis of respiratory virus infections in children</t>
  </si>
  <si>
    <t xml:space="preserve">Virology; Virus; Biology; Human metapneumovirus; Respiratory system</t>
  </si>
  <si>
    <t xml:space="preserve">REVERSE TRANSCRIPTION-PCR; POLYMERASE-CHAIN-REACTION; TRACT INFECTIONS; SYNCYTIAL-VIRUS; RAPID IDENTIFICATION; INFLUENZA-B; MULTIPLEX; QUANTIFICATION; SPECIMENS; CULTURE</t>
  </si>
  <si>
    <t xml:space="preserve">Conventional fluorescent-antibody (FA) methods were compared to real-time PCR assays for detection of respiratory syncytial virus (RSV), influenza virus type A (FluA), parainfluenza virus types 1, 2, and 3 (PIV1, PIV2, and PIV3), human metapneumovirus (MPV), and adenovirus (AdV) in 1,138 specimens from children with respiratory illnesses collected over a 1-year period. At least one virus was detected in 436 (38.3%) specimens by FA and in 608 (53.4%) specimens by PCR (P &lt; 0.001). Specimen quality was inadequate for FA in 52 (4.6%) specimens; 13 of these (25%) were positive by PCR. In contrast, 18 (1.6%) specimens could not be analyzed by PCR; 1 of these was positive by FA. The number of specimens positive only by PCR among specimens positive by PCR and/or FA was 18 (7.0%) of 257 for RSV, 18 (13.4%) of 134 for FluA, 25 (64.1%) of 39 for PIV1, 8 (88.9%) of 9 for PIV2, 17 (30.1%) of 55 for PIV3, and 101 (76.5%) of 132 for AdV. MPV was detected in 6.6% of all specimens and in 9.5% of the 702 specimens negative by FA. The mean number of virus copies per milliliter in specimens positive by both PCR and FA was significantly higher, at 6.7 x 10(7), than that in specimens positive only by PCR, at 4.1 X 10(4) (p &lt; 0.001). The PCR assays were significantly more sensitive than FA assays for detecting respiratory viruses, especially parainfluenza virus and adenovirus. Use of real-time PCR to identify viral respiratory pathogens in children will lead to improved diagnosis of respiratory illness.</t>
  </si>
  <si>
    <t xml:space="preserve">Univ Washington, Dept Lab Med, Seattle, WA 98195 USA</t>
  </si>
  <si>
    <t xml:space="preserve">Kuypers, J (corresponding author), 4800 Sand Point Way NE,Room W8814, Seattle, WA 98105 USA.</t>
  </si>
  <si>
    <t xml:space="preserve">NCI NIH HHS [P01 CA018029, 5 P01 CA018029-30] Funding Source: Medline</t>
  </si>
  <si>
    <t xml:space="preserve">10.1128/JCM.00216-06</t>
  </si>
  <si>
    <t xml:space="preserve">065JY</t>
  </si>
  <si>
    <t xml:space="preserve">WOS:000239157400011</t>
  </si>
  <si>
    <t xml:space="preserve">Calvo, C; García-García, ML; Pozo, F; Paula, G; Molinero, M; Calderón, A; González-Esguevillas, M; Casas, I</t>
  </si>
  <si>
    <t xml:space="preserve">Calvo, Cristina; Luz Garcia-Garcia, Maria; Pozo, Francisco; Paula, Gallardo; Molinero, Mar; Calderon, Ana; Gonzalez-Esguevillas, Monica; Casas, Inmaculada</t>
  </si>
  <si>
    <t xml:space="preserve">Respiratory Syncytial Virus Coinfections With Rhinovirus and Human Bocavirus in Hospitalized Children</t>
  </si>
  <si>
    <t xml:space="preserve">Rhinovirus; Human bocavirus; Medicine; Coinfection; Bronchiolitis; Virus; Virology</t>
  </si>
  <si>
    <t xml:space="preserve">HUMAN METAPNEUMOVIRUS; VIRAL-INFECTIONS; TRACT INFECTIONS; INFANTS; SEVERITY; DISEASE; SAMPLES</t>
  </si>
  <si>
    <t xml:space="preserve">It is not clearly established if coinfections are more severe than single viral respiratory infections. The aim of the study was to study and to compare simple infections and viral coinfections of respiratory syncytial virus (RSV) in hospitalized children. From September 2005 to August 2013, a prospective study was conducted on children younger than 14 years of age, admitted with respiratory infection to the Pediatric Department of the Severo Ochoa Hospital, in Spain. Specimens of nasopharyngeal aspirate were taken for virological study by using polymerase chain reaction, and clinical data were recorded. Simple RSV infections were selected and compared with double infections of RSV with rhinovirus (RV) or with human bocavirus (HBoV). In this study, 2993 episodes corresponding to 2525 children were analyzed. At least 1 virus was detected in 77% (2312) of the episodes. Single infections (599 RSV, 513 RV, and 81 HBoV) were compared with 120 RSV-RV and 60 RSV-HBoV double infections. The RSV-RV coinfections had fever (63% vs 43%; P&lt;0.001) and hypoxia (70% vs 43%; P&lt;0.001) more often than RV infections. Hypoxia was similar between single or dual infections (71%). Bronchiolitis was more frequent in the RSV simple group (P&lt;0.001). Pediatric intensive care unit admission was more common in RSV simple or RSV-RV groups than in the RV monoinfection (P = 0.042). Hospitalization was longer for both RSV simple group and RSV-HBoV coinfection, lasting about 1 day (4.7 vs 3.8 days; P&lt;0.001) longer than in simple HBoV infections. There were no differences in PICU admission. RSV single group was of a younger age than the other groups. Coinfections between RSV-RV and RSV-HBoV are frequent. Overall viral coinfections do not present greater severity, but have mixed clinical features.</t>
  </si>
  <si>
    <t xml:space="preserve">[Calvo, Cristina; Luz Garcia-Garcia, Maria; Paula, Gallardo] Hosp Severo Ochoa, Dept Pediat, Leganes, Spain; [Pozo, Francisco; Molinero, Mar; Calderon, Ana; Gonzalez-Esguevillas, Monica; Casas, Inmaculada] Natl Microbiol Ctr ISCIII, Resp Virus &amp; Influenza Unit, Madrid, Spain</t>
  </si>
  <si>
    <t xml:space="preserve">Calvo, C (corresponding author), Hosp Severo Ochoa, Serv Pediat, Avda Orellana S-N, Madrid 28911, Spain.</t>
  </si>
  <si>
    <t xml:space="preserve">Casas, Inmaculada/0000-0003-1840-1198; Pozo, Francisco/0000-0003-1828-733X; GARCIA-GARCIA, MARIA LUZ/0000-0003-4906-4227; Calvo, Cristina/0000-0002-6503-3423</t>
  </si>
  <si>
    <t xml:space="preserve">FIS (Fondo de Investigaciones Sanitarias - Spanish Health Research Fund) [PI06/0532, PI09/00246, PI12/01291]</t>
  </si>
  <si>
    <t xml:space="preserve">This study has been partially supported by FIS (Fondo de Investigaciones Sanitarias - Spanish Health Research Fund) Grants No.: PI06/0532, PI09/00246, and PI12/01291.</t>
  </si>
  <si>
    <t xml:space="preserve">e1788</t>
  </si>
  <si>
    <t xml:space="preserve">10.1097/MD.0000000000001788</t>
  </si>
  <si>
    <t xml:space="preserve">DD0WL</t>
  </si>
  <si>
    <t xml:space="preserve">WOS:000369641600059</t>
  </si>
  <si>
    <t xml:space="preserve">Liu, J; Ai, HW; Xiong, Y; Li, F; Wen, Z; Liu, WY; Li, TY; Qin, K; Wu, JG; Liu, YL</t>
  </si>
  <si>
    <t xml:space="preserve">Liu, Jia; Ai, Hongwu; Xiong, Ying; Li, Fu; Wen, Zhou; Liu, Weiyong; Li, Tongya; Qin, Kai; Wu, Jianguo; Liu, Yingle</t>
  </si>
  <si>
    <t xml:space="preserve">Prevalence and Correlation of Infectious Agents in Hospitalized Children with Acute Respiratory Tract Infections in Central China</t>
  </si>
  <si>
    <t xml:space="preserve">Mycoplasma pneumoniae; Medicine; Sore throat; Pathogen; Pneumonia</t>
  </si>
  <si>
    <t xml:space="preserve">VIRAL-INFECTIONS; HUMAN METAPNEUMOVIRUS; SYNCYTIAL VIRUS; PATHOGENS; INFANTS; PNEUMONIA; SURVEILLANCE; ASSAYS</t>
  </si>
  <si>
    <t xml:space="preserve">Acute respiratory tract infections (ARTIs) are associated with significant morbidity and mortality worldwide, especially in children under the age of 5 years. Almost 2 million children die from ARTIs each year, and most of them are from developing countries. The prevalence and correlation of pathogens in ARTIs are poorly understood, but are critical for improving case prevention, treatment, and management. In this study, we investigated the prevalence and correlation of infectious agents in children with ARTIs. A total of 39,756 children with one or more symptoms, including fever, cough, sore throat, tonsillitis, pharyngitis, herpangina, pneumonia, and bronchiolitis, were enrolled in the study. All patients were hospitalized in Wuhan Children's Hospital between October 1, 2010 and September 30, 2012, and were evaluated for infectious agents. Pathogens, including Mycoplasma pneumoniae, influenza A virus, influenza B virus, adenoviruses, respiratory syncytial virus, parainfluenza virus, Legionella pneumophila, Chlamydophila pneumoniae, and Coxiella burnetii, were screened simultaneously in patient blood samples using anti-pathogen IgM tests. Regression analysis was used to reveal correlations among the pathogens. Our results showed that one or more pathogens were identified in 10,206 patients, and that Mycoplasma pneumoniae, adenoviruses, and influenza B virus were the leading infectious agents. Mixed-infections of pathogens were detected in 2,391 cases, with Mycoplasma pneumoniae as the most frequent pathogen. The most common agents in the co-infections were Mycoplasma pneumoniae and influenza B virus. Regression analysis revealed a linear correlation between the proportion of mixed infections and the incidence of multi-pathogen infections. The prevalence of infectious agents in children with ARTIs was determined. Equations were established to estimate multiple infections by single-pathogen detection. This revealed a linear correlation for pathogens in children with ARTIs. This study provides useful information for improving case prevention and management.</t>
  </si>
  <si>
    <t xml:space="preserve">[Liu, Jia; Xiong, Ying; Li, Fu; Wen, Zhou; Liu, Weiyong; Li, Tongya; Qin, Kai; Wu, Jianguo; Liu, Yingle] Wuhan Univ, State Key Lab Virol, Wuhan 430072, Peoples R China; [Liu, Jia; Xiong, Ying; Li, Fu; Wen, Zhou; Liu, Weiyong; Li, Tongya; Qin, Kai; Wu, Jianguo; Liu, Yingle] Wuhan Univ, Coll Life Sci, Wuhan 430072, Peoples R China; [Ai, Hongwu] Wuhan Childrens Hosp, Dept Clin Lab, Wuhan, Peoples R China</t>
  </si>
  <si>
    <t xml:space="preserve">Wuhan University; Wuhan University</t>
  </si>
  <si>
    <t xml:space="preserve">Wu, JG (corresponding author), Wuhan Univ, State Key Lab Virol, Wuhan 430072, Peoples R China.</t>
  </si>
  <si>
    <t xml:space="preserve">jwu@whu.edu.cn; mvlwu@whu.edu.cn</t>
  </si>
  <si>
    <t xml:space="preserve">Wu, Jianzhong/I-5164-2013; Liu, Yaqiong/AAH-2338-2019; Liu, Yong/R-4019-2017</t>
  </si>
  <si>
    <t xml:space="preserve">Liu, Yingle/0000-0002-9928-8512; Wu, Jianguo/0000-0002-8326-2895</t>
  </si>
  <si>
    <t xml:space="preserve">Major State Basic Research Development Program (973 Program) [2012CB518900]; National Natural Science Foundation of China [31230005, 81171525]; National Mega Project on Major Infectious Disease Prevention [2012ZX10002006-003, 2012ZX10004-207]</t>
  </si>
  <si>
    <t xml:space="preserve">Major State Basic Research Development Program (973 Program)(National Basic Research Program of China); National Natural Science Foundation of China(National Natural Science Foundation of China (NSFC)); National Mega Project on Major Infectious Disease Prevention</t>
  </si>
  <si>
    <t xml:space="preserve">This work was supported by research grants from the Major State Basic Research Development Program (973 Program) (2012CB518900), the National Natural Science Foundation of China (31230005 and 81171525), the National Mega Project on Major Infectious Disease Prevention (2012ZX10002006-003 and 2012ZX10004-207). The funders had no role in study design, data collection and analysis, decision to publish, or preparation of the manuscript.</t>
  </si>
  <si>
    <t xml:space="preserve">MAR 9</t>
  </si>
  <si>
    <t xml:space="preserve">e0119170</t>
  </si>
  <si>
    <t xml:space="preserve">10.1371/journal.pone.0119170</t>
  </si>
  <si>
    <t xml:space="preserve">CC9LT</t>
  </si>
  <si>
    <t xml:space="preserve">WOS:000350692700017</t>
  </si>
  <si>
    <t xml:space="preserve">Khor, CS; Sam, IC; Hooi, PS; Quek, KF; Chan, YF</t>
  </si>
  <si>
    <t xml:space="preserve">Khor, Chee-Sieng; Sam, I-Ching; Hooi, Poh-Sim; Quek, Kia-Fatt; Chan, Yoke-Fun</t>
  </si>
  <si>
    <t xml:space="preserve">Epidemiology and seasonality of respiratory viral infections in hospitalized children in Kuala Lumpur, Malaysia: a retrospective study of 27 years</t>
  </si>
  <si>
    <t xml:space="preserve">Kuala lumpur; Medicine; Respiratory tract infections; Respiratory system</t>
  </si>
  <si>
    <t xml:space="preserve">SYNCYTIAL VIRUS-INFECTION; TRACT INFECTIONS; YOUNG-CHILDREN; HUMAN METAPNEUMOVIRUS; KOREAN CHILDREN; CHEST INFECTION; INFLUENZA; SURVEILLANCE; SINGAPORE; TROPICS</t>
  </si>
  <si>
    <t xml:space="preserve">Background: Viral respiratory tract infections (RTI) are relatively understudied in Southeast Asian tropical countries. In temperate countries, seasonal activity of respiratory viruses has been reported, particularly in association with temperature, while inconsistent correlation of respiratory viral activity with humidity and rain is found in tropical countries. A retrospective study was performed from 1982-2008 to investigate the viral etiology of children (&lt;= 5 years old) admitted with RTI in a tertiary hospital in Kuala Lumpur, Malaysia. Methods: A total of 10269 respiratory samples from all children &lt;= 5 years old received at the hospital's diagnostic virology laboratory between 1982-2008 were included in the study. Immunofluorescence staining (for respiratory syncytial virus (RSV), influenza A and B, parainfluenza types 1-3, and adenovirus) and virus isolation were performed. The yearly hospitalization rates and annual patterns of laboratory-confirmed viral RTIs were determined. Univariate ANOVA was used to analyse the demographic parameters of cases. Multiple regression and Spearman's rank correlation were used to analyse the correlation between RSV cases and meteorological parameters. Results: A total of 2708 cases were laboratory-confirmed using immunofluorescence assays and viral cultures, with the most commonly detected being RSV (1913, 70.6%), parainfluenza viruses (357, 13.2%), influenza viruses (297, 11.0%), and adenovirus (141, 5.2%). Children infected with RSV were significantly younger, and children infected with influenza viruses were significantly older. The four main viruses caused disease throughout the year, with a seasonal peak observed for RSV in September-December. Monthly RSV cases were directly correlated with rain days, and inversely correlated with relative humidity and temperature. Conclusion: Viral RTIs, particularly due to RSV, are commonly detected in respiratory samples from hospitalized children in Kuala Lumpur, Malaysia. As in temperate countries, RSV infection in tropical Malaysia also caused seasonal yearly epidemics, and this has implications for prophylaxis and vaccination programmes.</t>
  </si>
  <si>
    <t xml:space="preserve">[Khor, Chee-Sieng; Sam, I-Ching; Chan, Yoke-Fun] Univ Malaya, Fac Med, Dept Med Microbiol, Trop Infect Dis Res &amp; Educ Ctr, Kuala Lumpur, Malaysia; [Sam, I-Ching; Hooi, Poh-Sim] Univ Malaya, Med Ctr, Diagnost Virol Lab, Kuala Lumpur, Malaysia; [Quek, Kia-Fatt] Monash Univ Malaysia, Sch Med &amp; Hlth Sci, Petaling Jaya, Selangor Darul, Malaysia</t>
  </si>
  <si>
    <t xml:space="preserve">Universiti Malaya; Universiti Malaya; Monash University; Monash University Malaysia</t>
  </si>
  <si>
    <t xml:space="preserve">Chan, YF (corresponding author), Univ Malaya, Fac Med, Dept Med Microbiol, Trop Infect Dis Res &amp; Educ Ctr, Kuala Lumpur, Malaysia.</t>
  </si>
  <si>
    <t xml:space="preserve">Khor, Chee Sieng/HHR-8492-2022; Quek, Kia/E-8599-2010; Hooi, Poh/O-6275-2014; Sam, I-Ching/B-8688-2010; CHAN, YOKE FUN/B-5351-2010</t>
  </si>
  <si>
    <t xml:space="preserve">Quek, Kia Fatt/0000-0001-5415-2163; Sam, I-Ching/0000-0002-1296-7898; CHAN, YOKE FUN/0000-0001-7089-0510</t>
  </si>
  <si>
    <t xml:space="preserve">Ministry of Science, Technology and Innovation, Malaysia [09-05-IFN-MEB-005]; Ministry of Higher Education, Malaysia [FP038-2010A]; University Malaya [E000013-20001, PS217-2010B]</t>
  </si>
  <si>
    <t xml:space="preserve">Ministry of Science, Technology and Innovation, Malaysia(Ministry of Energy, Science, Technology, Environment and Climate Change (MESTECC), Malaysia); Ministry of Higher Education, Malaysia(Ministry of Education, Malaysia); University Malaya(Universiti Malaya)</t>
  </si>
  <si>
    <t xml:space="preserve">The authors would like to thank the diagnostic virology laboratory of University Malaya Medical Centre for providing laboratory records; and the Malaysian Meteorological Department for providing the meteorological data. This study is partly funded by the Ministry of Science, Technology and Innovation, Malaysia (grant 09-05-IFN-MEB-005), the Ministry of Higher Education, Malaysia (Fundamental Research Grant Scheme FP038-2010A), and University Malaya (High Impact Research Grant E000013-20001 and Postgraduate Research Grant PS217-2010B).</t>
  </si>
  <si>
    <t xml:space="preserve">10.1186/1471-2431-12-32</t>
  </si>
  <si>
    <t xml:space="preserve">933AL</t>
  </si>
  <si>
    <t xml:space="preserve">WOS:000303331500001</t>
  </si>
  <si>
    <t xml:space="preserve">Hernes, SS; Hagen, E; Quarsten, H; Bjorvatn, B; Bakke, PS</t>
  </si>
  <si>
    <t xml:space="preserve">Hernes, S. S.; Hagen, E.; Quarsten, H.; Bjorvatn, B.; Bakke, P. S.</t>
  </si>
  <si>
    <t xml:space="preserve">No impact of early real-time PCR screening for respiratory viruses on length of stay and use of antibiotics in elderly patients hospitalized with symptoms of a respiratory tract infection in a single center in Norway</t>
  </si>
  <si>
    <t xml:space="preserve">Medicine; Medical microbiology; Internal medicine; Antibiotics; Cohort; Respiratory system; Respiratory tract infections</t>
  </si>
  <si>
    <t xml:space="preserve">ILLNESS RATING-SCALE; LONG-TERM-CARE; SYNCYTIAL VIRUS; HUMAN METAPNEUMOVIRUS; CONTROLLED-TRIAL; RAPID DIAGNOSIS; INFLUENZA; ADULTS; MANAGEMENT; MORTALITY</t>
  </si>
  <si>
    <t xml:space="preserve">We tested the hypothesis that the results of real-time polymerase chain reaction (PCR) analyses for respiratory viruses would reduce antibiotic treatment and length of stay in elderly patients hospitalized with respiratory infections. Within 24 h of hospital admission, a total of 922 patients aged a parts per thousand yen60 years were interviewed for symptoms of ongoing respiratory tract infection. Symptomatic patients were swabbed for oropharyngeal/nasopharyngeal presence of viral pathogens immediately by members of the study group. During a 2-month period, non-symptomatic volunteers among interviewed patients were swabbed as well (controls). Oropharyngeal/nasopharyngeal swabs were analyzed with real-time PCR for nine common respiratory viruses. A total of 147 out of 173 symptomatic patients and 56 non-symptomatic patients (controls) agreed to participate in the study. The patients were allocated to three cohorts: (1) symptomatic and PCR-positive (S/PCR+), (2) symptomatic and PCR-negative (S/PCR-), or (3) non-symptomatic and PCR-negative (control). There were no non-symptomatic patients with a positive PCR result. A non-significant difference in the frequency of empiric antibiotic administration was found when comparing the S/PCR+ to the S/PCR- cohort; 16/19 (84 %) vs. 99/128 (77 %) (chi(2) = 0.49). Antibiotic treatment was withdrawn in only two patients in the S/PCR+ cohort after receiving a positive viral diagnosis. The length of stay did not significantly differ between the S/PCR+ and the S/PCR- groups. We conclude that, at least in our general hospital setting, access to early viral diagnosis by real-time PCR had little impact on the antimicrobial treatment or length of hospitalization of elderly patients.</t>
  </si>
  <si>
    <t xml:space="preserve">[Hernes, S. S.; Hagen, E.] Sorlandet Hosp Arendal, Dept Geriatr &amp; Internal Med, N-4809 Stoa, Arendal, Norway; [Quarsten, H.] Sorlandet Hosp Kristiansand, Dept Med Microbiol, N-4604 Kristiansand, Norway; [Bjorvatn, B.] Univ Bergen, Ctr Int Hlth, N-5020 Bergen, Norway; [Bakke, P. S.] Univ Bergen, Dept Clin Sci, N-5020 Bergen, Norway; [Bakke, P. S.] Haukeland Hosp, Dept Thorac Med, N-5021 Bergen, Norway</t>
  </si>
  <si>
    <t xml:space="preserve">University of Bergen; University of Bergen; University of Bergen; Haukeland University Hospital</t>
  </si>
  <si>
    <t xml:space="preserve">Hernes, SS (corresponding author), Sorlandet Hosp Arendal, Dept Geriatr &amp; Internal Med, Postbox 783, N-4809 Stoa, Arendal, Norway.</t>
  </si>
  <si>
    <t xml:space="preserve">Norwegian Foundation for Health and Rehabilitation; Norwegian Heart and Lung Patient Organization; South-Eastern Norway Regional Health Authority; Sorlandet Hospital HF</t>
  </si>
  <si>
    <t xml:space="preserve">This project was financed with the aid of EXTRA funds from the Norwegian Foundation for Health and Rehabilitation in association with the Norwegian Heart and Lung Patient Organization, from the South-Eastern Norway Regional Health Authority, and from Sorlandet Hospital HF.</t>
  </si>
  <si>
    <t xml:space="preserve">10.1007/s10096-013-1963-0</t>
  </si>
  <si>
    <t xml:space="preserve">AB3SE</t>
  </si>
  <si>
    <t xml:space="preserve">WOS:000331709700009</t>
  </si>
  <si>
    <t xml:space="preserve">Mahony, J; Chong, S; Merante, F; Yaghoubian, S; Sinha, T; Lisle, C; Janeczko, R</t>
  </si>
  <si>
    <t xml:space="preserve">Mahony, J.; Chong, S.; Merante, F.; Yaghoubian, S.; Sinha, T.; Lisle, C.; Janeczko, R.</t>
  </si>
  <si>
    <t xml:space="preserve">Development of a respiratory virus panel test for detection of twenty human respiratory viruses by use of multiplex PCR and a fluid microbead-based assay</t>
  </si>
  <si>
    <t xml:space="preserve">Virology; Multiplex; Rhinovirus; Human metapneumovirus; Virus; Biology; Human bocavirus; Multiplex polymerase chain reaction; Coronavirus</t>
  </si>
  <si>
    <t xml:space="preserve">POLYMERASE CHAIN-REACTION; SYNCYTIAL-VIRUS; HUMAN METAPNEUMOVIRUS; PARAINFLUENZA VIRUS; INFECTIONS; DIAGNOSIS; SPECIMENS</t>
  </si>
  <si>
    <t xml:space="preserve">Virology laboratories historically have used direct fluorescent-antibody assay (DFA) and culture to detect six or seven respiratory viruses. Following the discovery of five new human respiratory viruses since 2000, there is an increasing need for diagnostic tests to detect these emerging viruses. We have developed a new test that can detect 20 different respiratory virus types/subtypes in a single 5-h test. The assay employs multiplex PCR using 14 virus-specific primer pairs, followed by a multiplexed target-specific primer extension (TSPE) reaction using 21 primers for specific respiratory virus types and subtypes. TSPE products were sorted and identified by using a fluid microsphere-based array (Universal Array; TmBioscience Corporation, Toronto, Canada) and the Luminex x-MAIP system. The assay detected influenza A and B viruses; influenza A virus subtypes 111, 113, and H5 (including subtype 115N1 of the Asian lineage); parainfluenza virus types 1, 2, 3, and 4; respiratory syncytial virus types A and 13; adenovirus; metapneumovirus; rhinovirus; enterovirus; and coronaviruses OC43, 229E, severe acute respiratory syndrome coronavirus, NL63, and HKUL In a prospective evaluation using 294 nasopharyngeal swab specimens, DFA/culture detected 119 positives and the respiratory virus panel (RVP) test detected 1112 positives, for a sensitivity of 97%. The RVP test detected an additional 61 positive specimens that either were not detected by DFA/culture or were positive for viruses not tested for by DFA/culture. After resolution of discordant results by using a second unique PCR assay and by using a combined reference standard of positivity, the RVP test detected 180 of 183 true positives, for a sensitivity of 98.5%, whereas DFA and culture detected only 126 of 183 true positives, for a sensitivity of 68.8%. The RVP test should improve the capabilities of hospital and public health laboratories for diagnosing viral respiratory tract infections and should assist public health agencies in identifying etiologic agents in respiratory tract infection outbreaks.</t>
  </si>
  <si>
    <t xml:space="preserve">St Josephs Healthcare, Reg Virol Lab, Hamilton, ON L8N 4A6, Canada; McMaster Univ, Dept Pathol &amp; Mol Med, Hamilton, ON, Canada; TmBiosci Corp, Toronto, ON, Canada</t>
  </si>
  <si>
    <t xml:space="preserve">McMaster University</t>
  </si>
  <si>
    <t xml:space="preserve">Mahony, J (corresponding author), St Josephs Healthcare, Reg Virol Lab, 50 Charlton Ave E, Hamilton, ON L8N 4A6, Canada.</t>
  </si>
  <si>
    <t xml:space="preserve">mahonyj@mcmaster.ca</t>
  </si>
  <si>
    <t xml:space="preserve">10.1128/JCM.02436-06</t>
  </si>
  <si>
    <t xml:space="preserve">WOS:000249506900032</t>
  </si>
  <si>
    <t xml:space="preserve">Herring, WL; Zhang, YH; Shinde, V; Stoddard, J; Talbird, SE; Rosen, B</t>
  </si>
  <si>
    <t xml:space="preserve">Herring, William L.; Zhang, Yuanhui; Shinde, Vivek; Stoddard, Jeffrey; Talbird, Sandra E.; Rosen, Brian</t>
  </si>
  <si>
    <t xml:space="preserve">Clinical and economic outcomes associated with respiratory syncytial virus vaccination in older adults in the United States</t>
  </si>
  <si>
    <t xml:space="preserve">Medicine; Vaccination; Disease burden; Population</t>
  </si>
  <si>
    <t xml:space="preserve">HUMAN METAPNEUMOVIRUS; COST-EFFECTIVENESS; INFECTION; INFLUENZA; MORTALITY; PNEUMONIA; MORBIDITY; OUTBREAK; BURDEN; RSV</t>
  </si>
  <si>
    <t xml:space="preserve">Background: Respiratory syncytial virus (RSV) is an important cause of lower respiratory infections and hospitalizations among older adults. We aimed to estimate the potential clinical benefits and economic value of RSV vaccination of older adults in the United States (US). Methods: We developed an economic model using a decision-tree framework to capture outcomes associated with RSV infections in US adults aged &gt;= 60 years occurring during one RSV season for a hypothetical vaccine versus no vaccine. Two co-base-case epidemiology sources were selected from a targeted review of the US literature: a landmark study capturing all RSV infections and a contemporary study reporting medically attended RSV that also distinguishes mild from moderate-to-severe disease. Both base-case analyses used recent data on mortality risk in the year after RSV hospitalizations. Direct medical costs and quality-adjusted life-years (QALYs) lost per case were obtained from the literature and publicly available sources. Model outcomes included the population-level clinical and economic RSV disease burden among older adults, potential vaccine-avoidable disease burden, and the potential value-based price of a vaccine from a third-party payer perspective. Results: Our two base-case analyses estimated that a vaccine with 50% efficacy and coverage matching that of influenza vaccination would prevent 43,700-81,500 RSV hospitalizations and 8,000-14,900 RSV-attributable deaths per RSV season, resulting in 1,800-3,900 fewer QALYs lost and avoiding $557-$1,024 million. Value-based prices for the co-base-case analyses were $152-$299 per vaccination at a willingness to pay of $100,000/QALY gained. Sensitivity analyses found that the economic value of vaccination was most sensitive to RSV incidence and increased posthospitalization mortality risks. Conclusions: Despite variability and gaps in the epidemiology literature, this study highlights the potential value of RSV vaccination for older adults in the US. Our analysis provides contemporary estimates of the population-level RSV disease burden and insights into the economic value drivers for RSV vaccination. (C) 2021 The Authors. Published by Elsevier Ltd.</t>
  </si>
  <si>
    <t xml:space="preserve">[Herring, William L.; Zhang, Yuanhui; Talbird, Sandra E.] RTI Hlth Solut, 3040 East Cornwallis Rd,POB 12194, Res Triangle Pk, NC 27709 USA; [Shinde, Vivek; Stoddard, Jeffrey; Rosen, Brian] Novavax Inc, 21 Firstfield Rd, Gaithersburg, MD USA</t>
  </si>
  <si>
    <t xml:space="preserve">Research Triangle Institute</t>
  </si>
  <si>
    <t xml:space="preserve">Herring, WL (corresponding author), RTI Hlth Solut, 3040 East Cornwallis Rd,POB 12194, Res Triangle Pk, NC 27709 USA.</t>
  </si>
  <si>
    <t xml:space="preserve">wherring@rti.org</t>
  </si>
  <si>
    <t xml:space="preserve">Talbird, Sandra/0000-0003-4719-3703; Herring, William L/0000-0001-8222-9914</t>
  </si>
  <si>
    <t xml:space="preserve">Novavax, Inc.; RTI Health Solutions</t>
  </si>
  <si>
    <t xml:space="preserve">The financial support for this study was provided by Novavax, Inc. RTI Health Solutions received funding under a research contract with Novavax, Inc. to conduct this study and to provide editorial support in the form of manuscript writing, styling, and submission.</t>
  </si>
  <si>
    <t xml:space="preserve">10.1016/j.vaccine.2021.12.002</t>
  </si>
  <si>
    <t xml:space="preserve">1M7EM</t>
  </si>
  <si>
    <t xml:space="preserve">WOS:000800130900016</t>
  </si>
  <si>
    <t xml:space="preserve">Liao, XH; Hu, ZB; Liu, WK; Lu, Y; Chen, DH; Chen, MX; Qiu, SY; Zeng, ZQ; Tian, XG; Cui, H; Zhou, R</t>
  </si>
  <si>
    <t xml:space="preserve">Liao, Xiaohong; Hu, Zhengbo; Liu, Wenkuan; Lu, Yan; Chen, Dehui; Chen, Meixin; Qiu, Shuyan; Zeng, Zhiqi; Tian, Xingui; Cui, Hong; Zhou, Rong</t>
  </si>
  <si>
    <t xml:space="preserve">New Epidemiological and Clinical Signatures of 18 Pathogens from Respiratory Tract Infections Based on a 5-Year Study</t>
  </si>
  <si>
    <t xml:space="preserve">Human bocavirus; Mycoplasma pneumoniae; Pathogen; Respiratory tract infections; Epidemiology; Rhinovirus; Human metapneumovirus</t>
  </si>
  <si>
    <t xml:space="preserve">HUMAN METAPNEUMOVIRUS INFECTION; HUMAN BOCAVIRUS; STEM-CELL; TRANSPLANT RECIPIENTS; VIRUS-INFECTIONS; CHILDREN; POPULATION; GUANGZHOU; ETIOLOGY; ANTIBODY</t>
  </si>
  <si>
    <t xml:space="preserve">Background Respiratory tract infections (RTIs) are a heavy burden on society. However, due to the complex etiology of RTIs, the clinical diagnosis, treatment, and prevention of these infections remain challenging, especially in developing countries. Methods To determine the epidemiological and clinical characteristics of 18 respiratory pathogens, we analyzed 12,502 patients with acute respiratory infections (ARIs) by performing polymerase chain reaction (PCR) on patient pharyngeal swabs. Results Samples positive for at least 1 pathogen were obtained from 48.42% of the total patients. Of these pathogen-positive patients, 17.99% were infected with more than 1 pathogen. Of the 18 pathogens analyzed, four were detected with a positive detection rate (PDR) &gt; 5%: influenza A virus (IAV) &gt; respiratory syncytial virus (RSV) &gt; Mycoplasma pneumoniae (MP) &gt; human coronavirus (HCoV). The pathogens with the 4 highest co-infection rates (CIRs) were as follows: HCoV &gt; human bocavirus (HBoV) &gt; enterovirus (EV) &gt; parainfluenza virus (PIV). The overall positive detection rate (PDR) varied significantly according to patient age, the season and year of detection, and the disease subgroup, but not according to patient sex. The individual PDRs of the pathogens followed 3 types of distributions for patient sex, 4 types of distributions for patient age, 4 types of seasonal distributions, 2 types of seasonal epidemic trends, 4 types of yearly epidemic trends, and different susceptibility distributions in the disease subgroups. Additionally, the overall CIR showed significantly different distributions according to patient sex, patient age, and the disease subgroup, whereas the CIRs of individual pathogens suggested significant preference characteristics. Conclusion IAV remains the most common pathogen among the pathogens analyzed. More effort should be directed toward the prevention and control of pathogens that show a trend of increasing incidence such as HCoV, human adenovirus (ADV), and RSV. Although clinically distinguishing specific pathogens responsible for RTIs is difficult, the epidemiological and clinical characteristics of the various RTI-causing agents could provide clues for clinicians, thereby informing decisions regarding prevention and medication and guiding appropriate public health strategies.</t>
  </si>
  <si>
    <t xml:space="preserve">[Liao, Xiaohong; Liu, Wenkuan; Lu, Yan; Chen, Meixin; Qiu, Shuyan; Zeng, Zhiqi; Tian, Xingui; Cui, Hong; Zhou, Rong] Guangzhou Med Univ, State Key Lab Resp Dis, Guangzhou, Guangdong, Peoples R China; [Liao, Xiaohong; Liu, Wenkuan; Lu, Yan; Chen, Dehui; Chen, Meixin; Qiu, Shuyan; Zeng, Zhiqi; Tian, Xingui; Cui, Hong; Zhou, Rong] Guangzhou Med Univ, Affiliated Hosp 1, Guangzhou, Guangdong, Peoples R China; [Hu, Zhengbo] Southern Med Univ, Zhujiang Hosp, Dept Orthoped, Guangzhou, Guangdong, Peoples R China</t>
  </si>
  <si>
    <t xml:space="preserve">Guangzhou Medical University; State Key Laboratory of Respiratory Disease; Guangzhou Medical University; Southern Medical University - China</t>
  </si>
  <si>
    <t xml:space="preserve">Zhou, R (corresponding author), Guangzhou Med Univ, State Key Lab Resp Dis, Guangzhou, Guangdong, Peoples R China.</t>
  </si>
  <si>
    <t xml:space="preserve">zhourong_gird@163.com</t>
  </si>
  <si>
    <t xml:space="preserve">Chen, MeiX/GWZ-3068-2022; Tian, Xingui/AAF-5709-2020</t>
  </si>
  <si>
    <t xml:space="preserve">Liu, Wen-Kuan/0000-0003-3020-9158; Tian, Xingui/0000-0001-9761-6677</t>
  </si>
  <si>
    <t xml:space="preserve">China Central Government [2012ZX10004-213]; National Science and Technology Support Program [2012BAI05B01]</t>
  </si>
  <si>
    <t xml:space="preserve">China Central Government; National Science and Technology Support Program</t>
  </si>
  <si>
    <t xml:space="preserve">This study was supported by The State Major Infectious Disease Research Program (China Central Government, 2012ZX10004-213), National Science and Technology Support Program (2012BAI05B01). The funders had no role in study design, data collection and analysis, decision to publish, or preparation of the manuscript.</t>
  </si>
  <si>
    <t xml:space="preserve">e0138684</t>
  </si>
  <si>
    <t xml:space="preserve">10.1371/journal.pone.0138684</t>
  </si>
  <si>
    <t xml:space="preserve">CS1CR</t>
  </si>
  <si>
    <t xml:space="preserve">WOS:000361800700069</t>
  </si>
  <si>
    <t xml:space="preserve">Nunes, MC; Kuschner, Z; Rabede, Z; Madimabe, R; Van Niekerk, N; Moloi, J; Kuwanda, L; Rossen, JW; Klugman, KP; Adrian, PV; Madhi, SA</t>
  </si>
  <si>
    <t xml:space="preserve">Nunes, Marta C.; Kuschner, Zachary; Rabede, Zelda; Madimabe, Richard; Van Niekerk, Nadia; Moloi, Jackie; Kuwanda, Locadiah; Rossen, John W.; Klugman, Keith P.; Adrian, Peter V.; Madhi, Shabir A.</t>
  </si>
  <si>
    <t xml:space="preserve">Clinical Epidemiology of Bocavirus, Rhinovirus, Two Polyomaviruses and Four Coronaviruses in HIV-Infected and HIV-Uninfected South African Children</t>
  </si>
  <si>
    <t xml:space="preserve">Human bocavirus; Rhinovirus; Human metapneumovirus; Virology; Respiratory tract infections</t>
  </si>
  <si>
    <t xml:space="preserve">RESPIRATORY-TRACT INFECTIONS; PNEUMOCOCCAL CONJUGATE VACCINE; HOSPITALIZED CHILDREN; PNEUMONIA ETIOLOGY; WU POLYOMAVIRUS; YOUNG-CHILDREN; VIRUS; DISEASE; MULTIPLE; CARE</t>
  </si>
  <si>
    <t xml:space="preserve">Background: Advances in molecular diagnostics have implicated newly-discovered respiratory viruses in the pathogenesis of pneumonia. We aimed to determine the prevalence and clinical characteristics of human bocavirus (hBoV), human rhinovirus (hRV), polyomavirus-WU (WUPyV) and -KI (KIPyV) and human coronaviruses (CoV)-OC43, -NL63, -HKU1 and -229E among children hospitalized with lower respiratory tract infections (LRTI). Methods: Multiplex real-time reverse-transcriptase polymerase chain reaction was undertaken on archived nasopharyngeal aspirates from HIV-infected and -uninfected children (&lt;2 years age) hospitalized for LRTI, who had been previously investigated for respiratory syncytial virus, human metapneumovirus, parainfluenza I-III, adenovirus and influenza A/B. Results: At least one of these viruses were identified in 274 (53.0%) of 517 and in 509 (54.0%) of 943 LRTI-episodes in HIV-infected and -uninfected children, respectively. Human rhinovirus was the most prevalent in HIV-infected (31.7%) and uninfected children (32.0%), followed by CoV-OC43 (12.2%) and hBoV (9.5%) in HIV-infected; and by hBoV (13.3%) and WUPyV (11.9%) in HIV-uninfected children. Polyomavirus-KI (8.9% vs. 4.8%; p = 0.002) and CoV-OC43 (12.2% vs. 3.6%; p &lt; 0.001) were more prevalent in HIV-infected than -uninfected children. Combined with previously-tested viruses, respiratory viruses were identified in 60.9% of HIV-infected and 78.3% of HIV-uninfected children. The newly tested viruses were detected at high frequency in association with other respiratory viruses, including previously-investigated viruses (22.8% in HIV-infected and 28.5% in HIV-uninfected children). Conclusions: We established that combined with previously-investigated viruses, at least one respiratory virus was identified in the majority of HIV-infected and HIV-uninfected children hospitalized for LRTI. The high frequency of viral coinfections illustrates the complexities in attributing causality to specific viruses in the aetiology of LRTI and may indicate a synergetic role of viral co-infections in the pathogenesis of childhood LRTI.</t>
  </si>
  <si>
    <t xml:space="preserve">[Nunes, Marta C.; Madimabe, Richard; Van Niekerk, Nadia; Kuwanda, Locadiah; Adrian, Peter V.; Madhi, Shabir A.] Natl Res Fdn Vaccine Preventable Dis, Dept Sci &amp; Technol, Johannesburg, South Africa; [Nunes, Marta C.; Rabede, Zelda; Madimabe, Richard; Van Niekerk, Nadia; Kuwanda, Locadiah; Klugman, Keith P.; Adrian, Peter V.; Madhi, Shabir A.] Univ Witwatersrand, Fac Hlth Sci, Resp &amp; Meningeal Pathogens Res Unit, MRC, Johannesburg, South Africa; [Kuschner, Zachary] SUNY Stony Brook, Stony Brook Sch Med, Stony Brook, NY 11794 USA; [Moloi, Jackie] BioMerieux, Mol &amp; Immunol Div, Johannesburg, South Africa; [Rossen, John W.] Univ Groningen, Univ Med Ctr Groningen, Dept Med Microbiol, Groningen, Netherlands; [Klugman, Keith P.] Emory Univ, Sch Med, Rollins Sch Publ Hlth, Hubert Dept Global Hlth, Atlanta, GA USA; [Klugman, Keith P.] Emory Univ, Sch Med, Div Infect Dis, Atlanta, GA USA; [Madhi, Shabir A.] Natl Inst Communicable Dis, Johannesburg, South Africa</t>
  </si>
  <si>
    <t xml:space="preserve">National Research Foundation - South Africa; University of Witwatersrand; State University of New York (SUNY) System; Stony Brook University; University of Groningen; Emory University; Rollins School Public Health; Emory University; National Institute for Communicable Diseases (NICD)</t>
  </si>
  <si>
    <t xml:space="preserve">Madhi, SA (corresponding author), Natl Res Fdn Vaccine Preventable Dis, Dept Sci &amp; Technol, Johannesburg, South Africa.</t>
  </si>
  <si>
    <t xml:space="preserve">Rossen, John W. A./0000-0002-7167-8623; Madhi, Shabir/0000-0002-7629-0636; Nunes, Marta/0000-0003-3788-878X</t>
  </si>
  <si>
    <t xml:space="preserve">South African Research Chairs Initiative of the Department of Science and Technology (DST); National Research Foundation (NRF) in Vaccine Preventable Diseases; National Health Laboratory Service Research Fund; Medical Research Council (Respiratory and Meningeal Pathogens Research Unit); University of the Witwatersrand</t>
  </si>
  <si>
    <t xml:space="preserve">This work is based upon research supported in-part by the South African Research Chairs Initiative of the Department of Science and Technology (DST) and National Research Foundation (NRF) in Vaccine Preventable Diseases. Additional funding support was received from the National Health Laboratory Service Research Fund and Medical Research Council (Respiratory and Meningeal Pathogens Research Unit). Any opinion, findings and conclusions or recommendations expressed in this material are those of the author(s) and therefore the NRF and DST do not accept any liability with regard thereto. MCN had financial support from the University of the Witwatersrand. The funders had no role in study design, data collection and analysis, decision to publish, or preparation of the manuscript.</t>
  </si>
  <si>
    <t xml:space="preserve">e86448</t>
  </si>
  <si>
    <t xml:space="preserve">10.1371/journal.pone.0086448</t>
  </si>
  <si>
    <t xml:space="preserve">302TD</t>
  </si>
  <si>
    <t xml:space="preserve">WOS:000330626900020</t>
  </si>
  <si>
    <t xml:space="preserve">Llor, C; Moragas, A; Bayona, C; Morros, R; Pera, H; Plana-Ripoll, O; Cots, JM; Miravitlles, M</t>
  </si>
  <si>
    <t xml:space="preserve">Llor, Carl; Moragas, Ana; Bayona, Carolina; Morros, Rosa; Pera, Helena; Plana-Ripoll, Oleguer; Cots, Josep M.; Miravitlles, Marc</t>
  </si>
  <si>
    <t xml:space="preserve">Efficacy of anti-inflammatory or antibiotic treatment in patients with non-complicated acute bronchitis and discoloured sputum: randomised placebo controlled trial</t>
  </si>
  <si>
    <t xml:space="preserve">BMJ-BRITISH MEDICAL JOURNAL</t>
  </si>
  <si>
    <t xml:space="preserve">Medicine; Placebo; Sputum; Internal medicine; Bronchitis</t>
  </si>
  <si>
    <t xml:space="preserve">RESPIRATORY-TRACT INFECTIONS; PRIMARY-CARE; ACUTE COUGH; HUMAN METAPNEUMOVIRUS; AMBULATORY CARE; EXACERBATIONS; MANAGEMENT; THERAPY; MANIFESTATIONS; AMOXICILLIN</t>
  </si>
  <si>
    <t xml:space="preserve">Objective To evaluate the efficacy of oral anti-inflammatory or antibiotic treatment compared with placebo in the resolution of cough in patients with uncomplicated acute bronchitis and discoloured sputum. Design Multicentre, parallel, single blinded placebo controlled, randomised clinical trial. Setting Nine primary care centres in Spain. Participants Adults aged 18 to 70 presenting symptoms associated with respiratory tract infection of less than one week's duration, with cough as the predominant symptom, the presence of discoloured sputum, and at least one other symptom of lower respiratory tract infection (dyspnoea, wheezing, chest discomfort, or chest pain). Interventions Patients were randomised to receive either ibuprofen 600 mg three times daily, amoxicillin-clavulanic acid 500 mg/125 mg three times daily, or placebo three times daily for 10 days. The duration of symptoms was measured with a diary card. Main outcome measure Number of days with frequent cough after the randomisation visit. Results 416 participants were randomised (136 to ibuprofen, 137 to antibiotic, and 143 to placebo) and 390 returned their symptom diaries fully completed. The median number of days with frequent cough was slightly lower among patients assigned to ibuprofen (9 days, 95% confidence interval 8 to 10 days) compared with those receiving amoxicillin-clavulanic acid (11 days, 10 to 12 days) or placebo (11 days, 8 to 14 days), albeit without statistically significant differences. Neither amoxicillin-clavulanic acid nor ibuprofen increased the probability of cough resolution (hazard ratio 1.03, 95% confidence interval 0.78 to 1.35 and 1.23, 0.93 to 1.61, respectively) compared with placebo. Adverse events were observed in 27 patients, and were more common in the antibiotic arm (12%) than ibuprofen or placebo arms (5% and 3%, respectively; P&lt;0.01). Conclusion No significant differences were observed in the number of days with cough between patients with uncomplicated acute bronchitis and discoloured sputum treated with ibuprofen, amoxicillin-clavulanic acid, or placebo.</t>
  </si>
  <si>
    <t xml:space="preserve">[Llor, Carl; Moragas, Ana] Univ Rovira &amp; Virgili, Dept Gen Pathol, Primary Care Ctr Jaume 1, Tarragona 43005, Spain; [Morros, Rosa; Pera, Helena; Plana-Ripoll, Oleguer] Univ Inst Primary Care Res Jordi Gol, Barcelona, Spain; [Bayona, Carolina] Primary Care Ctr Valls Urba, Valls, Tarragona, Spain; [Morros, Rosa] Autonomous Univ Barcelona, Dept Pharmacol &amp; Therapeut, E-08193 Barcelona, Spain; [Plana-Ripoll, Oleguer] Aarhus Univ, Dept Publ Hlth, Sect Epidemiol, DK-8000 Aarhus C, Denmark; [Cots, Josep M.] Univ Barcelona, Primary Care Ctr La Marina, Barcelona, Spain; [Miravitlles, Marc] Hosp Univ Vall dHebron, Serv Pneumol, CIBER Enfermedades Resp, Barcelona, Spain</t>
  </si>
  <si>
    <t xml:space="preserve">Universitat Rovira i Virgili; Autonomous University of Barcelona; Aarhus University; University of Barcelona; Hospital Universitari Vall d'Hebron; CIBER - Centro de Investigacion Biomedica en Red; CIBERES</t>
  </si>
  <si>
    <t xml:space="preserve">Llor, C (corresponding author), Cardiff Univ, Sch Med, Inst Primary Care &amp; Publ Hlth, Cardiff CF10 3AX, S Glam, Wales.</t>
  </si>
  <si>
    <t xml:space="preserve">Cots, Josep/G-5677-2015; Llor, Carl/AFR-3639-2022; Miravitlles, Marc/AAH-5284-2019; Plana-Ripoll, Oleguer/E-1448-2015</t>
  </si>
  <si>
    <t xml:space="preserve">Llor, Carl/0000-0001-6644-717X; Plana-Ripoll, Oleguer/0000-0002-6470-7465; Miravitlles, Marc/0000-0002-9850-9520; Moragas Moreno, Ana/0000-0002-1307-0943; Morros, Rosa/0000-0001-6752-8748</t>
  </si>
  <si>
    <t xml:space="preserve">Instituto de Salud Carlos III (Spanish Ministry of Health) [EC07/90333]</t>
  </si>
  <si>
    <t xml:space="preserve">Instituto de Salud Carlos III (Spanish Ministry of Health)(Instituto de Salud Carlos IIISpanish Government)</t>
  </si>
  <si>
    <t xml:space="preserve">This clinical trial was supported by a grant from the Instituto de Salud Carlos III (Spanish Ministry of Health) (EC07/90333). The funder had no role in the design, conduct, or analysis of this study.</t>
  </si>
  <si>
    <t xml:space="preserve">1756-1833</t>
  </si>
  <si>
    <t xml:space="preserve">BMJ-BRIT MED J</t>
  </si>
  <si>
    <t xml:space="preserve">BMJ-British Medical Journal</t>
  </si>
  <si>
    <t xml:space="preserve">f5762</t>
  </si>
  <si>
    <t xml:space="preserve">10.1136/bmj.f5762</t>
  </si>
  <si>
    <t xml:space="preserve">231PN</t>
  </si>
  <si>
    <t xml:space="preserve">WOS:000325429300001</t>
  </si>
  <si>
    <t xml:space="preserve">Echenique, IA; Chan, PA; Chapin, KC; Andrea, SB; Fava, JL; Mermel, LA</t>
  </si>
  <si>
    <t xml:space="preserve">Echenique, Ignacio A.; Chan, Philip A.; Chapin, Kimberle C.; Andrea, Sarah B.; Fava, Joseph L.; Mermel, Leonard A.</t>
  </si>
  <si>
    <t xml:space="preserve">Clinical Characteristics and Outcomes in Hospitalized Patients with Respiratory Viral Co-Infection during the 2009 H1N1 Influenza Pandemic</t>
  </si>
  <si>
    <t xml:space="preserve">Chest radiograph; Medicine; Viral pneumonia; Pneumonia; Tachypnea; Influenza A virus; Respiratory system</t>
  </si>
  <si>
    <t xml:space="preserve">HUMAN METAPNEUMOVIRUS INFECTIONS; CRITICALLY-ILL PATIENTS; A H1N1; SYNCYTIAL VIRUS; UNITED-STATES; TRACT INFECTIONS; CHILDREN; INFANTS; SEVERITY; PNEUMONIA</t>
  </si>
  <si>
    <t xml:space="preserve">Background: The clinical consequences of co-infection with two or more respiratory viruses are poorly understood. We sought to determine if co-infection with pandemic 2009-2010 influenza A H1N1 (pH1N1) and another respiratory virus was associated with worse clinical outcomes. Methods: A retrospective cohort study was performed of all hospitalized patients with a positive respiratory viral panel (RVP) for two or more viruses within 72 hours of admission at our institution from October 2009 to December 2009. We compared patients infected with one respiratory virus to those with respiratory viral co-infection. Results: We identified 617 inpatients with a positive RVP sample with a single virus and 49 inpatients with a positive RVP sample for two viruses (i.e. co-infection). Co-infected patients were significantly younger, more often had fever/chills, tachypnea, and they more often demonstrated interstitial opacities suggestive of viral pneumonia on the presenting chest radiograph (OR 7.5, 95% CI 3.4-16.5). The likelihood of death, length of stay, and requirement for intensive care unit level of care were similar in both groups, but patients with any respiratory virus co-infection were more likely to experience complications, particularly treatment for a secondary bacterial pneumonia (OR 6.8, 95% CI 3.3-14.2). Patients co-infected with pH1N1 and another respiratory virus were more likely to present with chest radiograph changes suggestive of a viral pneumonia, compared to mono-infection with pH1N1 (OR 16.9, 95% CI 4.5-62.7). By logistic regression using mono-infection with non-PH1N1 viruses as the reference group, co-infection with pH1N1 was the strongest independent predictor of treatment for a secondary bacterial pneumonia (OR 17.8, 95% CI 6.7-47.1). Conclusion: Patients with viral co-infection, particularly with pH1N1, were more likely to have chest radiograph features compatible with a viral pneumonia and complications during their hospital course, particularly treatment for secondary bacterial pneumonia. Despite this, co-infection was not associated with ICU admission.</t>
  </si>
  <si>
    <t xml:space="preserve">[Echenique, Ignacio A.; Chan, Philip A.; Chapin, Kimberle C.; Mermel, Leonard A.] Brown Univ, Dept Med, Alpert Med Sch, Providence, RI 02912 USA; [Chan, Philip A.; Mermel, Leonard A.] Rhode Isl Hosp, Div Infect Dis, Providence, RI USA; [Chapin, Kimberle C.; Andrea, Sarah B.] Rhode Isl Hosp, Dept Pathol, Providence, RI 02902 USA; [Fava, Joseph L.] Brown Univ, Ctr Behav &amp; Prevent Med, Alpert Med Sch, Miriam Hosp, Providence, RI 02912 USA</t>
  </si>
  <si>
    <t xml:space="preserve">Brown University; Lifespan Health Rhode Island; Rhode Island Hospital; Lifespan Health Rhode Island; Rhode Island Hospital; Brown University; Lifespan Health Rhode Island; Miriam Hospital</t>
  </si>
  <si>
    <t xml:space="preserve">Mermel, LA (corresponding author), Brown Univ, Dept Med, Alpert Med Sch, Providence, RI 02912 USA.</t>
  </si>
  <si>
    <t xml:space="preserve">lmermel@lifespan.org</t>
  </si>
  <si>
    <t xml:space="preserve">Mermel, Leonard/Z-1475-2019</t>
  </si>
  <si>
    <t xml:space="preserve">Fava, Joseph/0000-0001-7129-7903; Chan, Philip/0000-0003-0964-5895; Echenique, Ignacio A./0000-0002-6301-0121</t>
  </si>
  <si>
    <t xml:space="preserve">Rhode Island Hospital Department of Pathology</t>
  </si>
  <si>
    <t xml:space="preserve">This study was supported by the Rhode Island Hospital Department of Pathology. The funders had no role in study design, data collection and analysis, decision to publish, or preparation of the manuscript.</t>
  </si>
  <si>
    <t xml:space="preserve">e60845</t>
  </si>
  <si>
    <t xml:space="preserve">10.1371/journal.pone.0060845</t>
  </si>
  <si>
    <t xml:space="preserve">130JB</t>
  </si>
  <si>
    <t xml:space="preserve">WOS:000317909600058</t>
  </si>
  <si>
    <t xml:space="preserve">Berkley, JA; Munywoki, P; Ngama, M; Kazungu, S; Abwao, J; Bett, A; Lassauniére, R; Kresfelder, T; Cane, PA; Venter, M; Scott, JAG; Nokes, DJ</t>
  </si>
  <si>
    <t xml:space="preserve">Berkley, James A.; Munywoki, Patrick; Ngama, Mwanajuma; Kazungu, Sidi; Abwao, John; Bett, Anne; Lassauniere, Ria; Kresfelder, Tina; Cane, Patricia A.; Venter, Marietjie; Scott, J. Anthony G.; Nokes, D. James</t>
  </si>
  <si>
    <t xml:space="preserve">Viral Etiology of Severe Pneumonia Among Kenyan Infants and Children</t>
  </si>
  <si>
    <t xml:space="preserve">JAMA-JOURNAL OF THE AMERICAN MEDICAL ASSOCIATION</t>
  </si>
  <si>
    <t xml:space="preserve">Medicine; Human metapneumovirus; Pneumonia; Etiology; Pediatrics; Odds ratio; Respiratory tract infections</t>
  </si>
  <si>
    <t xml:space="preserve">RESPIRATORY SYNCYTIAL VIRUS; INFLUENZAE TYPE-B; GAMBIAN CHILDREN; VACCINE CANDIDATE; CONJUGATE VACCINE; TRACT INFECTIONS; KILIFI DISTRICT; IMMUNIZATION; DISEASE; LIVE</t>
  </si>
  <si>
    <t xml:space="preserve">Context Pneumonia is the leading cause of childhood death in sub-Saharan Africa. Comparative estimates of the contribution of causative pathogens to the burden of disease are essential for targeted vaccine development. Objective To determine the viral etiology of severe pneumonia among infants and children at a rural Kenyan hospital using comprehensive and sensitive molecular diagnostic techniques. Design, Setting, and Participants Prospective observational and case-control study during 2007 in a rural Kenyan district hospital. Participants were children aged 1 day to 12 years, residing in a systematically enumerated catchment area, and who either were admitted to Kilifi District Hospital meeting World Health Organization clinical criteria for severe pneumonia or very severe pneumonia; (2) presented with mild upper respiratory tract infection but were not admitted; or (3) were well infants and children attending for immunization. Main Outcome Measures The presence of respiratory viruses and the odds ratio for admission with severe disease. Results Of 922 eligible admitted patients, 759 were sampled (82% [median age, 9 months]). One or more respiratory viruses were detected in 425 of the 759 sampled (56% [95% confidence interval {CI}, 52%-60%]). Respiratory syncytial virus (RSV) was detected in 260 participants (34% [95% CI, 31%-38%]) and other respiratory viruses were detected in 219 participants (29%; 95% CI, 26%-32%), the most common being Human coronavirus 229E (n=51 [6.7%]), influenza type A (n=44 [5.8%]), Parainfluenza type 3 (n=29 [3.8%]), Human adenovirus (n=29 [3.8%]), and Human metapneumovirus (n=23 [3.0%]). Compared with well control participants, detection of RSV was associated with severe disease (5% in control participants; adjusted odds ratio, 6.11 [95% CI, 1.65-22.6]) while collectively, other respiratory viruses were not associated with severe disease (23% in control participants; adjusted odds ratio, 1.27 [95% CI, 0.64-2.52]). Conclusion In a sample of Kenyan infants and children admitted with severe pneumonia to a rural hospital, RSV was the predominant viral pathogen. JAMA. 2010;303(20):2051-2057 www.jama.com</t>
  </si>
  <si>
    <t xml:space="preserve">[Berkley, James A.; Munywoki, Patrick; Ngama, Mwanajuma; Kazungu, Sidi; Abwao, John; Bett, Anne; Scott, J. Anthony G.; Nokes, D. James] Ctr Geog Med Res Coast, Kenya Med Res Inst, Kilifi, Kenya; [Berkley, James A.; Scott, J. Anthony G.] Univ Oxford, Ctr Clin Vaccinol &amp; Trop Med, Oxford, England; [Lassauniere, Ria; Kresfelder, Tina; Venter, Marietjie] Univ Pretoria, Dept Med Virol, Fac Hlth Sci, Resp &amp; Zoonot Virus Programme, ZA-0001 Pretoria, South Africa; [Cane, Patricia A.] Hlth Protect Agcy, Ctr Infect, London, England; [Venter, Marietjie] Natl Inst Communicable Dis, Resp Virus Unit, Johannesburg, South Africa; [Nokes, D. James] Univ Warwick, Dept Biol Sci, Coventry CV4 7AL, W Midlands, England</t>
  </si>
  <si>
    <t xml:space="preserve">Kenya Medical Research Institute; University of Oxford; University of Pretoria; Health Protection Agency; National Institute for Communicable Diseases (NICD); University of Warwick</t>
  </si>
  <si>
    <t xml:space="preserve">Berkley, JA (corresponding author), POB 230, Kilifi 80108, Kenya.</t>
  </si>
  <si>
    <t xml:space="preserve">jberkley@kilifi.kemri-wellcome.org</t>
  </si>
  <si>
    <t xml:space="preserve">Lassaunière, Ria/HJZ-4456-2023; Munywoki, Patrick/GQP-4775-2022; Venter, Marietjie/P-9604-2016</t>
  </si>
  <si>
    <t xml:space="preserve">Lassauniere, Ria/0000-0002-3910-7185; Venter, Marietjie/0000-0003-2696-824X; Nokes, James/0000-0001-5426-1984; Munywoki, Patrick K./0000-0001-9419-7155; Berkley, James/0000-0002-1236-849X</t>
  </si>
  <si>
    <t xml:space="preserve">Wellcome Trust (Great Britain) [081186]</t>
  </si>
  <si>
    <t xml:space="preserve">Wellcome Trust (Great Britain)(Wellcome Trust)</t>
  </si>
  <si>
    <t xml:space="preserve">The study was funded by a project grant (081186) from the Wellcome Trust (Great Britain). Drs Berkley, Scott, and Nokes report receipt of support by fellowships from the Wellcome Trust (Great Britain).</t>
  </si>
  <si>
    <t xml:space="preserve">0098-7484</t>
  </si>
  <si>
    <t xml:space="preserve">1538-3598</t>
  </si>
  <si>
    <t xml:space="preserve">JAMA-J AM MED ASSOC</t>
  </si>
  <si>
    <t xml:space="preserve">JAMA-J. Am. Med. Assoc.</t>
  </si>
  <si>
    <t xml:space="preserve">MAY 26</t>
  </si>
  <si>
    <t xml:space="preserve">10.1001/jama.2010.675</t>
  </si>
  <si>
    <t xml:space="preserve">600VY</t>
  </si>
  <si>
    <t xml:space="preserve">WOS:000278018200029</t>
  </si>
  <si>
    <t xml:space="preserve">Bose, ME; He, J; Shrivastava, S; Nelson, MI; Bera, J; Halpin, RA; Town, CD; Lorenzi, HA; Noyola, DE; Falcone, V; Gerna, G; De Beenhouwer, H; Videla, C; Kok, T; Venter, M; Williams, JV; Henrickson, KJ</t>
  </si>
  <si>
    <t xml:space="preserve">Bose, Michael E.; He, Jie; Shrivastava, Susmita; Nelson, Martha I.; Bera, Jayati; Halpin, Rebecca A.; Town, Christopher D.; Lorenzi, Hernan A.; Noyola, Daniel E.; Falcone, Valeria; Gerna, Giuseppe; De Beenhouwer, Hans; Videla, Cristina; Kok, Tuckweng; Venter, Marietjie; Williams, John V.; Henrickson, Kelly J.</t>
  </si>
  <si>
    <t xml:space="preserve">Sequencing and Analysis of Globally Obtained Human Respiratory Syncytial Virus A and B Genomes</t>
  </si>
  <si>
    <t xml:space="preserve">Biology; Genome; Phylogenetic tree; Clade; Genotyping; Sanger sequencing; Genetics; Whole genome sequencing; Phylogenetics</t>
  </si>
  <si>
    <t xml:space="preserve">G-PROTEIN GENE; GROUP-A; MOLECULAR EPIDEMIOLOGY; HUMAN METAPNEUMOVIRUS; CIRCULATION PATTERNS; GLYCOPROTEIN-G; SUBGROUP-B; VARIABILITY; STRAINS; DIVERSITY</t>
  </si>
  <si>
    <t xml:space="preserve">Background Human respiratory syncytial virus (RSV) is the leading cause of respiratory tract infections in children globally, with nearly all children experiencing at least one infection by the age of two. Partial sequencing of the attachment glycoprotein gene is conducted routinely for genotyping, but relatively few whole genome sequences are available for RSV. The goal of our study was to sequence the genomes of RSV strains collected from multiple countries to further understand the global diversity of RSV at a whole-genome level. Methods We collected RSV samples and isolates from Mexico, Argentina, Belgium, Italy, Germany, Australia, South Africa, and the USA from the years 1998-2010. Both Sanger and next-generation sequencing with the Illumina and 454 platforms were used to sequence the whole genomes of RSV A and B. Phylogenetic analyses were performed using the Bayesian and maximum likelihood methods of phylogenetic inference. Results We sequenced the genomes of 34 RSVA and 23 RSVB viruses. Phylogenetic analysis showed that the RSVA genome evolves at an estimated rate of 6.72 x 10(-4) substitutions/site/year (95% HPD 5.61 x 10(-4) to 7.6 x 10(-4)) and for RSVB the evolutionary rate was 7.69 x 10(-4) substitutions/site/year (95% HPD 6.81 x 10(-4) to 8.62 x 10(-4)). We found multiple clades co-circulating globally for both RSV A and B. The predominant clades were GA2 and GA5 for RSVA and BA for RSVB. Conclusions Our analyses showed that RSV circulates on a global scale with the same predominant clades of viruses being found in countries around the world. However, the distribution of clades can change rapidly as new strains emerge. We did not observe a strong spatial structure in our trees, with the same three main clades of RSV co-circulating globally, suggesting that the evolution of RSV is not strongly regionalized.</t>
  </si>
  <si>
    <t xml:space="preserve">[Bose, Michael E.; He, Jie; Henrickson, Kelly J.] Med Coll Wisconsin, Midwest Resp Virus Program, Milwaukee, WI 53226 USA; [Shrivastava, Susmita; Bera, Jayati; Halpin, Rebecca A.; Town, Christopher D.; Lorenzi, Hernan A.] J Craig Venter Inst, Rockville, MD USA; [Nelson, Martha I.] NIH, Fogarty Int Ctr, Bethesda, MD 20892 USA; [Noyola, Daniel E.] Univ Autonoma San Luis Potosi, Fac Med, Dept Microbiol, San Luis Potosi, Mexico; [Falcone, Valeria] Univ Med Ctr Freiburg, Dept Virol, Inst Med Microbiol &amp; Hyg, Freiburg, Germany; [Gerna, Giuseppe] Fdn IRCCS Policlin San Matteo, Lab Sperimentali Ric, Pavia, Italy; [De Beenhouwer, Hans] OLV Hosp Aalst, Dept Microbiol, Aalst, Belgium; [Videla, Cristina] Ctr Educ Med &amp; Invest Clin Univ Hosp, Clin Virol Lab, Buenos Aires, DF, Argentina; [Kok, Tuckweng] Univ Adelaide, Sch Mol &amp; Biomed Sci, Adelaide, SA, Australia; [Venter, Marietjie] Univ Pretoria, Dept Med Virol, Zoonoses Res Unit, ZA-0001 Pretoria, South Africa; [Williams, John V.] Vanderbilt Univ, Sch Med, Dept Pediat, Nashville, TN 37212 USA; [Williams, John V.] Vanderbilt Univ, Sch Med, Dept Pathol, Nashville, TN 37212 USA; [Williams, John V.] Vanderbilt Univ, Sch Med, Dept Microbiol, Nashville, TN 37212 USA; [Williams, John V.] Vanderbilt Univ, Sch Med, Dept Immunol, Nashville, TN 37212 USA</t>
  </si>
  <si>
    <t xml:space="preserve">Medical College of Wisconsin; J. Craig Venter Institute; National Institutes of Health (NIH) - USA; NIH Fogarty International Center (FIC); Universidad Autonoma de San Luis Potosi; University of Freiburg; IRCCS Fondazione San Matteo; Centro de Educacion Medica e Investigaciones Clinicas (CEMIC); University of Adelaide; University of Pretoria; Vanderbilt University; Vanderbilt University; Vanderbilt University; Vanderbilt University</t>
  </si>
  <si>
    <t xml:space="preserve">Henrickson, KJ (corresponding author), Med Coll Wisconsin, Midwest Resp Virus Program, Milwaukee, WI 53226 USA.</t>
  </si>
  <si>
    <t xml:space="preserve">khenrick@mcw.edu</t>
  </si>
  <si>
    <t xml:space="preserve">Noyola, Daniel/AAL-9773-2020; Kok, Tuckweng/G-2542-2010; Williams, John/ABE-3227-2020; Williams, John/F-6962-2010; Venter, Marietjie/P-9604-2016</t>
  </si>
  <si>
    <t xml:space="preserve">Noyola, Daniel/0000-0002-4840-6742; Lorenzi, Hernan/0000-0003-0910-7894; Gerna, Giuseppe/0000-0001-5956-2786; Williams, John/0000-0001-8377-5175; Kok, Tuck-Weng/0000-0003-1924-1261; Venter, Marietjie/0000-0003-2696-824X</t>
  </si>
  <si>
    <t xml:space="preserve">National Institute of Allergy and Infectious Diseases, National Institutes of Health, Department of Health and Human Services [HHSN272200900007C, 5U01AI070428, 5U01AI077988]; Multinational Influenza Seasonal Mortality Study (MISMS); Department of Health and Human Services</t>
  </si>
  <si>
    <t xml:space="preserve">National Institute of Allergy and Infectious Diseases, National Institutes of Health, Department of Health and Human Services(United States Department of Health &amp; Human ServicesNational Institutes of Health (NIH) - USANIH National Institute of Allergy &amp; Infectious Diseases (NIAID)); Multinational Influenza Seasonal Mortality Study (MISMS); Department of Health and Human Services</t>
  </si>
  <si>
    <t xml:space="preserve">This project has been funded in whole or part with federal funds from the National Institute of Allergy and Infectious Diseases, National Institutes of Health, Department of Health and Human Services (www.niaid.nih.gov) under contract number HHSN272200900007C and grant numbers 5U01AI070428 and 5U01AI077988. This work was supported in part by the Multinational Influenza Seasonal Mortality Study (MISMS), led by the Fogarty International Center, National Institutes of Health, with funding from the Department of Health and Human Services (www.fic.nih.gov). The funders had no role in study design, data collection and analysis, decision to publish, or preparation of the manuscript.</t>
  </si>
  <si>
    <t xml:space="preserve">e0120098</t>
  </si>
  <si>
    <t xml:space="preserve">10.1371/journal.pone.0120098</t>
  </si>
  <si>
    <t xml:space="preserve">CE8IA</t>
  </si>
  <si>
    <t xml:space="preserve">WOS:000352084200144</t>
  </si>
  <si>
    <t xml:space="preserve">Mansbach, JM; Piedra, PA; Teach, SJ; Sullivan, AF; Forgey, T; Clark, S; Espinola, JA; Camargo, CA</t>
  </si>
  <si>
    <t xml:space="preserve">Mansbach, Jonathan M.; Piedra, Pedro A.; Teach, Stephen J.; Sullivan, Ashley F.; Forgey, Tate; Clark, Sunday; Espinola, Janice A.; Camargo, Carlos A., Jr.</t>
  </si>
  <si>
    <t xml:space="preserve">MARC-30 Investigators</t>
  </si>
  <si>
    <t xml:space="preserve">Prospective Multicenter Study of Viral Etiology and Hospital Length of Stay in Children With Severe Bronchiolitis</t>
  </si>
  <si>
    <t xml:space="preserve">ARCHIVES OF PEDIATRICS &amp; ADOLESCENT MEDICINE</t>
  </si>
  <si>
    <t xml:space="preserve">Rhinovirus; Medicine; Bronchiolitis; Interquartile range; Pediatrics; Prospective cohort study; Odds ratio; Etiology</t>
  </si>
  <si>
    <t xml:space="preserve">RESPIRATORY SYNCYTIAL VIRUS; REAL-TIME PCR; RHINOVIRUS INFECTION; HUMAN METAPNEUMOVIRUS; ASTHMA DEVELOPMENT; CLINICAL SYMPTOMS; DISEASE SEVERITY; RISK-FACTORS; INFANTS; EXPRESSION</t>
  </si>
  <si>
    <t xml:space="preserve">Objective: To determine whether hospital length of stay (LOS) for acute bronchiolitis is influenced by the infecting pathogen. Design: A prospective observational cohort study was performed during 3 consecutive years. Setting: Sixteen US hospitals participated in the study. Participants: Children younger than 2 years hospitalized with bronchiolitis were included. Main Exposure: The results of nasopharyngeal aspirate polymerase chain reaction pathogen testing served as the main exposure. Main Outcome Measure: Hospital LOS was determined. Results: Of 2207 participants, 72.0% had respiratory syncytial virus (RSV) and 25.6% had human rhinovirus (HRV); the incidence of each of the other viruses and bacteria was 7.8% or less. Multiple pathogen infections were present in 29.8% of the children. There were 1866 children (84.5%) with RSV and/or HRV. Among these 1866 children, the median age was 4 months and 59.5% were male. The median LOS was 2 days (interquartile range, 1-4 days). Compared with children who had only RSV, an LOS of 3 or more days was less likely among children with HRV alone (adjusted odds ratio [AOR], 0.36; 95% CI, 0.20-0.63; P &lt; .001) and those with HRV plus non-RSV pathogens (AOR, 0.39; 95% CI, 0.23-0.66; P &lt; .001) but more likely among children with RSV plus HRV(AOR, 1.33; 95% CI, 1.02-1.73; P =. 04), controlling for 15 demographic and clinical factors. Conclusions: In this multicenter study of children hospitalized with bronchiolitis, RSV was the most common virus detected, but HRV was detected in one-quarter of the children. Since 1 in 3 children had multiple virus infections and HRV was associated with LOS, these data challenge the effectiveness of current RSV-based cohorting practices, the sporadic testing for HRV in bronchiolitis research, and current thinking that the infectious etiology of severe bronchiolitis does not affect short-term outcomes.</t>
  </si>
  <si>
    <t xml:space="preserve">[Mansbach, Jonathan M.] Harvard Univ, Sch Med, Childrens Hosp Boston, Dept Med, Boston, MA 02115 USA; [Sullivan, Ashley F.; Forgey, Tate; Espinola, Janice A.; Camargo, Carlos A., Jr.] Harvard Univ, Sch Med, Massachusetts Gen Hosp, Dept Emergency Med, Boston, MA 02115 USA; [Piedra, Pedro A.] Baylor Coll Med, Dept Mol Virol &amp; Microbiol, Houston, TX 77030 USA; [Piedra, Pedro A.] Baylor Coll Med, Dept Pediat, Houston, TX 77030 USA; [Teach, Stephen J.] Childrens Natl Med Ctr, Dept Pediat, Washington, DC 20010 USA; [Clark, Sunday] Univ Pittsburgh, Dept Med, Pittsburgh, PA USA</t>
  </si>
  <si>
    <t xml:space="preserve">Harvard University; Harvard Medical School; Boston Children's Hospital; Harvard University; Massachusetts General Hospital; Harvard Medical School; Baylor College of Medicine; Baylor College of Medicine; Children's National Health System; Pennsylvania Commonwealth System of Higher Education (PCSHE); University of Pittsburgh</t>
  </si>
  <si>
    <t xml:space="preserve">Mansbach, JM (corresponding author), Harvard Univ, Sch Med, Childrens Hosp Boston, Dept Med, 300 Longwood Ave,Main Clin Bldg 9 S,Ste 9157, Boston, MA 02115 USA.</t>
  </si>
  <si>
    <t xml:space="preserve">National Institutes of Health [U01 AI-67693, K23 AI-77801, UL1 RR-031988]</t>
  </si>
  <si>
    <t xml:space="preserve">This study was supported by grants U01 AI-67693, K23 AI-77801, and UL1 RR-031988 from the National Institutes of Health.</t>
  </si>
  <si>
    <t xml:space="preserve">1072-4710</t>
  </si>
  <si>
    <t xml:space="preserve">ARCH PEDIAT ADOL MED</t>
  </si>
  <si>
    <t xml:space="preserve">Arch. Pediatr. Adolesc. Med.</t>
  </si>
  <si>
    <t xml:space="preserve">10.1001/archpediatrics.2011.1669</t>
  </si>
  <si>
    <t xml:space="preserve">984KU</t>
  </si>
  <si>
    <t xml:space="preserve">WOS:000307189300003</t>
  </si>
  <si>
    <t xml:space="preserve">Jain, S; Williams, DJ; Arnold, SR; Ampofo, K; Bramley, AM; Reed, C; Stockmann, C; Anderson, EJ; Grijalva, CG; Self, WH; Zhu, YW; Patel, A; Hymas, W; Chappell, JD; Kaufman, RA; Kan, JH; Dansie, D; Lenny, N; Hillyard, DR; Haynes, LM; Levine, M; Lindstrom, S; Winchell, JM; Katz, JM; Erdman, D; Schneider, E; Hicks, LA; Wunderink, RG; Edwards, KM; Pavia, AT; McCullers, JA; Finelli, L</t>
  </si>
  <si>
    <t xml:space="preserve">Jain, Seema; Williams, Derek J.; Arnold, Sandra R.; Ampofo, Krow; Bramley, Anna M.; Reed, Carrie; Stockmann, Chris; Anderson, Evan J.; Grijalva, Carlos G.; Self, Wesley H.; Zhu, Yuwei; Patel, Anami; Hymas, Weston; Chappell, James D.; Kaufman, Robert A.; Kan, J. Herman; Dansie, David; Lenny, Noel; Hillyard, David R.; Haynes, Lia M.; Levine, Min; Lindstrom, Stephen; Winchell, Jonas M.; Katz, Jacqueline M.; Erdman, Dean; Schneider, Eileen; Hicks, Lauri A.; Wunderink, Richard G.; Edwards, Kathryn M.; Pavia, Andrew T.; McCullers, Jonathan A.; Finelli, Lyn</t>
  </si>
  <si>
    <t xml:space="preserve">CDC EPIC Study Team</t>
  </si>
  <si>
    <t xml:space="preserve">Community-Acquired Pneumonia Requiring Hospitalization among US Children</t>
  </si>
  <si>
    <t xml:space="preserve">Medicine; Pneumonia; Interquartile range; Community-acquired pneumonia; Incidence (geometry); Pediatrics; Population</t>
  </si>
  <si>
    <t xml:space="preserve">POLYMERASE-CHAIN-REACTION; PNEUMOCOCCAL CONJUGATE VACCINE; MYCOPLASMA-PNEUMONIAE; VIRAL-INFECTIONS; PCR; DIAGNOSIS; ASSAYS; TESTS; IDENTIFICATION; EPIDEMIOLOGY</t>
  </si>
  <si>
    <t xml:space="preserve">BACKGROUND Incidence estimates of hospitalizations for community-acquired pneumonia among children in the United States that are based on prospective data collection are limited. Updated estimates of pneumonia that has been confirmed radiographically and with the use of current laboratory diagnostic tests are needed. METHODS We conducted active population-based surveillance for community-acquired pneumonia requiring hospitalization among children younger than 18 years of age in three hospitals in Memphis, Nashville, and Salt Lake City. We excluded children with recent hospitalization or severe immunosuppression. Blood and respiratory specimens were systematically collected for pathogen detection with the use of multiple methods. Chest radiographs were reviewed independently by study radiologists. RESULTS From January 2010 through June 2012, we enrolled 2638 of 3803 eligible children (69%), 2358 of whom (89%) had radiographic evidence of pneumonia. The median age of the children was 2 years (interquartile range, 1 to 6); 497 of 2358 children (21%) required intensive care, and 3 (&lt;1%) died. Among 2222 children with radiographic evidence of pneumonia and with specimens available for bacterial and viral testing, a viral or bacterial pathogen was detected in 1802 (81%), one or more viruses in 1472 (66%), bacteria in 175 (8%), and both bacterial and viral pathogens in 155 (7%). The annual incidence of pneumonia was 15.7 cases per 10,000 children (95% confidence interval [CI], 14.9 to 16.5), with the highest rate among children younger than 2 years of age (62.2 cases per 10,000 children; 95% CI, 57.6 to 67.1). Respiratory syncytial virus was more common among children younger than 5 years of age than among older children (37% vs. 8%), as were adenovirus (15% vs. 3%) and human metapneumovirus (15% vs. 8%). Mycoplasma pneumoniae was more common among children 5 years of age or older than among younger children (19% vs. 3%). CONCLUSIONS The burden of hospitalization for children with community-acquired pneumonia was highest among the very young, with respiratory viruses the most commonly detected causes of pneumonia.</t>
  </si>
  <si>
    <t xml:space="preserve">[Jain, Seema; Bramley, Anna M.; Reed, Carrie; Haynes, Lia M.; Levine, Min; Lindstrom, Stephen; Winchell, Jonas M.; Katz, Jacqueline M.; Erdman, Dean; Schneider, Eileen; Hicks, Lauri A.; Finelli, Lyn] Ctr Dis Control &amp; Prevent, 1600 Clifton Rd NE,MS A-32, Atlanta, GA 30333 USA; [Williams, Derek J.; Grijalva, Carlos G.; Self, Wesley H.; Zhu, Yuwei; Chappell, James D.; Kan, J. Herman; Edwards, Kathryn M.] Vanderbilt Univ, Sch Med, Nashville, TN 37212 USA; [Williams, Derek J.; Edwards, Kathryn M.] Monroe Carell Jr Childrens Hosp Vanderbilt, Nashville, TN USA; [Williams, Derek J.; Edwards, Kathryn M.] Vanderbilt Vaccine Res Program, Nashville, TN USA; [Arnold, Sandra R.; Patel, Anami; Lenny, Noel; McCullers, Jonathan A.] Le Bonheur Childrens Hosp, Memphis, TN USA; [Arnold, Sandra R.; Patel, Anami; Kaufman, Robert A.; Lenny, Noel; McCullers, Jonathan A.] Univ Tennessee, Ctr Hlth Sci, Memphis, TN 38163 USA; [Kaufman, Robert A.; McCullers, Jonathan A.] St Jude Childrens Res Hosp, Memphis, TN 38105 USA; [Ampofo, Krow; Stockmann, Chris; Hymas, Weston; Dansie, David; Hillyard, David R.; Pavia, Andrew T.] Univ Utah, Hlth Sci Ctr, Salt Lake City, UT USA; [Anderson, Evan J.; Wunderink, Richard G.] Northwestern Univ, Feinberg Sch Med, Chicago, IL 60611 USA</t>
  </si>
  <si>
    <t xml:space="preserve">Centers for Disease Control &amp; Prevention - USA; Vanderbilt University; Vanderbilt University; University of Tennessee System; University of Tennessee Health Science Center; St Jude Children's Research Hospital; Utah System of Higher Education; University of Utah; Northwestern University; Feinberg School of Medicine</t>
  </si>
  <si>
    <t xml:space="preserve">Jain, S (corresponding author), Ctr Dis Control &amp; Prevent, 1600 Clifton Rd NE,MS A-32, Atlanta, GA 30333 USA.</t>
  </si>
  <si>
    <t xml:space="preserve">bwc8@cdc.gov</t>
  </si>
  <si>
    <t xml:space="preserve">Finelli, Lyn/AAK-2360-2020; Levine, Min/ABB-4350-2021; Stockmann, Chris/P-1996-2014; Hicks, Lauri/KLD-4942-2024; Arnold, Sandra/O-4712-2014; Williams, Derek/KRP-6083-2024; Self, Wesley/KTI-1352-2024; Grijalva, Carlos/HRA-9217-2023</t>
  </si>
  <si>
    <t xml:space="preserve">Kaufman, Robert/0000-0001-7066-5516; Self, Wesley/0000-0002-9300-3045; Grijalva, Carlos/0000-0002-2329-7797; Wunderink, Richard/0000-0002-8527-4195</t>
  </si>
  <si>
    <t xml:space="preserve">Influenza Division of the National Center for Immunization and Respiratory Diseases</t>
  </si>
  <si>
    <t xml:space="preserve">Funded by the Influenza Division of the National Center for Immunization and Respiratory Diseases.</t>
  </si>
  <si>
    <t xml:space="preserve">10.1056/NEJMoa1405870</t>
  </si>
  <si>
    <t xml:space="preserve">CB8SQ</t>
  </si>
  <si>
    <t xml:space="preserve">WOS:000349901700008</t>
  </si>
  <si>
    <t xml:space="preserve">Otsuka, H; Tsukagoshi, H; Kimura, H; Takanashi, I; Okubo, K</t>
  </si>
  <si>
    <t xml:space="preserve">Otsuka, Hirokuni; Tsukagoshi, Hiroyuki; Kimura, Hirokazu; Takanashi, Ikuo; Okubo, Kimihiro</t>
  </si>
  <si>
    <t xml:space="preserve">Are respiratory viruses involved in preseasonal symptoms or severity in Japanese cedar pollinosis?</t>
  </si>
  <si>
    <t xml:space="preserve">ALLERGY &amp; RHINOLOGY</t>
  </si>
  <si>
    <t xml:space="preserve">Rhinovirus; Respiratory system; Medicine; Neutrophilia; Asthma</t>
  </si>
  <si>
    <t xml:space="preserve">ALLERGIC RHINITIS; EPITHELIAL-CELLS; SYNCYTIAL VIRUS; MORAXELLA-CATARRHALIS; VIRAL-INFECTIONS; ASTHMA; CHILDREN; ILLNESS; EXACERBATIONS; RESPONSES</t>
  </si>
  <si>
    <t xml:space="preserve">Background: Respiratory virus infections are involved in asthma exacerbations. However, there are no reports of the relationship between respiratory virus infections and Japanese cedar pollinosis. Objective: We studied the relationship between respiratory viral infection and the appearance of preseasonal symptoms and the severity of seasonal symptoms in Japanese cedar pollinosis. Methods: In 36 patients with asthma and with no symptoms (PreAsyP) and 54 patients with asthma and with symptoms (PreSyP) before the cedar pollen shedding commenced (preseason), and 37 patients with mild-to-moderate severity (InMild/ Mod) and 45 patients with severe to extreme severity (InSev/Ext) after cedar shedding commenced (in season), the occurrence of respiratory viruses and nasal smear cytology were examined. Results: In total, seven infections with respiratory viruses were detected among the subjects. Human rhinovirus (HRV) C infection was detected in one subject in each of the PreAsyP and PreSyP groups, and one HRVA infection occurred in the InMild/Mod group. In the InSev/Ext group, one HRVA, one HRVC, one respiratory syncytial virus, and one human metapneumovirus were detected. There was no significant difference in the rate of detection of viral infections between the PreAsyP and the PreSyP groups (p = 0.077), and between the InMild/Mod group and the InSev/Ext group (p = 0.24, Wilcoxon rank sum test). When cells types in nasal smears were identified and their abundance examined, the rate of neutrophilia in the subjects in the PreSyP group was 54%, which was statistically higher (p &lt; 0.01) than the subjects in the PreAsyP group (25%). Interestingly, in the subjects in the InSev/Ext group, the proportion of eosinophils (40%) was larger (p &lt; 0.05) than in the subjects in the InMild/Mod group (19%). Conclusion: These results provided no evidence that respiratory virus infections contributed to preseasonal symptoms and severity in season of Japanese cedar pollinosis. Nasal neutrophilia was related to preseasonal symptoms, whereas nasal eosinophilia was related to severity of symptoms during the pollen season.</t>
  </si>
  <si>
    <t xml:space="preserve">[Otsuka, Hirokuni] Otsuka ENT Clin, Yokohama, Kanagawa, Japan; [Otsuka, Hirokuni] Musashi Kosugi Hosp, Nippon Med Sch, Otorhinolaryngol &amp; Head &amp; Neck Surg, Kawasaki, Kanagawa, Japan; [Tsukagoshi, Hiroyuki] Gunma Prefectural Inst Publ Hlth &amp; Environm Sci, Maebashi, Gunma, Japan; [Kimura, Hirokazu] Natl Inst Infect Dis, Infect Dis Surveillance Ctr, Tokyo, Japan; [Kimura, Hirokazu] Yokohama City Univ, Sch Med, Yokohama, Kanagawa, Japan; [Takanashi, Ikuo] Kanagawa Gen High Sch, Div Sci, Yokohama, Kanagawa, Japan; [Okubo, Kimihiro] Nippon Med Sch, Otorhinolaryngol &amp; Head &amp; Neck Surg, Tokyo, Japan</t>
  </si>
  <si>
    <t xml:space="preserve">Nippon Medical School; National Institute of Infectious Diseases (NIID); Yokohama City University; Nippon Medical School</t>
  </si>
  <si>
    <t xml:space="preserve">Otsuka, H (corresponding author), Otsuka ENT Clin, Kohoku Ku, Yokohama, Kanagawa 2230062, Japan.</t>
  </si>
  <si>
    <t xml:space="preserve">otsuka46hiro@s03.itscom.net</t>
  </si>
  <si>
    <t xml:space="preserve">2152-6575</t>
  </si>
  <si>
    <t xml:space="preserve">2152-6567</t>
  </si>
  <si>
    <t xml:space="preserve">ALLERGY RHINOL</t>
  </si>
  <si>
    <t xml:space="preserve">Allergy Rhinol.</t>
  </si>
  <si>
    <t xml:space="preserve">E62</t>
  </si>
  <si>
    <t xml:space="preserve">E68</t>
  </si>
  <si>
    <t xml:space="preserve">10.2500/ar.2016.7.0157</t>
  </si>
  <si>
    <t xml:space="preserve">EV1TR</t>
  </si>
  <si>
    <t xml:space="preserve">WOS:000401530800002</t>
  </si>
  <si>
    <t xml:space="preserve">Brini, I; Guerrero, A; Hannachi, N; Bouguila, J; Orth-Höller, D; Bouhlel, A; Boughamoura, L; Hetzer, B; Borena, W; Schiela, B; Von Laer, D; Boukadida, J; Stoiber, H</t>
  </si>
  <si>
    <t xml:space="preserve">Brini, Ines; Guerrero, Aida; Hannachi, Naila; Bouguila, Jihene; Orth-Hoeller, Dorothea; Bouhlel, Amira; Boughamoura, Lamia; Hetzer, Benjamin; Borena, Wegene; Schiela, Britta; Von Laer, Dorothee; Boukadida, Jalel; Stoiber, Heribert</t>
  </si>
  <si>
    <t xml:space="preserve">Epidemiology and clinical profile of pathogens responsible for the hospitalization of children in Sousse area, Tunisia</t>
  </si>
  <si>
    <t xml:space="preserve">Rhinovirus; Streptococcus pneumoniae; Bronchiolitis; Respiratory tract infections; Medicine</t>
  </si>
  <si>
    <t xml:space="preserve">RESPIRATORY-SYNCYTIAL-VIRUS; TRACT INFECTIONS; STREPTOCOCCUS-PNEUMONIAE; HUMAN METAPNEUMOVIRUS; PCR; ETIOLOGY; FEATURES; INFANTS; ASSAYS; UNIT</t>
  </si>
  <si>
    <t xml:space="preserve">This study aimed to identify a broad spectrum of respiratory pathogens from hospitalized and not-preselected children with acute respiratory tract infections in the Farhat Hached University-hospital of Sousse, Tunisia. Between September 2013 and December 2014, samples from 372 children aged between 1 month and 5 years were collected, and tested using multiplex real-time RT-PCR by a commercial assay for 21 respiratory pathogens. In addition, samples were screened for the presence of Streptococcus pneumoniae 16S rDNA using real-time PCR. The viral distribution and its association with clinical symptoms were statistically analyzed. Viral pathogens were detected in 342 (91.93%) of the samples of which 28.76% were single positive and 63.17% had multiple infections. The most frequent detected viruses were rhinovirus (55.64%), respiratory syncytial virus A/B (33.06%), adenovirus (25.00%), coronavirus NL63, HKU1, OC43, and 229E (21.50%), and metapneumovirus A/B (16.12%). Children in the youngest age group (1-3 months) exhibited the highest frequencies of infection. Related to their frequency of detection, RSV A/B was the most associated pathogen with patient's demographic situation and clinical manifestations (p&lt;0.05). Parainfluenza virus 1-4 and parechovirus were found to increase the risk of death (p&lt;0.05). Adenovirus was statistically associated to the manifestation of gastroenteritis (p = 0.004). Rhinovirus infection increases the duration of oxygen support (p = 0.042). Coronavirus group was statistically associated with the manifestation of bronchiolitis (p = 0.009) and laryngitis (p = 0.017). Streptococcus pneumoniae DNA was detected in 143 (38.44%) of tested samples. However, only 53 samples had a concentration of C-reactive protein from equal to higher than 20 milligrams per liter, and 6 of them were single positive for Streptocuccus pneumoniae. This study confirms the high incidence of respiratory viruses in children hospitalized for acute respiratory tract infections in the Sousse area, Tunisia.</t>
  </si>
  <si>
    <t xml:space="preserve">[Brini, Ines; Hannachi, Naila; Boukadida, Jalel] Univ Sousse, Fac Med Sousse, Lab Microbiol &amp; Immunol, Sousse, Tunisia; [Brini, Ines; Hannachi, Naila; Boukadida, Jalel] Univ Hosp Farhat Hached Sousse, Res Unit Genom Characterizat Infect Agents UR12SP, Sousse, Tunisia; [Brini, Ines] Univ Monastir, Fac Pharm Monastir, Monastir, Tunisia; [Brini, Ines; Hetzer, Benjamin] Innsbruck Med Univ, Innsbruck, Austria; [Guerrero, Aida; Borena, Wegene; Schiela, Britta; Von Laer, Dorothee; Stoiber, Heribert] Innsbruck Med Univ, Div Virol, Innsbruck, Austria; [Bouhlel, Amira; Boughamoura, Lamia] Univ Hosp Farhat Hached Sousse Sousse, Pediat Serv, Sousse, Tunisia; [Orth-Hoeller, Dorothea] Innsbruck Med Univ, Div Hyg &amp; Med Microbiol, Innsbruck, Austria</t>
  </si>
  <si>
    <t xml:space="preserve">Universite de Sousse; Universite de Sousse; Hopital Farhat Hached; Universite de Monastir; Medical University of Innsbruck; Medical University of Innsbruck; Medical University of Innsbruck</t>
  </si>
  <si>
    <t xml:space="preserve">Brini, I (corresponding author), Univ Sousse, Fac Med Sousse, Lab Microbiol &amp; Immunol, Sousse, Tunisia.;Brini, I (corresponding author), Univ Hosp Farhat Hached Sousse, Res Unit Genom Characterizat Infect Agents UR12SP, Sousse, Tunisia.;Brini, I (corresponding author), Univ Monastir, Fac Pharm Monastir, Monastir, Tunisia.;Brini, I (corresponding author), Innsbruck Med Univ, Innsbruck, Austria.;Stoiber, H (corresponding author), Innsbruck Med Univ, Div Virol, Innsbruck, Austria.</t>
  </si>
  <si>
    <t xml:space="preserve">ines.brini@hotmail.com; Heribert.stoiber@i-med.ac.at</t>
  </si>
  <si>
    <t xml:space="preserve">von Laer, Dorothee/0000-0001-5825-7237; Orth-Holler, Dorothea/0000-0003-2904-5192</t>
  </si>
  <si>
    <t xml:space="preserve">FWF (Horos doctoral Program) [W1253-B24]; Innsbruck Medical University, Innsbruck, Austria; Unit Research for Genomic Characterization of Infectious Agents at Farhat Hached University-hospital of Sousse, Tunisia [UR12SP34]; Ministry of Higher Education and Scientific Research in Tunisia</t>
  </si>
  <si>
    <t xml:space="preserve">FWF (Horos doctoral Program); Innsbruck Medical University, Innsbruck, Austria; Unit Research for Genomic Characterization of Infectious Agents at Farhat Hached University-hospital of Sousse, Tunisia; Ministry of Higher Education and Scientific Research in Tunisia(Ministry of Higher Education &amp; Scientific Research of Tunisia)</t>
  </si>
  <si>
    <t xml:space="preserve">The FWF (Horos doctoral Program, W1253-B24) and Innsbruck Medical University, Innsbruck, Austria (HS): methodology of study. The Unit Research for Genomic Characterization of Infectious Agents UR12SP34 in Farhat Hached university-hospital of Sousse area in Tunisia and the Ministry of Higher Education and Scientific Research in Tunisia (J Boukadida): study design, data collection. The funders had no role in data analysis, decision to publish, or preparation of the manuscript. This study was in part supported by the FWF (Horos doctoral Program, W1253-B24), the Unit Research for Genomic Characterization of Infectious Agents UR12SP34 at Farhat Hached University-hospital of Sousse, Tunisia, and the Ministry of Higher Education and Scientific Research in Tunisia. The excellent technical assistance of Vicky Staudinger with the S. pneumoniae-qPCR is greatly appreciated. We thank statisticians from the Epidemiology ward at Farhat Hached University-hospital of Sousse, Tunisia, for providing additional instructions about the statistical calculations. We are also indebted to Pr. Khaled Ben Khadim Allah from the Medical English Department at Sousse Medical University, Tunisia, for improving the manuscript's spelling, vocabulary, and grammar.</t>
  </si>
  <si>
    <t xml:space="preserve">e0188325</t>
  </si>
  <si>
    <t xml:space="preserve">10.1371/journal.pone.0188325</t>
  </si>
  <si>
    <t xml:space="preserve">FN0DI</t>
  </si>
  <si>
    <t xml:space="preserve">WOS:000415646100038</t>
  </si>
  <si>
    <t xml:space="preserve">Esposito, S; Salice, P; Bosis, S; Ghiglia, S; Tremolati, E; Tagliabue, C; Gualtieri, L; Barbier, P; Galeone, C; Marchisio, P; Principi, N</t>
  </si>
  <si>
    <t xml:space="preserve">Esposito, Susanna; Salice, Patrizia; Bosis, Samantha; Ghiglia, Silvia; Tremolati, Elena; Tagliabue, Claudia; Gualtieri, Laura; Barbier, Paolo; Galeone, Carlotta; Marchisio, Paola; Principi, Nicola</t>
  </si>
  <si>
    <t xml:space="preserve">Altered cardiac rhythm in infants with bronchiolitis and respiratory syncytial virus infection</t>
  </si>
  <si>
    <t xml:space="preserve">Medicine; Bronchiolitis; Medical microbiology; Internal medicine</t>
  </si>
  <si>
    <t xml:space="preserve">HUMAN METAPNEUMOVIRUS; DISEASE SEVERITY; VIRAL LOAD; TROPONIN-I; CHILDREN; ASSOCIATION; ARRHYTHMIAS; INFLUENZA; IMPACT</t>
  </si>
  <si>
    <t xml:space="preserve">Background: Although the most frequent extra-pulmonary manifestations of respiratory syncytial virus (RSV) infection involve the cardiovascular system, no data regarding heart function in infants with bronchiolitis associated with RSV infection have yet been systematically collected. The aim of this study was to verify the real frequency of heart involvement in patients with bronchiolitis associated with RSV infection, and whether infants with mild or moderate disease also risk heart malfunction. Methods: A total of 69 otherwise healthy infants aged 1-12 months with bronchiolitis hospitalised in standard wards were enrolled. Pernasal flocked swabs were performed to collect specimens for the detection of RSV by real-time polymerase chain reaction, and a blood sample was drawn to assess troponin I concentrations. On the day of admission, all of the infants underwent 24-hour Holter ECG monitoring and a complete heart evaluation with echocardiography. Patients were re-evaluated by investigators blinded to the etiological and cardiac findings four weeks after enrolment. Results: Regardless of their clinical presentation, sinoatrial blocks were identified in 26/34 RSV-positive patients (76.5%) and 1/35 RSV-negative patients (2.9%) (p &lt; 0.0001). The blocks recurred more than three times over 24 hours in 25/26 RSV-positive patients (96.2%) and none of the RSV-negative infants. Mean and maximum heart rates were significantly higher in the RSV-positive infants (p &lt; 0.05), as was low-frequency power and the low and high-frequency power ratio (p &lt; 0.05). The blocks were significantly more frequent in the children with an RSV load of &gt;= 100,000 copies/mL than in those with a lower viral load (p &lt; 0.0001). Holter ECG after 28 +/- 3 days showed the complete regression of the heart abnormalities. Conclusions: RSV seems associated with sinoatrial blocks and transient rhythm alterations even when the related respiratory problems are mild or moderate. Further studies are needed to clarify the mechanisms of these rhythm problems and whether they remain asymptomatic and transient even in presence of severe respiratory involvement or chronic underlying disease.</t>
  </si>
  <si>
    <t xml:space="preserve">[Esposito, Susanna; Bosis, Samantha; Tremolati, Elena; Tagliabue, Claudia; Gualtieri, Laura; Marchisio, Paola; Principi, Nicola] Univ Milan, Dept Maternal &amp; Pediat Sci, Fdn IRCCS Ca Granda, Osped Maggiore Policlin, Milan, Italy; [Salice, Patrizia; Ghiglia, Silvia] Osped Maggiore Policlin, Cardiol Unit, Fdz IRCCS Ca Granda, Milan, Italy; [Barbier, Paolo] IRCCS, Echocardiog Lab, Ctr Cardiol Monzino, Milan, Italy; [Galeone, Carlotta] Ist Ric Farmacol Mario Negri, Dept Epidemiol, Milan, Italy; [Galeone, Carlotta] Univ Milan, Giulio A Maccacaro Sect Med Stat, Luigi Devoto Dept Occupat Hlth, Milan, Italy</t>
  </si>
  <si>
    <t xml:space="preserve">University of Milan; IRCCS Ca Granda Ospedale Maggiore Policlinico; IRCCS Ca Granda Ospedale Maggiore Policlinico; IRCCS Centro Cardiologico Monzino; Istituto di Ricerche Farmacologiche Mario Negri IRCCS; University of Milan</t>
  </si>
  <si>
    <t xml:space="preserve">Esposito, S (corresponding author), Univ Milan, Dept Maternal &amp; Pediat Sci, Fdn IRCCS Ca Granda, Osped Maggiore Policlin, Milan, Italy.</t>
  </si>
  <si>
    <t xml:space="preserve">Marchisio, Paola/J-7342-2016; Esposito, Susanna/AAA-8275-2022; Barbier, Paolo/F-6936-2018; Tagliabue, Claudia/K-2706-2016; Bosis, Samantha/K-2754-2016; Esposito, Susanna/K-3475-2016</t>
  </si>
  <si>
    <t xml:space="preserve">Barbier, Paolo/0000-0001-9242-5011; Galeone, Carlotta/0000-0003-1934-5167; Tagliabue, Claudia/0000-0003-0293-933X; Marchisio, Paola Giovanna/0000-0002-5691-3920; Bosis, Samantha/0000-0003-2288-2633; Esposito, Susanna/0000-0003-4103-2837</t>
  </si>
  <si>
    <t xml:space="preserve">The laboratory analyses were partially supported by a grant from the Italian Ministry of Health, Bando Giovani Ricercatori 2007.</t>
  </si>
  <si>
    <t xml:space="preserve">10.1186/1471-2334-10-305</t>
  </si>
  <si>
    <t xml:space="preserve">679PZ</t>
  </si>
  <si>
    <t xml:space="preserve">WOS:000284174600001</t>
  </si>
  <si>
    <t xml:space="preserve">Bennett, RS; LaRue, R; Shaw, D; Yu, QZ; Nagaraja, KV; Halvorson, DA; Njenga, MK</t>
  </si>
  <si>
    <t xml:space="preserve">A wild goose metapneumovirus containing a large attachment glycoprotein is avirulent but immunoprotective in domestic turkeys</t>
  </si>
  <si>
    <t xml:space="preserve">Biology; Metapneumovirus; Goose; Virology; Virus; Human metapneumovirus</t>
  </si>
  <si>
    <t xml:space="preserve">RESPIRATORY SYNCYTIAL VIRUS; LIVE ATTENUATED VACCINE; GENE ORDER DIFFERENT; AVIAN PNEUMOVIRUS; SUBGROUP-B; RHINOTRACHEITIS VIRUS; F-GLYCOPROTEIN; UNITED-STATES; PROTEIN GENE; SEQUENCE</t>
  </si>
  <si>
    <t xml:space="preserve">The genomic structure and composition of an avian metapneumovirus (aMPV) recently isolated from wild Canada geese (goose 15a/01) in the United States, together with its replication, virulence, and immunogenicity in domestic turkeys, were investigated. The sizes of seven of the eight genes, sequence identity, and genome organization of goose aMPV were similar to those of turkey aMPV subtype C (aMPV/C) strains, indicating that it belonged to the subtype. However, the goose virus contained the largest attachment (G) gene of any pneumovirus or metapneumovirus, with the predicted G protein of 585 amino acids (aa) more than twice the sizes of G proteins from other subtype C viruses and human metapneumovirus and more than 170 aa larger than the G proteins from the other aMPV subtypes (subtypes A, B, and D). The large G gene resulted from a 1,015-nucleotide insertion at 18 nucleotides upstream of the termination signal of the turkey aMPV/C G gene. Three other aMPV isolates from Canada geese had similarly large G genes, whereas analysis of recent aMPV strains circulating in U.S. turkeys did not indicate the presence of the goose virus-like strain. In vitro, the goose virus replicated to levels (2 x 10(5) to 5 X 10(5) 50% tissue culture infective dose) comparable to those produced by turkey aMPV/C strains. More importantly, the virus replicated efficiently in the upper respiratory tract of domestic turkeys but with no clinical signs in either day-old or 2-week-old turkeys. The virus was also horizontally transmitted to naive birds, and turkey infections with goose 15a/01 induced production of aMPV-specific antibodies. Challenging day-old or 2-week-old turkeys vaccinated with live goose aMPV resulted in lower clinical scores in 33% of the birds, whereas the rest of the birds had no detectable clinical signs of the upper respiratory disease, suggesting that the mutant virus may be a safe and effective vaccine against aMPV infection outbreaks in commercial turkeys.</t>
  </si>
  <si>
    <t xml:space="preserve">Univ Minnesota, Dept Vet &amp; Biomed Sci, St Paul, MN 55108 USA; Penn State Univ, Anim Diagnost Lab, University Pk, PA 16802 USA; USDA ARS, SE Poultry Res Lab, Athens, GA 30605 USA</t>
  </si>
  <si>
    <t xml:space="preserve">University of Minnesota System; University of Minnesota Twin Cities; Pennsylvania Commonwealth System of Higher Education (PCSHE); Pennsylvania State University; Pennsylvania State University - University Park; United States Department of Agriculture (USDA)</t>
  </si>
  <si>
    <t xml:space="preserve">njeng001@umn.edu</t>
  </si>
  <si>
    <t xml:space="preserve">Yu, Qingzhong/0000-0003-0386-793X; Bennett, Richard/0000-0002-7227-4831</t>
  </si>
  <si>
    <t xml:space="preserve">10.1128/JVI.79.23.14834-14842.2005</t>
  </si>
  <si>
    <t xml:space="preserve">WOS:000233279300038</t>
  </si>
  <si>
    <t xml:space="preserve">Razanajatovo, NH; Richard, V; Hoffmann, J; Reynes, JM; Razafitrimo, GM; Randremanana, RV; Heraud, JM</t>
  </si>
  <si>
    <t xml:space="preserve">Razanajatovo, Norosoa Harline; Richard, Vincent; Hoffmann, Jonathan; Reynes, Jean-Marc; Razafitrimo, Girard Marcellin; Randremanana, Rindra Vatosoa; Heraud, Jean-Michel</t>
  </si>
  <si>
    <t xml:space="preserve">Viral Etiology of Influenza-Like Illnesses in Antananarivo, Madagascar, July 2008 to June 2009</t>
  </si>
  <si>
    <t xml:space="preserve">Virus; Virology; Rhinovirus; Influenza-like illness; Medicine; Sore throat</t>
  </si>
  <si>
    <t xml:space="preserve">RESPIRATORY SYNCYTIAL VIRUS; REAL-TIME PCR; HOSPITALIZED CHILDREN; HUMAN METAPNEUMOVIRUS; SEASONAL INFLUENZA; TRACT INFECTIONS; CORONAVIRUS; DIAGNOSIS; DISEASE; ASSAY</t>
  </si>
  <si>
    <t xml:space="preserve">Background: In Madagascar, despite an influenza surveillance established since 1978, little is known about the etiology and prevalence of viruses other than influenza causing influenza-like illnesses (ILIs). Methodology/Principal Findings: From July 2008 to June 2009, we collected respiratory specimens from patients who presented ILIs symptoms in public and private clinics in Antananarivo (the capital city of Madagascar). ILIs were defined as body temperature &gt;= 38 degrees C and cough and at least two of the following symptoms: sore throat, rhinorrhea, headache and muscular pain, for a maximum duration of 3 days. We screened these specimens using five multiplex real time Reverse Transcription and/or Polymerase Chain Reaction assays for detection of 14 respiratory viruses. We detected respiratory viruses in 235/313 (75.1%) samples. Overall influenza virus A (27.3%) was the most common virus followed by rhinovirus (24.8%), RSV (21.2%), adenovirus (6.1%), coronavirus OC43 (6.1%), influenza virus B (3.9%), parainfluenza virus-3 (2.9%), and parainfluenza virus-1 (2.3%). Co-infections occurred in 29.4% (69/235) of infected patients and rhinovirus was the most detected virus (27.5%). Children under 5 years were more likely to have one or more detectable virus associated with their ILI. In this age group, compared to those &gt;= 5 years, the risk of detecting more than one virus was higher (OR = 1.9), as was the risk of detecting of RSV (OR = 10.1) and adenovirus (OR = 4.7). While rhinovirus and adenovirus infections occurred year round, RSV, influenza virus A and coronavirus OC43 had defined period of circulation. Conclusions: In our study, we found that respiratory viruses play an important role in ILIs in the Malagasy community, particularly in children under 5 years old. These data provide a better understanding of the viral etiology of outpatients with ILI and describe for the first time importance of these viruses in different age group and their period of circulation.</t>
  </si>
  <si>
    <t xml:space="preserve">[Razanajatovo, Norosoa Harline; Hoffmann, Jonathan; Reynes, Jean-Marc; Razafitrimo, Girard Marcellin; Heraud, Jean-Michel] Inst Pasteur Madagascar, Virol Unit, Natl Influenza Ctr, Antananarivo, Madagascar; [Richard, Vincent; Randremanana, Rindra Vatosoa] IPM, Epidemiol Unit, Antananarivo, Madagascar</t>
  </si>
  <si>
    <t xml:space="preserve">Pasteur Network; Institut Pasteur Madagascar</t>
  </si>
  <si>
    <t xml:space="preserve">Heraud, JM (corresponding author), Inst Pasteur Madagascar, Virol Unit, Natl Influenza Ctr, Antananarivo, Madagascar.</t>
  </si>
  <si>
    <t xml:space="preserve">jmheraud@pasteur.mg</t>
  </si>
  <si>
    <t xml:space="preserve">Reynes, Jean-Marc/M-6108-2014; HERAUD, Jean-Michel/O-1464-2013</t>
  </si>
  <si>
    <t xml:space="preserve">HOFFMANN, JONATHAN/0000-0002-2400-8862; HERAUD, Jean-Michel/0000-0003-1107-0859; Vincent, RICHARD/0000-0002-6961-1753; Reynes, Jean-Marc/0000-0002-3712-941X</t>
  </si>
  <si>
    <t xml:space="preserve">WHO Geneva [OD/AP-08-02451]; Sanofi-Pasteur; French Ministry of Health; US Centers for Disease Control and Prevention [U51/IP000327-01]; US Department of Health and Human Service via the International Network of Pasteur Institutes [6 IDSEP060001-01-01]</t>
  </si>
  <si>
    <t xml:space="preserve">WHO Geneva(World Health Organization); Sanofi-Pasteur; French Ministry of Health; US Centers for Disease Control and Prevention(United States Department of Health &amp; Human ServicesCenters for Disease Control &amp; Prevention - USA); US Department of Health and Human Service via the International Network of Pasteur Institutes</t>
  </si>
  <si>
    <t xml:space="preserve">This work was supported by WHO Geneva (APW/Ref. OD/AP-08-02451), Sanofi-Pasteur, the French Ministry of Health, the US Centers for Disease Control and Prevention (Cooperative Agreement Number: U51/IP000327-01) and the US Department of Health and Human Service (Grant Number 6 IDSEP060001-01-01) via the International Network of Pasteur Institutes. The authors are therefore grateful to Wenqing Zhang from WHO Geneva, Beatrice Barret and Myriam Beigeaud from Sanofi Pasteur and Kathleen Victoir and Marc Jouan from the International Network of Pasteur Institutes. The funders had no role in study design, data collection and analysis, decision to publish, or preparation of the manuscript.</t>
  </si>
  <si>
    <t xml:space="preserve">e17579</t>
  </si>
  <si>
    <t xml:space="preserve">10.1371/journal.pone.0017579</t>
  </si>
  <si>
    <t xml:space="preserve">729QI</t>
  </si>
  <si>
    <t xml:space="preserve">WOS:000287965200029</t>
  </si>
  <si>
    <t xml:space="preserve">Feikin, DR; Njenga, MK; Bigogo, G; Aura, B; Aol, G; Audi, A; Jagero, G; Muluare, PO; Gikunju, S; Nderitu, L; Balish, A; Winchell, J; Schneider, E; Erdman, D; Oberste, MS; Katz, MA; Breiman, RF</t>
  </si>
  <si>
    <t xml:space="preserve">Feikin, Daniel R.; Njenga, M. Kariuki; Bigogo, Godfrey; Aura, Barrack; Aol, George; Audi, Allan; Jagero, Geoffrey; Muluare, Peter Ochieng; Gikunju, Stella; Nderitu, Leonard; Balish, Amanda; Winchell, Jonas; Schneider, Eileen; Erdman, Dean; Oberste, M. Steven; Katz, Mark A.; Breiman, Robert F.</t>
  </si>
  <si>
    <t xml:space="preserve">Etiology and Incidence of Viral and Bacterial Acute Respiratory Illness among Older Children and Adults in Rural Western Kenya, 2007-2010</t>
  </si>
  <si>
    <t xml:space="preserve">Medicine; Mycoplasma pneumoniae; Incidence (geometry); Streptococcus pneumoniae; Rhinovirus</t>
  </si>
  <si>
    <t xml:space="preserve">HIV-INFECTED ADULTS; COMMUNITY-ACQUIRED PNEUMONIA; REAL-TIME PCR; HOSPITALIZED CHILDREN; SYNCYTIAL VIRUS; MYCOPLASMA-PNEUMONIAE; HUMAN BOCAVIRUS; UGANDAN ADULTS; MORTALITY; DIAGNOSIS</t>
  </si>
  <si>
    <t xml:space="preserve">Background: Few comprehensive data exist on disease incidence for specific etiologies of acute respiratory illness (ARI) in older children and adults in Africa. Methodology/Principal Findings: From March 1, 2007, to February 28, 2010, among a surveillance population of 21,420 persons &gt;5 years old in rural western Kenya, we collected blood for culture and malaria smears, nasopharyngeal and oropharyngeal swabs for quantitative real-time PCR for ten viruses and three atypical bacteria, and urine for pneumococcal antigen testing on outpatients and inpatients meeting a ARI case definition (cough or difficulty breathing or chest pain and temperature &gt;38.0 degrees C or oxygen saturation &lt;90% or hospitalization). We also collected swabs from asymptomatic controls, from which we calculated pathogen-attributable fractions, adjusting for age, season, and HIV-status, in logistic regression. We calculated incidence by pathogen, adjusting for health-seeking for ARI and pathogen-attributable fractions. Among 3,406 ARI patients &gt;5 years old (adjusted annual incidence 12.0 per 100 person-years), influenza A virus was the most common virus (22% overall; 11% inpatients, 27% outpatients) and Streptococcus pneumoniae was the most common bacteria (16% overall; 23% inpatients, 14% outpatients), yielding annual incidences of 2.6 and 1.7 episodes per 100 person-years, respectively. Influenza A virus, influenza B virus, respiratory syncytial virus (RSV) and human metapneumovirus were more prevalent in swabs among cases (22%, 6%, 8% and 5%, respectively) than controls. Adenovirus, parainfluenza viruses, rhinovirus/enterovirus, parechovirus, and Mycoplasma pneumoniae were not more prevalent among cases than controls. Pneumococcus and non-typhi Salmonella were more prevalent among HIV-infected adults, but prevalence of viruses was similar among HIV-infected and HIV-negative individuals. ARI incidence was highest during peak malaria season. Conclusions/Signficance: Vaccination against influenza and pneumococcus (by potential herd immunity from childhood vaccination or of HIV-infected adults) might prevent much of the substantial ARI incidence among persons &gt;5 years old in similar rural African settings.</t>
  </si>
  <si>
    <t xml:space="preserve">[Feikin, Daniel R.; Njenga, M. Kariuki; Bigogo, Godfrey; Aura, Barrack; Aol, George; Audi, Allan; Jagero, Geoffrey; Muluare, Peter Ochieng; Gikunju, Stella; Nderitu, Leonard; Breiman, Robert F.] Ctr Dis Control &amp; Prevent, Global Dis Detect Div, Int Emerging Infect Program, Kisumu, Kenya; [Feikin, Daniel R.; Njenga, M. Kariuki; Bigogo, Godfrey; Aura, Barrack; Aol, George; Audi, Allan; Jagero, Geoffrey; Muluare, Peter Ochieng; Gikunju, Stella; Nderitu, Leonard; Katz, Mark A.; Breiman, Robert F.] Ctr Dis Control &amp; Prevent, Kenya Med Res Inst, Publ Hlth &amp; Res Collaborat, Kisumu, Kenya; [Balish, Amanda; Winchell, Jonas; Schneider, Eileen; Erdman, Dean; Oberste, M. Steven; Katz, Mark A.] Ctr Dis Control &amp; Prevent, Natl Ctr Immunizat &amp; Resp Dis, Atlanta, GA USA</t>
  </si>
  <si>
    <t xml:space="preserve">Feikin, DR (corresponding author), Ctr Dis Control &amp; Prevent, Global Dis Detect Div, Int Emerging Infect Program, Kisumu, Kenya.</t>
  </si>
  <si>
    <t xml:space="preserve">Bigogo, Godfrey/W-3591-2019; Jagero, Geofrey/AAE-6835-2021; Breiman, Robert/ISS-4450-2023</t>
  </si>
  <si>
    <t xml:space="preserve">Breiman, Robert/0000-0002-7099-2936; Audi, Allan/0000-0003-1683-554X</t>
  </si>
  <si>
    <t xml:space="preserve">Core Funding of the International Emerging Infections Program of CDC</t>
  </si>
  <si>
    <t xml:space="preserve">Core Funding of the International Emerging Infections Program of CDC(United States Department of Health &amp; Human ServicesCenters for Disease Control &amp; Prevention - USA)</t>
  </si>
  <si>
    <t xml:space="preserve">The funding for this project is from Core Funding of the International Emerging Infections Program of CDC. The findings and conclusions are those of the authors and do not necessarily represent the views of the Centers for Disease Control and Prevention. The funders had no role in study design, data collection and analysis, decision to publish, or preparation of the manuscript.</t>
  </si>
  <si>
    <t xml:space="preserve">e43656</t>
  </si>
  <si>
    <t xml:space="preserve">10.1371/journal.pone.0043656</t>
  </si>
  <si>
    <t xml:space="preserve">998GM</t>
  </si>
  <si>
    <t xml:space="preserve">WOS:000308225500073</t>
  </si>
  <si>
    <t xml:space="preserve">Kengne-Nde, C; Kenmoe, S; Modiyinji, AF; Njouom, R</t>
  </si>
  <si>
    <t xml:space="preserve">Kengne-Nde, Cyprien; Kenmoe, Sebastien; Modiyinji, Abdou Fatawou; Njouom, Richard</t>
  </si>
  <si>
    <t xml:space="preserve">Prevalence of respiratory viruses using polymerase chain reaction in children with wheezing, a systematic review and meta-analysis</t>
  </si>
  <si>
    <t xml:space="preserve">Meta-analysis; Polymerase chain reaction; Respiratory system</t>
  </si>
  <si>
    <t xml:space="preserve">SYNCYTIAL VIRUS; HUMAN METAPNEUMOVIRUS; HUMAN BOCAVIRUS; VIRAL-INFECTIONS; YOUNG-CHILDREN; LUNG-FUNCTION; RISK-FACTORS; RHINOVIRUS; ASTHMA; BRONCHIOLITIS</t>
  </si>
  <si>
    <t xml:space="preserve">Introduction Wheezing is a major problem in children, and respiratory viruses are often believed to be the causative agent. While molecular detection tools enable identification of respiratory viruses in wheezing children, it remains unclear if and how these viruses are associated with wheezing. The objective of this systematic review is to clarify the prevalence of different respiratory viruses in children with wheezing. Methods We performed an electronic in Pubmed and Global Index Medicus on 01 July 2019 and manual search. We performed search of studies that have detected common respiratory viruses in children &lt;= 18 years with wheezing. We included only studies using polymerase chain reaction (PCR) assays. Study data were extracted and the quality of articles assessed. We conducted sensitivity, subgroup, publication bias, and heterogeneity analyses using a random effects model. Results The systematic review included 33 studies. Rhinovirus, with a prevalence of 35.6% (95% CI 24.6-47.3, I-2 98.4%), and respiratory syncytial virus, at 31.0% (95% CI 19.9-43.3, I-2 96.4%), were the most common viruses detected. The prevalence of other respiratory viruses was as follows: human bocavirus 8.1% (95% CI 5.3-11.3, I-2 84.6%), human adenovirus 7.7% (95% CI 2.6-15.0, I-2 91.0%), influenza virus6.5% (95% CI 2.2-12.6, I-2 92.4%), human metapneumovirus5.8% (95% CI 3.4-8.8, I-2 89.0%), enterovirus 4.3% (95% CI 0.1-12.9, I-2 96.2%), human parainfluenza virus 3.8% (95% CI 1.5-6.9, I-2 79.1%), and human coronavirus 2.2% (95% CI 0.6-4.4, I-2 79.4%). Conclusions Our results suggest that rhinovirus and respiratory syncytial virus may contribute to the etiology of wheezing in children. While the clinical implications of molecular detection of respiratory viruses remains an interesting question, this study helps to illuminate the potential of role respiratory viruses in pediatric wheezing. Review registration PROSPERO, CRD42018115128.</t>
  </si>
  <si>
    <t xml:space="preserve">[Kengne-Nde, Cyprien] Natl AIDS Control Comm, Epidemiol Surveillance Evaluat &amp; Res Unit, Yaounde, Cameroon; [Kenmoe, Sebastien; Modiyinji, Abdou Fatawou; Njouom, Richard] Ctr Pasteur Cameroon, Dept Virol, Yaounde, Cameroon; [Modiyinji, Abdou Fatawou] Univ Yaounde I, Dept Anim Biol &amp; Physiol, Fac Sci, Yaounde, Cameroon</t>
  </si>
  <si>
    <t xml:space="preserve">Njouom, R (corresponding author), Ctr Pasteur Cameroon, Dept Virol, Yaounde, Cameroon.</t>
  </si>
  <si>
    <t xml:space="preserve">NDE, Cyprien/AAM-7309-2020; Kenmoe, Sebastien/J-9678-2019</t>
  </si>
  <si>
    <t xml:space="preserve">KENMOE, SEBASTIEN/0000-0002-5536-080X; KENGNE NDE, CYPRIEN/0000-0002-8338-2221</t>
  </si>
  <si>
    <t xml:space="preserve">e0243735</t>
  </si>
  <si>
    <t xml:space="preserve">10.1371/journal.pone.0243735</t>
  </si>
  <si>
    <t xml:space="preserve">PH1MP</t>
  </si>
  <si>
    <t xml:space="preserve">WOS:000600186100079</t>
  </si>
  <si>
    <t xml:space="preserve">Verani, JR; McCracken, J; Arvelo, W; Estevez, A; Lopez, MR; Reyes, L; Moir, JC; Bernart, C; Moscoso, F; Gray, J; Olsen, SJ; Lindblade, KA</t>
  </si>
  <si>
    <t xml:space="preserve">Verani, Jennifer R.; McCracken, John; Arvelo, Wences; Estevez, Alejandra; Renee Lopez, Maria; Reyes, Lissette; Carlos Moir, Juan; Bernart, Chris; Moscoso, Fabiola; Gray, Jennifer; Olsen, Sonja J.; Lindblade, Kim A.</t>
  </si>
  <si>
    <t xml:space="preserve">Surveillance for Hospitalized Acute Respiratory Infection in Guatemala</t>
  </si>
  <si>
    <t xml:space="preserve">Medicine; Human metapneumovirus; Mycoplasma pneumoniae; Chest radiograph; Pneumonia; Population; Streptococcus pneumoniae</t>
  </si>
  <si>
    <t xml:space="preserve">COMMUNITY-ACQUIRED PNEUMONIA; SYNCYTIAL VIRUS-INFECTIONS; CLINICAL CHARACTERISTICS; YOUNG-CHILDREN; EPIDEMIOLOGY; DIAGNOSIS; ETIOLOGY; RADIOGRAPHS; POPULATION; AMERICA</t>
  </si>
  <si>
    <t xml:space="preserve">Acute respiratory infections (ARI) are an important cause of illness and death worldwide, yet data on the etiology of ARI and the population-level burden in developing countries are limited. Surveillance for ARI was conducted at two hospitals in Guatemala. Patients admitted with at least one sign of acute infection and one sign or symptom of respiratory illness met the criteria for a case of hospitalized ARI. Nasopharyngeal/oropharyngeal swabs were collected and tested by polymerase chain reaction for adenovirus, parainfluenza virus types 1,2 and 3, respiratory syncytial virus, influenza A and B viruses, human metapneumovirus, Chlamydia pneumioniae, and Mycoplasma pneumoniae. Urine specimens were tested for Streptococcus pneumoniae antigen. Blood culture and chest radiograph were done at the discretion of the treating physician. Between November 2007 and December 2011, 3,964 case-patients were enrolled. While cases occurred among all age groups, 2,396 (60.4%) cases occurred in children &lt;5 years old and 463 (11.7%) among adults &gt;= 65 years old. Viruses were found in 52.6% of all case-patients and 71.8% of those aged &lt;1 year old; the most frequently detected was respiratory syncytial virus, affecting 26.4% of case-patients. Urine antigen testing for Streptococcus pneumoniae performed for case-patients &gt;= 15 years old was positive in 15.1% of those tested. Among 2,364 (59.6%) of case-patients with a radiograph, 907 (40.0%) had findings suggestive of bacterial pneumonia. Overall, 230 (5.9%) case-patients died during the hospitalization. Using population denominators, the observed hospitalized ARI incidence was 128 cases per 100,000, with the highest rates seen among children &lt;1 year old (1,703 per 100,000), followed by adults &gt;= 65 years old (292 per 100,000). These data, which demonstrate a substantial burden of hospitalized ARI in Guatemala due to a variety of pathogens, can help guide public health policies aimed at reducing the burden of illness and death due to respiratory infections.</t>
  </si>
  <si>
    <t xml:space="preserve">[Verani, Jennifer R.] Ctr Dis Control &amp; Prevent, Resp Dis Branch, Atlanta, GA 30333 USA; [McCracken, John; Estevez, Alejandra; Renee Lopez, Maria; Bernart, Chris; Moscoso, Fabiola; Gray, Jennifer] Univ Valle Guatemala, Ctr Estudios Salud, Guatemala City, Guatemala; [Arvelo, Wences; Lindblade, Kim A.] Ctr Dis Control &amp; Prevent, Reg Off Cent Amer &amp; Panama, Int Emerging Infect Program, Guatemala City, Guatemala; [Arvelo, Wences; Lindblade, Kim A.] Ctr Dis Control &amp; Prevent, Div Global Dis Detect &amp; Emergency Response, Atlanta, GA USA; [Reyes, Lissette] Minist Salud Publ &amp; Asistencia Social, Field Epidemiol Training Program, Guatemala City, Guatemala; [Reyes, Lissette] Minist Salud Publ &amp; Asistencia Social, Area Salud Santa Rosa, Cuilapa, Guatemala; [Carlos Moir, Juan] Minist Salud Publ &amp; Asistencia Social, Area Salud Quetzaltenango, Quetzaltenango, Guatemala; [Olsen, Sonja J.] Ctr Dis Control &amp; Prevent, Influenza Div, Atlanta, GA USA</t>
  </si>
  <si>
    <t xml:space="preserve">Centers for Disease Control &amp; Prevention - USA; Universidad del Valle de Guatemala; Centers for Disease Control &amp; Prevention - USA; Centers for Disease Control &amp; Prevention - USA</t>
  </si>
  <si>
    <t xml:space="preserve">Verani, JR (corresponding author), Ctr Dis Control &amp; Prevent, Resp Dis Branch, Atlanta, GA 30333 USA.</t>
  </si>
  <si>
    <t xml:space="preserve">qzr7@cdc.gov</t>
  </si>
  <si>
    <t xml:space="preserve">United States Centers for Disease Control and Prevention (CDC) [UO1 GH000028-02]</t>
  </si>
  <si>
    <t xml:space="preserve">United States Centers for Disease Control and Prevention (CDC)(United States Department of Health &amp; Human ServicesCenters for Disease Control &amp; Prevention - USA)</t>
  </si>
  <si>
    <t xml:space="preserve">This publication was supported by Cooperative Agreement Number UO1 GH000028-02 from the United States Centers for Disease Control and Prevention (CDC). The CDC participated in all aspects of study design, data collection, data analysis and manuscript preparation.</t>
  </si>
  <si>
    <t xml:space="preserve">e83600</t>
  </si>
  <si>
    <t xml:space="preserve">10.1371/journal.pone.0083600</t>
  </si>
  <si>
    <t xml:space="preserve">284NF</t>
  </si>
  <si>
    <t xml:space="preserve">WOS:000329325200089</t>
  </si>
  <si>
    <t xml:space="preserve">Jayaweera, JAAS; Morel, AJ; Abeykoon, AMSB; Pitchai, FNN; Kothalawela, HS; Peiris, JSM; Noordeen, F</t>
  </si>
  <si>
    <t xml:space="preserve">Jayaweera, J. A. A. S.; Morel, A. J.; Abeykoon, A. M. S. B.; Pitchai, F. N. N.; Kothalawela, H. S.; Peiris, J. S. M.; Noordeen, F.</t>
  </si>
  <si>
    <t xml:space="preserve">Viral burden and diversity in acute respiratory tract infections in hospitalized children in wet and dry zones of Sri Lanka</t>
  </si>
  <si>
    <t xml:space="preserve">Wet season; Virus; Case fatality rate</t>
  </si>
  <si>
    <t xml:space="preserve">SYNCYTIAL VIRUS-INFECTION; REAL-TIME; MEDICAL PROGRESS; AIR-POLLUTION; PCR ASSAY; EPIDEMIOLOGY; PNEUMONIA; BRONCHIOLITIS; SEASONALITY; DIAGNOSIS</t>
  </si>
  <si>
    <t xml:space="preserve">The present study was done to identify the viral diversity, seasonality and burden associated with childhood acute respiratory tract infection (ARTI) in Sri Lanka. Nasopharyngeal aspirates (NPA) of hospitalized children (1 month-5 years) with ARTI were collected in 2 centers (wet and dry zones) from March 2013 to August 2014. Respiratory viral antigen detection by immunofluorescence assay (IFA) was used to identify the infecting viruses. IFA negative 100 NPA samples were tested for human metapeumovirus (hMPV), human bocavirus and corona viruses by polymerase chain reaction. Of the 443 and 418 NPAs, 37.2% and 39.4% were positive for any of the 8 different respiratory viruses tested from two centers studied. Viral co-infection was detected with respiratory syncytial virus (RSV) in both centers. Peak viral detection was noted in the wet zone from May-July 2013 and 2014 and in the dry zone from December-January 2014 suggesting a local seasonality for viral ARTI. RSV showed a clear seasonality with a direct correlation of monthly RSV infections with rainy days in the wet zone and an inverse correlation with temperature in both centers. The case fatality rate was 2.7% for RSV associated ARTI. The overall disability adjusted life years was 335.9 and for RSV associated ARTI it was 241.8. RSV was the commonly detected respiratory virus with an annual seasonality and distribution in rainy seasons in the dry and wet zones of Sri Lanka. Identifying the virus and seasonality will contribute to employ preventive measures and reduce the empirical use of antibiotics in resource limited settings.</t>
  </si>
  <si>
    <t xml:space="preserve">[Jayaweera, J. A. A. S.] Rajarata Univ Sri Lanka, Fac Med &amp; Allied Sci, Dept Microbiol, Saliyapura, Sri Lanka; [Jayaweera, J. A. A. S.; Abeykoon, A. M. S. B.; Pitchai, F. N. N.; Kothalawela, H. S.; Noordeen, F.] Univ Peradeniya, Fac Med, Dept Microbiol, Peradeniya, Sri Lanka; [Morel, A. J.] Teaching Hosp, Gampola, Gampola, Sri Lanka; [Peiris, J. S. M.] Univ Hong Kong, Sch Publ Hlth, Pok Fu Lam, Hong Kong, Peoples R China</t>
  </si>
  <si>
    <t xml:space="preserve">Rajarata University of Sri Lanka; University of Peradeniya; University of Hong Kong</t>
  </si>
  <si>
    <t xml:space="preserve">Noordeen, F (corresponding author), Univ Peradeniya, Fac Med, Dept Microbiol, Peradeniya, Sri Lanka.</t>
  </si>
  <si>
    <t xml:space="preserve">faseeha.noordeen12@gmail.com</t>
  </si>
  <si>
    <t xml:space="preserve">Jayaweera, Jayaweera/E-8517-2016; Peiris, Joseph/C-4380-2009</t>
  </si>
  <si>
    <t xml:space="preserve">Noordeen, Faseeha/0000-0002-2018-0606; Pitchai, Fathima/0000-0002-5110-7604</t>
  </si>
  <si>
    <t xml:space="preserve">DEC 17</t>
  </si>
  <si>
    <t xml:space="preserve">e0259443</t>
  </si>
  <si>
    <t xml:space="preserve">10.1371/journal.pone.0259443</t>
  </si>
  <si>
    <t xml:space="preserve">YZ0LO</t>
  </si>
  <si>
    <t xml:space="preserve">WOS:000755175100005</t>
  </si>
  <si>
    <t xml:space="preserve">De la Puerta, R; Montoro, J; Aznar, C; Lorenzo, I; González-Barberá, EM; Balaguer-Roselló, A; Guerreiro, M; Domínguez, L; Salavert, M; Aguilar, C; de la Rubia, J; Sanz, J; Gómez, MD; Piñana, JL</t>
  </si>
  <si>
    <t xml:space="preserve">De la Puerta, Rosalia; Montoro, Juan; Aznar, Carla; Lorenzo, Ignacio; Maria Gonzalez-Barbera, Eva; Balaguer-Rosello, Aitana; Guerreiro, Manuel; Dominguez, Lara; Salavert, Miguel; Aguilar, Cristobal; de la Rubia, Javier; Sanz, Jaime; Dolores Gomez, Maria; Luis Pinana, Jose</t>
  </si>
  <si>
    <t xml:space="preserve">Common seasonal respiratory virus infections in allogeneic stem cell transplant recipients during the SARS-COV-2 pandemic</t>
  </si>
  <si>
    <t xml:space="preserve">Medicine; Epidemiology; Pandemic; Respiratory system; Hematopoietic stem cell transplantation</t>
  </si>
  <si>
    <t xml:space="preserve">The SARS-COV-2 pandemic has led to strict and generalized transmission prevention measures that may have changed the epidemiological landscape of common seasonal respiratory virus (CSRV). Through a prospective CSRV survey program conducted from 2016 onwards in allogeneic stem cell transplant (allo-HSCT) recipients with respiratory symptoms, we aimed to analyze and compare the epidemiology and characteristics of CSRV over three consecutive periods [from February 1 to September 30 of 2018 (P1), 2019 (P2), and 2020 (P3)]. CSRV screening was performed through multiplex PCR assays during the study period. We identified 188 consecutive allo-HSCT recipients with 406 episodes screened for CSRV during the study period, of which 147 developed 300 CSRV. In P1 and P2 we diagnosed 115 (38.3%) and 145 (48.3%) CSRV episodes, respectively, whereas in P3 only 40 (13.3%) episodes were detected (p &lt; 0.001). During P3, we observed a reduction of 80.2% in Ev/Rh, 93.3% in RSV, 80% in hIV, 96.3% HPIV, 68.4% in hMPV, 77.7% in ADV, 100% in HBoV, and 53.6% in HCoV as compared to P1 and P2. Consequently, we also observed a decline in absolute numbers of lower respiratory tract disease (68.1%), co-infections (91.7%), and hospitalizations (72.6%) during P3. We diagnosed SARS-COV-2 in nine allo-HSCT recipients, representing 23% of all CSRV detections in that period. In conclusion, we provide evidence of a significant drop in CSRV circulation during the SARS-COV-2 pandemic in our allo-HSCT recipients, indicating that prevention measures in the general population are highly effective in reducing CSRV prevalence and its complications in immunocompromised patients.</t>
  </si>
  <si>
    <t xml:space="preserve">[De la Puerta, Rosalia; Montoro, Juan; Lorenzo, Ignacio; Balaguer-Rosello, Aitana; Guerreiro, Manuel; Dominguez, Lara; Aguilar, Cristobal; de la Rubia, Javier; Sanz, Jaime; Luis Pinana, Jose] Hosp Univ &amp; Politecn La Fe, Hematol Dept, Valencia, Spain; [Aznar, Carla; Sanz, Jaime] Hosp Univ &amp; Politecn La Fe, Outpatient Hematol Oncol Nursing Unit, Valencia, Spain; [Maria Gonzalez-Barbera, Eva; Dolores Gomez, Maria] Hosp Univ &amp; Politecn La Fe, Microbiol Dept, Valencia, Spain; [Salavert, Miguel] Hosp Univ &amp; Politecn La Fe, Dept Infect Dis, Valencia, Spain; [Luis Pinana, Jose] Hosp Clin Univ Valencia, Hematol Dept, Valencia, Spain; [Luis Pinana, Jose] Hosp Clin Univ Valencia, Fdn INCLIVA, Inst Invest Sanitaria, Valencia, Spain</t>
  </si>
  <si>
    <t xml:space="preserve">Hospital Universitari i Politecnic La Fe; Hospital Universitari i Politecnic La Fe; Hospital Universitari i Politecnic La Fe; Hospital Universitari i Politecnic La Fe</t>
  </si>
  <si>
    <t xml:space="preserve">Piñana, JL (corresponding author), Hosp Univ &amp; Politecn La Fe, Hematol Dept, Valencia, Spain.;Piñana, JL (corresponding author), Hosp Clin Univ Valencia, Hematol Dept, Valencia, Spain.;Piñana, JL (corresponding author), Hosp Clin Univ Valencia, Fdn INCLIVA, Inst Invest Sanitaria, Valencia, Spain.</t>
  </si>
  <si>
    <t xml:space="preserve">Aguilar, Cristobal/F-2725-2013; Piñana, Jose-Luis/J-9996-2015; De Las Rivas, Javier/G-5936-2014; Sanz, Jaime/K-7141-2019; Aguilar-Gallardo, Cristobal/I-1841-2017</t>
  </si>
  <si>
    <t xml:space="preserve">Salavert Lleti, Miguel/0000-0002-8571-2124; Sanz, Jaime/0000-0001-6934-4619; Aguilar-Gallardo, Cristobal/0000-0002-1594-3648; Direito de Morais Guerreiro, Manuel Nuno/0000-0001-5978-2578; Balaguer Rosello, Aitana/0000-0003-1633-2918; Montoro, Juan/0000-0003-0024-8068</t>
  </si>
  <si>
    <t xml:space="preserve">10.1038/s41409-021-01319-5</t>
  </si>
  <si>
    <t xml:space="preserve">UL2IE</t>
  </si>
  <si>
    <t xml:space="preserve">WOS:000647040500002</t>
  </si>
  <si>
    <t xml:space="preserve">Hirsch, A; Katz, MA; Peretz, AL; Greenberg, D; Wendlandt, R; Avni, YS; Newes-Adeyi, G; Gofer, I; Leventer-Roberts, M; Davidovitch, N; Rosenthal, A; Gur-Arie, R; Hertz, T; Glatman-Freedman, A; Monto, AS; Azziz-Baumgartner, E; Ferdinands, JM; Martin, ET; Malosh, RE; Quijandría, JMN; Levine, M; Campbell, W; Balicer, R; Thompson, MG</t>
  </si>
  <si>
    <t xml:space="preserve">Hirsch, Avital; Katz, Mark A.; Peretz, Alon Laufer; Greenberg, David; Wendlandt, Rachael; Avni, Yonat Shemer; Newes-Adeyi, Gabriella; Gofer, Ilan; Leventer-Roberts, Maya; Davidovitch, Nadav; Rosenthal, Anat; Gur-Arie, Rachel; Hertz, Tomer; Glatman-Freedman, Aharona; Monto, Arnold S.; Azziz-Baumgartner, Eduardo; Ferdinands, Jill Morris; Martin, Emily Toth; Malosh, Ryan E.; Neyra Quijandria, Joan Manuel; Levine, Min; Campbell, William; Balicer, Ran; Thompson, Mark G.</t>
  </si>
  <si>
    <t xml:space="preserve">SHIRI Workgrp</t>
  </si>
  <si>
    <t xml:space="preserve">Study of Healthcare Personnel with Influenza and other Respiratory Viruses in Israel (SHIRI): study protocol</t>
  </si>
  <si>
    <t xml:space="preserve">Medicine; Vaccination; Influenza vaccine; Cohort; Medical microbiology; Influenza-like illness; Health care</t>
  </si>
  <si>
    <t xml:space="preserve">SEASONAL INFLUENZA; ANTIBODY-RESPONSE; VACCINATION; WORKERS; INFECTION; ILLNESS; EFFICACY; VACCINES; DISEASE; IMPACT</t>
  </si>
  <si>
    <t xml:space="preserve">BackgroundThe Study of Healthcare Personnel with Influenza and other Respiratory Viruses in Israel (SHIRI) prospectively follows a cohort of healthcare personnel (HCP) in two hospitals in Israel. SHIRI will describe the frequency of influenza virus infections among HCP, identify predictors of vaccine acceptance, examine how repeated influenza vaccination may modify immunogenicity, and evaluate influenza vaccine effectiveness in preventing influenza illness and missed work.MethodsCohort enrollment began in October, 2016; a second year of the study and a second wave of cohort enrollment began in June 2017. The study will run for at least 3years and will follow approximately 2000 HCP (who are both employees and members of Clalit Health Services [CHS]) with routine direct patient contact. Eligible HCP are recruited using a stratified sampling strategy. After informed consent, participants complete a brief enrollment survey with questions about occupational responsibilities and knowledge, attitudes, and practices about influenza vaccines. Blood samples are collected at enrollment and at the end of influenza season; HCP who choose to be vaccinated contribute additional blood one month after vaccination. During the influenza season, participants receive twice-weekly short message service (SMS) messages asking them if they have acute respiratory illness or febrile illness (ARFI) symptoms. Ill participants receive follow-up SMS messages to confirm illness symptoms and duration and are asked to self-collect a nasal swab. Information on socio-economic characteristics, current and past medical conditions, medical care utilization and vaccination history is extracted from the CHS database. Information about missed work due to illness is obtained by self-report and from employee records. Respiratory specimens from self-collected nasal swabs are tested for influenza A and B viruses, respiratory syncytial virus, human metapneumovirus, and coronaviruses using validated multiplex quantitative real-time reverse transcription polymerase chain reaction assays. The hemagglutination inhibition assay will be used to detect the presence of neutralizing influenza antibodies in serum.DiscussionSHIRI will expand our knowledge of the burden of respiratory viral infections among HCP and the effectiveness of current and repeated annual influenza vaccination in preventing influenza illness, medical utilization, and missed workdays among HCP who are in direct contact with patients.Trial registrationNCT03331991. Registered on November 6, 2017.</t>
  </si>
  <si>
    <t xml:space="preserve">[Hirsch, Avital; Katz, Mark A.; Gofer, Ilan; Leventer-Roberts, Maya; Balicer, Ran] Clalit Res Inst, Chief Physicians Off, Clalit Hlth Serv, Tel Aviv, Israel; [Hirsch, Avital] Ben Gurion Univ Negev, Sch Publ Hlth, Med Sch Int Hlth, Fac Hlth Sci, Beer Sheva, Israel; [Hirsch, Avital; Monto, Arnold S.; Martin, Emily Toth; Malosh, Ryan E.] Univ Michigan, Sch Publ Hlth, Dept Epidemiol, Ann Arbor, MI 48109 USA; [Peretz, Alon Laufer] Rabin Med Ctr, Occupat Med Dept, Petah Tiqwa, Israel; [Greenberg, David] Soroka Univ, Med Ctr, Pediat Infect Dis, Beer Sheva, Israel; [Wendlandt, Rachael; Newes-Adeyi, Gabriella; Campbell, William] ABT Associates Inc, Atlanta, GA USA; [Avni, Yonat Shemer] Ben Gurion Univ Negev, Soroka Univ, Med Ctr, Clin Virol, Beer Sheva, Israel; [Davidovitch, Nadav; Rosenthal, Anat; Gur-Arie, Rachel] Ben Gurion Univ Negev, Dept Hlth Syst Management, Sch Publ Hlth, Fac Hlth Sci, Beer Sheva, Israel; [Hertz, Tomer] Ben Gurion Univ Negev, Fac Hlth Sci, Dept Microbiol Immunol &amp; Genet, Beer Sheva, Israel; [Hertz, Tomer] Fred Hutch Canc Res Ctr, Vaccine &amp; Infect Dis Div, Seattle, WA USA; [Glatman-Freedman, Aharona] Minist Hlth, Israel Ctr Dis Control, Ramat Gan, Israel; [Azziz-Baumgartner, Eduardo; Ferdinands, Jill Morris; Levine, Min; Thompson, Mark G.] CDC, Influenza Div, Ctr Dis Control &amp; Prevent, Atlanta, GA USA; [Neyra Quijandria, Joan Manuel] US Naval Med Res Unit 6 Lima, Lima, Peru; [Glatman-Freedman, Aharona] Tel Aviv Univ, Sackler Fac Med, Dept Epidemiol &amp; Prevent Med, Sch Publ Hlth, Tel Aviv, Israel</t>
  </si>
  <si>
    <t xml:space="preserve">Clalit Health Services; Ben Gurion University; University of Michigan System; University of Michigan; Rabin Medical Center; Ben Gurion University; Soroka Medical Center; ABT Associates; Ben Gurion University; Soroka Medical Center; Ben Gurion University; Ben Gurion University; Fred Hutchinson Cancer Center; Centers for Disease Control &amp; Prevention - USA; Tel Aviv University</t>
  </si>
  <si>
    <t xml:space="preserve">Hirsch, A (corresponding author), Clalit Res Inst, Chief Physicians Off, Clalit Hlth Serv, Tel Aviv, Israel.</t>
  </si>
  <si>
    <t xml:space="preserve">avitalhi@clalit.org.il</t>
  </si>
  <si>
    <t xml:space="preserve">Gur-Arie, Rachel/AAO-3150-2021; Levine, Min/ABB-4350-2021; AVNI, YONAT/F-1772-2012; Hertz, Tomer/S-5744-2016; Rosenthal, Anat/J-7283-2017</t>
  </si>
  <si>
    <t xml:space="preserve">Hertz, Tomer/0000-0002-0561-1578; Rosenthal, Anat/0000-0003-4641-6645; Balicer, Ran/0000-0002-7783-6362</t>
  </si>
  <si>
    <t xml:space="preserve">CDC's Achieving Public Health Impact through Research [HHSD2002013M53890B]; US CDC [200-2014-F-60406]</t>
  </si>
  <si>
    <t xml:space="preserve">CDC's Achieving Public Health Impact through Research; US CDC(United States Department of Health &amp; Human ServicesCenters for Disease Control &amp; Prevention - USA)</t>
  </si>
  <si>
    <t xml:space="preserve">Contract HHSD2002013M53890B within CDC's Achieving Public Health Impact through Research and task 200-2014-F-60406 (The Epidemiology and Prevention of Influenza Virus Infections in Low- and Middle-Income Countries) to Abt Associates from US CDC.</t>
  </si>
  <si>
    <t xml:space="preserve">10.1186/s12879-018-3444-7</t>
  </si>
  <si>
    <t xml:space="preserve">GZ4EW</t>
  </si>
  <si>
    <t xml:space="preserve">WOS:000449347500002</t>
  </si>
  <si>
    <t xml:space="preserve">Sriningsih, AP; Lung, NP; Sulistyo, F; Aronson, SA; Aronson, RK; Taylor-Cousar, JL</t>
  </si>
  <si>
    <t xml:space="preserve">Sriningsih, Agnes P.; Lung, Nancy P.; Sulistyo, Fransiska; Aronson, Stuart A.; Aronson, Riley K.; Taylor-Cousar, Jennifer L.</t>
  </si>
  <si>
    <t xml:space="preserve">EVALUATING THE EFFICACY OF HUMAN BRONCHIECTASIS-BASED ANTIBIOTIC THERAPY IN THE TREATMENT OF ORANGUTAN RESPIRATORY DISEASE SYNDROME</t>
  </si>
  <si>
    <t xml:space="preserve">JOURNAL OF ZOO AND WILDLIFE MEDICINE</t>
  </si>
  <si>
    <t xml:space="preserve">Bronchiectasis; Medicine; Sinusitis; Respiratory system; Antibiotics; Respiratory disease</t>
  </si>
  <si>
    <t xml:space="preserve">HUMAN METAPNEUMOVIRUS INFECTION; CYSTIC FIBROSIS BRONCHIECTASIS; NON-CF BRONCHIECTASIS; PSEUDOMONAS-AERUGINOSA; COMPUTED-TOMOGRAPHY; AZITHROMYCIN; AIRSACCULITIS; CHIMPANZEES; EXACERBATIONS; MANAGEMENT</t>
  </si>
  <si>
    <t xml:space="preserve">Unique among apes, orangutans (Pongo spp.) develop a chronic respiratory disease called orangutan respiratory disease syndrome (ORDS). The authors define ORDS as intermittent bacterial infection and chronic inflammation of any region or combination of regions of the respiratory tract, including the sinuses, air sacs, cranial bones, airways, and lung parenchyma. Infection in any of these areas can present acutely but then becomes recurrent, chronic, progressive, and ultimately fatal. The closest model to this disease is cystic fibrosis (CF) in people. We hypothesized that use of a 4-8-wk course of combined oral antibiotics used in the treatment of bronchiectasis in CF patients would lead to prolonged symptomatic and computed tomography (CT) scan improvement in orangutans experiencing early signs of ORDS. Nine adult Bornean orangutans (Pongo pygmaeus, eight males, one female, 18-29 yr of age) diagnosed with early ORDS-like respiratory disease underwent CT scan before initiation of treatment. Bach animal received a combined course of azithromycin (400 mg 3/wk, mean 7 mg/kg) and levofloxacin (500 mg PO q24h, mean 8.75 mg/kg) for a period of 4-8 wk. CT scan was repeated 6-14 mon after completion of antibiotic treatment. Pretreatment CT showed that six of nine animals had lower respiratory pathology (airway disease, pneumonia, or both). All six orangutans had concurrent sinusitis, mastoiditis, airsacculitis, or a combination of these conditions. Upper respiratory disease alone was observed in three animals. CT showed improvement or resolution in four of five sinusitis cases, improvement in one of two instances of mastoiditis, resolution in five of six instances of airsacculitis, improvement or resolution in six of six instance of lower airway disease (P = 0.03, 95% CI 0.54-1.01, and resolution in five of five cases of pneumonia. Resolution of pretreatment clinical signs was observed in all nine animals. Two developed signs not present at pretreatment. These results show that combination antibiotic therapy with azithromycin and levofloxacin provides improvement in clinical signs and CT evidence of ORDS-related pathology, resulting in symptom-free status in some animals for up to 33 mon.</t>
  </si>
  <si>
    <t xml:space="preserve">[Sriningsih, Agnes P.; Sulistyo, Fransiska] Borneo Orangutan Survival Fdn, Jl Kumbang 31, Bogor 16151, Indonesia; [Lung, Nancy P.] Smithsonian Inst Global Hlth Program, 3001 Connecticut Ave, Washington, DC 20008 USA; [Taylor-Cousar, Jennifer L.] Natl Jewish Hlth, 1400 Jackson St, Denver, CO 80206 USA; [Aronson, Stuart A.] Radiol Associates North Texas, PA 816 West Cannon St, Ft Worth, TX 76104 USA; [Aronson, Riley K.] Tufts Univ, Cummings Sch Vet Med, 200 Westboro Rd, North Grafton, MA 01536 USA</t>
  </si>
  <si>
    <t xml:space="preserve">Smithsonian Institution; Smithsonian National Zoological Park &amp; Conservation Biology Institute; National Jewish Health; Tufts University</t>
  </si>
  <si>
    <t xml:space="preserve">Lung, NP (corresponding author), Smithsonian Inst Global Hlth Program, 3001 Connecticut Ave, Washington, DC 20008 USA.</t>
  </si>
  <si>
    <t xml:space="preserve">nancylung2@gmail.com</t>
  </si>
  <si>
    <t xml:space="preserve">Lung, Nancy/KQT-8050-2024</t>
  </si>
  <si>
    <t xml:space="preserve">Wild Animal Health Fund - American Association of Zoo Veterinarians</t>
  </si>
  <si>
    <t xml:space="preserve">The authors thank the BOS Foundation including management, veterinary, and keeper teams. The authors also thank Dr. Theresia E. Paliling, Sp Rad. Thank you to the Sufian/Passamano family and the Orangutan Conservancy for travel support for Drs. Lung and Taylor-Cousar. Thank you to the Orangutan Species Survival Plan and Orangutan Veterinary Aid (OVAID) for in-kind donations. We thank Dr. Douglas C. Everett for assistance with statistical evaluation of the data. Funding for the study was generously provided by the Wild Animal Health Fund sponsored by the American Association of Zoo Veterinarians.</t>
  </si>
  <si>
    <t xml:space="preserve">AMER ASSOC ZOO VETERINARIANS</t>
  </si>
  <si>
    <t xml:space="preserve">YULEE</t>
  </si>
  <si>
    <t xml:space="preserve">581705 WHITE OAK ROAD, YULEE, FL 32097 USA</t>
  </si>
  <si>
    <t xml:space="preserve">1042-7260</t>
  </si>
  <si>
    <t xml:space="preserve">1937-2825</t>
  </si>
  <si>
    <t xml:space="preserve">J ZOO WILDLIFE MED</t>
  </si>
  <si>
    <t xml:space="preserve">J. Zoo Wildl. Med.</t>
  </si>
  <si>
    <t xml:space="preserve">10.1638/2020-0049</t>
  </si>
  <si>
    <t xml:space="preserve">XQ3NF</t>
  </si>
  <si>
    <t xml:space="preserve">WOS:000731454200013</t>
  </si>
  <si>
    <t xml:space="preserve">Howidi, M; Rajah, J; Abushrar, Z; Parsons, H</t>
  </si>
  <si>
    <t xml:space="preserve">Howidi, Mohammad; Rajah, Jaishen; Abushrar, Ziad; Parsons, Howard</t>
  </si>
  <si>
    <t xml:space="preserve">The severity of respiratory syncytial virus bronchiolitis in young infants in the United Arab Emirates</t>
  </si>
  <si>
    <t xml:space="preserve">Medicine; Bronchiolitis; Bronchopulmonary dysplasia; Oxygen therapy; Pediatrics; Pneumonia; Mechanical ventilation</t>
  </si>
  <si>
    <t xml:space="preserve">HUMAN METAPNEUMOVIRUS INFECTION; MATERNAL ANTIBODY; VIRAL-INFECTION; CHILDREN; RISK; PNEUMONIA</t>
  </si>
  <si>
    <t xml:space="preserve">Respiratory syncytial virus (RSV) respiratory infections are very common during infancy and account for the majority of hospitalizations during the fall and winter seasons. Patients vary in the severity of their illnesses, with most hospitalized patients needing oxygen and intravenous fluids. The objective of this study was to assess in hospitalized patients the severity of the disease in relation to age. We compared children who were &lt; 90 days old with children who were &gt; 90 days old for the duration of oxygen therapy, maximum oxygen concentration used, duration of stay and duration of intravenous fluids. We conducted a retrospective case review of national children &lt; 2 years admitted to the pediatric ward at Sheikh Khalifa Medical City with RSV proven bronchiolitis/pneumonia over a 3-month period from 1 September to 30 November 2001. Morbidity for group 1 (birth-90 days) and group 2 (91 days-2 years) was compared by the Mann-Whitney U-test using duration of oxygen therapy, maximum oxygen concentration used, duration of stay and duration of intravenous fluids. Multiple regression for duration of oxygen therapy was tested using the following risk factors as predictors: age group (1 or 2), previous ventilation, bronchopulmonary dysplasia (BPD) and prematurity. A total of 89 patients were admitted during this period. The mean age (SD) of group 1 (n = 28) and group 2 (n = 61) was 46.35 (25.57) days and 275.67 (156.79) days, respectively. The only statistically significant difference using the Mann-Whitney U-test was detected for duration of oxygen between the groups (p = 0.002). Using multiple regression, only age group acted as a predictor for duration of oxygen therapy (p &lt; 0.001). This implies that the youngest children, group 1, are at a risk for prolonged oxygen therapy. Four patients from group 1 were admitted to the intensive care unit, of which two received ventilatory support. RSV respiratory infections affect infants &lt; 3 months old in a more severe form than older infants. Even though overall duration of stay was similar for both groups, young infants who in fact did require oxygen had a more protracted and severe illness compared with the older infants. This was evidenced by their longer duration of oxygen and more frequent need to be managed in the intensive care unit.</t>
  </si>
  <si>
    <t xml:space="preserve">Shaikh Khalifa Med City, Dept Pediat, Abu Dhabi, U Arab Emirates; British Columbia Childrens Hosp, Vancouver, BC V6H 3V4, Canada</t>
  </si>
  <si>
    <t xml:space="preserve">BC Childrens Hospital; University of British Columbia</t>
  </si>
  <si>
    <t xml:space="preserve">Howidi, M (corresponding author), Shaikh Khalifa Med City, Dept Pediat, Abu Dhabi, U Arab Emirates.</t>
  </si>
  <si>
    <t xml:space="preserve">howmoh741@skmc.gov.ae</t>
  </si>
  <si>
    <t xml:space="preserve">10.1093/tropej/fml045</t>
  </si>
  <si>
    <t xml:space="preserve">133EG</t>
  </si>
  <si>
    <t xml:space="preserve">WOS:000243994600005</t>
  </si>
  <si>
    <t xml:space="preserve">Tartof, SY; Aliabadi, N; Goodwin, G; Slezak, J; Hong, V; Ackerson, B; Liu, Q; Shaw, S; Welsh, S; Stern, JA; Kapadia, B; Spence, BC; Lewnard, JA; Davis, GS; Aragones, M; Dutro, M; Chilson, E; Gonzalez, E; Hubler, R; Chia, BD; Jodar, L; Gessner, BD; Begier, E</t>
  </si>
  <si>
    <t xml:space="preserve">Tartof, Sara Y.; Aliabadi, Negar; Goodwin, Gabriella; Slezak, Jeff; Hong, Vennis; Ackerson, Bradley; Liu, Qing; Shaw, Sally; Welsh, Sabrina; Stern, Julie A.; Kapadia, Banshri; Spence, Brigitte C.; Lewnard, Joseph A.; Davis, Gregg S.; Aragones, Michael; Dutro, Michael; Chilson, Erica; Gonzalez, Elisa; Hubler, Robin; Chia, Brandon; Jodar, Luis; Gessner, Bradford D.; Begier, Elizabeth</t>
  </si>
  <si>
    <t xml:space="preserve">Estimated Vaccine Effectiveness for Respiratory Syncytial Virus-Related Lower Respiratory Tract Disease</t>
  </si>
  <si>
    <t xml:space="preserve">Medicine; Human metapneumovirus; Emergency department; Respiratory tract infections; Lower respiratory tract infection</t>
  </si>
  <si>
    <t xml:space="preserve">ICD-9-CM; EFFICACY</t>
  </si>
  <si>
    <t xml:space="preserve">Importance Clinical trials have demonstrated high vaccine efficacy (VE) against lower respiratory tract disease (LRTD) but enrolled a smaller proportion of persons aged 75 years or older and those with comorbidities than seen in highest-risk populations in clinical practice settings. Additionally, VE against respiratory syncytial virus (RSV)-related hospitalizations and emergency department (ED) visits is not yet fully described. Objective To estimate Respiratory Syncytial Virus Prefusion F (RSVpreF) effectiveness in older adults. Design, Setting, and Participants This was a retrospective case-control study with a test negative design. Cases were adults aged 60 years or older with hospitalizations or ED visits at Kaiser Permanente of Southern California for LRTD from November 24, 2023, to April 9, 2024, who had respiratory swabs collected and tested for RSV. Two control definitions were prespecified: (1) strict controls included RSV-negative LRTD events that were negative for human metapneumovirus, SARS-CoV-2, and influenza, and positive for a nonvaccine preventable cause (primary) and (2) broad controls included all RSV-negative LRTD events (sensitivity analysis). Enhanced specimen collection was conducted to salvage clinical respiratory swabs not tested for RSV during routine care. Data were analyzed from May to September 2024. Exposure RSVpreF vaccine receipt during the first RSV season after licensure and 21 or more days before LRTD event. Main outcomes and measures Estimated VE against first episode of RSV-related LRTD hospitalization or ED visit. Results A total of 7047 LRTD-related hospitalizations or ED encounters with RSV testing results were included. The mean (SD) age was 76.8 (9.6) years; 3819 (54.2%) were female; 839 (11.9%) were non-Hispanic Asian or Pacific Islander, 2323 (33.0%) were Hispanic, 1197 (17.0%) were non-Hispanic Black, and 2602 (36.9%) were non-Hispanic White; 998 (14.2%) were immunocompromised; and 6573 (93.3%) had 1 or more Charlson comorbidity. Using strict controls, estimated adjusted VE was 91% (95% CI, 59%-98%). Using broad controls, estimated adjusted VE was 90% (95% CI, 59%-97%). Conclusions and Relevance In a high-risk, general population, RSVpreF vaccination conferred protection against RSV-related LRTD in the hospital and ED settings among US adults aged 60 years or older, the majority of whom were aged 75 years or older and had comorbidities. These data support use of this vaccine in older adults.</t>
  </si>
  <si>
    <t xml:space="preserve">[Tartof, Sara Y.; Goodwin, Gabriella; Slezak, Jeff; Hong, Vennis; Ackerson, Bradley; Shaw, Sally; Stern, Julie A.; Kapadia, Banshri; Spence, Brigitte C.; Davis, Gregg S.; Aragones, Michael; Chia, Brandon] Kaiser Permanente Southern Calif, Dept Res &amp; Evaluat, 100 S Robles,2nd Floor, Pasadena, CA 91101 USA; [Aliabadi, Negar; Liu, Qing; Welsh, Sabrina; Dutro, Michael; Chilson, Erica; Gonzalez, Elisa; Hubler, Robin; Jodar, Luis; Gessner, Bradford D.; Begier, Elizabeth] Pfizer Inc, Collegeville, PA USA; [Lewnard, Joseph A.] Univ Calif, Sch Publ Hlth, Div Epidemiol, Berkeley, CA USA; [Lewnard, Joseph A.] Univ Calif Berkeley, Sch Publ Hlth, Div Infect Dis &amp; Vaccinol, Berkeley, CA USA; [Lewnard, Joseph A.] Univ Calif Berkeley, Coll Engn, Ctr Computat Biol, Berkeley, CA USA</t>
  </si>
  <si>
    <t xml:space="preserve">Kaiser Permanente; Pfizer; University of California System; University of California Berkeley; University of California System; University of California Berkeley; University of California System; University of California Berkeley</t>
  </si>
  <si>
    <t xml:space="preserve">Tartof, SY (corresponding author), Kaiser Permanente Southern Calif, Dept Res &amp; Evaluat, 100 S Robles,2nd Floor, Pasadena, CA 91101 USA.</t>
  </si>
  <si>
    <t xml:space="preserve">sara.y.tartof@kp.org</t>
  </si>
  <si>
    <t xml:space="preserve">This study and vaccine provision for standard of care use was sponsored by Pfizer.</t>
  </si>
  <si>
    <t xml:space="preserve">e2450832</t>
  </si>
  <si>
    <t xml:space="preserve">10.1001/jamanetworkopen.2024.50832</t>
  </si>
  <si>
    <t xml:space="preserve">P3O3I</t>
  </si>
  <si>
    <t xml:space="preserve">WOS:001377039900006</t>
  </si>
  <si>
    <t xml:space="preserve">Guan, L; Zhao, LQ; Zhou, HY; Nie, K; Li, XN; Zhang, D; Song, J; Qian, Y; Ma, XJ</t>
  </si>
  <si>
    <t xml:space="preserve">Guan, Li; Zhao, Lin-Qing; Zhou, Hang-Yu; Nie, Kai; Li, Xin-Na; Zhang, Dan; Song, Juan; Qian, Yuan; Ma, Xue-Jun</t>
  </si>
  <si>
    <t xml:space="preserve">Reverse transcription genome exponential amplification reaction assay for rapid and universal detection of human rhinoviruses</t>
  </si>
  <si>
    <t xml:space="preserve">Biology; Virology; Rhinovirus</t>
  </si>
  <si>
    <t xml:space="preserve">MEDIATED ISOTHERMAL AMPLIFICATION; REAL-TIME PCR; RT-PCR; COMPREHENSIVE DETECTION; MOLECULAR EPIDEMIOLOGY; RESPIRATORY-TRACT; VISUAL DETECTION; INFECTIONS; IDENTIFICATION; EXACERBATIONS</t>
  </si>
  <si>
    <t xml:space="preserve">Human rhinoviruses (HRVs) have long been recognized as the cause of more than one-half of acute viral upper respiratory illnesses, and they are associated with more-serious diseases in children, such as asthma, acute otitis media and pneumonia. A rapid and universal test for of HRV infection is in high demand. In this study, a reverse transcription genome exponential amplification reaction (RT-GEAR) assay targeting the HRV 50 untranslated region (UTR) was developed for pan-HRV detection. The reaction was performed in a single tube in one step at 65 degrees C for 60 min using a real-time fluorometer (Genie (R) II; Optigene). The RT-GEAR assay showed no cross-reactivity with common human enteroviruses, including HEV71, CVA16, CVA6, CVA10, CVA24, CVB5, Echo30, and PV1-3 or with other common respiratory viruses including FluA H3, FluB, PIV1-4, ADV3, RSVA, RSVB and HMPV. With in vitro-transcribed RNA containing the amplified regions of HRV-A60, HRV-B06 and HRV-C07 as templates, the sensitivity of the RT-GEAR assay was 5, 50 and 5 copies/reaction, respectively. Experiments to evaluate the clinical performance of the RT-GEAR assay were also carried out with a panel of 143 previously verified samples, and the results were compared with those obtained using a published semi-nested PCR assay followed by sequencing. The tested panel comprised 91 HRV-negative samples and 52 HRV-positive samples (18 HRV-A-positive samples, 3 HRV-B-positive samples and 31 HRV-C-positive samples). The sensitivity and specificity of the pan-HRVs RTGEAR assay was 98.08 % and 100 %, respectively. The kappa correlation between the two methods was 0.985. The RT-GEAR assay based on a portable Genie (R) II fluorometer is a sensitive, specific and rapid assay for the universal detection of HRV infection.</t>
  </si>
  <si>
    <t xml:space="preserve">[Guan, Li; Zhou, Hang-Yu; Nie, Kai; Li, Xin-Na; Zhang, Dan; Song, Juan; Ma, Xue-Jun] Chinese Ctr Dis Control &amp; Prevent, Natl Inst Viral Dis Control &amp; Prevent, Natl Hlth &amp; Family Planning Commiss, Key Lab Med Virol, 155 Changbai Rd, Beijing 102206, Peoples R China; [Zhao, Lin-Qing; Qian, Yuan] Capital Inst Pediat, Beijing Key Lab Etiol Viral Dis Children, Virol Lab, 2 Yabao Rd, Beijing 100020, Peoples R China; [Zhang, Dan] Guangzhou Med Univ, Sch Basic Med Sci, Guangzhou 510182, Guangdong, Peoples R China</t>
  </si>
  <si>
    <t xml:space="preserve">Chinese Center for Disease Control &amp; Prevention; National Institute for Viral Disease Control &amp; Prevention, Chinese Center for Disease Control &amp; Prevention; Capital Institute of Pediatrics (CIP); Guangzhou Medical University</t>
  </si>
  <si>
    <t xml:space="preserve">Ma, XJ (corresponding author), Chinese Ctr Dis Control &amp; Prevent, Natl Inst Viral Dis Control &amp; Prevent, Natl Hlth &amp; Family Planning Commiss, Key Lab Med Virol, 155 Changbai Rd, Beijing 102206, Peoples R China.;Qian, Y (corresponding author), Capital Inst Pediat, Beijing Key Lab Etiol Viral Dis Children, Virol Lab, 2 Yabao Rd, Beijing 100020, Peoples R China.</t>
  </si>
  <si>
    <t xml:space="preserve">guanli03020919@163.com; linqingz525@163.com; zhouhangyuzi@126.com; kainie_1978@hotmail.com; 1054245959@qq.com; zhangdan9769@163.com; helen831020@126.com; yqianbjc@263.net; maxj@ivdc.chinacdc.cn</t>
  </si>
  <si>
    <t xml:space="preserve">Nie, Kai/L-5389-2019</t>
  </si>
  <si>
    <t xml:space="preserve">China Mega-Project for Infectious Disease [2016ZX10004001-002, 2016ZX10004-001]; Beijing Municipal Science &amp; Technology Commission project [D151100002115003]; Guangzhou Municipal Science &amp; Technology Commission project [2015B2150820]</t>
  </si>
  <si>
    <t xml:space="preserve">China Mega-Project for Infectious Disease; Beijing Municipal Science &amp; Technology Commission project(Beijing Municipal Science &amp; Technology Commission); Guangzhou Municipal Science &amp; Technology Commission project</t>
  </si>
  <si>
    <t xml:space="preserve">This study was funded by the China Mega-Project for Infectious Disease (2016ZX10004001-002, 2016ZX10004-001), Beijing Municipal Science &amp; Technology Commission project (D151100002115003) and Guangzhou Municipal Science &amp; Technology Commission project (2015B2150820).</t>
  </si>
  <si>
    <t xml:space="preserve">10.1007/s00705-016-2858-z</t>
  </si>
  <si>
    <t xml:space="preserve">DP5VG</t>
  </si>
  <si>
    <t xml:space="preserve">WOS:000378565500014</t>
  </si>
  <si>
    <t xml:space="preserve">Alvarez, R; Lwamba, HM; Kapczynski, DR; Njenga, MK; Seal, BS</t>
  </si>
  <si>
    <t xml:space="preserve">Nucleotide and predicted amino acid sequence-based analysis of the avian metapneumovirus type C cell attachment glycoprotein gene: Phylogenetic analysis and molecular epidemiology of US pneumoviruses</t>
  </si>
  <si>
    <t xml:space="preserve">Biology; Metapneumovirus; Nucleic acid sequence; Peptide sequence; Virology</t>
  </si>
  <si>
    <t xml:space="preserve">RESPIRATORY SYNCYTIAL VIRUS; TURKEY RHINOTRACHEITIS VIRUS; SUBGROUP-A; G-PROTEIN; ANTIGENIC DIFFERENTIATION; MONOCLONAL-ANTIBODIES; AMPLIFICATION; SUBSTITUTIONS; POLYMERASE; SELECTION</t>
  </si>
  <si>
    <t xml:space="preserve">A serologically distinct avian metapneumovirus (aMPV) was isolated in the United States after an outbreak of turkey rhinotracheitis (TRT) in February 1997. The newly recognized U.S. virus was subsequently demonstrated to be genetically distinct from European subtypes and was designated aMPV serotype C (aMPV/C). We have determined the nucleotide sequence of the gene encoding the cell attachment glycoprotein (G) of aMPV/C (Colorado strain and three Minnesota isolates) and predicted amino acid sequence by sequencing cloned cDNAs synthesized from intracellular RNA of aMPV/C-infected cells. The nucleotide sequence comprised 1,321 nucleotides with only one predicted open reading frame encoding a protein of 435 amino acids, with a predicted M-r of 48,840. The structural characteristics of the predicted G protein of aMPV/C were similar to those of the human respiratory syncytial virus (hRSV) attachment G protein, including two mucin-like regions (heparin-binding domains) Ranking both sides of a CX3C chemokine motif present in a conserved hydrophobic pocket. Comparison of the deduced G-protein amino acid sequence of aMPV/C with those of aMPV serotypes A, B, and D, as well as hRSV revealed overall predicted amino acid sequence identities ranging from 4 to 16.5%, suggesting a distant relationship. However, G-protein sequence identities ranged from 72 to 97% when aMPV/C was compared to other members within the aMPV/C subtype or 21% for the recently identified human MPV (hMPV) G protein. Ratios of nonsynonymous to synonymous nucleotide changes were greater than one in the G gene when comparing the more recent Minnesota isolates to the original Colorado isolate. Epidemiologically, this indicates positive selection among U.S. isolates since the first outbreak of TRT in the United States.</t>
  </si>
  <si>
    <t xml:space="preserve">ARS, SE Poultry Res Lab, USDA, Athens, GA 30605 USA; Univ Minnesota, Dept Vet Pathobiol, St Paul, MN 55108 USA</t>
  </si>
  <si>
    <t xml:space="preserve">United States Department of Agriculture (USDA); University of Minnesota System; University of Minnesota Twin Cities</t>
  </si>
  <si>
    <t xml:space="preserve">Seal, BS (corresponding author), ARS, SE Poultry Res Lab, USDA, 934 Coll Stn Rd, Athens, GA 30605 USA.</t>
  </si>
  <si>
    <t xml:space="preserve">10.1128/JCM.41.4.1730-1735.2003</t>
  </si>
  <si>
    <t xml:space="preserve">666LZ</t>
  </si>
  <si>
    <t xml:space="preserve">WOS:000182179900059</t>
  </si>
  <si>
    <t xml:space="preserve">Salez, N; Vabret, A; Leruez-Ville, M; Andreoletti, L; Carrat, F; Renois, F; de Lamballerie, X</t>
  </si>
  <si>
    <t xml:space="preserve">Salez, Nicolas; Vabret, Astrid; Leruez-Ville, Marianne; Andreoletti, Laurent; Carrat, Fabrice; Renois, Fanny; de lamballerie, Xavier</t>
  </si>
  <si>
    <t xml:space="preserve">Evaluation of Four Commercial Multiplex Molecular Tests for the Diagnosis of Acute Respiratory Infections</t>
  </si>
  <si>
    <t xml:space="preserve">Medicine; Internal medicine; Multiplex polymerase chain reaction; Multiplex; Respiratory system</t>
  </si>
  <si>
    <t xml:space="preserve">ACID AMPLIFICATION TESTS; VIRAL PANEL FAST; REAL-TIME PCR; FILMARRAY RP; FAST ASSAY; VIRUSES; PERFORMANCE; RVP; PATHOGENS</t>
  </si>
  <si>
    <t xml:space="preserve">Acute Respiratory Infections (ARIs) are responsible for considerable morbidity and mortality worldwide. Documentation of respiratory specimens can help for an appropriate clinical management with a significant effect on the disease progress in patient, the antimicrobial therapy used and the risk of secondary spread of infection. Here, we compared the performances of four commercial multiplex kits used in French University Hospital diagnostic microbiology laboratories for the detection of ARI pathogens (i.e., the xTAG Respiratory Viral Panel Fast, RespiFinder SMART 22, CLART PneumoVir and Fast Track Diagnostics Respiratory Pathogen 33 kits). We used a standardised nucleic acids extraction protocol and a comprehensive comparative approach that mixed reference to well established real-time PCR detection techniques and analysis of convergent positive results. We tested 166 respiratory clinical samples and identified a global high degree of correlation for at least three of the techniques (xTAG, RespiFinder and FTD33). For these techniques, the highest Youden's index (YI), positive predictive (PPV) and specificity (Sp) values were observed for Core tests (e.g., influenza A [YI:0.86-1.00; PPV:78.95-100.00; Sp:97.32-100.00] &amp; B [YI:0.44-1.00; PPV:100.00; Sp:100.00], hRSV [YI:0.50-0.99; PPV:85.71-100.00; Sp:99.38-100.00], hMPV [YI:0.71-1.00; PPV:83.33-100.00; Sp:99.37-100.00], EV/hRV [YI:0.62-0.82; PPV:93.33-100.00; Sp:94.48-100.00], AdV [YI:1.00; PPV:100.00; Sp:100.00] and hBoV [YI:0.20-0.80; PPV:57.14-100.00; Sp:98.14-100.00]). The present study completed an overview of the multiplex techniques available for the diagnosis of acute respiratory infections.</t>
  </si>
  <si>
    <t xml:space="preserve">[Salez, Nicolas; de lamballerie, Xavier] Aix Marseille Univ, IRD French Inst Res Dev, EHESP French Sch Publ Hlth, EPV UMR D Emergence Pathol Virales 190, Marseille, France; [Vabret, Astrid] Univ Hosp, Lab Human &amp; Mol Virol, IFR ICORE 146, Caen, France; [Leruez-Ville, Marianne] Univ Paris 05, Hop Necker Enfants Malad, APHP, Sorbonne Paris Cite,Virol Lab,EA 36 20, Paris, France; [Andreoletti, Laurent] Ctr Hosp Univ, Unit Virol Med &amp; Mol, Reims, France; [Andreoletti, Laurent] Fac Med, IFR EA DAT PPCIDH 53 4303, Reims, France; [Carrat, Fabrice] Univ Paris 06, INSERM, UMR S 707, Paris, France; [Carrat, Fabrice] Hop St Antoine, AP HP, Dept Internal Med, Unit St Publ, Paris, France; [de lamballerie, Xavier] IHU Inst Hosp Univ Med Infect, APHM Publ Hosp Marseille, Marseille, France</t>
  </si>
  <si>
    <t xml:space="preserve">Institut de Recherche pour le Developpement (IRD); Aix-Marseille Universite; CHU de Caen NORMANDIE; Assistance Publique Hopitaux Paris (APHP); Universite Paris Cite; Hopital Universitaire Necker-Enfants Malades - APHP; Hopital Universitaire Hotel-Dieu - APHP; Hopital Universitaire Ambroise-Pare - APHP; Universite de Reims Champagne-Ardenne; CHU de Reims; Universite de Reims Champagne-Ardenne; Sorbonne Universite; Institut National de la Sante et de la Recherche Medicale (Inserm); Assistance Publique Hopitaux Paris (APHP); Sorbonne Universite; Hopital Universitaire Saint-Antoine - APHP; Aix-Marseille Universite; Assistance Publique-Hopitaux de Marseille</t>
  </si>
  <si>
    <t xml:space="preserve">Salez, N (corresponding author), Aix Marseille Univ, IRD French Inst Res Dev, EHESP French Sch Publ Hlth, EPV UMR D Emergence Pathol Virales 190, Marseille, France.</t>
  </si>
  <si>
    <t xml:space="preserve">salez.umr190@yahoo.fr</t>
  </si>
  <si>
    <t xml:space="preserve">Carrat, Fabrice/AAU-8480-2020; Andreoletti, Laurent/AAQ-2756-2020; RENOIS, FANNY/B-7992-2015; VABRET, Astrid/HTO-5810-2023; Carrat, Fabrice/P-6177-2017</t>
  </si>
  <si>
    <t xml:space="preserve">RENOIS, FANNY/0000-0003-3441-7608; ANDREOLETTI, LAURENT/0000-0002-7440-8880; VABRET, Astrid/0000-0002-8940-7645; Carrat, Fabrice/0000-0002-8672-7918</t>
  </si>
  <si>
    <t xml:space="preserve">e0130378</t>
  </si>
  <si>
    <t xml:space="preserve">10.1371/journal.pone.0130378</t>
  </si>
  <si>
    <t xml:space="preserve">WOS:000356932500096</t>
  </si>
  <si>
    <t xml:space="preserve">Hawkes, MT; Lee, BIE; Kanji, JN; Zelyas, N; Wong, K; Barton, M; Mukhi, S; Robinson, JL</t>
  </si>
  <si>
    <t xml:space="preserve">Hawkes, Michael T.; Lee, Bonita E.; Kanji, Jamil N.; Zelyas, Nathan; Wong, Kerry; Barton, Michelle; Mukhi, Shamir; Robinson, Joan L.</t>
  </si>
  <si>
    <t xml:space="preserve">Seasonality of Respiratory Viruses at Northern Latitudes</t>
  </si>
  <si>
    <t xml:space="preserve">Epidemiology; Transmission (telecommunications); Incidence (geometry); Human metapneumovirus</t>
  </si>
  <si>
    <t xml:space="preserve">IMPORTANCE Every year, respiratory viruses exact a heavy burden on Canadian hospitals during winter months. Generalizable seasonal patterns of respiratory virus transmission may estimate the evolution of SARS-CoV-2 or other emerging pathogens. OBJECTIVE To describe the annual and biennial variation in respiratory virus seasonality in a northern climate. DESIGN, SETTING, AND PARTICIPANTS This cohort study is an epidemiological assessment using population-based surveillance of patients with medically attended respiratory tract infection from 2005 through 2017 in Alberta, Canada. Incident cases of respiratory virus infection and infant respiratory syncytial virus (RSV) hospitalizations in Alberta were extracted from the Data Integration for Alberta Laboratories platform and Alberta Health Services Discharge Abstract Database, respectively. A deterministic susceptible-infected-recovered-susceptible mathematical model with seasonal forcing function was fitted to the data for each virus. The possible future seasonal course of SARS-CoV-2 in northern latitudes was modeled on the basis of these observations. The analysis was conducted between December 15, 2020, and February 10, 2021. EXPOSURES Seasonal respiratory pathogens. MAIN OUTCOMES AND MEASURES Incidence (temporal pattern) of respiratory virus infections and RSV hospitalizations. RESULTS A total of 37 719 incident infections with RSV, human metapneumovirus, or human coronaviruses 229E, NL63, OC43, or HKU1 among 35 375 patients (18 069 [51.1%] male; median [interquartile range], 1.29 [0.42-12.2] years) were documented. A susceptible-infected-recovered-susceptible model mirrored the epidemiological data, including a striking biennial variation with alternating severe and mild winter peaks. Qualitative description of the model and numerical simulations showed that strong seasonal contact rate and temporary immunity lasting 6 to 12 months were sufficient to explain biennial seasonality in these various respiratory viruses. The seasonality of 10 212 hospitalizations among children younger than 5 years with RSV was also explored. The median (interquartile range) rate of hospitalizations per 1000 live births was 18.6 (17.6-19.9) and 11.0 (10.4-11.7) in alternating even (severe) and odd (less-severe) seasons, respectively (P = .001). The hazard of admission was higher for children born in severe (even) seasons compared with those born in less-severe (odd) seasons (hazard ratio, 1.68; 95% CI, 1.61-1.75; P &lt; .001). CONCLUSIONS AND RELEVANCE In this modeling study of respiratory viruses in Alberta, Canada, the seasonality followed a pattern estimated by simple mathematical models, which may be informative for anticipating future waves of pandemic SARS-CoV-2.</t>
  </si>
  <si>
    <t xml:space="preserve">[Hawkes, Michael T.; Lee, Bonita E.; Wong, Kerry; Robinson, Joan L.] Univ Alberta, Dept Pediat, 3-593 Edmonton Clin Hlth Acad,11405-87 Ave, Edmonton, AB T6G IC9, Canada; [Hawkes, Michael T.] Univ Alberta, Dept Med Microbiol &amp; Immunol, Edmonton, AB, Canada; [Hawkes, Michael T.] Univ Alberta, Sch Publ Hlth, Edmonton, AB, Canada; [Hawkes, Michael T.] Univ Alberta, Stollery Sci Lab, Edmonton, AB, Canada; [Hawkes, Michael T.; Lee, Bonita E.; Robinson, Joan L.] Univ Alberta, Women &amp; Childrens Res Inst, Edmonton, AB, Canada; [Kanji, Jamil N.; Zelyas, Nathan] Univ Alberta Hosp, Alberta Precis Labs, Publ Hlth Lab, Edmonton, AB, Canada; [Kanji, Jamil N.] Univ Alberta, Dept Med, Div Infect Dis, Edmonton, AB, Canada; [Zelyas, Nathan] Univ Alberta, Fac Med &amp; Dent, Dept Lab Med &amp; Pathol, Edmonton, AB, Canada; [Barton, Michelle] Western Univ, London Hlth Sci, London, ON, Canada; [Mukhi, Shamir] Canadian Network Publ Hlth Intelligence, Edmonton, AB, Canada</t>
  </si>
  <si>
    <t xml:space="preserve">University of Alberta; University of Alberta; University of Alberta; University of Alberta; University of Alberta; University of Alberta; University of Alberta; University of Alberta; London Health Sciences Centre; Western University (University of Western Ontario)</t>
  </si>
  <si>
    <t xml:space="preserve">Hawkes, MT (corresponding author), Univ Alberta, Dept Pediat, 3-593 Edmonton Clin Hlth Acad,11405-87 Ave, Edmonton, AB T6G IC9, Canada.</t>
  </si>
  <si>
    <t xml:space="preserve">mthawkes@ualberta.ca</t>
  </si>
  <si>
    <t xml:space="preserve">Zelyas, Nathan/JTD-2678-2023; , Michael/AAP-3049-2020</t>
  </si>
  <si>
    <t xml:space="preserve">Mukhi, Shamir Nizar/0009-0004-8245-1127; Hawkes, Michael/0000-0002-4122-0937</t>
  </si>
  <si>
    <t xml:space="preserve">Children's Health Research Institute</t>
  </si>
  <si>
    <t xml:space="preserve">This work was supported by theWomen and Children's Health Research Institute.</t>
  </si>
  <si>
    <t xml:space="preserve">e2124650</t>
  </si>
  <si>
    <t xml:space="preserve">10.1001/jamanetworkopen.2021.24650</t>
  </si>
  <si>
    <t xml:space="preserve">UR2UQ</t>
  </si>
  <si>
    <t xml:space="preserve">WOS:000696609500002</t>
  </si>
  <si>
    <t xml:space="preserve">Yin, JK; Salkeld, G; Lambert, SB; Dierig, A; Heron, L; Leask, J; Chow, MYK; Booy, R</t>
  </si>
  <si>
    <t xml:space="preserve">Yin, Jiehui Kevin; Salkeld, Glenn; Lambert, Stephen B.; Dierig, Alexa; Heron, Leon; Leask, Julie; Chow, Maria Yui Kwan; Booy, Robert</t>
  </si>
  <si>
    <t xml:space="preserve">Estimates and determinants of economic impacts from influenza-like illnesses caused by respiratory viruses in Australian children attending childcare: a cohort study</t>
  </si>
  <si>
    <t xml:space="preserve">Respiratory system; Cohort; Environmental health</t>
  </si>
  <si>
    <t xml:space="preserve">HUMAN METAPNEUMOVIRUS; SYNCYTIAL VIRUS; HEALTH BEHAVIORS; YOUNG-CHILDREN; INFECTION; BURDEN; COST; DISEASE; TIME</t>
  </si>
  <si>
    <t xml:space="preserve">Background Influenza and other respiratory infections cause excess winter morbidity in children. This study assessed the economic impact of influenza-like illness (ILI) on families with children attending childcare using a societal perspective. Methods We conducted a prospective cohort study in 90 childcare centres and one general practitioner clinic in Sydney, Australia, during 2010. Healthy children aged &gt;= 6 months to &lt;3 years were enrolled. Economic impacts of ILI (temperature &gt;= 37.8 degrees C or parental report of fever, plus &gt;= 1 respiratory symptoms) were collected at 2 and 4 weeks after ILI onset by telephone interview. Parent-collected respiratory specimens were tested for respiratory viruses using real-time PCR (RT-PCR). Costs associated with healthcare visits, medication usage, carer time lost (work or recreation) and home care and/or additional childcare were collected. Influenza-like illness costs were described and further analysed using a Tobit model. Zero-inflated Poisson regression was employed to compare the numbers of healthcare visits for each ILI. Results Of 381 children enrolled and analysed, 105 developed 124 ILIs. Specimens were available for 117 ILIs: five were positive by RT-PCR for A(H1N1)pdm09, 39 for adenovirus, 39 for rhinovirus, 15 for a coronavirus and 27 for a polyomavirus. The mean cost of all ILIs was AU$626 (95% confidence interval: AU$484-768) per ILI with no significant differences observed between viruses. Carers lost on average 13 hours of work and 3 hours of leisure time per ILI. Independent drivers of ILI costs were having both parents in employed work and longer duration of ILI. In multivariate analyses, four variables were significantly associated with an increased number of healthcare visits per ILI: non-Caucasian child, living in a detached house, both parents in employed work and having an ILI with one or more viruses identified. Conclusions For families with a child attending childcare, ILIs cause a substantial economic burden. An ILI in a child with working parents and/or with longer duration appears to cost more in monetary terms. Healthcare visits were increased if the child was non-Caucasian, lived in a detached house, had working parents or had a virus-positive ILI. Our findings on the estimates and determinants of economic impacts from respiratory virus infection highlight the importance and feasibility of an interdisciplinary (epidemiology/health economics) approach to such research.</t>
  </si>
  <si>
    <t xml:space="preserve">[Yin, Jiehui Kevin; Dierig, Alexa; Heron, Leon; Leask, Julie; Chow, Maria Yui Kwan; Booy, Robert] Childrens Hosp Westmead, Natl Ctr Immunisat Res &amp; Surveillance, Sydney, NSW 2145, Australia; [Yin, Jiehui Kevin; Heron, Leon; Chow, Maria Yui Kwan; Booy, Robert] Univ Sydney, Fac Med, Discipline Paediat &amp; Child Hlth, Sydney, NSW 2006, Australia; [Salkeld, Glenn; Leask, Julie] Univ Sydney, Fac Med, Sydney Sch Publ Hlth, Sydney, NSW 2006, Australia; [Lambert, Stephen B.] Univ Queensland, Queensland Childrens Med Res Inst, Brisbane, Qld, Australia; [Lambert, Stephen B.] Queensland Childrens Hlth Serv, Brisbane, Qld, Australia; [Lambert, Stephen B.] Queensland Hlth Immunisat Program, Brisbane, Qld, Australia; [Dierig, Alexa] Childrens Hosp Klinikum Dritter Orden, Munich, Germany; [Heron, Leon; Leask, Julie; Booy, Robert] Sydney Emerging Infect &amp; Biosecur Inst, Sydney, NSW, Australia</t>
  </si>
  <si>
    <t xml:space="preserve">University of Sydney; NSW Health; The Children's Hospital at Westmead; University of Sydney; University of Sydney; University of Queensland; Queensland Health</t>
  </si>
  <si>
    <t xml:space="preserve">Yin, JK (corresponding author), Childrens Hosp Westmead, Natl Ctr Immunisat Res &amp; Surveillance, Sydney, NSW 2145, Australia.</t>
  </si>
  <si>
    <t xml:space="preserve">kevin.yin@health.nsw.gov.au</t>
  </si>
  <si>
    <t xml:space="preserve">Lambert, Stephen/N-7819-2019; Leask, Julie/ABE-2077-2020; Lambert, Stephen/B-8348-2008</t>
  </si>
  <si>
    <t xml:space="preserve">Lambert, Stephen/0000-0002-2709-193X; Leask, Julie/0000-0001-5095-1443</t>
  </si>
  <si>
    <t xml:space="preserve">Sanofi Pasteur; CSL; Sanofi; Glaxo-SmithKline (GSK); Wyeth; Baxter; Merck; Novartis; Pfizer; Roche</t>
  </si>
  <si>
    <t xml:space="preserve">Sanofi Pasteur; CSL; Sanofi(Sanofi-Aventis); Glaxo-SmithKline (GSK)(GlaxoSmithKline); Wyeth(Wyeth); Baxter; Merck(Merck &amp; Company); Novartis(Novartis); Pfizer(Pfizer); Roche(Roche Holding)</t>
  </si>
  <si>
    <t xml:space="preserve">J. Kevin Yin received an educational grant from Sanofi Pasteur for influenza economic research in 2012. Stephen Lambert has received funding from CSL, Sanofi, Glaxo-SmithKline (GSK) and Wyeth to conduct sponsored research, attend/present at scientific meetings and participate in vaccine advisory boards. Leon Heron has received funding from Baxter, CSL, GSK, Merck, Novartis, Pfizer, Roche, and Sanofi Pasteur for the conduct of sponsored research, travel to present at conferences or consultancy work; all funding received is directed to research accounts at the Children's Hospital at Westmead. Robert Booy has received funding from CSL, Roche, Sanofi, GSK, Novartis and Pfizer to conduct sponsored research or attend and present at scientific meetings; any funding received is directed to a research account at the Children's Hospital at Westmead. The other authors declared no conflict of interest.</t>
  </si>
  <si>
    <t xml:space="preserve">10.1111/irv.12138</t>
  </si>
  <si>
    <t xml:space="preserve">WOS:000331001400033</t>
  </si>
  <si>
    <t xml:space="preserve">Exploring the host response in infected lung organoids using NanoString technology: A statistical analysis of gene expression data</t>
  </si>
  <si>
    <t xml:space="preserve">Biology; ISG15; Immune system; Gene expression; Innate immune system</t>
  </si>
  <si>
    <t xml:space="preserve">RESPIRATORY SYNCYTIAL VIRUS; DISCOVERY</t>
  </si>
  <si>
    <t xml:space="preserve">In this study, we used a three-dimensional airway organ tissue equivalent (OTE) model at an air-liquid interface (ALI) to mimic human airways. We investigated the effects of three viruses (Influenza A virus (IAV), Human metapneumovirus (MPV), and Parainfluenza virus type 3 (PIV3) on this model, incorporating various control conditions for data integrity. Our primary objective was to assess gene expression using the NanoString platform in OTE models infected with these viruses at 24- and 72-hour intervals, focusing on 773 specific genes. To enhance the comprehensiveness of our analysis, we introduced a novel algorithm, namely MAS (Magnitude-Altitude Score). This innovative approach uniquely combines biological significance, as indicated by fold changes in gene expression, with statistical rigor, as represented by adjusted p-values. By incorporating both dimensions, MAS ensures that the genes identified as differentially expressed are not mere statistical artifacts but hold genuine biological relevance, providing a more holistic understanding of the airway tissue response to viral infections. Our results unveiled distinct patterns of gene expression in response to viral infections. At 24 hours post-IAV infection, a robust interferon-stimulated gene (ISG) response was evident, marked by the upregulation of key genes including IFIT2, RSAD2, IFIT3, IFNL1, IFIT1, IFNB1, ISG15, OAS2, OASL, and MX1, collectively highlighting a formidable antiviral defense. MPV infection at the same time point displayed a dual innate and adaptive immune response, with highly expressed ISGs, immune cell recruitment signaled by CXCL10, and early adaptive immune engagement indicated by TXK and CD79A. In contrast, PIV3 infection at 24 hours triggered a transcriptional response dominated by ISGs, active immune cell recruitment through CXCL10, and inflammation modulation through OSM. The picture evolved at 72 hours post-infection. For IAV, ISGs and immune responses persisted, suggesting a sustained impact. MPV infection at this time point showed a shift towards IL17A and genes related to cellular signaling and immune responses, indicating adaptation to the viral challenge over time. In the case of PIV3, the transcriptional response remained interferon-centric, indicating a mature antiviral state. Our analysis underscored the pivotal role of ISGs across all infections and time points, emphasizing their universal significance in antiviral defense. Temporal shifts in gene expression indicative of adaptation and fine-tuning of the immune response. Additionally, the identification of shared and unique genes unveiled host-specific responses to specific pathogens. IAV exerted a sustained impact on genes from the initial 24 hours, while PIV3 displayed a delayed yet substantial genomic response, suggestive of a gradual and nuanced strategy.</t>
  </si>
  <si>
    <t xml:space="preserve">[Rezapour, Mostafa; Niazi, Muhammad Khalid Khan; Gurcan, Metin Nafi] Wake Forest Univ, Bowman Gray Sch Med, Ctr Artificial Intelligence Res, Winston Salem, NC 27101 USA; [Walker, Stephen J.; Mcnutt, Patrick M.; Atala, Anthony] Wake Forest Univ, Bowman Gray Sch Med, Wake Forest Inst Regenerat Med, Winston Salem, NC USA; [Ornelles, David A.] Wake Forest Univ, Bowman Gray Sch Med, Dept Microbiol &amp; Immunol, Winston Salem, NC USA</t>
  </si>
  <si>
    <t xml:space="preserve">Wake Forest University; Wake Forest Baptist Medical Center; Wake Forest University; Wake Forest Baptist Medical Center; Wake Forest University; Wake Forest Baptist Medical Center</t>
  </si>
  <si>
    <t xml:space="preserve">Rezapour, M (corresponding author), Wake Forest Univ, Bowman Gray Sch Med, Ctr Artificial Intelligence Res, Winston Salem, NC 27101 USA.</t>
  </si>
  <si>
    <t xml:space="preserve">Niazi, Muhammad Khizar/AAM-5459-2020</t>
  </si>
  <si>
    <t xml:space="preserve">Rezapour, Mostafa/0000-0001-9569-118X; Walker, Stephen/0000-0002-0732-2366</t>
  </si>
  <si>
    <t xml:space="preserve">U.S. Government under Other Transaction [W15QKN-16-9- 1002]</t>
  </si>
  <si>
    <t xml:space="preserve">Effort sponsored by the U.S. Government under Other Transaction number W15QKN-16-9- 1002 (PI: Dr. Anthony Atala) between the MCDC, and the Government. The US Government is authorized to reproduce and distribute reprints for Governmental purposes, notwithstanding any copyright notation thereon. The views and conclusions contained herein are those of the authors and should not be interpreted as necessarily representing the official policies or endorsements, either expressed or implied, of the U.S. Government.</t>
  </si>
  <si>
    <t xml:space="preserve">e0308849</t>
  </si>
  <si>
    <t xml:space="preserve">10.1371/journal.pone.0308849</t>
  </si>
  <si>
    <t xml:space="preserve">N4Y9F</t>
  </si>
  <si>
    <t xml:space="preserve">WOS:001364424600019</t>
  </si>
  <si>
    <t xml:space="preserve">Song, XY; Delaney, M; Shah, RK; Campos, JM; Wessel, DL; DeBiasi, RL</t>
  </si>
  <si>
    <t xml:space="preserve">Song, Xiaoyan; Delaney, Meghan; Shah, Rahul K.; Campos, Joseph M.; Wessel, David L.; DeBiasi, Roberta L.</t>
  </si>
  <si>
    <t xml:space="preserve">Common seasonal respiratory viral infections in children before and during the coronavirus disease 2019 (COVID-19) pandemic</t>
  </si>
  <si>
    <t xml:space="preserve">Medicine; Pandemic; Cohort; Coronavirus; Coronavirus disease 2019 (COVID-19); Incidence (geometry); Pediatrics</t>
  </si>
  <si>
    <t xml:space="preserve">SYNCYTIAL VIRUS; HOSPITALIZATIONS</t>
  </si>
  <si>
    <t xml:space="preserve">Objectives: To describe the incidence of seasonal respiratory viral infections (s-RVIs) before and during the coronavirus disease 2019 (COVID-19) pandemic and to compare virus-specific patient outcomes in pediatric patients. Design: A retrospective cross-sectional study including patient admissions to the Children's National Hospital between October 1, 2015, and December 31, 2020. Results: Among 12,451 patient admissions between March 15 and December 31, 2020 (cohort 1), 8,162 (66%) were tested for severe acute respiratory coronavirus virus 2 (SARS-CoV-2), and 249 (2.0%) were positive. Among 10,986 patient admissions between April 1 and December 31, 2020 (cohort 2), 844 (8%) were tested for s-RV upon admission and 160 were positive. Thus, 1.5% of patient admissions were associated with laboratory-confirmed s-RVIs. Among the 49,901 patient admissions during a viral season between October 1, 2015, and March 31, 2020 (cohort 3), 7,539 (15%) were tested for s-RV upon admission and 4,531 were positive; thus, 9.0% of patient admissions were associated with laboratory-confirmed s-RVIs. hHRV/rENT was the most detected virus, but the detection rate decreased substantially (31% vs 18%; P &lt; .001) during the COVID-19 pandemic. No patients had RSV, influenza, hMPV, hPIV, or hCoV detected upon admission after April 21, 2020. The 3 patient cohorts had no statistically significant difference in the percentage of ICU admissions (10.8% vs 15.0% vs 14.2%; P &gt; .05) or death at discharge (0.8% vs 0.6% vs 0.5%; P &gt; .05). Conclusions: Compared to COVID-19, s-RVI cases were associated with a higher proportion of inpatient admissions but were similar in ICU admission and death rates in hospitalized pediatric patients. Public health interventions for preventing COVID-19 were highly effective in preventing pediatrics s-RVIs.</t>
  </si>
  <si>
    <t xml:space="preserve">[Song, Xiaoyan] Childrens Natl Hosp, Off Infect Control Epidemiol, Washington, DC 20010 USA; [Delaney, Meghan; Campos, Joseph M.] Childrens Natl Hosp, Dept Lab Med, Washington, DC USA; [Shah, Rahul K.] Childrens Natl Hosp, Div Qual &amp; Safety, Washington, DC USA; [Wessel, David L.] Childrens Natl Hosp, Chief Med Off, Washington, DC USA; [DeBiasi, Roberta L.] Childrens Natl Hosp, Div Infect Dis, Washington, DC USA; [Song, Xiaoyan; Delaney, Meghan; Shah, Rahul K.; Campos, Joseph M.; Wessel, David L.; DeBiasi, Roberta L.] George Washington Univ, Dept Pediat, Sch Hlth Sci, Washington, DC 20052 USA</t>
  </si>
  <si>
    <t xml:space="preserve">Children's National Health System; Children's National Health System; Children's National Health System; Children's National Health System; Children's National Health System; George Washington University</t>
  </si>
  <si>
    <t xml:space="preserve">Song, XY (corresponding author), Childrens Natl Hosp, Off Infect Control Epidemiol, Washington, DC 20010 USA.;Song, XY (corresponding author), George Washington Univ, Dept Pediat, Sch Hlth Sci, Washington, DC 20052 USA.</t>
  </si>
  <si>
    <t xml:space="preserve">xsong@childrensnational.org</t>
  </si>
  <si>
    <t xml:space="preserve">/0000-0001-6410-355X; Song, Xiaoyan/0000-0002-4907-0566</t>
  </si>
  <si>
    <t xml:space="preserve">PII S0899823X2100430X</t>
  </si>
  <si>
    <t xml:space="preserve">10.1017/ice.2021.430</t>
  </si>
  <si>
    <t xml:space="preserve">5L3TN</t>
  </si>
  <si>
    <t xml:space="preserve">WOS:000767240500001</t>
  </si>
  <si>
    <t xml:space="preserve">Chen, F; Novák, Z; Dannecker, C; Mokrás, C; Sui, L; Zhang, YZ; You, ZX; Han, L; Lang, JH; Hillemanns, P</t>
  </si>
  <si>
    <t xml:space="preserve">Chen, Fei; Novak, Zoltan; Dannecker, Christian; Mokras, Ctirad; Sui, Long; Zhang, Youzhong; You, Zhixue; Han, Ling; Lang, Jinghe; Hillemanns, Peter</t>
  </si>
  <si>
    <t xml:space="preserve">Multicentre, prospective, randomised controlled trial to evaluate hexaminolevulinate photodynamic therapy (Cevira) as a novel treatment in patients with high-grade squamous intraepithelial lesion: APRICITY phase 3 study protocol</t>
  </si>
  <si>
    <t xml:space="preserve">Medicine; Squamous intraepithelial lesion; Clinical endpoint; Cervical cancer</t>
  </si>
  <si>
    <t xml:space="preserve">GUIDELINES; MANAGEMENT; INFECTION; NEOPLASIA</t>
  </si>
  <si>
    <t xml:space="preserve">Introduction High-risk human papilloma virus (HMPV)-associated cervical cancer is the fourth most common cancer in women worldwide. Current treatments of high-grade squamous intraepithelial lesion (HSIL) of the cervix are based on invasive surgical interventions, compromising cervical competence and functionality. APRICITY is a multicentre, prospective, double-blind, randomised controlled phase 3 study further evaluating the efficacy and safety of Cevira, an integrated drug-delivery and light-delivery device for hexaminolevulinate photodynamic therapy, which shows promise as a novel, non-invasive outpatient therapy for women with HSIL. Methods and analysis Patients with biopsy-confirmed HSIL histology are invited to participate in the study planned to be conducted at 47 sites in China and 25 sites in Ukraine, Russia and the European Union. The aim is to include at least 384 patients, which will be randomised to either Cevira or placebo group (2:1). All patients will be assessed 3 months after first treatment and a second treatment will be administered in patients who are HPV positive or have at least low-grade squamous intraepithelial lesion. Primary endpoint is the proportion of the responders 6 months after first treatment. Secondary efficacy and safety endpoints will be assessed at 6 months, and data for secondary performance endpoints of the Cevira device will be collected at 3 months and 6 months, in case second treatment was administered. All patients in the Cevira group will be enrolled in an open, long-term extension study for 6 months to coiled additional efficacy and safety data (study extension endpoints). Ethics and dissemination The study was approved by the ethics committee of the Peking Union Medical College Hospital and Hannover Medical University, Germany. Findings will be disseminated through peer review publications and conference presentations.</t>
  </si>
  <si>
    <t xml:space="preserve">[Chen, Fei; Lang, Jinghe] Peking Union Med Coll Hosp, Dept Obstet &amp; Gynecol, Beijing, Peoples R China; [Novak, Zoltan] Aranyklin Gynecol, Budapest, Hungary; [Novak, Zoltan] Natl Inst Oncol, Dept Gynaecol, Budapest, Hungary; [Dannecker, Christian] Univ Hosp Augsburg, Dept Obstet &amp; Gynaecol, Augsburg, Germany; [Mokras, Ctirad] MCM GYNPED Sro, Dubnica Nad Vahom, Slovakia; [Sui, Long] Fudan Univ, Obstet &amp; Gynecol Hosp, Shanghai, Peoples R China; [Zhang, Youzhong] Shandong Univ, Qilu Hosp, Dept Obstet &amp; Gynecol, Jinan, Peoples R China; [You, Zhixue] Jiangsu Prov Hosp, Dept Obstet &amp; Gynecol, Nanjing, Peoples R China; [You, Zhixue] Nanjing Med Univ, Affiliated Hosp 1, Nanjing, Peoples R China; [Han, Ling] Asieris Pharmaceut Shanghai Co Ltd, Shanghai, Peoples R China; [Hillemanns, Peter] Hannover Med Sch, Dept Gynecol &amp; Obstet, Hannover, Germany; [Hillemanns, Peter] Comprehens Canc Ctr Niedersachsen, Hannover, Germany</t>
  </si>
  <si>
    <t xml:space="preserve">Chinese Academy of Medical Sciences - Peking Union Medical College; Peking Union Medical College Hospital; National Institute of Oncology Hungary; Fudan University; Shandong University; Nanjing Medical University; Nanjing Medical University; Hannover Medical School</t>
  </si>
  <si>
    <t xml:space="preserve">Hillemanns, P (corresponding author), Hannover Med Sch, Dept Gynecol &amp; Obstet, Hannover, Germany.;Hillemanns, P (corresponding author), Comprehens Canc Ctr Niedersachsen, Hannover, Germany.</t>
  </si>
  <si>
    <t xml:space="preserve">hillemanns.peter@mh-hannover.de</t>
  </si>
  <si>
    <t xml:space="preserve">Hillemanns, Peter/0000-0001-9829-3531</t>
  </si>
  <si>
    <t xml:space="preserve">Shanghai Yahong MediTech Co., Ltd, Pudong, Shanghai, China</t>
  </si>
  <si>
    <t xml:space="preserve">This study and support in the process of manuscript development were funded by Shanghai Yahong MediTech Co., Ltd, Pudong, Shanghai, China.</t>
  </si>
  <si>
    <t xml:space="preserve">e061740</t>
  </si>
  <si>
    <t xml:space="preserve">10.1136/bmjopen-2022-061740</t>
  </si>
  <si>
    <t xml:space="preserve">1X7WT</t>
  </si>
  <si>
    <t xml:space="preserve">WOS:000807661700003</t>
  </si>
  <si>
    <t xml:space="preserve">Fu, YF; Pan, LF; Sun, Q; Zhu, WP; Zhu, LY; Ye, CC; Xue, CY; Wang, YP; Liu, Q; Ma, P; Qiu, HF</t>
  </si>
  <si>
    <t xml:space="preserve">Fu, Yifei; Pan, Lifeng; Sun, Qiao; Zhu, Weiping; Zhu, Linying; Ye, Chuchu; Xue, Caoyi; Wang, Yuanping; Liu, Qing; Ma, Ping; Qiu, Huifang</t>
  </si>
  <si>
    <t xml:space="preserve">The Clinical and Etiological Characteristics of Influenza-Like Illness (ILI) in Outpatients in Shanghai, China, 2011 to 2013</t>
  </si>
  <si>
    <t xml:space="preserve">Influenza-like illness; Etiology; China; Medicine</t>
  </si>
  <si>
    <t xml:space="preserve">RESPIRATORY-SYNCYTIAL-VIRUS; HOSPITALIZED CHILDREN; VIRAL-INFECTIONS; TRACT INFECTIONS; YOUNG-CHILDREN; MULTIPLEX PCR; SURVEILLANCE; DIAGNOSIS; ADULTS; ASSAY</t>
  </si>
  <si>
    <t xml:space="preserve">Introduction Clinical and etiological characteristics of influenza-like illness (ILI) in outpatients is poorly understood in the southern temperate region of China. We conducted laboratory-based surveillance of viral etiology for ILI outpatients in Shanghai from January 2011 to December 2013. Materials and Methods Clinical and epidemiological data from ILI outpatients, both children and adults, were collected. A total of 1970 nasopharyngeal swabs were collected and tested for 12 respiratory viruses using multiplex RT-PCR, and the data were analyzed anonymously. Results All 12 respiratory viruses were detected in the specimens. At least one virus was detected in 32.4% of 1970 specimens analyzed, with 1.1% showing co-infections. The most frequently detected agents were influenza A (11.7%), influenza B (9.6%), and rhinoviruses (3.1%). Other viruses were present at a frequency less than 3.0%. We observed a winter peak in the detection rate in ILI patients during 3 years of surveillance and a summer peak in 2012. HCoV, HADV, and HMPV were detected more frequently in children than in adults. Patients infected with influenza virus experienced higher temperatures, more coughs, running noses, headaches and fatigue than patients infected with other viruses and virus-free patients (p&lt; 0.001). Conclusions The spectrum, seasonality, age distribution and clinical associations of respiratory virus infections in children and adults with influenza-like illness were analyzed in this study for the first time. To a certain extent, the findings can provide baseline data for evaluating the burden of respiratory virus infection in children and adults in Shanghai. It will also provide clinicians with helpful information about the etiological patterns of outpatients presenting with complaints of acute respiratory syndrome, but further studies should be conducted, and longer-term laboratory-based surveillance would give a better picture of the etiology of ILI.</t>
  </si>
  <si>
    <t xml:space="preserve">[Fu, Yifei; Sun, Qiao; Zhu, Weiping; Ye, Chuchu; Xue, Caoyi; Wang, Yuanping] Shanghai Pudong New Area Ctr Dis Control &amp; Preven, Res Base, Key Lab Surveillance &amp; Early Warning Infect Dis C, Shanghai, Peoples R China; [Pan, Lifeng; Zhu, Linying; Liu, Qing; Ma, Ping; Qiu, Huifang] Shanghai Pudong New Area Ctr Dis Control &amp; Preven, Dept Microbiol Lab, Shanghai, Peoples R China</t>
  </si>
  <si>
    <t xml:space="preserve">Shanghai Center for Disease Control &amp; Prevention; Shanghai Center for Disease Control &amp; Prevention</t>
  </si>
  <si>
    <t xml:space="preserve">Sun, Q (corresponding author), Shanghai Pudong New Area Ctr Dis Control &amp; Preven, Res Base, Key Lab Surveillance &amp; Early Warning Infect Dis C, Shanghai, Peoples R China.</t>
  </si>
  <si>
    <t xml:space="preserve">qsun@pdcdc.sh.cn</t>
  </si>
  <si>
    <t xml:space="preserve">Pan, Lifeng/KCL-4047-2024; Ye, Chuchu/Y-6147-2019</t>
  </si>
  <si>
    <t xml:space="preserve">Pan, Lifeng/0000-0001-9482-3275; Ye, Chuchu/0000-0003-4461-4111</t>
  </si>
  <si>
    <t xml:space="preserve">National Science and Technology Key Projects [2012ZX10004201]; Scientific Research Project of Ministry of Health, China [201202006]; Shanghai Overseas Talent Training Project [GWHW201220]</t>
  </si>
  <si>
    <t xml:space="preserve">National Science and Technology Key Projects; Scientific Research Project of Ministry of Health, China; Shanghai Overseas Talent Training Project</t>
  </si>
  <si>
    <t xml:space="preserve">This work was supported in part by National Science and Technology Key Projects (No. 2012ZX10004201, http://www.most.gov.cn), Scientific Research Project of Ministry of Health, China (No. 201202006, http://www.nhfpc.gov.cn) and Shanghai Overseas Talent Training Project (GWHW201220, http://www.wsjsw.gov.cn). The funders had no role in study design, data collection and analysis, decision to publish, or preparation of the manuscript.</t>
  </si>
  <si>
    <t xml:space="preserve">e0119513</t>
  </si>
  <si>
    <t xml:space="preserve">10.1371/journal.pone.0119513</t>
  </si>
  <si>
    <t xml:space="preserve">CE9AD</t>
  </si>
  <si>
    <t xml:space="preserve">WOS:000352134700040</t>
  </si>
  <si>
    <t xml:space="preserve">Kirca, F; Aydogan, S; Gozalan, A; Güler, E; Erten, AZU; Uygur, ASÖ; Dogan, A; Dinc, B</t>
  </si>
  <si>
    <t xml:space="preserve">Kirca, Fusun; Aydogan, Sibel; Gozalan, Aysegul; Guler, Ezgi; Erten, Aysegul Zehra Uyan; Uygur, Ayse Sena Ozsen; Dogan, Alper; Dinc, Bedia</t>
  </si>
  <si>
    <t xml:space="preserve">Impact of non-pharmaceutical interventions on circulating respiratory viruses during the COVID-19 pandemic in Turkey</t>
  </si>
  <si>
    <t xml:space="preserve">Medicine; Respiratory system; Respiratory tract infections; Pandemic; Virology</t>
  </si>
  <si>
    <t xml:space="preserve">INFLUENZA; RHINOVIRUSES; PANEL</t>
  </si>
  <si>
    <t xml:space="preserve">BACKGROUND: Non-pharmaceutical interventions (NPIs) applied to limit the SARS-CoV-2 pandemic also affect the circulation and seasonal characteristics of other respiratory viruses.OBJECTIVES: Assess the impact of NPIs on the spread and seasonal characteristics of non-SARS-CoV-2 respiratory viruses and examine viral respiratory co-infections.DESIGN: Retrospective cohortSETTING: Single center in Turkey.PATIENTS AND METHODS: Syndromic multiplex viral polymerase chain reaction (mPCR) panel results of patients admitted to the Ankara Bilkent City Hospital with symptoms of acute respiratory tract infec-tion between April 1, 2020 and October 30, 2022 were evaluated. Two study periods before and after 1 July 2021, when the restrictions were discontinued, were statistically analyzed and compared to determine the effect of NPIs on circulating respiratory viruses.MAIN OUTCOME MEASURES: Prevalence of respiratory viruses as determined by syndromic mPCR panel.SAMPLE SIZE: 11 300 patient samples were evaluated.RESULTS: At least one respiratory tract virus was detected in 6250 (55.3%) patients. Of these, at least one respiratory virus was detected in 5% in the first period (between April 1, 2020 and June 30, 2021, when NPIs were applied), and in 95% in the second period (between July 1, 2021 and October 30, 2022, when NPIs were relaxed). After the removal of NPIs, there was a statistically significant increase in hRV/EV, RSV-A/B, Flu A/H3, hBoV, hMPV, PIV-1, PIV-4, hCoV-OC43, PIV-2 and hCoV-NL63 (P&lt;.05). In the 2020-2021 season, when strict NPIs were applied, all respiratory viruses evaluated did not have the usual sea-sonal peak and there were no seasonal influenza epidemics during this period.CONCLUSIONS: NPIs resulted in a dramatic decrease in the preva-lence of respiratory viruses and notable disruption of seasonal charac-teristics.LIMITATIONS: Single-center study and retrospective.CONFLICT OF INTEREST: None.</t>
  </si>
  <si>
    <t xml:space="preserve">[Kirca, Fusun; Aydogan, Sibel; Guler, Ezgi; Erten, Aysegul Zehra Uyan; Uygur, Ayse Sena Ozsen; Dogan, Alper; Dinc, Bedia] Ankara Bilkent City Hosp, Dept Med Microbiol, TR-06800 Ankara, Turkiye; [Gozalan, Aysegul] Alanya Alaaddin Keykubat Univ, Dept Med Microbiol, Antalya, Turkiye</t>
  </si>
  <si>
    <t xml:space="preserve">Alanya Alaaddin Keykubat University</t>
  </si>
  <si>
    <t xml:space="preserve">Kirca, F (corresponding author), Ankara Bilkent City Hosp, Dept Med Microbiol, TR-06800 Ankara, Turkiye.</t>
  </si>
  <si>
    <t xml:space="preserve">fskirca@yahoo.com</t>
  </si>
  <si>
    <t xml:space="preserve">Dinc, Bedia/ABD-6461-2021; Aydoğan, Sibel/HFZ-7979-2022; KIRCA, FUSUN/HHC-3592-2022</t>
  </si>
  <si>
    <t xml:space="preserve">KIRCA, FUSUN/0000-0003-0959-9091</t>
  </si>
  <si>
    <t xml:space="preserve">10.5144/0256-4947.2023.143</t>
  </si>
  <si>
    <t xml:space="preserve">J8HP2</t>
  </si>
  <si>
    <t xml:space="preserve">WOS:001011981000003</t>
  </si>
  <si>
    <t xml:space="preserve">Sun, J; Wei, YW; Rauf, A; Zhang, Y; Ma, YM; Zhang, XD; Shilo, K; Yu, QZ; Saif, YM; Lu, XM; Yu, L; Li, JR</t>
  </si>
  <si>
    <t xml:space="preserve">Sun, Jing; Wei, Yongwei; Rauf, Abdul; Zhang, Yu; Ma, Yuanmei; Zhang, Xiaodong; Shilo, Konstantin; Yu, Qingzhong; Saif, Y. M.; Lu, Xingmeng; Yu, Lian; Li, Jianrong</t>
  </si>
  <si>
    <t xml:space="preserve">Methyltransferase-Defective Avian Metapneumovirus Vaccines Provide Complete Protection against Challenge with the Homologous Colorado Strain and the Heterologous Minnesota Strain</t>
  </si>
  <si>
    <t xml:space="preserve">Biology; Virology; Metapneumovirus; Heterologous; Virus; Human metapneumovirus</t>
  </si>
  <si>
    <t xml:space="preserve">VESICULAR STOMATITIS-VIRUS; RNA CAP METHYLATION; CELL-CELL FUSION; SUBGROUP-C; LIVE-VACCINE; SUBTYPE-C; POLYMERASE PROTEIN; GLYCOPROTEIN GENE; 2'-O METHYLATION; TURKEY POULTS</t>
  </si>
  <si>
    <t xml:space="preserve">Avian metapneumovirus (aMPV), also known as avian pneumovirus or turkey rhinotracheitis virus, is the causative agent of turkey rhinotracheitis and is associated with swollen head syndrome in chickens. Since its discovery in the 1970s, aMPV has been recognized as an economically important pathogen in the poultry industry worldwide. The conserved region VI (CR VI) of the large (L) polymerase proteins of paramyxoviruses catalyzes methyltransferase (MTase) activities that typically methylate viral mRNAs at guanine N-7 (G-N-7) and ribose 2'-O positions. In this study, we generated a panel of recombinant aMPV (raMPV) Colorado strains carrying mutations in the S-adenosyl methionine (SAM) binding site in the CR VI of L protein. These recombinant viruses were specifically defective in ribose 2'-O, but not G-N-7 methylation and were genetically stable and highly attenuated in cell culture and viral replication in the upper and lower respiratory tracts of specific-pathogen-free (SPF) young turkeys. Importantly, turkeys vaccinated with these MTase-defective raMPVs triggered a high level of neutralizing antibody and were completely protected from challenge with homologous aMPV Colorado strain and heterologous aMPV Minnesota strain. Collectively, our results indicate (i) that aMPV lacking 2'-O methylation is highly attenuated in vitro and in vivo and (ii) that inhibition of mRNA cap MTase can serve as a novel target to rationally design live attenuated vaccines for aMPV and perhaps other paramyxoviruses. IMPORTANCE Paramyxoviruses include many economically and agriculturally important viruses such as avian metapneumovirus (aMPV), and Newcastle disease virus (NDV), human pathogens such as human respiratory syncytial virus, human metapneumovirus, human parainfluenza virus type 3, and measles virus, and highly lethal emerging pathogens such as Nipah virus and Hendra virus. For many of them, there is no effective vaccine or antiviral drug. These viruses share common strategies for viral gene expression and replication. During transcription, paramyxoviruses produce capped, methylated, and polyadenylated mRNAs. Using aMPV as a model, we found that viral ribose 2'-O methyltransferase (MTase) is a novel approach to rationally attenuate the virus for vaccine purpose. Recombinant aMPV (raMPV) lacking 2'-O MTase were not only highly attenuated in turkeys but also provided complete protection against the challenge of homologous and heterologous aMPV strains. This novel approach can be applicable to other animal and human paramyxoviruses for rationally designing live attenuated vaccines.</t>
  </si>
  <si>
    <t xml:space="preserve">[Sun, Jing; Wei, Yongwei; Zhang, Yu; Ma, Yuanmei; Zhang, Xiaodong; Li, Jianrong] Ohio State Univ, Coll Vet Med, Dept Vet Biosci, Columbus, OH 43210 USA; [Rauf, Abdul; Saif, Y. M.] Ohio State Univ, Ohio Agr Res &amp; Dev Ctr, Food Anim Hlth Res Program, Wooster, OH 44691 USA; [Shilo, Konstantin] Ohio State Univ, Coll Med, Dept Pathol, Columbus, OH 43210 USA; [Yu, Qingzhong] USDA ARS, SE Poultry Res Lab, Athens, GA 30605 USA; [Sun, Jing; Lu, Xingmeng; Yu, Lian] Zhejiang Univ, Coll Anim Sci, Hangzhou 310003, Zhejiang, Peoples R China</t>
  </si>
  <si>
    <t xml:space="preserve">University System of Ohio; Ohio State University; University System of Ohio; Ohio State University; University System of Ohio; Ohio State University; United States Department of Agriculture (USDA); Zhejiang University</t>
  </si>
  <si>
    <t xml:space="preserve">Li, Jianrong/E-3510-2011; Shilo, K/AAV-2360-2020; Ma, Yuanmei/O-2720-2015</t>
  </si>
  <si>
    <t xml:space="preserve">Shilo, K/0000-0002-6702-3130; Yu, Qingzhong/0000-0003-0386-793X; Sun, Jing/0000-0002-3400-1920</t>
  </si>
  <si>
    <t xml:space="preserve">USDA NIFA Animal Health Program [2010-65119-20602]; NIH [R01AI090060]; NIFA [581071, 2010-65119-20602] Funding Source: Federal RePORTER</t>
  </si>
  <si>
    <t xml:space="preserve">USDA NIFA Animal Health Program; NIH(United States Department of Health &amp; Human ServicesNational Institutes of Health (NIH) - USA); NIFA(United States Department of Agriculture (USDA)National Institute of Food and Agriculture)</t>
  </si>
  <si>
    <t xml:space="preserve">This study was supported by grants from the USDA NIFA Animal Health Program (2010-65119-20602) and the NIH (R01AI090060) to J.L.</t>
  </si>
  <si>
    <t xml:space="preserve">10.1128/JVI.01095-14</t>
  </si>
  <si>
    <t xml:space="preserve">AR1BN</t>
  </si>
  <si>
    <t xml:space="preserve">WOS:000343314900016</t>
  </si>
  <si>
    <t xml:space="preserve">Stone, JA; Vemulapati, BM; Bradel-Tretheway, B; Aguilar, HC</t>
  </si>
  <si>
    <t xml:space="preserve">Stone, Jacquelyn A.; Vemulapati, Bhadra M.; Bradel-Tretheway, Birgit; Aguilar, Hector C.</t>
  </si>
  <si>
    <t xml:space="preserve">Multiple Strategies Reveal a Bidentate Interaction between the Nipah Virus Attachment and Fusion Glycoproteins</t>
  </si>
  <si>
    <t xml:space="preserve">Biology; Paramyxoviridae; Glycoprotein; Lipid bilayer fusion; Hemagglutinin (influenza); Viral entry; Virology; Virus; Immunoprecipitation</t>
  </si>
  <si>
    <t xml:space="preserve">NEWCASTLE-DISEASE VIRUS; HEMAGGLUTININ-NEURAMINIDASE PROTEIN; PARAMYXOVIRUS MEMBRANE-FUSION; F-SPECIFIC DOMAIN; HENDRA-VIRUS; N-GLYCANS; STALK DOMAIN; RECEPTOR-BINDING; VIRAL ENTRY; FUNCTIONAL INTERACTION</t>
  </si>
  <si>
    <t xml:space="preserve">The paramyxoviral family contains many medically important viruses, including measles virus, mumps virus, parainfluenza viruses, respiratory syncytial virus, human metapneumovirus, and the deadly zoonotic henipaviruses Hendra and Nipah virus (NiV). To both enter host cells and spread from cell to cell within infected hosts, the vast majority of paramyxoviruses utilize two viral envelope glycoproteins: the attachment glycoprotein (G, H, or hemagglutinin-neuraminidase [HN]) and the fusion glycoprotein (F). Binding of G/H/HN to a host cell receptor triggers structural changes in G/H/HN that in turn trigger F to undergo a series of conformational changes that result in virus-cell (viral entry) or cell-cell (syncytium formation) membrane fusion. The actual regions of G/H/HN and F that interact during the membrane fusion process remain relatively unknown though it is generally thought that the paramyxoviral G/H/HN stalk region interacts with the F head region. Studies to determine such interactive regions have relied heavily on coimmunoprecipitation approaches, whose limitations include the use of detergents and the micelle-mediated association of proteins. Here, we developed a flow-cytometric strategy capable of detecting membrane protein-protein interactions by interchangeably using the full-length form of G and a soluble form of F, or vice versa. Using both coimmunoprecipitation and flow-cytometric strategies, we found a bidentate interaction between NiV G and F, where both the stalk and head regions of NiV G interact with F. This is a new structural-biological finding for the paramyxoviruses. Additionally, our studies disclosed regions of the NiV G and F glycoproteins dispensable for the G and F interactions. IMPORTANCE Nipah virus (NiV) is a zoonotic paramyxovirus that causes high mortality rates in humans, with no approved treatment or vaccine available for human use. Viral entry into host cells relies on two viral envelope glycoproteins: the attachment (G) and fusion (F) glycoproteins. Binding of G to the ephrinB2 or ephrinB3 cell receptors triggers conformational changes in G that in turn cause F to undergo conformational changes that result in virus-host cell membrane fusion and viral entry. It is currently unknown, however, which specific regions of G and F interact during membrane fusion. Past efforts to determine the interacting regions have relied mainly on coimmunoprecipitation, a technique with some pitfalls. We developed a flow-cytometric assay to study membrane protein-protein interactions, and using this assay we report a bidentate interaction whereby both the head and stalk regions of NiV G interact with NiV F, a new finding for the paramyxovirus family.</t>
  </si>
  <si>
    <t xml:space="preserve">[Stone, Jacquelyn A.; Vemulapati, Bhadra M.; Bradel-Tretheway, Birgit; Aguilar, Hector C.] Washington State Univ, Paul G Allen Sch Global Anim Hlth, Pullman, WA 99164 USA; [Aguilar, Hector C.] Washington State Univ, Dept Vet Microbiol &amp; Pathol, Pullman, WA 99164 USA; [Vemulapati, Bhadra M.] KL Univ, Dept Biotechnol, Genom &amp; Prote Grp, Guntur, Andhra Pradesh, India</t>
  </si>
  <si>
    <t xml:space="preserve">Washington State University; Washington State University; Koneru Lakshmaiah Education Foundation (K L Deemed to be University)</t>
  </si>
  <si>
    <t xml:space="preserve">Aguilar, HC (corresponding author), Washington State Univ, Paul G Allen Sch Global Anim Hlth, Pullman, WA 99164 USA.;Aguilar, HC (corresponding author), Washington State Univ, Dept Vet Microbiol &amp; Pathol, Pullman, WA 99164 USA.</t>
  </si>
  <si>
    <t xml:space="preserve">VEMULAPATI, BHADRA MURTHY/0000-0003-1487-9629</t>
  </si>
  <si>
    <t xml:space="preserve">HHS \ NIH \ National Institute of Allergy and Infectious Diseases (NIAID) [R01AI109022]</t>
  </si>
  <si>
    <t xml:space="preserve">This work, including the efforts of Hector C. Aguilar, was funded by HHS vertical bar NIH vertical bar National Institute of Allergy and Infectious Diseases (NIAID) (R01AI109022).</t>
  </si>
  <si>
    <t xml:space="preserve">10.1128/JVI.01469-16</t>
  </si>
  <si>
    <t xml:space="preserve">EE8VL</t>
  </si>
  <si>
    <t xml:space="preserve">WOS:000389904500027</t>
  </si>
  <si>
    <t xml:space="preserve">Mair, C; Nickbakhsh, S; Reeve, R; McMenamin, J; Reynolds, A; Gunson, RN; Murcia, PR; Matthews, L</t>
  </si>
  <si>
    <t xml:space="preserve">Mair, Colette; Nickbakhsh, Sema; Reeve, Richard; McMenamin, Jim; Reynolds, Arlene; Gunson, Rory N.; Murcia, Pablo R.; Matthews, Louise</t>
  </si>
  <si>
    <t xml:space="preserve">Estimation of temporal covariances in pathogen dynamics using Bayesian multivariate autoregressive models</t>
  </si>
  <si>
    <t xml:space="preserve">PLOS COMPUTATIONAL BIOLOGY</t>
  </si>
  <si>
    <t xml:space="preserve">Biology; Human metapneumovirus; Ecology</t>
  </si>
  <si>
    <t xml:space="preserve">AIR-POLLUTION; VIRAL-INFECTIONS; TIME-SERIES; DISEASE; INFLUENZA; VIRUS; SEASONALITY; REGRESSION; FRAMEWORK; OUTBREAKS</t>
  </si>
  <si>
    <t xml:space="preserve">It is well recognised that animal and plant pathogens form complex ecological communities of interacting organisms within their hosts, and there is growing interest in the health implications of such pathogen interactions. Although community ecology approaches have been used to identify pathogen interactions at the within-host scale, methodologies enabling robust identification of interactions from population-scale data such as that available from health authorities are lacking. To address this gap, we developed a statistical framework that jointly identifies interactions between multiple viruses from contemporaneous non-stationary infection time series. Our conceptual approach is derived from a Bayesian multivariate disease mapping framework. Importantly, our approach captures within- and between-year dependencies in infection risk while controlling for confounding factors such as seasonality, demographics and infection frequencies, allowing genuine pathogen interactions to be distinguished from simple correlations. We validated our framework using a broad range of synthetic data. We then applied it to diagnostic data available for five respiratory viruses co-circulating in a major urban population between 2005 and 2013: adenovirus, human coronavirus, human metapneumovirus, influenza B virus and respiratory syncytial virus. We found positive and negative covariances indicative of epidemiological interactions among specific virus pairs. This statistical framework enables a community ecology perspective to be applied to infectious disease epidemiology with important utility for public health planning and preparedness. Author summary Disease-causing microorganisms, including viruses, bacteria, protozoa and fungi, form complex communities within animals and plants. These microorganisms can coexist harmoniously or even beneficially, or they may competitively interact for host resources. Well-studied examples include interactions between viruses and bacteria in the respiratory tract. Whilst ecological studies have revealed that some pathogens do interact within their hosts, identifying interactions from available population scale data from health authorities is challenging. This is exacerbated by a lack of large-scale data describing the infection patterns of multiple pathogens within single populations over long time frames. Furthermore, methods for evaluating whether infection frequencies of different pathogens fluctuate together or not over time cannot readily account for alternative explanations. For example, human pathogens may have related seasonal patterns depending on the age groups they infect and the weather conditions they survive in, and not because they are interacting. We developed a robust statistical framework to identify pathogen-pathogen interactions from population scale diagnostic data. This framework serves as a crucial step in identifying such important interactions and will guide new studies to elucidate their underpinning mechanisms. This will have important consequences for public health preparedness and the design of effective disease control interventions.</t>
  </si>
  <si>
    <t xml:space="preserve">[Mair, Colette; Nickbakhsh, Sema; Murcia, Pablo R.] Univ Glasgow, Inst Infect Immun &amp; Inflammat, Coll Med Vet &amp; Life Sci, MRC,Ctr Virus Res, Glasgow, Lanark, Scotland; [Mair, Colette] Univ Glasgow, Sch Math &amp; Stat, Coll Sci &amp; Engn, Glasgow, Lanark, Scotland; [Reeve, Richard; Matthews, Louise] Univ Glasgow, Inst Biodivers Anim Hlth &amp; Comparat Med, Coll Med Vet &amp; Life Sci, Boyd Orr Ctr Populat &amp; Ecosyst Hlth, Glasgow, Lanark, Scotland; [McMenamin, Jim; Reynolds, Arlene] NHS Natl Serv Scotland, Hlth Protect Scotland, Glasgow, Lanark, Scotland; [Gunson, Rory N.] NHS Greater Glasgow &amp; Clyde, West Scotland Specialist Virol Ctr, Glasgow, Lanark, Scotland</t>
  </si>
  <si>
    <t xml:space="preserve">University of Glasgow; University of Glasgow; University of Glasgow; NHS National Services Scotland</t>
  </si>
  <si>
    <t xml:space="preserve">Mair, C (corresponding author), Univ Glasgow, Inst Infect Immun &amp; Inflammat, Coll Med Vet &amp; Life Sci, MRC,Ctr Virus Res, Glasgow, Lanark, Scotland.;Mair, C (corresponding author), Univ Glasgow, Sch Math &amp; Stat, Coll Sci &amp; Engn, Glasgow, Lanark, Scotland.</t>
  </si>
  <si>
    <t xml:space="preserve">Colette.Mair@glasgow.ac.uk</t>
  </si>
  <si>
    <t xml:space="preserve">; Matthews, Louise/E-2913-2013; Reeve, Richard/K-9918-2015</t>
  </si>
  <si>
    <t xml:space="preserve">Nickbakhsh, Sema/0000-0001-9543-7536; Matthews, Louise/0000-0003-4420-8367; Mair, Colette/0000-0001-8885-7161; Reeve, Richard/0000-0003-2589-8091</t>
  </si>
  <si>
    <t xml:space="preserve">Medical Research Council of the United Kingdom [MC_UU_12014/9]; National Science Foundation [DEB1216040/BB/K01126X/1, MR/S004815/1, MR/R00241X/1, BB/L018926/1, BB/M003949/1, BB/L004070/1, BB/R012679/1]; Foods Standards Agency [FS101055]; Scottish Government Rural and Environment Science and Analytical Services Division, as part of the Centre of Expertise on Animal Disease Outbreaks (EPIC); BBSRC [BB/L018926/1, BB/R012679/1, BB/M003949/1, BB/K01126X/1, BB/L004070/1] Funding Source: UKRI; MRC [MR/R00241X/1, MC_UU_12014/9, MR/S004815/1] Funding Source: UKRI</t>
  </si>
  <si>
    <t xml:space="preserve">Medical Research Council of the United Kingdom(UK Research &amp; Innovation (UKRI)Medical Research Council UK (MRC)); National Science Foundation(National Science Foundation (NSF)); Foods Standards Agency; Scottish Government Rural and Environment Science and Analytical Services Division, as part of the Centre of Expertise on Animal Disease Outbreaks (EPIC); BBSRC(UK Research &amp; Innovation (UKRI)Biotechnology and Biological Sciences Research Council (BBSRC)); MRC(UK Research &amp; Innovation (UKRI)Medical Research Council UK (MRC))</t>
  </si>
  <si>
    <t xml:space="preserve">This work was funded by the Medical Research Council of the United Kingdom MC_UU_12014/9, www.mrc.ukri.org/(S.N, C.M, P. M, R.R and L.M). We are grateful for the support from the National Science Foundation DEB1216040/BB/K01126X/1, www.nsf.gov (L.M), MR/S004815/1 (L.M) MR/R00241X/1 (L.M. and R. R), www.mrc.ukri.org, BB/L018926/1 (L.M), BB/M003949/1 (L.M) BB/L004070/1 (L.M and R.R), BB/R012679/1 (R.R), www.bbsrc.ukri.org, the Foods Standards Agency FS101055, www.food.gov.uk (L.M) and the Scottish Government Rural and Environment Science and Analytical Services Division, as part of the Centre of Expertise on Animal Disease Outbreaks (EPIC), www.epicscotland.org (L.M). The funders had no role in study design, data collection and analysis, decision to publish, or preparation of the manuscript.</t>
  </si>
  <si>
    <t xml:space="preserve">1553-734X</t>
  </si>
  <si>
    <t xml:space="preserve">1553-7358</t>
  </si>
  <si>
    <t xml:space="preserve">PLOS COMPUT BIOL</t>
  </si>
  <si>
    <t xml:space="preserve">PLoS Comput. Biol.</t>
  </si>
  <si>
    <t xml:space="preserve">e1007492</t>
  </si>
  <si>
    <t xml:space="preserve">10.1371/journal.pcbi.1007492</t>
  </si>
  <si>
    <t xml:space="preserve">Biochemical Research Methods; Mathematical &amp; Computational Biology</t>
  </si>
  <si>
    <t xml:space="preserve">Biochemistry &amp; Molecular Biology; Mathematical &amp; Computational Biology</t>
  </si>
  <si>
    <t xml:space="preserve">KC6UR</t>
  </si>
  <si>
    <t xml:space="preserve">Green Accepted, Green Published, gold, Green Submitted</t>
  </si>
  <si>
    <t xml:space="preserve">WOS:000507310800031</t>
  </si>
  <si>
    <t xml:space="preserve">Pacheco-Gonzalez, RM; Mallol, J; Solé, D; Brand, PLP; Perez-Fernandez, V; Sanchez-Solis, M; Garcia-Marcos, L</t>
  </si>
  <si>
    <t xml:space="preserve">Pacheco-Gonzalez, Rosa M.; Mallol, Javier; Sole, Dirceu; Brand, Paul L. P.; Perez-Fernandez, Virginia; Sanchez-Solis, Manuel; Garcia-Marcos, Luis</t>
  </si>
  <si>
    <t xml:space="preserve">EISL Study Grp</t>
  </si>
  <si>
    <t xml:space="preserve">Factors associated with the time to the first wheezing episode in infants: a cross-sectional study from the International Study of Wheezing in Infants (EISL)</t>
  </si>
  <si>
    <t xml:space="preserve">NPJ PRIMARY CARE RESPIRATORY MEDICINE</t>
  </si>
  <si>
    <t xml:space="preserve">Wheeze; Medicine; Pediatrics; Asthma; Respiratory sounds; Hazard ratio; Tobacco smoke; Confidence interval</t>
  </si>
  <si>
    <t xml:space="preserve">RESPIRATORY-SYNCYTIAL-VIRUS; BREAST-FEEDING PROTECTS; EARLY-LIFE EXPOSURES; HUMAN METAPNEUMOVIRUS; YOUNG-CHILDREN; ASTHMA; INFECTIONS; RISK; PREVALENCE; PATTERNS</t>
  </si>
  <si>
    <t xml:space="preserve">Male gender, asthmatic heredity, perinatal tobacco smoke exposure and respiratory infections have been associated with wheeze in the first years of life, among other risk factors. However, information about what factors modify the time to the first episode of wheeze in infants is lacking. The present study analyses which factors are associated with shorter time to the first episode of wheeze in infants. Parents of 11- to 24-month-old children were surveyed when attending their health-care centres for a control visit. They answered a questionnaire including the age in months when a first wheeze episode (if any) had occurred (outcome variable). The study was performed in 14 centres in Latin America (LA) and in 8 centres in Europe (EU) (at least 1,000 infants per centre). Factors known to be associated with wheezing in the cohort were included in a survival analysis (Cox proportional hazards model). Summary hazard ratios adjusted for all risk factors (aHR) were calculated using the meta-analysis approach with random effects. A total of 15,067 infants had experienced wheezing at least once, out of 35,049 surveyed. Male gender in LA (aHR 1.05, 95% confidence interval (CI) 1.00-1.10, P = 0.047), parental asthma in LA and EU (aHR 1.05, 95% CI 1.00-1.11, P = 0.037), infant eczema in EU (aHR 1.25, 95% CI 1.12-1.39, P &lt; 0.001) and having a cold during the first 3 months in LA and EU (aHR 1.97, 95% CI 1.90-2.04, P &lt; 0.001), in LA (aHR 1.98, 95% CI 1.90-2.06, P &lt; 0.001) and in EU (aHR 1.91, 95% CI 1.75-2.09, P &lt; 0.001) were associated with a shorter period of time to the first episode. Breast feeding for at least 3 months was associated with a longer period, only in LA (aHR 0.91, 95% CI 0.86-0.96, P &lt; 0.001). Cold symptoms during the first 3 months is the most consistent factor shortening the time to the first episode of wheezing; breast feeding for &gt;= 3 months delays it only in LA, whereas eczema shortens it only in EU. Avoiding a common cold in the first months of life could be a good strategy to delay the first wheeze episode; however, cohort studies will help to elucidate this association.</t>
  </si>
  <si>
    <t xml:space="preserve">[Pacheco-Gonzalez, Rosa M.; Sanchez-Solis, Manuel; Garcia-Marcos, Luis] Univ Murcia, Virgen de la Arrixaca Univ Childrens Hosp, Pediat Resp &amp; Allergy Unit, Murcia, Spain; [Mallol, Javier] Univ Santiago Chile USACH, Dept Pediat Resp Med, Hosp El Pino, Santiago, Chile; [Sole, Dirceu] Fed Univ Sao Paulo UNIFESP, Dept Pediat, Div Allergy Clin Immunol &amp; Rheumatol, Sao Paulo, Brazil; [Brand, Paul L. P.] Isala Klin, Princess Amalia Childrens Clin, Zwolle, Netherlands; [Brand, Paul L. P.] Univ Med Ctr Groningen, UMCG Postgrad Sch Med, NL-9713 AV Groningen, Netherlands; [Perez-Fernandez, Virginia] Univ Murcia, Dept Pediat, Murcia, Spain; [Garcia-Marcos, Luis] IMIB Biores Inst, Murcia, Spain</t>
  </si>
  <si>
    <t xml:space="preserve">Hospital Clinico Universitario Virgen de la Arrixaca; University of Murcia; Universidad de Santiago de Chile; Universidade Federal de Sao Paulo (UNIFESP); Isala Clinics; University of Groningen; University of Murcia</t>
  </si>
  <si>
    <t xml:space="preserve">Garcia-Marcos, L (corresponding author), Univ Murcia, Virgen de la Arrixaca Univ Childrens Hosp, Pediat Resp &amp; Allergy Unit, Murcia, Spain.;Garcia-Marcos, L (corresponding author), IMIB Biores Inst, Murcia, Spain.</t>
  </si>
  <si>
    <t xml:space="preserve">Sanchez-Solis, Manuel/AAQ-8717-2020; Perez-Fernandez, Virginia/AAA-5690-2019; Brand, Paul/ABB-3693-2021; Solé, Dirceu/JAO-0340-2023; Chong Neto, Herberto Jose/K-4077-2013</t>
  </si>
  <si>
    <t xml:space="preserve">Mallol, Javier/0000-0003-2528-8672; Garcia-Marcos, Luis/0000-0002-0925-3851; Sanchez-Solis, Manuel/0000-0001-9642-0613; Perez-Fernandez, Virginia/0000-0003-1877-3055; Chong Neto, Herberto Jose/0000-0002-7960-3925</t>
  </si>
  <si>
    <t xml:space="preserve">Spanish 'Fondo de Investigacion Sanitaria' [PI050480]; 'Secretaria de Estado para la Cooperacion Internacional' [A/3069/05, A/5189/06]; Regional Government of Murcia, Spain; Foundation to Combat Asthma (Stichting Astmabestrijding), Amsterdam, The Netherlands</t>
  </si>
  <si>
    <t xml:space="preserve">Spanish 'Fondo de Investigacion Sanitaria'(Instituto de Salud Carlos III); 'Secretaria de Estado para la Cooperacion Internacional'; Regional Government of Murcia, Spain; Foundation to Combat Asthma (Stichting Astmabestrijding), Amsterdam, The Netherlands(Netherlands Government)</t>
  </si>
  <si>
    <t xml:space="preserve">All phases of this study were supported by grants from the Spanish 'Fondo de Investigacion Sanitaria' (PI050480) and the 'Secretaria de Estado para la Cooperacion Internacional' (A/3069/05 and A/5189/06). An unrestricted grant was also received from the Regional Government of Murcia, Spain. In addition, the Dutch centre was funded by the Foundation to Combat Asthma (Stichting Astmabestrijding), Amsterdam, The Netherlands.</t>
  </si>
  <si>
    <t xml:space="preserve">2055-1010</t>
  </si>
  <si>
    <t xml:space="preserve">NPJ PRIM CARE RESP M</t>
  </si>
  <si>
    <t xml:space="preserve">npj Prim. Care Respir. Med.</t>
  </si>
  <si>
    <t xml:space="preserve">10.1038/npjpcrm.2015.77</t>
  </si>
  <si>
    <t xml:space="preserve">Primary Health Care; Respiratory System</t>
  </si>
  <si>
    <t xml:space="preserve">DB5IO</t>
  </si>
  <si>
    <t xml:space="preserve">WOS:000368548000001</t>
  </si>
  <si>
    <t xml:space="preserve">Khuri-Bulos, N; Lawrence, L; Piya, B; Wang, L; Fonnesbeck, C; Faouri, S; Shehabi, A; Vermund, SH; Williams, JV; Halasa, NB</t>
  </si>
  <si>
    <t xml:space="preserve">Khuri-Bulos, Najwa; Lawrence, Lindsey; Piya, Bhinnata; Wang, Li; Fonnesbeck, Christopher; Faouri, Samir; Shehabi, Asem; Vermund, Sten H.; Williams, John, V; Halasa, Natasha B.</t>
  </si>
  <si>
    <t xml:space="preserve">Severe outcomes associated with respiratory viruses in newborns and infants: a prospective viral surveillance study in Jordan</t>
  </si>
  <si>
    <t xml:space="preserve">Medicine; Pediatrics; Respiratory system; Prospective cohort study; Epidemiology</t>
  </si>
  <si>
    <t xml:space="preserve">HUMAN METAPNEUMOVIRUS INFECTION; SYNCYTIAL VIRUS; YOUNG-CHILDREN; REQUIRING HOSPITALIZATION; CHILDHOOD PNEUMONIA; RISK-FACTORS; MIDDLE-EAST; BURDEN; EPIDEMIOLOGY; INFLUENZA</t>
  </si>
  <si>
    <t xml:space="preserve">Objective To assess virus-specific hospitalisation rates, risk factors for illness severity and seasonal trends in children hospitalised with acute respiratory infections (ARI). Design Prospective cohort study. Setting A government hospital serving low-income and middle-income population in Amman, Jordan. Participants Children under 2 years of age hospitalised with fever and/or respiratory symptoms (n=3168) from 16 March 2010 to 31 March 2013. Children with chemotherapy-associated neutropenia and newborns who had never been discharged after birth were excluded from the study. Outcome measures Hospitalisation rates and markers of illness severity: admission to intensive care unit (ICU), mechanical ventilation (MV), oxygen therapy, length of stay (LOS) and death. Results Of the 3168 subjects, 2581 (82%) had at least one respiratory virus detected, with respiratory syncytial virus (RSV) being the most predominant pathogen isolated. During admission, 1013 (32%) received oxygen therapy, 284 (9%) were admitted to ICU, 111 (4%) were placed on MV and 31 (1%) children died. Oxygen therapy was higher in RSV-only subjects compared with human rhinovirus-only (42%vs29%, p&lt;0.001), adenovirus-only (42%vs21%, p&lt;0.001) and human parainfluenza virusonly (42%vs23%,p&lt;0.001) subjects. The presence of an underlying medical condition was associated with oxygen therapy (adjusted OR (aOR) 1.95, 95%CI1.49 to 2.56), ICU admission (aOR 2.51, 95% CI1.71 to 3.68), MV (aOR 1.91, 95% CI 1.11 to 3.28) and longer LOS (aOR1.71, 95% CI 1.37 to 2.13). Similarly, younger age was associated with oxygen therapy (0.23, 95% CI 0.17 to 0.31), ICU admission (aOR 0.47, 95% CI 0.30 to 0.74), MV (0.28, 95% CI 0.15 to 0.53) and longer LOS (aOR 0.47, 95% CI 0.38 to 0.59). Pneumonia was strongly associated with longer LOS (aOR 2.07, 95% CI 1.65 to 2.60), oxygen therapy (aOR 2.94, 95% CI 2.22 to 3.89), ICU admission (aOR 3.12, 95% CI 2.16 to 4.50) and MV (aOR 3.33, 95% CI 1.85 to 6.00). Virus-specific hospitalisation rates ranged from 0.5 to 10.5 per 1000 children. Conclusion Respiratory viruses are associated with severe illness in Jordanian children hospitalised with ARI. Prevention strategies such as extended breast feeding, increased access to palivizumab and RSV vaccine development could help decrease hospitalisation rates and illness severity, particularly in young children with underlying medical conditions.</t>
  </si>
  <si>
    <t xml:space="preserve">[Khuri-Bulos, Najwa; Shehabi, Asem] Univ Jordan, Dept Pediat, Amman, Jordan; [Lawrence, Lindsey; Vermund, Sten H.; Halasa, Natasha B.] Vanderbilt Univ, Sch Med, Inst Global Hlth, Dept Pediat, Nashville, TN 37212 USA; [Piya, Bhinnata; Wang, Li; Fonnesbeck, Christopher] Vanderbilt Univ, Med Ctr, Dept Biostat, Nashville, TN USA; [Faouri, Samir] Al Bashir Hosp, Pediat, Amman, Jordan; [Williams, John, V] Univ Pittsburgh, Childrens Hosp Pittsburgh, UPMC, Pediat,Infect Dis, Pittsburgh, PA 15213 USA</t>
  </si>
  <si>
    <t xml:space="preserve">University of Jordan; Vanderbilt University; Vanderbilt University; Pennsylvania Commonwealth System of Higher Education (PCSHE); University of Pittsburgh</t>
  </si>
  <si>
    <t xml:space="preserve">Khuri-Bulos, N (corresponding author), Univ Jordan, Dept Pediat, Amman, Jordan.;Halasa, NB (corresponding author), Vanderbilt Univ, Sch Med, Inst Global Hlth, Dept Pediat, Nashville, TN 37212 USA.</t>
  </si>
  <si>
    <t xml:space="preserve">najwa.khuri@gmail.com; natasha.halasa@vanderbilt.edu</t>
  </si>
  <si>
    <t xml:space="preserve">Vermund, Sten/AAD-3592-2020; Williams, John/ABE-3227-2020</t>
  </si>
  <si>
    <t xml:space="preserve">UBS Optimus Foundation; National Institutes of Health [R01AI085062]; CTSA from the National Center for Advancing Translational Sciences [UL1TR000445]</t>
  </si>
  <si>
    <t xml:space="preserve">UBS Optimus Foundation; National Institutes of Health(United States Department of Health &amp; Human ServicesNational Institutes of Health (NIH) - USA); CTSA from the National Center for Advancing Translational Sciences(United States Department of Health &amp; Human ServicesNational Institutes of Health (NIH) - USANIH National Center for Advancing Translational Sciences (NCATS))</t>
  </si>
  <si>
    <t xml:space="preserve">This work was supported by the UBS Optimus Foundation; National Institutes of Health: R01AI085062, and the CTSA award UL1TR000445 from the National Center for Advancing Translational Sciences.</t>
  </si>
  <si>
    <t xml:space="preserve">e021898</t>
  </si>
  <si>
    <t xml:space="preserve">10.1136/bmjopen-2018-021898</t>
  </si>
  <si>
    <t xml:space="preserve">GJ7KZ</t>
  </si>
  <si>
    <t xml:space="preserve">WOS:000435567200178</t>
  </si>
  <si>
    <t xml:space="preserve">Aglipay, M; Birken, CS; Parkin, PC; Loeb, MB; Thorpe, K; Chen, Y; Laupacis, A; Mamdani, M; Macarthur, C; Hoch, JS; Mazzulli, T; Maguire, JL</t>
  </si>
  <si>
    <t xml:space="preserve">Aglipay, Mary; Birken, Catherine S.; Parkin, Patricia C.; Loeb, Mark B.; Thorpe, Kevin; Chen, Yang; Laupacis, Andreas; Mamdani, Muhammad; Macarthur, Colin; Hoch, Jeffrey S.; Mazzulli, Tony; Maguire, Jonathon L.</t>
  </si>
  <si>
    <t xml:space="preserve">TARGET Kids Collaboration</t>
  </si>
  <si>
    <t xml:space="preserve">Effect of High-Dose vs Standard-Dose Wintertime Vitamin D Supplementation on Viral Upper Respiratory Tract Infections in Young Healthy Children</t>
  </si>
  <si>
    <t xml:space="preserve">Medicine; Respiratory tract infections; Respiratory tract; Respiratory system; Upper respiratory infections</t>
  </si>
  <si>
    <t xml:space="preserve">HUMAN METAPNEUMOVIRUS; RANDOMIZED-TRIAL; D DEFICIENCY; PREVENTION; VIRUSES; RISK; EPIDEMIOLOGY; PREGNANCY; INFANTS; ILLNESS</t>
  </si>
  <si>
    <t xml:space="preserve">IMPORTANCE Epidemiological studies support a link between low 25-hydroxyvitamin D levels and a higher risk of viral upper respiratory tract infections. However, whether winter supplementation of vitamin D reduces the risk among children is unknown. OBJECTIVE To determine whether high-dose vs standard-dose vitamin D supplementation reduces the incidence of wintertime upper respiratory tract infections in young children. DESIGN, SETTING, AND PARTICIPANTS A randomized clinical trial was conducted during the winter months between September 13, 2011, and June 30, 2015, among children aged 1 through 5 years enrolled in TARGet Kids!, a multisite primary care practice-based research network in Toronto, Ontario, Canada. INTERVENTIONS Three hundred forty-nine participants were randomized to receive 2000 IU/d of vitamin D oral supplementation (high-dose group) vs 354 participants who were randomized to receive 400 IU/d (standard-dose group) for a minimum of 4 months between September and May. MAIN OUTCOME MEASURES The primary outcome was the number of laboratory-confirmed viral upper respiratory tract infections based on parent-collected nasal swabs over the winter months. Secondary outcomes included the number of influenza infections, noninfluenza infections, parent-reported upper respiratory tract illnesses, time to first upper respiratory tract infection, and serum 25-hydroxyvitamin D levels at study termination. RESULTS Among 703 participants who were randomized (mean age, 2.7 years, 57.7% boys), 699 (99.4%) completed the trial. The mean number of laboratory-confirmed upper respiratory tract infections per child was 1.05 (95% CI, 0.91-1.19) for the high-dose group and 1.03 (95% CI, 0.90-1.16) for the standard-dose group, for a between-group difference of 0.02 (95% CI, -0.17 to 0.21) per child. There was no statistically significant difference in number of laboratory-confirmed infections between groups (incidence rate ratio [RR], 0.97; 95% CI, 0.80-1.16). There was also no significant difference in the median time to the first laboratory-confirmed infection: 3.95 months (95% CI, 3.02-5.95 months) for the high-dose group vs 3.29 months (95% CI, 2.66-4.14 months) for the standard-dose group, or number of parent-reported upper respiratory tract illnesses between groups (625 for high-dose vs 600 for standard-dose groups, incidence RR, 1.01; 95% CI, 0.88-1.16). At study termination, serum 25-hydroxyvitamin D levels were 48.7 ng/mL (95% CI, 46.9-50.5 ng/mL) in the high-dose group and 36.8 ng/mL (95% CI, 35.4-38.2 ng/mL) in the standard-dose group. CONCLUSIONS AND RELEVANCE Among healthy children aged 1 to 5 years, daily administration of 2000 IU compared with 400 IU of vitamin D supplementation did not reduce overall wintertime upper respiratory tract infections. These findings do not support the routine use of high-dose vitamin D supplementation in children for the prevention of viral upper respiratory tract infections.</t>
  </si>
  <si>
    <t xml:space="preserve">[Aglipay, Mary; Maguire, Jonathon L.] St Michaels Hosp, Pediat Res, Dept Pediat, Toronto, ON, Canada; [Birken, Catherine S.; Parkin, Patricia C.; Macarthur, Colin; Maguire, Jonathon L.] Hosp Sick Children, Pediat Outcomes Res Team, Div Pediat Med, Dept Pediat, Toronto, ON, Canada; [Birken, Catherine S.; Parkin, Patricia C.; Macarthur, Colin; Maguire, Jonathon L.] Univ Toronto, Fac Med, Dept Pediat, Toronto, ON, Canada; [Birken, Catherine S.; Parkin, Patricia C.; Macarthur, Colin; Hoch, Jeffrey S.; Maguire, Jonathon L.] Univ Toronto, Inst Hlth Policy Management &amp; Evaluat, Toronto, ON, Canada; [Birken, Catherine S.; Parkin, Patricia C.; Macarthur, Colin] Sick Kids Res Inst, Child Hlth Evaluat Sci, Toronto, ON, Canada; [Loeb, Mark B.] McMaster Univ, Dept Pathol &amp; Mol Med, Hamilton, ON, Canada; [Loeb, Mark B.] McMaster Univ, Clin Epidemiol &amp; Biostat, Hamilton, ON, Canada; [Thorpe, Kevin; Chen, Yang; Laupacis, Andreas; Mamdani, Muhammad; Hoch, Jeffrey S.; Maguire, Jonathon L.] Univ Toronto, St Michaels Hosp, La Ka Shing Knowledge Inst, Toronto, ON, Canada; [Thorpe, Kevin] Univ Toronto, Dalla Lana Sch Publ Hlth, Toronto, ON, Canada; [Laupacis, Andreas] Inst Clin Evaluat Sci, Toronto, ON, Canada; [Laupacis, Andreas] Univ Toronto, Fac Med, Toronto, ON, Canada; [Hoch, Jeffrey S.] Univ Calif Davis, Dept Publ Hlth Sci, Davis, CA 95616 USA; [Mazzulli, Tony] Mt Sinai Hosp, Dept Microbiol, Toronto, ON, Canada; [Mazzulli, Tony] Univ Toronto, Dept Lab Med &amp; Pathobiol, Toronto, ON, Canada</t>
  </si>
  <si>
    <t xml:space="preserve">University of Toronto; Saint Michaels Hospital Toronto; University of Toronto; Hospital for Sick Children (SickKids); University of Toronto; University of Toronto; University of Toronto; Hospital for Sick Children (SickKids); McMaster University; McMaster University; University of Toronto; Saint Michaels Hospital Toronto; University of Toronto; University of Toronto; University of Toronto; University of California System; University of California Davis; University of Toronto; Sinai Health System Toronto; Lunenfeld Tanenbaum Research Institute; University of Toronto</t>
  </si>
  <si>
    <t xml:space="preserve">Maguire, JL (corresponding author), St Michaels Hosp, Pediat Ambulatory Clin, 61 Queen St East,Second Floor, Toronto, ON M5C 2T2, Canada.</t>
  </si>
  <si>
    <t xml:space="preserve">jonathon.maguire@utoronto.ca</t>
  </si>
  <si>
    <t xml:space="preserve">Laupacis, Andreas/AGU-0227-2022; Chen, Yang/LIC-8782-2024; Hoch, Jeffrey S./O-3406-2017</t>
  </si>
  <si>
    <t xml:space="preserve">Thorpe, Kevin/0000-0002-7586-3893; Hoch, Jeffrey S./0000-0002-4880-4281</t>
  </si>
  <si>
    <t xml:space="preserve">Canadian Institutes of Health Research Institutes of Human Development, Child and Youth Health and Nutrition, Metabolism and Diabetes [MOP-114945]; Thrasher Research Fund [9113]</t>
  </si>
  <si>
    <t xml:space="preserve">Canadian Institutes of Health Research Institutes of Human Development, Child and Youth Health and Nutrition, Metabolism and Diabetes(Canadian Institutes of Health Research (CIHR)); Thrasher Research Fund</t>
  </si>
  <si>
    <t xml:space="preserve">This study was funded by competitive grants from the Canadian Institutes of Health Research Institutes of Human Development, Child and Youth Health and Nutrition, Metabolism and Diabetes (MOP-114945) and the Thrasher Research Fund (award number 9113). The vitamin D formulations were provided in-kind by Ddrops.</t>
  </si>
  <si>
    <t xml:space="preserve">10.1001/jama.2017.8708</t>
  </si>
  <si>
    <t xml:space="preserve">FA9OJ</t>
  </si>
  <si>
    <t xml:space="preserve">WOS:000405775000011</t>
  </si>
  <si>
    <t xml:space="preserve">Dabisch-Ruthe, M; Vollmer, T; Adams, O; Knabbe, C; Dreier, J</t>
  </si>
  <si>
    <t xml:space="preserve">Dabisch-Ruthe, Mareike; Vollmer, Tanja; Adams, Ortwin; Knabbe, Cornelius; Dreier, Jens</t>
  </si>
  <si>
    <t xml:space="preserve">Comparison of three multiplex PCR assays for the detection of respiratory viral infections: evaluation of xTAG respiratory virus panel fast assay, RespiFinder 19 assay and RespiFinder SMART 22 assay</t>
  </si>
  <si>
    <t xml:space="preserve">Multiplex; Rhinovirus; Virology; Medical microbiology; Multiplex polymerase chain reaction; Biology; Virus; Respiratory system; Respiratory tract infections</t>
  </si>
  <si>
    <t xml:space="preserve">REAL-TIME PCR; RVP ASSAY; DIAGNOSIS; SAMPLES; IDENTIFICATION; ADENOVIRUSES; CORONAVIRUS; PERFORMANCE; PNEUMONIA; DISEASE</t>
  </si>
  <si>
    <t xml:space="preserve">Background: A broad spectrum of pathogens is causative for respiratory tract infections, but symptoms are mostly similar. Therefore, the identification of the causative viruses and bacteria is only feasible using multiplex PCR or several monoplex PCR tests in parallel. Methods: The analytical sensitivity of three multiplex PCR assays, RespiFinder-19, RespiFinder-SMART-22 and xTAG-Respiratory-Virus-Panel-Fast-Assay (RVP), were compared to monoplex real-time PCR with quantified standardized control material. All assays include the most common respiratory pathogens. Results: To compare the analytical sensitivity of the multiplex assays, samples were inoculated with 13 different quantified viruses in the range of 10(1) to 10(5) copies/ml. Concordant results were received for rhinovirus, whereas the RVP detected influenzavirus, RSV and hMPV more frequently in low concentrations. The RespiFinder-19 and the RespiFinder-SMART-22 showed a higher analytical sensitivity for adenoviruses and coronaviruses, whereas the RVP was incapable to detect adenovirus and coronavirus in concentrations of 10(4) copies/ml. The RespiFinder-19 and RespiFinder-SMART-22A did not detect influenzaviruses (10(4) copies/ml) and RSV (10(3) copies/ml). The detection of all 13 viruses in one sample was only achieved using monoplex PCR. To analyze possible competitive amplification reactions between the different viruses, samples were further inoculated with only 4 different viruses in one sample. Compared to the detection of 13 viruses in parallel, only a few differences were found. The incidence of respiratory viruses was compared in tracheal secretion (TS) samples (n = 100) of mechanically ventilated patients in winter (n = 50) and summer (n = 50). In winter, respiratory viruses were detected in 32 TS samples (64%) by RespiFinder-19, whereas the detection rate with RVP was only 22%. The most frequent viruses were adenovirus (32%) and PIV-2 (20%). Multiple infections were detected in 16 TS samples (32%) by RespiFinder-19. Fewer infections were found in summer (RespiFinder-19: 20%; RVP: 6%). All positive results were verified using monoplex PCR. Conclusions: Multiplex PCR tests have a broad spectrum of pathogens to test at a time. Analysis of multiple inoculated samples revealed a different focus of the detected virus types by the three assays. Analysis of clinical samples showed a high concordance of detected viruses by the RespiFinder-19 compared to monoplex tests.</t>
  </si>
  <si>
    <t xml:space="preserve">[Dabisch-Ruthe, Mareike; Vollmer, Tanja; Knabbe, Cornelius; Dreier, Jens] Ruhr Univ Bochum, Inst Labs &amp; Transfus Med, Herz &amp; Diabet Zentrum Nordrhein Westfalen, Univ Klin, Bad Oeynhausen, Germany; [Adams, Ortwin] Univ Klinikum, Inst Virol, Dusseldorf, Germany</t>
  </si>
  <si>
    <t xml:space="preserve">Ruhr University Bochum</t>
  </si>
  <si>
    <t xml:space="preserve">Dreier, J (corresponding author), Ruhr Univ Bochum, Inst Labs &amp; Transfus Med, Herz &amp; Diabet Zentrum Nordrhein Westfalen, Univ Klin, Bad Oeynhausen, Germany.</t>
  </si>
  <si>
    <t xml:space="preserve">jdreier@hdz-nrw.de</t>
  </si>
  <si>
    <t xml:space="preserve">Vollmer, Tanja/F-1149-2013; Dreier, Jens/F-1134-2013</t>
  </si>
  <si>
    <t xml:space="preserve">Vollmer, Tanja/0000-0001-7032-5423; Dreier, Jens/0000-0002-1337-7750</t>
  </si>
  <si>
    <t xml:space="preserve">German AiF (Arbeitsgemeinschaft industrieller Forschungsvereinigungen Otto von Guericke e.V.)</t>
  </si>
  <si>
    <t xml:space="preserve">The results of our analysis of 100 TS samples were registered with the network of respiratory viruses (www.medical-dpc.com/respvir). This network was founded for the acquisition, documentation and statistical analysis of epidemiological data from respiratory tract infections caused by viruses. This study was funded by the German AiF (Arbeitsgemeinschaft industrieller Forschungsvereinigungen Otto von Guericke e.V.). We thank Sarah Kirkby for her linguistic advice.</t>
  </si>
  <si>
    <t xml:space="preserve">10.1186/1471-2334-12-163</t>
  </si>
  <si>
    <t xml:space="preserve">054UX</t>
  </si>
  <si>
    <t xml:space="preserve">WOS:000312371300001</t>
  </si>
  <si>
    <t xml:space="preserve">Moso, MA; Taiaroa, G; Steinig, E; Zhanduisenov, M; Butel-Simoes, G; Savic, I; Taouk, ML; Chea, S; Moselen, J; Keefe, JO'; Prestedge, J; Pollock, GL; Khan, M; Soloczynskyj, K; Fernando, J; Martin, GE; Caly, L; Barr, IG; Tran, T; Druce, J; Lim, CK; Williamson, DA</t>
  </si>
  <si>
    <t xml:space="preserve">Moso, Michael A.; Taiaroa, George; Steinig, Eike; Zhanduisenov, Madiyar; Butel-Simoes, Grace; Savic, Ivana; Taouk, Mona L.; Chea, Socheata; Moselen, Jean; Keefe, Jacinta O. '; Prestedge, Jacqueline; Pollock, Georgina L.; Khan, Mohammad; Soloczynskyj, Katherine; Fernando, Janath; Martin, Genevieve E.; Caly, Leon; Barr, Ian G.; Tran, Thomas; Druce, Julian; Lim, Chuan K.; Williamson, Deborah A.</t>
  </si>
  <si>
    <t xml:space="preserve">Non-SARS-CoV-2 respiratory viral detection and whole genome sequencing from COVID-19 rapid antigen test devices: a laboratory evaluation study</t>
  </si>
  <si>
    <t xml:space="preserve">LANCET MICROBE</t>
  </si>
  <si>
    <t xml:space="preserve">Virology; Human metapneumovirus; Rhinovirus</t>
  </si>
  <si>
    <t xml:space="preserve">Background There has been high uptake of rapid antigen test device use for point -of -care COVID-19 diagnosis. Individuals who are symptomatic but test negative on COVID-19 rapid antigen test devices might have a different respiratory viral infection. We aimed to detect and sequence non-SARS-CoV-2 respiratory viruses from rapid antigen test devices, which could assist in the characterisation and surveillance of circulating respiratory viruses in the community. Methods We applied archival clinical nose and throat swabs collected between Jan 1, 2015, and Dec 31, 2022, that previously tested positive for a common respiratory virus (adenovirus, in fl uenza, metapneumovirus, parain fl uenza, rhinovirus, respiratory syncytial virus [RSV], or seasonal coronavirus; 132 swabs and 140 viral targets) on PCR to two commercially available COVID-19 rapid antigen test devices, the Panbio COVID-19 Ag Rapid Test Device and Roche SARS-CoV-2 Antigen Self -Test. In addition, we collected 31 COVID-19 rapid antigen test devices used to test patients who were symptomatic at The Royal Melbourne Hospital emergency department in Melbourne, Australia. We extracted total nucleic acid from the device paper test strips and assessed viral recovery using multiplex real-time PCR (rtPCR) and capture -based whole genome sequencing. Sequence and genome data were analysed through custom computational pipelines, including subtyping. Findings Of the 140 respiratory viral targets from archival samples, 89 (64%) and 88 (63%) were positive on rtPCR for the relevant taxa following extraction from Panbio or Roche rapid antigen test devices, respectively. Recovery was variable across taxa: we detected in fl uenza A in nine of 18 samples from Panbio and seven of 18 from Roche devices; parain fl uenza in 11 of 20 samples from Panbio and 12 of 20 from Roche devices; human metapneumovirus in 11 of 16 from Panbio and 14 of 16 from Roche devices; seasonal coronavirus in eight of 19 from Panbio and two of 19 from Roche devices; rhinovirus in 24 of 28 from Panbio and 27 of 28 from Roche devices; in fl uenza B in four of 15 in both devices; and RSV in 16 of 18 in both devices. Of the 31 COVID-19 devices collected from The Royal Melbourne Hospital emergency department, 11 tested positive for a respiratory virus on rtPCR, including one device positive for in fl uenza A virus, one positive for RSV, four positive for rhinovirus, and fi ve positive for SARS-CoV-2. Sequences of target respiratory viruses from archival samples were detected in 55 (98 . 2%) of 56 samples from Panbio and 48 (85 . 7%) of 56 from Roche rapid antigen test devices. 98 (87 . 5%) of 112 viral genomes were completely assembled from these data, enabling subtyping for RSV and in fl uenza viruses. All 11 samples collected from the emergency department had viral sequences detected, with near -complete genomes assembled for in fl uenza A and RSV. Interpretation Non-SARS-CoV-2 respiratory viruses can be detected and sequenced from COVID-19 rapid antigen devices. Recovery of near full-length viral sequences from these devices provides a valuable opportunity to expand genomic surveillance programmes for public health monitoring of circulating respiratory viruses.</t>
  </si>
  <si>
    <t xml:space="preserve">[Moso, Michael A.; Taiaroa, George; Steinig, Eike; Zhanduisenov, Madiyar; Butel-Simoes, Grace; Savic, Ivana; Taouk, Mona L.; Chea, Socheata; Moselen, Jean; Keefe, Jacinta O. '; Prestedge, Jacqueline; Khan, Mohammad; Soloczynskyj, Katherine; Caly, Leon; Tran, Thomas; Druce, Julian; Lim, Chuan K.; Williamson, Deborah A.] Royal Melbourne Hosp, Victorian Infect Dis Reference Lab, Peter Doherty Inst Infect &amp; Immun, Melbourne, Vic, Australia; [Moso, Michael A.] Royal Melbourne Hosp, Victorian Infect Dis Serv, Peter Doherty Inst Infect &amp; Immun, Melbourne, Vic, Australia; [Moso, Michael A.; Taiaroa, George; Steinig, Eike; Taouk, Mona L.; Chea, Socheata; Prestedge, Jacqueline; Pollock, Georgina L.; Fernando, Janath; Martin, Genevieve E.; Caly, Leon; Barr, Ian G.; Lim, Chuan K.; Williamson, Deborah A.] Univ Melbourne, Dept Infect Dis, Peter Doherty Inst Infect &amp; Immun, Melbourne, Vic 3000, Australia; [Williamson, Deborah A.] WHO Collaborating Ctr Reference &amp; Res Influenza, Melbourne, Vic, Australia; [Williamson, Deborah A.] Walter &amp; Eliza Hall Inst Med Res, Melbourne, Vic, Australia</t>
  </si>
  <si>
    <t xml:space="preserve">University of Melbourne; Peter Doherty Institute; Melbourne Health; Royal Melbourne Hospital; Victorian Infectious Diseases Reference Laboratory; Melbourne Health; Royal Melbourne Hospital; University of Melbourne; Peter Doherty Institute; University of Melbourne; Peter Doherty Institute; World Health Organization; Walter &amp; Eliza Hall Institute</t>
  </si>
  <si>
    <t xml:space="preserve">Williamson, DA (corresponding author), Univ Melbourne, Dept Infect Dis, Peter Doherty Inst Infect &amp; Immun, Melbourne, Vic 3000, Australia.</t>
  </si>
  <si>
    <t xml:space="preserve">deborah.williamson@unimelb.edu.au</t>
  </si>
  <si>
    <t xml:space="preserve">Savic, Ivana/X-8849-2019; Martin, Genevieve/KFS-3578-2024; Caly, Leon/JPK-7812-2023; Moso, Michael/JTV-1067-2023; Lim, Chuan Kok/JDC-5754-2023</t>
  </si>
  <si>
    <t xml:space="preserve">Moso, Michael/0000-0001-7948-3380; Prestedge, Jacqueline/0000-0002-0099-9139; Martin, Genevieve Elizabeth/0000-0001-5142-7440; Lim, Chuan Kok/0000-0002-2828-2922; Pollock, Georgina/0000-0002-4397-3043</t>
  </si>
  <si>
    <t xml:space="preserve">Australian Government Medical Research Future Fund; Australian National Health and Medical Research Council</t>
  </si>
  <si>
    <t xml:space="preserve">Australian Government Medical Research Future Fund(Medical Research Future Fund (MRFF)); Australian National Health and Medical Research Council(National Health &amp; Medical Research Council (NHMRC) of Australia)</t>
  </si>
  <si>
    <t xml:space="preserve">Funding Australian Government Medical Research Future Fund and Australian National Health and Medical Research Council.</t>
  </si>
  <si>
    <t xml:space="preserve">2666-5247</t>
  </si>
  <si>
    <t xml:space="preserve">Lancet Microbe</t>
  </si>
  <si>
    <t xml:space="preserve">e317</t>
  </si>
  <si>
    <t xml:space="preserve">e325</t>
  </si>
  <si>
    <t xml:space="preserve">10.1016/S2666-5247(23)00375-0</t>
  </si>
  <si>
    <t xml:space="preserve">RM8L0</t>
  </si>
  <si>
    <t xml:space="preserve">WOS:001228169900001</t>
  </si>
</sst>
</file>

<file path=xl/styles.xml><?xml version="1.0" encoding="utf-8"?>
<styleSheet xmlns="http://schemas.openxmlformats.org/spreadsheetml/2006/main">
  <numFmts count="1">
    <numFmt numFmtId="164" formatCode="General"/>
  </numFmts>
  <fonts count="5">
    <font>
      <sz val="10"/>
      <name val="Arial"/>
      <family val="0"/>
      <charset val="1"/>
    </font>
    <font>
      <sz val="10"/>
      <name val="Arial"/>
      <family val="0"/>
    </font>
    <font>
      <sz val="10"/>
      <name val="Arial"/>
      <family val="0"/>
    </font>
    <font>
      <sz val="10"/>
      <name val="Arial"/>
      <family val="0"/>
    </font>
    <font>
      <sz val="10"/>
      <name val="Noto Sans CJK SC"/>
      <family val="2"/>
      <charset val="1"/>
    </font>
  </fonts>
  <fills count="3">
    <fill>
      <patternFill patternType="none"/>
    </fill>
    <fill>
      <patternFill patternType="gray125"/>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0" fillId="2" borderId="0" xfId="0" applyFont="true" applyBorder="false" applyAlignment="true" applyProtection="true">
      <alignment horizontal="general" vertical="bottom" textRotation="0" wrapText="false" indent="0" shrinkToFit="false"/>
      <protection locked="true" hidden="false"/>
    </xf>
    <xf numFmtId="164" fontId="0" fillId="2" borderId="0" xfId="0" applyFont="false" applyBorder="false" applyAlignment="true" applyProtection="tru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BT2359"/>
  <sheetViews>
    <sheetView showFormulas="false" showGridLines="true" showRowColHeaders="true" showZeros="true" rightToLeft="false" tabSelected="true" showOutlineSymbols="true" defaultGridColor="true" view="normal" topLeftCell="A2352" colorId="64" zoomScale="180" zoomScaleNormal="180" zoomScalePageLayoutView="100" workbookViewId="0">
      <selection pane="topLeft" activeCell="BE2357" activeCellId="0" sqref="BE2357"/>
    </sheetView>
  </sheetViews>
  <sheetFormatPr defaultColWidth="9.0546875" defaultRowHeight="12.75" zeroHeight="false" outlineLevelRow="0" outlineLevelCol="0"/>
  <cols>
    <col collapsed="false" customWidth="false" hidden="true" outlineLevel="0" max="8" min="3" style="1" width="9.02"/>
    <col collapsed="false" customWidth="false" hidden="true" outlineLevel="0" max="19" min="10" style="1" width="9.02"/>
    <col collapsed="false" customWidth="false" hidden="true" outlineLevel="0" max="56" min="21" style="1" width="9.02"/>
    <col collapsed="false" customWidth="false" hidden="true" outlineLevel="0" max="73" min="58" style="1" width="9.02"/>
  </cols>
  <sheetData>
    <row r="1" customFormat="false" ht="12.75" hidden="false" customHeight="false" outlineLevel="0" collapsed="false">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row>
    <row r="2" customFormat="false" ht="12.75" hidden="false" customHeight="false" outlineLevel="0" collapsed="false">
      <c r="A2" s="2" t="s">
        <v>72</v>
      </c>
      <c r="B2" s="2" t="s">
        <v>73</v>
      </c>
      <c r="C2" s="2"/>
      <c r="D2" s="2"/>
      <c r="E2" s="2"/>
      <c r="F2" s="2" t="s">
        <v>74</v>
      </c>
      <c r="G2" s="2"/>
      <c r="H2" s="2"/>
      <c r="I2" s="2" t="s">
        <v>75</v>
      </c>
      <c r="J2" s="2" t="s">
        <v>76</v>
      </c>
      <c r="K2" s="2"/>
      <c r="L2" s="2"/>
      <c r="M2" s="2" t="s">
        <v>77</v>
      </c>
      <c r="N2" s="2" t="s">
        <v>78</v>
      </c>
      <c r="O2" s="2"/>
      <c r="P2" s="2"/>
      <c r="Q2" s="2"/>
      <c r="R2" s="2"/>
      <c r="S2" s="2"/>
      <c r="T2" s="2" t="s">
        <v>79</v>
      </c>
      <c r="U2" s="2" t="s">
        <v>80</v>
      </c>
      <c r="V2" s="2" t="s">
        <v>81</v>
      </c>
      <c r="W2" s="2" t="s">
        <v>82</v>
      </c>
      <c r="X2" s="2" t="s">
        <v>83</v>
      </c>
      <c r="Y2" s="2" t="s">
        <v>84</v>
      </c>
      <c r="Z2" s="2" t="s">
        <v>85</v>
      </c>
      <c r="AA2" s="2" t="s">
        <v>86</v>
      </c>
      <c r="AB2" s="2" t="s">
        <v>87</v>
      </c>
      <c r="AC2" s="2" t="s">
        <v>88</v>
      </c>
      <c r="AD2" s="2" t="s">
        <v>89</v>
      </c>
      <c r="AE2" s="2" t="s">
        <v>90</v>
      </c>
      <c r="AF2" s="2"/>
      <c r="AG2" s="2" t="n">
        <v>61</v>
      </c>
      <c r="AH2" s="2" t="n">
        <v>6</v>
      </c>
      <c r="AI2" s="2" t="n">
        <v>6</v>
      </c>
      <c r="AJ2" s="2" t="n">
        <v>1</v>
      </c>
      <c r="AK2" s="2" t="n">
        <v>8</v>
      </c>
      <c r="AL2" s="2" t="s">
        <v>91</v>
      </c>
      <c r="AM2" s="2" t="s">
        <v>92</v>
      </c>
      <c r="AN2" s="2" t="s">
        <v>93</v>
      </c>
      <c r="AO2" s="2"/>
      <c r="AP2" s="2" t="s">
        <v>94</v>
      </c>
      <c r="AQ2" s="2"/>
      <c r="AR2" s="2" t="s">
        <v>95</v>
      </c>
      <c r="AS2" s="2" t="s">
        <v>96</v>
      </c>
      <c r="AT2" s="2" t="s">
        <v>97</v>
      </c>
      <c r="AU2" s="2" t="n">
        <v>2022</v>
      </c>
      <c r="AV2" s="2" t="n">
        <v>15</v>
      </c>
      <c r="AW2" s="2" t="n">
        <v>3</v>
      </c>
      <c r="AX2" s="2"/>
      <c r="AY2" s="2"/>
      <c r="AZ2" s="2"/>
      <c r="BA2" s="2"/>
      <c r="BB2" s="2"/>
      <c r="BC2" s="2"/>
      <c r="BD2" s="2" t="n">
        <v>377</v>
      </c>
      <c r="BE2" s="2" t="s">
        <v>98</v>
      </c>
      <c r="BF2" s="2" t="str">
        <f aca="false">HYPERLINK("http://dx.doi.org/10.3390/ph15030377","http://dx.doi.org/10.3390/ph15030377")</f>
        <v>http://dx.doi.org/10.3390/ph15030377</v>
      </c>
      <c r="BG2" s="2"/>
      <c r="BH2" s="2"/>
      <c r="BI2" s="2" t="n">
        <v>14</v>
      </c>
      <c r="BJ2" s="2" t="s">
        <v>99</v>
      </c>
      <c r="BK2" s="2" t="s">
        <v>100</v>
      </c>
      <c r="BL2" s="2" t="s">
        <v>101</v>
      </c>
      <c r="BM2" s="2" t="s">
        <v>102</v>
      </c>
      <c r="BN2" s="2" t="n">
        <v>35337174</v>
      </c>
      <c r="BO2" s="2" t="s">
        <v>103</v>
      </c>
      <c r="BP2" s="2"/>
      <c r="BQ2" s="2"/>
      <c r="BR2" s="2" t="s">
        <v>104</v>
      </c>
      <c r="BS2" s="2" t="s">
        <v>105</v>
      </c>
      <c r="BT2" s="2" t="str">
        <f aca="false">HYPERLINK("https%3A%2F%2Fwww.webofscience.com%2Fwos%2Fwoscc%2Ffull-record%2FWOS:000774229900001","View Full Record in Web of Science")</f>
        <v>View Full Record in Web of Science</v>
      </c>
    </row>
    <row r="3" customFormat="false" ht="12.75" hidden="false" customHeight="false" outlineLevel="0" collapsed="false">
      <c r="A3" s="2" t="s">
        <v>72</v>
      </c>
      <c r="B3" s="2" t="s">
        <v>106</v>
      </c>
      <c r="C3" s="2"/>
      <c r="D3" s="2"/>
      <c r="E3" s="2"/>
      <c r="F3" s="2" t="s">
        <v>107</v>
      </c>
      <c r="G3" s="2"/>
      <c r="H3" s="2"/>
      <c r="I3" s="2" t="s">
        <v>108</v>
      </c>
      <c r="J3" s="2" t="s">
        <v>109</v>
      </c>
      <c r="K3" s="2"/>
      <c r="L3" s="2"/>
      <c r="M3" s="2" t="s">
        <v>77</v>
      </c>
      <c r="N3" s="2" t="s">
        <v>78</v>
      </c>
      <c r="O3" s="2"/>
      <c r="P3" s="2"/>
      <c r="Q3" s="2"/>
      <c r="R3" s="2"/>
      <c r="S3" s="2"/>
      <c r="T3" s="2" t="s">
        <v>110</v>
      </c>
      <c r="U3" s="2" t="s">
        <v>111</v>
      </c>
      <c r="V3" s="2" t="s">
        <v>112</v>
      </c>
      <c r="W3" s="2" t="s">
        <v>113</v>
      </c>
      <c r="X3" s="2" t="s">
        <v>114</v>
      </c>
      <c r="Y3" s="2" t="s">
        <v>115</v>
      </c>
      <c r="Z3" s="2" t="s">
        <v>116</v>
      </c>
      <c r="AA3" s="2" t="s">
        <v>117</v>
      </c>
      <c r="AB3" s="2" t="s">
        <v>118</v>
      </c>
      <c r="AC3" s="2" t="s">
        <v>119</v>
      </c>
      <c r="AD3" s="2" t="s">
        <v>120</v>
      </c>
      <c r="AE3" s="2" t="s">
        <v>121</v>
      </c>
      <c r="AF3" s="2"/>
      <c r="AG3" s="2" t="n">
        <v>30</v>
      </c>
      <c r="AH3" s="2" t="n">
        <v>7</v>
      </c>
      <c r="AI3" s="2" t="n">
        <v>7</v>
      </c>
      <c r="AJ3" s="2" t="n">
        <v>2</v>
      </c>
      <c r="AK3" s="2" t="n">
        <v>10</v>
      </c>
      <c r="AL3" s="2" t="s">
        <v>122</v>
      </c>
      <c r="AM3" s="2" t="s">
        <v>123</v>
      </c>
      <c r="AN3" s="2" t="s">
        <v>124</v>
      </c>
      <c r="AO3" s="2" t="s">
        <v>125</v>
      </c>
      <c r="AP3" s="2" t="s">
        <v>126</v>
      </c>
      <c r="AQ3" s="2"/>
      <c r="AR3" s="2" t="s">
        <v>127</v>
      </c>
      <c r="AS3" s="2" t="s">
        <v>128</v>
      </c>
      <c r="AT3" s="2" t="s">
        <v>129</v>
      </c>
      <c r="AU3" s="2" t="n">
        <v>2021</v>
      </c>
      <c r="AV3" s="2" t="n">
        <v>40</v>
      </c>
      <c r="AW3" s="2" t="n">
        <v>9</v>
      </c>
      <c r="AX3" s="2"/>
      <c r="AY3" s="2" t="s">
        <v>130</v>
      </c>
      <c r="AZ3" s="2"/>
      <c r="BA3" s="2"/>
      <c r="BB3" s="2" t="s">
        <v>131</v>
      </c>
      <c r="BC3" s="2" t="s">
        <v>132</v>
      </c>
      <c r="BD3" s="2"/>
      <c r="BE3" s="2" t="s">
        <v>133</v>
      </c>
      <c r="BF3" s="2" t="str">
        <f aca="false">HYPERLINK("http://dx.doi.org/10.1097/INF.0000000000002652","http://dx.doi.org/10.1097/INF.0000000000002652")</f>
        <v>http://dx.doi.org/10.1097/INF.0000000000002652</v>
      </c>
      <c r="BG3" s="2"/>
      <c r="BH3" s="2"/>
      <c r="BI3" s="2" t="n">
        <v>10</v>
      </c>
      <c r="BJ3" s="2" t="s">
        <v>134</v>
      </c>
      <c r="BK3" s="2" t="s">
        <v>100</v>
      </c>
      <c r="BL3" s="2" t="s">
        <v>134</v>
      </c>
      <c r="BM3" s="2" t="s">
        <v>135</v>
      </c>
      <c r="BN3" s="2" t="n">
        <v>34448743</v>
      </c>
      <c r="BO3" s="2" t="s">
        <v>136</v>
      </c>
      <c r="BP3" s="2"/>
      <c r="BQ3" s="2"/>
      <c r="BR3" s="2" t="s">
        <v>104</v>
      </c>
      <c r="BS3" s="2" t="s">
        <v>137</v>
      </c>
      <c r="BT3" s="2" t="str">
        <f aca="false">HYPERLINK("https%3A%2F%2Fwww.webofscience.com%2Fwos%2Fwoscc%2Ffull-record%2FWOS:000756515300005","View Full Record in Web of Science")</f>
        <v>View Full Record in Web of Science</v>
      </c>
    </row>
    <row r="4" customFormat="false" ht="12.75" hidden="false" customHeight="false" outlineLevel="0" collapsed="false">
      <c r="A4" s="2" t="s">
        <v>72</v>
      </c>
      <c r="B4" s="2" t="s">
        <v>138</v>
      </c>
      <c r="C4" s="2"/>
      <c r="D4" s="2"/>
      <c r="E4" s="2"/>
      <c r="F4" s="2" t="s">
        <v>139</v>
      </c>
      <c r="G4" s="2"/>
      <c r="H4" s="2"/>
      <c r="I4" s="2" t="s">
        <v>140</v>
      </c>
      <c r="J4" s="2" t="s">
        <v>141</v>
      </c>
      <c r="K4" s="2"/>
      <c r="L4" s="2"/>
      <c r="M4" s="2" t="s">
        <v>77</v>
      </c>
      <c r="N4" s="2" t="s">
        <v>78</v>
      </c>
      <c r="O4" s="2"/>
      <c r="P4" s="2"/>
      <c r="Q4" s="2"/>
      <c r="R4" s="2"/>
      <c r="S4" s="2"/>
      <c r="T4" s="2" t="s">
        <v>142</v>
      </c>
      <c r="U4" s="2" t="s">
        <v>143</v>
      </c>
      <c r="V4" s="2" t="s">
        <v>144</v>
      </c>
      <c r="W4" s="2" t="s">
        <v>145</v>
      </c>
      <c r="X4" s="2" t="s">
        <v>146</v>
      </c>
      <c r="Y4" s="2" t="s">
        <v>147</v>
      </c>
      <c r="Z4" s="2" t="s">
        <v>148</v>
      </c>
      <c r="AA4" s="2" t="s">
        <v>149</v>
      </c>
      <c r="AB4" s="2" t="s">
        <v>150</v>
      </c>
      <c r="AC4" s="2" t="s">
        <v>151</v>
      </c>
      <c r="AD4" s="2" t="s">
        <v>152</v>
      </c>
      <c r="AE4" s="2" t="s">
        <v>153</v>
      </c>
      <c r="AF4" s="2"/>
      <c r="AG4" s="2" t="n">
        <v>16</v>
      </c>
      <c r="AH4" s="2" t="n">
        <v>26</v>
      </c>
      <c r="AI4" s="2" t="n">
        <v>28</v>
      </c>
      <c r="AJ4" s="2" t="n">
        <v>0</v>
      </c>
      <c r="AK4" s="2" t="n">
        <v>2</v>
      </c>
      <c r="AL4" s="2" t="s">
        <v>154</v>
      </c>
      <c r="AM4" s="2" t="s">
        <v>155</v>
      </c>
      <c r="AN4" s="2" t="s">
        <v>156</v>
      </c>
      <c r="AO4" s="2" t="s">
        <v>157</v>
      </c>
      <c r="AP4" s="2" t="s">
        <v>158</v>
      </c>
      <c r="AQ4" s="2"/>
      <c r="AR4" s="2" t="s">
        <v>159</v>
      </c>
      <c r="AS4" s="2" t="s">
        <v>160</v>
      </c>
      <c r="AT4" s="2" t="s">
        <v>161</v>
      </c>
      <c r="AU4" s="2" t="n">
        <v>2010</v>
      </c>
      <c r="AV4" s="2" t="n">
        <v>82</v>
      </c>
      <c r="AW4" s="2" t="n">
        <v>1</v>
      </c>
      <c r="AX4" s="2"/>
      <c r="AY4" s="2"/>
      <c r="AZ4" s="2"/>
      <c r="BA4" s="2"/>
      <c r="BB4" s="2" t="n">
        <v>153</v>
      </c>
      <c r="BC4" s="2" t="n">
        <v>156</v>
      </c>
      <c r="BD4" s="2"/>
      <c r="BE4" s="2" t="s">
        <v>162</v>
      </c>
      <c r="BF4" s="2" t="str">
        <f aca="false">HYPERLINK("http://dx.doi.org/10.1002/jmv.21659","http://dx.doi.org/10.1002/jmv.21659")</f>
        <v>http://dx.doi.org/10.1002/jmv.21659</v>
      </c>
      <c r="BG4" s="2"/>
      <c r="BH4" s="2"/>
      <c r="BI4" s="2" t="n">
        <v>4</v>
      </c>
      <c r="BJ4" s="2" t="s">
        <v>163</v>
      </c>
      <c r="BK4" s="2" t="s">
        <v>100</v>
      </c>
      <c r="BL4" s="2" t="s">
        <v>163</v>
      </c>
      <c r="BM4" s="2" t="s">
        <v>164</v>
      </c>
      <c r="BN4" s="2" t="n">
        <v>19950241</v>
      </c>
      <c r="BO4" s="2" t="s">
        <v>165</v>
      </c>
      <c r="BP4" s="2"/>
      <c r="BQ4" s="2"/>
      <c r="BR4" s="2" t="s">
        <v>104</v>
      </c>
      <c r="BS4" s="2" t="s">
        <v>166</v>
      </c>
      <c r="BT4" s="2" t="str">
        <f aca="false">HYPERLINK("https%3A%2F%2Fwww.webofscience.com%2Fwos%2Fwoscc%2Ffull-record%2FWOS:000272813000019","View Full Record in Web of Science")</f>
        <v>View Full Record in Web of Science</v>
      </c>
    </row>
    <row r="5" customFormat="false" ht="12.75" hidden="false" customHeight="false" outlineLevel="0" collapsed="false">
      <c r="A5" s="2" t="s">
        <v>72</v>
      </c>
      <c r="B5" s="2" t="s">
        <v>167</v>
      </c>
      <c r="C5" s="2"/>
      <c r="D5" s="2"/>
      <c r="E5" s="2"/>
      <c r="F5" s="2" t="s">
        <v>168</v>
      </c>
      <c r="G5" s="2"/>
      <c r="H5" s="2"/>
      <c r="I5" s="2" t="s">
        <v>169</v>
      </c>
      <c r="J5" s="2" t="s">
        <v>170</v>
      </c>
      <c r="K5" s="2"/>
      <c r="L5" s="2"/>
      <c r="M5" s="2" t="s">
        <v>77</v>
      </c>
      <c r="N5" s="2" t="s">
        <v>78</v>
      </c>
      <c r="O5" s="2"/>
      <c r="P5" s="2"/>
      <c r="Q5" s="2"/>
      <c r="R5" s="2"/>
      <c r="S5" s="2"/>
      <c r="T5" s="2" t="s">
        <v>171</v>
      </c>
      <c r="U5" s="2" t="s">
        <v>172</v>
      </c>
      <c r="V5" s="2" t="s">
        <v>173</v>
      </c>
      <c r="W5" s="2" t="s">
        <v>174</v>
      </c>
      <c r="X5" s="2" t="s">
        <v>175</v>
      </c>
      <c r="Y5" s="2" t="s">
        <v>176</v>
      </c>
      <c r="Z5" s="2" t="s">
        <v>177</v>
      </c>
      <c r="AA5" s="2"/>
      <c r="AB5" s="2" t="s">
        <v>178</v>
      </c>
      <c r="AC5" s="2" t="s">
        <v>179</v>
      </c>
      <c r="AD5" s="2" t="s">
        <v>180</v>
      </c>
      <c r="AE5" s="2" t="s">
        <v>181</v>
      </c>
      <c r="AF5" s="2"/>
      <c r="AG5" s="2" t="n">
        <v>14</v>
      </c>
      <c r="AH5" s="2" t="n">
        <v>1</v>
      </c>
      <c r="AI5" s="2" t="n">
        <v>1</v>
      </c>
      <c r="AJ5" s="2" t="n">
        <v>0</v>
      </c>
      <c r="AK5" s="2" t="n">
        <v>1</v>
      </c>
      <c r="AL5" s="2" t="s">
        <v>91</v>
      </c>
      <c r="AM5" s="2" t="s">
        <v>92</v>
      </c>
      <c r="AN5" s="2" t="s">
        <v>93</v>
      </c>
      <c r="AO5" s="2"/>
      <c r="AP5" s="2" t="s">
        <v>182</v>
      </c>
      <c r="AQ5" s="2"/>
      <c r="AR5" s="2" t="s">
        <v>183</v>
      </c>
      <c r="AS5" s="2" t="s">
        <v>184</v>
      </c>
      <c r="AT5" s="2" t="s">
        <v>185</v>
      </c>
      <c r="AU5" s="2" t="n">
        <v>2022</v>
      </c>
      <c r="AV5" s="2" t="n">
        <v>10</v>
      </c>
      <c r="AW5" s="2" t="n">
        <v>8</v>
      </c>
      <c r="AX5" s="2"/>
      <c r="AY5" s="2"/>
      <c r="AZ5" s="2"/>
      <c r="BA5" s="2"/>
      <c r="BB5" s="2"/>
      <c r="BC5" s="2"/>
      <c r="BD5" s="2" t="n">
        <v>1191</v>
      </c>
      <c r="BE5" s="2" t="s">
        <v>186</v>
      </c>
      <c r="BF5" s="2" t="str">
        <f aca="false">HYPERLINK("http://dx.doi.org/10.3390/vaccines10081191","http://dx.doi.org/10.3390/vaccines10081191")</f>
        <v>http://dx.doi.org/10.3390/vaccines10081191</v>
      </c>
      <c r="BG5" s="2"/>
      <c r="BH5" s="2"/>
      <c r="BI5" s="2" t="n">
        <v>6</v>
      </c>
      <c r="BJ5" s="2" t="s">
        <v>187</v>
      </c>
      <c r="BK5" s="2" t="s">
        <v>100</v>
      </c>
      <c r="BL5" s="2" t="s">
        <v>188</v>
      </c>
      <c r="BM5" s="2" t="s">
        <v>189</v>
      </c>
      <c r="BN5" s="2" t="n">
        <v>36016079</v>
      </c>
      <c r="BO5" s="2" t="s">
        <v>190</v>
      </c>
      <c r="BP5" s="2"/>
      <c r="BQ5" s="2"/>
      <c r="BR5" s="2" t="s">
        <v>104</v>
      </c>
      <c r="BS5" s="2" t="s">
        <v>191</v>
      </c>
      <c r="BT5" s="2" t="str">
        <f aca="false">HYPERLINK("https%3A%2F%2Fwww.webofscience.com%2Fwos%2Fwoscc%2Ffull-record%2FWOS:000845123700001","View Full Record in Web of Science")</f>
        <v>View Full Record in Web of Science</v>
      </c>
    </row>
    <row r="6" customFormat="false" ht="12.75" hidden="false" customHeight="false" outlineLevel="0" collapsed="false">
      <c r="A6" s="2" t="s">
        <v>72</v>
      </c>
      <c r="B6" s="2" t="s">
        <v>192</v>
      </c>
      <c r="C6" s="2"/>
      <c r="D6" s="2"/>
      <c r="E6" s="2"/>
      <c r="F6" s="2" t="s">
        <v>193</v>
      </c>
      <c r="G6" s="2"/>
      <c r="H6" s="2"/>
      <c r="I6" s="2" t="s">
        <v>194</v>
      </c>
      <c r="J6" s="2" t="s">
        <v>195</v>
      </c>
      <c r="K6" s="2"/>
      <c r="L6" s="2"/>
      <c r="M6" s="2" t="s">
        <v>77</v>
      </c>
      <c r="N6" s="2" t="s">
        <v>78</v>
      </c>
      <c r="O6" s="2"/>
      <c r="P6" s="2"/>
      <c r="Q6" s="2"/>
      <c r="R6" s="2"/>
      <c r="S6" s="2"/>
      <c r="T6" s="2" t="s">
        <v>196</v>
      </c>
      <c r="U6" s="2" t="s">
        <v>197</v>
      </c>
      <c r="V6" s="2" t="s">
        <v>198</v>
      </c>
      <c r="W6" s="2" t="s">
        <v>199</v>
      </c>
      <c r="X6" s="2" t="s">
        <v>200</v>
      </c>
      <c r="Y6" s="2" t="s">
        <v>201</v>
      </c>
      <c r="Z6" s="2" t="s">
        <v>202</v>
      </c>
      <c r="AA6" s="2" t="s">
        <v>203</v>
      </c>
      <c r="AB6" s="2"/>
      <c r="AC6" s="2"/>
      <c r="AD6" s="2"/>
      <c r="AE6" s="2"/>
      <c r="AF6" s="2"/>
      <c r="AG6" s="2" t="n">
        <v>24</v>
      </c>
      <c r="AH6" s="2" t="n">
        <v>0</v>
      </c>
      <c r="AI6" s="2" t="n">
        <v>0</v>
      </c>
      <c r="AJ6" s="2" t="n">
        <v>0</v>
      </c>
      <c r="AK6" s="2" t="n">
        <v>1</v>
      </c>
      <c r="AL6" s="2" t="s">
        <v>204</v>
      </c>
      <c r="AM6" s="2" t="s">
        <v>205</v>
      </c>
      <c r="AN6" s="2" t="s">
        <v>206</v>
      </c>
      <c r="AO6" s="2" t="s">
        <v>207</v>
      </c>
      <c r="AP6" s="2"/>
      <c r="AQ6" s="2"/>
      <c r="AR6" s="2" t="s">
        <v>208</v>
      </c>
      <c r="AS6" s="2" t="s">
        <v>209</v>
      </c>
      <c r="AT6" s="2" t="s">
        <v>210</v>
      </c>
      <c r="AU6" s="2" t="n">
        <v>2011</v>
      </c>
      <c r="AV6" s="2" t="n">
        <v>5</v>
      </c>
      <c r="AW6" s="2" t="n">
        <v>14</v>
      </c>
      <c r="AX6" s="2"/>
      <c r="AY6" s="2"/>
      <c r="AZ6" s="2"/>
      <c r="BA6" s="2"/>
      <c r="BB6" s="2" t="n">
        <v>1808</v>
      </c>
      <c r="BC6" s="2" t="n">
        <v>1812</v>
      </c>
      <c r="BD6" s="2"/>
      <c r="BE6" s="2"/>
      <c r="BF6" s="2"/>
      <c r="BG6" s="2"/>
      <c r="BH6" s="2"/>
      <c r="BI6" s="2" t="n">
        <v>5</v>
      </c>
      <c r="BJ6" s="2" t="s">
        <v>211</v>
      </c>
      <c r="BK6" s="2" t="s">
        <v>100</v>
      </c>
      <c r="BL6" s="2" t="s">
        <v>211</v>
      </c>
      <c r="BM6" s="2" t="s">
        <v>212</v>
      </c>
      <c r="BN6" s="2"/>
      <c r="BO6" s="2"/>
      <c r="BP6" s="2"/>
      <c r="BQ6" s="2"/>
      <c r="BR6" s="2" t="s">
        <v>104</v>
      </c>
      <c r="BS6" s="2" t="s">
        <v>213</v>
      </c>
      <c r="BT6" s="2" t="str">
        <f aca="false">HYPERLINK("https%3A%2F%2Fwww.webofscience.com%2Fwos%2Fwoscc%2Ffull-record%2FWOS:000297671800015","View Full Record in Web of Science")</f>
        <v>View Full Record in Web of Science</v>
      </c>
    </row>
    <row r="7" customFormat="false" ht="12.75" hidden="false" customHeight="false" outlineLevel="0" collapsed="false">
      <c r="A7" s="2" t="s">
        <v>72</v>
      </c>
      <c r="B7" s="2" t="s">
        <v>214</v>
      </c>
      <c r="C7" s="2"/>
      <c r="D7" s="2"/>
      <c r="E7" s="2"/>
      <c r="F7" s="2" t="s">
        <v>215</v>
      </c>
      <c r="G7" s="2"/>
      <c r="H7" s="2"/>
      <c r="I7" s="2" t="s">
        <v>216</v>
      </c>
      <c r="J7" s="2" t="s">
        <v>141</v>
      </c>
      <c r="K7" s="2"/>
      <c r="L7" s="2"/>
      <c r="M7" s="2" t="s">
        <v>77</v>
      </c>
      <c r="N7" s="2" t="s">
        <v>78</v>
      </c>
      <c r="O7" s="2"/>
      <c r="P7" s="2"/>
      <c r="Q7" s="2"/>
      <c r="R7" s="2"/>
      <c r="S7" s="2"/>
      <c r="T7" s="2" t="s">
        <v>217</v>
      </c>
      <c r="U7" s="2" t="s">
        <v>218</v>
      </c>
      <c r="V7" s="2" t="s">
        <v>219</v>
      </c>
      <c r="W7" s="2" t="s">
        <v>220</v>
      </c>
      <c r="X7" s="2" t="s">
        <v>221</v>
      </c>
      <c r="Y7" s="2" t="s">
        <v>222</v>
      </c>
      <c r="Z7" s="2" t="s">
        <v>223</v>
      </c>
      <c r="AA7" s="2" t="s">
        <v>224</v>
      </c>
      <c r="AB7" s="2" t="s">
        <v>225</v>
      </c>
      <c r="AC7" s="2"/>
      <c r="AD7" s="2"/>
      <c r="AE7" s="2"/>
      <c r="AF7" s="2"/>
      <c r="AG7" s="2" t="n">
        <v>39</v>
      </c>
      <c r="AH7" s="2" t="n">
        <v>71</v>
      </c>
      <c r="AI7" s="2" t="n">
        <v>79</v>
      </c>
      <c r="AJ7" s="2" t="n">
        <v>0</v>
      </c>
      <c r="AK7" s="2" t="n">
        <v>2</v>
      </c>
      <c r="AL7" s="2" t="s">
        <v>154</v>
      </c>
      <c r="AM7" s="2" t="s">
        <v>155</v>
      </c>
      <c r="AN7" s="2" t="s">
        <v>156</v>
      </c>
      <c r="AO7" s="2" t="s">
        <v>157</v>
      </c>
      <c r="AP7" s="2" t="s">
        <v>158</v>
      </c>
      <c r="AQ7" s="2"/>
      <c r="AR7" s="2" t="s">
        <v>159</v>
      </c>
      <c r="AS7" s="2" t="s">
        <v>160</v>
      </c>
      <c r="AT7" s="2" t="s">
        <v>185</v>
      </c>
      <c r="AU7" s="2" t="n">
        <v>2007</v>
      </c>
      <c r="AV7" s="2" t="n">
        <v>79</v>
      </c>
      <c r="AW7" s="2" t="n">
        <v>8</v>
      </c>
      <c r="AX7" s="2"/>
      <c r="AY7" s="2"/>
      <c r="AZ7" s="2"/>
      <c r="BA7" s="2"/>
      <c r="BB7" s="2" t="n">
        <v>1238</v>
      </c>
      <c r="BC7" s="2" t="n">
        <v>1243</v>
      </c>
      <c r="BD7" s="2"/>
      <c r="BE7" s="2" t="s">
        <v>226</v>
      </c>
      <c r="BF7" s="2" t="str">
        <f aca="false">HYPERLINK("http://dx.doi.org/10.1002/jmv.20926","http://dx.doi.org/10.1002/jmv.20926")</f>
        <v>http://dx.doi.org/10.1002/jmv.20926</v>
      </c>
      <c r="BG7" s="2"/>
      <c r="BH7" s="2"/>
      <c r="BI7" s="2" t="n">
        <v>6</v>
      </c>
      <c r="BJ7" s="2" t="s">
        <v>163</v>
      </c>
      <c r="BK7" s="2" t="s">
        <v>100</v>
      </c>
      <c r="BL7" s="2" t="s">
        <v>163</v>
      </c>
      <c r="BM7" s="2" t="s">
        <v>227</v>
      </c>
      <c r="BN7" s="2" t="n">
        <v>17597481</v>
      </c>
      <c r="BO7" s="2" t="s">
        <v>165</v>
      </c>
      <c r="BP7" s="2"/>
      <c r="BQ7" s="2"/>
      <c r="BR7" s="2" t="s">
        <v>104</v>
      </c>
      <c r="BS7" s="2" t="s">
        <v>228</v>
      </c>
      <c r="BT7" s="2" t="str">
        <f aca="false">HYPERLINK("https%3A%2F%2Fwww.webofscience.com%2Fwos%2Fwoscc%2Ffull-record%2FWOS:000247642200027","View Full Record in Web of Science")</f>
        <v>View Full Record in Web of Science</v>
      </c>
    </row>
    <row r="8" customFormat="false" ht="12.75" hidden="false" customHeight="false" outlineLevel="0" collapsed="false">
      <c r="A8" s="2" t="s">
        <v>72</v>
      </c>
      <c r="B8" s="2" t="s">
        <v>229</v>
      </c>
      <c r="C8" s="2"/>
      <c r="D8" s="2"/>
      <c r="E8" s="2"/>
      <c r="F8" s="2" t="s">
        <v>230</v>
      </c>
      <c r="G8" s="2"/>
      <c r="H8" s="2"/>
      <c r="I8" s="2" t="s">
        <v>231</v>
      </c>
      <c r="J8" s="2" t="s">
        <v>232</v>
      </c>
      <c r="K8" s="2"/>
      <c r="L8" s="2"/>
      <c r="M8" s="2" t="s">
        <v>77</v>
      </c>
      <c r="N8" s="2" t="s">
        <v>78</v>
      </c>
      <c r="O8" s="2"/>
      <c r="P8" s="2"/>
      <c r="Q8" s="2"/>
      <c r="R8" s="2"/>
      <c r="S8" s="2"/>
      <c r="T8" s="2" t="s">
        <v>233</v>
      </c>
      <c r="U8" s="2" t="s">
        <v>234</v>
      </c>
      <c r="V8" s="2" t="s">
        <v>235</v>
      </c>
      <c r="W8" s="2" t="s">
        <v>236</v>
      </c>
      <c r="X8" s="2" t="s">
        <v>237</v>
      </c>
      <c r="Y8" s="2" t="s">
        <v>238</v>
      </c>
      <c r="Z8" s="2" t="s">
        <v>239</v>
      </c>
      <c r="AA8" s="2" t="s">
        <v>240</v>
      </c>
      <c r="AB8" s="2" t="s">
        <v>241</v>
      </c>
      <c r="AC8" s="2" t="s">
        <v>242</v>
      </c>
      <c r="AD8" s="2" t="s">
        <v>243</v>
      </c>
      <c r="AE8" s="2" t="s">
        <v>244</v>
      </c>
      <c r="AF8" s="2"/>
      <c r="AG8" s="2" t="n">
        <v>39</v>
      </c>
      <c r="AH8" s="2" t="n">
        <v>12</v>
      </c>
      <c r="AI8" s="2" t="n">
        <v>14</v>
      </c>
      <c r="AJ8" s="2" t="n">
        <v>0</v>
      </c>
      <c r="AK8" s="2" t="n">
        <v>11</v>
      </c>
      <c r="AL8" s="2" t="s">
        <v>245</v>
      </c>
      <c r="AM8" s="2" t="s">
        <v>246</v>
      </c>
      <c r="AN8" s="2" t="s">
        <v>247</v>
      </c>
      <c r="AO8" s="2" t="s">
        <v>248</v>
      </c>
      <c r="AP8" s="2" t="s">
        <v>249</v>
      </c>
      <c r="AQ8" s="2"/>
      <c r="AR8" s="2" t="s">
        <v>250</v>
      </c>
      <c r="AS8" s="2" t="s">
        <v>251</v>
      </c>
      <c r="AT8" s="2" t="s">
        <v>252</v>
      </c>
      <c r="AU8" s="2" t="n">
        <v>2016</v>
      </c>
      <c r="AV8" s="2" t="n">
        <v>44</v>
      </c>
      <c r="AW8" s="2" t="n">
        <v>5</v>
      </c>
      <c r="AX8" s="2"/>
      <c r="AY8" s="2"/>
      <c r="AZ8" s="2"/>
      <c r="BA8" s="2"/>
      <c r="BB8" s="2" t="n">
        <v>393</v>
      </c>
      <c r="BC8" s="2" t="n">
        <v>399</v>
      </c>
      <c r="BD8" s="2"/>
      <c r="BE8" s="2" t="s">
        <v>253</v>
      </c>
      <c r="BF8" s="2" t="str">
        <f aca="false">HYPERLINK("http://dx.doi.org/10.1016/j.aller.2015.09.001","http://dx.doi.org/10.1016/j.aller.2015.09.001")</f>
        <v>http://dx.doi.org/10.1016/j.aller.2015.09.001</v>
      </c>
      <c r="BG8" s="2"/>
      <c r="BH8" s="2"/>
      <c r="BI8" s="2" t="n">
        <v>7</v>
      </c>
      <c r="BJ8" s="2" t="s">
        <v>254</v>
      </c>
      <c r="BK8" s="2" t="s">
        <v>100</v>
      </c>
      <c r="BL8" s="2" t="s">
        <v>254</v>
      </c>
      <c r="BM8" s="2" t="s">
        <v>255</v>
      </c>
      <c r="BN8" s="2" t="n">
        <v>26810119</v>
      </c>
      <c r="BO8" s="2"/>
      <c r="BP8" s="2"/>
      <c r="BQ8" s="2"/>
      <c r="BR8" s="2" t="s">
        <v>104</v>
      </c>
      <c r="BS8" s="2" t="s">
        <v>256</v>
      </c>
      <c r="BT8" s="2" t="str">
        <f aca="false">HYPERLINK("https%3A%2F%2Fwww.webofscience.com%2Fwos%2Fwoscc%2Ffull-record%2FWOS:000383933300002","View Full Record in Web of Science")</f>
        <v>View Full Record in Web of Science</v>
      </c>
    </row>
    <row r="9" customFormat="false" ht="12.75" hidden="false" customHeight="false" outlineLevel="0" collapsed="false">
      <c r="A9" s="2" t="s">
        <v>72</v>
      </c>
      <c r="B9" s="2" t="s">
        <v>257</v>
      </c>
      <c r="C9" s="2"/>
      <c r="D9" s="2"/>
      <c r="E9" s="2"/>
      <c r="F9" s="2" t="s">
        <v>258</v>
      </c>
      <c r="G9" s="2"/>
      <c r="H9" s="2"/>
      <c r="I9" s="2" t="s">
        <v>259</v>
      </c>
      <c r="J9" s="2" t="s">
        <v>260</v>
      </c>
      <c r="K9" s="2"/>
      <c r="L9" s="2"/>
      <c r="M9" s="2" t="s">
        <v>77</v>
      </c>
      <c r="N9" s="2" t="s">
        <v>78</v>
      </c>
      <c r="O9" s="2"/>
      <c r="P9" s="2"/>
      <c r="Q9" s="2"/>
      <c r="R9" s="2"/>
      <c r="S9" s="2"/>
      <c r="T9" s="2" t="s">
        <v>261</v>
      </c>
      <c r="U9" s="2" t="s">
        <v>262</v>
      </c>
      <c r="V9" s="2" t="s">
        <v>263</v>
      </c>
      <c r="W9" s="2" t="s">
        <v>264</v>
      </c>
      <c r="X9" s="2" t="s">
        <v>265</v>
      </c>
      <c r="Y9" s="2" t="s">
        <v>266</v>
      </c>
      <c r="Z9" s="2" t="s">
        <v>267</v>
      </c>
      <c r="AA9" s="2"/>
      <c r="AB9" s="2" t="s">
        <v>268</v>
      </c>
      <c r="AC9" s="2" t="s">
        <v>269</v>
      </c>
      <c r="AD9" s="2" t="s">
        <v>270</v>
      </c>
      <c r="AE9" s="2" t="s">
        <v>271</v>
      </c>
      <c r="AF9" s="2"/>
      <c r="AG9" s="2" t="n">
        <v>33</v>
      </c>
      <c r="AH9" s="2" t="n">
        <v>30</v>
      </c>
      <c r="AI9" s="2" t="n">
        <v>31</v>
      </c>
      <c r="AJ9" s="2" t="n">
        <v>5</v>
      </c>
      <c r="AK9" s="2" t="n">
        <v>15</v>
      </c>
      <c r="AL9" s="2" t="s">
        <v>272</v>
      </c>
      <c r="AM9" s="2" t="s">
        <v>273</v>
      </c>
      <c r="AN9" s="2" t="s">
        <v>274</v>
      </c>
      <c r="AO9" s="2" t="s">
        <v>275</v>
      </c>
      <c r="AP9" s="2"/>
      <c r="AQ9" s="2"/>
      <c r="AR9" s="2" t="s">
        <v>276</v>
      </c>
      <c r="AS9" s="2" t="s">
        <v>277</v>
      </c>
      <c r="AT9" s="2" t="s">
        <v>278</v>
      </c>
      <c r="AU9" s="2" t="n">
        <v>2023</v>
      </c>
      <c r="AV9" s="2" t="n">
        <v>10</v>
      </c>
      <c r="AW9" s="2" t="n">
        <v>8</v>
      </c>
      <c r="AX9" s="2"/>
      <c r="AY9" s="2"/>
      <c r="AZ9" s="2"/>
      <c r="BA9" s="2"/>
      <c r="BB9" s="2" t="n">
        <v>622</v>
      </c>
      <c r="BC9" s="2" t="n">
        <v>627</v>
      </c>
      <c r="BD9" s="2"/>
      <c r="BE9" s="2" t="s">
        <v>279</v>
      </c>
      <c r="BF9" s="2" t="str">
        <f aca="false">HYPERLINK("http://dx.doi.org/10.1021/acs.estlett.3c00385","http://dx.doi.org/10.1021/acs.estlett.3c00385")</f>
        <v>http://dx.doi.org/10.1021/acs.estlett.3c00385</v>
      </c>
      <c r="BG9" s="2"/>
      <c r="BH9" s="2" t="s">
        <v>280</v>
      </c>
      <c r="BI9" s="2" t="n">
        <v>6</v>
      </c>
      <c r="BJ9" s="2" t="s">
        <v>281</v>
      </c>
      <c r="BK9" s="2" t="s">
        <v>100</v>
      </c>
      <c r="BL9" s="2" t="s">
        <v>282</v>
      </c>
      <c r="BM9" s="2" t="s">
        <v>283</v>
      </c>
      <c r="BN9" s="2" t="n">
        <v>37577361</v>
      </c>
      <c r="BO9" s="2" t="s">
        <v>284</v>
      </c>
      <c r="BP9" s="2"/>
      <c r="BQ9" s="2"/>
      <c r="BR9" s="2" t="s">
        <v>104</v>
      </c>
      <c r="BS9" s="2" t="s">
        <v>285</v>
      </c>
      <c r="BT9" s="2" t="str">
        <f aca="false">HYPERLINK("https%3A%2F%2Fwww.webofscience.com%2Fwos%2Fwoscc%2Ffull-record%2FWOS:001033081300001","View Full Record in Web of Science")</f>
        <v>View Full Record in Web of Science</v>
      </c>
    </row>
    <row r="10" customFormat="false" ht="12.75" hidden="false" customHeight="false" outlineLevel="0" collapsed="false">
      <c r="A10" s="2" t="s">
        <v>72</v>
      </c>
      <c r="B10" s="2" t="s">
        <v>286</v>
      </c>
      <c r="C10" s="2"/>
      <c r="D10" s="2"/>
      <c r="E10" s="2"/>
      <c r="F10" s="2" t="s">
        <v>287</v>
      </c>
      <c r="G10" s="2"/>
      <c r="H10" s="2"/>
      <c r="I10" s="2" t="s">
        <v>288</v>
      </c>
      <c r="J10" s="2" t="s">
        <v>289</v>
      </c>
      <c r="K10" s="2"/>
      <c r="L10" s="2"/>
      <c r="M10" s="2" t="s">
        <v>77</v>
      </c>
      <c r="N10" s="2" t="s">
        <v>78</v>
      </c>
      <c r="O10" s="2"/>
      <c r="P10" s="2"/>
      <c r="Q10" s="2"/>
      <c r="R10" s="2"/>
      <c r="S10" s="2"/>
      <c r="T10" s="2" t="s">
        <v>290</v>
      </c>
      <c r="U10" s="2" t="s">
        <v>291</v>
      </c>
      <c r="V10" s="2" t="s">
        <v>292</v>
      </c>
      <c r="W10" s="2" t="s">
        <v>293</v>
      </c>
      <c r="X10" s="2" t="s">
        <v>294</v>
      </c>
      <c r="Y10" s="2" t="s">
        <v>295</v>
      </c>
      <c r="Z10" s="2" t="s">
        <v>296</v>
      </c>
      <c r="AA10" s="2" t="s">
        <v>297</v>
      </c>
      <c r="AB10" s="2" t="s">
        <v>298</v>
      </c>
      <c r="AC10" s="2" t="s">
        <v>299</v>
      </c>
      <c r="AD10" s="2" t="s">
        <v>300</v>
      </c>
      <c r="AE10" s="2" t="s">
        <v>301</v>
      </c>
      <c r="AF10" s="2"/>
      <c r="AG10" s="2" t="n">
        <v>41</v>
      </c>
      <c r="AH10" s="2" t="n">
        <v>19</v>
      </c>
      <c r="AI10" s="2" t="n">
        <v>19</v>
      </c>
      <c r="AJ10" s="2" t="n">
        <v>1</v>
      </c>
      <c r="AK10" s="2" t="n">
        <v>15</v>
      </c>
      <c r="AL10" s="2" t="s">
        <v>302</v>
      </c>
      <c r="AM10" s="2" t="s">
        <v>303</v>
      </c>
      <c r="AN10" s="2" t="s">
        <v>304</v>
      </c>
      <c r="AO10" s="2"/>
      <c r="AP10" s="2" t="s">
        <v>305</v>
      </c>
      <c r="AQ10" s="2"/>
      <c r="AR10" s="2" t="s">
        <v>306</v>
      </c>
      <c r="AS10" s="2" t="s">
        <v>307</v>
      </c>
      <c r="AT10" s="2" t="s">
        <v>308</v>
      </c>
      <c r="AU10" s="2" t="n">
        <v>2016</v>
      </c>
      <c r="AV10" s="2" t="n">
        <v>16</v>
      </c>
      <c r="AW10" s="2"/>
      <c r="AX10" s="2"/>
      <c r="AY10" s="2"/>
      <c r="AZ10" s="2"/>
      <c r="BA10" s="2"/>
      <c r="BB10" s="2"/>
      <c r="BC10" s="2"/>
      <c r="BD10" s="2" t="n">
        <v>309</v>
      </c>
      <c r="BE10" s="2" t="s">
        <v>309</v>
      </c>
      <c r="BF10" s="2" t="str">
        <f aca="false">HYPERLINK("http://dx.doi.org/10.1186/s12884-016-1103-9","http://dx.doi.org/10.1186/s12884-016-1103-9")</f>
        <v>http://dx.doi.org/10.1186/s12884-016-1103-9</v>
      </c>
      <c r="BG10" s="2"/>
      <c r="BH10" s="2"/>
      <c r="BI10" s="2" t="n">
        <v>10</v>
      </c>
      <c r="BJ10" s="2" t="s">
        <v>310</v>
      </c>
      <c r="BK10" s="2" t="s">
        <v>100</v>
      </c>
      <c r="BL10" s="2" t="s">
        <v>310</v>
      </c>
      <c r="BM10" s="2" t="s">
        <v>311</v>
      </c>
      <c r="BN10" s="2" t="n">
        <v>27737646</v>
      </c>
      <c r="BO10" s="2" t="s">
        <v>103</v>
      </c>
      <c r="BP10" s="2"/>
      <c r="BQ10" s="2"/>
      <c r="BR10" s="2" t="s">
        <v>104</v>
      </c>
      <c r="BS10" s="2" t="s">
        <v>312</v>
      </c>
      <c r="BT10" s="2" t="str">
        <f aca="false">HYPERLINK("https%3A%2F%2Fwww.webofscience.com%2Fwos%2Fwoscc%2Ffull-record%2FWOS:000385878600001","View Full Record in Web of Science")</f>
        <v>View Full Record in Web of Science</v>
      </c>
    </row>
    <row r="11" customFormat="false" ht="12.75" hidden="false" customHeight="false" outlineLevel="0" collapsed="false">
      <c r="A11" s="2" t="s">
        <v>72</v>
      </c>
      <c r="B11" s="2" t="s">
        <v>313</v>
      </c>
      <c r="C11" s="2"/>
      <c r="D11" s="2"/>
      <c r="E11" s="2"/>
      <c r="F11" s="2" t="s">
        <v>314</v>
      </c>
      <c r="G11" s="2"/>
      <c r="H11" s="2"/>
      <c r="I11" s="2" t="s">
        <v>315</v>
      </c>
      <c r="J11" s="2" t="s">
        <v>316</v>
      </c>
      <c r="K11" s="2"/>
      <c r="L11" s="2"/>
      <c r="M11" s="2" t="s">
        <v>77</v>
      </c>
      <c r="N11" s="2" t="s">
        <v>78</v>
      </c>
      <c r="O11" s="2"/>
      <c r="P11" s="2"/>
      <c r="Q11" s="2"/>
      <c r="R11" s="2"/>
      <c r="S11" s="2"/>
      <c r="T11" s="2" t="s">
        <v>317</v>
      </c>
      <c r="U11" s="2" t="s">
        <v>318</v>
      </c>
      <c r="V11" s="2" t="s">
        <v>319</v>
      </c>
      <c r="W11" s="2" t="s">
        <v>320</v>
      </c>
      <c r="X11" s="2" t="s">
        <v>321</v>
      </c>
      <c r="Y11" s="2" t="s">
        <v>322</v>
      </c>
      <c r="Z11" s="2" t="s">
        <v>323</v>
      </c>
      <c r="AA11" s="2" t="s">
        <v>324</v>
      </c>
      <c r="AB11" s="2" t="s">
        <v>325</v>
      </c>
      <c r="AC11" s="2" t="s">
        <v>326</v>
      </c>
      <c r="AD11" s="2" t="s">
        <v>327</v>
      </c>
      <c r="AE11" s="2" t="s">
        <v>328</v>
      </c>
      <c r="AF11" s="2"/>
      <c r="AG11" s="2" t="n">
        <v>19</v>
      </c>
      <c r="AH11" s="2" t="n">
        <v>17</v>
      </c>
      <c r="AI11" s="2" t="n">
        <v>19</v>
      </c>
      <c r="AJ11" s="2" t="n">
        <v>0</v>
      </c>
      <c r="AK11" s="2" t="n">
        <v>7</v>
      </c>
      <c r="AL11" s="2" t="s">
        <v>329</v>
      </c>
      <c r="AM11" s="2" t="s">
        <v>330</v>
      </c>
      <c r="AN11" s="2" t="s">
        <v>331</v>
      </c>
      <c r="AO11" s="2" t="s">
        <v>332</v>
      </c>
      <c r="AP11" s="2" t="s">
        <v>333</v>
      </c>
      <c r="AQ11" s="2"/>
      <c r="AR11" s="2" t="s">
        <v>334</v>
      </c>
      <c r="AS11" s="2" t="s">
        <v>335</v>
      </c>
      <c r="AT11" s="2" t="s">
        <v>336</v>
      </c>
      <c r="AU11" s="2" t="n">
        <v>2017</v>
      </c>
      <c r="AV11" s="2" t="n">
        <v>80</v>
      </c>
      <c r="AW11" s="2" t="n">
        <v>4</v>
      </c>
      <c r="AX11" s="2"/>
      <c r="AY11" s="2"/>
      <c r="AZ11" s="2"/>
      <c r="BA11" s="2"/>
      <c r="BB11" s="2" t="n">
        <v>358</v>
      </c>
      <c r="BC11" s="2" t="n">
        <v>367</v>
      </c>
      <c r="BD11" s="2"/>
      <c r="BE11" s="2" t="s">
        <v>337</v>
      </c>
      <c r="BF11" s="2" t="str">
        <f aca="false">HYPERLINK("http://dx.doi.org/10.4046/trd.2017.0044","http://dx.doi.org/10.4046/trd.2017.0044")</f>
        <v>http://dx.doi.org/10.4046/trd.2017.0044</v>
      </c>
      <c r="BG11" s="2"/>
      <c r="BH11" s="2"/>
      <c r="BI11" s="2" t="n">
        <v>10</v>
      </c>
      <c r="BJ11" s="2" t="s">
        <v>338</v>
      </c>
      <c r="BK11" s="2" t="s">
        <v>339</v>
      </c>
      <c r="BL11" s="2" t="s">
        <v>338</v>
      </c>
      <c r="BM11" s="2" t="s">
        <v>340</v>
      </c>
      <c r="BN11" s="2" t="n">
        <v>28905531</v>
      </c>
      <c r="BO11" s="2" t="s">
        <v>341</v>
      </c>
      <c r="BP11" s="2"/>
      <c r="BQ11" s="2"/>
      <c r="BR11" s="2" t="s">
        <v>104</v>
      </c>
      <c r="BS11" s="2" t="s">
        <v>342</v>
      </c>
      <c r="BT11" s="2" t="str">
        <f aca="false">HYPERLINK("https%3A%2F%2Fwww.webofscience.com%2Fwos%2Fwoscc%2Ffull-record%2FWOS:000424293100006","View Full Record in Web of Science")</f>
        <v>View Full Record in Web of Science</v>
      </c>
    </row>
    <row r="12" customFormat="false" ht="12.75" hidden="false" customHeight="false" outlineLevel="0" collapsed="false">
      <c r="A12" s="2" t="s">
        <v>72</v>
      </c>
      <c r="B12" s="2" t="s">
        <v>343</v>
      </c>
      <c r="C12" s="2"/>
      <c r="D12" s="2"/>
      <c r="E12" s="2"/>
      <c r="F12" s="2" t="s">
        <v>344</v>
      </c>
      <c r="G12" s="2"/>
      <c r="H12" s="2"/>
      <c r="I12" s="2" t="s">
        <v>345</v>
      </c>
      <c r="J12" s="2" t="s">
        <v>346</v>
      </c>
      <c r="K12" s="2"/>
      <c r="L12" s="2"/>
      <c r="M12" s="2" t="s">
        <v>77</v>
      </c>
      <c r="N12" s="2" t="s">
        <v>78</v>
      </c>
      <c r="O12" s="2"/>
      <c r="P12" s="2"/>
      <c r="Q12" s="2"/>
      <c r="R12" s="2"/>
      <c r="S12" s="2"/>
      <c r="T12" s="2" t="s">
        <v>347</v>
      </c>
      <c r="U12" s="2" t="s">
        <v>348</v>
      </c>
      <c r="V12" s="2" t="s">
        <v>349</v>
      </c>
      <c r="W12" s="2" t="s">
        <v>350</v>
      </c>
      <c r="X12" s="2" t="s">
        <v>351</v>
      </c>
      <c r="Y12" s="2" t="s">
        <v>352</v>
      </c>
      <c r="Z12" s="2" t="s">
        <v>353</v>
      </c>
      <c r="AA12" s="2" t="s">
        <v>354</v>
      </c>
      <c r="AB12" s="2" t="s">
        <v>355</v>
      </c>
      <c r="AC12" s="2"/>
      <c r="AD12" s="2"/>
      <c r="AE12" s="2"/>
      <c r="AF12" s="2"/>
      <c r="AG12" s="2" t="n">
        <v>30</v>
      </c>
      <c r="AH12" s="2" t="n">
        <v>6</v>
      </c>
      <c r="AI12" s="2" t="n">
        <v>6</v>
      </c>
      <c r="AJ12" s="2" t="n">
        <v>0</v>
      </c>
      <c r="AK12" s="2" t="n">
        <v>2</v>
      </c>
      <c r="AL12" s="2" t="s">
        <v>356</v>
      </c>
      <c r="AM12" s="2" t="s">
        <v>357</v>
      </c>
      <c r="AN12" s="2" t="s">
        <v>358</v>
      </c>
      <c r="AO12" s="2" t="s">
        <v>359</v>
      </c>
      <c r="AP12" s="2"/>
      <c r="AQ12" s="2"/>
      <c r="AR12" s="2" t="s">
        <v>360</v>
      </c>
      <c r="AS12" s="2" t="s">
        <v>361</v>
      </c>
      <c r="AT12" s="2" t="s">
        <v>362</v>
      </c>
      <c r="AU12" s="2" t="n">
        <v>2017</v>
      </c>
      <c r="AV12" s="2" t="n">
        <v>153</v>
      </c>
      <c r="AW12" s="2" t="n">
        <v>3</v>
      </c>
      <c r="AX12" s="2"/>
      <c r="AY12" s="2"/>
      <c r="AZ12" s="2"/>
      <c r="BA12" s="2"/>
      <c r="BB12" s="2" t="n">
        <v>329</v>
      </c>
      <c r="BC12" s="2" t="n">
        <v>334</v>
      </c>
      <c r="BD12" s="2"/>
      <c r="BE12" s="2"/>
      <c r="BF12" s="2"/>
      <c r="BG12" s="2"/>
      <c r="BH12" s="2"/>
      <c r="BI12" s="2" t="n">
        <v>6</v>
      </c>
      <c r="BJ12" s="2" t="s">
        <v>363</v>
      </c>
      <c r="BK12" s="2" t="s">
        <v>100</v>
      </c>
      <c r="BL12" s="2" t="s">
        <v>364</v>
      </c>
      <c r="BM12" s="2" t="s">
        <v>365</v>
      </c>
      <c r="BN12" s="2" t="n">
        <v>28763071</v>
      </c>
      <c r="BO12" s="2"/>
      <c r="BP12" s="2"/>
      <c r="BQ12" s="2"/>
      <c r="BR12" s="2" t="s">
        <v>104</v>
      </c>
      <c r="BS12" s="2" t="s">
        <v>366</v>
      </c>
      <c r="BT12" s="2" t="str">
        <f aca="false">HYPERLINK("https%3A%2F%2Fwww.webofscience.com%2Fwos%2Fwoscc%2Ffull-record%2FWOS:000408399500006","View Full Record in Web of Science")</f>
        <v>View Full Record in Web of Science</v>
      </c>
    </row>
    <row r="13" customFormat="false" ht="12.75" hidden="false" customHeight="false" outlineLevel="0" collapsed="false">
      <c r="A13" s="2" t="s">
        <v>72</v>
      </c>
      <c r="B13" s="2" t="s">
        <v>367</v>
      </c>
      <c r="C13" s="2"/>
      <c r="D13" s="2"/>
      <c r="E13" s="2"/>
      <c r="F13" s="2" t="s">
        <v>368</v>
      </c>
      <c r="G13" s="2"/>
      <c r="H13" s="2"/>
      <c r="I13" s="2" t="s">
        <v>369</v>
      </c>
      <c r="J13" s="2" t="s">
        <v>370</v>
      </c>
      <c r="K13" s="2"/>
      <c r="L13" s="2"/>
      <c r="M13" s="2" t="s">
        <v>77</v>
      </c>
      <c r="N13" s="2" t="s">
        <v>78</v>
      </c>
      <c r="O13" s="2"/>
      <c r="P13" s="2"/>
      <c r="Q13" s="2"/>
      <c r="R13" s="2"/>
      <c r="S13" s="2"/>
      <c r="T13" s="2" t="s">
        <v>371</v>
      </c>
      <c r="U13" s="2" t="s">
        <v>372</v>
      </c>
      <c r="V13" s="2" t="s">
        <v>373</v>
      </c>
      <c r="W13" s="2" t="s">
        <v>374</v>
      </c>
      <c r="X13" s="2" t="s">
        <v>375</v>
      </c>
      <c r="Y13" s="2" t="s">
        <v>376</v>
      </c>
      <c r="Z13" s="2" t="s">
        <v>377</v>
      </c>
      <c r="AA13" s="2" t="s">
        <v>378</v>
      </c>
      <c r="AB13" s="2" t="s">
        <v>379</v>
      </c>
      <c r="AC13" s="2" t="s">
        <v>380</v>
      </c>
      <c r="AD13" s="2" t="s">
        <v>381</v>
      </c>
      <c r="AE13" s="2" t="s">
        <v>382</v>
      </c>
      <c r="AF13" s="2"/>
      <c r="AG13" s="2" t="n">
        <v>22</v>
      </c>
      <c r="AH13" s="2" t="n">
        <v>27</v>
      </c>
      <c r="AI13" s="2" t="n">
        <v>31</v>
      </c>
      <c r="AJ13" s="2" t="n">
        <v>0</v>
      </c>
      <c r="AK13" s="2" t="n">
        <v>16</v>
      </c>
      <c r="AL13" s="2" t="s">
        <v>383</v>
      </c>
      <c r="AM13" s="2" t="s">
        <v>384</v>
      </c>
      <c r="AN13" s="2" t="s">
        <v>385</v>
      </c>
      <c r="AO13" s="2" t="s">
        <v>386</v>
      </c>
      <c r="AP13" s="2" t="s">
        <v>387</v>
      </c>
      <c r="AQ13" s="2"/>
      <c r="AR13" s="2" t="s">
        <v>388</v>
      </c>
      <c r="AS13" s="2" t="s">
        <v>389</v>
      </c>
      <c r="AT13" s="2" t="s">
        <v>390</v>
      </c>
      <c r="AU13" s="2" t="n">
        <v>2015</v>
      </c>
      <c r="AV13" s="2" t="n">
        <v>66</v>
      </c>
      <c r="AW13" s="2"/>
      <c r="AX13" s="2"/>
      <c r="AY13" s="2"/>
      <c r="AZ13" s="2"/>
      <c r="BA13" s="2"/>
      <c r="BB13" s="2" t="n">
        <v>6</v>
      </c>
      <c r="BC13" s="2" t="n">
        <v>11</v>
      </c>
      <c r="BD13" s="2"/>
      <c r="BE13" s="2" t="s">
        <v>391</v>
      </c>
      <c r="BF13" s="2" t="str">
        <f aca="false">HYPERLINK("http://dx.doi.org/10.1016/j.jcv.2015.02.010","http://dx.doi.org/10.1016/j.jcv.2015.02.010")</f>
        <v>http://dx.doi.org/10.1016/j.jcv.2015.02.010</v>
      </c>
      <c r="BG13" s="2"/>
      <c r="BH13" s="2"/>
      <c r="BI13" s="2" t="n">
        <v>6</v>
      </c>
      <c r="BJ13" s="2" t="s">
        <v>163</v>
      </c>
      <c r="BK13" s="2" t="s">
        <v>100</v>
      </c>
      <c r="BL13" s="2" t="s">
        <v>163</v>
      </c>
      <c r="BM13" s="2" t="s">
        <v>392</v>
      </c>
      <c r="BN13" s="2" t="n">
        <v>25866327</v>
      </c>
      <c r="BO13" s="2" t="s">
        <v>393</v>
      </c>
      <c r="BP13" s="2"/>
      <c r="BQ13" s="2"/>
      <c r="BR13" s="2" t="s">
        <v>104</v>
      </c>
      <c r="BS13" s="2" t="s">
        <v>394</v>
      </c>
      <c r="BT13" s="2" t="str">
        <f aca="false">HYPERLINK("https%3A%2F%2Fwww.webofscience.com%2Fwos%2Fwoscc%2Ffull-record%2FWOS:000352702000002","View Full Record in Web of Science")</f>
        <v>View Full Record in Web of Science</v>
      </c>
    </row>
    <row r="14" customFormat="false" ht="12.75" hidden="false" customHeight="false" outlineLevel="0" collapsed="false">
      <c r="A14" s="2" t="s">
        <v>72</v>
      </c>
      <c r="B14" s="2" t="s">
        <v>395</v>
      </c>
      <c r="C14" s="2"/>
      <c r="D14" s="2"/>
      <c r="E14" s="2"/>
      <c r="F14" s="2" t="s">
        <v>396</v>
      </c>
      <c r="G14" s="2"/>
      <c r="H14" s="2"/>
      <c r="I14" s="2" t="s">
        <v>397</v>
      </c>
      <c r="J14" s="2" t="s">
        <v>398</v>
      </c>
      <c r="K14" s="2"/>
      <c r="L14" s="2"/>
      <c r="M14" s="2" t="s">
        <v>77</v>
      </c>
      <c r="N14" s="2" t="s">
        <v>78</v>
      </c>
      <c r="O14" s="2"/>
      <c r="P14" s="2"/>
      <c r="Q14" s="2"/>
      <c r="R14" s="2"/>
      <c r="S14" s="2"/>
      <c r="T14" s="2" t="s">
        <v>399</v>
      </c>
      <c r="U14" s="2" t="s">
        <v>400</v>
      </c>
      <c r="V14" s="2" t="s">
        <v>401</v>
      </c>
      <c r="W14" s="2" t="s">
        <v>402</v>
      </c>
      <c r="X14" s="2" t="s">
        <v>403</v>
      </c>
      <c r="Y14" s="2" t="s">
        <v>404</v>
      </c>
      <c r="Z14" s="2" t="s">
        <v>405</v>
      </c>
      <c r="AA14" s="2" t="s">
        <v>406</v>
      </c>
      <c r="AB14" s="2" t="s">
        <v>407</v>
      </c>
      <c r="AC14" s="2"/>
      <c r="AD14" s="2"/>
      <c r="AE14" s="2"/>
      <c r="AF14" s="2"/>
      <c r="AG14" s="2" t="n">
        <v>32</v>
      </c>
      <c r="AH14" s="2" t="n">
        <v>0</v>
      </c>
      <c r="AI14" s="2" t="n">
        <v>0</v>
      </c>
      <c r="AJ14" s="2" t="n">
        <v>10</v>
      </c>
      <c r="AK14" s="2" t="n">
        <v>22</v>
      </c>
      <c r="AL14" s="2" t="s">
        <v>408</v>
      </c>
      <c r="AM14" s="2" t="s">
        <v>409</v>
      </c>
      <c r="AN14" s="2" t="s">
        <v>410</v>
      </c>
      <c r="AO14" s="2" t="s">
        <v>411</v>
      </c>
      <c r="AP14" s="2" t="s">
        <v>412</v>
      </c>
      <c r="AQ14" s="2"/>
      <c r="AR14" s="2" t="s">
        <v>413</v>
      </c>
      <c r="AS14" s="2" t="s">
        <v>414</v>
      </c>
      <c r="AT14" s="2" t="s">
        <v>97</v>
      </c>
      <c r="AU14" s="2" t="n">
        <v>2023</v>
      </c>
      <c r="AV14" s="2" t="n">
        <v>18</v>
      </c>
      <c r="AW14" s="2" t="n">
        <v>2</v>
      </c>
      <c r="AX14" s="2"/>
      <c r="AY14" s="2"/>
      <c r="AZ14" s="2"/>
      <c r="BA14" s="2"/>
      <c r="BB14" s="2" t="n">
        <v>71</v>
      </c>
      <c r="BC14" s="2" t="n">
        <v>76</v>
      </c>
      <c r="BD14" s="2"/>
      <c r="BE14" s="2" t="s">
        <v>415</v>
      </c>
      <c r="BF14" s="2" t="str">
        <f aca="false">HYPERLINK("http://dx.doi.org/10.1055/s-0042-1760410","http://dx.doi.org/10.1055/s-0042-1760410")</f>
        <v>http://dx.doi.org/10.1055/s-0042-1760410</v>
      </c>
      <c r="BG14" s="2"/>
      <c r="BH14" s="2" t="s">
        <v>416</v>
      </c>
      <c r="BI14" s="2" t="n">
        <v>6</v>
      </c>
      <c r="BJ14" s="2" t="s">
        <v>417</v>
      </c>
      <c r="BK14" s="2" t="s">
        <v>100</v>
      </c>
      <c r="BL14" s="2" t="s">
        <v>417</v>
      </c>
      <c r="BM14" s="2" t="s">
        <v>418</v>
      </c>
      <c r="BN14" s="2"/>
      <c r="BO14" s="2"/>
      <c r="BP14" s="2"/>
      <c r="BQ14" s="2"/>
      <c r="BR14" s="2" t="s">
        <v>104</v>
      </c>
      <c r="BS14" s="2" t="s">
        <v>419</v>
      </c>
      <c r="BT14" s="2" t="str">
        <f aca="false">HYPERLINK("https%3A%2F%2Fwww.webofscience.com%2Fwos%2Fwoscc%2Ffull-record%2FWOS:000908398400001","View Full Record in Web of Science")</f>
        <v>View Full Record in Web of Science</v>
      </c>
    </row>
    <row r="15" customFormat="false" ht="12.75" hidden="false" customHeight="false" outlineLevel="0" collapsed="false">
      <c r="A15" s="2" t="s">
        <v>72</v>
      </c>
      <c r="B15" s="2" t="s">
        <v>420</v>
      </c>
      <c r="C15" s="2"/>
      <c r="D15" s="2"/>
      <c r="E15" s="2"/>
      <c r="F15" s="2" t="s">
        <v>421</v>
      </c>
      <c r="G15" s="2"/>
      <c r="H15" s="2"/>
      <c r="I15" s="2" t="s">
        <v>422</v>
      </c>
      <c r="J15" s="2" t="s">
        <v>141</v>
      </c>
      <c r="K15" s="2"/>
      <c r="L15" s="2"/>
      <c r="M15" s="2" t="s">
        <v>77</v>
      </c>
      <c r="N15" s="2" t="s">
        <v>78</v>
      </c>
      <c r="O15" s="2"/>
      <c r="P15" s="2"/>
      <c r="Q15" s="2"/>
      <c r="R15" s="2"/>
      <c r="S15" s="2"/>
      <c r="T15" s="2" t="s">
        <v>423</v>
      </c>
      <c r="U15" s="2" t="s">
        <v>424</v>
      </c>
      <c r="V15" s="2" t="s">
        <v>425</v>
      </c>
      <c r="W15" s="2" t="s">
        <v>426</v>
      </c>
      <c r="X15" s="2" t="s">
        <v>427</v>
      </c>
      <c r="Y15" s="2"/>
      <c r="Z15" s="2" t="s">
        <v>428</v>
      </c>
      <c r="AA15" s="2" t="s">
        <v>429</v>
      </c>
      <c r="AB15" s="2" t="s">
        <v>430</v>
      </c>
      <c r="AC15" s="2"/>
      <c r="AD15" s="2"/>
      <c r="AE15" s="2"/>
      <c r="AF15" s="2"/>
      <c r="AG15" s="2" t="n">
        <v>32</v>
      </c>
      <c r="AH15" s="2" t="n">
        <v>311</v>
      </c>
      <c r="AI15" s="2" t="n">
        <v>344</v>
      </c>
      <c r="AJ15" s="2" t="n">
        <v>0</v>
      </c>
      <c r="AK15" s="2" t="n">
        <v>21</v>
      </c>
      <c r="AL15" s="2" t="s">
        <v>154</v>
      </c>
      <c r="AM15" s="2" t="s">
        <v>155</v>
      </c>
      <c r="AN15" s="2" t="s">
        <v>156</v>
      </c>
      <c r="AO15" s="2" t="s">
        <v>157</v>
      </c>
      <c r="AP15" s="2" t="s">
        <v>158</v>
      </c>
      <c r="AQ15" s="2"/>
      <c r="AR15" s="2" t="s">
        <v>159</v>
      </c>
      <c r="AS15" s="2" t="s">
        <v>160</v>
      </c>
      <c r="AT15" s="2" t="s">
        <v>129</v>
      </c>
      <c r="AU15" s="2" t="n">
        <v>2006</v>
      </c>
      <c r="AV15" s="2" t="n">
        <v>78</v>
      </c>
      <c r="AW15" s="2" t="n">
        <v>9</v>
      </c>
      <c r="AX15" s="2"/>
      <c r="AY15" s="2"/>
      <c r="AZ15" s="2"/>
      <c r="BA15" s="2"/>
      <c r="BB15" s="2" t="n">
        <v>1232</v>
      </c>
      <c r="BC15" s="2" t="n">
        <v>1240</v>
      </c>
      <c r="BD15" s="2"/>
      <c r="BE15" s="2" t="s">
        <v>431</v>
      </c>
      <c r="BF15" s="2" t="str">
        <f aca="false">HYPERLINK("http://dx.doi.org/10.1002/jmv.20689","http://dx.doi.org/10.1002/jmv.20689")</f>
        <v>http://dx.doi.org/10.1002/jmv.20689</v>
      </c>
      <c r="BG15" s="2"/>
      <c r="BH15" s="2"/>
      <c r="BI15" s="2" t="n">
        <v>9</v>
      </c>
      <c r="BJ15" s="2" t="s">
        <v>163</v>
      </c>
      <c r="BK15" s="2" t="s">
        <v>100</v>
      </c>
      <c r="BL15" s="2" t="s">
        <v>163</v>
      </c>
      <c r="BM15" s="2" t="s">
        <v>432</v>
      </c>
      <c r="BN15" s="2" t="n">
        <v>16847968</v>
      </c>
      <c r="BO15" s="2" t="s">
        <v>165</v>
      </c>
      <c r="BP15" s="2"/>
      <c r="BQ15" s="2"/>
      <c r="BR15" s="2" t="s">
        <v>104</v>
      </c>
      <c r="BS15" s="2" t="s">
        <v>433</v>
      </c>
      <c r="BT15" s="2" t="str">
        <f aca="false">HYPERLINK("https%3A%2F%2Fwww.webofscience.com%2Fwos%2Fwoscc%2Ffull-record%2FWOS:000239404400013","View Full Record in Web of Science")</f>
        <v>View Full Record in Web of Science</v>
      </c>
    </row>
    <row r="16" customFormat="false" ht="12.75" hidden="false" customHeight="false" outlineLevel="0" collapsed="false">
      <c r="A16" s="2" t="s">
        <v>72</v>
      </c>
      <c r="B16" s="2" t="s">
        <v>434</v>
      </c>
      <c r="C16" s="2"/>
      <c r="D16" s="2"/>
      <c r="E16" s="2"/>
      <c r="F16" s="2" t="s">
        <v>435</v>
      </c>
      <c r="G16" s="2"/>
      <c r="H16" s="2"/>
      <c r="I16" s="2" t="s">
        <v>436</v>
      </c>
      <c r="J16" s="2" t="s">
        <v>141</v>
      </c>
      <c r="K16" s="2"/>
      <c r="L16" s="2"/>
      <c r="M16" s="2" t="s">
        <v>77</v>
      </c>
      <c r="N16" s="2" t="s">
        <v>78</v>
      </c>
      <c r="O16" s="2"/>
      <c r="P16" s="2"/>
      <c r="Q16" s="2"/>
      <c r="R16" s="2"/>
      <c r="S16" s="2"/>
      <c r="T16" s="2" t="s">
        <v>437</v>
      </c>
      <c r="U16" s="2" t="s">
        <v>438</v>
      </c>
      <c r="V16" s="2" t="s">
        <v>439</v>
      </c>
      <c r="W16" s="2" t="s">
        <v>440</v>
      </c>
      <c r="X16" s="2" t="s">
        <v>441</v>
      </c>
      <c r="Y16" s="2" t="s">
        <v>442</v>
      </c>
      <c r="Z16" s="2" t="s">
        <v>443</v>
      </c>
      <c r="AA16" s="2" t="s">
        <v>444</v>
      </c>
      <c r="AB16" s="2" t="s">
        <v>445</v>
      </c>
      <c r="AC16" s="2"/>
      <c r="AD16" s="2"/>
      <c r="AE16" s="2"/>
      <c r="AF16" s="2"/>
      <c r="AG16" s="2" t="n">
        <v>53</v>
      </c>
      <c r="AH16" s="2" t="n">
        <v>81</v>
      </c>
      <c r="AI16" s="2" t="n">
        <v>91</v>
      </c>
      <c r="AJ16" s="2" t="n">
        <v>4</v>
      </c>
      <c r="AK16" s="2" t="n">
        <v>75</v>
      </c>
      <c r="AL16" s="2" t="s">
        <v>154</v>
      </c>
      <c r="AM16" s="2" t="s">
        <v>155</v>
      </c>
      <c r="AN16" s="2" t="s">
        <v>156</v>
      </c>
      <c r="AO16" s="2" t="s">
        <v>157</v>
      </c>
      <c r="AP16" s="2" t="s">
        <v>158</v>
      </c>
      <c r="AQ16" s="2"/>
      <c r="AR16" s="2" t="s">
        <v>159</v>
      </c>
      <c r="AS16" s="2" t="s">
        <v>160</v>
      </c>
      <c r="AT16" s="2" t="s">
        <v>446</v>
      </c>
      <c r="AU16" s="2" t="n">
        <v>2013</v>
      </c>
      <c r="AV16" s="2" t="n">
        <v>85</v>
      </c>
      <c r="AW16" s="2" t="n">
        <v>12</v>
      </c>
      <c r="AX16" s="2"/>
      <c r="AY16" s="2"/>
      <c r="AZ16" s="2"/>
      <c r="BA16" s="2"/>
      <c r="BB16" s="2" t="n">
        <v>2151</v>
      </c>
      <c r="BC16" s="2" t="n">
        <v>2159</v>
      </c>
      <c r="BD16" s="2"/>
      <c r="BE16" s="2" t="s">
        <v>447</v>
      </c>
      <c r="BF16" s="2" t="str">
        <f aca="false">HYPERLINK("http://dx.doi.org/10.1002/jmv.23698","http://dx.doi.org/10.1002/jmv.23698")</f>
        <v>http://dx.doi.org/10.1002/jmv.23698</v>
      </c>
      <c r="BG16" s="2"/>
      <c r="BH16" s="2"/>
      <c r="BI16" s="2" t="n">
        <v>9</v>
      </c>
      <c r="BJ16" s="2" t="s">
        <v>163</v>
      </c>
      <c r="BK16" s="2" t="s">
        <v>100</v>
      </c>
      <c r="BL16" s="2" t="s">
        <v>163</v>
      </c>
      <c r="BM16" s="2" t="s">
        <v>448</v>
      </c>
      <c r="BN16" s="2" t="n">
        <v>23959825</v>
      </c>
      <c r="BO16" s="2"/>
      <c r="BP16" s="2"/>
      <c r="BQ16" s="2"/>
      <c r="BR16" s="2" t="s">
        <v>104</v>
      </c>
      <c r="BS16" s="2" t="s">
        <v>449</v>
      </c>
      <c r="BT16" s="2" t="str">
        <f aca="false">HYPERLINK("https%3A%2F%2Fwww.webofscience.com%2Fwos%2Fwoscc%2Ffull-record%2FWOS:000325153400014","View Full Record in Web of Science")</f>
        <v>View Full Record in Web of Science</v>
      </c>
    </row>
    <row r="17" customFormat="false" ht="12.75" hidden="false" customHeight="false" outlineLevel="0" collapsed="false">
      <c r="A17" s="2" t="s">
        <v>72</v>
      </c>
      <c r="B17" s="2" t="s">
        <v>450</v>
      </c>
      <c r="C17" s="2"/>
      <c r="D17" s="2"/>
      <c r="E17" s="2"/>
      <c r="F17" s="2" t="s">
        <v>451</v>
      </c>
      <c r="G17" s="2"/>
      <c r="H17" s="2"/>
      <c r="I17" s="2" t="s">
        <v>452</v>
      </c>
      <c r="J17" s="2" t="s">
        <v>453</v>
      </c>
      <c r="K17" s="2"/>
      <c r="L17" s="2"/>
      <c r="M17" s="2" t="s">
        <v>77</v>
      </c>
      <c r="N17" s="2" t="s">
        <v>78</v>
      </c>
      <c r="O17" s="2"/>
      <c r="P17" s="2"/>
      <c r="Q17" s="2"/>
      <c r="R17" s="2"/>
      <c r="S17" s="2"/>
      <c r="T17" s="2" t="s">
        <v>454</v>
      </c>
      <c r="U17" s="2" t="s">
        <v>455</v>
      </c>
      <c r="V17" s="2" t="s">
        <v>456</v>
      </c>
      <c r="W17" s="2" t="s">
        <v>457</v>
      </c>
      <c r="X17" s="2" t="s">
        <v>458</v>
      </c>
      <c r="Y17" s="2" t="s">
        <v>459</v>
      </c>
      <c r="Z17" s="2" t="s">
        <v>460</v>
      </c>
      <c r="AA17" s="2" t="s">
        <v>461</v>
      </c>
      <c r="AB17" s="2" t="s">
        <v>462</v>
      </c>
      <c r="AC17" s="2" t="s">
        <v>463</v>
      </c>
      <c r="AD17" s="2" t="s">
        <v>464</v>
      </c>
      <c r="AE17" s="2" t="s">
        <v>465</v>
      </c>
      <c r="AF17" s="2"/>
      <c r="AG17" s="2" t="n">
        <v>12</v>
      </c>
      <c r="AH17" s="2" t="n">
        <v>5</v>
      </c>
      <c r="AI17" s="2" t="n">
        <v>6</v>
      </c>
      <c r="AJ17" s="2" t="n">
        <v>0</v>
      </c>
      <c r="AK17" s="2" t="n">
        <v>4</v>
      </c>
      <c r="AL17" s="2" t="s">
        <v>466</v>
      </c>
      <c r="AM17" s="2" t="s">
        <v>303</v>
      </c>
      <c r="AN17" s="2" t="s">
        <v>467</v>
      </c>
      <c r="AO17" s="2" t="s">
        <v>468</v>
      </c>
      <c r="AP17" s="2"/>
      <c r="AQ17" s="2"/>
      <c r="AR17" s="2" t="s">
        <v>469</v>
      </c>
      <c r="AS17" s="2" t="s">
        <v>470</v>
      </c>
      <c r="AT17" s="2" t="s">
        <v>471</v>
      </c>
      <c r="AU17" s="2" t="n">
        <v>2018</v>
      </c>
      <c r="AV17" s="2" t="n">
        <v>8</v>
      </c>
      <c r="AW17" s="2"/>
      <c r="AX17" s="2"/>
      <c r="AY17" s="2"/>
      <c r="AZ17" s="2"/>
      <c r="BA17" s="2"/>
      <c r="BB17" s="2"/>
      <c r="BC17" s="2"/>
      <c r="BD17" s="2" t="n">
        <v>45</v>
      </c>
      <c r="BE17" s="2" t="s">
        <v>472</v>
      </c>
      <c r="BF17" s="2" t="str">
        <f aca="false">HYPERLINK("http://dx.doi.org/10.1186/s13613-018-0396-4","http://dx.doi.org/10.1186/s13613-018-0396-4")</f>
        <v>http://dx.doi.org/10.1186/s13613-018-0396-4</v>
      </c>
      <c r="BG17" s="2"/>
      <c r="BH17" s="2"/>
      <c r="BI17" s="2" t="n">
        <v>8</v>
      </c>
      <c r="BJ17" s="2" t="s">
        <v>473</v>
      </c>
      <c r="BK17" s="2" t="s">
        <v>100</v>
      </c>
      <c r="BL17" s="2" t="s">
        <v>364</v>
      </c>
      <c r="BM17" s="2" t="s">
        <v>474</v>
      </c>
      <c r="BN17" s="2" t="n">
        <v>29666961</v>
      </c>
      <c r="BO17" s="2" t="s">
        <v>103</v>
      </c>
      <c r="BP17" s="2"/>
      <c r="BQ17" s="2"/>
      <c r="BR17" s="2" t="s">
        <v>104</v>
      </c>
      <c r="BS17" s="2" t="s">
        <v>475</v>
      </c>
      <c r="BT17" s="2" t="str">
        <f aca="false">HYPERLINK("https%3A%2F%2Fwww.webofscience.com%2Fwos%2Fwoscc%2Ffull-record%2FWOS:000430367600001","View Full Record in Web of Science")</f>
        <v>View Full Record in Web of Science</v>
      </c>
    </row>
    <row r="18" customFormat="false" ht="12.75" hidden="false" customHeight="false" outlineLevel="0" collapsed="false">
      <c r="A18" s="2" t="s">
        <v>72</v>
      </c>
      <c r="B18" s="2" t="s">
        <v>476</v>
      </c>
      <c r="C18" s="2"/>
      <c r="D18" s="2"/>
      <c r="E18" s="2"/>
      <c r="F18" s="2" t="s">
        <v>477</v>
      </c>
      <c r="G18" s="2"/>
      <c r="H18" s="2"/>
      <c r="I18" s="2" t="s">
        <v>478</v>
      </c>
      <c r="J18" s="2" t="s">
        <v>141</v>
      </c>
      <c r="K18" s="2"/>
      <c r="L18" s="2"/>
      <c r="M18" s="2" t="s">
        <v>77</v>
      </c>
      <c r="N18" s="2" t="s">
        <v>78</v>
      </c>
      <c r="O18" s="2"/>
      <c r="P18" s="2"/>
      <c r="Q18" s="2"/>
      <c r="R18" s="2"/>
      <c r="S18" s="2"/>
      <c r="T18" s="2" t="s">
        <v>479</v>
      </c>
      <c r="U18" s="2" t="s">
        <v>480</v>
      </c>
      <c r="V18" s="2" t="s">
        <v>481</v>
      </c>
      <c r="W18" s="2" t="s">
        <v>482</v>
      </c>
      <c r="X18" s="2" t="s">
        <v>483</v>
      </c>
      <c r="Y18" s="2" t="s">
        <v>484</v>
      </c>
      <c r="Z18" s="2" t="s">
        <v>443</v>
      </c>
      <c r="AA18" s="2"/>
      <c r="AB18" s="2" t="s">
        <v>485</v>
      </c>
      <c r="AC18" s="2"/>
      <c r="AD18" s="2"/>
      <c r="AE18" s="2"/>
      <c r="AF18" s="2"/>
      <c r="AG18" s="2" t="n">
        <v>62</v>
      </c>
      <c r="AH18" s="2" t="n">
        <v>10</v>
      </c>
      <c r="AI18" s="2" t="n">
        <v>10</v>
      </c>
      <c r="AJ18" s="2" t="n">
        <v>1</v>
      </c>
      <c r="AK18" s="2" t="n">
        <v>8</v>
      </c>
      <c r="AL18" s="2" t="s">
        <v>154</v>
      </c>
      <c r="AM18" s="2" t="s">
        <v>155</v>
      </c>
      <c r="AN18" s="2" t="s">
        <v>156</v>
      </c>
      <c r="AO18" s="2" t="s">
        <v>157</v>
      </c>
      <c r="AP18" s="2" t="s">
        <v>158</v>
      </c>
      <c r="AQ18" s="2"/>
      <c r="AR18" s="2" t="s">
        <v>159</v>
      </c>
      <c r="AS18" s="2" t="s">
        <v>160</v>
      </c>
      <c r="AT18" s="2" t="s">
        <v>486</v>
      </c>
      <c r="AU18" s="2" t="n">
        <v>2015</v>
      </c>
      <c r="AV18" s="2" t="n">
        <v>87</v>
      </c>
      <c r="AW18" s="2" t="n">
        <v>6</v>
      </c>
      <c r="AX18" s="2"/>
      <c r="AY18" s="2"/>
      <c r="AZ18" s="2"/>
      <c r="BA18" s="2"/>
      <c r="BB18" s="2" t="n">
        <v>925</v>
      </c>
      <c r="BC18" s="2" t="n">
        <v>930</v>
      </c>
      <c r="BD18" s="2"/>
      <c r="BE18" s="2" t="s">
        <v>487</v>
      </c>
      <c r="BF18" s="2" t="str">
        <f aca="false">HYPERLINK("http://dx.doi.org/10.1002/jmv.24102","http://dx.doi.org/10.1002/jmv.24102")</f>
        <v>http://dx.doi.org/10.1002/jmv.24102</v>
      </c>
      <c r="BG18" s="2"/>
      <c r="BH18" s="2"/>
      <c r="BI18" s="2" t="n">
        <v>6</v>
      </c>
      <c r="BJ18" s="2" t="s">
        <v>163</v>
      </c>
      <c r="BK18" s="2" t="s">
        <v>100</v>
      </c>
      <c r="BL18" s="2" t="s">
        <v>163</v>
      </c>
      <c r="BM18" s="2" t="s">
        <v>488</v>
      </c>
      <c r="BN18" s="2" t="n">
        <v>25649480</v>
      </c>
      <c r="BO18" s="2"/>
      <c r="BP18" s="2"/>
      <c r="BQ18" s="2"/>
      <c r="BR18" s="2" t="s">
        <v>104</v>
      </c>
      <c r="BS18" s="2" t="s">
        <v>489</v>
      </c>
      <c r="BT18" s="2" t="str">
        <f aca="false">HYPERLINK("https%3A%2F%2Fwww.webofscience.com%2Fwos%2Fwoscc%2Ffull-record%2FWOS:000352789200006","View Full Record in Web of Science")</f>
        <v>View Full Record in Web of Science</v>
      </c>
    </row>
    <row r="19" customFormat="false" ht="12.75" hidden="false" customHeight="false" outlineLevel="0" collapsed="false">
      <c r="A19" s="2" t="s">
        <v>72</v>
      </c>
      <c r="B19" s="2" t="s">
        <v>490</v>
      </c>
      <c r="C19" s="2"/>
      <c r="D19" s="2"/>
      <c r="E19" s="2"/>
      <c r="F19" s="2" t="s">
        <v>491</v>
      </c>
      <c r="G19" s="2"/>
      <c r="H19" s="2"/>
      <c r="I19" s="2" t="s">
        <v>492</v>
      </c>
      <c r="J19" s="2" t="s">
        <v>493</v>
      </c>
      <c r="K19" s="2"/>
      <c r="L19" s="2"/>
      <c r="M19" s="2" t="s">
        <v>77</v>
      </c>
      <c r="N19" s="2" t="s">
        <v>78</v>
      </c>
      <c r="O19" s="2"/>
      <c r="P19" s="2"/>
      <c r="Q19" s="2"/>
      <c r="R19" s="2"/>
      <c r="S19" s="2"/>
      <c r="T19" s="2" t="s">
        <v>494</v>
      </c>
      <c r="U19" s="2" t="s">
        <v>495</v>
      </c>
      <c r="V19" s="2" t="s">
        <v>496</v>
      </c>
      <c r="W19" s="2" t="s">
        <v>497</v>
      </c>
      <c r="X19" s="2" t="s">
        <v>498</v>
      </c>
      <c r="Y19" s="2" t="s">
        <v>499</v>
      </c>
      <c r="Z19" s="2" t="s">
        <v>500</v>
      </c>
      <c r="AA19" s="2" t="s">
        <v>501</v>
      </c>
      <c r="AB19" s="2" t="s">
        <v>502</v>
      </c>
      <c r="AC19" s="2" t="s">
        <v>503</v>
      </c>
      <c r="AD19" s="2" t="s">
        <v>504</v>
      </c>
      <c r="AE19" s="2" t="s">
        <v>505</v>
      </c>
      <c r="AF19" s="2"/>
      <c r="AG19" s="2" t="n">
        <v>53</v>
      </c>
      <c r="AH19" s="2" t="n">
        <v>66</v>
      </c>
      <c r="AI19" s="2" t="n">
        <v>70</v>
      </c>
      <c r="AJ19" s="2" t="n">
        <v>2</v>
      </c>
      <c r="AK19" s="2" t="n">
        <v>10</v>
      </c>
      <c r="AL19" s="2" t="s">
        <v>91</v>
      </c>
      <c r="AM19" s="2" t="s">
        <v>92</v>
      </c>
      <c r="AN19" s="2" t="s">
        <v>93</v>
      </c>
      <c r="AO19" s="2"/>
      <c r="AP19" s="2" t="s">
        <v>506</v>
      </c>
      <c r="AQ19" s="2"/>
      <c r="AR19" s="2" t="s">
        <v>493</v>
      </c>
      <c r="AS19" s="2" t="s">
        <v>507</v>
      </c>
      <c r="AT19" s="2" t="s">
        <v>336</v>
      </c>
      <c r="AU19" s="2" t="n">
        <v>2019</v>
      </c>
      <c r="AV19" s="2" t="n">
        <v>11</v>
      </c>
      <c r="AW19" s="2" t="n">
        <v>10</v>
      </c>
      <c r="AX19" s="2"/>
      <c r="AY19" s="2"/>
      <c r="AZ19" s="2"/>
      <c r="BA19" s="2"/>
      <c r="BB19" s="2"/>
      <c r="BC19" s="2"/>
      <c r="BD19" s="2" t="n">
        <v>964</v>
      </c>
      <c r="BE19" s="2" t="s">
        <v>508</v>
      </c>
      <c r="BF19" s="2" t="str">
        <f aca="false">HYPERLINK("http://dx.doi.org/10.3390/v11100964","http://dx.doi.org/10.3390/v11100964")</f>
        <v>http://dx.doi.org/10.3390/v11100964</v>
      </c>
      <c r="BG19" s="2"/>
      <c r="BH19" s="2"/>
      <c r="BI19" s="2" t="n">
        <v>15</v>
      </c>
      <c r="BJ19" s="2" t="s">
        <v>163</v>
      </c>
      <c r="BK19" s="2" t="s">
        <v>100</v>
      </c>
      <c r="BL19" s="2" t="s">
        <v>163</v>
      </c>
      <c r="BM19" s="2" t="s">
        <v>509</v>
      </c>
      <c r="BN19" s="2" t="n">
        <v>31635418</v>
      </c>
      <c r="BO19" s="2" t="s">
        <v>103</v>
      </c>
      <c r="BP19" s="2"/>
      <c r="BQ19" s="2"/>
      <c r="BR19" s="2" t="s">
        <v>104</v>
      </c>
      <c r="BS19" s="2" t="s">
        <v>510</v>
      </c>
      <c r="BT19" s="2" t="str">
        <f aca="false">HYPERLINK("https%3A%2F%2Fwww.webofscience.com%2Fwos%2Fwoscc%2Ffull-record%2FWOS:000498400400085","View Full Record in Web of Science")</f>
        <v>View Full Record in Web of Science</v>
      </c>
    </row>
    <row r="20" customFormat="false" ht="12.75" hidden="false" customHeight="false" outlineLevel="0" collapsed="false">
      <c r="A20" s="2" t="s">
        <v>72</v>
      </c>
      <c r="B20" s="2" t="s">
        <v>511</v>
      </c>
      <c r="C20" s="2"/>
      <c r="D20" s="2"/>
      <c r="E20" s="2"/>
      <c r="F20" s="2" t="s">
        <v>512</v>
      </c>
      <c r="G20" s="2"/>
      <c r="H20" s="2"/>
      <c r="I20" s="2" t="s">
        <v>513</v>
      </c>
      <c r="J20" s="2" t="s">
        <v>514</v>
      </c>
      <c r="K20" s="2"/>
      <c r="L20" s="2"/>
      <c r="M20" s="2" t="s">
        <v>77</v>
      </c>
      <c r="N20" s="2" t="s">
        <v>78</v>
      </c>
      <c r="O20" s="2"/>
      <c r="P20" s="2"/>
      <c r="Q20" s="2"/>
      <c r="R20" s="2"/>
      <c r="S20" s="2"/>
      <c r="T20" s="2" t="s">
        <v>515</v>
      </c>
      <c r="U20" s="2" t="s">
        <v>516</v>
      </c>
      <c r="V20" s="2" t="s">
        <v>517</v>
      </c>
      <c r="W20" s="2" t="s">
        <v>518</v>
      </c>
      <c r="X20" s="2" t="s">
        <v>519</v>
      </c>
      <c r="Y20" s="2" t="s">
        <v>520</v>
      </c>
      <c r="Z20" s="2" t="s">
        <v>521</v>
      </c>
      <c r="AA20" s="2" t="s">
        <v>522</v>
      </c>
      <c r="AB20" s="2" t="s">
        <v>523</v>
      </c>
      <c r="AC20" s="2" t="s">
        <v>524</v>
      </c>
      <c r="AD20" s="2" t="s">
        <v>525</v>
      </c>
      <c r="AE20" s="2" t="s">
        <v>526</v>
      </c>
      <c r="AF20" s="2"/>
      <c r="AG20" s="2" t="n">
        <v>31</v>
      </c>
      <c r="AH20" s="2" t="n">
        <v>122</v>
      </c>
      <c r="AI20" s="2" t="n">
        <v>130</v>
      </c>
      <c r="AJ20" s="2" t="n">
        <v>0</v>
      </c>
      <c r="AK20" s="2" t="n">
        <v>19</v>
      </c>
      <c r="AL20" s="2" t="s">
        <v>527</v>
      </c>
      <c r="AM20" s="2" t="s">
        <v>528</v>
      </c>
      <c r="AN20" s="2" t="s">
        <v>529</v>
      </c>
      <c r="AO20" s="2" t="s">
        <v>530</v>
      </c>
      <c r="AP20" s="2" t="s">
        <v>531</v>
      </c>
      <c r="AQ20" s="2"/>
      <c r="AR20" s="2" t="s">
        <v>532</v>
      </c>
      <c r="AS20" s="2" t="s">
        <v>533</v>
      </c>
      <c r="AT20" s="2" t="s">
        <v>534</v>
      </c>
      <c r="AU20" s="2" t="n">
        <v>2013</v>
      </c>
      <c r="AV20" s="2" t="n">
        <v>208</v>
      </c>
      <c r="AW20" s="2" t="n">
        <v>3</v>
      </c>
      <c r="AX20" s="2"/>
      <c r="AY20" s="2"/>
      <c r="AZ20" s="2"/>
      <c r="BA20" s="2"/>
      <c r="BB20" s="2" t="n">
        <v>432</v>
      </c>
      <c r="BC20" s="2" t="n">
        <v>441</v>
      </c>
      <c r="BD20" s="2"/>
      <c r="BE20" s="2" t="s">
        <v>535</v>
      </c>
      <c r="BF20" s="2" t="str">
        <f aca="false">HYPERLINK("http://dx.doi.org/10.1093/infdis/jit190","http://dx.doi.org/10.1093/infdis/jit190")</f>
        <v>http://dx.doi.org/10.1093/infdis/jit190</v>
      </c>
      <c r="BG20" s="2"/>
      <c r="BH20" s="2"/>
      <c r="BI20" s="2" t="n">
        <v>10</v>
      </c>
      <c r="BJ20" s="2" t="s">
        <v>536</v>
      </c>
      <c r="BK20" s="2" t="s">
        <v>100</v>
      </c>
      <c r="BL20" s="2" t="s">
        <v>536</v>
      </c>
      <c r="BM20" s="2" t="s">
        <v>537</v>
      </c>
      <c r="BN20" s="2" t="n">
        <v>23661797</v>
      </c>
      <c r="BO20" s="2" t="s">
        <v>538</v>
      </c>
      <c r="BP20" s="2"/>
      <c r="BQ20" s="2"/>
      <c r="BR20" s="2" t="s">
        <v>104</v>
      </c>
      <c r="BS20" s="2" t="s">
        <v>539</v>
      </c>
      <c r="BT20" s="2" t="str">
        <f aca="false">HYPERLINK("https%3A%2F%2Fwww.webofscience.com%2Fwos%2Fwoscc%2Ffull-record%2FWOS:000321458800010","View Full Record in Web of Science")</f>
        <v>View Full Record in Web of Science</v>
      </c>
    </row>
    <row r="21" customFormat="false" ht="12.75" hidden="false" customHeight="false" outlineLevel="0" collapsed="false">
      <c r="A21" s="2" t="s">
        <v>72</v>
      </c>
      <c r="B21" s="2" t="s">
        <v>540</v>
      </c>
      <c r="C21" s="2"/>
      <c r="D21" s="2"/>
      <c r="E21" s="2"/>
      <c r="F21" s="2" t="s">
        <v>540</v>
      </c>
      <c r="G21" s="2"/>
      <c r="H21" s="2"/>
      <c r="I21" s="2" t="s">
        <v>541</v>
      </c>
      <c r="J21" s="2" t="s">
        <v>370</v>
      </c>
      <c r="K21" s="2"/>
      <c r="L21" s="2"/>
      <c r="M21" s="2" t="s">
        <v>77</v>
      </c>
      <c r="N21" s="2" t="s">
        <v>78</v>
      </c>
      <c r="O21" s="2"/>
      <c r="P21" s="2"/>
      <c r="Q21" s="2"/>
      <c r="R21" s="2"/>
      <c r="S21" s="2"/>
      <c r="T21" s="2" t="s">
        <v>542</v>
      </c>
      <c r="U21" s="2" t="s">
        <v>543</v>
      </c>
      <c r="V21" s="2" t="s">
        <v>544</v>
      </c>
      <c r="W21" s="2" t="s">
        <v>545</v>
      </c>
      <c r="X21" s="2" t="s">
        <v>546</v>
      </c>
      <c r="Y21" s="2" t="s">
        <v>547</v>
      </c>
      <c r="Z21" s="2" t="s">
        <v>548</v>
      </c>
      <c r="AA21" s="2"/>
      <c r="AB21" s="2"/>
      <c r="AC21" s="2"/>
      <c r="AD21" s="2"/>
      <c r="AE21" s="2"/>
      <c r="AF21" s="2"/>
      <c r="AG21" s="2" t="n">
        <v>17</v>
      </c>
      <c r="AH21" s="2" t="n">
        <v>79</v>
      </c>
      <c r="AI21" s="2" t="n">
        <v>88</v>
      </c>
      <c r="AJ21" s="2" t="n">
        <v>0</v>
      </c>
      <c r="AK21" s="2" t="n">
        <v>0</v>
      </c>
      <c r="AL21" s="2" t="s">
        <v>549</v>
      </c>
      <c r="AM21" s="2" t="s">
        <v>384</v>
      </c>
      <c r="AN21" s="2" t="s">
        <v>550</v>
      </c>
      <c r="AO21" s="2" t="s">
        <v>386</v>
      </c>
      <c r="AP21" s="2"/>
      <c r="AQ21" s="2"/>
      <c r="AR21" s="2" t="s">
        <v>388</v>
      </c>
      <c r="AS21" s="2" t="s">
        <v>389</v>
      </c>
      <c r="AT21" s="2" t="s">
        <v>161</v>
      </c>
      <c r="AU21" s="2" t="n">
        <v>2006</v>
      </c>
      <c r="AV21" s="2" t="n">
        <v>35</v>
      </c>
      <c r="AW21" s="2" t="n">
        <v>1</v>
      </c>
      <c r="AX21" s="2"/>
      <c r="AY21" s="2"/>
      <c r="AZ21" s="2"/>
      <c r="BA21" s="2"/>
      <c r="BB21" s="2" t="n">
        <v>46</v>
      </c>
      <c r="BC21" s="2" t="n">
        <v>50</v>
      </c>
      <c r="BD21" s="2"/>
      <c r="BE21" s="2" t="s">
        <v>551</v>
      </c>
      <c r="BF21" s="2" t="str">
        <f aca="false">HYPERLINK("http://dx.doi.org/10.1016/j.jcv.2005.04.004","http://dx.doi.org/10.1016/j.jcv.2005.04.004")</f>
        <v>http://dx.doi.org/10.1016/j.jcv.2005.04.004</v>
      </c>
      <c r="BG21" s="2"/>
      <c r="BH21" s="2"/>
      <c r="BI21" s="2" t="n">
        <v>5</v>
      </c>
      <c r="BJ21" s="2" t="s">
        <v>163</v>
      </c>
      <c r="BK21" s="2" t="s">
        <v>100</v>
      </c>
      <c r="BL21" s="2" t="s">
        <v>163</v>
      </c>
      <c r="BM21" s="2" t="s">
        <v>552</v>
      </c>
      <c r="BN21" s="2" t="n">
        <v>15919236</v>
      </c>
      <c r="BO21" s="2"/>
      <c r="BP21" s="2"/>
      <c r="BQ21" s="2"/>
      <c r="BR21" s="2" t="s">
        <v>104</v>
      </c>
      <c r="BS21" s="2" t="s">
        <v>553</v>
      </c>
      <c r="BT21" s="2" t="str">
        <f aca="false">HYPERLINK("https%3A%2F%2Fwww.webofscience.com%2Fwos%2Fwoscc%2Ffull-record%2FWOS:000235182800007","View Full Record in Web of Science")</f>
        <v>View Full Record in Web of Science</v>
      </c>
    </row>
    <row r="22" customFormat="false" ht="12.75" hidden="false" customHeight="false" outlineLevel="0" collapsed="false">
      <c r="A22" s="2" t="s">
        <v>72</v>
      </c>
      <c r="B22" s="2" t="s">
        <v>554</v>
      </c>
      <c r="C22" s="2"/>
      <c r="D22" s="2"/>
      <c r="E22" s="2"/>
      <c r="F22" s="2" t="s">
        <v>555</v>
      </c>
      <c r="G22" s="2"/>
      <c r="H22" s="2"/>
      <c r="I22" s="2" t="s">
        <v>556</v>
      </c>
      <c r="J22" s="2" t="s">
        <v>557</v>
      </c>
      <c r="K22" s="2"/>
      <c r="L22" s="2"/>
      <c r="M22" s="2" t="s">
        <v>77</v>
      </c>
      <c r="N22" s="2" t="s">
        <v>78</v>
      </c>
      <c r="O22" s="2"/>
      <c r="P22" s="2"/>
      <c r="Q22" s="2"/>
      <c r="R22" s="2"/>
      <c r="S22" s="2"/>
      <c r="T22" s="2" t="s">
        <v>558</v>
      </c>
      <c r="U22" s="2" t="s">
        <v>559</v>
      </c>
      <c r="V22" s="2" t="s">
        <v>560</v>
      </c>
      <c r="W22" s="2" t="s">
        <v>561</v>
      </c>
      <c r="X22" s="2" t="s">
        <v>562</v>
      </c>
      <c r="Y22" s="2" t="s">
        <v>563</v>
      </c>
      <c r="Z22" s="2" t="s">
        <v>564</v>
      </c>
      <c r="AA22" s="2" t="s">
        <v>565</v>
      </c>
      <c r="AB22" s="2" t="s">
        <v>566</v>
      </c>
      <c r="AC22" s="2" t="s">
        <v>567</v>
      </c>
      <c r="AD22" s="2" t="s">
        <v>568</v>
      </c>
      <c r="AE22" s="2" t="s">
        <v>569</v>
      </c>
      <c r="AF22" s="2"/>
      <c r="AG22" s="2" t="n">
        <v>54</v>
      </c>
      <c r="AH22" s="2" t="n">
        <v>30</v>
      </c>
      <c r="AI22" s="2" t="n">
        <v>37</v>
      </c>
      <c r="AJ22" s="2" t="n">
        <v>0</v>
      </c>
      <c r="AK22" s="2" t="n">
        <v>21</v>
      </c>
      <c r="AL22" s="2" t="s">
        <v>302</v>
      </c>
      <c r="AM22" s="2" t="s">
        <v>303</v>
      </c>
      <c r="AN22" s="2" t="s">
        <v>304</v>
      </c>
      <c r="AO22" s="2"/>
      <c r="AP22" s="2" t="s">
        <v>570</v>
      </c>
      <c r="AQ22" s="2"/>
      <c r="AR22" s="2" t="s">
        <v>571</v>
      </c>
      <c r="AS22" s="2" t="s">
        <v>572</v>
      </c>
      <c r="AT22" s="2" t="s">
        <v>573</v>
      </c>
      <c r="AU22" s="2" t="n">
        <v>2015</v>
      </c>
      <c r="AV22" s="2" t="n">
        <v>15</v>
      </c>
      <c r="AW22" s="2"/>
      <c r="AX22" s="2"/>
      <c r="AY22" s="2"/>
      <c r="AZ22" s="2"/>
      <c r="BA22" s="2"/>
      <c r="BB22" s="2"/>
      <c r="BC22" s="2"/>
      <c r="BD22" s="2" t="n">
        <v>124</v>
      </c>
      <c r="BE22" s="2" t="s">
        <v>574</v>
      </c>
      <c r="BF22" s="2" t="str">
        <f aca="false">HYPERLINK("http://dx.doi.org/10.1186/s12879-015-0863-6","http://dx.doi.org/10.1186/s12879-015-0863-6")</f>
        <v>http://dx.doi.org/10.1186/s12879-015-0863-6</v>
      </c>
      <c r="BG22" s="2"/>
      <c r="BH22" s="2"/>
      <c r="BI22" s="2" t="n">
        <v>12</v>
      </c>
      <c r="BJ22" s="2" t="s">
        <v>575</v>
      </c>
      <c r="BK22" s="2" t="s">
        <v>100</v>
      </c>
      <c r="BL22" s="2" t="s">
        <v>575</v>
      </c>
      <c r="BM22" s="2" t="s">
        <v>576</v>
      </c>
      <c r="BN22" s="2" t="n">
        <v>25884513</v>
      </c>
      <c r="BO22" s="2" t="s">
        <v>190</v>
      </c>
      <c r="BP22" s="2"/>
      <c r="BQ22" s="2"/>
      <c r="BR22" s="2" t="s">
        <v>104</v>
      </c>
      <c r="BS22" s="2" t="s">
        <v>577</v>
      </c>
      <c r="BT22" s="2" t="str">
        <f aca="false">HYPERLINK("https%3A%2F%2Fwww.webofscience.com%2Fwos%2Fwoscc%2Ffull-record%2FWOS:000351263700001","View Full Record in Web of Science")</f>
        <v>View Full Record in Web of Science</v>
      </c>
    </row>
    <row r="23" customFormat="false" ht="12.75" hidden="false" customHeight="false" outlineLevel="0" collapsed="false">
      <c r="A23" s="2" t="s">
        <v>72</v>
      </c>
      <c r="B23" s="2" t="s">
        <v>578</v>
      </c>
      <c r="C23" s="2"/>
      <c r="D23" s="2"/>
      <c r="E23" s="2"/>
      <c r="F23" s="2" t="s">
        <v>579</v>
      </c>
      <c r="G23" s="2"/>
      <c r="H23" s="2"/>
      <c r="I23" s="2" t="s">
        <v>580</v>
      </c>
      <c r="J23" s="2" t="s">
        <v>581</v>
      </c>
      <c r="K23" s="2"/>
      <c r="L23" s="2"/>
      <c r="M23" s="2" t="s">
        <v>77</v>
      </c>
      <c r="N23" s="2" t="s">
        <v>78</v>
      </c>
      <c r="O23" s="2"/>
      <c r="P23" s="2"/>
      <c r="Q23" s="2"/>
      <c r="R23" s="2"/>
      <c r="S23" s="2"/>
      <c r="T23" s="2" t="s">
        <v>582</v>
      </c>
      <c r="U23" s="2" t="s">
        <v>583</v>
      </c>
      <c r="V23" s="2" t="s">
        <v>584</v>
      </c>
      <c r="W23" s="2" t="s">
        <v>585</v>
      </c>
      <c r="X23" s="2" t="s">
        <v>586</v>
      </c>
      <c r="Y23" s="2" t="s">
        <v>587</v>
      </c>
      <c r="Z23" s="2" t="s">
        <v>588</v>
      </c>
      <c r="AA23" s="2"/>
      <c r="AB23" s="2"/>
      <c r="AC23" s="2" t="s">
        <v>589</v>
      </c>
      <c r="AD23" s="2" t="s">
        <v>590</v>
      </c>
      <c r="AE23" s="2" t="s">
        <v>591</v>
      </c>
      <c r="AF23" s="2"/>
      <c r="AG23" s="2" t="n">
        <v>45</v>
      </c>
      <c r="AH23" s="2" t="n">
        <v>32</v>
      </c>
      <c r="AI23" s="2" t="n">
        <v>39</v>
      </c>
      <c r="AJ23" s="2" t="n">
        <v>0</v>
      </c>
      <c r="AK23" s="2" t="n">
        <v>8</v>
      </c>
      <c r="AL23" s="2" t="s">
        <v>592</v>
      </c>
      <c r="AM23" s="2" t="s">
        <v>593</v>
      </c>
      <c r="AN23" s="2" t="s">
        <v>594</v>
      </c>
      <c r="AO23" s="2" t="s">
        <v>595</v>
      </c>
      <c r="AP23" s="2" t="s">
        <v>596</v>
      </c>
      <c r="AQ23" s="2"/>
      <c r="AR23" s="2" t="s">
        <v>597</v>
      </c>
      <c r="AS23" s="2" t="s">
        <v>598</v>
      </c>
      <c r="AT23" s="2" t="s">
        <v>599</v>
      </c>
      <c r="AU23" s="2" t="n">
        <v>2014</v>
      </c>
      <c r="AV23" s="2" t="n">
        <v>173</v>
      </c>
      <c r="AW23" s="2" t="n">
        <v>7</v>
      </c>
      <c r="AX23" s="2"/>
      <c r="AY23" s="2"/>
      <c r="AZ23" s="2"/>
      <c r="BA23" s="2"/>
      <c r="BB23" s="2" t="n">
        <v>959</v>
      </c>
      <c r="BC23" s="2" t="n">
        <v>966</v>
      </c>
      <c r="BD23" s="2"/>
      <c r="BE23" s="2" t="s">
        <v>600</v>
      </c>
      <c r="BF23" s="2" t="str">
        <f aca="false">HYPERLINK("http://dx.doi.org/10.1007/s00431-014-2277-7","http://dx.doi.org/10.1007/s00431-014-2277-7")</f>
        <v>http://dx.doi.org/10.1007/s00431-014-2277-7</v>
      </c>
      <c r="BG23" s="2"/>
      <c r="BH23" s="2"/>
      <c r="BI23" s="2" t="n">
        <v>8</v>
      </c>
      <c r="BJ23" s="2" t="s">
        <v>601</v>
      </c>
      <c r="BK23" s="2" t="s">
        <v>100</v>
      </c>
      <c r="BL23" s="2" t="s">
        <v>601</v>
      </c>
      <c r="BM23" s="2" t="s">
        <v>602</v>
      </c>
      <c r="BN23" s="2" t="n">
        <v>24535712</v>
      </c>
      <c r="BO23" s="2"/>
      <c r="BP23" s="2"/>
      <c r="BQ23" s="2"/>
      <c r="BR23" s="2" t="s">
        <v>104</v>
      </c>
      <c r="BS23" s="2" t="s">
        <v>603</v>
      </c>
      <c r="BT23" s="2" t="str">
        <f aca="false">HYPERLINK("https%3A%2F%2Fwww.webofscience.com%2Fwos%2Fwoscc%2Ffull-record%2FWOS:000338219600015","View Full Record in Web of Science")</f>
        <v>View Full Record in Web of Science</v>
      </c>
    </row>
    <row r="24" customFormat="false" ht="12.75" hidden="false" customHeight="false" outlineLevel="0" collapsed="false">
      <c r="A24" s="2" t="s">
        <v>72</v>
      </c>
      <c r="B24" s="2" t="s">
        <v>604</v>
      </c>
      <c r="C24" s="2"/>
      <c r="D24" s="2"/>
      <c r="E24" s="2"/>
      <c r="F24" s="2" t="s">
        <v>605</v>
      </c>
      <c r="G24" s="2"/>
      <c r="H24" s="2"/>
      <c r="I24" s="2" t="s">
        <v>606</v>
      </c>
      <c r="J24" s="2" t="s">
        <v>607</v>
      </c>
      <c r="K24" s="2"/>
      <c r="L24" s="2"/>
      <c r="M24" s="2" t="s">
        <v>77</v>
      </c>
      <c r="N24" s="2" t="s">
        <v>78</v>
      </c>
      <c r="O24" s="2"/>
      <c r="P24" s="2"/>
      <c r="Q24" s="2"/>
      <c r="R24" s="2"/>
      <c r="S24" s="2"/>
      <c r="T24" s="2" t="s">
        <v>608</v>
      </c>
      <c r="U24" s="2" t="s">
        <v>609</v>
      </c>
      <c r="V24" s="2" t="s">
        <v>610</v>
      </c>
      <c r="W24" s="2" t="s">
        <v>611</v>
      </c>
      <c r="X24" s="2" t="s">
        <v>612</v>
      </c>
      <c r="Y24" s="2" t="s">
        <v>613</v>
      </c>
      <c r="Z24" s="2" t="s">
        <v>614</v>
      </c>
      <c r="AA24" s="2" t="s">
        <v>615</v>
      </c>
      <c r="AB24" s="2" t="s">
        <v>616</v>
      </c>
      <c r="AC24" s="2" t="s">
        <v>617</v>
      </c>
      <c r="AD24" s="2" t="s">
        <v>618</v>
      </c>
      <c r="AE24" s="2" t="s">
        <v>619</v>
      </c>
      <c r="AF24" s="2"/>
      <c r="AG24" s="2" t="n">
        <v>80</v>
      </c>
      <c r="AH24" s="2" t="n">
        <v>55</v>
      </c>
      <c r="AI24" s="2" t="n">
        <v>59</v>
      </c>
      <c r="AJ24" s="2" t="n">
        <v>2</v>
      </c>
      <c r="AK24" s="2" t="n">
        <v>11</v>
      </c>
      <c r="AL24" s="2" t="s">
        <v>620</v>
      </c>
      <c r="AM24" s="2" t="s">
        <v>621</v>
      </c>
      <c r="AN24" s="2" t="s">
        <v>622</v>
      </c>
      <c r="AO24" s="2" t="s">
        <v>623</v>
      </c>
      <c r="AP24" s="2"/>
      <c r="AQ24" s="2"/>
      <c r="AR24" s="2" t="s">
        <v>624</v>
      </c>
      <c r="AS24" s="2" t="s">
        <v>625</v>
      </c>
      <c r="AT24" s="2" t="s">
        <v>626</v>
      </c>
      <c r="AU24" s="2" t="n">
        <v>2019</v>
      </c>
      <c r="AV24" s="2" t="n">
        <v>10</v>
      </c>
      <c r="AW24" s="2"/>
      <c r="AX24" s="2"/>
      <c r="AY24" s="2"/>
      <c r="AZ24" s="2"/>
      <c r="BA24" s="2"/>
      <c r="BB24" s="2"/>
      <c r="BC24" s="2"/>
      <c r="BD24" s="2" t="n">
        <v>2186</v>
      </c>
      <c r="BE24" s="2" t="s">
        <v>627</v>
      </c>
      <c r="BF24" s="2" t="str">
        <f aca="false">HYPERLINK("http://dx.doi.org/10.3389/fimmu.2019.02186","http://dx.doi.org/10.3389/fimmu.2019.02186")</f>
        <v>http://dx.doi.org/10.3389/fimmu.2019.02186</v>
      </c>
      <c r="BG24" s="2"/>
      <c r="BH24" s="2"/>
      <c r="BI24" s="2" t="n">
        <v>12</v>
      </c>
      <c r="BJ24" s="2" t="s">
        <v>628</v>
      </c>
      <c r="BK24" s="2" t="s">
        <v>100</v>
      </c>
      <c r="BL24" s="2" t="s">
        <v>628</v>
      </c>
      <c r="BM24" s="2" t="s">
        <v>629</v>
      </c>
      <c r="BN24" s="2" t="n">
        <v>31636628</v>
      </c>
      <c r="BO24" s="2" t="s">
        <v>103</v>
      </c>
      <c r="BP24" s="2"/>
      <c r="BQ24" s="2"/>
      <c r="BR24" s="2" t="s">
        <v>104</v>
      </c>
      <c r="BS24" s="2" t="s">
        <v>630</v>
      </c>
      <c r="BT24" s="2" t="str">
        <f aca="false">HYPERLINK("https%3A%2F%2Fwww.webofscience.com%2Fwos%2Fwoscc%2Ffull-record%2FWOS:000496975700001","View Full Record in Web of Science")</f>
        <v>View Full Record in Web of Science</v>
      </c>
    </row>
    <row r="25" customFormat="false" ht="12.75" hidden="false" customHeight="false" outlineLevel="0" collapsed="false">
      <c r="A25" s="2" t="s">
        <v>72</v>
      </c>
      <c r="B25" s="2" t="s">
        <v>631</v>
      </c>
      <c r="C25" s="2"/>
      <c r="D25" s="2"/>
      <c r="E25" s="2"/>
      <c r="F25" s="2" t="s">
        <v>632</v>
      </c>
      <c r="G25" s="2"/>
      <c r="H25" s="2"/>
      <c r="I25" s="2" t="s">
        <v>633</v>
      </c>
      <c r="J25" s="2" t="s">
        <v>634</v>
      </c>
      <c r="K25" s="2"/>
      <c r="L25" s="2"/>
      <c r="M25" s="2" t="s">
        <v>77</v>
      </c>
      <c r="N25" s="2" t="s">
        <v>78</v>
      </c>
      <c r="O25" s="2"/>
      <c r="P25" s="2"/>
      <c r="Q25" s="2"/>
      <c r="R25" s="2"/>
      <c r="S25" s="2"/>
      <c r="T25" s="2" t="s">
        <v>635</v>
      </c>
      <c r="U25" s="2" t="s">
        <v>636</v>
      </c>
      <c r="V25" s="2" t="s">
        <v>637</v>
      </c>
      <c r="W25" s="2" t="s">
        <v>638</v>
      </c>
      <c r="X25" s="2" t="s">
        <v>639</v>
      </c>
      <c r="Y25" s="2" t="s">
        <v>640</v>
      </c>
      <c r="Z25" s="2" t="s">
        <v>641</v>
      </c>
      <c r="AA25" s="2" t="s">
        <v>642</v>
      </c>
      <c r="AB25" s="2" t="s">
        <v>643</v>
      </c>
      <c r="AC25" s="2" t="s">
        <v>644</v>
      </c>
      <c r="AD25" s="2" t="s">
        <v>645</v>
      </c>
      <c r="AE25" s="2" t="s">
        <v>646</v>
      </c>
      <c r="AF25" s="2"/>
      <c r="AG25" s="2" t="n">
        <v>33</v>
      </c>
      <c r="AH25" s="2" t="n">
        <v>0</v>
      </c>
      <c r="AI25" s="2" t="n">
        <v>0</v>
      </c>
      <c r="AJ25" s="2" t="n">
        <v>1</v>
      </c>
      <c r="AK25" s="2" t="n">
        <v>8</v>
      </c>
      <c r="AL25" s="2" t="s">
        <v>647</v>
      </c>
      <c r="AM25" s="2" t="s">
        <v>330</v>
      </c>
      <c r="AN25" s="2" t="s">
        <v>648</v>
      </c>
      <c r="AO25" s="2" t="s">
        <v>649</v>
      </c>
      <c r="AP25" s="2" t="s">
        <v>650</v>
      </c>
      <c r="AQ25" s="2"/>
      <c r="AR25" s="2" t="s">
        <v>651</v>
      </c>
      <c r="AS25" s="2" t="s">
        <v>652</v>
      </c>
      <c r="AT25" s="2" t="s">
        <v>446</v>
      </c>
      <c r="AU25" s="2" t="n">
        <v>2019</v>
      </c>
      <c r="AV25" s="2" t="n">
        <v>29</v>
      </c>
      <c r="AW25" s="2" t="n">
        <v>12</v>
      </c>
      <c r="AX25" s="2"/>
      <c r="AY25" s="2"/>
      <c r="AZ25" s="2"/>
      <c r="BA25" s="2"/>
      <c r="BB25" s="2" t="n">
        <v>2006</v>
      </c>
      <c r="BC25" s="2" t="n">
        <v>2013</v>
      </c>
      <c r="BD25" s="2"/>
      <c r="BE25" s="2" t="s">
        <v>653</v>
      </c>
      <c r="BF25" s="2" t="str">
        <f aca="false">HYPERLINK("http://dx.doi.org/10.4014/jmb.1906.06050","http://dx.doi.org/10.4014/jmb.1906.06050")</f>
        <v>http://dx.doi.org/10.4014/jmb.1906.06050</v>
      </c>
      <c r="BG25" s="2"/>
      <c r="BH25" s="2"/>
      <c r="BI25" s="2" t="n">
        <v>8</v>
      </c>
      <c r="BJ25" s="2" t="s">
        <v>654</v>
      </c>
      <c r="BK25" s="2" t="s">
        <v>100</v>
      </c>
      <c r="BL25" s="2" t="s">
        <v>654</v>
      </c>
      <c r="BM25" s="2" t="s">
        <v>655</v>
      </c>
      <c r="BN25" s="2" t="n">
        <v>31581384</v>
      </c>
      <c r="BO25" s="2" t="s">
        <v>656</v>
      </c>
      <c r="BP25" s="2"/>
      <c r="BQ25" s="2"/>
      <c r="BR25" s="2" t="s">
        <v>104</v>
      </c>
      <c r="BS25" s="2" t="s">
        <v>657</v>
      </c>
      <c r="BT25" s="2" t="str">
        <f aca="false">HYPERLINK("https%3A%2F%2Fwww.webofscience.com%2Fwos%2Fwoscc%2Ffull-record%2FWOS:000504754500016","View Full Record in Web of Science")</f>
        <v>View Full Record in Web of Science</v>
      </c>
    </row>
    <row r="26" customFormat="false" ht="12.75" hidden="false" customHeight="false" outlineLevel="0" collapsed="false">
      <c r="A26" s="2" t="s">
        <v>72</v>
      </c>
      <c r="B26" s="2" t="s">
        <v>658</v>
      </c>
      <c r="C26" s="2"/>
      <c r="D26" s="2"/>
      <c r="E26" s="2"/>
      <c r="F26" s="2" t="s">
        <v>659</v>
      </c>
      <c r="G26" s="2"/>
      <c r="H26" s="2"/>
      <c r="I26" s="2" t="s">
        <v>660</v>
      </c>
      <c r="J26" s="2" t="s">
        <v>514</v>
      </c>
      <c r="K26" s="2"/>
      <c r="L26" s="2"/>
      <c r="M26" s="2" t="s">
        <v>77</v>
      </c>
      <c r="N26" s="2" t="s">
        <v>78</v>
      </c>
      <c r="O26" s="2"/>
      <c r="P26" s="2"/>
      <c r="Q26" s="2"/>
      <c r="R26" s="2"/>
      <c r="S26" s="2"/>
      <c r="T26" s="2" t="s">
        <v>661</v>
      </c>
      <c r="U26" s="2" t="s">
        <v>662</v>
      </c>
      <c r="V26" s="2" t="s">
        <v>663</v>
      </c>
      <c r="W26" s="2" t="s">
        <v>664</v>
      </c>
      <c r="X26" s="2" t="s">
        <v>665</v>
      </c>
      <c r="Y26" s="2" t="s">
        <v>666</v>
      </c>
      <c r="Z26" s="2" t="s">
        <v>667</v>
      </c>
      <c r="AA26" s="2" t="s">
        <v>668</v>
      </c>
      <c r="AB26" s="2" t="s">
        <v>669</v>
      </c>
      <c r="AC26" s="2" t="s">
        <v>670</v>
      </c>
      <c r="AD26" s="2" t="s">
        <v>671</v>
      </c>
      <c r="AE26" s="2" t="s">
        <v>672</v>
      </c>
      <c r="AF26" s="2"/>
      <c r="AG26" s="2" t="n">
        <v>50</v>
      </c>
      <c r="AH26" s="2" t="n">
        <v>83</v>
      </c>
      <c r="AI26" s="2" t="n">
        <v>94</v>
      </c>
      <c r="AJ26" s="2" t="n">
        <v>0</v>
      </c>
      <c r="AK26" s="2" t="n">
        <v>17</v>
      </c>
      <c r="AL26" s="2" t="s">
        <v>527</v>
      </c>
      <c r="AM26" s="2" t="s">
        <v>528</v>
      </c>
      <c r="AN26" s="2" t="s">
        <v>529</v>
      </c>
      <c r="AO26" s="2" t="s">
        <v>530</v>
      </c>
      <c r="AP26" s="2" t="s">
        <v>531</v>
      </c>
      <c r="AQ26" s="2"/>
      <c r="AR26" s="2" t="s">
        <v>532</v>
      </c>
      <c r="AS26" s="2" t="s">
        <v>533</v>
      </c>
      <c r="AT26" s="2" t="s">
        <v>673</v>
      </c>
      <c r="AU26" s="2" t="n">
        <v>2018</v>
      </c>
      <c r="AV26" s="2" t="n">
        <v>217</v>
      </c>
      <c r="AW26" s="2" t="n">
        <v>11</v>
      </c>
      <c r="AX26" s="2"/>
      <c r="AY26" s="2"/>
      <c r="AZ26" s="2"/>
      <c r="BA26" s="2"/>
      <c r="BB26" s="2" t="n">
        <v>1728</v>
      </c>
      <c r="BC26" s="2" t="n">
        <v>1739</v>
      </c>
      <c r="BD26" s="2"/>
      <c r="BE26" s="2" t="s">
        <v>674</v>
      </c>
      <c r="BF26" s="2" t="str">
        <f aca="false">HYPERLINK("http://dx.doi.org/10.1093/infdis/jiy098","http://dx.doi.org/10.1093/infdis/jiy098")</f>
        <v>http://dx.doi.org/10.1093/infdis/jiy098</v>
      </c>
      <c r="BG26" s="2"/>
      <c r="BH26" s="2"/>
      <c r="BI26" s="2" t="n">
        <v>12</v>
      </c>
      <c r="BJ26" s="2" t="s">
        <v>536</v>
      </c>
      <c r="BK26" s="2" t="s">
        <v>100</v>
      </c>
      <c r="BL26" s="2" t="s">
        <v>536</v>
      </c>
      <c r="BM26" s="2" t="s">
        <v>675</v>
      </c>
      <c r="BN26" s="2" t="n">
        <v>29741740</v>
      </c>
      <c r="BO26" s="2" t="s">
        <v>676</v>
      </c>
      <c r="BP26" s="2"/>
      <c r="BQ26" s="2"/>
      <c r="BR26" s="2" t="s">
        <v>104</v>
      </c>
      <c r="BS26" s="2" t="s">
        <v>677</v>
      </c>
      <c r="BT26" s="2" t="str">
        <f aca="false">HYPERLINK("https%3A%2F%2Fwww.webofscience.com%2Fwos%2Fwoscc%2Ffull-record%2FWOS:000434081100007","View Full Record in Web of Science")</f>
        <v>View Full Record in Web of Science</v>
      </c>
    </row>
    <row r="27" customFormat="false" ht="12.75" hidden="false" customHeight="false" outlineLevel="0" collapsed="false">
      <c r="A27" s="2" t="s">
        <v>72</v>
      </c>
      <c r="B27" s="2" t="s">
        <v>678</v>
      </c>
      <c r="C27" s="2"/>
      <c r="D27" s="2"/>
      <c r="E27" s="2"/>
      <c r="F27" s="2" t="s">
        <v>679</v>
      </c>
      <c r="G27" s="2"/>
      <c r="H27" s="2"/>
      <c r="I27" s="2" t="s">
        <v>680</v>
      </c>
      <c r="J27" s="2" t="s">
        <v>370</v>
      </c>
      <c r="K27" s="2"/>
      <c r="L27" s="2"/>
      <c r="M27" s="2" t="s">
        <v>77</v>
      </c>
      <c r="N27" s="2" t="s">
        <v>78</v>
      </c>
      <c r="O27" s="2"/>
      <c r="P27" s="2"/>
      <c r="Q27" s="2"/>
      <c r="R27" s="2"/>
      <c r="S27" s="2"/>
      <c r="T27" s="2" t="s">
        <v>681</v>
      </c>
      <c r="U27" s="2" t="s">
        <v>682</v>
      </c>
      <c r="V27" s="2" t="s">
        <v>683</v>
      </c>
      <c r="W27" s="2" t="s">
        <v>684</v>
      </c>
      <c r="X27" s="2" t="s">
        <v>685</v>
      </c>
      <c r="Y27" s="2" t="s">
        <v>686</v>
      </c>
      <c r="Z27" s="2" t="s">
        <v>687</v>
      </c>
      <c r="AA27" s="2"/>
      <c r="AB27" s="2" t="s">
        <v>688</v>
      </c>
      <c r="AC27" s="2" t="s">
        <v>689</v>
      </c>
      <c r="AD27" s="2" t="s">
        <v>690</v>
      </c>
      <c r="AE27" s="2" t="s">
        <v>691</v>
      </c>
      <c r="AF27" s="2"/>
      <c r="AG27" s="2" t="n">
        <v>15</v>
      </c>
      <c r="AH27" s="2" t="n">
        <v>8</v>
      </c>
      <c r="AI27" s="2" t="n">
        <v>9</v>
      </c>
      <c r="AJ27" s="2" t="n">
        <v>0</v>
      </c>
      <c r="AK27" s="2" t="n">
        <v>2</v>
      </c>
      <c r="AL27" s="2" t="s">
        <v>549</v>
      </c>
      <c r="AM27" s="2" t="s">
        <v>384</v>
      </c>
      <c r="AN27" s="2" t="s">
        <v>550</v>
      </c>
      <c r="AO27" s="2" t="s">
        <v>386</v>
      </c>
      <c r="AP27" s="2" t="s">
        <v>387</v>
      </c>
      <c r="AQ27" s="2"/>
      <c r="AR27" s="2" t="s">
        <v>388</v>
      </c>
      <c r="AS27" s="2" t="s">
        <v>389</v>
      </c>
      <c r="AT27" s="2" t="s">
        <v>692</v>
      </c>
      <c r="AU27" s="2" t="n">
        <v>2009</v>
      </c>
      <c r="AV27" s="2" t="n">
        <v>44</v>
      </c>
      <c r="AW27" s="2" t="n">
        <v>4</v>
      </c>
      <c r="AX27" s="2"/>
      <c r="AY27" s="2"/>
      <c r="AZ27" s="2"/>
      <c r="BA27" s="2"/>
      <c r="BB27" s="2" t="n">
        <v>337</v>
      </c>
      <c r="BC27" s="2" t="n">
        <v>339</v>
      </c>
      <c r="BD27" s="2"/>
      <c r="BE27" s="2" t="s">
        <v>693</v>
      </c>
      <c r="BF27" s="2" t="str">
        <f aca="false">HYPERLINK("http://dx.doi.org/10.1016/j.jcv.2009.01.011","http://dx.doi.org/10.1016/j.jcv.2009.01.011")</f>
        <v>http://dx.doi.org/10.1016/j.jcv.2009.01.011</v>
      </c>
      <c r="BG27" s="2"/>
      <c r="BH27" s="2"/>
      <c r="BI27" s="2" t="n">
        <v>3</v>
      </c>
      <c r="BJ27" s="2" t="s">
        <v>163</v>
      </c>
      <c r="BK27" s="2" t="s">
        <v>100</v>
      </c>
      <c r="BL27" s="2" t="s">
        <v>163</v>
      </c>
      <c r="BM27" s="2" t="s">
        <v>694</v>
      </c>
      <c r="BN27" s="2" t="n">
        <v>19250860</v>
      </c>
      <c r="BO27" s="2" t="s">
        <v>695</v>
      </c>
      <c r="BP27" s="2"/>
      <c r="BQ27" s="2"/>
      <c r="BR27" s="2" t="s">
        <v>104</v>
      </c>
      <c r="BS27" s="2" t="s">
        <v>696</v>
      </c>
      <c r="BT27" s="2" t="str">
        <f aca="false">HYPERLINK("https%3A%2F%2Fwww.webofscience.com%2Fwos%2Fwoscc%2Ffull-record%2FWOS:000265446700018","View Full Record in Web of Science")</f>
        <v>View Full Record in Web of Science</v>
      </c>
    </row>
    <row r="28" customFormat="false" ht="12.75" hidden="false" customHeight="false" outlineLevel="0" collapsed="false">
      <c r="A28" s="2" t="s">
        <v>72</v>
      </c>
      <c r="B28" s="2" t="s">
        <v>697</v>
      </c>
      <c r="C28" s="2"/>
      <c r="D28" s="2"/>
      <c r="E28" s="2"/>
      <c r="F28" s="2" t="s">
        <v>698</v>
      </c>
      <c r="G28" s="2"/>
      <c r="H28" s="2"/>
      <c r="I28" s="2" t="s">
        <v>699</v>
      </c>
      <c r="J28" s="2" t="s">
        <v>370</v>
      </c>
      <c r="K28" s="2"/>
      <c r="L28" s="2"/>
      <c r="M28" s="2" t="s">
        <v>77</v>
      </c>
      <c r="N28" s="2" t="s">
        <v>78</v>
      </c>
      <c r="O28" s="2"/>
      <c r="P28" s="2"/>
      <c r="Q28" s="2"/>
      <c r="R28" s="2"/>
      <c r="S28" s="2"/>
      <c r="T28" s="2" t="s">
        <v>700</v>
      </c>
      <c r="U28" s="2" t="s">
        <v>701</v>
      </c>
      <c r="V28" s="2" t="s">
        <v>702</v>
      </c>
      <c r="W28" s="2" t="s">
        <v>703</v>
      </c>
      <c r="X28" s="2" t="s">
        <v>704</v>
      </c>
      <c r="Y28" s="2" t="s">
        <v>705</v>
      </c>
      <c r="Z28" s="2" t="s">
        <v>706</v>
      </c>
      <c r="AA28" s="2"/>
      <c r="AB28" s="2" t="s">
        <v>707</v>
      </c>
      <c r="AC28" s="2" t="s">
        <v>708</v>
      </c>
      <c r="AD28" s="2" t="s">
        <v>709</v>
      </c>
      <c r="AE28" s="2" t="s">
        <v>710</v>
      </c>
      <c r="AF28" s="2"/>
      <c r="AG28" s="2" t="n">
        <v>30</v>
      </c>
      <c r="AH28" s="2" t="n">
        <v>28</v>
      </c>
      <c r="AI28" s="2" t="n">
        <v>29</v>
      </c>
      <c r="AJ28" s="2" t="n">
        <v>0</v>
      </c>
      <c r="AK28" s="2" t="n">
        <v>20</v>
      </c>
      <c r="AL28" s="2" t="s">
        <v>549</v>
      </c>
      <c r="AM28" s="2" t="s">
        <v>384</v>
      </c>
      <c r="AN28" s="2" t="s">
        <v>550</v>
      </c>
      <c r="AO28" s="2" t="s">
        <v>386</v>
      </c>
      <c r="AP28" s="2" t="s">
        <v>387</v>
      </c>
      <c r="AQ28" s="2"/>
      <c r="AR28" s="2" t="s">
        <v>388</v>
      </c>
      <c r="AS28" s="2" t="s">
        <v>389</v>
      </c>
      <c r="AT28" s="2" t="s">
        <v>486</v>
      </c>
      <c r="AU28" s="2" t="n">
        <v>2013</v>
      </c>
      <c r="AV28" s="2" t="n">
        <v>57</v>
      </c>
      <c r="AW28" s="2" t="n">
        <v>2</v>
      </c>
      <c r="AX28" s="2"/>
      <c r="AY28" s="2"/>
      <c r="AZ28" s="2"/>
      <c r="BA28" s="2"/>
      <c r="BB28" s="2" t="n">
        <v>136</v>
      </c>
      <c r="BC28" s="2" t="n">
        <v>140</v>
      </c>
      <c r="BD28" s="2"/>
      <c r="BE28" s="2" t="s">
        <v>711</v>
      </c>
      <c r="BF28" s="2" t="str">
        <f aca="false">HYPERLINK("http://dx.doi.org/10.1016/j.jcv.2013.02.011","http://dx.doi.org/10.1016/j.jcv.2013.02.011")</f>
        <v>http://dx.doi.org/10.1016/j.jcv.2013.02.011</v>
      </c>
      <c r="BG28" s="2"/>
      <c r="BH28" s="2"/>
      <c r="BI28" s="2" t="n">
        <v>5</v>
      </c>
      <c r="BJ28" s="2" t="s">
        <v>163</v>
      </c>
      <c r="BK28" s="2" t="s">
        <v>100</v>
      </c>
      <c r="BL28" s="2" t="s">
        <v>163</v>
      </c>
      <c r="BM28" s="2" t="s">
        <v>712</v>
      </c>
      <c r="BN28" s="2" t="n">
        <v>23490399</v>
      </c>
      <c r="BO28" s="2" t="s">
        <v>165</v>
      </c>
      <c r="BP28" s="2"/>
      <c r="BQ28" s="2"/>
      <c r="BR28" s="2" t="s">
        <v>104</v>
      </c>
      <c r="BS28" s="2" t="s">
        <v>713</v>
      </c>
      <c r="BT28" s="2" t="str">
        <f aca="false">HYPERLINK("https%3A%2F%2Fwww.webofscience.com%2Fwos%2Fwoscc%2Ffull-record%2FWOS:000318563900009","View Full Record in Web of Science")</f>
        <v>View Full Record in Web of Science</v>
      </c>
    </row>
    <row r="29" customFormat="false" ht="12.75" hidden="false" customHeight="false" outlineLevel="0" collapsed="false">
      <c r="A29" s="2" t="s">
        <v>72</v>
      </c>
      <c r="B29" s="2" t="s">
        <v>714</v>
      </c>
      <c r="C29" s="2"/>
      <c r="D29" s="2"/>
      <c r="E29" s="2"/>
      <c r="F29" s="2" t="s">
        <v>715</v>
      </c>
      <c r="G29" s="2"/>
      <c r="H29" s="2"/>
      <c r="I29" s="2" t="s">
        <v>716</v>
      </c>
      <c r="J29" s="2" t="s">
        <v>717</v>
      </c>
      <c r="K29" s="2"/>
      <c r="L29" s="2"/>
      <c r="M29" s="2" t="s">
        <v>77</v>
      </c>
      <c r="N29" s="2" t="s">
        <v>78</v>
      </c>
      <c r="O29" s="2"/>
      <c r="P29" s="2"/>
      <c r="Q29" s="2"/>
      <c r="R29" s="2"/>
      <c r="S29" s="2"/>
      <c r="T29" s="2" t="s">
        <v>718</v>
      </c>
      <c r="U29" s="2" t="s">
        <v>719</v>
      </c>
      <c r="V29" s="2" t="s">
        <v>720</v>
      </c>
      <c r="W29" s="2" t="s">
        <v>721</v>
      </c>
      <c r="X29" s="2" t="s">
        <v>722</v>
      </c>
      <c r="Y29" s="2" t="s">
        <v>723</v>
      </c>
      <c r="Z29" s="2" t="s">
        <v>724</v>
      </c>
      <c r="AA29" s="2" t="s">
        <v>725</v>
      </c>
      <c r="AB29" s="2"/>
      <c r="AC29" s="2" t="s">
        <v>726</v>
      </c>
      <c r="AD29" s="2" t="s">
        <v>727</v>
      </c>
      <c r="AE29" s="2" t="s">
        <v>728</v>
      </c>
      <c r="AF29" s="2"/>
      <c r="AG29" s="2" t="n">
        <v>31</v>
      </c>
      <c r="AH29" s="2" t="n">
        <v>8</v>
      </c>
      <c r="AI29" s="2" t="n">
        <v>10</v>
      </c>
      <c r="AJ29" s="2" t="n">
        <v>0</v>
      </c>
      <c r="AK29" s="2" t="n">
        <v>11</v>
      </c>
      <c r="AL29" s="2" t="s">
        <v>549</v>
      </c>
      <c r="AM29" s="2" t="s">
        <v>384</v>
      </c>
      <c r="AN29" s="2" t="s">
        <v>550</v>
      </c>
      <c r="AO29" s="2" t="s">
        <v>729</v>
      </c>
      <c r="AP29" s="2" t="s">
        <v>730</v>
      </c>
      <c r="AQ29" s="2"/>
      <c r="AR29" s="2" t="s">
        <v>731</v>
      </c>
      <c r="AS29" s="2" t="s">
        <v>732</v>
      </c>
      <c r="AT29" s="2" t="s">
        <v>733</v>
      </c>
      <c r="AU29" s="2" t="n">
        <v>2015</v>
      </c>
      <c r="AV29" s="2" t="n">
        <v>213</v>
      </c>
      <c r="AW29" s="2"/>
      <c r="AX29" s="2"/>
      <c r="AY29" s="2"/>
      <c r="AZ29" s="2"/>
      <c r="BA29" s="2"/>
      <c r="BB29" s="2" t="n">
        <v>151</v>
      </c>
      <c r="BC29" s="2" t="n">
        <v>156</v>
      </c>
      <c r="BD29" s="2"/>
      <c r="BE29" s="2" t="s">
        <v>734</v>
      </c>
      <c r="BF29" s="2" t="str">
        <f aca="false">HYPERLINK("http://dx.doi.org/10.1016/j.jviromet.2014.12.005","http://dx.doi.org/10.1016/j.jviromet.2014.12.005")</f>
        <v>http://dx.doi.org/10.1016/j.jviromet.2014.12.005</v>
      </c>
      <c r="BG29" s="2"/>
      <c r="BH29" s="2"/>
      <c r="BI29" s="2" t="n">
        <v>6</v>
      </c>
      <c r="BJ29" s="2" t="s">
        <v>735</v>
      </c>
      <c r="BK29" s="2" t="s">
        <v>100</v>
      </c>
      <c r="BL29" s="2" t="s">
        <v>736</v>
      </c>
      <c r="BM29" s="2" t="s">
        <v>737</v>
      </c>
      <c r="BN29" s="2" t="n">
        <v>25522922</v>
      </c>
      <c r="BO29" s="2"/>
      <c r="BP29" s="2"/>
      <c r="BQ29" s="2"/>
      <c r="BR29" s="2" t="s">
        <v>104</v>
      </c>
      <c r="BS29" s="2" t="s">
        <v>738</v>
      </c>
      <c r="BT29" s="2" t="str">
        <f aca="false">HYPERLINK("https%3A%2F%2Fwww.webofscience.com%2Fwos%2Fwoscc%2Ffull-record%2FWOS:000352923100024","View Full Record in Web of Science")</f>
        <v>View Full Record in Web of Science</v>
      </c>
    </row>
    <row r="30" customFormat="false" ht="12.75" hidden="false" customHeight="false" outlineLevel="0" collapsed="false">
      <c r="A30" s="2" t="s">
        <v>72</v>
      </c>
      <c r="B30" s="2" t="s">
        <v>739</v>
      </c>
      <c r="C30" s="2"/>
      <c r="D30" s="2"/>
      <c r="E30" s="2"/>
      <c r="F30" s="2" t="s">
        <v>740</v>
      </c>
      <c r="G30" s="2"/>
      <c r="H30" s="2"/>
      <c r="I30" s="2" t="s">
        <v>741</v>
      </c>
      <c r="J30" s="2" t="s">
        <v>742</v>
      </c>
      <c r="K30" s="2"/>
      <c r="L30" s="2"/>
      <c r="M30" s="2" t="s">
        <v>77</v>
      </c>
      <c r="N30" s="2" t="s">
        <v>78</v>
      </c>
      <c r="O30" s="2"/>
      <c r="P30" s="2"/>
      <c r="Q30" s="2"/>
      <c r="R30" s="2"/>
      <c r="S30" s="2"/>
      <c r="T30" s="2" t="s">
        <v>743</v>
      </c>
      <c r="U30" s="2" t="s">
        <v>744</v>
      </c>
      <c r="V30" s="2" t="s">
        <v>745</v>
      </c>
      <c r="W30" s="2" t="s">
        <v>746</v>
      </c>
      <c r="X30" s="2" t="s">
        <v>747</v>
      </c>
      <c r="Y30" s="2" t="s">
        <v>748</v>
      </c>
      <c r="Z30" s="2" t="s">
        <v>749</v>
      </c>
      <c r="AA30" s="2" t="s">
        <v>750</v>
      </c>
      <c r="AB30" s="2" t="s">
        <v>751</v>
      </c>
      <c r="AC30" s="2" t="s">
        <v>752</v>
      </c>
      <c r="AD30" s="2" t="s">
        <v>753</v>
      </c>
      <c r="AE30" s="2" t="s">
        <v>754</v>
      </c>
      <c r="AF30" s="2"/>
      <c r="AG30" s="2" t="n">
        <v>42</v>
      </c>
      <c r="AH30" s="2" t="n">
        <v>0</v>
      </c>
      <c r="AI30" s="2" t="n">
        <v>0</v>
      </c>
      <c r="AJ30" s="2" t="n">
        <v>0</v>
      </c>
      <c r="AK30" s="2" t="n">
        <v>0</v>
      </c>
      <c r="AL30" s="2" t="s">
        <v>755</v>
      </c>
      <c r="AM30" s="2" t="s">
        <v>273</v>
      </c>
      <c r="AN30" s="2" t="s">
        <v>756</v>
      </c>
      <c r="AO30" s="2" t="s">
        <v>757</v>
      </c>
      <c r="AP30" s="2" t="s">
        <v>758</v>
      </c>
      <c r="AQ30" s="2"/>
      <c r="AR30" s="2" t="s">
        <v>759</v>
      </c>
      <c r="AS30" s="2" t="s">
        <v>760</v>
      </c>
      <c r="AT30" s="2" t="s">
        <v>761</v>
      </c>
      <c r="AU30" s="2" t="n">
        <v>2024</v>
      </c>
      <c r="AV30" s="2" t="n">
        <v>98</v>
      </c>
      <c r="AW30" s="2" t="n">
        <v>11</v>
      </c>
      <c r="AX30" s="2"/>
      <c r="AY30" s="2"/>
      <c r="AZ30" s="2"/>
      <c r="BA30" s="2"/>
      <c r="BB30" s="2"/>
      <c r="BC30" s="2"/>
      <c r="BD30" s="2"/>
      <c r="BE30" s="2" t="s">
        <v>762</v>
      </c>
      <c r="BF30" s="2" t="str">
        <f aca="false">HYPERLINK("http://dx.doi.org/10.1128/jvi.01104-24","http://dx.doi.org/10.1128/jvi.01104-24")</f>
        <v>http://dx.doi.org/10.1128/jvi.01104-24</v>
      </c>
      <c r="BG30" s="2"/>
      <c r="BH30" s="2" t="s">
        <v>763</v>
      </c>
      <c r="BI30" s="2" t="n">
        <v>13</v>
      </c>
      <c r="BJ30" s="2" t="s">
        <v>163</v>
      </c>
      <c r="BK30" s="2" t="s">
        <v>100</v>
      </c>
      <c r="BL30" s="2" t="s">
        <v>163</v>
      </c>
      <c r="BM30" s="2" t="s">
        <v>764</v>
      </c>
      <c r="BN30" s="2" t="n">
        <v>39412256</v>
      </c>
      <c r="BO30" s="2" t="s">
        <v>765</v>
      </c>
      <c r="BP30" s="2"/>
      <c r="BQ30" s="2"/>
      <c r="BR30" s="2" t="s">
        <v>104</v>
      </c>
      <c r="BS30" s="2" t="s">
        <v>766</v>
      </c>
      <c r="BT30" s="2" t="str">
        <f aca="false">HYPERLINK("https%3A%2F%2Fwww.webofscience.com%2Fwos%2Fwoscc%2Ffull-record%2FWOS:001334166600003","View Full Record in Web of Science")</f>
        <v>View Full Record in Web of Science</v>
      </c>
    </row>
    <row r="31" customFormat="false" ht="12.75" hidden="false" customHeight="false" outlineLevel="0" collapsed="false">
      <c r="A31" s="2" t="s">
        <v>72</v>
      </c>
      <c r="B31" s="2" t="s">
        <v>767</v>
      </c>
      <c r="C31" s="2"/>
      <c r="D31" s="2"/>
      <c r="E31" s="2"/>
      <c r="F31" s="2" t="s">
        <v>768</v>
      </c>
      <c r="G31" s="2"/>
      <c r="H31" s="2"/>
      <c r="I31" s="2" t="s">
        <v>769</v>
      </c>
      <c r="J31" s="2" t="s">
        <v>770</v>
      </c>
      <c r="K31" s="2"/>
      <c r="L31" s="2"/>
      <c r="M31" s="2" t="s">
        <v>77</v>
      </c>
      <c r="N31" s="2" t="s">
        <v>78</v>
      </c>
      <c r="O31" s="2"/>
      <c r="P31" s="2"/>
      <c r="Q31" s="2"/>
      <c r="R31" s="2"/>
      <c r="S31" s="2"/>
      <c r="T31" s="2" t="s">
        <v>771</v>
      </c>
      <c r="U31" s="2"/>
      <c r="V31" s="2" t="s">
        <v>772</v>
      </c>
      <c r="W31" s="2" t="s">
        <v>773</v>
      </c>
      <c r="X31" s="2" t="s">
        <v>774</v>
      </c>
      <c r="Y31" s="2" t="s">
        <v>775</v>
      </c>
      <c r="Z31" s="2" t="s">
        <v>776</v>
      </c>
      <c r="AA31" s="2" t="s">
        <v>777</v>
      </c>
      <c r="AB31" s="2" t="s">
        <v>778</v>
      </c>
      <c r="AC31" s="2" t="s">
        <v>779</v>
      </c>
      <c r="AD31" s="2" t="s">
        <v>780</v>
      </c>
      <c r="AE31" s="2" t="s">
        <v>781</v>
      </c>
      <c r="AF31" s="2"/>
      <c r="AG31" s="2" t="n">
        <v>40</v>
      </c>
      <c r="AH31" s="2" t="n">
        <v>19</v>
      </c>
      <c r="AI31" s="2" t="n">
        <v>19</v>
      </c>
      <c r="AJ31" s="2" t="n">
        <v>0</v>
      </c>
      <c r="AK31" s="2" t="n">
        <v>5</v>
      </c>
      <c r="AL31" s="2" t="s">
        <v>782</v>
      </c>
      <c r="AM31" s="2" t="s">
        <v>783</v>
      </c>
      <c r="AN31" s="2" t="s">
        <v>784</v>
      </c>
      <c r="AO31" s="2" t="s">
        <v>785</v>
      </c>
      <c r="AP31" s="2" t="s">
        <v>786</v>
      </c>
      <c r="AQ31" s="2"/>
      <c r="AR31" s="2" t="s">
        <v>787</v>
      </c>
      <c r="AS31" s="2" t="s">
        <v>788</v>
      </c>
      <c r="AT31" s="2" t="s">
        <v>129</v>
      </c>
      <c r="AU31" s="2" t="n">
        <v>2019</v>
      </c>
      <c r="AV31" s="2" t="n">
        <v>86</v>
      </c>
      <c r="AW31" s="2"/>
      <c r="AX31" s="2"/>
      <c r="AY31" s="2"/>
      <c r="AZ31" s="2"/>
      <c r="BA31" s="2"/>
      <c r="BB31" s="2" t="n">
        <v>102</v>
      </c>
      <c r="BC31" s="2" t="n">
        <v>107</v>
      </c>
      <c r="BD31" s="2"/>
      <c r="BE31" s="2" t="s">
        <v>789</v>
      </c>
      <c r="BF31" s="2" t="str">
        <f aca="false">HYPERLINK("http://dx.doi.org/10.1016/j.ijid.2019.06.022","http://dx.doi.org/10.1016/j.ijid.2019.06.022")</f>
        <v>http://dx.doi.org/10.1016/j.ijid.2019.06.022</v>
      </c>
      <c r="BG31" s="2"/>
      <c r="BH31" s="2"/>
      <c r="BI31" s="2" t="n">
        <v>6</v>
      </c>
      <c r="BJ31" s="2" t="s">
        <v>575</v>
      </c>
      <c r="BK31" s="2" t="s">
        <v>100</v>
      </c>
      <c r="BL31" s="2" t="s">
        <v>575</v>
      </c>
      <c r="BM31" s="2" t="s">
        <v>790</v>
      </c>
      <c r="BN31" s="2" t="n">
        <v>31238156</v>
      </c>
      <c r="BO31" s="2" t="s">
        <v>103</v>
      </c>
      <c r="BP31" s="2"/>
      <c r="BQ31" s="2"/>
      <c r="BR31" s="2" t="s">
        <v>104</v>
      </c>
      <c r="BS31" s="2" t="s">
        <v>791</v>
      </c>
      <c r="BT31" s="2" t="str">
        <f aca="false">HYPERLINK("https%3A%2F%2Fwww.webofscience.com%2Fwos%2Fwoscc%2Ffull-record%2FWOS:000484773800017","View Full Record in Web of Science")</f>
        <v>View Full Record in Web of Science</v>
      </c>
    </row>
    <row r="32" customFormat="false" ht="12.75" hidden="false" customHeight="false" outlineLevel="0" collapsed="false">
      <c r="A32" s="2" t="s">
        <v>72</v>
      </c>
      <c r="B32" s="2" t="s">
        <v>792</v>
      </c>
      <c r="C32" s="2"/>
      <c r="D32" s="2"/>
      <c r="E32" s="2"/>
      <c r="F32" s="2" t="s">
        <v>793</v>
      </c>
      <c r="G32" s="2"/>
      <c r="H32" s="2"/>
      <c r="I32" s="2" t="s">
        <v>794</v>
      </c>
      <c r="J32" s="2" t="s">
        <v>370</v>
      </c>
      <c r="K32" s="2"/>
      <c r="L32" s="2"/>
      <c r="M32" s="2" t="s">
        <v>77</v>
      </c>
      <c r="N32" s="2" t="s">
        <v>78</v>
      </c>
      <c r="O32" s="2"/>
      <c r="P32" s="2"/>
      <c r="Q32" s="2"/>
      <c r="R32" s="2"/>
      <c r="S32" s="2"/>
      <c r="T32" s="2" t="s">
        <v>795</v>
      </c>
      <c r="U32" s="2" t="s">
        <v>796</v>
      </c>
      <c r="V32" s="2" t="s">
        <v>797</v>
      </c>
      <c r="W32" s="2" t="s">
        <v>798</v>
      </c>
      <c r="X32" s="2" t="s">
        <v>799</v>
      </c>
      <c r="Y32" s="2" t="s">
        <v>800</v>
      </c>
      <c r="Z32" s="2" t="s">
        <v>801</v>
      </c>
      <c r="AA32" s="2" t="s">
        <v>802</v>
      </c>
      <c r="AB32" s="2" t="s">
        <v>803</v>
      </c>
      <c r="AC32" s="2"/>
      <c r="AD32" s="2"/>
      <c r="AE32" s="2"/>
      <c r="AF32" s="2"/>
      <c r="AG32" s="2" t="n">
        <v>6</v>
      </c>
      <c r="AH32" s="2" t="n">
        <v>7</v>
      </c>
      <c r="AI32" s="2" t="n">
        <v>7</v>
      </c>
      <c r="AJ32" s="2" t="n">
        <v>0</v>
      </c>
      <c r="AK32" s="2" t="n">
        <v>0</v>
      </c>
      <c r="AL32" s="2" t="s">
        <v>549</v>
      </c>
      <c r="AM32" s="2" t="s">
        <v>384</v>
      </c>
      <c r="AN32" s="2" t="s">
        <v>550</v>
      </c>
      <c r="AO32" s="2" t="s">
        <v>386</v>
      </c>
      <c r="AP32" s="2" t="s">
        <v>387</v>
      </c>
      <c r="AQ32" s="2"/>
      <c r="AR32" s="2" t="s">
        <v>388</v>
      </c>
      <c r="AS32" s="2" t="s">
        <v>389</v>
      </c>
      <c r="AT32" s="2" t="s">
        <v>804</v>
      </c>
      <c r="AU32" s="2" t="n">
        <v>2007</v>
      </c>
      <c r="AV32" s="2" t="n">
        <v>40</v>
      </c>
      <c r="AW32" s="2" t="n">
        <v>3</v>
      </c>
      <c r="AX32" s="2"/>
      <c r="AY32" s="2"/>
      <c r="AZ32" s="2"/>
      <c r="BA32" s="2"/>
      <c r="BB32" s="2" t="n">
        <v>241</v>
      </c>
      <c r="BC32" s="2" t="n">
        <v>244</v>
      </c>
      <c r="BD32" s="2"/>
      <c r="BE32" s="2" t="s">
        <v>805</v>
      </c>
      <c r="BF32" s="2" t="str">
        <f aca="false">HYPERLINK("http://dx.doi.org/10.1016/j.jcv.2007.08.019","http://dx.doi.org/10.1016/j.jcv.2007.08.019")</f>
        <v>http://dx.doi.org/10.1016/j.jcv.2007.08.019</v>
      </c>
      <c r="BG32" s="2"/>
      <c r="BH32" s="2"/>
      <c r="BI32" s="2" t="n">
        <v>4</v>
      </c>
      <c r="BJ32" s="2" t="s">
        <v>163</v>
      </c>
      <c r="BK32" s="2" t="s">
        <v>100</v>
      </c>
      <c r="BL32" s="2" t="s">
        <v>163</v>
      </c>
      <c r="BM32" s="2" t="s">
        <v>806</v>
      </c>
      <c r="BN32" s="2" t="n">
        <v>17920332</v>
      </c>
      <c r="BO32" s="2"/>
      <c r="BP32" s="2"/>
      <c r="BQ32" s="2"/>
      <c r="BR32" s="2" t="s">
        <v>104</v>
      </c>
      <c r="BS32" s="2" t="s">
        <v>807</v>
      </c>
      <c r="BT32" s="2" t="str">
        <f aca="false">HYPERLINK("https%3A%2F%2Fwww.webofscience.com%2Fwos%2Fwoscc%2Ffull-record%2FWOS:000250935300013","View Full Record in Web of Science")</f>
        <v>View Full Record in Web of Science</v>
      </c>
    </row>
    <row r="33" customFormat="false" ht="12.75" hidden="false" customHeight="false" outlineLevel="0" collapsed="false">
      <c r="A33" s="2" t="s">
        <v>72</v>
      </c>
      <c r="B33" s="2" t="s">
        <v>808</v>
      </c>
      <c r="C33" s="2"/>
      <c r="D33" s="2"/>
      <c r="E33" s="2"/>
      <c r="F33" s="2" t="s">
        <v>809</v>
      </c>
      <c r="G33" s="2"/>
      <c r="H33" s="2"/>
      <c r="I33" s="2" t="s">
        <v>810</v>
      </c>
      <c r="J33" s="2" t="s">
        <v>557</v>
      </c>
      <c r="K33" s="2"/>
      <c r="L33" s="2"/>
      <c r="M33" s="2" t="s">
        <v>77</v>
      </c>
      <c r="N33" s="2" t="s">
        <v>78</v>
      </c>
      <c r="O33" s="2"/>
      <c r="P33" s="2"/>
      <c r="Q33" s="2"/>
      <c r="R33" s="2"/>
      <c r="S33" s="2"/>
      <c r="T33" s="2" t="s">
        <v>811</v>
      </c>
      <c r="U33" s="2" t="s">
        <v>812</v>
      </c>
      <c r="V33" s="2" t="s">
        <v>813</v>
      </c>
      <c r="W33" s="2" t="s">
        <v>814</v>
      </c>
      <c r="X33" s="2" t="s">
        <v>815</v>
      </c>
      <c r="Y33" s="2" t="s">
        <v>816</v>
      </c>
      <c r="Z33" s="2" t="s">
        <v>817</v>
      </c>
      <c r="AA33" s="2" t="s">
        <v>818</v>
      </c>
      <c r="AB33" s="2" t="s">
        <v>819</v>
      </c>
      <c r="AC33" s="2"/>
      <c r="AD33" s="2"/>
      <c r="AE33" s="2"/>
      <c r="AF33" s="2"/>
      <c r="AG33" s="2" t="n">
        <v>37</v>
      </c>
      <c r="AH33" s="2" t="n">
        <v>1</v>
      </c>
      <c r="AI33" s="2" t="n">
        <v>2</v>
      </c>
      <c r="AJ33" s="2" t="n">
        <v>1</v>
      </c>
      <c r="AK33" s="2" t="n">
        <v>3</v>
      </c>
      <c r="AL33" s="2" t="s">
        <v>302</v>
      </c>
      <c r="AM33" s="2" t="s">
        <v>303</v>
      </c>
      <c r="AN33" s="2" t="s">
        <v>304</v>
      </c>
      <c r="AO33" s="2"/>
      <c r="AP33" s="2" t="s">
        <v>570</v>
      </c>
      <c r="AQ33" s="2"/>
      <c r="AR33" s="2" t="s">
        <v>571</v>
      </c>
      <c r="AS33" s="2" t="s">
        <v>572</v>
      </c>
      <c r="AT33" s="2" t="s">
        <v>820</v>
      </c>
      <c r="AU33" s="2" t="n">
        <v>2020</v>
      </c>
      <c r="AV33" s="2" t="n">
        <v>20</v>
      </c>
      <c r="AW33" s="2" t="n">
        <v>1</v>
      </c>
      <c r="AX33" s="2"/>
      <c r="AY33" s="2"/>
      <c r="AZ33" s="2"/>
      <c r="BA33" s="2"/>
      <c r="BB33" s="2"/>
      <c r="BC33" s="2"/>
      <c r="BD33" s="2"/>
      <c r="BE33" s="2" t="s">
        <v>821</v>
      </c>
      <c r="BF33" s="2" t="str">
        <f aca="false">HYPERLINK("http://dx.doi.org/10.1186/s12879-020-4877-3","http://dx.doi.org/10.1186/s12879-020-4877-3")</f>
        <v>http://dx.doi.org/10.1186/s12879-020-4877-3</v>
      </c>
      <c r="BG33" s="2"/>
      <c r="BH33" s="2"/>
      <c r="BI33" s="2" t="n">
        <v>9</v>
      </c>
      <c r="BJ33" s="2" t="s">
        <v>575</v>
      </c>
      <c r="BK33" s="2" t="s">
        <v>100</v>
      </c>
      <c r="BL33" s="2" t="s">
        <v>575</v>
      </c>
      <c r="BM33" s="2" t="s">
        <v>822</v>
      </c>
      <c r="BN33" s="2" t="n">
        <v>32093612</v>
      </c>
      <c r="BO33" s="2" t="s">
        <v>103</v>
      </c>
      <c r="BP33" s="2"/>
      <c r="BQ33" s="2"/>
      <c r="BR33" s="2" t="s">
        <v>104</v>
      </c>
      <c r="BS33" s="2" t="s">
        <v>823</v>
      </c>
      <c r="BT33" s="2" t="str">
        <f aca="false">HYPERLINK("https%3A%2F%2Fwww.webofscience.com%2Fwos%2Fwoscc%2Ffull-record%2FWOS:000520537800004","View Full Record in Web of Science")</f>
        <v>View Full Record in Web of Science</v>
      </c>
    </row>
    <row r="34" customFormat="false" ht="12.75" hidden="false" customHeight="false" outlineLevel="0" collapsed="false">
      <c r="A34" s="2" t="s">
        <v>72</v>
      </c>
      <c r="B34" s="2" t="s">
        <v>824</v>
      </c>
      <c r="C34" s="2"/>
      <c r="D34" s="2"/>
      <c r="E34" s="2"/>
      <c r="F34" s="2" t="s">
        <v>825</v>
      </c>
      <c r="G34" s="2"/>
      <c r="H34" s="2"/>
      <c r="I34" s="2" t="s">
        <v>826</v>
      </c>
      <c r="J34" s="2" t="s">
        <v>109</v>
      </c>
      <c r="K34" s="2"/>
      <c r="L34" s="2"/>
      <c r="M34" s="2" t="s">
        <v>77</v>
      </c>
      <c r="N34" s="2" t="s">
        <v>78</v>
      </c>
      <c r="O34" s="2"/>
      <c r="P34" s="2"/>
      <c r="Q34" s="2"/>
      <c r="R34" s="2"/>
      <c r="S34" s="2"/>
      <c r="T34" s="2" t="s">
        <v>827</v>
      </c>
      <c r="U34" s="2" t="s">
        <v>828</v>
      </c>
      <c r="V34" s="2" t="s">
        <v>829</v>
      </c>
      <c r="W34" s="2" t="s">
        <v>830</v>
      </c>
      <c r="X34" s="2" t="s">
        <v>831</v>
      </c>
      <c r="Y34" s="2" t="s">
        <v>832</v>
      </c>
      <c r="Z34" s="2" t="s">
        <v>833</v>
      </c>
      <c r="AA34" s="2" t="s">
        <v>834</v>
      </c>
      <c r="AB34" s="2" t="s">
        <v>835</v>
      </c>
      <c r="AC34" s="2" t="s">
        <v>836</v>
      </c>
      <c r="AD34" s="2" t="s">
        <v>837</v>
      </c>
      <c r="AE34" s="2" t="s">
        <v>838</v>
      </c>
      <c r="AF34" s="2"/>
      <c r="AG34" s="2" t="n">
        <v>41</v>
      </c>
      <c r="AH34" s="2" t="n">
        <v>26</v>
      </c>
      <c r="AI34" s="2" t="n">
        <v>27</v>
      </c>
      <c r="AJ34" s="2" t="n">
        <v>0</v>
      </c>
      <c r="AK34" s="2" t="n">
        <v>13</v>
      </c>
      <c r="AL34" s="2" t="s">
        <v>122</v>
      </c>
      <c r="AM34" s="2" t="s">
        <v>123</v>
      </c>
      <c r="AN34" s="2" t="s">
        <v>839</v>
      </c>
      <c r="AO34" s="2" t="s">
        <v>125</v>
      </c>
      <c r="AP34" s="2"/>
      <c r="AQ34" s="2"/>
      <c r="AR34" s="2" t="s">
        <v>127</v>
      </c>
      <c r="AS34" s="2" t="s">
        <v>128</v>
      </c>
      <c r="AT34" s="2" t="s">
        <v>804</v>
      </c>
      <c r="AU34" s="2" t="n">
        <v>2012</v>
      </c>
      <c r="AV34" s="2" t="n">
        <v>31</v>
      </c>
      <c r="AW34" s="2" t="n">
        <v>11</v>
      </c>
      <c r="AX34" s="2"/>
      <c r="AY34" s="2"/>
      <c r="AZ34" s="2"/>
      <c r="BA34" s="2"/>
      <c r="BB34" s="2" t="n">
        <v>1113</v>
      </c>
      <c r="BC34" s="2" t="n">
        <v>1118</v>
      </c>
      <c r="BD34" s="2"/>
      <c r="BE34" s="2" t="s">
        <v>840</v>
      </c>
      <c r="BF34" s="2" t="str">
        <f aca="false">HYPERLINK("http://dx.doi.org/10.1097/INF.0b013e31826052eb","http://dx.doi.org/10.1097/INF.0b013e31826052eb")</f>
        <v>http://dx.doi.org/10.1097/INF.0b013e31826052eb</v>
      </c>
      <c r="BG34" s="2"/>
      <c r="BH34" s="2"/>
      <c r="BI34" s="2" t="n">
        <v>6</v>
      </c>
      <c r="BJ34" s="2" t="s">
        <v>134</v>
      </c>
      <c r="BK34" s="2" t="s">
        <v>100</v>
      </c>
      <c r="BL34" s="2" t="s">
        <v>134</v>
      </c>
      <c r="BM34" s="2" t="s">
        <v>841</v>
      </c>
      <c r="BN34" s="2" t="n">
        <v>22653487</v>
      </c>
      <c r="BO34" s="2" t="s">
        <v>695</v>
      </c>
      <c r="BP34" s="2"/>
      <c r="BQ34" s="2"/>
      <c r="BR34" s="2" t="s">
        <v>104</v>
      </c>
      <c r="BS34" s="2" t="s">
        <v>842</v>
      </c>
      <c r="BT34" s="2" t="str">
        <f aca="false">HYPERLINK("https%3A%2F%2Fwww.webofscience.com%2Fwos%2Fwoscc%2Ffull-record%2FWOS:000310532000009","View Full Record in Web of Science")</f>
        <v>View Full Record in Web of Science</v>
      </c>
    </row>
    <row r="35" customFormat="false" ht="12.75" hidden="false" customHeight="false" outlineLevel="0" collapsed="false">
      <c r="A35" s="2" t="s">
        <v>72</v>
      </c>
      <c r="B35" s="2" t="s">
        <v>843</v>
      </c>
      <c r="C35" s="2"/>
      <c r="D35" s="2"/>
      <c r="E35" s="2"/>
      <c r="F35" s="2" t="s">
        <v>844</v>
      </c>
      <c r="G35" s="2"/>
      <c r="H35" s="2"/>
      <c r="I35" s="2" t="s">
        <v>845</v>
      </c>
      <c r="J35" s="2" t="s">
        <v>846</v>
      </c>
      <c r="K35" s="2"/>
      <c r="L35" s="2"/>
      <c r="M35" s="2" t="s">
        <v>77</v>
      </c>
      <c r="N35" s="2" t="s">
        <v>78</v>
      </c>
      <c r="O35" s="2"/>
      <c r="P35" s="2"/>
      <c r="Q35" s="2"/>
      <c r="R35" s="2"/>
      <c r="S35" s="2"/>
      <c r="T35" s="2" t="s">
        <v>847</v>
      </c>
      <c r="U35" s="2" t="s">
        <v>848</v>
      </c>
      <c r="V35" s="2" t="s">
        <v>849</v>
      </c>
      <c r="W35" s="2" t="s">
        <v>850</v>
      </c>
      <c r="X35" s="2" t="s">
        <v>851</v>
      </c>
      <c r="Y35" s="2" t="s">
        <v>852</v>
      </c>
      <c r="Z35" s="2" t="s">
        <v>853</v>
      </c>
      <c r="AA35" s="2" t="s">
        <v>854</v>
      </c>
      <c r="AB35" s="2" t="s">
        <v>855</v>
      </c>
      <c r="AC35" s="2" t="s">
        <v>856</v>
      </c>
      <c r="AD35" s="2" t="s">
        <v>857</v>
      </c>
      <c r="AE35" s="2" t="s">
        <v>858</v>
      </c>
      <c r="AF35" s="2"/>
      <c r="AG35" s="2" t="n">
        <v>39</v>
      </c>
      <c r="AH35" s="2" t="n">
        <v>27</v>
      </c>
      <c r="AI35" s="2" t="n">
        <v>27</v>
      </c>
      <c r="AJ35" s="2" t="n">
        <v>0</v>
      </c>
      <c r="AK35" s="2" t="n">
        <v>17</v>
      </c>
      <c r="AL35" s="2" t="s">
        <v>592</v>
      </c>
      <c r="AM35" s="2" t="s">
        <v>593</v>
      </c>
      <c r="AN35" s="2" t="s">
        <v>859</v>
      </c>
      <c r="AO35" s="2" t="s">
        <v>860</v>
      </c>
      <c r="AP35" s="2" t="s">
        <v>861</v>
      </c>
      <c r="AQ35" s="2"/>
      <c r="AR35" s="2" t="s">
        <v>862</v>
      </c>
      <c r="AS35" s="2" t="s">
        <v>863</v>
      </c>
      <c r="AT35" s="2" t="s">
        <v>864</v>
      </c>
      <c r="AU35" s="2" t="n">
        <v>2012</v>
      </c>
      <c r="AV35" s="2" t="n">
        <v>43</v>
      </c>
      <c r="AW35" s="2" t="n">
        <v>1</v>
      </c>
      <c r="AX35" s="2"/>
      <c r="AY35" s="2"/>
      <c r="AZ35" s="2"/>
      <c r="BA35" s="2"/>
      <c r="BB35" s="2" t="n">
        <v>98</v>
      </c>
      <c r="BC35" s="2" t="n">
        <v>108</v>
      </c>
      <c r="BD35" s="2"/>
      <c r="BE35" s="2"/>
      <c r="BF35" s="2"/>
      <c r="BG35" s="2"/>
      <c r="BH35" s="2"/>
      <c r="BI35" s="2" t="n">
        <v>11</v>
      </c>
      <c r="BJ35" s="2" t="s">
        <v>211</v>
      </c>
      <c r="BK35" s="2" t="s">
        <v>100</v>
      </c>
      <c r="BL35" s="2" t="s">
        <v>211</v>
      </c>
      <c r="BM35" s="2" t="s">
        <v>865</v>
      </c>
      <c r="BN35" s="2" t="n">
        <v>24031808</v>
      </c>
      <c r="BO35" s="2"/>
      <c r="BP35" s="2"/>
      <c r="BQ35" s="2"/>
      <c r="BR35" s="2" t="s">
        <v>104</v>
      </c>
      <c r="BS35" s="2" t="s">
        <v>866</v>
      </c>
      <c r="BT35" s="2" t="str">
        <f aca="false">HYPERLINK("https%3A%2F%2Fwww.webofscience.com%2Fwos%2Fwoscc%2Ffull-record%2FWOS:000303939800011","View Full Record in Web of Science")</f>
        <v>View Full Record in Web of Science</v>
      </c>
    </row>
    <row r="36" customFormat="false" ht="12.75" hidden="false" customHeight="false" outlineLevel="0" collapsed="false">
      <c r="A36" s="2" t="s">
        <v>72</v>
      </c>
      <c r="B36" s="2" t="s">
        <v>867</v>
      </c>
      <c r="C36" s="2"/>
      <c r="D36" s="2"/>
      <c r="E36" s="2"/>
      <c r="F36" s="2" t="s">
        <v>868</v>
      </c>
      <c r="G36" s="2"/>
      <c r="H36" s="2"/>
      <c r="I36" s="2" t="s">
        <v>869</v>
      </c>
      <c r="J36" s="2" t="s">
        <v>607</v>
      </c>
      <c r="K36" s="2"/>
      <c r="L36" s="2"/>
      <c r="M36" s="2" t="s">
        <v>77</v>
      </c>
      <c r="N36" s="2" t="s">
        <v>78</v>
      </c>
      <c r="O36" s="2"/>
      <c r="P36" s="2"/>
      <c r="Q36" s="2"/>
      <c r="R36" s="2"/>
      <c r="S36" s="2"/>
      <c r="T36" s="2" t="s">
        <v>870</v>
      </c>
      <c r="U36" s="2" t="s">
        <v>871</v>
      </c>
      <c r="V36" s="2" t="s">
        <v>872</v>
      </c>
      <c r="W36" s="2" t="s">
        <v>873</v>
      </c>
      <c r="X36" s="2" t="s">
        <v>874</v>
      </c>
      <c r="Y36" s="2" t="s">
        <v>875</v>
      </c>
      <c r="Z36" s="2" t="s">
        <v>876</v>
      </c>
      <c r="AA36" s="2" t="s">
        <v>877</v>
      </c>
      <c r="AB36" s="2" t="s">
        <v>878</v>
      </c>
      <c r="AC36" s="2" t="s">
        <v>879</v>
      </c>
      <c r="AD36" s="2" t="s">
        <v>525</v>
      </c>
      <c r="AE36" s="2"/>
      <c r="AF36" s="2"/>
      <c r="AG36" s="2" t="n">
        <v>56</v>
      </c>
      <c r="AH36" s="2" t="n">
        <v>18</v>
      </c>
      <c r="AI36" s="2" t="n">
        <v>19</v>
      </c>
      <c r="AJ36" s="2" t="n">
        <v>0</v>
      </c>
      <c r="AK36" s="2" t="n">
        <v>2</v>
      </c>
      <c r="AL36" s="2" t="s">
        <v>620</v>
      </c>
      <c r="AM36" s="2" t="s">
        <v>621</v>
      </c>
      <c r="AN36" s="2" t="s">
        <v>622</v>
      </c>
      <c r="AO36" s="2" t="s">
        <v>623</v>
      </c>
      <c r="AP36" s="2"/>
      <c r="AQ36" s="2"/>
      <c r="AR36" s="2" t="s">
        <v>624</v>
      </c>
      <c r="AS36" s="2" t="s">
        <v>625</v>
      </c>
      <c r="AT36" s="2" t="s">
        <v>880</v>
      </c>
      <c r="AU36" s="2" t="n">
        <v>2021</v>
      </c>
      <c r="AV36" s="2" t="n">
        <v>12</v>
      </c>
      <c r="AW36" s="2"/>
      <c r="AX36" s="2"/>
      <c r="AY36" s="2"/>
      <c r="AZ36" s="2"/>
      <c r="BA36" s="2"/>
      <c r="BB36" s="2"/>
      <c r="BC36" s="2"/>
      <c r="BD36" s="2" t="n">
        <v>741837</v>
      </c>
      <c r="BE36" s="2" t="s">
        <v>881</v>
      </c>
      <c r="BF36" s="2" t="str">
        <f aca="false">HYPERLINK("http://dx.doi.org/10.3389/fimmu.2021.741837","http://dx.doi.org/10.3389/fimmu.2021.741837")</f>
        <v>http://dx.doi.org/10.3389/fimmu.2021.741837</v>
      </c>
      <c r="BG36" s="2"/>
      <c r="BH36" s="2"/>
      <c r="BI36" s="2" t="n">
        <v>17</v>
      </c>
      <c r="BJ36" s="2" t="s">
        <v>628</v>
      </c>
      <c r="BK36" s="2" t="s">
        <v>100</v>
      </c>
      <c r="BL36" s="2" t="s">
        <v>628</v>
      </c>
      <c r="BM36" s="2" t="s">
        <v>882</v>
      </c>
      <c r="BN36" s="2" t="n">
        <v>34777354</v>
      </c>
      <c r="BO36" s="2" t="s">
        <v>103</v>
      </c>
      <c r="BP36" s="2"/>
      <c r="BQ36" s="2"/>
      <c r="BR36" s="2" t="s">
        <v>104</v>
      </c>
      <c r="BS36" s="2" t="s">
        <v>883</v>
      </c>
      <c r="BT36" s="2" t="str">
        <f aca="false">HYPERLINK("https%3A%2F%2Fwww.webofscience.com%2Fwos%2Fwoscc%2Ffull-record%2FWOS:000717630200001","View Full Record in Web of Science")</f>
        <v>View Full Record in Web of Science</v>
      </c>
    </row>
    <row r="37" customFormat="false" ht="12.75" hidden="false" customHeight="false" outlineLevel="0" collapsed="false">
      <c r="A37" s="2" t="s">
        <v>72</v>
      </c>
      <c r="B37" s="2" t="s">
        <v>884</v>
      </c>
      <c r="C37" s="2"/>
      <c r="D37" s="2"/>
      <c r="E37" s="2"/>
      <c r="F37" s="2" t="s">
        <v>885</v>
      </c>
      <c r="G37" s="2"/>
      <c r="H37" s="2"/>
      <c r="I37" s="2" t="s">
        <v>886</v>
      </c>
      <c r="J37" s="2" t="s">
        <v>887</v>
      </c>
      <c r="K37" s="2"/>
      <c r="L37" s="2"/>
      <c r="M37" s="2" t="s">
        <v>77</v>
      </c>
      <c r="N37" s="2" t="s">
        <v>78</v>
      </c>
      <c r="O37" s="2"/>
      <c r="P37" s="2"/>
      <c r="Q37" s="2"/>
      <c r="R37" s="2"/>
      <c r="S37" s="2"/>
      <c r="T37" s="2" t="s">
        <v>888</v>
      </c>
      <c r="U37" s="2" t="s">
        <v>889</v>
      </c>
      <c r="V37" s="2" t="s">
        <v>890</v>
      </c>
      <c r="W37" s="2" t="s">
        <v>891</v>
      </c>
      <c r="X37" s="2" t="s">
        <v>892</v>
      </c>
      <c r="Y37" s="2" t="s">
        <v>893</v>
      </c>
      <c r="Z37" s="2" t="s">
        <v>894</v>
      </c>
      <c r="AA37" s="2" t="s">
        <v>895</v>
      </c>
      <c r="AB37" s="2" t="s">
        <v>896</v>
      </c>
      <c r="AC37" s="2"/>
      <c r="AD37" s="2"/>
      <c r="AE37" s="2"/>
      <c r="AF37" s="2"/>
      <c r="AG37" s="2" t="n">
        <v>13</v>
      </c>
      <c r="AH37" s="2" t="n">
        <v>0</v>
      </c>
      <c r="AI37" s="2" t="n">
        <v>0</v>
      </c>
      <c r="AJ37" s="2" t="n">
        <v>0</v>
      </c>
      <c r="AK37" s="2" t="n">
        <v>2</v>
      </c>
      <c r="AL37" s="2" t="s">
        <v>897</v>
      </c>
      <c r="AM37" s="2" t="s">
        <v>898</v>
      </c>
      <c r="AN37" s="2" t="s">
        <v>899</v>
      </c>
      <c r="AO37" s="2" t="s">
        <v>900</v>
      </c>
      <c r="AP37" s="2" t="s">
        <v>901</v>
      </c>
      <c r="AQ37" s="2"/>
      <c r="AR37" s="2" t="s">
        <v>902</v>
      </c>
      <c r="AS37" s="2" t="s">
        <v>903</v>
      </c>
      <c r="AT37" s="2" t="s">
        <v>904</v>
      </c>
      <c r="AU37" s="2" t="n">
        <v>2022</v>
      </c>
      <c r="AV37" s="2" t="n">
        <v>46</v>
      </c>
      <c r="AW37" s="2"/>
      <c r="AX37" s="2"/>
      <c r="AY37" s="2"/>
      <c r="AZ37" s="2"/>
      <c r="BA37" s="2"/>
      <c r="BB37" s="2"/>
      <c r="BC37" s="2"/>
      <c r="BD37" s="2"/>
      <c r="BE37" s="2" t="s">
        <v>905</v>
      </c>
      <c r="BF37" s="2" t="str">
        <f aca="false">HYPERLINK("http://dx.doi.org/10.33321/cdi.2022.46.54","http://dx.doi.org/10.33321/cdi.2022.46.54")</f>
        <v>http://dx.doi.org/10.33321/cdi.2022.46.54</v>
      </c>
      <c r="BG37" s="2"/>
      <c r="BH37" s="2"/>
      <c r="BI37" s="2" t="n">
        <v>11</v>
      </c>
      <c r="BJ37" s="2" t="s">
        <v>575</v>
      </c>
      <c r="BK37" s="2" t="s">
        <v>339</v>
      </c>
      <c r="BL37" s="2" t="s">
        <v>575</v>
      </c>
      <c r="BM37" s="2" t="s">
        <v>906</v>
      </c>
      <c r="BN37" s="2" t="n">
        <v>35981816</v>
      </c>
      <c r="BO37" s="2" t="s">
        <v>656</v>
      </c>
      <c r="BP37" s="2"/>
      <c r="BQ37" s="2"/>
      <c r="BR37" s="2" t="s">
        <v>104</v>
      </c>
      <c r="BS37" s="2" t="s">
        <v>907</v>
      </c>
      <c r="BT37" s="2" t="str">
        <f aca="false">HYPERLINK("https%3A%2F%2Fwww.webofscience.com%2Fwos%2Fwoscc%2Ffull-record%2FWOS:000846758700001","View Full Record in Web of Science")</f>
        <v>View Full Record in Web of Science</v>
      </c>
    </row>
    <row r="38" customFormat="false" ht="12.75" hidden="false" customHeight="false" outlineLevel="0" collapsed="false">
      <c r="A38" s="2" t="s">
        <v>72</v>
      </c>
      <c r="B38" s="2" t="s">
        <v>908</v>
      </c>
      <c r="C38" s="2"/>
      <c r="D38" s="2"/>
      <c r="E38" s="2"/>
      <c r="F38" s="2" t="s">
        <v>909</v>
      </c>
      <c r="G38" s="2"/>
      <c r="H38" s="2"/>
      <c r="I38" s="2" t="s">
        <v>910</v>
      </c>
      <c r="J38" s="2" t="s">
        <v>911</v>
      </c>
      <c r="K38" s="2"/>
      <c r="L38" s="2"/>
      <c r="M38" s="2" t="s">
        <v>77</v>
      </c>
      <c r="N38" s="2" t="s">
        <v>78</v>
      </c>
      <c r="O38" s="2"/>
      <c r="P38" s="2"/>
      <c r="Q38" s="2"/>
      <c r="R38" s="2"/>
      <c r="S38" s="2"/>
      <c r="T38" s="2" t="s">
        <v>912</v>
      </c>
      <c r="U38" s="2" t="s">
        <v>913</v>
      </c>
      <c r="V38" s="2" t="s">
        <v>914</v>
      </c>
      <c r="W38" s="2" t="s">
        <v>915</v>
      </c>
      <c r="X38" s="2" t="s">
        <v>916</v>
      </c>
      <c r="Y38" s="2" t="s">
        <v>917</v>
      </c>
      <c r="Z38" s="2" t="s">
        <v>918</v>
      </c>
      <c r="AA38" s="2"/>
      <c r="AB38" s="2"/>
      <c r="AC38" s="2"/>
      <c r="AD38" s="2"/>
      <c r="AE38" s="2"/>
      <c r="AF38" s="2"/>
      <c r="AG38" s="2" t="n">
        <v>45</v>
      </c>
      <c r="AH38" s="2" t="n">
        <v>6</v>
      </c>
      <c r="AI38" s="2" t="n">
        <v>6</v>
      </c>
      <c r="AJ38" s="2" t="n">
        <v>0</v>
      </c>
      <c r="AK38" s="2" t="n">
        <v>7</v>
      </c>
      <c r="AL38" s="2" t="s">
        <v>919</v>
      </c>
      <c r="AM38" s="2" t="s">
        <v>593</v>
      </c>
      <c r="AN38" s="2" t="s">
        <v>920</v>
      </c>
      <c r="AO38" s="2" t="s">
        <v>921</v>
      </c>
      <c r="AP38" s="2" t="s">
        <v>922</v>
      </c>
      <c r="AQ38" s="2"/>
      <c r="AR38" s="2" t="s">
        <v>923</v>
      </c>
      <c r="AS38" s="2" t="s">
        <v>924</v>
      </c>
      <c r="AT38" s="2" t="s">
        <v>925</v>
      </c>
      <c r="AU38" s="2" t="n">
        <v>2012</v>
      </c>
      <c r="AV38" s="2" t="n">
        <v>41</v>
      </c>
      <c r="AW38" s="2" t="n">
        <v>1</v>
      </c>
      <c r="AX38" s="2"/>
      <c r="AY38" s="2"/>
      <c r="AZ38" s="2"/>
      <c r="BA38" s="2"/>
      <c r="BB38" s="2" t="n">
        <v>76</v>
      </c>
      <c r="BC38" s="2" t="n">
        <v>82</v>
      </c>
      <c r="BD38" s="2"/>
      <c r="BE38" s="2" t="s">
        <v>926</v>
      </c>
      <c r="BF38" s="2" t="str">
        <f aca="false">HYPERLINK("http://dx.doi.org/10.1016/j.hrtlng.2011.05.004","http://dx.doi.org/10.1016/j.hrtlng.2011.05.004")</f>
        <v>http://dx.doi.org/10.1016/j.hrtlng.2011.05.004</v>
      </c>
      <c r="BG38" s="2"/>
      <c r="BH38" s="2"/>
      <c r="BI38" s="2" t="n">
        <v>7</v>
      </c>
      <c r="BJ38" s="2" t="s">
        <v>927</v>
      </c>
      <c r="BK38" s="2" t="s">
        <v>100</v>
      </c>
      <c r="BL38" s="2" t="s">
        <v>928</v>
      </c>
      <c r="BM38" s="2" t="s">
        <v>929</v>
      </c>
      <c r="BN38" s="2" t="n">
        <v>22005289</v>
      </c>
      <c r="BO38" s="2"/>
      <c r="BP38" s="2"/>
      <c r="BQ38" s="2"/>
      <c r="BR38" s="2" t="s">
        <v>104</v>
      </c>
      <c r="BS38" s="2" t="s">
        <v>930</v>
      </c>
      <c r="BT38" s="2" t="str">
        <f aca="false">HYPERLINK("https%3A%2F%2Fwww.webofscience.com%2Fwos%2Fwoscc%2Ffull-record%2FWOS:000299028000012","View Full Record in Web of Science")</f>
        <v>View Full Record in Web of Science</v>
      </c>
    </row>
    <row r="39" customFormat="false" ht="12.75" hidden="false" customHeight="false" outlineLevel="0" collapsed="false">
      <c r="A39" s="2" t="s">
        <v>72</v>
      </c>
      <c r="B39" s="2" t="s">
        <v>931</v>
      </c>
      <c r="C39" s="2"/>
      <c r="D39" s="2"/>
      <c r="E39" s="2"/>
      <c r="F39" s="2" t="s">
        <v>932</v>
      </c>
      <c r="G39" s="2"/>
      <c r="H39" s="2"/>
      <c r="I39" s="2" t="s">
        <v>933</v>
      </c>
      <c r="J39" s="2" t="s">
        <v>141</v>
      </c>
      <c r="K39" s="2"/>
      <c r="L39" s="2"/>
      <c r="M39" s="2" t="s">
        <v>77</v>
      </c>
      <c r="N39" s="2" t="s">
        <v>78</v>
      </c>
      <c r="O39" s="2"/>
      <c r="P39" s="2"/>
      <c r="Q39" s="2"/>
      <c r="R39" s="2"/>
      <c r="S39" s="2"/>
      <c r="T39" s="2" t="s">
        <v>934</v>
      </c>
      <c r="U39" s="2" t="s">
        <v>935</v>
      </c>
      <c r="V39" s="2" t="s">
        <v>936</v>
      </c>
      <c r="W39" s="2" t="s">
        <v>937</v>
      </c>
      <c r="X39" s="2" t="s">
        <v>938</v>
      </c>
      <c r="Y39" s="2" t="s">
        <v>939</v>
      </c>
      <c r="Z39" s="2" t="s">
        <v>940</v>
      </c>
      <c r="AA39" s="2" t="s">
        <v>941</v>
      </c>
      <c r="AB39" s="2" t="s">
        <v>942</v>
      </c>
      <c r="AC39" s="2"/>
      <c r="AD39" s="2"/>
      <c r="AE39" s="2"/>
      <c r="AF39" s="2"/>
      <c r="AG39" s="2" t="n">
        <v>51</v>
      </c>
      <c r="AH39" s="2" t="n">
        <v>73</v>
      </c>
      <c r="AI39" s="2" t="n">
        <v>81</v>
      </c>
      <c r="AJ39" s="2" t="n">
        <v>0</v>
      </c>
      <c r="AK39" s="2" t="n">
        <v>18</v>
      </c>
      <c r="AL39" s="2" t="s">
        <v>154</v>
      </c>
      <c r="AM39" s="2" t="s">
        <v>155</v>
      </c>
      <c r="AN39" s="2" t="s">
        <v>156</v>
      </c>
      <c r="AO39" s="2" t="s">
        <v>157</v>
      </c>
      <c r="AP39" s="2" t="s">
        <v>158</v>
      </c>
      <c r="AQ39" s="2"/>
      <c r="AR39" s="2" t="s">
        <v>159</v>
      </c>
      <c r="AS39" s="2" t="s">
        <v>160</v>
      </c>
      <c r="AT39" s="2" t="s">
        <v>390</v>
      </c>
      <c r="AU39" s="2" t="n">
        <v>2013</v>
      </c>
      <c r="AV39" s="2" t="n">
        <v>85</v>
      </c>
      <c r="AW39" s="2" t="n">
        <v>5</v>
      </c>
      <c r="AX39" s="2"/>
      <c r="AY39" s="2"/>
      <c r="AZ39" s="2"/>
      <c r="BA39" s="2"/>
      <c r="BB39" s="2" t="n">
        <v>924</v>
      </c>
      <c r="BC39" s="2" t="n">
        <v>932</v>
      </c>
      <c r="BD39" s="2"/>
      <c r="BE39" s="2" t="s">
        <v>943</v>
      </c>
      <c r="BF39" s="2" t="str">
        <f aca="false">HYPERLINK("http://dx.doi.org/10.1002/jmv.23455","http://dx.doi.org/10.1002/jmv.23455")</f>
        <v>http://dx.doi.org/10.1002/jmv.23455</v>
      </c>
      <c r="BG39" s="2"/>
      <c r="BH39" s="2"/>
      <c r="BI39" s="2" t="n">
        <v>9</v>
      </c>
      <c r="BJ39" s="2" t="s">
        <v>163</v>
      </c>
      <c r="BK39" s="2" t="s">
        <v>100</v>
      </c>
      <c r="BL39" s="2" t="s">
        <v>163</v>
      </c>
      <c r="BM39" s="2" t="s">
        <v>944</v>
      </c>
      <c r="BN39" s="2" t="n">
        <v>23508918</v>
      </c>
      <c r="BO39" s="2"/>
      <c r="BP39" s="2"/>
      <c r="BQ39" s="2"/>
      <c r="BR39" s="2" t="s">
        <v>104</v>
      </c>
      <c r="BS39" s="2" t="s">
        <v>945</v>
      </c>
      <c r="BT39" s="2" t="str">
        <f aca="false">HYPERLINK("https%3A%2F%2Fwww.webofscience.com%2Fwos%2Fwoscc%2Ffull-record%2FWOS:000316971500025","View Full Record in Web of Science")</f>
        <v>View Full Record in Web of Science</v>
      </c>
    </row>
    <row r="40" customFormat="false" ht="12.75" hidden="false" customHeight="false" outlineLevel="0" collapsed="false">
      <c r="A40" s="2" t="s">
        <v>72</v>
      </c>
      <c r="B40" s="2" t="s">
        <v>946</v>
      </c>
      <c r="C40" s="2"/>
      <c r="D40" s="2"/>
      <c r="E40" s="2"/>
      <c r="F40" s="2" t="s">
        <v>947</v>
      </c>
      <c r="G40" s="2"/>
      <c r="H40" s="2"/>
      <c r="I40" s="2" t="s">
        <v>948</v>
      </c>
      <c r="J40" s="2" t="s">
        <v>949</v>
      </c>
      <c r="K40" s="2"/>
      <c r="L40" s="2"/>
      <c r="M40" s="2" t="s">
        <v>77</v>
      </c>
      <c r="N40" s="2" t="s">
        <v>78</v>
      </c>
      <c r="O40" s="2"/>
      <c r="P40" s="2"/>
      <c r="Q40" s="2"/>
      <c r="R40" s="2"/>
      <c r="S40" s="2"/>
      <c r="T40" s="2" t="s">
        <v>950</v>
      </c>
      <c r="U40" s="2" t="s">
        <v>951</v>
      </c>
      <c r="V40" s="2" t="s">
        <v>952</v>
      </c>
      <c r="W40" s="2" t="s">
        <v>953</v>
      </c>
      <c r="X40" s="2" t="s">
        <v>954</v>
      </c>
      <c r="Y40" s="2" t="s">
        <v>955</v>
      </c>
      <c r="Z40" s="2" t="s">
        <v>956</v>
      </c>
      <c r="AA40" s="2"/>
      <c r="AB40" s="2"/>
      <c r="AC40" s="2"/>
      <c r="AD40" s="2"/>
      <c r="AE40" s="2"/>
      <c r="AF40" s="2"/>
      <c r="AG40" s="2" t="n">
        <v>69</v>
      </c>
      <c r="AH40" s="2" t="n">
        <v>1</v>
      </c>
      <c r="AI40" s="2" t="n">
        <v>1</v>
      </c>
      <c r="AJ40" s="2" t="n">
        <v>8</v>
      </c>
      <c r="AK40" s="2" t="n">
        <v>10</v>
      </c>
      <c r="AL40" s="2" t="s">
        <v>957</v>
      </c>
      <c r="AM40" s="2" t="s">
        <v>123</v>
      </c>
      <c r="AN40" s="2" t="s">
        <v>958</v>
      </c>
      <c r="AO40" s="2" t="s">
        <v>959</v>
      </c>
      <c r="AP40" s="2" t="s">
        <v>960</v>
      </c>
      <c r="AQ40" s="2"/>
      <c r="AR40" s="2" t="s">
        <v>961</v>
      </c>
      <c r="AS40" s="2" t="s">
        <v>962</v>
      </c>
      <c r="AT40" s="2" t="s">
        <v>97</v>
      </c>
      <c r="AU40" s="2" t="n">
        <v>2024</v>
      </c>
      <c r="AV40" s="2" t="n">
        <v>38</v>
      </c>
      <c r="AW40" s="2" t="n">
        <v>1</v>
      </c>
      <c r="AX40" s="2"/>
      <c r="AY40" s="2"/>
      <c r="AZ40" s="2"/>
      <c r="BA40" s="2"/>
      <c r="BB40" s="2" t="n">
        <v>163</v>
      </c>
      <c r="BC40" s="2" t="n">
        <v>182</v>
      </c>
      <c r="BD40" s="2"/>
      <c r="BE40" s="2" t="s">
        <v>963</v>
      </c>
      <c r="BF40" s="2" t="str">
        <f aca="false">HYPERLINK("http://dx.doi.org/10.1016/j.idc.2023.12.009","http://dx.doi.org/10.1016/j.idc.2023.12.009")</f>
        <v>http://dx.doi.org/10.1016/j.idc.2023.12.009</v>
      </c>
      <c r="BG40" s="2"/>
      <c r="BH40" s="2" t="s">
        <v>964</v>
      </c>
      <c r="BI40" s="2" t="n">
        <v>20</v>
      </c>
      <c r="BJ40" s="2" t="s">
        <v>965</v>
      </c>
      <c r="BK40" s="2" t="s">
        <v>100</v>
      </c>
      <c r="BL40" s="2" t="s">
        <v>965</v>
      </c>
      <c r="BM40" s="2" t="s">
        <v>966</v>
      </c>
      <c r="BN40" s="2" t="n">
        <v>38280762</v>
      </c>
      <c r="BO40" s="2"/>
      <c r="BP40" s="2"/>
      <c r="BQ40" s="2"/>
      <c r="BR40" s="2" t="s">
        <v>104</v>
      </c>
      <c r="BS40" s="2" t="s">
        <v>967</v>
      </c>
      <c r="BT40" s="2" t="str">
        <f aca="false">HYPERLINK("https%3A%2F%2Fwww.webofscience.com%2Fwos%2Fwoscc%2Ffull-record%2FWOS:001175496600001","View Full Record in Web of Science")</f>
        <v>View Full Record in Web of Science</v>
      </c>
    </row>
    <row r="41" customFormat="false" ht="12.75" hidden="false" customHeight="false" outlineLevel="0" collapsed="false">
      <c r="A41" s="2" t="s">
        <v>72</v>
      </c>
      <c r="B41" s="2" t="s">
        <v>968</v>
      </c>
      <c r="C41" s="2"/>
      <c r="D41" s="2"/>
      <c r="E41" s="2"/>
      <c r="F41" s="2" t="s">
        <v>969</v>
      </c>
      <c r="G41" s="2"/>
      <c r="H41" s="2"/>
      <c r="I41" s="2" t="s">
        <v>970</v>
      </c>
      <c r="J41" s="2" t="s">
        <v>971</v>
      </c>
      <c r="K41" s="2"/>
      <c r="L41" s="2"/>
      <c r="M41" s="2" t="s">
        <v>77</v>
      </c>
      <c r="N41" s="2" t="s">
        <v>78</v>
      </c>
      <c r="O41" s="2"/>
      <c r="P41" s="2"/>
      <c r="Q41" s="2"/>
      <c r="R41" s="2"/>
      <c r="S41" s="2"/>
      <c r="T41" s="2" t="s">
        <v>972</v>
      </c>
      <c r="U41" s="2" t="s">
        <v>973</v>
      </c>
      <c r="V41" s="2" t="s">
        <v>974</v>
      </c>
      <c r="W41" s="2" t="s">
        <v>975</v>
      </c>
      <c r="X41" s="2" t="s">
        <v>976</v>
      </c>
      <c r="Y41" s="2" t="s">
        <v>977</v>
      </c>
      <c r="Z41" s="2" t="s">
        <v>978</v>
      </c>
      <c r="AA41" s="2"/>
      <c r="AB41" s="2" t="s">
        <v>979</v>
      </c>
      <c r="AC41" s="2" t="s">
        <v>980</v>
      </c>
      <c r="AD41" s="2" t="s">
        <v>981</v>
      </c>
      <c r="AE41" s="2"/>
      <c r="AF41" s="2"/>
      <c r="AG41" s="2" t="n">
        <v>145</v>
      </c>
      <c r="AH41" s="2" t="n">
        <v>17</v>
      </c>
      <c r="AI41" s="2" t="n">
        <v>19</v>
      </c>
      <c r="AJ41" s="2" t="n">
        <v>0</v>
      </c>
      <c r="AK41" s="2" t="n">
        <v>9</v>
      </c>
      <c r="AL41" s="2" t="s">
        <v>957</v>
      </c>
      <c r="AM41" s="2" t="s">
        <v>123</v>
      </c>
      <c r="AN41" s="2" t="s">
        <v>958</v>
      </c>
      <c r="AO41" s="2" t="s">
        <v>982</v>
      </c>
      <c r="AP41" s="2" t="s">
        <v>983</v>
      </c>
      <c r="AQ41" s="2"/>
      <c r="AR41" s="2" t="s">
        <v>984</v>
      </c>
      <c r="AS41" s="2" t="s">
        <v>985</v>
      </c>
      <c r="AT41" s="2" t="s">
        <v>97</v>
      </c>
      <c r="AU41" s="2" t="n">
        <v>2017</v>
      </c>
      <c r="AV41" s="2" t="n">
        <v>38</v>
      </c>
      <c r="AW41" s="2" t="n">
        <v>1</v>
      </c>
      <c r="AX41" s="2"/>
      <c r="AY41" s="2"/>
      <c r="AZ41" s="2"/>
      <c r="BA41" s="2"/>
      <c r="BB41" s="2" t="n">
        <v>97</v>
      </c>
      <c r="BC41" s="2" t="s">
        <v>986</v>
      </c>
      <c r="BD41" s="2"/>
      <c r="BE41" s="2" t="s">
        <v>987</v>
      </c>
      <c r="BF41" s="2" t="str">
        <f aca="false">HYPERLINK("http://dx.doi.org/10.1016/j.ccm.2016.11.002","http://dx.doi.org/10.1016/j.ccm.2016.11.002")</f>
        <v>http://dx.doi.org/10.1016/j.ccm.2016.11.002</v>
      </c>
      <c r="BG41" s="2"/>
      <c r="BH41" s="2"/>
      <c r="BI41" s="2" t="n">
        <v>16</v>
      </c>
      <c r="BJ41" s="2" t="s">
        <v>338</v>
      </c>
      <c r="BK41" s="2" t="s">
        <v>100</v>
      </c>
      <c r="BL41" s="2" t="s">
        <v>338</v>
      </c>
      <c r="BM41" s="2" t="s">
        <v>988</v>
      </c>
      <c r="BN41" s="2" t="n">
        <v>28159165</v>
      </c>
      <c r="BO41" s="2" t="s">
        <v>695</v>
      </c>
      <c r="BP41" s="2"/>
      <c r="BQ41" s="2"/>
      <c r="BR41" s="2" t="s">
        <v>104</v>
      </c>
      <c r="BS41" s="2" t="s">
        <v>989</v>
      </c>
      <c r="BT41" s="2" t="str">
        <f aca="false">HYPERLINK("https%3A%2F%2Fwww.webofscience.com%2Fwos%2Fwoscc%2Ffull-record%2FWOS:000396387100011","View Full Record in Web of Science")</f>
        <v>View Full Record in Web of Science</v>
      </c>
    </row>
    <row r="42" customFormat="false" ht="12.75" hidden="false" customHeight="false" outlineLevel="0" collapsed="false">
      <c r="A42" s="2" t="s">
        <v>72</v>
      </c>
      <c r="B42" s="2" t="s">
        <v>990</v>
      </c>
      <c r="C42" s="2"/>
      <c r="D42" s="2"/>
      <c r="E42" s="2"/>
      <c r="F42" s="2" t="s">
        <v>991</v>
      </c>
      <c r="G42" s="2"/>
      <c r="H42" s="2"/>
      <c r="I42" s="2" t="s">
        <v>992</v>
      </c>
      <c r="J42" s="2" t="s">
        <v>170</v>
      </c>
      <c r="K42" s="2"/>
      <c r="L42" s="2"/>
      <c r="M42" s="2" t="s">
        <v>77</v>
      </c>
      <c r="N42" s="2" t="s">
        <v>78</v>
      </c>
      <c r="O42" s="2"/>
      <c r="P42" s="2"/>
      <c r="Q42" s="2"/>
      <c r="R42" s="2"/>
      <c r="S42" s="2"/>
      <c r="T42" s="2" t="s">
        <v>993</v>
      </c>
      <c r="U42" s="2" t="s">
        <v>994</v>
      </c>
      <c r="V42" s="2" t="s">
        <v>995</v>
      </c>
      <c r="W42" s="2" t="s">
        <v>996</v>
      </c>
      <c r="X42" s="2" t="s">
        <v>997</v>
      </c>
      <c r="Y42" s="2" t="s">
        <v>998</v>
      </c>
      <c r="Z42" s="2" t="s">
        <v>999</v>
      </c>
      <c r="AA42" s="2" t="s">
        <v>1000</v>
      </c>
      <c r="AB42" s="2" t="s">
        <v>1001</v>
      </c>
      <c r="AC42" s="2" t="s">
        <v>1002</v>
      </c>
      <c r="AD42" s="2" t="s">
        <v>1003</v>
      </c>
      <c r="AE42" s="2" t="s">
        <v>1004</v>
      </c>
      <c r="AF42" s="2"/>
      <c r="AG42" s="2" t="n">
        <v>39</v>
      </c>
      <c r="AH42" s="2" t="n">
        <v>2</v>
      </c>
      <c r="AI42" s="2" t="n">
        <v>2</v>
      </c>
      <c r="AJ42" s="2" t="n">
        <v>2</v>
      </c>
      <c r="AK42" s="2" t="n">
        <v>3</v>
      </c>
      <c r="AL42" s="2" t="s">
        <v>91</v>
      </c>
      <c r="AM42" s="2" t="s">
        <v>92</v>
      </c>
      <c r="AN42" s="2" t="s">
        <v>93</v>
      </c>
      <c r="AO42" s="2"/>
      <c r="AP42" s="2" t="s">
        <v>182</v>
      </c>
      <c r="AQ42" s="2"/>
      <c r="AR42" s="2" t="s">
        <v>183</v>
      </c>
      <c r="AS42" s="2" t="s">
        <v>184</v>
      </c>
      <c r="AT42" s="2" t="s">
        <v>1005</v>
      </c>
      <c r="AU42" s="2" t="n">
        <v>2023</v>
      </c>
      <c r="AV42" s="2" t="n">
        <v>11</v>
      </c>
      <c r="AW42" s="2" t="n">
        <v>5</v>
      </c>
      <c r="AX42" s="2"/>
      <c r="AY42" s="2"/>
      <c r="AZ42" s="2"/>
      <c r="BA42" s="2"/>
      <c r="BB42" s="2"/>
      <c r="BC42" s="2"/>
      <c r="BD42" s="2" t="n">
        <v>905</v>
      </c>
      <c r="BE42" s="2" t="s">
        <v>1006</v>
      </c>
      <c r="BF42" s="2" t="str">
        <f aca="false">HYPERLINK("http://dx.doi.org/10.3390/vaccines11050905","http://dx.doi.org/10.3390/vaccines11050905")</f>
        <v>http://dx.doi.org/10.3390/vaccines11050905</v>
      </c>
      <c r="BG42" s="2"/>
      <c r="BH42" s="2"/>
      <c r="BI42" s="2" t="n">
        <v>12</v>
      </c>
      <c r="BJ42" s="2" t="s">
        <v>187</v>
      </c>
      <c r="BK42" s="2" t="s">
        <v>100</v>
      </c>
      <c r="BL42" s="2" t="s">
        <v>188</v>
      </c>
      <c r="BM42" s="2" t="s">
        <v>1007</v>
      </c>
      <c r="BN42" s="2" t="n">
        <v>37243009</v>
      </c>
      <c r="BO42" s="2" t="s">
        <v>190</v>
      </c>
      <c r="BP42" s="2"/>
      <c r="BQ42" s="2"/>
      <c r="BR42" s="2" t="s">
        <v>104</v>
      </c>
      <c r="BS42" s="2" t="s">
        <v>1008</v>
      </c>
      <c r="BT42" s="2" t="str">
        <f aca="false">HYPERLINK("https%3A%2F%2Fwww.webofscience.com%2Fwos%2Fwoscc%2Ffull-record%2FWOS:000997356400001","View Full Record in Web of Science")</f>
        <v>View Full Record in Web of Science</v>
      </c>
    </row>
    <row r="43" customFormat="false" ht="12.75" hidden="false" customHeight="false" outlineLevel="0" collapsed="false">
      <c r="A43" s="2" t="s">
        <v>72</v>
      </c>
      <c r="B43" s="2" t="s">
        <v>1009</v>
      </c>
      <c r="C43" s="2"/>
      <c r="D43" s="2"/>
      <c r="E43" s="2"/>
      <c r="F43" s="2" t="s">
        <v>1010</v>
      </c>
      <c r="G43" s="2"/>
      <c r="H43" s="2"/>
      <c r="I43" s="2" t="s">
        <v>1011</v>
      </c>
      <c r="J43" s="2" t="s">
        <v>949</v>
      </c>
      <c r="K43" s="2"/>
      <c r="L43" s="2"/>
      <c r="M43" s="2" t="s">
        <v>77</v>
      </c>
      <c r="N43" s="2" t="s">
        <v>78</v>
      </c>
      <c r="O43" s="2"/>
      <c r="P43" s="2"/>
      <c r="Q43" s="2"/>
      <c r="R43" s="2"/>
      <c r="S43" s="2"/>
      <c r="T43" s="2" t="s">
        <v>1012</v>
      </c>
      <c r="U43" s="2" t="s">
        <v>1013</v>
      </c>
      <c r="V43" s="2" t="s">
        <v>1014</v>
      </c>
      <c r="W43" s="2" t="s">
        <v>1015</v>
      </c>
      <c r="X43" s="2" t="s">
        <v>1016</v>
      </c>
      <c r="Y43" s="2" t="s">
        <v>1017</v>
      </c>
      <c r="Z43" s="2" t="s">
        <v>1018</v>
      </c>
      <c r="AA43" s="2"/>
      <c r="AB43" s="2"/>
      <c r="AC43" s="2" t="s">
        <v>1019</v>
      </c>
      <c r="AD43" s="2" t="s">
        <v>981</v>
      </c>
      <c r="AE43" s="2"/>
      <c r="AF43" s="2"/>
      <c r="AG43" s="2" t="n">
        <v>159</v>
      </c>
      <c r="AH43" s="2" t="n">
        <v>65</v>
      </c>
      <c r="AI43" s="2" t="n">
        <v>72</v>
      </c>
      <c r="AJ43" s="2" t="n">
        <v>0</v>
      </c>
      <c r="AK43" s="2" t="n">
        <v>9</v>
      </c>
      <c r="AL43" s="2" t="s">
        <v>957</v>
      </c>
      <c r="AM43" s="2" t="s">
        <v>123</v>
      </c>
      <c r="AN43" s="2" t="s">
        <v>958</v>
      </c>
      <c r="AO43" s="2" t="s">
        <v>959</v>
      </c>
      <c r="AP43" s="2" t="s">
        <v>960</v>
      </c>
      <c r="AQ43" s="2"/>
      <c r="AR43" s="2" t="s">
        <v>961</v>
      </c>
      <c r="AS43" s="2" t="s">
        <v>962</v>
      </c>
      <c r="AT43" s="2" t="s">
        <v>129</v>
      </c>
      <c r="AU43" s="2" t="n">
        <v>2017</v>
      </c>
      <c r="AV43" s="2" t="n">
        <v>31</v>
      </c>
      <c r="AW43" s="2" t="n">
        <v>3</v>
      </c>
      <c r="AX43" s="2"/>
      <c r="AY43" s="2"/>
      <c r="AZ43" s="2"/>
      <c r="BA43" s="2"/>
      <c r="BB43" s="2" t="n">
        <v>455</v>
      </c>
      <c r="BC43" s="2" t="s">
        <v>986</v>
      </c>
      <c r="BD43" s="2"/>
      <c r="BE43" s="2" t="s">
        <v>1020</v>
      </c>
      <c r="BF43" s="2" t="str">
        <f aca="false">HYPERLINK("http://dx.doi.org/10.1016/j.idc.2017.05.004","http://dx.doi.org/10.1016/j.idc.2017.05.004")</f>
        <v>http://dx.doi.org/10.1016/j.idc.2017.05.004</v>
      </c>
      <c r="BG43" s="2"/>
      <c r="BH43" s="2"/>
      <c r="BI43" s="2" t="n">
        <v>22</v>
      </c>
      <c r="BJ43" s="2" t="s">
        <v>965</v>
      </c>
      <c r="BK43" s="2" t="s">
        <v>100</v>
      </c>
      <c r="BL43" s="2" t="s">
        <v>965</v>
      </c>
      <c r="BM43" s="2" t="s">
        <v>1021</v>
      </c>
      <c r="BN43" s="2" t="n">
        <v>28687214</v>
      </c>
      <c r="BO43" s="2" t="s">
        <v>695</v>
      </c>
      <c r="BP43" s="2"/>
      <c r="BQ43" s="2"/>
      <c r="BR43" s="2" t="s">
        <v>104</v>
      </c>
      <c r="BS43" s="2" t="s">
        <v>1022</v>
      </c>
      <c r="BT43" s="2" t="str">
        <f aca="false">HYPERLINK("https%3A%2F%2Fwww.webofscience.com%2Fwos%2Fwoscc%2Ffull-record%2FWOS:000408785700005","View Full Record in Web of Science")</f>
        <v>View Full Record in Web of Science</v>
      </c>
    </row>
    <row r="44" customFormat="false" ht="12.75" hidden="false" customHeight="false" outlineLevel="0" collapsed="false">
      <c r="A44" s="2" t="s">
        <v>72</v>
      </c>
      <c r="B44" s="2" t="s">
        <v>1023</v>
      </c>
      <c r="C44" s="2"/>
      <c r="D44" s="2"/>
      <c r="E44" s="2"/>
      <c r="F44" s="2" t="s">
        <v>1024</v>
      </c>
      <c r="G44" s="2"/>
      <c r="H44" s="2"/>
      <c r="I44" s="2" t="s">
        <v>1025</v>
      </c>
      <c r="J44" s="2" t="s">
        <v>1026</v>
      </c>
      <c r="K44" s="2"/>
      <c r="L44" s="2"/>
      <c r="M44" s="2" t="s">
        <v>77</v>
      </c>
      <c r="N44" s="2" t="s">
        <v>78</v>
      </c>
      <c r="O44" s="2"/>
      <c r="P44" s="2"/>
      <c r="Q44" s="2"/>
      <c r="R44" s="2"/>
      <c r="S44" s="2"/>
      <c r="T44" s="2" t="s">
        <v>1027</v>
      </c>
      <c r="U44" s="2" t="s">
        <v>1028</v>
      </c>
      <c r="V44" s="2" t="s">
        <v>1029</v>
      </c>
      <c r="W44" s="2" t="s">
        <v>1030</v>
      </c>
      <c r="X44" s="2" t="s">
        <v>1031</v>
      </c>
      <c r="Y44" s="2" t="s">
        <v>1032</v>
      </c>
      <c r="Z44" s="2" t="s">
        <v>1033</v>
      </c>
      <c r="AA44" s="2"/>
      <c r="AB44" s="2"/>
      <c r="AC44" s="2" t="s">
        <v>1034</v>
      </c>
      <c r="AD44" s="2" t="s">
        <v>1035</v>
      </c>
      <c r="AE44" s="2" t="s">
        <v>1036</v>
      </c>
      <c r="AF44" s="2"/>
      <c r="AG44" s="2" t="n">
        <v>16</v>
      </c>
      <c r="AH44" s="2" t="n">
        <v>35</v>
      </c>
      <c r="AI44" s="2" t="n">
        <v>36</v>
      </c>
      <c r="AJ44" s="2" t="n">
        <v>0</v>
      </c>
      <c r="AK44" s="2" t="n">
        <v>1</v>
      </c>
      <c r="AL44" s="2" t="s">
        <v>957</v>
      </c>
      <c r="AM44" s="2" t="s">
        <v>123</v>
      </c>
      <c r="AN44" s="2" t="s">
        <v>958</v>
      </c>
      <c r="AO44" s="2" t="s">
        <v>1037</v>
      </c>
      <c r="AP44" s="2" t="s">
        <v>1038</v>
      </c>
      <c r="AQ44" s="2"/>
      <c r="AR44" s="2" t="s">
        <v>1039</v>
      </c>
      <c r="AS44" s="2" t="s">
        <v>1040</v>
      </c>
      <c r="AT44" s="2" t="s">
        <v>1041</v>
      </c>
      <c r="AU44" s="2" t="n">
        <v>2016</v>
      </c>
      <c r="AV44" s="2" t="n">
        <v>31</v>
      </c>
      <c r="AW44" s="2" t="n">
        <v>1</v>
      </c>
      <c r="AX44" s="2"/>
      <c r="AY44" s="2"/>
      <c r="AZ44" s="2"/>
      <c r="BA44" s="2"/>
      <c r="BB44" s="2" t="n">
        <v>233</v>
      </c>
      <c r="BC44" s="2" t="n">
        <v>237</v>
      </c>
      <c r="BD44" s="2"/>
      <c r="BE44" s="2" t="s">
        <v>1042</v>
      </c>
      <c r="BF44" s="2" t="str">
        <f aca="false">HYPERLINK("http://dx.doi.org/10.1016/j.jcrc.2015.09.035","http://dx.doi.org/10.1016/j.jcrc.2015.09.035")</f>
        <v>http://dx.doi.org/10.1016/j.jcrc.2015.09.035</v>
      </c>
      <c r="BG44" s="2"/>
      <c r="BH44" s="2"/>
      <c r="BI44" s="2" t="n">
        <v>5</v>
      </c>
      <c r="BJ44" s="2" t="s">
        <v>473</v>
      </c>
      <c r="BK44" s="2" t="s">
        <v>100</v>
      </c>
      <c r="BL44" s="2" t="s">
        <v>364</v>
      </c>
      <c r="BM44" s="2" t="s">
        <v>1043</v>
      </c>
      <c r="BN44" s="2" t="n">
        <v>26572580</v>
      </c>
      <c r="BO44" s="2" t="s">
        <v>695</v>
      </c>
      <c r="BP44" s="2"/>
      <c r="BQ44" s="2"/>
      <c r="BR44" s="2" t="s">
        <v>104</v>
      </c>
      <c r="BS44" s="2" t="s">
        <v>1044</v>
      </c>
      <c r="BT44" s="2" t="str">
        <f aca="false">HYPERLINK("https%3A%2F%2Fwww.webofscience.com%2Fwos%2Fwoscc%2Ffull-record%2FWOS:000366650500040","View Full Record in Web of Science")</f>
        <v>View Full Record in Web of Science</v>
      </c>
    </row>
    <row r="45" customFormat="false" ht="12.75" hidden="false" customHeight="false" outlineLevel="0" collapsed="false">
      <c r="A45" s="2" t="s">
        <v>72</v>
      </c>
      <c r="B45" s="2" t="s">
        <v>1045</v>
      </c>
      <c r="C45" s="2"/>
      <c r="D45" s="2"/>
      <c r="E45" s="2"/>
      <c r="F45" s="2" t="s">
        <v>1046</v>
      </c>
      <c r="G45" s="2"/>
      <c r="H45" s="2"/>
      <c r="I45" s="2" t="s">
        <v>1047</v>
      </c>
      <c r="J45" s="2" t="s">
        <v>1048</v>
      </c>
      <c r="K45" s="2"/>
      <c r="L45" s="2"/>
      <c r="M45" s="2" t="s">
        <v>77</v>
      </c>
      <c r="N45" s="2" t="s">
        <v>78</v>
      </c>
      <c r="O45" s="2"/>
      <c r="P45" s="2"/>
      <c r="Q45" s="2"/>
      <c r="R45" s="2"/>
      <c r="S45" s="2"/>
      <c r="T45" s="2" t="s">
        <v>1049</v>
      </c>
      <c r="U45" s="2" t="s">
        <v>1050</v>
      </c>
      <c r="V45" s="2" t="s">
        <v>1051</v>
      </c>
      <c r="W45" s="2" t="s">
        <v>1052</v>
      </c>
      <c r="X45" s="2" t="s">
        <v>1053</v>
      </c>
      <c r="Y45" s="2" t="s">
        <v>1054</v>
      </c>
      <c r="Z45" s="2" t="s">
        <v>1055</v>
      </c>
      <c r="AA45" s="2" t="s">
        <v>1056</v>
      </c>
      <c r="AB45" s="2" t="s">
        <v>1057</v>
      </c>
      <c r="AC45" s="2" t="s">
        <v>1058</v>
      </c>
      <c r="AD45" s="2" t="s">
        <v>1059</v>
      </c>
      <c r="AE45" s="2" t="s">
        <v>1060</v>
      </c>
      <c r="AF45" s="2"/>
      <c r="AG45" s="2" t="n">
        <v>45</v>
      </c>
      <c r="AH45" s="2" t="n">
        <v>0</v>
      </c>
      <c r="AI45" s="2" t="n">
        <v>0</v>
      </c>
      <c r="AJ45" s="2" t="n">
        <v>0</v>
      </c>
      <c r="AK45" s="2" t="n">
        <v>2</v>
      </c>
      <c r="AL45" s="2" t="s">
        <v>91</v>
      </c>
      <c r="AM45" s="2" t="s">
        <v>92</v>
      </c>
      <c r="AN45" s="2" t="s">
        <v>93</v>
      </c>
      <c r="AO45" s="2"/>
      <c r="AP45" s="2" t="s">
        <v>1061</v>
      </c>
      <c r="AQ45" s="2"/>
      <c r="AR45" s="2" t="s">
        <v>1048</v>
      </c>
      <c r="AS45" s="2" t="s">
        <v>1062</v>
      </c>
      <c r="AT45" s="2" t="s">
        <v>804</v>
      </c>
      <c r="AU45" s="2" t="n">
        <v>2023</v>
      </c>
      <c r="AV45" s="2" t="n">
        <v>11</v>
      </c>
      <c r="AW45" s="2" t="n">
        <v>11</v>
      </c>
      <c r="AX45" s="2"/>
      <c r="AY45" s="2"/>
      <c r="AZ45" s="2"/>
      <c r="BA45" s="2"/>
      <c r="BB45" s="2"/>
      <c r="BC45" s="2"/>
      <c r="BD45" s="2" t="n">
        <v>2744</v>
      </c>
      <c r="BE45" s="2" t="s">
        <v>1063</v>
      </c>
      <c r="BF45" s="2" t="str">
        <f aca="false">HYPERLINK("http://dx.doi.org/10.3390/microorganisms11112744","http://dx.doi.org/10.3390/microorganisms11112744")</f>
        <v>http://dx.doi.org/10.3390/microorganisms11112744</v>
      </c>
      <c r="BG45" s="2"/>
      <c r="BH45" s="2"/>
      <c r="BI45" s="2" t="n">
        <v>10</v>
      </c>
      <c r="BJ45" s="2" t="s">
        <v>211</v>
      </c>
      <c r="BK45" s="2" t="s">
        <v>100</v>
      </c>
      <c r="BL45" s="2" t="s">
        <v>211</v>
      </c>
      <c r="BM45" s="2" t="s">
        <v>1064</v>
      </c>
      <c r="BN45" s="2" t="n">
        <v>38004755</v>
      </c>
      <c r="BO45" s="2" t="s">
        <v>190</v>
      </c>
      <c r="BP45" s="2"/>
      <c r="BQ45" s="2"/>
      <c r="BR45" s="2" t="s">
        <v>104</v>
      </c>
      <c r="BS45" s="2" t="s">
        <v>1065</v>
      </c>
      <c r="BT45" s="2" t="str">
        <f aca="false">HYPERLINK("https%3A%2F%2Fwww.webofscience.com%2Fwos%2Fwoscc%2Ffull-record%2FWOS:001159062400001","View Full Record in Web of Science")</f>
        <v>View Full Record in Web of Science</v>
      </c>
    </row>
    <row r="46" customFormat="false" ht="12.75" hidden="false" customHeight="false" outlineLevel="0" collapsed="false">
      <c r="A46" s="2" t="s">
        <v>72</v>
      </c>
      <c r="B46" s="2" t="s">
        <v>1066</v>
      </c>
      <c r="C46" s="2"/>
      <c r="D46" s="2"/>
      <c r="E46" s="2"/>
      <c r="F46" s="2" t="s">
        <v>1067</v>
      </c>
      <c r="G46" s="2"/>
      <c r="H46" s="2"/>
      <c r="I46" s="2" t="s">
        <v>1068</v>
      </c>
      <c r="J46" s="2" t="s">
        <v>1069</v>
      </c>
      <c r="K46" s="2"/>
      <c r="L46" s="2"/>
      <c r="M46" s="2" t="s">
        <v>77</v>
      </c>
      <c r="N46" s="2" t="s">
        <v>78</v>
      </c>
      <c r="O46" s="2"/>
      <c r="P46" s="2"/>
      <c r="Q46" s="2"/>
      <c r="R46" s="2"/>
      <c r="S46" s="2"/>
      <c r="T46" s="2" t="s">
        <v>1070</v>
      </c>
      <c r="U46" s="2" t="s">
        <v>1071</v>
      </c>
      <c r="V46" s="2" t="s">
        <v>1072</v>
      </c>
      <c r="W46" s="2" t="s">
        <v>1073</v>
      </c>
      <c r="X46" s="2" t="s">
        <v>1074</v>
      </c>
      <c r="Y46" s="2" t="s">
        <v>1075</v>
      </c>
      <c r="Z46" s="2" t="s">
        <v>548</v>
      </c>
      <c r="AA46" s="2" t="s">
        <v>1076</v>
      </c>
      <c r="AB46" s="2" t="s">
        <v>1077</v>
      </c>
      <c r="AC46" s="2" t="s">
        <v>1078</v>
      </c>
      <c r="AD46" s="2" t="s">
        <v>1079</v>
      </c>
      <c r="AE46" s="2"/>
      <c r="AF46" s="2"/>
      <c r="AG46" s="2" t="n">
        <v>27</v>
      </c>
      <c r="AH46" s="2" t="n">
        <v>41</v>
      </c>
      <c r="AI46" s="2" t="n">
        <v>44</v>
      </c>
      <c r="AJ46" s="2" t="n">
        <v>0</v>
      </c>
      <c r="AK46" s="2" t="n">
        <v>5</v>
      </c>
      <c r="AL46" s="2" t="s">
        <v>154</v>
      </c>
      <c r="AM46" s="2" t="s">
        <v>155</v>
      </c>
      <c r="AN46" s="2" t="s">
        <v>156</v>
      </c>
      <c r="AO46" s="2" t="s">
        <v>1080</v>
      </c>
      <c r="AP46" s="2" t="s">
        <v>1081</v>
      </c>
      <c r="AQ46" s="2"/>
      <c r="AR46" s="2" t="s">
        <v>1082</v>
      </c>
      <c r="AS46" s="2" t="s">
        <v>1083</v>
      </c>
      <c r="AT46" s="2" t="s">
        <v>599</v>
      </c>
      <c r="AU46" s="2" t="n">
        <v>2008</v>
      </c>
      <c r="AV46" s="2" t="n">
        <v>56</v>
      </c>
      <c r="AW46" s="2" t="n">
        <v>7</v>
      </c>
      <c r="AX46" s="2"/>
      <c r="AY46" s="2"/>
      <c r="AZ46" s="2"/>
      <c r="BA46" s="2"/>
      <c r="BB46" s="2" t="n">
        <v>1281</v>
      </c>
      <c r="BC46" s="2" t="n">
        <v>1285</v>
      </c>
      <c r="BD46" s="2"/>
      <c r="BE46" s="2" t="s">
        <v>1084</v>
      </c>
      <c r="BF46" s="2" t="str">
        <f aca="false">HYPERLINK("http://dx.doi.org/10.1111/j.1532-5415.2008.01775.x","http://dx.doi.org/10.1111/j.1532-5415.2008.01775.x")</f>
        <v>http://dx.doi.org/10.1111/j.1532-5415.2008.01775.x</v>
      </c>
      <c r="BG46" s="2"/>
      <c r="BH46" s="2"/>
      <c r="BI46" s="2" t="n">
        <v>5</v>
      </c>
      <c r="BJ46" s="2" t="s">
        <v>1085</v>
      </c>
      <c r="BK46" s="2" t="s">
        <v>1086</v>
      </c>
      <c r="BL46" s="2" t="s">
        <v>1087</v>
      </c>
      <c r="BM46" s="2" t="s">
        <v>1088</v>
      </c>
      <c r="BN46" s="2" t="n">
        <v>18557966</v>
      </c>
      <c r="BO46" s="2" t="s">
        <v>1089</v>
      </c>
      <c r="BP46" s="2"/>
      <c r="BQ46" s="2"/>
      <c r="BR46" s="2" t="s">
        <v>104</v>
      </c>
      <c r="BS46" s="2" t="s">
        <v>1090</v>
      </c>
      <c r="BT46" s="2" t="str">
        <f aca="false">HYPERLINK("https%3A%2F%2Fwww.webofscience.com%2Fwos%2Fwoscc%2Ffull-record%2FWOS:000258073800017","View Full Record in Web of Science")</f>
        <v>View Full Record in Web of Science</v>
      </c>
    </row>
    <row r="47" customFormat="false" ht="12.75" hidden="false" customHeight="false" outlineLevel="0" collapsed="false">
      <c r="A47" s="2" t="s">
        <v>72</v>
      </c>
      <c r="B47" s="2" t="s">
        <v>1091</v>
      </c>
      <c r="C47" s="2"/>
      <c r="D47" s="2"/>
      <c r="E47" s="2"/>
      <c r="F47" s="2" t="s">
        <v>1092</v>
      </c>
      <c r="G47" s="2"/>
      <c r="H47" s="2"/>
      <c r="I47" s="2" t="s">
        <v>1093</v>
      </c>
      <c r="J47" s="2" t="s">
        <v>1094</v>
      </c>
      <c r="K47" s="2"/>
      <c r="L47" s="2"/>
      <c r="M47" s="2" t="s">
        <v>77</v>
      </c>
      <c r="N47" s="2" t="s">
        <v>78</v>
      </c>
      <c r="O47" s="2"/>
      <c r="P47" s="2"/>
      <c r="Q47" s="2"/>
      <c r="R47" s="2"/>
      <c r="S47" s="2"/>
      <c r="T47" s="2" t="s">
        <v>1095</v>
      </c>
      <c r="U47" s="2" t="s">
        <v>1096</v>
      </c>
      <c r="V47" s="2" t="s">
        <v>1097</v>
      </c>
      <c r="W47" s="2" t="s">
        <v>1098</v>
      </c>
      <c r="X47" s="2" t="s">
        <v>1099</v>
      </c>
      <c r="Y47" s="2" t="s">
        <v>1100</v>
      </c>
      <c r="Z47" s="2" t="s">
        <v>1101</v>
      </c>
      <c r="AA47" s="2" t="s">
        <v>1102</v>
      </c>
      <c r="AB47" s="2" t="s">
        <v>1103</v>
      </c>
      <c r="AC47" s="2"/>
      <c r="AD47" s="2"/>
      <c r="AE47" s="2"/>
      <c r="AF47" s="2"/>
      <c r="AG47" s="2" t="n">
        <v>101</v>
      </c>
      <c r="AH47" s="2" t="n">
        <v>0</v>
      </c>
      <c r="AI47" s="2" t="n">
        <v>0</v>
      </c>
      <c r="AJ47" s="2" t="n">
        <v>3</v>
      </c>
      <c r="AK47" s="2" t="n">
        <v>5</v>
      </c>
      <c r="AL47" s="2" t="s">
        <v>91</v>
      </c>
      <c r="AM47" s="2" t="s">
        <v>92</v>
      </c>
      <c r="AN47" s="2" t="s">
        <v>93</v>
      </c>
      <c r="AO47" s="2"/>
      <c r="AP47" s="2" t="s">
        <v>1104</v>
      </c>
      <c r="AQ47" s="2"/>
      <c r="AR47" s="2" t="s">
        <v>1105</v>
      </c>
      <c r="AS47" s="2" t="s">
        <v>1106</v>
      </c>
      <c r="AT47" s="2" t="s">
        <v>1041</v>
      </c>
      <c r="AU47" s="2" t="n">
        <v>2022</v>
      </c>
      <c r="AV47" s="2" t="n">
        <v>8</v>
      </c>
      <c r="AW47" s="2" t="n">
        <v>2</v>
      </c>
      <c r="AX47" s="2"/>
      <c r="AY47" s="2"/>
      <c r="AZ47" s="2"/>
      <c r="BA47" s="2"/>
      <c r="BB47" s="2"/>
      <c r="BC47" s="2"/>
      <c r="BD47" s="2" t="n">
        <v>184</v>
      </c>
      <c r="BE47" s="2" t="s">
        <v>1107</v>
      </c>
      <c r="BF47" s="2" t="str">
        <f aca="false">HYPERLINK("http://dx.doi.org/10.3390/jof8020184","http://dx.doi.org/10.3390/jof8020184")</f>
        <v>http://dx.doi.org/10.3390/jof8020184</v>
      </c>
      <c r="BG47" s="2"/>
      <c r="BH47" s="2"/>
      <c r="BI47" s="2" t="n">
        <v>15</v>
      </c>
      <c r="BJ47" s="2" t="s">
        <v>1108</v>
      </c>
      <c r="BK47" s="2" t="s">
        <v>100</v>
      </c>
      <c r="BL47" s="2" t="s">
        <v>1108</v>
      </c>
      <c r="BM47" s="2" t="s">
        <v>1109</v>
      </c>
      <c r="BN47" s="2" t="n">
        <v>35205938</v>
      </c>
      <c r="BO47" s="2" t="s">
        <v>103</v>
      </c>
      <c r="BP47" s="2"/>
      <c r="BQ47" s="2"/>
      <c r="BR47" s="2" t="s">
        <v>104</v>
      </c>
      <c r="BS47" s="2" t="s">
        <v>1110</v>
      </c>
      <c r="BT47" s="2" t="str">
        <f aca="false">HYPERLINK("https%3A%2F%2Fwww.webofscience.com%2Fwos%2Fwoscc%2Ffull-record%2FWOS:000767214000001","View Full Record in Web of Science")</f>
        <v>View Full Record in Web of Science</v>
      </c>
    </row>
    <row r="48" customFormat="false" ht="12.75" hidden="false" customHeight="false" outlineLevel="0" collapsed="false">
      <c r="A48" s="2" t="s">
        <v>72</v>
      </c>
      <c r="B48" s="2" t="s">
        <v>1111</v>
      </c>
      <c r="C48" s="2"/>
      <c r="D48" s="2"/>
      <c r="E48" s="2"/>
      <c r="F48" s="2" t="s">
        <v>1112</v>
      </c>
      <c r="G48" s="2"/>
      <c r="H48" s="2"/>
      <c r="I48" s="2" t="s">
        <v>1113</v>
      </c>
      <c r="J48" s="2" t="s">
        <v>1114</v>
      </c>
      <c r="K48" s="2"/>
      <c r="L48" s="2"/>
      <c r="M48" s="2" t="s">
        <v>77</v>
      </c>
      <c r="N48" s="2" t="s">
        <v>78</v>
      </c>
      <c r="O48" s="2"/>
      <c r="P48" s="2"/>
      <c r="Q48" s="2"/>
      <c r="R48" s="2"/>
      <c r="S48" s="2"/>
      <c r="T48" s="2" t="s">
        <v>1115</v>
      </c>
      <c r="U48" s="2" t="s">
        <v>1116</v>
      </c>
      <c r="V48" s="2" t="s">
        <v>1117</v>
      </c>
      <c r="W48" s="2" t="s">
        <v>1118</v>
      </c>
      <c r="X48" s="2" t="s">
        <v>1119</v>
      </c>
      <c r="Y48" s="2" t="s">
        <v>1120</v>
      </c>
      <c r="Z48" s="2" t="s">
        <v>1121</v>
      </c>
      <c r="AA48" s="2" t="s">
        <v>1122</v>
      </c>
      <c r="AB48" s="2" t="s">
        <v>1123</v>
      </c>
      <c r="AC48" s="2"/>
      <c r="AD48" s="2"/>
      <c r="AE48" s="2"/>
      <c r="AF48" s="2"/>
      <c r="AG48" s="2" t="n">
        <v>41</v>
      </c>
      <c r="AH48" s="2" t="n">
        <v>18</v>
      </c>
      <c r="AI48" s="2" t="n">
        <v>18</v>
      </c>
      <c r="AJ48" s="2" t="n">
        <v>0</v>
      </c>
      <c r="AK48" s="2" t="n">
        <v>2</v>
      </c>
      <c r="AL48" s="2" t="s">
        <v>122</v>
      </c>
      <c r="AM48" s="2" t="s">
        <v>123</v>
      </c>
      <c r="AN48" s="2" t="s">
        <v>839</v>
      </c>
      <c r="AO48" s="2" t="s">
        <v>1124</v>
      </c>
      <c r="AP48" s="2"/>
      <c r="AQ48" s="2"/>
      <c r="AR48" s="2" t="s">
        <v>1125</v>
      </c>
      <c r="AS48" s="2" t="s">
        <v>1126</v>
      </c>
      <c r="AT48" s="2" t="s">
        <v>185</v>
      </c>
      <c r="AU48" s="2" t="n">
        <v>2012</v>
      </c>
      <c r="AV48" s="2" t="n">
        <v>34</v>
      </c>
      <c r="AW48" s="2" t="n">
        <v>6</v>
      </c>
      <c r="AX48" s="2"/>
      <c r="AY48" s="2"/>
      <c r="AZ48" s="2"/>
      <c r="BA48" s="2"/>
      <c r="BB48" s="2" t="n">
        <v>442</v>
      </c>
      <c r="BC48" s="2" t="n">
        <v>449</v>
      </c>
      <c r="BD48" s="2"/>
      <c r="BE48" s="2" t="s">
        <v>1127</v>
      </c>
      <c r="BF48" s="2" t="str">
        <f aca="false">HYPERLINK("http://dx.doi.org/10.1097/MPH.0b013e3182580bc8","http://dx.doi.org/10.1097/MPH.0b013e3182580bc8")</f>
        <v>http://dx.doi.org/10.1097/MPH.0b013e3182580bc8</v>
      </c>
      <c r="BG48" s="2"/>
      <c r="BH48" s="2"/>
      <c r="BI48" s="2" t="n">
        <v>8</v>
      </c>
      <c r="BJ48" s="2" t="s">
        <v>1128</v>
      </c>
      <c r="BK48" s="2" t="s">
        <v>100</v>
      </c>
      <c r="BL48" s="2" t="s">
        <v>1128</v>
      </c>
      <c r="BM48" s="2" t="s">
        <v>1129</v>
      </c>
      <c r="BN48" s="2" t="n">
        <v>22767134</v>
      </c>
      <c r="BO48" s="2"/>
      <c r="BP48" s="2"/>
      <c r="BQ48" s="2"/>
      <c r="BR48" s="2" t="s">
        <v>104</v>
      </c>
      <c r="BS48" s="2" t="s">
        <v>1130</v>
      </c>
      <c r="BT48" s="2" t="str">
        <f aca="false">HYPERLINK("https%3A%2F%2Fwww.webofscience.com%2Fwos%2Fwoscc%2Ffull-record%2FWOS:000308353000019","View Full Record in Web of Science")</f>
        <v>View Full Record in Web of Science</v>
      </c>
    </row>
    <row r="49" customFormat="false" ht="12.75" hidden="false" customHeight="false" outlineLevel="0" collapsed="false">
      <c r="A49" s="2" t="s">
        <v>72</v>
      </c>
      <c r="B49" s="2" t="s">
        <v>1131</v>
      </c>
      <c r="C49" s="2"/>
      <c r="D49" s="2"/>
      <c r="E49" s="2"/>
      <c r="F49" s="2" t="s">
        <v>1132</v>
      </c>
      <c r="G49" s="2"/>
      <c r="H49" s="2"/>
      <c r="I49" s="2" t="s">
        <v>1133</v>
      </c>
      <c r="J49" s="2" t="s">
        <v>1134</v>
      </c>
      <c r="K49" s="2"/>
      <c r="L49" s="2"/>
      <c r="M49" s="2" t="s">
        <v>77</v>
      </c>
      <c r="N49" s="2" t="s">
        <v>78</v>
      </c>
      <c r="O49" s="2"/>
      <c r="P49" s="2"/>
      <c r="Q49" s="2"/>
      <c r="R49" s="2"/>
      <c r="S49" s="2"/>
      <c r="T49" s="2" t="s">
        <v>1135</v>
      </c>
      <c r="U49" s="2" t="s">
        <v>1136</v>
      </c>
      <c r="V49" s="2" t="s">
        <v>1137</v>
      </c>
      <c r="W49" s="2" t="s">
        <v>1138</v>
      </c>
      <c r="X49" s="2" t="s">
        <v>1139</v>
      </c>
      <c r="Y49" s="2" t="s">
        <v>1140</v>
      </c>
      <c r="Z49" s="2" t="s">
        <v>1141</v>
      </c>
      <c r="AA49" s="2" t="s">
        <v>1142</v>
      </c>
      <c r="AB49" s="2" t="s">
        <v>1143</v>
      </c>
      <c r="AC49" s="2"/>
      <c r="AD49" s="2"/>
      <c r="AE49" s="2"/>
      <c r="AF49" s="2"/>
      <c r="AG49" s="2" t="n">
        <v>25</v>
      </c>
      <c r="AH49" s="2" t="n">
        <v>5</v>
      </c>
      <c r="AI49" s="2" t="n">
        <v>9</v>
      </c>
      <c r="AJ49" s="2" t="n">
        <v>0</v>
      </c>
      <c r="AK49" s="2" t="n">
        <v>6</v>
      </c>
      <c r="AL49" s="2" t="s">
        <v>302</v>
      </c>
      <c r="AM49" s="2" t="s">
        <v>303</v>
      </c>
      <c r="AN49" s="2" t="s">
        <v>304</v>
      </c>
      <c r="AO49" s="2"/>
      <c r="AP49" s="2" t="s">
        <v>1144</v>
      </c>
      <c r="AQ49" s="2"/>
      <c r="AR49" s="2" t="s">
        <v>1145</v>
      </c>
      <c r="AS49" s="2" t="s">
        <v>1146</v>
      </c>
      <c r="AT49" s="2" t="s">
        <v>1147</v>
      </c>
      <c r="AU49" s="2" t="n">
        <v>2019</v>
      </c>
      <c r="AV49" s="2" t="n">
        <v>19</v>
      </c>
      <c r="AW49" s="2" t="n">
        <v>1</v>
      </c>
      <c r="AX49" s="2"/>
      <c r="AY49" s="2"/>
      <c r="AZ49" s="2"/>
      <c r="BA49" s="2"/>
      <c r="BB49" s="2"/>
      <c r="BC49" s="2"/>
      <c r="BD49" s="2" t="n">
        <v>345</v>
      </c>
      <c r="BE49" s="2" t="s">
        <v>1148</v>
      </c>
      <c r="BF49" s="2" t="str">
        <f aca="false">HYPERLINK("http://dx.doi.org/10.1186/s12887-019-1734-x","http://dx.doi.org/10.1186/s12887-019-1734-x")</f>
        <v>http://dx.doi.org/10.1186/s12887-019-1734-x</v>
      </c>
      <c r="BG49" s="2"/>
      <c r="BH49" s="2"/>
      <c r="BI49" s="2" t="n">
        <v>8</v>
      </c>
      <c r="BJ49" s="2" t="s">
        <v>601</v>
      </c>
      <c r="BK49" s="2" t="s">
        <v>100</v>
      </c>
      <c r="BL49" s="2" t="s">
        <v>601</v>
      </c>
      <c r="BM49" s="2" t="s">
        <v>1149</v>
      </c>
      <c r="BN49" s="2" t="n">
        <v>31601181</v>
      </c>
      <c r="BO49" s="2" t="s">
        <v>190</v>
      </c>
      <c r="BP49" s="2"/>
      <c r="BQ49" s="2"/>
      <c r="BR49" s="2" t="s">
        <v>104</v>
      </c>
      <c r="BS49" s="2" t="s">
        <v>1150</v>
      </c>
      <c r="BT49" s="2" t="str">
        <f aca="false">HYPERLINK("https%3A%2F%2Fwww.webofscience.com%2Fwos%2Fwoscc%2Ffull-record%2FWOS:000489841600001","View Full Record in Web of Science")</f>
        <v>View Full Record in Web of Science</v>
      </c>
    </row>
    <row r="50" customFormat="false" ht="12.75" hidden="false" customHeight="false" outlineLevel="0" collapsed="false">
      <c r="A50" s="2" t="s">
        <v>72</v>
      </c>
      <c r="B50" s="2" t="s">
        <v>1151</v>
      </c>
      <c r="C50" s="2"/>
      <c r="D50" s="2"/>
      <c r="E50" s="2"/>
      <c r="F50" s="2" t="s">
        <v>1152</v>
      </c>
      <c r="G50" s="2"/>
      <c r="H50" s="2"/>
      <c r="I50" s="2" t="s">
        <v>1153</v>
      </c>
      <c r="J50" s="2" t="s">
        <v>1154</v>
      </c>
      <c r="K50" s="2"/>
      <c r="L50" s="2"/>
      <c r="M50" s="2" t="s">
        <v>77</v>
      </c>
      <c r="N50" s="2" t="s">
        <v>78</v>
      </c>
      <c r="O50" s="2"/>
      <c r="P50" s="2"/>
      <c r="Q50" s="2"/>
      <c r="R50" s="2"/>
      <c r="S50" s="2"/>
      <c r="T50" s="2" t="s">
        <v>1155</v>
      </c>
      <c r="U50" s="2"/>
      <c r="V50" s="2" t="s">
        <v>1156</v>
      </c>
      <c r="W50" s="2" t="s">
        <v>1157</v>
      </c>
      <c r="X50" s="2" t="s">
        <v>1158</v>
      </c>
      <c r="Y50" s="2" t="s">
        <v>1159</v>
      </c>
      <c r="Z50" s="2" t="s">
        <v>1160</v>
      </c>
      <c r="AA50" s="2"/>
      <c r="AB50" s="2" t="s">
        <v>1161</v>
      </c>
      <c r="AC50" s="2"/>
      <c r="AD50" s="2"/>
      <c r="AE50" s="2"/>
      <c r="AF50" s="2"/>
      <c r="AG50" s="2" t="n">
        <v>17</v>
      </c>
      <c r="AH50" s="2" t="n">
        <v>12</v>
      </c>
      <c r="AI50" s="2" t="n">
        <v>12</v>
      </c>
      <c r="AJ50" s="2" t="n">
        <v>0</v>
      </c>
      <c r="AK50" s="2" t="n">
        <v>0</v>
      </c>
      <c r="AL50" s="2" t="s">
        <v>1162</v>
      </c>
      <c r="AM50" s="2" t="s">
        <v>1163</v>
      </c>
      <c r="AN50" s="2" t="s">
        <v>1164</v>
      </c>
      <c r="AO50" s="2" t="s">
        <v>1165</v>
      </c>
      <c r="AP50" s="2"/>
      <c r="AQ50" s="2"/>
      <c r="AR50" s="2" t="s">
        <v>1166</v>
      </c>
      <c r="AS50" s="2" t="s">
        <v>1167</v>
      </c>
      <c r="AT50" s="2"/>
      <c r="AU50" s="2" t="n">
        <v>2015</v>
      </c>
      <c r="AV50" s="2" t="n">
        <v>8</v>
      </c>
      <c r="AW50" s="2"/>
      <c r="AX50" s="2"/>
      <c r="AY50" s="2"/>
      <c r="AZ50" s="2"/>
      <c r="BA50" s="2"/>
      <c r="BB50" s="2" t="n">
        <v>79</v>
      </c>
      <c r="BC50" s="2" t="n">
        <v>82</v>
      </c>
      <c r="BD50" s="2"/>
      <c r="BE50" s="2" t="s">
        <v>1168</v>
      </c>
      <c r="BF50" s="2" t="str">
        <f aca="false">HYPERLINK("http://dx.doi.org/10.2147/JIR.S78259","http://dx.doi.org/10.2147/JIR.S78259")</f>
        <v>http://dx.doi.org/10.2147/JIR.S78259</v>
      </c>
      <c r="BG50" s="2"/>
      <c r="BH50" s="2"/>
      <c r="BI50" s="2" t="n">
        <v>4</v>
      </c>
      <c r="BJ50" s="2" t="s">
        <v>628</v>
      </c>
      <c r="BK50" s="2" t="s">
        <v>339</v>
      </c>
      <c r="BL50" s="2" t="s">
        <v>628</v>
      </c>
      <c r="BM50" s="2" t="s">
        <v>1169</v>
      </c>
      <c r="BN50" s="2" t="n">
        <v>25848314</v>
      </c>
      <c r="BO50" s="2" t="s">
        <v>103</v>
      </c>
      <c r="BP50" s="2"/>
      <c r="BQ50" s="2"/>
      <c r="BR50" s="2" t="s">
        <v>104</v>
      </c>
      <c r="BS50" s="2" t="s">
        <v>1170</v>
      </c>
      <c r="BT50" s="2" t="str">
        <f aca="false">HYPERLINK("https%3A%2F%2Fwww.webofscience.com%2Fwos%2Fwoscc%2Ffull-record%2FWOS:000215616400008","View Full Record in Web of Science")</f>
        <v>View Full Record in Web of Science</v>
      </c>
    </row>
    <row r="51" customFormat="false" ht="12.75" hidden="false" customHeight="false" outlineLevel="0" collapsed="false">
      <c r="A51" s="2" t="s">
        <v>72</v>
      </c>
      <c r="B51" s="2" t="s">
        <v>1171</v>
      </c>
      <c r="C51" s="2"/>
      <c r="D51" s="2"/>
      <c r="E51" s="2"/>
      <c r="F51" s="2" t="s">
        <v>1172</v>
      </c>
      <c r="G51" s="2"/>
      <c r="H51" s="2"/>
      <c r="I51" s="2" t="s">
        <v>1173</v>
      </c>
      <c r="J51" s="2" t="s">
        <v>1174</v>
      </c>
      <c r="K51" s="2"/>
      <c r="L51" s="2"/>
      <c r="M51" s="2" t="s">
        <v>77</v>
      </c>
      <c r="N51" s="2" t="s">
        <v>78</v>
      </c>
      <c r="O51" s="2"/>
      <c r="P51" s="2"/>
      <c r="Q51" s="2"/>
      <c r="R51" s="2"/>
      <c r="S51" s="2"/>
      <c r="T51" s="2" t="s">
        <v>1175</v>
      </c>
      <c r="U51" s="2" t="s">
        <v>1176</v>
      </c>
      <c r="V51" s="2" t="s">
        <v>1177</v>
      </c>
      <c r="W51" s="2" t="s">
        <v>1178</v>
      </c>
      <c r="X51" s="2" t="s">
        <v>1179</v>
      </c>
      <c r="Y51" s="2" t="s">
        <v>1180</v>
      </c>
      <c r="Z51" s="2" t="s">
        <v>1181</v>
      </c>
      <c r="AA51" s="2" t="s">
        <v>1182</v>
      </c>
      <c r="AB51" s="2"/>
      <c r="AC51" s="2" t="s">
        <v>1183</v>
      </c>
      <c r="AD51" s="2" t="s">
        <v>1184</v>
      </c>
      <c r="AE51" s="2" t="s">
        <v>1185</v>
      </c>
      <c r="AF51" s="2"/>
      <c r="AG51" s="2" t="n">
        <v>34</v>
      </c>
      <c r="AH51" s="2" t="n">
        <v>65</v>
      </c>
      <c r="AI51" s="2" t="n">
        <v>72</v>
      </c>
      <c r="AJ51" s="2" t="n">
        <v>0</v>
      </c>
      <c r="AK51" s="2" t="n">
        <v>10</v>
      </c>
      <c r="AL51" s="2" t="s">
        <v>1186</v>
      </c>
      <c r="AM51" s="2" t="s">
        <v>303</v>
      </c>
      <c r="AN51" s="2" t="s">
        <v>1187</v>
      </c>
      <c r="AO51" s="2" t="s">
        <v>1188</v>
      </c>
      <c r="AP51" s="2" t="s">
        <v>1189</v>
      </c>
      <c r="AQ51" s="2"/>
      <c r="AR51" s="2" t="s">
        <v>1174</v>
      </c>
      <c r="AS51" s="2" t="s">
        <v>1190</v>
      </c>
      <c r="AT51" s="2" t="s">
        <v>804</v>
      </c>
      <c r="AU51" s="2" t="n">
        <v>2013</v>
      </c>
      <c r="AV51" s="2" t="n">
        <v>68</v>
      </c>
      <c r="AW51" s="2" t="n">
        <v>11</v>
      </c>
      <c r="AX51" s="2"/>
      <c r="AY51" s="2"/>
      <c r="AZ51" s="2"/>
      <c r="BA51" s="2"/>
      <c r="BB51" s="2" t="n">
        <v>1000</v>
      </c>
      <c r="BC51" s="2" t="n">
        <v>1006</v>
      </c>
      <c r="BD51" s="2"/>
      <c r="BE51" s="2" t="s">
        <v>1191</v>
      </c>
      <c r="BF51" s="2" t="str">
        <f aca="false">HYPERLINK("http://dx.doi.org/10.1136/thoraxjnl-2013-203551","http://dx.doi.org/10.1136/thoraxjnl-2013-203551")</f>
        <v>http://dx.doi.org/10.1136/thoraxjnl-2013-203551</v>
      </c>
      <c r="BG51" s="2"/>
      <c r="BH51" s="2"/>
      <c r="BI51" s="2" t="n">
        <v>7</v>
      </c>
      <c r="BJ51" s="2" t="s">
        <v>338</v>
      </c>
      <c r="BK51" s="2" t="s">
        <v>100</v>
      </c>
      <c r="BL51" s="2" t="s">
        <v>338</v>
      </c>
      <c r="BM51" s="2" t="s">
        <v>1192</v>
      </c>
      <c r="BN51" s="2" t="n">
        <v>23783373</v>
      </c>
      <c r="BO51" s="2" t="s">
        <v>656</v>
      </c>
      <c r="BP51" s="2"/>
      <c r="BQ51" s="2"/>
      <c r="BR51" s="2" t="s">
        <v>104</v>
      </c>
      <c r="BS51" s="2" t="s">
        <v>1193</v>
      </c>
      <c r="BT51" s="2" t="str">
        <f aca="false">HYPERLINK("https%3A%2F%2Fwww.webofscience.com%2Fwos%2Fwoscc%2Ffull-record%2FWOS:000326048900007","View Full Record in Web of Science")</f>
        <v>View Full Record in Web of Science</v>
      </c>
    </row>
    <row r="52" customFormat="false" ht="12.75" hidden="false" customHeight="false" outlineLevel="0" collapsed="false">
      <c r="A52" s="2" t="s">
        <v>72</v>
      </c>
      <c r="B52" s="2" t="s">
        <v>1194</v>
      </c>
      <c r="C52" s="2"/>
      <c r="D52" s="2"/>
      <c r="E52" s="2"/>
      <c r="F52" s="2" t="s">
        <v>1195</v>
      </c>
      <c r="G52" s="2"/>
      <c r="H52" s="2"/>
      <c r="I52" s="2" t="s">
        <v>1196</v>
      </c>
      <c r="J52" s="2" t="s">
        <v>557</v>
      </c>
      <c r="K52" s="2"/>
      <c r="L52" s="2"/>
      <c r="M52" s="2" t="s">
        <v>77</v>
      </c>
      <c r="N52" s="2" t="s">
        <v>78</v>
      </c>
      <c r="O52" s="2"/>
      <c r="P52" s="2"/>
      <c r="Q52" s="2"/>
      <c r="R52" s="2"/>
      <c r="S52" s="2"/>
      <c r="T52" s="2" t="s">
        <v>1197</v>
      </c>
      <c r="U52" s="2" t="s">
        <v>1198</v>
      </c>
      <c r="V52" s="2" t="s">
        <v>1199</v>
      </c>
      <c r="W52" s="2" t="s">
        <v>1200</v>
      </c>
      <c r="X52" s="2" t="s">
        <v>1201</v>
      </c>
      <c r="Y52" s="2" t="s">
        <v>1202</v>
      </c>
      <c r="Z52" s="2" t="s">
        <v>1203</v>
      </c>
      <c r="AA52" s="2" t="s">
        <v>1204</v>
      </c>
      <c r="AB52" s="2" t="s">
        <v>1205</v>
      </c>
      <c r="AC52" s="2"/>
      <c r="AD52" s="2"/>
      <c r="AE52" s="2"/>
      <c r="AF52" s="2"/>
      <c r="AG52" s="2" t="n">
        <v>67</v>
      </c>
      <c r="AH52" s="2" t="n">
        <v>16</v>
      </c>
      <c r="AI52" s="2" t="n">
        <v>20</v>
      </c>
      <c r="AJ52" s="2" t="n">
        <v>1</v>
      </c>
      <c r="AK52" s="2" t="n">
        <v>10</v>
      </c>
      <c r="AL52" s="2" t="s">
        <v>302</v>
      </c>
      <c r="AM52" s="2" t="s">
        <v>303</v>
      </c>
      <c r="AN52" s="2" t="s">
        <v>304</v>
      </c>
      <c r="AO52" s="2"/>
      <c r="AP52" s="2" t="s">
        <v>570</v>
      </c>
      <c r="AQ52" s="2"/>
      <c r="AR52" s="2" t="s">
        <v>571</v>
      </c>
      <c r="AS52" s="2" t="s">
        <v>572</v>
      </c>
      <c r="AT52" s="2" t="s">
        <v>1206</v>
      </c>
      <c r="AU52" s="2" t="n">
        <v>2021</v>
      </c>
      <c r="AV52" s="2" t="n">
        <v>21</v>
      </c>
      <c r="AW52" s="2" t="n">
        <v>1</v>
      </c>
      <c r="AX52" s="2"/>
      <c r="AY52" s="2"/>
      <c r="AZ52" s="2"/>
      <c r="BA52" s="2"/>
      <c r="BB52" s="2"/>
      <c r="BC52" s="2"/>
      <c r="BD52" s="2" t="n">
        <v>306</v>
      </c>
      <c r="BE52" s="2" t="s">
        <v>1207</v>
      </c>
      <c r="BF52" s="2" t="str">
        <f aca="false">HYPERLINK("http://dx.doi.org/10.1186/s12879-021-05996-x","http://dx.doi.org/10.1186/s12879-021-05996-x")</f>
        <v>http://dx.doi.org/10.1186/s12879-021-05996-x</v>
      </c>
      <c r="BG52" s="2"/>
      <c r="BH52" s="2"/>
      <c r="BI52" s="2" t="n">
        <v>11</v>
      </c>
      <c r="BJ52" s="2" t="s">
        <v>575</v>
      </c>
      <c r="BK52" s="2" t="s">
        <v>100</v>
      </c>
      <c r="BL52" s="2" t="s">
        <v>575</v>
      </c>
      <c r="BM52" s="2" t="s">
        <v>1208</v>
      </c>
      <c r="BN52" s="2" t="n">
        <v>33771128</v>
      </c>
      <c r="BO52" s="2" t="s">
        <v>190</v>
      </c>
      <c r="BP52" s="2"/>
      <c r="BQ52" s="2"/>
      <c r="BR52" s="2" t="s">
        <v>104</v>
      </c>
      <c r="BS52" s="2" t="s">
        <v>1209</v>
      </c>
      <c r="BT52" s="2" t="str">
        <f aca="false">HYPERLINK("https%3A%2F%2Fwww.webofscience.com%2Fwos%2Fwoscc%2Ffull-record%2FWOS:000635237100001","View Full Record in Web of Science")</f>
        <v>View Full Record in Web of Science</v>
      </c>
    </row>
    <row r="53" customFormat="false" ht="12.75" hidden="false" customHeight="false" outlineLevel="0" collapsed="false">
      <c r="A53" s="2" t="s">
        <v>72</v>
      </c>
      <c r="B53" s="2" t="s">
        <v>1210</v>
      </c>
      <c r="C53" s="2"/>
      <c r="D53" s="2"/>
      <c r="E53" s="2"/>
      <c r="F53" s="2" t="s">
        <v>1211</v>
      </c>
      <c r="G53" s="2"/>
      <c r="H53" s="2"/>
      <c r="I53" s="2" t="s">
        <v>1212</v>
      </c>
      <c r="J53" s="2" t="s">
        <v>370</v>
      </c>
      <c r="K53" s="2"/>
      <c r="L53" s="2"/>
      <c r="M53" s="2" t="s">
        <v>77</v>
      </c>
      <c r="N53" s="2" t="s">
        <v>78</v>
      </c>
      <c r="O53" s="2"/>
      <c r="P53" s="2"/>
      <c r="Q53" s="2"/>
      <c r="R53" s="2"/>
      <c r="S53" s="2"/>
      <c r="T53" s="2" t="s">
        <v>1213</v>
      </c>
      <c r="U53" s="2" t="s">
        <v>1214</v>
      </c>
      <c r="V53" s="2" t="s">
        <v>1215</v>
      </c>
      <c r="W53" s="2" t="s">
        <v>1216</v>
      </c>
      <c r="X53" s="2" t="s">
        <v>1217</v>
      </c>
      <c r="Y53" s="2" t="s">
        <v>1218</v>
      </c>
      <c r="Z53" s="2" t="s">
        <v>1219</v>
      </c>
      <c r="AA53" s="2" t="s">
        <v>1220</v>
      </c>
      <c r="AB53" s="2" t="s">
        <v>1221</v>
      </c>
      <c r="AC53" s="2" t="s">
        <v>1222</v>
      </c>
      <c r="AD53" s="2" t="s">
        <v>1223</v>
      </c>
      <c r="AE53" s="2" t="s">
        <v>1224</v>
      </c>
      <c r="AF53" s="2"/>
      <c r="AG53" s="2" t="n">
        <v>28</v>
      </c>
      <c r="AH53" s="2" t="n">
        <v>68</v>
      </c>
      <c r="AI53" s="2" t="n">
        <v>71</v>
      </c>
      <c r="AJ53" s="2" t="n">
        <v>0</v>
      </c>
      <c r="AK53" s="2" t="n">
        <v>14</v>
      </c>
      <c r="AL53" s="2" t="s">
        <v>549</v>
      </c>
      <c r="AM53" s="2" t="s">
        <v>384</v>
      </c>
      <c r="AN53" s="2" t="s">
        <v>550</v>
      </c>
      <c r="AO53" s="2" t="s">
        <v>386</v>
      </c>
      <c r="AP53" s="2"/>
      <c r="AQ53" s="2"/>
      <c r="AR53" s="2" t="s">
        <v>388</v>
      </c>
      <c r="AS53" s="2" t="s">
        <v>389</v>
      </c>
      <c r="AT53" s="2" t="s">
        <v>599</v>
      </c>
      <c r="AU53" s="2" t="n">
        <v>2013</v>
      </c>
      <c r="AV53" s="2" t="n">
        <v>57</v>
      </c>
      <c r="AW53" s="2" t="n">
        <v>3</v>
      </c>
      <c r="AX53" s="2"/>
      <c r="AY53" s="2"/>
      <c r="AZ53" s="2"/>
      <c r="BA53" s="2"/>
      <c r="BB53" s="2" t="n">
        <v>254</v>
      </c>
      <c r="BC53" s="2" t="n">
        <v>260</v>
      </c>
      <c r="BD53" s="2"/>
      <c r="BE53" s="2" t="s">
        <v>1225</v>
      </c>
      <c r="BF53" s="2" t="str">
        <f aca="false">HYPERLINK("http://dx.doi.org/10.1016/j.jcv.2013.03.016","http://dx.doi.org/10.1016/j.jcv.2013.03.016")</f>
        <v>http://dx.doi.org/10.1016/j.jcv.2013.03.016</v>
      </c>
      <c r="BG53" s="2"/>
      <c r="BH53" s="2"/>
      <c r="BI53" s="2" t="n">
        <v>7</v>
      </c>
      <c r="BJ53" s="2" t="s">
        <v>163</v>
      </c>
      <c r="BK53" s="2" t="s">
        <v>100</v>
      </c>
      <c r="BL53" s="2" t="s">
        <v>163</v>
      </c>
      <c r="BM53" s="2" t="s">
        <v>1226</v>
      </c>
      <c r="BN53" s="2" t="n">
        <v>23608639</v>
      </c>
      <c r="BO53" s="2" t="s">
        <v>1227</v>
      </c>
      <c r="BP53" s="2"/>
      <c r="BQ53" s="2"/>
      <c r="BR53" s="2" t="s">
        <v>104</v>
      </c>
      <c r="BS53" s="2" t="s">
        <v>1228</v>
      </c>
      <c r="BT53" s="2" t="str">
        <f aca="false">HYPERLINK("https%3A%2F%2Fwww.webofscience.com%2Fwos%2Fwoscc%2Ffull-record%2FWOS:000320593300013","View Full Record in Web of Science")</f>
        <v>View Full Record in Web of Science</v>
      </c>
    </row>
    <row r="54" customFormat="false" ht="12.75" hidden="false" customHeight="false" outlineLevel="0" collapsed="false">
      <c r="A54" s="2" t="s">
        <v>72</v>
      </c>
      <c r="B54" s="2" t="s">
        <v>1229</v>
      </c>
      <c r="C54" s="2"/>
      <c r="D54" s="2"/>
      <c r="E54" s="2"/>
      <c r="F54" s="2" t="s">
        <v>1230</v>
      </c>
      <c r="G54" s="2"/>
      <c r="H54" s="2"/>
      <c r="I54" s="2" t="s">
        <v>1231</v>
      </c>
      <c r="J54" s="2" t="s">
        <v>1232</v>
      </c>
      <c r="K54" s="2"/>
      <c r="L54" s="2"/>
      <c r="M54" s="2" t="s">
        <v>77</v>
      </c>
      <c r="N54" s="2" t="s">
        <v>78</v>
      </c>
      <c r="O54" s="2"/>
      <c r="P54" s="2"/>
      <c r="Q54" s="2"/>
      <c r="R54" s="2"/>
      <c r="S54" s="2"/>
      <c r="T54" s="2" t="s">
        <v>1233</v>
      </c>
      <c r="U54" s="2" t="s">
        <v>1234</v>
      </c>
      <c r="V54" s="2" t="s">
        <v>1235</v>
      </c>
      <c r="W54" s="2" t="s">
        <v>1236</v>
      </c>
      <c r="X54" s="2" t="s">
        <v>1237</v>
      </c>
      <c r="Y54" s="2" t="s">
        <v>1238</v>
      </c>
      <c r="Z54" s="2" t="s">
        <v>1239</v>
      </c>
      <c r="AA54" s="2" t="s">
        <v>1240</v>
      </c>
      <c r="AB54" s="2" t="s">
        <v>1241</v>
      </c>
      <c r="AC54" s="2"/>
      <c r="AD54" s="2"/>
      <c r="AE54" s="2"/>
      <c r="AF54" s="2"/>
      <c r="AG54" s="2" t="n">
        <v>21</v>
      </c>
      <c r="AH54" s="2" t="n">
        <v>6</v>
      </c>
      <c r="AI54" s="2" t="n">
        <v>6</v>
      </c>
      <c r="AJ54" s="2" t="n">
        <v>1</v>
      </c>
      <c r="AK54" s="2" t="n">
        <v>4</v>
      </c>
      <c r="AL54" s="2" t="s">
        <v>1242</v>
      </c>
      <c r="AM54" s="2" t="s">
        <v>303</v>
      </c>
      <c r="AN54" s="2" t="s">
        <v>467</v>
      </c>
      <c r="AO54" s="2"/>
      <c r="AP54" s="2" t="s">
        <v>1243</v>
      </c>
      <c r="AQ54" s="2"/>
      <c r="AR54" s="2" t="s">
        <v>1244</v>
      </c>
      <c r="AS54" s="2" t="s">
        <v>1245</v>
      </c>
      <c r="AT54" s="2" t="s">
        <v>1246</v>
      </c>
      <c r="AU54" s="2" t="n">
        <v>2022</v>
      </c>
      <c r="AV54" s="2" t="n">
        <v>14</v>
      </c>
      <c r="AW54" s="2" t="n">
        <v>5</v>
      </c>
      <c r="AX54" s="2"/>
      <c r="AY54" s="2"/>
      <c r="AZ54" s="2"/>
      <c r="BA54" s="2"/>
      <c r="BB54" s="2"/>
      <c r="BC54" s="2"/>
      <c r="BD54" s="2" t="s">
        <v>1247</v>
      </c>
      <c r="BE54" s="2" t="s">
        <v>1248</v>
      </c>
      <c r="BF54" s="2" t="str">
        <f aca="false">HYPERLINK("http://dx.doi.org/10.7759/cureus.25064","http://dx.doi.org/10.7759/cureus.25064")</f>
        <v>http://dx.doi.org/10.7759/cureus.25064</v>
      </c>
      <c r="BG54" s="2"/>
      <c r="BH54" s="2"/>
      <c r="BI54" s="2" t="n">
        <v>7</v>
      </c>
      <c r="BJ54" s="2" t="s">
        <v>363</v>
      </c>
      <c r="BK54" s="2" t="s">
        <v>339</v>
      </c>
      <c r="BL54" s="2" t="s">
        <v>364</v>
      </c>
      <c r="BM54" s="2" t="s">
        <v>1249</v>
      </c>
      <c r="BN54" s="2" t="n">
        <v>35719813</v>
      </c>
      <c r="BO54" s="2" t="s">
        <v>103</v>
      </c>
      <c r="BP54" s="2"/>
      <c r="BQ54" s="2"/>
      <c r="BR54" s="2" t="s">
        <v>104</v>
      </c>
      <c r="BS54" s="2" t="s">
        <v>1250</v>
      </c>
      <c r="BT54" s="2" t="str">
        <f aca="false">HYPERLINK("https%3A%2F%2Fwww.webofscience.com%2Fwos%2Fwoscc%2Ffull-record%2FWOS:000800513300024","View Full Record in Web of Science")</f>
        <v>View Full Record in Web of Science</v>
      </c>
    </row>
    <row r="55" customFormat="false" ht="12.75" hidden="false" customHeight="false" outlineLevel="0" collapsed="false">
      <c r="A55" s="2" t="s">
        <v>72</v>
      </c>
      <c r="B55" s="2" t="s">
        <v>1251</v>
      </c>
      <c r="C55" s="2"/>
      <c r="D55" s="2"/>
      <c r="E55" s="2"/>
      <c r="F55" s="2" t="s">
        <v>1252</v>
      </c>
      <c r="G55" s="2"/>
      <c r="H55" s="2"/>
      <c r="I55" s="2" t="s">
        <v>1253</v>
      </c>
      <c r="J55" s="2" t="s">
        <v>141</v>
      </c>
      <c r="K55" s="2"/>
      <c r="L55" s="2"/>
      <c r="M55" s="2" t="s">
        <v>77</v>
      </c>
      <c r="N55" s="2" t="s">
        <v>78</v>
      </c>
      <c r="O55" s="2"/>
      <c r="P55" s="2"/>
      <c r="Q55" s="2"/>
      <c r="R55" s="2"/>
      <c r="S55" s="2"/>
      <c r="T55" s="2" t="s">
        <v>1254</v>
      </c>
      <c r="U55" s="2" t="s">
        <v>1255</v>
      </c>
      <c r="V55" s="2" t="s">
        <v>1256</v>
      </c>
      <c r="W55" s="2" t="s">
        <v>1257</v>
      </c>
      <c r="X55" s="2" t="s">
        <v>1258</v>
      </c>
      <c r="Y55" s="2" t="s">
        <v>1259</v>
      </c>
      <c r="Z55" s="2" t="s">
        <v>1260</v>
      </c>
      <c r="AA55" s="2"/>
      <c r="AB55" s="2" t="s">
        <v>1261</v>
      </c>
      <c r="AC55" s="2" t="s">
        <v>1262</v>
      </c>
      <c r="AD55" s="2" t="s">
        <v>1263</v>
      </c>
      <c r="AE55" s="2" t="s">
        <v>1264</v>
      </c>
      <c r="AF55" s="2"/>
      <c r="AG55" s="2" t="n">
        <v>36</v>
      </c>
      <c r="AH55" s="2" t="n">
        <v>197</v>
      </c>
      <c r="AI55" s="2" t="n">
        <v>227</v>
      </c>
      <c r="AJ55" s="2" t="n">
        <v>0</v>
      </c>
      <c r="AK55" s="2" t="n">
        <v>9</v>
      </c>
      <c r="AL55" s="2" t="s">
        <v>154</v>
      </c>
      <c r="AM55" s="2" t="s">
        <v>155</v>
      </c>
      <c r="AN55" s="2" t="s">
        <v>156</v>
      </c>
      <c r="AO55" s="2" t="s">
        <v>157</v>
      </c>
      <c r="AP55" s="2" t="s">
        <v>158</v>
      </c>
      <c r="AQ55" s="2"/>
      <c r="AR55" s="2" t="s">
        <v>159</v>
      </c>
      <c r="AS55" s="2" t="s">
        <v>160</v>
      </c>
      <c r="AT55" s="2" t="s">
        <v>336</v>
      </c>
      <c r="AU55" s="2" t="n">
        <v>2008</v>
      </c>
      <c r="AV55" s="2" t="n">
        <v>80</v>
      </c>
      <c r="AW55" s="2" t="n">
        <v>10</v>
      </c>
      <c r="AX55" s="2"/>
      <c r="AY55" s="2"/>
      <c r="AZ55" s="2"/>
      <c r="BA55" s="2"/>
      <c r="BB55" s="2" t="n">
        <v>1843</v>
      </c>
      <c r="BC55" s="2" t="n">
        <v>1849</v>
      </c>
      <c r="BD55" s="2"/>
      <c r="BE55" s="2" t="s">
        <v>1265</v>
      </c>
      <c r="BF55" s="2" t="str">
        <f aca="false">HYPERLINK("http://dx.doi.org/10.1002/jmv.21271","http://dx.doi.org/10.1002/jmv.21271")</f>
        <v>http://dx.doi.org/10.1002/jmv.21271</v>
      </c>
      <c r="BG55" s="2"/>
      <c r="BH55" s="2"/>
      <c r="BI55" s="2" t="n">
        <v>7</v>
      </c>
      <c r="BJ55" s="2" t="s">
        <v>163</v>
      </c>
      <c r="BK55" s="2" t="s">
        <v>100</v>
      </c>
      <c r="BL55" s="2" t="s">
        <v>163</v>
      </c>
      <c r="BM55" s="2" t="s">
        <v>1266</v>
      </c>
      <c r="BN55" s="2" t="n">
        <v>18712820</v>
      </c>
      <c r="BO55" s="2" t="s">
        <v>1267</v>
      </c>
      <c r="BP55" s="2"/>
      <c r="BQ55" s="2"/>
      <c r="BR55" s="2" t="s">
        <v>104</v>
      </c>
      <c r="BS55" s="2" t="s">
        <v>1268</v>
      </c>
      <c r="BT55" s="2" t="str">
        <f aca="false">HYPERLINK("https%3A%2F%2Fwww.webofscience.com%2Fwos%2Fwoscc%2Ffull-record%2FWOS:000258734400024","View Full Record in Web of Science")</f>
        <v>View Full Record in Web of Science</v>
      </c>
    </row>
    <row r="56" customFormat="false" ht="12.75" hidden="false" customHeight="false" outlineLevel="0" collapsed="false">
      <c r="A56" s="2" t="s">
        <v>72</v>
      </c>
      <c r="B56" s="2" t="s">
        <v>1269</v>
      </c>
      <c r="C56" s="2"/>
      <c r="D56" s="2"/>
      <c r="E56" s="2"/>
      <c r="F56" s="2" t="s">
        <v>1270</v>
      </c>
      <c r="G56" s="2"/>
      <c r="H56" s="2"/>
      <c r="I56" s="2" t="s">
        <v>1271</v>
      </c>
      <c r="J56" s="2" t="s">
        <v>109</v>
      </c>
      <c r="K56" s="2"/>
      <c r="L56" s="2"/>
      <c r="M56" s="2" t="s">
        <v>77</v>
      </c>
      <c r="N56" s="2" t="s">
        <v>78</v>
      </c>
      <c r="O56" s="2"/>
      <c r="P56" s="2"/>
      <c r="Q56" s="2"/>
      <c r="R56" s="2"/>
      <c r="S56" s="2"/>
      <c r="T56" s="2" t="s">
        <v>1272</v>
      </c>
      <c r="U56" s="2" t="s">
        <v>1273</v>
      </c>
      <c r="V56" s="2" t="s">
        <v>1274</v>
      </c>
      <c r="W56" s="2" t="s">
        <v>1275</v>
      </c>
      <c r="X56" s="2" t="s">
        <v>1276</v>
      </c>
      <c r="Y56" s="2" t="s">
        <v>1277</v>
      </c>
      <c r="Z56" s="2" t="s">
        <v>1278</v>
      </c>
      <c r="AA56" s="2" t="s">
        <v>1279</v>
      </c>
      <c r="AB56" s="2" t="s">
        <v>1280</v>
      </c>
      <c r="AC56" s="2" t="s">
        <v>1281</v>
      </c>
      <c r="AD56" s="2" t="s">
        <v>1282</v>
      </c>
      <c r="AE56" s="2" t="s">
        <v>1283</v>
      </c>
      <c r="AF56" s="2"/>
      <c r="AG56" s="2" t="n">
        <v>10</v>
      </c>
      <c r="AH56" s="2" t="n">
        <v>8</v>
      </c>
      <c r="AI56" s="2" t="n">
        <v>8</v>
      </c>
      <c r="AJ56" s="2" t="n">
        <v>0</v>
      </c>
      <c r="AK56" s="2" t="n">
        <v>15</v>
      </c>
      <c r="AL56" s="2" t="s">
        <v>122</v>
      </c>
      <c r="AM56" s="2" t="s">
        <v>123</v>
      </c>
      <c r="AN56" s="2" t="s">
        <v>839</v>
      </c>
      <c r="AO56" s="2" t="s">
        <v>125</v>
      </c>
      <c r="AP56" s="2" t="s">
        <v>126</v>
      </c>
      <c r="AQ56" s="2"/>
      <c r="AR56" s="2" t="s">
        <v>127</v>
      </c>
      <c r="AS56" s="2" t="s">
        <v>128</v>
      </c>
      <c r="AT56" s="2" t="s">
        <v>129</v>
      </c>
      <c r="AU56" s="2" t="n">
        <v>2013</v>
      </c>
      <c r="AV56" s="2" t="n">
        <v>32</v>
      </c>
      <c r="AW56" s="2" t="n">
        <v>9</v>
      </c>
      <c r="AX56" s="2"/>
      <c r="AY56" s="2"/>
      <c r="AZ56" s="2"/>
      <c r="BA56" s="2"/>
      <c r="BB56" s="2" t="n">
        <v>1032</v>
      </c>
      <c r="BC56" s="2" t="n">
        <v>1034</v>
      </c>
      <c r="BD56" s="2"/>
      <c r="BE56" s="2" t="s">
        <v>1284</v>
      </c>
      <c r="BF56" s="2" t="str">
        <f aca="false">HYPERLINK("http://dx.doi.org/10.1097/INF.0b013e3182932f4f","http://dx.doi.org/10.1097/INF.0b013e3182932f4f")</f>
        <v>http://dx.doi.org/10.1097/INF.0b013e3182932f4f</v>
      </c>
      <c r="BG56" s="2"/>
      <c r="BH56" s="2"/>
      <c r="BI56" s="2" t="n">
        <v>4</v>
      </c>
      <c r="BJ56" s="2" t="s">
        <v>134</v>
      </c>
      <c r="BK56" s="2" t="s">
        <v>100</v>
      </c>
      <c r="BL56" s="2" t="s">
        <v>134</v>
      </c>
      <c r="BM56" s="2" t="s">
        <v>1285</v>
      </c>
      <c r="BN56" s="2" t="n">
        <v>23538515</v>
      </c>
      <c r="BO56" s="2" t="s">
        <v>656</v>
      </c>
      <c r="BP56" s="2"/>
      <c r="BQ56" s="2"/>
      <c r="BR56" s="2" t="s">
        <v>104</v>
      </c>
      <c r="BS56" s="2" t="s">
        <v>1286</v>
      </c>
      <c r="BT56" s="2" t="str">
        <f aca="false">HYPERLINK("https%3A%2F%2Fwww.webofscience.com%2Fwos%2Fwoscc%2Ffull-record%2FWOS:000330525500033","View Full Record in Web of Science")</f>
        <v>View Full Record in Web of Science</v>
      </c>
    </row>
    <row r="57" customFormat="false" ht="12.75" hidden="false" customHeight="false" outlineLevel="0" collapsed="false">
      <c r="A57" s="2" t="s">
        <v>72</v>
      </c>
      <c r="B57" s="2" t="s">
        <v>1287</v>
      </c>
      <c r="C57" s="2"/>
      <c r="D57" s="2"/>
      <c r="E57" s="2"/>
      <c r="F57" s="2" t="s">
        <v>1288</v>
      </c>
      <c r="G57" s="2"/>
      <c r="H57" s="2"/>
      <c r="I57" s="2" t="s">
        <v>1289</v>
      </c>
      <c r="J57" s="2" t="s">
        <v>1290</v>
      </c>
      <c r="K57" s="2"/>
      <c r="L57" s="2"/>
      <c r="M57" s="2" t="s">
        <v>77</v>
      </c>
      <c r="N57" s="2" t="s">
        <v>78</v>
      </c>
      <c r="O57" s="2"/>
      <c r="P57" s="2"/>
      <c r="Q57" s="2"/>
      <c r="R57" s="2"/>
      <c r="S57" s="2"/>
      <c r="T57" s="2" t="s">
        <v>1291</v>
      </c>
      <c r="U57" s="2" t="s">
        <v>1292</v>
      </c>
      <c r="V57" s="2" t="s">
        <v>1293</v>
      </c>
      <c r="W57" s="2" t="s">
        <v>1294</v>
      </c>
      <c r="X57" s="2" t="s">
        <v>1295</v>
      </c>
      <c r="Y57" s="2" t="s">
        <v>1296</v>
      </c>
      <c r="Z57" s="2" t="s">
        <v>1278</v>
      </c>
      <c r="AA57" s="2" t="s">
        <v>1297</v>
      </c>
      <c r="AB57" s="2" t="s">
        <v>1298</v>
      </c>
      <c r="AC57" s="2" t="s">
        <v>1299</v>
      </c>
      <c r="AD57" s="2" t="s">
        <v>1300</v>
      </c>
      <c r="AE57" s="2" t="s">
        <v>1301</v>
      </c>
      <c r="AF57" s="2"/>
      <c r="AG57" s="2" t="n">
        <v>40</v>
      </c>
      <c r="AH57" s="2" t="n">
        <v>56</v>
      </c>
      <c r="AI57" s="2" t="n">
        <v>64</v>
      </c>
      <c r="AJ57" s="2" t="n">
        <v>0</v>
      </c>
      <c r="AK57" s="2" t="n">
        <v>20</v>
      </c>
      <c r="AL57" s="2" t="s">
        <v>154</v>
      </c>
      <c r="AM57" s="2" t="s">
        <v>155</v>
      </c>
      <c r="AN57" s="2" t="s">
        <v>156</v>
      </c>
      <c r="AO57" s="2" t="s">
        <v>1302</v>
      </c>
      <c r="AP57" s="2" t="s">
        <v>1303</v>
      </c>
      <c r="AQ57" s="2"/>
      <c r="AR57" s="2" t="s">
        <v>1304</v>
      </c>
      <c r="AS57" s="2" t="s">
        <v>1305</v>
      </c>
      <c r="AT57" s="2" t="s">
        <v>390</v>
      </c>
      <c r="AU57" s="2" t="n">
        <v>2013</v>
      </c>
      <c r="AV57" s="2" t="n">
        <v>48</v>
      </c>
      <c r="AW57" s="2" t="n">
        <v>5</v>
      </c>
      <c r="AX57" s="2"/>
      <c r="AY57" s="2"/>
      <c r="AZ57" s="2"/>
      <c r="BA57" s="2"/>
      <c r="BB57" s="2" t="n">
        <v>456</v>
      </c>
      <c r="BC57" s="2" t="n">
        <v>463</v>
      </c>
      <c r="BD57" s="2"/>
      <c r="BE57" s="2" t="s">
        <v>1306</v>
      </c>
      <c r="BF57" s="2" t="str">
        <f aca="false">HYPERLINK("http://dx.doi.org/10.1002/ppul.22633","http://dx.doi.org/10.1002/ppul.22633")</f>
        <v>http://dx.doi.org/10.1002/ppul.22633</v>
      </c>
      <c r="BG57" s="2"/>
      <c r="BH57" s="2"/>
      <c r="BI57" s="2" t="n">
        <v>8</v>
      </c>
      <c r="BJ57" s="2" t="s">
        <v>1307</v>
      </c>
      <c r="BK57" s="2" t="s">
        <v>100</v>
      </c>
      <c r="BL57" s="2" t="s">
        <v>1307</v>
      </c>
      <c r="BM57" s="2" t="s">
        <v>1308</v>
      </c>
      <c r="BN57" s="2" t="n">
        <v>22949404</v>
      </c>
      <c r="BO57" s="2" t="s">
        <v>538</v>
      </c>
      <c r="BP57" s="2"/>
      <c r="BQ57" s="2"/>
      <c r="BR57" s="2" t="s">
        <v>104</v>
      </c>
      <c r="BS57" s="2" t="s">
        <v>1309</v>
      </c>
      <c r="BT57" s="2" t="str">
        <f aca="false">HYPERLINK("https%3A%2F%2Fwww.webofscience.com%2Fwos%2Fwoscc%2Ffull-record%2FWOS:000317930800004","View Full Record in Web of Science")</f>
        <v>View Full Record in Web of Science</v>
      </c>
    </row>
    <row r="58" customFormat="false" ht="12.75" hidden="false" customHeight="false" outlineLevel="0" collapsed="false">
      <c r="A58" s="2" t="s">
        <v>72</v>
      </c>
      <c r="B58" s="2" t="s">
        <v>1310</v>
      </c>
      <c r="C58" s="2"/>
      <c r="D58" s="2"/>
      <c r="E58" s="2"/>
      <c r="F58" s="2" t="s">
        <v>1311</v>
      </c>
      <c r="G58" s="2"/>
      <c r="H58" s="2"/>
      <c r="I58" s="2" t="s">
        <v>1312</v>
      </c>
      <c r="J58" s="2" t="s">
        <v>1313</v>
      </c>
      <c r="K58" s="2"/>
      <c r="L58" s="2"/>
      <c r="M58" s="2" t="s">
        <v>77</v>
      </c>
      <c r="N58" s="2" t="s">
        <v>78</v>
      </c>
      <c r="O58" s="2"/>
      <c r="P58" s="2"/>
      <c r="Q58" s="2"/>
      <c r="R58" s="2"/>
      <c r="S58" s="2"/>
      <c r="T58" s="2" t="s">
        <v>1314</v>
      </c>
      <c r="U58" s="2" t="s">
        <v>1315</v>
      </c>
      <c r="V58" s="2" t="s">
        <v>1316</v>
      </c>
      <c r="W58" s="2" t="s">
        <v>1317</v>
      </c>
      <c r="X58" s="2" t="s">
        <v>1318</v>
      </c>
      <c r="Y58" s="2" t="s">
        <v>1319</v>
      </c>
      <c r="Z58" s="2" t="s">
        <v>1320</v>
      </c>
      <c r="AA58" s="2" t="s">
        <v>1321</v>
      </c>
      <c r="AB58" s="2" t="s">
        <v>1322</v>
      </c>
      <c r="AC58" s="2" t="s">
        <v>1323</v>
      </c>
      <c r="AD58" s="2" t="s">
        <v>1323</v>
      </c>
      <c r="AE58" s="2" t="s">
        <v>1324</v>
      </c>
      <c r="AF58" s="2"/>
      <c r="AG58" s="2" t="n">
        <v>21</v>
      </c>
      <c r="AH58" s="2" t="n">
        <v>40</v>
      </c>
      <c r="AI58" s="2" t="n">
        <v>42</v>
      </c>
      <c r="AJ58" s="2" t="n">
        <v>0</v>
      </c>
      <c r="AK58" s="2" t="n">
        <v>5</v>
      </c>
      <c r="AL58" s="2" t="s">
        <v>302</v>
      </c>
      <c r="AM58" s="2" t="s">
        <v>303</v>
      </c>
      <c r="AN58" s="2" t="s">
        <v>304</v>
      </c>
      <c r="AO58" s="2" t="s">
        <v>1325</v>
      </c>
      <c r="AP58" s="2"/>
      <c r="AQ58" s="2"/>
      <c r="AR58" s="2" t="s">
        <v>1313</v>
      </c>
      <c r="AS58" s="2" t="s">
        <v>1326</v>
      </c>
      <c r="AT58" s="2" t="s">
        <v>1327</v>
      </c>
      <c r="AU58" s="2" t="n">
        <v>2019</v>
      </c>
      <c r="AV58" s="2" t="n">
        <v>20</v>
      </c>
      <c r="AW58" s="2"/>
      <c r="AX58" s="2"/>
      <c r="AY58" s="2"/>
      <c r="AZ58" s="2"/>
      <c r="BA58" s="2"/>
      <c r="BB58" s="2"/>
      <c r="BC58" s="2"/>
      <c r="BD58" s="2" t="n">
        <v>48</v>
      </c>
      <c r="BE58" s="2" t="s">
        <v>1328</v>
      </c>
      <c r="BF58" s="2" t="str">
        <f aca="false">HYPERLINK("http://dx.doi.org/10.1186/s12859-019-2606-y","http://dx.doi.org/10.1186/s12859-019-2606-y")</f>
        <v>http://dx.doi.org/10.1186/s12859-019-2606-y</v>
      </c>
      <c r="BG58" s="2"/>
      <c r="BH58" s="2"/>
      <c r="BI58" s="2" t="n">
        <v>8</v>
      </c>
      <c r="BJ58" s="2" t="s">
        <v>1329</v>
      </c>
      <c r="BK58" s="2" t="s">
        <v>100</v>
      </c>
      <c r="BL58" s="2" t="s">
        <v>1330</v>
      </c>
      <c r="BM58" s="2" t="s">
        <v>1331</v>
      </c>
      <c r="BN58" s="2" t="n">
        <v>30674273</v>
      </c>
      <c r="BO58" s="2" t="s">
        <v>341</v>
      </c>
      <c r="BP58" s="2"/>
      <c r="BQ58" s="2"/>
      <c r="BR58" s="2" t="s">
        <v>104</v>
      </c>
      <c r="BS58" s="2" t="s">
        <v>1332</v>
      </c>
      <c r="BT58" s="2" t="str">
        <f aca="false">HYPERLINK("https%3A%2F%2Fwww.webofscience.com%2Fwos%2Fwoscc%2Ffull-record%2FWOS:000456522700002","View Full Record in Web of Science")</f>
        <v>View Full Record in Web of Science</v>
      </c>
    </row>
    <row r="59" customFormat="false" ht="12.75" hidden="false" customHeight="false" outlineLevel="0" collapsed="false">
      <c r="A59" s="2" t="s">
        <v>72</v>
      </c>
      <c r="B59" s="2" t="s">
        <v>1333</v>
      </c>
      <c r="C59" s="2"/>
      <c r="D59" s="2"/>
      <c r="E59" s="2"/>
      <c r="F59" s="2" t="s">
        <v>1334</v>
      </c>
      <c r="G59" s="2"/>
      <c r="H59" s="2"/>
      <c r="I59" s="2" t="s">
        <v>1335</v>
      </c>
      <c r="J59" s="2" t="s">
        <v>1336</v>
      </c>
      <c r="K59" s="2"/>
      <c r="L59" s="2"/>
      <c r="M59" s="2" t="s">
        <v>77</v>
      </c>
      <c r="N59" s="2" t="s">
        <v>78</v>
      </c>
      <c r="O59" s="2"/>
      <c r="P59" s="2"/>
      <c r="Q59" s="2"/>
      <c r="R59" s="2"/>
      <c r="S59" s="2"/>
      <c r="T59" s="2" t="s">
        <v>1337</v>
      </c>
      <c r="U59" s="2" t="s">
        <v>1338</v>
      </c>
      <c r="V59" s="2" t="s">
        <v>1339</v>
      </c>
      <c r="W59" s="2" t="s">
        <v>1340</v>
      </c>
      <c r="X59" s="2"/>
      <c r="Y59" s="2" t="s">
        <v>1341</v>
      </c>
      <c r="Z59" s="2" t="s">
        <v>1342</v>
      </c>
      <c r="AA59" s="2"/>
      <c r="AB59" s="2" t="s">
        <v>1343</v>
      </c>
      <c r="AC59" s="2"/>
      <c r="AD59" s="2"/>
      <c r="AE59" s="2"/>
      <c r="AF59" s="2"/>
      <c r="AG59" s="2" t="n">
        <v>15</v>
      </c>
      <c r="AH59" s="2" t="n">
        <v>1</v>
      </c>
      <c r="AI59" s="2" t="n">
        <v>1</v>
      </c>
      <c r="AJ59" s="2" t="n">
        <v>0</v>
      </c>
      <c r="AK59" s="2" t="n">
        <v>3</v>
      </c>
      <c r="AL59" s="2" t="s">
        <v>1344</v>
      </c>
      <c r="AM59" s="2" t="s">
        <v>1345</v>
      </c>
      <c r="AN59" s="2" t="s">
        <v>1346</v>
      </c>
      <c r="AO59" s="2" t="s">
        <v>1347</v>
      </c>
      <c r="AP59" s="2" t="s">
        <v>1348</v>
      </c>
      <c r="AQ59" s="2"/>
      <c r="AR59" s="2" t="s">
        <v>1349</v>
      </c>
      <c r="AS59" s="2" t="s">
        <v>1350</v>
      </c>
      <c r="AT59" s="2" t="s">
        <v>362</v>
      </c>
      <c r="AU59" s="2" t="n">
        <v>2022</v>
      </c>
      <c r="AV59" s="2" t="n">
        <v>15</v>
      </c>
      <c r="AW59" s="2"/>
      <c r="AX59" s="2"/>
      <c r="AY59" s="2"/>
      <c r="AZ59" s="2"/>
      <c r="BA59" s="2"/>
      <c r="BB59" s="2"/>
      <c r="BC59" s="2"/>
      <c r="BD59" s="2" t="n">
        <v>101067</v>
      </c>
      <c r="BE59" s="2" t="s">
        <v>1351</v>
      </c>
      <c r="BF59" s="2" t="str">
        <f aca="false">HYPERLINK("http://dx.doi.org/10.1016/j.cegh.2022.101067","http://dx.doi.org/10.1016/j.cegh.2022.101067")</f>
        <v>http://dx.doi.org/10.1016/j.cegh.2022.101067</v>
      </c>
      <c r="BG59" s="2"/>
      <c r="BH59" s="2" t="s">
        <v>1352</v>
      </c>
      <c r="BI59" s="2" t="n">
        <v>4</v>
      </c>
      <c r="BJ59" s="2" t="s">
        <v>1353</v>
      </c>
      <c r="BK59" s="2" t="s">
        <v>339</v>
      </c>
      <c r="BL59" s="2" t="s">
        <v>1353</v>
      </c>
      <c r="BM59" s="2" t="s">
        <v>1354</v>
      </c>
      <c r="BN59" s="2"/>
      <c r="BO59" s="2" t="s">
        <v>1355</v>
      </c>
      <c r="BP59" s="2"/>
      <c r="BQ59" s="2"/>
      <c r="BR59" s="2" t="s">
        <v>104</v>
      </c>
      <c r="BS59" s="2" t="s">
        <v>1356</v>
      </c>
      <c r="BT59" s="2" t="str">
        <f aca="false">HYPERLINK("https%3A%2F%2Fwww.webofscience.com%2Fwos%2Fwoscc%2Ffull-record%2FWOS:000804982600003","View Full Record in Web of Science")</f>
        <v>View Full Record in Web of Science</v>
      </c>
    </row>
    <row r="60" customFormat="false" ht="12.75" hidden="false" customHeight="false" outlineLevel="0" collapsed="false">
      <c r="A60" s="2" t="s">
        <v>72</v>
      </c>
      <c r="B60" s="2" t="s">
        <v>1357</v>
      </c>
      <c r="C60" s="2"/>
      <c r="D60" s="2"/>
      <c r="E60" s="2"/>
      <c r="F60" s="2" t="s">
        <v>1358</v>
      </c>
      <c r="G60" s="2"/>
      <c r="H60" s="2"/>
      <c r="I60" s="2" t="s">
        <v>1359</v>
      </c>
      <c r="J60" s="2" t="s">
        <v>742</v>
      </c>
      <c r="K60" s="2"/>
      <c r="L60" s="2"/>
      <c r="M60" s="2" t="s">
        <v>77</v>
      </c>
      <c r="N60" s="2" t="s">
        <v>78</v>
      </c>
      <c r="O60" s="2"/>
      <c r="P60" s="2"/>
      <c r="Q60" s="2"/>
      <c r="R60" s="2"/>
      <c r="S60" s="2"/>
      <c r="T60" s="2" t="s">
        <v>1360</v>
      </c>
      <c r="U60" s="2" t="s">
        <v>1361</v>
      </c>
      <c r="V60" s="2" t="s">
        <v>1362</v>
      </c>
      <c r="W60" s="2" t="s">
        <v>1363</v>
      </c>
      <c r="X60" s="2" t="s">
        <v>1364</v>
      </c>
      <c r="Y60" s="2" t="s">
        <v>1365</v>
      </c>
      <c r="Z60" s="2" t="s">
        <v>1366</v>
      </c>
      <c r="AA60" s="2" t="s">
        <v>1367</v>
      </c>
      <c r="AB60" s="2" t="s">
        <v>1368</v>
      </c>
      <c r="AC60" s="2" t="s">
        <v>1369</v>
      </c>
      <c r="AD60" s="2" t="s">
        <v>1370</v>
      </c>
      <c r="AE60" s="2" t="s">
        <v>1371</v>
      </c>
      <c r="AF60" s="2"/>
      <c r="AG60" s="2" t="n">
        <v>59</v>
      </c>
      <c r="AH60" s="2" t="n">
        <v>4</v>
      </c>
      <c r="AI60" s="2" t="n">
        <v>4</v>
      </c>
      <c r="AJ60" s="2" t="n">
        <v>0</v>
      </c>
      <c r="AK60" s="2" t="n">
        <v>9</v>
      </c>
      <c r="AL60" s="2" t="s">
        <v>755</v>
      </c>
      <c r="AM60" s="2" t="s">
        <v>273</v>
      </c>
      <c r="AN60" s="2" t="s">
        <v>756</v>
      </c>
      <c r="AO60" s="2" t="s">
        <v>757</v>
      </c>
      <c r="AP60" s="2" t="s">
        <v>758</v>
      </c>
      <c r="AQ60" s="2"/>
      <c r="AR60" s="2" t="s">
        <v>759</v>
      </c>
      <c r="AS60" s="2" t="s">
        <v>760</v>
      </c>
      <c r="AT60" s="2" t="s">
        <v>446</v>
      </c>
      <c r="AU60" s="2" t="n">
        <v>2020</v>
      </c>
      <c r="AV60" s="2" t="n">
        <v>94</v>
      </c>
      <c r="AW60" s="2" t="n">
        <v>24</v>
      </c>
      <c r="AX60" s="2"/>
      <c r="AY60" s="2"/>
      <c r="AZ60" s="2"/>
      <c r="BA60" s="2"/>
      <c r="BB60" s="2"/>
      <c r="BC60" s="2"/>
      <c r="BD60" s="2" t="s">
        <v>1372</v>
      </c>
      <c r="BE60" s="2" t="s">
        <v>1373</v>
      </c>
      <c r="BF60" s="2" t="str">
        <f aca="false">HYPERLINK("http://dx.doi.org/10.1128/JVI.01831-20","http://dx.doi.org/10.1128/JVI.01831-20")</f>
        <v>http://dx.doi.org/10.1128/JVI.01831-20</v>
      </c>
      <c r="BG60" s="2"/>
      <c r="BH60" s="2"/>
      <c r="BI60" s="2" t="n">
        <v>18</v>
      </c>
      <c r="BJ60" s="2" t="s">
        <v>163</v>
      </c>
      <c r="BK60" s="2" t="s">
        <v>100</v>
      </c>
      <c r="BL60" s="2" t="s">
        <v>163</v>
      </c>
      <c r="BM60" s="2" t="s">
        <v>1374</v>
      </c>
      <c r="BN60" s="2" t="n">
        <v>32999025</v>
      </c>
      <c r="BO60" s="2" t="s">
        <v>165</v>
      </c>
      <c r="BP60" s="2"/>
      <c r="BQ60" s="2"/>
      <c r="BR60" s="2" t="s">
        <v>104</v>
      </c>
      <c r="BS60" s="2" t="s">
        <v>1375</v>
      </c>
      <c r="BT60" s="2" t="str">
        <f aca="false">HYPERLINK("https%3A%2F%2Fwww.webofscience.com%2Fwos%2Fwoscc%2Ffull-record%2FWOS:000595277800001","View Full Record in Web of Science")</f>
        <v>View Full Record in Web of Science</v>
      </c>
    </row>
    <row r="61" customFormat="false" ht="12.75" hidden="false" customHeight="false" outlineLevel="0" collapsed="false">
      <c r="A61" s="2" t="s">
        <v>72</v>
      </c>
      <c r="B61" s="2" t="s">
        <v>1376</v>
      </c>
      <c r="C61" s="2"/>
      <c r="D61" s="2"/>
      <c r="E61" s="2"/>
      <c r="F61" s="2" t="s">
        <v>1377</v>
      </c>
      <c r="G61" s="2"/>
      <c r="H61" s="2" t="s">
        <v>1378</v>
      </c>
      <c r="I61" s="2" t="s">
        <v>1379</v>
      </c>
      <c r="J61" s="2" t="s">
        <v>109</v>
      </c>
      <c r="K61" s="2"/>
      <c r="L61" s="2"/>
      <c r="M61" s="2" t="s">
        <v>77</v>
      </c>
      <c r="N61" s="2" t="s">
        <v>78</v>
      </c>
      <c r="O61" s="2"/>
      <c r="P61" s="2"/>
      <c r="Q61" s="2"/>
      <c r="R61" s="2"/>
      <c r="S61" s="2"/>
      <c r="T61" s="2" t="s">
        <v>1380</v>
      </c>
      <c r="U61" s="2" t="s">
        <v>1381</v>
      </c>
      <c r="V61" s="2" t="s">
        <v>1382</v>
      </c>
      <c r="W61" s="2" t="s">
        <v>1383</v>
      </c>
      <c r="X61" s="2" t="s">
        <v>1384</v>
      </c>
      <c r="Y61" s="2" t="s">
        <v>1385</v>
      </c>
      <c r="Z61" s="2" t="s">
        <v>1386</v>
      </c>
      <c r="AA61" s="2" t="s">
        <v>1387</v>
      </c>
      <c r="AB61" s="2" t="s">
        <v>1388</v>
      </c>
      <c r="AC61" s="2"/>
      <c r="AD61" s="2"/>
      <c r="AE61" s="2"/>
      <c r="AF61" s="2"/>
      <c r="AG61" s="2" t="n">
        <v>26</v>
      </c>
      <c r="AH61" s="2" t="n">
        <v>7</v>
      </c>
      <c r="AI61" s="2" t="n">
        <v>7</v>
      </c>
      <c r="AJ61" s="2" t="n">
        <v>0</v>
      </c>
      <c r="AK61" s="2" t="n">
        <v>1</v>
      </c>
      <c r="AL61" s="2" t="s">
        <v>122</v>
      </c>
      <c r="AM61" s="2" t="s">
        <v>123</v>
      </c>
      <c r="AN61" s="2" t="s">
        <v>124</v>
      </c>
      <c r="AO61" s="2" t="s">
        <v>125</v>
      </c>
      <c r="AP61" s="2" t="s">
        <v>126</v>
      </c>
      <c r="AQ61" s="2"/>
      <c r="AR61" s="2" t="s">
        <v>127</v>
      </c>
      <c r="AS61" s="2" t="s">
        <v>128</v>
      </c>
      <c r="AT61" s="2" t="s">
        <v>390</v>
      </c>
      <c r="AU61" s="2" t="n">
        <v>2015</v>
      </c>
      <c r="AV61" s="2" t="n">
        <v>34</v>
      </c>
      <c r="AW61" s="2" t="n">
        <v>5</v>
      </c>
      <c r="AX61" s="2"/>
      <c r="AY61" s="2"/>
      <c r="AZ61" s="2"/>
      <c r="BA61" s="2"/>
      <c r="BB61" s="2" t="n">
        <v>476</v>
      </c>
      <c r="BC61" s="2" t="n">
        <v>481</v>
      </c>
      <c r="BD61" s="2"/>
      <c r="BE61" s="2" t="s">
        <v>1389</v>
      </c>
      <c r="BF61" s="2" t="str">
        <f aca="false">HYPERLINK("http://dx.doi.org/10.1097/INF.0000000000000627","http://dx.doi.org/10.1097/INF.0000000000000627")</f>
        <v>http://dx.doi.org/10.1097/INF.0000000000000627</v>
      </c>
      <c r="BG61" s="2"/>
      <c r="BH61" s="2"/>
      <c r="BI61" s="2" t="n">
        <v>6</v>
      </c>
      <c r="BJ61" s="2" t="s">
        <v>134</v>
      </c>
      <c r="BK61" s="2" t="s">
        <v>100</v>
      </c>
      <c r="BL61" s="2" t="s">
        <v>134</v>
      </c>
      <c r="BM61" s="2" t="s">
        <v>1390</v>
      </c>
      <c r="BN61" s="2" t="n">
        <v>25879647</v>
      </c>
      <c r="BO61" s="2"/>
      <c r="BP61" s="2"/>
      <c r="BQ61" s="2"/>
      <c r="BR61" s="2" t="s">
        <v>104</v>
      </c>
      <c r="BS61" s="2" t="s">
        <v>1391</v>
      </c>
      <c r="BT61" s="2" t="str">
        <f aca="false">HYPERLINK("https%3A%2F%2Fwww.webofscience.com%2Fwos%2Fwoscc%2Ffull-record%2FWOS:000353344500010","View Full Record in Web of Science")</f>
        <v>View Full Record in Web of Science</v>
      </c>
    </row>
    <row r="62" customFormat="false" ht="12.75" hidden="false" customHeight="false" outlineLevel="0" collapsed="false">
      <c r="A62" s="2" t="s">
        <v>72</v>
      </c>
      <c r="B62" s="2" t="s">
        <v>1392</v>
      </c>
      <c r="C62" s="2"/>
      <c r="D62" s="2"/>
      <c r="E62" s="2"/>
      <c r="F62" s="2" t="s">
        <v>1393</v>
      </c>
      <c r="G62" s="2"/>
      <c r="H62" s="2"/>
      <c r="I62" s="2" t="s">
        <v>1394</v>
      </c>
      <c r="J62" s="2" t="s">
        <v>717</v>
      </c>
      <c r="K62" s="2"/>
      <c r="L62" s="2"/>
      <c r="M62" s="2" t="s">
        <v>77</v>
      </c>
      <c r="N62" s="2" t="s">
        <v>78</v>
      </c>
      <c r="O62" s="2"/>
      <c r="P62" s="2"/>
      <c r="Q62" s="2"/>
      <c r="R62" s="2"/>
      <c r="S62" s="2"/>
      <c r="T62" s="2" t="s">
        <v>1395</v>
      </c>
      <c r="U62" s="2" t="s">
        <v>1396</v>
      </c>
      <c r="V62" s="2" t="s">
        <v>1397</v>
      </c>
      <c r="W62" s="2" t="s">
        <v>1398</v>
      </c>
      <c r="X62" s="2" t="s">
        <v>1399</v>
      </c>
      <c r="Y62" s="2" t="s">
        <v>1400</v>
      </c>
      <c r="Z62" s="2" t="s">
        <v>1401</v>
      </c>
      <c r="AA62" s="2" t="s">
        <v>1402</v>
      </c>
      <c r="AB62" s="2" t="s">
        <v>1403</v>
      </c>
      <c r="AC62" s="2" t="s">
        <v>1404</v>
      </c>
      <c r="AD62" s="2" t="s">
        <v>1405</v>
      </c>
      <c r="AE62" s="2" t="s">
        <v>1406</v>
      </c>
      <c r="AF62" s="2"/>
      <c r="AG62" s="2" t="n">
        <v>37</v>
      </c>
      <c r="AH62" s="2" t="n">
        <v>48</v>
      </c>
      <c r="AI62" s="2" t="n">
        <v>53</v>
      </c>
      <c r="AJ62" s="2" t="n">
        <v>0</v>
      </c>
      <c r="AK62" s="2" t="n">
        <v>9</v>
      </c>
      <c r="AL62" s="2" t="s">
        <v>549</v>
      </c>
      <c r="AM62" s="2" t="s">
        <v>384</v>
      </c>
      <c r="AN62" s="2" t="s">
        <v>550</v>
      </c>
      <c r="AO62" s="2" t="s">
        <v>729</v>
      </c>
      <c r="AP62" s="2"/>
      <c r="AQ62" s="2"/>
      <c r="AR62" s="2" t="s">
        <v>731</v>
      </c>
      <c r="AS62" s="2" t="s">
        <v>732</v>
      </c>
      <c r="AT62" s="2" t="s">
        <v>97</v>
      </c>
      <c r="AU62" s="2" t="n">
        <v>2009</v>
      </c>
      <c r="AV62" s="2" t="n">
        <v>156</v>
      </c>
      <c r="AW62" s="2" t="s">
        <v>1407</v>
      </c>
      <c r="AX62" s="2"/>
      <c r="AY62" s="2"/>
      <c r="AZ62" s="2"/>
      <c r="BA62" s="2"/>
      <c r="BB62" s="2" t="n">
        <v>102</v>
      </c>
      <c r="BC62" s="2" t="n">
        <v>106</v>
      </c>
      <c r="BD62" s="2"/>
      <c r="BE62" s="2" t="s">
        <v>1408</v>
      </c>
      <c r="BF62" s="2" t="str">
        <f aca="false">HYPERLINK("http://dx.doi.org/10.1016/j.jviromet.2008.10.027","http://dx.doi.org/10.1016/j.jviromet.2008.10.027")</f>
        <v>http://dx.doi.org/10.1016/j.jviromet.2008.10.027</v>
      </c>
      <c r="BG62" s="2"/>
      <c r="BH62" s="2"/>
      <c r="BI62" s="2" t="n">
        <v>5</v>
      </c>
      <c r="BJ62" s="2" t="s">
        <v>735</v>
      </c>
      <c r="BK62" s="2" t="s">
        <v>100</v>
      </c>
      <c r="BL62" s="2" t="s">
        <v>736</v>
      </c>
      <c r="BM62" s="2" t="s">
        <v>1409</v>
      </c>
      <c r="BN62" s="2" t="n">
        <v>19041346</v>
      </c>
      <c r="BO62" s="2" t="s">
        <v>1227</v>
      </c>
      <c r="BP62" s="2"/>
      <c r="BQ62" s="2"/>
      <c r="BR62" s="2" t="s">
        <v>104</v>
      </c>
      <c r="BS62" s="2" t="s">
        <v>1410</v>
      </c>
      <c r="BT62" s="2" t="str">
        <f aca="false">HYPERLINK("https%3A%2F%2Fwww.webofscience.com%2Fwos%2Fwoscc%2Ffull-record%2FWOS:000264328800016","View Full Record in Web of Science")</f>
        <v>View Full Record in Web of Science</v>
      </c>
    </row>
    <row r="63" customFormat="false" ht="12.75" hidden="false" customHeight="false" outlineLevel="0" collapsed="false">
      <c r="A63" s="2" t="s">
        <v>72</v>
      </c>
      <c r="B63" s="2" t="s">
        <v>1411</v>
      </c>
      <c r="C63" s="2"/>
      <c r="D63" s="2"/>
      <c r="E63" s="2"/>
      <c r="F63" s="2" t="s">
        <v>1411</v>
      </c>
      <c r="G63" s="2"/>
      <c r="H63" s="2"/>
      <c r="I63" s="2" t="s">
        <v>1412</v>
      </c>
      <c r="J63" s="2" t="s">
        <v>1413</v>
      </c>
      <c r="K63" s="2"/>
      <c r="L63" s="2"/>
      <c r="M63" s="2" t="s">
        <v>77</v>
      </c>
      <c r="N63" s="2" t="s">
        <v>78</v>
      </c>
      <c r="O63" s="2"/>
      <c r="P63" s="2"/>
      <c r="Q63" s="2"/>
      <c r="R63" s="2"/>
      <c r="S63" s="2"/>
      <c r="T63" s="2" t="s">
        <v>1414</v>
      </c>
      <c r="U63" s="2" t="s">
        <v>1415</v>
      </c>
      <c r="V63" s="2" t="s">
        <v>1416</v>
      </c>
      <c r="W63" s="2" t="s">
        <v>1417</v>
      </c>
      <c r="X63" s="2" t="s">
        <v>1418</v>
      </c>
      <c r="Y63" s="2" t="s">
        <v>1419</v>
      </c>
      <c r="Z63" s="2" t="s">
        <v>1420</v>
      </c>
      <c r="AA63" s="2"/>
      <c r="AB63" s="2"/>
      <c r="AC63" s="2"/>
      <c r="AD63" s="2"/>
      <c r="AE63" s="2"/>
      <c r="AF63" s="2"/>
      <c r="AG63" s="2" t="n">
        <v>59</v>
      </c>
      <c r="AH63" s="2" t="n">
        <v>16</v>
      </c>
      <c r="AI63" s="2" t="n">
        <v>19</v>
      </c>
      <c r="AJ63" s="2" t="n">
        <v>5</v>
      </c>
      <c r="AK63" s="2" t="n">
        <v>7</v>
      </c>
      <c r="AL63" s="2" t="s">
        <v>383</v>
      </c>
      <c r="AM63" s="2" t="s">
        <v>384</v>
      </c>
      <c r="AN63" s="2" t="s">
        <v>385</v>
      </c>
      <c r="AO63" s="2" t="s">
        <v>1421</v>
      </c>
      <c r="AP63" s="2" t="s">
        <v>1422</v>
      </c>
      <c r="AQ63" s="2"/>
      <c r="AR63" s="2" t="s">
        <v>1423</v>
      </c>
      <c r="AS63" s="2" t="s">
        <v>1424</v>
      </c>
      <c r="AT63" s="2" t="s">
        <v>692</v>
      </c>
      <c r="AU63" s="2" t="n">
        <v>2003</v>
      </c>
      <c r="AV63" s="2" t="n">
        <v>92</v>
      </c>
      <c r="AW63" s="2" t="n">
        <v>2</v>
      </c>
      <c r="AX63" s="2"/>
      <c r="AY63" s="2"/>
      <c r="AZ63" s="2"/>
      <c r="BA63" s="2"/>
      <c r="BB63" s="2" t="n">
        <v>171</v>
      </c>
      <c r="BC63" s="2" t="n">
        <v>178</v>
      </c>
      <c r="BD63" s="2" t="s">
        <v>1425</v>
      </c>
      <c r="BE63" s="2" t="s">
        <v>1426</v>
      </c>
      <c r="BF63" s="2" t="str">
        <f aca="false">HYPERLINK("http://dx.doi.org/10.1016/S0168-1702(03)00041-8","http://dx.doi.org/10.1016/S0168-1702(03)00041-8")</f>
        <v>http://dx.doi.org/10.1016/S0168-1702(03)00041-8</v>
      </c>
      <c r="BG63" s="2"/>
      <c r="BH63" s="2"/>
      <c r="BI63" s="2" t="n">
        <v>8</v>
      </c>
      <c r="BJ63" s="2" t="s">
        <v>163</v>
      </c>
      <c r="BK63" s="2" t="s">
        <v>100</v>
      </c>
      <c r="BL63" s="2" t="s">
        <v>163</v>
      </c>
      <c r="BM63" s="2" t="s">
        <v>1427</v>
      </c>
      <c r="BN63" s="2" t="n">
        <v>12686426</v>
      </c>
      <c r="BO63" s="2"/>
      <c r="BP63" s="2"/>
      <c r="BQ63" s="2"/>
      <c r="BR63" s="2" t="s">
        <v>104</v>
      </c>
      <c r="BS63" s="2" t="s">
        <v>1428</v>
      </c>
      <c r="BT63" s="2" t="str">
        <f aca="false">HYPERLINK("https%3A%2F%2Fwww.webofscience.com%2Fwos%2Fwoscc%2Ffull-record%2FWOS:000182339900006","View Full Record in Web of Science")</f>
        <v>View Full Record in Web of Science</v>
      </c>
    </row>
    <row r="64" customFormat="false" ht="12.75" hidden="false" customHeight="false" outlineLevel="0" collapsed="false">
      <c r="A64" s="2" t="s">
        <v>72</v>
      </c>
      <c r="B64" s="2" t="s">
        <v>1429</v>
      </c>
      <c r="C64" s="2"/>
      <c r="D64" s="2"/>
      <c r="E64" s="2"/>
      <c r="F64" s="2" t="s">
        <v>1430</v>
      </c>
      <c r="G64" s="2"/>
      <c r="H64" s="2"/>
      <c r="I64" s="2" t="s">
        <v>1431</v>
      </c>
      <c r="J64" s="2" t="s">
        <v>1432</v>
      </c>
      <c r="K64" s="2"/>
      <c r="L64" s="2"/>
      <c r="M64" s="2" t="s">
        <v>77</v>
      </c>
      <c r="N64" s="2" t="s">
        <v>78</v>
      </c>
      <c r="O64" s="2"/>
      <c r="P64" s="2"/>
      <c r="Q64" s="2"/>
      <c r="R64" s="2"/>
      <c r="S64" s="2"/>
      <c r="T64" s="2" t="s">
        <v>1433</v>
      </c>
      <c r="U64" s="2" t="s">
        <v>1434</v>
      </c>
      <c r="V64" s="2" t="s">
        <v>1435</v>
      </c>
      <c r="W64" s="2" t="s">
        <v>1436</v>
      </c>
      <c r="X64" s="2" t="s">
        <v>1437</v>
      </c>
      <c r="Y64" s="2" t="s">
        <v>1438</v>
      </c>
      <c r="Z64" s="2" t="s">
        <v>1439</v>
      </c>
      <c r="AA64" s="2"/>
      <c r="AB64" s="2"/>
      <c r="AC64" s="2"/>
      <c r="AD64" s="2"/>
      <c r="AE64" s="2"/>
      <c r="AF64" s="2"/>
      <c r="AG64" s="2" t="n">
        <v>26</v>
      </c>
      <c r="AH64" s="2" t="n">
        <v>2</v>
      </c>
      <c r="AI64" s="2" t="n">
        <v>2</v>
      </c>
      <c r="AJ64" s="2" t="n">
        <v>2</v>
      </c>
      <c r="AK64" s="2" t="n">
        <v>2</v>
      </c>
      <c r="AL64" s="2" t="s">
        <v>1162</v>
      </c>
      <c r="AM64" s="2" t="s">
        <v>1163</v>
      </c>
      <c r="AN64" s="2" t="s">
        <v>1164</v>
      </c>
      <c r="AO64" s="2" t="s">
        <v>1440</v>
      </c>
      <c r="AP64" s="2"/>
      <c r="AQ64" s="2"/>
      <c r="AR64" s="2" t="s">
        <v>1441</v>
      </c>
      <c r="AS64" s="2" t="s">
        <v>1442</v>
      </c>
      <c r="AT64" s="2"/>
      <c r="AU64" s="2" t="n">
        <v>2024</v>
      </c>
      <c r="AV64" s="2" t="n">
        <v>17</v>
      </c>
      <c r="AW64" s="2"/>
      <c r="AX64" s="2"/>
      <c r="AY64" s="2"/>
      <c r="AZ64" s="2"/>
      <c r="BA64" s="2"/>
      <c r="BB64" s="2" t="n">
        <v>1863</v>
      </c>
      <c r="BC64" s="2" t="n">
        <v>1868</v>
      </c>
      <c r="BD64" s="2"/>
      <c r="BE64" s="2" t="s">
        <v>1443</v>
      </c>
      <c r="BF64" s="2" t="str">
        <f aca="false">HYPERLINK("http://dx.doi.org/10.2147/IDR.S451477","http://dx.doi.org/10.2147/IDR.S451477")</f>
        <v>http://dx.doi.org/10.2147/IDR.S451477</v>
      </c>
      <c r="BG64" s="2"/>
      <c r="BH64" s="2"/>
      <c r="BI64" s="2" t="n">
        <v>6</v>
      </c>
      <c r="BJ64" s="2" t="s">
        <v>1444</v>
      </c>
      <c r="BK64" s="2" t="s">
        <v>100</v>
      </c>
      <c r="BL64" s="2" t="s">
        <v>1444</v>
      </c>
      <c r="BM64" s="2" t="s">
        <v>1445</v>
      </c>
      <c r="BN64" s="2" t="n">
        <v>38745678</v>
      </c>
      <c r="BO64" s="2" t="s">
        <v>341</v>
      </c>
      <c r="BP64" s="2"/>
      <c r="BQ64" s="2"/>
      <c r="BR64" s="2" t="s">
        <v>104</v>
      </c>
      <c r="BS64" s="2" t="s">
        <v>1446</v>
      </c>
      <c r="BT64" s="2" t="str">
        <f aca="false">HYPERLINK("https%3A%2F%2Fwww.webofscience.com%2Fwos%2Fwoscc%2Ffull-record%2FWOS:001227143200001","View Full Record in Web of Science")</f>
        <v>View Full Record in Web of Science</v>
      </c>
    </row>
    <row r="65" customFormat="false" ht="12.75" hidden="false" customHeight="false" outlineLevel="0" collapsed="false">
      <c r="A65" s="2" t="s">
        <v>72</v>
      </c>
      <c r="B65" s="2" t="s">
        <v>824</v>
      </c>
      <c r="C65" s="2"/>
      <c r="D65" s="2"/>
      <c r="E65" s="2"/>
      <c r="F65" s="2" t="s">
        <v>825</v>
      </c>
      <c r="G65" s="2"/>
      <c r="H65" s="2"/>
      <c r="I65" s="2" t="s">
        <v>1447</v>
      </c>
      <c r="J65" s="2" t="s">
        <v>1448</v>
      </c>
      <c r="K65" s="2"/>
      <c r="L65" s="2"/>
      <c r="M65" s="2" t="s">
        <v>77</v>
      </c>
      <c r="N65" s="2" t="s">
        <v>78</v>
      </c>
      <c r="O65" s="2"/>
      <c r="P65" s="2"/>
      <c r="Q65" s="2"/>
      <c r="R65" s="2"/>
      <c r="S65" s="2"/>
      <c r="T65" s="2" t="s">
        <v>1449</v>
      </c>
      <c r="U65" s="2" t="s">
        <v>1450</v>
      </c>
      <c r="V65" s="2" t="s">
        <v>1451</v>
      </c>
      <c r="W65" s="2" t="s">
        <v>1452</v>
      </c>
      <c r="X65" s="2" t="s">
        <v>1453</v>
      </c>
      <c r="Y65" s="2" t="s">
        <v>1454</v>
      </c>
      <c r="Z65" s="2" t="s">
        <v>1455</v>
      </c>
      <c r="AA65" s="2" t="s">
        <v>834</v>
      </c>
      <c r="AB65" s="2" t="s">
        <v>1456</v>
      </c>
      <c r="AC65" s="2" t="s">
        <v>1457</v>
      </c>
      <c r="AD65" s="2" t="s">
        <v>1458</v>
      </c>
      <c r="AE65" s="2" t="s">
        <v>1459</v>
      </c>
      <c r="AF65" s="2"/>
      <c r="AG65" s="2" t="n">
        <v>27</v>
      </c>
      <c r="AH65" s="2" t="n">
        <v>13</v>
      </c>
      <c r="AI65" s="2" t="n">
        <v>15</v>
      </c>
      <c r="AJ65" s="2" t="n">
        <v>1</v>
      </c>
      <c r="AK65" s="2" t="n">
        <v>5</v>
      </c>
      <c r="AL65" s="2" t="s">
        <v>1460</v>
      </c>
      <c r="AM65" s="2" t="s">
        <v>593</v>
      </c>
      <c r="AN65" s="2" t="s">
        <v>1461</v>
      </c>
      <c r="AO65" s="2" t="s">
        <v>1462</v>
      </c>
      <c r="AP65" s="2" t="s">
        <v>1463</v>
      </c>
      <c r="AQ65" s="2"/>
      <c r="AR65" s="2" t="s">
        <v>1464</v>
      </c>
      <c r="AS65" s="2" t="s">
        <v>1465</v>
      </c>
      <c r="AT65" s="2" t="s">
        <v>336</v>
      </c>
      <c r="AU65" s="2" t="n">
        <v>2014</v>
      </c>
      <c r="AV65" s="2" t="n">
        <v>80</v>
      </c>
      <c r="AW65" s="2" t="n">
        <v>2</v>
      </c>
      <c r="AX65" s="2"/>
      <c r="AY65" s="2"/>
      <c r="AZ65" s="2"/>
      <c r="BA65" s="2"/>
      <c r="BB65" s="2" t="n">
        <v>107</v>
      </c>
      <c r="BC65" s="2" t="n">
        <v>110</v>
      </c>
      <c r="BD65" s="2"/>
      <c r="BE65" s="2" t="s">
        <v>1466</v>
      </c>
      <c r="BF65" s="2" t="str">
        <f aca="false">HYPERLINK("http://dx.doi.org/10.1016/j.diagmicrobio.2014.05.018","http://dx.doi.org/10.1016/j.diagmicrobio.2014.05.018")</f>
        <v>http://dx.doi.org/10.1016/j.diagmicrobio.2014.05.018</v>
      </c>
      <c r="BG65" s="2"/>
      <c r="BH65" s="2"/>
      <c r="BI65" s="2" t="n">
        <v>4</v>
      </c>
      <c r="BJ65" s="2" t="s">
        <v>1467</v>
      </c>
      <c r="BK65" s="2" t="s">
        <v>100</v>
      </c>
      <c r="BL65" s="2" t="s">
        <v>1467</v>
      </c>
      <c r="BM65" s="2" t="s">
        <v>1468</v>
      </c>
      <c r="BN65" s="2" t="n">
        <v>25070008</v>
      </c>
      <c r="BO65" s="2" t="s">
        <v>695</v>
      </c>
      <c r="BP65" s="2"/>
      <c r="BQ65" s="2"/>
      <c r="BR65" s="2" t="s">
        <v>104</v>
      </c>
      <c r="BS65" s="2" t="s">
        <v>1469</v>
      </c>
      <c r="BT65" s="2" t="str">
        <f aca="false">HYPERLINK("https%3A%2F%2Fwww.webofscience.com%2Fwos%2Fwoscc%2Ffull-record%2FWOS:000342329200004","View Full Record in Web of Science")</f>
        <v>View Full Record in Web of Science</v>
      </c>
    </row>
    <row r="66" customFormat="false" ht="12.75" hidden="false" customHeight="false" outlineLevel="0" collapsed="false">
      <c r="A66" s="2" t="s">
        <v>72</v>
      </c>
      <c r="B66" s="2" t="s">
        <v>1470</v>
      </c>
      <c r="C66" s="2"/>
      <c r="D66" s="2"/>
      <c r="E66" s="2"/>
      <c r="F66" s="2" t="s">
        <v>1471</v>
      </c>
      <c r="G66" s="2"/>
      <c r="H66" s="2"/>
      <c r="I66" s="2" t="s">
        <v>1472</v>
      </c>
      <c r="J66" s="2" t="s">
        <v>1473</v>
      </c>
      <c r="K66" s="2"/>
      <c r="L66" s="2"/>
      <c r="M66" s="2" t="s">
        <v>77</v>
      </c>
      <c r="N66" s="2" t="s">
        <v>78</v>
      </c>
      <c r="O66" s="2"/>
      <c r="P66" s="2"/>
      <c r="Q66" s="2"/>
      <c r="R66" s="2"/>
      <c r="S66" s="2"/>
      <c r="T66" s="2" t="s">
        <v>1474</v>
      </c>
      <c r="U66" s="2" t="s">
        <v>1475</v>
      </c>
      <c r="V66" s="2" t="s">
        <v>1476</v>
      </c>
      <c r="W66" s="2" t="s">
        <v>1477</v>
      </c>
      <c r="X66" s="2" t="s">
        <v>1478</v>
      </c>
      <c r="Y66" s="2" t="s">
        <v>1479</v>
      </c>
      <c r="Z66" s="2" t="s">
        <v>1480</v>
      </c>
      <c r="AA66" s="2" t="s">
        <v>1481</v>
      </c>
      <c r="AB66" s="2"/>
      <c r="AC66" s="2" t="s">
        <v>1482</v>
      </c>
      <c r="AD66" s="2" t="s">
        <v>1483</v>
      </c>
      <c r="AE66" s="2" t="s">
        <v>1484</v>
      </c>
      <c r="AF66" s="2"/>
      <c r="AG66" s="2" t="n">
        <v>17</v>
      </c>
      <c r="AH66" s="2" t="n">
        <v>95</v>
      </c>
      <c r="AI66" s="2" t="n">
        <v>99</v>
      </c>
      <c r="AJ66" s="2" t="n">
        <v>0</v>
      </c>
      <c r="AK66" s="2" t="n">
        <v>5</v>
      </c>
      <c r="AL66" s="2" t="s">
        <v>154</v>
      </c>
      <c r="AM66" s="2" t="s">
        <v>155</v>
      </c>
      <c r="AN66" s="2" t="s">
        <v>156</v>
      </c>
      <c r="AO66" s="2" t="s">
        <v>1485</v>
      </c>
      <c r="AP66" s="2" t="s">
        <v>1486</v>
      </c>
      <c r="AQ66" s="2"/>
      <c r="AR66" s="2" t="s">
        <v>1487</v>
      </c>
      <c r="AS66" s="2" t="s">
        <v>1488</v>
      </c>
      <c r="AT66" s="2" t="s">
        <v>185</v>
      </c>
      <c r="AU66" s="2" t="n">
        <v>2009</v>
      </c>
      <c r="AV66" s="2" t="n">
        <v>11</v>
      </c>
      <c r="AW66" s="2" t="n">
        <v>4</v>
      </c>
      <c r="AX66" s="2"/>
      <c r="AY66" s="2"/>
      <c r="AZ66" s="2"/>
      <c r="BA66" s="2"/>
      <c r="BB66" s="2" t="n">
        <v>298</v>
      </c>
      <c r="BC66" s="2" t="n">
        <v>303</v>
      </c>
      <c r="BD66" s="2"/>
      <c r="BE66" s="2" t="s">
        <v>1489</v>
      </c>
      <c r="BF66" s="2" t="str">
        <f aca="false">HYPERLINK("http://dx.doi.org/10.1111/j.1399-3062.2009.00400.x","http://dx.doi.org/10.1111/j.1399-3062.2009.00400.x")</f>
        <v>http://dx.doi.org/10.1111/j.1399-3062.2009.00400.x</v>
      </c>
      <c r="BG66" s="2"/>
      <c r="BH66" s="2"/>
      <c r="BI66" s="2" t="n">
        <v>6</v>
      </c>
      <c r="BJ66" s="2" t="s">
        <v>1490</v>
      </c>
      <c r="BK66" s="2" t="s">
        <v>100</v>
      </c>
      <c r="BL66" s="2" t="s">
        <v>1490</v>
      </c>
      <c r="BM66" s="2" t="s">
        <v>1491</v>
      </c>
      <c r="BN66" s="2" t="n">
        <v>19453994</v>
      </c>
      <c r="BO66" s="2" t="s">
        <v>695</v>
      </c>
      <c r="BP66" s="2"/>
      <c r="BQ66" s="2"/>
      <c r="BR66" s="2" t="s">
        <v>104</v>
      </c>
      <c r="BS66" s="2" t="s">
        <v>1492</v>
      </c>
      <c r="BT66" s="2" t="str">
        <f aca="false">HYPERLINK("https%3A%2F%2Fwww.webofscience.com%2Fwos%2Fwoscc%2Ffull-record%2FWOS:000268714600003","View Full Record in Web of Science")</f>
        <v>View Full Record in Web of Science</v>
      </c>
    </row>
    <row r="67" customFormat="false" ht="12.75" hidden="false" customHeight="false" outlineLevel="0" collapsed="false">
      <c r="A67" s="2" t="s">
        <v>72</v>
      </c>
      <c r="B67" s="2" t="s">
        <v>1493</v>
      </c>
      <c r="C67" s="2"/>
      <c r="D67" s="2"/>
      <c r="E67" s="2"/>
      <c r="F67" s="2" t="s">
        <v>1494</v>
      </c>
      <c r="G67" s="2"/>
      <c r="H67" s="2"/>
      <c r="I67" s="2" t="s">
        <v>1495</v>
      </c>
      <c r="J67" s="2" t="s">
        <v>1496</v>
      </c>
      <c r="K67" s="2"/>
      <c r="L67" s="2"/>
      <c r="M67" s="2" t="s">
        <v>77</v>
      </c>
      <c r="N67" s="2" t="s">
        <v>78</v>
      </c>
      <c r="O67" s="2"/>
      <c r="P67" s="2"/>
      <c r="Q67" s="2"/>
      <c r="R67" s="2"/>
      <c r="S67" s="2"/>
      <c r="T67" s="2" t="s">
        <v>1497</v>
      </c>
      <c r="U67" s="2" t="s">
        <v>1498</v>
      </c>
      <c r="V67" s="2" t="s">
        <v>1499</v>
      </c>
      <c r="W67" s="2" t="s">
        <v>1500</v>
      </c>
      <c r="X67" s="2" t="s">
        <v>1501</v>
      </c>
      <c r="Y67" s="2" t="s">
        <v>1502</v>
      </c>
      <c r="Z67" s="2" t="s">
        <v>1503</v>
      </c>
      <c r="AA67" s="2"/>
      <c r="AB67" s="2"/>
      <c r="AC67" s="2" t="s">
        <v>1504</v>
      </c>
      <c r="AD67" s="2" t="s">
        <v>1505</v>
      </c>
      <c r="AE67" s="2" t="s">
        <v>1506</v>
      </c>
      <c r="AF67" s="2"/>
      <c r="AG67" s="2" t="n">
        <v>110</v>
      </c>
      <c r="AH67" s="2" t="n">
        <v>11</v>
      </c>
      <c r="AI67" s="2" t="n">
        <v>11</v>
      </c>
      <c r="AJ67" s="2" t="n">
        <v>0</v>
      </c>
      <c r="AK67" s="2" t="n">
        <v>9</v>
      </c>
      <c r="AL67" s="2" t="s">
        <v>957</v>
      </c>
      <c r="AM67" s="2" t="s">
        <v>123</v>
      </c>
      <c r="AN67" s="2" t="s">
        <v>958</v>
      </c>
      <c r="AO67" s="2" t="s">
        <v>1507</v>
      </c>
      <c r="AP67" s="2" t="s">
        <v>1508</v>
      </c>
      <c r="AQ67" s="2"/>
      <c r="AR67" s="2" t="s">
        <v>1509</v>
      </c>
      <c r="AS67" s="2" t="s">
        <v>1510</v>
      </c>
      <c r="AT67" s="2" t="s">
        <v>336</v>
      </c>
      <c r="AU67" s="2" t="n">
        <v>2013</v>
      </c>
      <c r="AV67" s="2" t="n">
        <v>29</v>
      </c>
      <c r="AW67" s="2" t="n">
        <v>4</v>
      </c>
      <c r="AX67" s="2"/>
      <c r="AY67" s="2"/>
      <c r="AZ67" s="2"/>
      <c r="BA67" s="2"/>
      <c r="BB67" s="2" t="n">
        <v>953</v>
      </c>
      <c r="BC67" s="2" t="s">
        <v>986</v>
      </c>
      <c r="BD67" s="2"/>
      <c r="BE67" s="2" t="s">
        <v>1511</v>
      </c>
      <c r="BF67" s="2" t="str">
        <f aca="false">HYPERLINK("http://dx.doi.org/10.1016/j.ccc.2013.06.012","http://dx.doi.org/10.1016/j.ccc.2013.06.012")</f>
        <v>http://dx.doi.org/10.1016/j.ccc.2013.06.012</v>
      </c>
      <c r="BG67" s="2"/>
      <c r="BH67" s="2"/>
      <c r="BI67" s="2" t="n">
        <v>22</v>
      </c>
      <c r="BJ67" s="2" t="s">
        <v>473</v>
      </c>
      <c r="BK67" s="2" t="s">
        <v>100</v>
      </c>
      <c r="BL67" s="2" t="s">
        <v>364</v>
      </c>
      <c r="BM67" s="2" t="s">
        <v>1512</v>
      </c>
      <c r="BN67" s="2" t="n">
        <v>24094386</v>
      </c>
      <c r="BO67" s="2" t="s">
        <v>165</v>
      </c>
      <c r="BP67" s="2"/>
      <c r="BQ67" s="2"/>
      <c r="BR67" s="2" t="s">
        <v>104</v>
      </c>
      <c r="BS67" s="2" t="s">
        <v>1513</v>
      </c>
      <c r="BT67" s="2" t="str">
        <f aca="false">HYPERLINK("https%3A%2F%2Fwww.webofscience.com%2Fwos%2Fwoscc%2Ffull-record%2FWOS:000326364400011","View Full Record in Web of Science")</f>
        <v>View Full Record in Web of Science</v>
      </c>
    </row>
    <row r="68" customFormat="false" ht="12.75" hidden="false" customHeight="false" outlineLevel="0" collapsed="false">
      <c r="A68" s="2" t="s">
        <v>72</v>
      </c>
      <c r="B68" s="2" t="s">
        <v>1514</v>
      </c>
      <c r="C68" s="2"/>
      <c r="D68" s="2"/>
      <c r="E68" s="2"/>
      <c r="F68" s="2" t="s">
        <v>1515</v>
      </c>
      <c r="G68" s="2"/>
      <c r="H68" s="2"/>
      <c r="I68" s="2" t="s">
        <v>1516</v>
      </c>
      <c r="J68" s="2" t="s">
        <v>1517</v>
      </c>
      <c r="K68" s="2"/>
      <c r="L68" s="2"/>
      <c r="M68" s="2" t="s">
        <v>77</v>
      </c>
      <c r="N68" s="2" t="s">
        <v>78</v>
      </c>
      <c r="O68" s="2"/>
      <c r="P68" s="2"/>
      <c r="Q68" s="2"/>
      <c r="R68" s="2"/>
      <c r="S68" s="2"/>
      <c r="T68" s="2" t="s">
        <v>1518</v>
      </c>
      <c r="U68" s="2" t="s">
        <v>1519</v>
      </c>
      <c r="V68" s="2" t="s">
        <v>1520</v>
      </c>
      <c r="W68" s="2" t="s">
        <v>1521</v>
      </c>
      <c r="X68" s="2" t="s">
        <v>1522</v>
      </c>
      <c r="Y68" s="2" t="s">
        <v>1523</v>
      </c>
      <c r="Z68" s="2" t="s">
        <v>1524</v>
      </c>
      <c r="AA68" s="2" t="s">
        <v>1525</v>
      </c>
      <c r="AB68" s="2" t="s">
        <v>1526</v>
      </c>
      <c r="AC68" s="2" t="s">
        <v>1527</v>
      </c>
      <c r="AD68" s="2" t="s">
        <v>1528</v>
      </c>
      <c r="AE68" s="2" t="s">
        <v>1529</v>
      </c>
      <c r="AF68" s="2"/>
      <c r="AG68" s="2" t="n">
        <v>35</v>
      </c>
      <c r="AH68" s="2" t="n">
        <v>7</v>
      </c>
      <c r="AI68" s="2" t="n">
        <v>11</v>
      </c>
      <c r="AJ68" s="2" t="n">
        <v>1</v>
      </c>
      <c r="AK68" s="2" t="n">
        <v>14</v>
      </c>
      <c r="AL68" s="2" t="s">
        <v>592</v>
      </c>
      <c r="AM68" s="2" t="s">
        <v>593</v>
      </c>
      <c r="AN68" s="2" t="s">
        <v>594</v>
      </c>
      <c r="AO68" s="2" t="s">
        <v>1530</v>
      </c>
      <c r="AP68" s="2" t="s">
        <v>1531</v>
      </c>
      <c r="AQ68" s="2"/>
      <c r="AR68" s="2" t="s">
        <v>1517</v>
      </c>
      <c r="AS68" s="2" t="s">
        <v>1532</v>
      </c>
      <c r="AT68" s="2" t="s">
        <v>599</v>
      </c>
      <c r="AU68" s="2" t="n">
        <v>2015</v>
      </c>
      <c r="AV68" s="2" t="n">
        <v>242</v>
      </c>
      <c r="AW68" s="2" t="n">
        <v>1</v>
      </c>
      <c r="AX68" s="2"/>
      <c r="AY68" s="2"/>
      <c r="AZ68" s="2"/>
      <c r="BA68" s="2"/>
      <c r="BB68" s="2" t="n">
        <v>69</v>
      </c>
      <c r="BC68" s="2" t="n">
        <v>76</v>
      </c>
      <c r="BD68" s="2"/>
      <c r="BE68" s="2" t="s">
        <v>1533</v>
      </c>
      <c r="BF68" s="2" t="str">
        <f aca="false">HYPERLINK("http://dx.doi.org/10.1007/s00425-015-2277-5","http://dx.doi.org/10.1007/s00425-015-2277-5")</f>
        <v>http://dx.doi.org/10.1007/s00425-015-2277-5</v>
      </c>
      <c r="BG68" s="2"/>
      <c r="BH68" s="2"/>
      <c r="BI68" s="2" t="n">
        <v>8</v>
      </c>
      <c r="BJ68" s="2" t="s">
        <v>1534</v>
      </c>
      <c r="BK68" s="2" t="s">
        <v>100</v>
      </c>
      <c r="BL68" s="2" t="s">
        <v>1534</v>
      </c>
      <c r="BM68" s="2" t="s">
        <v>1535</v>
      </c>
      <c r="BN68" s="2" t="n">
        <v>25828350</v>
      </c>
      <c r="BO68" s="2"/>
      <c r="BP68" s="2"/>
      <c r="BQ68" s="2"/>
      <c r="BR68" s="2" t="s">
        <v>104</v>
      </c>
      <c r="BS68" s="2" t="s">
        <v>1536</v>
      </c>
      <c r="BT68" s="2" t="str">
        <f aca="false">HYPERLINK("https%3A%2F%2Fwww.webofscience.com%2Fwos%2Fwoscc%2Ffull-record%2FWOS:000356516800005","View Full Record in Web of Science")</f>
        <v>View Full Record in Web of Science</v>
      </c>
    </row>
    <row r="69" customFormat="false" ht="12.75" hidden="false" customHeight="false" outlineLevel="0" collapsed="false">
      <c r="A69" s="2" t="s">
        <v>72</v>
      </c>
      <c r="B69" s="2" t="s">
        <v>1537</v>
      </c>
      <c r="C69" s="2"/>
      <c r="D69" s="2"/>
      <c r="E69" s="2"/>
      <c r="F69" s="2" t="s">
        <v>1538</v>
      </c>
      <c r="G69" s="2"/>
      <c r="H69" s="2"/>
      <c r="I69" s="2" t="s">
        <v>1539</v>
      </c>
      <c r="J69" s="2" t="s">
        <v>607</v>
      </c>
      <c r="K69" s="2"/>
      <c r="L69" s="2"/>
      <c r="M69" s="2" t="s">
        <v>77</v>
      </c>
      <c r="N69" s="2" t="s">
        <v>78</v>
      </c>
      <c r="O69" s="2"/>
      <c r="P69" s="2"/>
      <c r="Q69" s="2"/>
      <c r="R69" s="2"/>
      <c r="S69" s="2"/>
      <c r="T69" s="2" t="s">
        <v>1540</v>
      </c>
      <c r="U69" s="2" t="s">
        <v>1541</v>
      </c>
      <c r="V69" s="2" t="s">
        <v>1542</v>
      </c>
      <c r="W69" s="2" t="s">
        <v>1543</v>
      </c>
      <c r="X69" s="2" t="s">
        <v>1544</v>
      </c>
      <c r="Y69" s="2" t="s">
        <v>1545</v>
      </c>
      <c r="Z69" s="2"/>
      <c r="AA69" s="2" t="s">
        <v>1546</v>
      </c>
      <c r="AB69" s="2" t="s">
        <v>1547</v>
      </c>
      <c r="AC69" s="2"/>
      <c r="AD69" s="2"/>
      <c r="AE69" s="2"/>
      <c r="AF69" s="2"/>
      <c r="AG69" s="2" t="n">
        <v>42</v>
      </c>
      <c r="AH69" s="2" t="n">
        <v>1</v>
      </c>
      <c r="AI69" s="2" t="n">
        <v>1</v>
      </c>
      <c r="AJ69" s="2" t="n">
        <v>0</v>
      </c>
      <c r="AK69" s="2" t="n">
        <v>5</v>
      </c>
      <c r="AL69" s="2" t="s">
        <v>620</v>
      </c>
      <c r="AM69" s="2" t="s">
        <v>621</v>
      </c>
      <c r="AN69" s="2" t="s">
        <v>622</v>
      </c>
      <c r="AO69" s="2" t="s">
        <v>623</v>
      </c>
      <c r="AP69" s="2"/>
      <c r="AQ69" s="2"/>
      <c r="AR69" s="2" t="s">
        <v>624</v>
      </c>
      <c r="AS69" s="2" t="s">
        <v>625</v>
      </c>
      <c r="AT69" s="2" t="s">
        <v>1548</v>
      </c>
      <c r="AU69" s="2" t="n">
        <v>2022</v>
      </c>
      <c r="AV69" s="2" t="n">
        <v>13</v>
      </c>
      <c r="AW69" s="2"/>
      <c r="AX69" s="2"/>
      <c r="AY69" s="2"/>
      <c r="AZ69" s="2"/>
      <c r="BA69" s="2"/>
      <c r="BB69" s="2"/>
      <c r="BC69" s="2"/>
      <c r="BD69" s="2" t="n">
        <v>966917</v>
      </c>
      <c r="BE69" s="2" t="s">
        <v>1549</v>
      </c>
      <c r="BF69" s="2" t="str">
        <f aca="false">HYPERLINK("http://dx.doi.org/10.3389/fimmu.2022.966917","http://dx.doi.org/10.3389/fimmu.2022.966917")</f>
        <v>http://dx.doi.org/10.3389/fimmu.2022.966917</v>
      </c>
      <c r="BG69" s="2"/>
      <c r="BH69" s="2"/>
      <c r="BI69" s="2" t="n">
        <v>13</v>
      </c>
      <c r="BJ69" s="2" t="s">
        <v>628</v>
      </c>
      <c r="BK69" s="2" t="s">
        <v>100</v>
      </c>
      <c r="BL69" s="2" t="s">
        <v>628</v>
      </c>
      <c r="BM69" s="2" t="s">
        <v>1550</v>
      </c>
      <c r="BN69" s="2" t="n">
        <v>36159799</v>
      </c>
      <c r="BO69" s="2" t="s">
        <v>190</v>
      </c>
      <c r="BP69" s="2"/>
      <c r="BQ69" s="2"/>
      <c r="BR69" s="2" t="s">
        <v>104</v>
      </c>
      <c r="BS69" s="2" t="s">
        <v>1551</v>
      </c>
      <c r="BT69" s="2" t="str">
        <f aca="false">HYPERLINK("https%3A%2F%2Fwww.webofscience.com%2Fwos%2Fwoscc%2Ffull-record%2FWOS:000859825900001","View Full Record in Web of Science")</f>
        <v>View Full Record in Web of Science</v>
      </c>
    </row>
    <row r="70" customFormat="false" ht="12.75" hidden="false" customHeight="false" outlineLevel="0" collapsed="false">
      <c r="A70" s="2" t="s">
        <v>72</v>
      </c>
      <c r="B70" s="2" t="s">
        <v>1552</v>
      </c>
      <c r="C70" s="2"/>
      <c r="D70" s="2"/>
      <c r="E70" s="2"/>
      <c r="F70" s="2" t="s">
        <v>1553</v>
      </c>
      <c r="G70" s="2"/>
      <c r="H70" s="2"/>
      <c r="I70" s="2" t="s">
        <v>1554</v>
      </c>
      <c r="J70" s="2" t="s">
        <v>1555</v>
      </c>
      <c r="K70" s="2"/>
      <c r="L70" s="2"/>
      <c r="M70" s="2" t="s">
        <v>77</v>
      </c>
      <c r="N70" s="2" t="s">
        <v>78</v>
      </c>
      <c r="O70" s="2"/>
      <c r="P70" s="2"/>
      <c r="Q70" s="2"/>
      <c r="R70" s="2"/>
      <c r="S70" s="2"/>
      <c r="T70" s="2" t="s">
        <v>1556</v>
      </c>
      <c r="U70" s="2" t="s">
        <v>1557</v>
      </c>
      <c r="V70" s="2" t="s">
        <v>1558</v>
      </c>
      <c r="W70" s="2" t="s">
        <v>1559</v>
      </c>
      <c r="X70" s="2" t="s">
        <v>1560</v>
      </c>
      <c r="Y70" s="2" t="s">
        <v>1561</v>
      </c>
      <c r="Z70" s="2" t="s">
        <v>1562</v>
      </c>
      <c r="AA70" s="2" t="s">
        <v>1563</v>
      </c>
      <c r="AB70" s="2" t="s">
        <v>1564</v>
      </c>
      <c r="AC70" s="2"/>
      <c r="AD70" s="2"/>
      <c r="AE70" s="2"/>
      <c r="AF70" s="2"/>
      <c r="AG70" s="2" t="n">
        <v>32</v>
      </c>
      <c r="AH70" s="2" t="n">
        <v>14</v>
      </c>
      <c r="AI70" s="2" t="n">
        <v>15</v>
      </c>
      <c r="AJ70" s="2" t="n">
        <v>0</v>
      </c>
      <c r="AK70" s="2" t="n">
        <v>3</v>
      </c>
      <c r="AL70" s="2" t="s">
        <v>1565</v>
      </c>
      <c r="AM70" s="2" t="s">
        <v>1566</v>
      </c>
      <c r="AN70" s="2" t="s">
        <v>1567</v>
      </c>
      <c r="AO70" s="2" t="s">
        <v>1568</v>
      </c>
      <c r="AP70" s="2" t="s">
        <v>1569</v>
      </c>
      <c r="AQ70" s="2"/>
      <c r="AR70" s="2" t="s">
        <v>1570</v>
      </c>
      <c r="AS70" s="2" t="s">
        <v>1571</v>
      </c>
      <c r="AT70" s="2" t="s">
        <v>185</v>
      </c>
      <c r="AU70" s="2" t="n">
        <v>2017</v>
      </c>
      <c r="AV70" s="2" t="n">
        <v>32</v>
      </c>
      <c r="AW70" s="2" t="n">
        <v>7</v>
      </c>
      <c r="AX70" s="2"/>
      <c r="AY70" s="2"/>
      <c r="AZ70" s="2"/>
      <c r="BA70" s="2"/>
      <c r="BB70" s="2" t="n">
        <v>460</v>
      </c>
      <c r="BC70" s="2" t="n">
        <v>464</v>
      </c>
      <c r="BD70" s="2"/>
      <c r="BE70" s="2" t="s">
        <v>1572</v>
      </c>
      <c r="BF70" s="2" t="str">
        <f aca="false">HYPERLINK("http://dx.doi.org/10.1177/0885066617701117","http://dx.doi.org/10.1177/0885066617701117")</f>
        <v>http://dx.doi.org/10.1177/0885066617701117</v>
      </c>
      <c r="BG70" s="2"/>
      <c r="BH70" s="2"/>
      <c r="BI70" s="2" t="n">
        <v>5</v>
      </c>
      <c r="BJ70" s="2" t="s">
        <v>473</v>
      </c>
      <c r="BK70" s="2" t="s">
        <v>100</v>
      </c>
      <c r="BL70" s="2" t="s">
        <v>364</v>
      </c>
      <c r="BM70" s="2" t="s">
        <v>1573</v>
      </c>
      <c r="BN70" s="2" t="n">
        <v>28343415</v>
      </c>
      <c r="BO70" s="2"/>
      <c r="BP70" s="2"/>
      <c r="BQ70" s="2"/>
      <c r="BR70" s="2" t="s">
        <v>104</v>
      </c>
      <c r="BS70" s="2" t="s">
        <v>1574</v>
      </c>
      <c r="BT70" s="2" t="str">
        <f aca="false">HYPERLINK("https%3A%2F%2Fwww.webofscience.com%2Fwos%2Fwoscc%2Ffull-record%2FWOS:000405034400007","View Full Record in Web of Science")</f>
        <v>View Full Record in Web of Science</v>
      </c>
    </row>
    <row r="71" customFormat="false" ht="12.75" hidden="false" customHeight="false" outlineLevel="0" collapsed="false">
      <c r="A71" s="2" t="s">
        <v>72</v>
      </c>
      <c r="B71" s="2" t="s">
        <v>1575</v>
      </c>
      <c r="C71" s="2"/>
      <c r="D71" s="2"/>
      <c r="E71" s="2"/>
      <c r="F71" s="2" t="s">
        <v>1576</v>
      </c>
      <c r="G71" s="2"/>
      <c r="H71" s="2"/>
      <c r="I71" s="2" t="s">
        <v>1577</v>
      </c>
      <c r="J71" s="2" t="s">
        <v>232</v>
      </c>
      <c r="K71" s="2"/>
      <c r="L71" s="2"/>
      <c r="M71" s="2" t="s">
        <v>77</v>
      </c>
      <c r="N71" s="2" t="s">
        <v>78</v>
      </c>
      <c r="O71" s="2"/>
      <c r="P71" s="2"/>
      <c r="Q71" s="2"/>
      <c r="R71" s="2"/>
      <c r="S71" s="2"/>
      <c r="T71" s="2" t="s">
        <v>1578</v>
      </c>
      <c r="U71" s="2" t="s">
        <v>1579</v>
      </c>
      <c r="V71" s="2" t="s">
        <v>1580</v>
      </c>
      <c r="W71" s="2" t="s">
        <v>1581</v>
      </c>
      <c r="X71" s="2"/>
      <c r="Y71" s="2" t="s">
        <v>1582</v>
      </c>
      <c r="Z71" s="2" t="s">
        <v>1583</v>
      </c>
      <c r="AA71" s="2"/>
      <c r="AB71" s="2" t="s">
        <v>1584</v>
      </c>
      <c r="AC71" s="2" t="s">
        <v>1585</v>
      </c>
      <c r="AD71" s="2" t="s">
        <v>1585</v>
      </c>
      <c r="AE71" s="2" t="s">
        <v>1586</v>
      </c>
      <c r="AF71" s="2"/>
      <c r="AG71" s="2" t="n">
        <v>46</v>
      </c>
      <c r="AH71" s="2" t="n">
        <v>15</v>
      </c>
      <c r="AI71" s="2" t="n">
        <v>19</v>
      </c>
      <c r="AJ71" s="2" t="n">
        <v>0</v>
      </c>
      <c r="AK71" s="2" t="n">
        <v>8</v>
      </c>
      <c r="AL71" s="2" t="s">
        <v>245</v>
      </c>
      <c r="AM71" s="2" t="s">
        <v>246</v>
      </c>
      <c r="AN71" s="2" t="s">
        <v>247</v>
      </c>
      <c r="AO71" s="2" t="s">
        <v>248</v>
      </c>
      <c r="AP71" s="2" t="s">
        <v>249</v>
      </c>
      <c r="AQ71" s="2"/>
      <c r="AR71" s="2" t="s">
        <v>250</v>
      </c>
      <c r="AS71" s="2" t="s">
        <v>251</v>
      </c>
      <c r="AT71" s="2" t="s">
        <v>362</v>
      </c>
      <c r="AU71" s="2" t="n">
        <v>2015</v>
      </c>
      <c r="AV71" s="2" t="n">
        <v>43</v>
      </c>
      <c r="AW71" s="2" t="n">
        <v>3</v>
      </c>
      <c r="AX71" s="2"/>
      <c r="AY71" s="2"/>
      <c r="AZ71" s="2"/>
      <c r="BA71" s="2"/>
      <c r="BB71" s="2" t="n">
        <v>264</v>
      </c>
      <c r="BC71" s="2" t="n">
        <v>271</v>
      </c>
      <c r="BD71" s="2"/>
      <c r="BE71" s="2" t="s">
        <v>1587</v>
      </c>
      <c r="BF71" s="2" t="str">
        <f aca="false">HYPERLINK("http://dx.doi.org/10.1016/j.aller.2014.02.002","http://dx.doi.org/10.1016/j.aller.2014.02.002")</f>
        <v>http://dx.doi.org/10.1016/j.aller.2014.02.002</v>
      </c>
      <c r="BG71" s="2"/>
      <c r="BH71" s="2"/>
      <c r="BI71" s="2" t="n">
        <v>8</v>
      </c>
      <c r="BJ71" s="2" t="s">
        <v>254</v>
      </c>
      <c r="BK71" s="2" t="s">
        <v>100</v>
      </c>
      <c r="BL71" s="2" t="s">
        <v>254</v>
      </c>
      <c r="BM71" s="2" t="s">
        <v>1588</v>
      </c>
      <c r="BN71" s="2" t="n">
        <v>24985791</v>
      </c>
      <c r="BO71" s="2"/>
      <c r="BP71" s="2"/>
      <c r="BQ71" s="2"/>
      <c r="BR71" s="2" t="s">
        <v>104</v>
      </c>
      <c r="BS71" s="2" t="s">
        <v>1589</v>
      </c>
      <c r="BT71" s="2" t="str">
        <f aca="false">HYPERLINK("https%3A%2F%2Fwww.webofscience.com%2Fwos%2Fwoscc%2Ffull-record%2FWOS:000355059700006","View Full Record in Web of Science")</f>
        <v>View Full Record in Web of Science</v>
      </c>
    </row>
    <row r="72" customFormat="false" ht="12.75" hidden="false" customHeight="false" outlineLevel="0" collapsed="false">
      <c r="A72" s="2" t="s">
        <v>72</v>
      </c>
      <c r="B72" s="2" t="s">
        <v>1590</v>
      </c>
      <c r="C72" s="2"/>
      <c r="D72" s="2"/>
      <c r="E72" s="2"/>
      <c r="F72" s="2" t="s">
        <v>1591</v>
      </c>
      <c r="G72" s="2"/>
      <c r="H72" s="2"/>
      <c r="I72" s="2" t="s">
        <v>1592</v>
      </c>
      <c r="J72" s="2" t="s">
        <v>109</v>
      </c>
      <c r="K72" s="2"/>
      <c r="L72" s="2"/>
      <c r="M72" s="2" t="s">
        <v>77</v>
      </c>
      <c r="N72" s="2" t="s">
        <v>78</v>
      </c>
      <c r="O72" s="2"/>
      <c r="P72" s="2"/>
      <c r="Q72" s="2"/>
      <c r="R72" s="2"/>
      <c r="S72" s="2"/>
      <c r="T72" s="2" t="s">
        <v>1593</v>
      </c>
      <c r="U72" s="2" t="s">
        <v>1594</v>
      </c>
      <c r="V72" s="2" t="s">
        <v>1595</v>
      </c>
      <c r="W72" s="2" t="s">
        <v>1596</v>
      </c>
      <c r="X72" s="2" t="s">
        <v>1597</v>
      </c>
      <c r="Y72" s="2" t="s">
        <v>1598</v>
      </c>
      <c r="Z72" s="2" t="s">
        <v>1599</v>
      </c>
      <c r="AA72" s="2" t="s">
        <v>1600</v>
      </c>
      <c r="AB72" s="2"/>
      <c r="AC72" s="2" t="s">
        <v>1601</v>
      </c>
      <c r="AD72" s="2" t="s">
        <v>1602</v>
      </c>
      <c r="AE72" s="2" t="s">
        <v>1603</v>
      </c>
      <c r="AF72" s="2"/>
      <c r="AG72" s="2" t="n">
        <v>31</v>
      </c>
      <c r="AH72" s="2" t="n">
        <v>62</v>
      </c>
      <c r="AI72" s="2" t="n">
        <v>69</v>
      </c>
      <c r="AJ72" s="2" t="n">
        <v>0</v>
      </c>
      <c r="AK72" s="2" t="n">
        <v>3</v>
      </c>
      <c r="AL72" s="2" t="s">
        <v>122</v>
      </c>
      <c r="AM72" s="2" t="s">
        <v>123</v>
      </c>
      <c r="AN72" s="2" t="s">
        <v>124</v>
      </c>
      <c r="AO72" s="2" t="s">
        <v>125</v>
      </c>
      <c r="AP72" s="2" t="s">
        <v>126</v>
      </c>
      <c r="AQ72" s="2"/>
      <c r="AR72" s="2" t="s">
        <v>127</v>
      </c>
      <c r="AS72" s="2" t="s">
        <v>128</v>
      </c>
      <c r="AT72" s="2" t="s">
        <v>185</v>
      </c>
      <c r="AU72" s="2" t="n">
        <v>2017</v>
      </c>
      <c r="AV72" s="2" t="n">
        <v>36</v>
      </c>
      <c r="AW72" s="2" t="n">
        <v>8</v>
      </c>
      <c r="AX72" s="2"/>
      <c r="AY72" s="2"/>
      <c r="AZ72" s="2"/>
      <c r="BA72" s="2"/>
      <c r="BB72" s="2" t="n">
        <v>699</v>
      </c>
      <c r="BC72" s="2" t="n">
        <v>704</v>
      </c>
      <c r="BD72" s="2"/>
      <c r="BE72" s="2" t="s">
        <v>1604</v>
      </c>
      <c r="BF72" s="2" t="str">
        <f aca="false">HYPERLINK("http://dx.doi.org/10.1097/INF.0000000000001533","http://dx.doi.org/10.1097/INF.0000000000001533")</f>
        <v>http://dx.doi.org/10.1097/INF.0000000000001533</v>
      </c>
      <c r="BG72" s="2"/>
      <c r="BH72" s="2"/>
      <c r="BI72" s="2" t="n">
        <v>6</v>
      </c>
      <c r="BJ72" s="2" t="s">
        <v>134</v>
      </c>
      <c r="BK72" s="2" t="s">
        <v>100</v>
      </c>
      <c r="BL72" s="2" t="s">
        <v>134</v>
      </c>
      <c r="BM72" s="2" t="s">
        <v>1605</v>
      </c>
      <c r="BN72" s="2" t="n">
        <v>28709160</v>
      </c>
      <c r="BO72" s="2" t="s">
        <v>165</v>
      </c>
      <c r="BP72" s="2"/>
      <c r="BQ72" s="2"/>
      <c r="BR72" s="2" t="s">
        <v>104</v>
      </c>
      <c r="BS72" s="2" t="s">
        <v>1606</v>
      </c>
      <c r="BT72" s="2" t="str">
        <f aca="false">HYPERLINK("https%3A%2F%2Fwww.webofscience.com%2Fwos%2Fwoscc%2Ffull-record%2FWOS:000405703800002","View Full Record in Web of Science")</f>
        <v>View Full Record in Web of Science</v>
      </c>
    </row>
    <row r="73" customFormat="false" ht="12.75" hidden="false" customHeight="false" outlineLevel="0" collapsed="false">
      <c r="A73" s="2" t="s">
        <v>72</v>
      </c>
      <c r="B73" s="2" t="s">
        <v>1607</v>
      </c>
      <c r="C73" s="2"/>
      <c r="D73" s="2"/>
      <c r="E73" s="2"/>
      <c r="F73" s="2" t="s">
        <v>1608</v>
      </c>
      <c r="G73" s="2"/>
      <c r="H73" s="2"/>
      <c r="I73" s="2" t="s">
        <v>1609</v>
      </c>
      <c r="J73" s="2" t="s">
        <v>1610</v>
      </c>
      <c r="K73" s="2"/>
      <c r="L73" s="2"/>
      <c r="M73" s="2" t="s">
        <v>77</v>
      </c>
      <c r="N73" s="2" t="s">
        <v>78</v>
      </c>
      <c r="O73" s="2"/>
      <c r="P73" s="2"/>
      <c r="Q73" s="2"/>
      <c r="R73" s="2"/>
      <c r="S73" s="2"/>
      <c r="T73" s="2" t="s">
        <v>1611</v>
      </c>
      <c r="U73" s="2" t="s">
        <v>1612</v>
      </c>
      <c r="V73" s="2" t="s">
        <v>1613</v>
      </c>
      <c r="W73" s="2" t="s">
        <v>1614</v>
      </c>
      <c r="X73" s="2" t="s">
        <v>1615</v>
      </c>
      <c r="Y73" s="2" t="s">
        <v>1616</v>
      </c>
      <c r="Z73" s="2" t="s">
        <v>1617</v>
      </c>
      <c r="AA73" s="2" t="s">
        <v>1618</v>
      </c>
      <c r="AB73" s="2" t="s">
        <v>1619</v>
      </c>
      <c r="AC73" s="2" t="s">
        <v>1620</v>
      </c>
      <c r="AD73" s="2" t="s">
        <v>1621</v>
      </c>
      <c r="AE73" s="2" t="s">
        <v>1622</v>
      </c>
      <c r="AF73" s="2"/>
      <c r="AG73" s="2" t="n">
        <v>15</v>
      </c>
      <c r="AH73" s="2" t="n">
        <v>14</v>
      </c>
      <c r="AI73" s="2" t="n">
        <v>15</v>
      </c>
      <c r="AJ73" s="2" t="n">
        <v>0</v>
      </c>
      <c r="AK73" s="2" t="n">
        <v>2</v>
      </c>
      <c r="AL73" s="2" t="s">
        <v>549</v>
      </c>
      <c r="AM73" s="2" t="s">
        <v>384</v>
      </c>
      <c r="AN73" s="2" t="s">
        <v>550</v>
      </c>
      <c r="AO73" s="2" t="s">
        <v>1623</v>
      </c>
      <c r="AP73" s="2"/>
      <c r="AQ73" s="2"/>
      <c r="AR73" s="2" t="s">
        <v>1624</v>
      </c>
      <c r="AS73" s="2" t="s">
        <v>1625</v>
      </c>
      <c r="AT73" s="2" t="s">
        <v>1626</v>
      </c>
      <c r="AU73" s="2" t="n">
        <v>2011</v>
      </c>
      <c r="AV73" s="2" t="n">
        <v>374</v>
      </c>
      <c r="AW73" s="2" t="s">
        <v>1407</v>
      </c>
      <c r="AX73" s="2"/>
      <c r="AY73" s="2"/>
      <c r="AZ73" s="2" t="s">
        <v>1627</v>
      </c>
      <c r="BA73" s="2"/>
      <c r="BB73" s="2" t="n">
        <v>13</v>
      </c>
      <c r="BC73" s="2" t="n">
        <v>17</v>
      </c>
      <c r="BD73" s="2"/>
      <c r="BE73" s="2" t="s">
        <v>1628</v>
      </c>
      <c r="BF73" s="2" t="str">
        <f aca="false">HYPERLINK("http://dx.doi.org/10.1016/j.jim.2011.08.004","http://dx.doi.org/10.1016/j.jim.2011.08.004")</f>
        <v>http://dx.doi.org/10.1016/j.jim.2011.08.004</v>
      </c>
      <c r="BG73" s="2"/>
      <c r="BH73" s="2"/>
      <c r="BI73" s="2" t="n">
        <v>5</v>
      </c>
      <c r="BJ73" s="2" t="s">
        <v>1629</v>
      </c>
      <c r="BK73" s="2" t="s">
        <v>100</v>
      </c>
      <c r="BL73" s="2" t="s">
        <v>1630</v>
      </c>
      <c r="BM73" s="2" t="s">
        <v>1631</v>
      </c>
      <c r="BN73" s="2" t="n">
        <v>21854782</v>
      </c>
      <c r="BO73" s="2" t="s">
        <v>695</v>
      </c>
      <c r="BP73" s="2"/>
      <c r="BQ73" s="2"/>
      <c r="BR73" s="2" t="s">
        <v>104</v>
      </c>
      <c r="BS73" s="2" t="s">
        <v>1632</v>
      </c>
      <c r="BT73" s="2" t="str">
        <f aca="false">HYPERLINK("https%3A%2F%2Fwww.webofscience.com%2Fwos%2Fwoscc%2Ffull-record%2FWOS:000298217500003","View Full Record in Web of Science")</f>
        <v>View Full Record in Web of Science</v>
      </c>
    </row>
    <row r="74" customFormat="false" ht="12.75" hidden="false" customHeight="false" outlineLevel="0" collapsed="false">
      <c r="A74" s="2" t="s">
        <v>72</v>
      </c>
      <c r="B74" s="2" t="s">
        <v>1633</v>
      </c>
      <c r="C74" s="2"/>
      <c r="D74" s="2"/>
      <c r="E74" s="2"/>
      <c r="F74" s="2" t="s">
        <v>1634</v>
      </c>
      <c r="G74" s="2"/>
      <c r="H74" s="2"/>
      <c r="I74" s="2" t="s">
        <v>1635</v>
      </c>
      <c r="J74" s="2" t="s">
        <v>1636</v>
      </c>
      <c r="K74" s="2"/>
      <c r="L74" s="2"/>
      <c r="M74" s="2" t="s">
        <v>77</v>
      </c>
      <c r="N74" s="2" t="s">
        <v>78</v>
      </c>
      <c r="O74" s="2"/>
      <c r="P74" s="2"/>
      <c r="Q74" s="2"/>
      <c r="R74" s="2"/>
      <c r="S74" s="2"/>
      <c r="T74" s="2" t="s">
        <v>1637</v>
      </c>
      <c r="U74" s="2" t="s">
        <v>1638</v>
      </c>
      <c r="V74" s="2" t="s">
        <v>1639</v>
      </c>
      <c r="W74" s="2" t="s">
        <v>1640</v>
      </c>
      <c r="X74" s="2" t="s">
        <v>1641</v>
      </c>
      <c r="Y74" s="2" t="s">
        <v>1642</v>
      </c>
      <c r="Z74" s="2" t="s">
        <v>1643</v>
      </c>
      <c r="AA74" s="2" t="s">
        <v>1644</v>
      </c>
      <c r="AB74" s="2" t="s">
        <v>1645</v>
      </c>
      <c r="AC74" s="2" t="s">
        <v>1646</v>
      </c>
      <c r="AD74" s="2" t="s">
        <v>1647</v>
      </c>
      <c r="AE74" s="2" t="s">
        <v>1648</v>
      </c>
      <c r="AF74" s="2"/>
      <c r="AG74" s="2" t="n">
        <v>61</v>
      </c>
      <c r="AH74" s="2" t="n">
        <v>57</v>
      </c>
      <c r="AI74" s="2" t="n">
        <v>65</v>
      </c>
      <c r="AJ74" s="2" t="n">
        <v>0</v>
      </c>
      <c r="AK74" s="2" t="n">
        <v>13</v>
      </c>
      <c r="AL74" s="2" t="s">
        <v>1649</v>
      </c>
      <c r="AM74" s="2" t="s">
        <v>273</v>
      </c>
      <c r="AN74" s="2" t="s">
        <v>1650</v>
      </c>
      <c r="AO74" s="2" t="s">
        <v>1651</v>
      </c>
      <c r="AP74" s="2"/>
      <c r="AQ74" s="2"/>
      <c r="AR74" s="2" t="s">
        <v>1652</v>
      </c>
      <c r="AS74" s="2" t="s">
        <v>1653</v>
      </c>
      <c r="AT74" s="2" t="s">
        <v>1654</v>
      </c>
      <c r="AU74" s="2" t="n">
        <v>2014</v>
      </c>
      <c r="AV74" s="2" t="n">
        <v>111</v>
      </c>
      <c r="AW74" s="2" t="n">
        <v>31</v>
      </c>
      <c r="AX74" s="2"/>
      <c r="AY74" s="2"/>
      <c r="AZ74" s="2"/>
      <c r="BA74" s="2"/>
      <c r="BB74" s="2" t="s">
        <v>1655</v>
      </c>
      <c r="BC74" s="2" t="s">
        <v>1656</v>
      </c>
      <c r="BD74" s="2"/>
      <c r="BE74" s="2" t="s">
        <v>1657</v>
      </c>
      <c r="BF74" s="2" t="str">
        <f aca="false">HYPERLINK("http://dx.doi.org/10.1073/pnas.1400760111","http://dx.doi.org/10.1073/pnas.1400760111")</f>
        <v>http://dx.doi.org/10.1073/pnas.1400760111</v>
      </c>
      <c r="BG74" s="2"/>
      <c r="BH74" s="2"/>
      <c r="BI74" s="2" t="n">
        <v>10</v>
      </c>
      <c r="BJ74" s="2" t="s">
        <v>1658</v>
      </c>
      <c r="BK74" s="2" t="s">
        <v>100</v>
      </c>
      <c r="BL74" s="2" t="s">
        <v>1659</v>
      </c>
      <c r="BM74" s="2" t="s">
        <v>1660</v>
      </c>
      <c r="BN74" s="2" t="n">
        <v>25056968</v>
      </c>
      <c r="BO74" s="2" t="s">
        <v>1267</v>
      </c>
      <c r="BP74" s="2"/>
      <c r="BQ74" s="2"/>
      <c r="BR74" s="2" t="s">
        <v>104</v>
      </c>
      <c r="BS74" s="2" t="s">
        <v>1661</v>
      </c>
      <c r="BT74" s="2" t="str">
        <f aca="false">HYPERLINK("https%3A%2F%2Fwww.webofscience.com%2Fwos%2Fwoscc%2Ffull-record%2FWOS:000339807200006","View Full Record in Web of Science")</f>
        <v>View Full Record in Web of Science</v>
      </c>
    </row>
    <row r="75" customFormat="false" ht="12.75" hidden="false" customHeight="false" outlineLevel="0" collapsed="false">
      <c r="A75" s="2" t="s">
        <v>72</v>
      </c>
      <c r="B75" s="2" t="s">
        <v>1662</v>
      </c>
      <c r="C75" s="2"/>
      <c r="D75" s="2"/>
      <c r="E75" s="2"/>
      <c r="F75" s="2" t="s">
        <v>1663</v>
      </c>
      <c r="G75" s="2"/>
      <c r="H75" s="2"/>
      <c r="I75" s="2" t="s">
        <v>1664</v>
      </c>
      <c r="J75" s="2" t="s">
        <v>1665</v>
      </c>
      <c r="K75" s="2"/>
      <c r="L75" s="2"/>
      <c r="M75" s="2" t="s">
        <v>77</v>
      </c>
      <c r="N75" s="2" t="s">
        <v>78</v>
      </c>
      <c r="O75" s="2"/>
      <c r="P75" s="2"/>
      <c r="Q75" s="2"/>
      <c r="R75" s="2"/>
      <c r="S75" s="2"/>
      <c r="T75" s="2" t="s">
        <v>1666</v>
      </c>
      <c r="U75" s="2" t="s">
        <v>1667</v>
      </c>
      <c r="V75" s="2" t="s">
        <v>1668</v>
      </c>
      <c r="W75" s="2" t="s">
        <v>1669</v>
      </c>
      <c r="X75" s="2" t="s">
        <v>1670</v>
      </c>
      <c r="Y75" s="2" t="s">
        <v>1671</v>
      </c>
      <c r="Z75" s="2" t="s">
        <v>1672</v>
      </c>
      <c r="AA75" s="2" t="s">
        <v>1673</v>
      </c>
      <c r="AB75" s="2" t="s">
        <v>1674</v>
      </c>
      <c r="AC75" s="2" t="s">
        <v>1675</v>
      </c>
      <c r="AD75" s="2" t="s">
        <v>1676</v>
      </c>
      <c r="AE75" s="2" t="s">
        <v>1677</v>
      </c>
      <c r="AF75" s="2"/>
      <c r="AG75" s="2" t="n">
        <v>24</v>
      </c>
      <c r="AH75" s="2" t="n">
        <v>11</v>
      </c>
      <c r="AI75" s="2" t="n">
        <v>14</v>
      </c>
      <c r="AJ75" s="2" t="n">
        <v>3</v>
      </c>
      <c r="AK75" s="2" t="n">
        <v>26</v>
      </c>
      <c r="AL75" s="2" t="s">
        <v>1678</v>
      </c>
      <c r="AM75" s="2" t="s">
        <v>1679</v>
      </c>
      <c r="AN75" s="2" t="s">
        <v>1680</v>
      </c>
      <c r="AO75" s="2" t="s">
        <v>1681</v>
      </c>
      <c r="AP75" s="2" t="s">
        <v>1682</v>
      </c>
      <c r="AQ75" s="2"/>
      <c r="AR75" s="2" t="s">
        <v>1683</v>
      </c>
      <c r="AS75" s="2" t="s">
        <v>1684</v>
      </c>
      <c r="AT75" s="2" t="s">
        <v>185</v>
      </c>
      <c r="AU75" s="2" t="n">
        <v>2015</v>
      </c>
      <c r="AV75" s="2" t="n">
        <v>8</v>
      </c>
      <c r="AW75" s="2" t="n">
        <v>8</v>
      </c>
      <c r="AX75" s="2"/>
      <c r="AY75" s="2"/>
      <c r="AZ75" s="2"/>
      <c r="BA75" s="2"/>
      <c r="BB75" s="2"/>
      <c r="BC75" s="2"/>
      <c r="BD75" s="2"/>
      <c r="BE75" s="2" t="s">
        <v>1685</v>
      </c>
      <c r="BF75" s="2" t="str">
        <f aca="false">HYPERLINK("http://dx.doi.org/10.5812/jjm.19041v2","http://dx.doi.org/10.5812/jjm.19041v2")</f>
        <v>http://dx.doi.org/10.5812/jjm.19041v2</v>
      </c>
      <c r="BG75" s="2"/>
      <c r="BH75" s="2"/>
      <c r="BI75" s="2" t="n">
        <v>5</v>
      </c>
      <c r="BJ75" s="2" t="s">
        <v>211</v>
      </c>
      <c r="BK75" s="2" t="s">
        <v>100</v>
      </c>
      <c r="BL75" s="2" t="s">
        <v>211</v>
      </c>
      <c r="BM75" s="2" t="s">
        <v>1686</v>
      </c>
      <c r="BN75" s="2" t="n">
        <v>26468358</v>
      </c>
      <c r="BO75" s="2" t="s">
        <v>1687</v>
      </c>
      <c r="BP75" s="2"/>
      <c r="BQ75" s="2"/>
      <c r="BR75" s="2" t="s">
        <v>104</v>
      </c>
      <c r="BS75" s="2" t="s">
        <v>1688</v>
      </c>
      <c r="BT75" s="2" t="str">
        <f aca="false">HYPERLINK("https%3A%2F%2Fwww.webofscience.com%2Fwos%2Fwoscc%2Ffull-record%2FWOS:000363407300004","View Full Record in Web of Science")</f>
        <v>View Full Record in Web of Science</v>
      </c>
    </row>
    <row r="76" customFormat="false" ht="12.75" hidden="false" customHeight="false" outlineLevel="0" collapsed="false">
      <c r="A76" s="2" t="s">
        <v>72</v>
      </c>
      <c r="B76" s="2" t="s">
        <v>1689</v>
      </c>
      <c r="C76" s="2"/>
      <c r="D76" s="2"/>
      <c r="E76" s="2"/>
      <c r="F76" s="2" t="s">
        <v>1690</v>
      </c>
      <c r="G76" s="2"/>
      <c r="H76" s="2"/>
      <c r="I76" s="2" t="s">
        <v>1691</v>
      </c>
      <c r="J76" s="2" t="s">
        <v>1692</v>
      </c>
      <c r="K76" s="2"/>
      <c r="L76" s="2"/>
      <c r="M76" s="2" t="s">
        <v>77</v>
      </c>
      <c r="N76" s="2" t="s">
        <v>78</v>
      </c>
      <c r="O76" s="2"/>
      <c r="P76" s="2"/>
      <c r="Q76" s="2"/>
      <c r="R76" s="2"/>
      <c r="S76" s="2"/>
      <c r="T76" s="2" t="s">
        <v>1693</v>
      </c>
      <c r="U76" s="2" t="s">
        <v>1694</v>
      </c>
      <c r="V76" s="2" t="s">
        <v>1695</v>
      </c>
      <c r="W76" s="2" t="s">
        <v>1696</v>
      </c>
      <c r="X76" s="2" t="s">
        <v>1697</v>
      </c>
      <c r="Y76" s="2" t="s">
        <v>1698</v>
      </c>
      <c r="Z76" s="2" t="s">
        <v>1699</v>
      </c>
      <c r="AA76" s="2" t="s">
        <v>1700</v>
      </c>
      <c r="AB76" s="2" t="s">
        <v>1701</v>
      </c>
      <c r="AC76" s="2" t="s">
        <v>1702</v>
      </c>
      <c r="AD76" s="2" t="s">
        <v>1702</v>
      </c>
      <c r="AE76" s="2" t="s">
        <v>1703</v>
      </c>
      <c r="AF76" s="2"/>
      <c r="AG76" s="2" t="n">
        <v>61</v>
      </c>
      <c r="AH76" s="2" t="n">
        <v>0</v>
      </c>
      <c r="AI76" s="2" t="n">
        <v>0</v>
      </c>
      <c r="AJ76" s="2" t="n">
        <v>1</v>
      </c>
      <c r="AK76" s="2" t="n">
        <v>1</v>
      </c>
      <c r="AL76" s="2" t="s">
        <v>1704</v>
      </c>
      <c r="AM76" s="2" t="s">
        <v>1705</v>
      </c>
      <c r="AN76" s="2" t="s">
        <v>1706</v>
      </c>
      <c r="AO76" s="2"/>
      <c r="AP76" s="2" t="s">
        <v>1707</v>
      </c>
      <c r="AQ76" s="2"/>
      <c r="AR76" s="2" t="s">
        <v>1692</v>
      </c>
      <c r="AS76" s="2" t="s">
        <v>1708</v>
      </c>
      <c r="AT76" s="2" t="s">
        <v>1709</v>
      </c>
      <c r="AU76" s="2" t="n">
        <v>2024</v>
      </c>
      <c r="AV76" s="2" t="n">
        <v>10</v>
      </c>
      <c r="AW76" s="2" t="n">
        <v>8</v>
      </c>
      <c r="AX76" s="2"/>
      <c r="AY76" s="2"/>
      <c r="AZ76" s="2"/>
      <c r="BA76" s="2"/>
      <c r="BB76" s="2"/>
      <c r="BC76" s="2"/>
      <c r="BD76" s="2" t="s">
        <v>1710</v>
      </c>
      <c r="BE76" s="2" t="s">
        <v>1711</v>
      </c>
      <c r="BF76" s="2" t="str">
        <f aca="false">HYPERLINK("http://dx.doi.org/10.1016/j.heliyon.2024.e29855","http://dx.doi.org/10.1016/j.heliyon.2024.e29855")</f>
        <v>http://dx.doi.org/10.1016/j.heliyon.2024.e29855</v>
      </c>
      <c r="BG76" s="2"/>
      <c r="BH76" s="2"/>
      <c r="BI76" s="2" t="n">
        <v>9</v>
      </c>
      <c r="BJ76" s="2" t="s">
        <v>1658</v>
      </c>
      <c r="BK76" s="2" t="s">
        <v>100</v>
      </c>
      <c r="BL76" s="2" t="s">
        <v>1659</v>
      </c>
      <c r="BM76" s="2" t="s">
        <v>1712</v>
      </c>
      <c r="BN76" s="2" t="n">
        <v>38681623</v>
      </c>
      <c r="BO76" s="2" t="s">
        <v>103</v>
      </c>
      <c r="BP76" s="2"/>
      <c r="BQ76" s="2"/>
      <c r="BR76" s="2" t="s">
        <v>104</v>
      </c>
      <c r="BS76" s="2" t="s">
        <v>1713</v>
      </c>
      <c r="BT76" s="2" t="str">
        <f aca="false">HYPERLINK("https%3A%2F%2Fwww.webofscience.com%2Fwos%2Fwoscc%2Ffull-record%2FWOS:001233477100001","View Full Record in Web of Science")</f>
        <v>View Full Record in Web of Science</v>
      </c>
    </row>
    <row r="77" customFormat="false" ht="12.75" hidden="false" customHeight="false" outlineLevel="0" collapsed="false">
      <c r="A77" s="2" t="s">
        <v>72</v>
      </c>
      <c r="B77" s="2" t="s">
        <v>1714</v>
      </c>
      <c r="C77" s="2"/>
      <c r="D77" s="2"/>
      <c r="E77" s="2"/>
      <c r="F77" s="2" t="s">
        <v>1715</v>
      </c>
      <c r="G77" s="2"/>
      <c r="H77" s="2"/>
      <c r="I77" s="2" t="s">
        <v>1716</v>
      </c>
      <c r="J77" s="2" t="s">
        <v>1717</v>
      </c>
      <c r="K77" s="2"/>
      <c r="L77" s="2"/>
      <c r="M77" s="2" t="s">
        <v>77</v>
      </c>
      <c r="N77" s="2" t="s">
        <v>78</v>
      </c>
      <c r="O77" s="2"/>
      <c r="P77" s="2"/>
      <c r="Q77" s="2"/>
      <c r="R77" s="2"/>
      <c r="S77" s="2"/>
      <c r="T77" s="2" t="s">
        <v>1718</v>
      </c>
      <c r="U77" s="2" t="s">
        <v>1719</v>
      </c>
      <c r="V77" s="2" t="s">
        <v>1720</v>
      </c>
      <c r="W77" s="2" t="s">
        <v>1721</v>
      </c>
      <c r="X77" s="2" t="s">
        <v>1722</v>
      </c>
      <c r="Y77" s="2" t="s">
        <v>1723</v>
      </c>
      <c r="Z77" s="2" t="s">
        <v>1724</v>
      </c>
      <c r="AA77" s="2" t="s">
        <v>1725</v>
      </c>
      <c r="AB77" s="2" t="s">
        <v>1726</v>
      </c>
      <c r="AC77" s="2" t="s">
        <v>1727</v>
      </c>
      <c r="AD77" s="2" t="s">
        <v>1728</v>
      </c>
      <c r="AE77" s="2" t="s">
        <v>1729</v>
      </c>
      <c r="AF77" s="2"/>
      <c r="AG77" s="2" t="n">
        <v>16</v>
      </c>
      <c r="AH77" s="2" t="n">
        <v>2</v>
      </c>
      <c r="AI77" s="2" t="n">
        <v>2</v>
      </c>
      <c r="AJ77" s="2" t="n">
        <v>0</v>
      </c>
      <c r="AK77" s="2" t="n">
        <v>0</v>
      </c>
      <c r="AL77" s="2" t="s">
        <v>383</v>
      </c>
      <c r="AM77" s="2" t="s">
        <v>384</v>
      </c>
      <c r="AN77" s="2" t="s">
        <v>385</v>
      </c>
      <c r="AO77" s="2"/>
      <c r="AP77" s="2" t="s">
        <v>1730</v>
      </c>
      <c r="AQ77" s="2"/>
      <c r="AR77" s="2" t="s">
        <v>1731</v>
      </c>
      <c r="AS77" s="2" t="s">
        <v>1732</v>
      </c>
      <c r="AT77" s="2" t="s">
        <v>129</v>
      </c>
      <c r="AU77" s="2" t="n">
        <v>2023</v>
      </c>
      <c r="AV77" s="2" t="n">
        <v>8</v>
      </c>
      <c r="AW77" s="2"/>
      <c r="AX77" s="2"/>
      <c r="AY77" s="2"/>
      <c r="AZ77" s="2"/>
      <c r="BA77" s="2"/>
      <c r="BB77" s="2" t="n">
        <v>90</v>
      </c>
      <c r="BC77" s="2" t="n">
        <v>94</v>
      </c>
      <c r="BD77" s="2"/>
      <c r="BE77" s="2" t="s">
        <v>1733</v>
      </c>
      <c r="BF77" s="2" t="str">
        <f aca="false">HYPERLINK("http://dx.doi.org/10.1016/j.ijregi.2023.07.003","http://dx.doi.org/10.1016/j.ijregi.2023.07.003")</f>
        <v>http://dx.doi.org/10.1016/j.ijregi.2023.07.003</v>
      </c>
      <c r="BG77" s="2"/>
      <c r="BH77" s="2"/>
      <c r="BI77" s="2" t="n">
        <v>5</v>
      </c>
      <c r="BJ77" s="2" t="s">
        <v>575</v>
      </c>
      <c r="BK77" s="2" t="s">
        <v>339</v>
      </c>
      <c r="BL77" s="2" t="s">
        <v>575</v>
      </c>
      <c r="BM77" s="2" t="s">
        <v>1734</v>
      </c>
      <c r="BN77" s="2" t="n">
        <v>37533553</v>
      </c>
      <c r="BO77" s="2" t="s">
        <v>190</v>
      </c>
      <c r="BP77" s="2"/>
      <c r="BQ77" s="2"/>
      <c r="BR77" s="2" t="s">
        <v>104</v>
      </c>
      <c r="BS77" s="2" t="s">
        <v>1735</v>
      </c>
      <c r="BT77" s="2" t="str">
        <f aca="false">HYPERLINK("https%3A%2F%2Fwww.webofscience.com%2Fwos%2Fwoscc%2Ffull-record%2FWOS:001133460900001","View Full Record in Web of Science")</f>
        <v>View Full Record in Web of Science</v>
      </c>
    </row>
    <row r="78" customFormat="false" ht="12.75" hidden="false" customHeight="false" outlineLevel="0" collapsed="false">
      <c r="A78" s="2" t="s">
        <v>72</v>
      </c>
      <c r="B78" s="2" t="s">
        <v>1736</v>
      </c>
      <c r="C78" s="2"/>
      <c r="D78" s="2"/>
      <c r="E78" s="2"/>
      <c r="F78" s="2" t="s">
        <v>1737</v>
      </c>
      <c r="G78" s="2"/>
      <c r="H78" s="2"/>
      <c r="I78" s="2" t="s">
        <v>1738</v>
      </c>
      <c r="J78" s="2" t="s">
        <v>1739</v>
      </c>
      <c r="K78" s="2"/>
      <c r="L78" s="2"/>
      <c r="M78" s="2" t="s">
        <v>77</v>
      </c>
      <c r="N78" s="2" t="s">
        <v>78</v>
      </c>
      <c r="O78" s="2"/>
      <c r="P78" s="2"/>
      <c r="Q78" s="2"/>
      <c r="R78" s="2"/>
      <c r="S78" s="2"/>
      <c r="T78" s="2" t="s">
        <v>1740</v>
      </c>
      <c r="U78" s="2" t="s">
        <v>1741</v>
      </c>
      <c r="V78" s="2" t="s">
        <v>1742</v>
      </c>
      <c r="W78" s="2" t="s">
        <v>1743</v>
      </c>
      <c r="X78" s="2" t="s">
        <v>1744</v>
      </c>
      <c r="Y78" s="2" t="s">
        <v>1745</v>
      </c>
      <c r="Z78" s="2" t="s">
        <v>1746</v>
      </c>
      <c r="AA78" s="2" t="s">
        <v>1747</v>
      </c>
      <c r="AB78" s="2" t="s">
        <v>1748</v>
      </c>
      <c r="AC78" s="2"/>
      <c r="AD78" s="2"/>
      <c r="AE78" s="2"/>
      <c r="AF78" s="2"/>
      <c r="AG78" s="2" t="n">
        <v>44</v>
      </c>
      <c r="AH78" s="2" t="n">
        <v>25</v>
      </c>
      <c r="AI78" s="2" t="n">
        <v>29</v>
      </c>
      <c r="AJ78" s="2" t="n">
        <v>0</v>
      </c>
      <c r="AK78" s="2" t="n">
        <v>6</v>
      </c>
      <c r="AL78" s="2" t="s">
        <v>1749</v>
      </c>
      <c r="AM78" s="2" t="s">
        <v>1750</v>
      </c>
      <c r="AN78" s="2" t="s">
        <v>1751</v>
      </c>
      <c r="AO78" s="2" t="s">
        <v>1752</v>
      </c>
      <c r="AP78" s="2" t="s">
        <v>1753</v>
      </c>
      <c r="AQ78" s="2"/>
      <c r="AR78" s="2" t="s">
        <v>1754</v>
      </c>
      <c r="AS78" s="2" t="s">
        <v>1755</v>
      </c>
      <c r="AT78" s="2" t="s">
        <v>1756</v>
      </c>
      <c r="AU78" s="2" t="n">
        <v>2006</v>
      </c>
      <c r="AV78" s="2" t="n">
        <v>161</v>
      </c>
      <c r="AW78" s="2" t="n">
        <v>1</v>
      </c>
      <c r="AX78" s="2"/>
      <c r="AY78" s="2"/>
      <c r="AZ78" s="2"/>
      <c r="BA78" s="2"/>
      <c r="BB78" s="2" t="n">
        <v>8</v>
      </c>
      <c r="BC78" s="2" t="n">
        <v>14</v>
      </c>
      <c r="BD78" s="2"/>
      <c r="BE78" s="2" t="s">
        <v>1757</v>
      </c>
      <c r="BF78" s="2" t="str">
        <f aca="false">HYPERLINK("http://dx.doi.org/10.1016/j.forsciint.2005.10.012","http://dx.doi.org/10.1016/j.forsciint.2005.10.012")</f>
        <v>http://dx.doi.org/10.1016/j.forsciint.2005.10.012</v>
      </c>
      <c r="BG78" s="2"/>
      <c r="BH78" s="2"/>
      <c r="BI78" s="2" t="n">
        <v>7</v>
      </c>
      <c r="BJ78" s="2" t="s">
        <v>1758</v>
      </c>
      <c r="BK78" s="2" t="s">
        <v>100</v>
      </c>
      <c r="BL78" s="2" t="s">
        <v>1759</v>
      </c>
      <c r="BM78" s="2" t="s">
        <v>1760</v>
      </c>
      <c r="BN78" s="2" t="n">
        <v>16300916</v>
      </c>
      <c r="BO78" s="2"/>
      <c r="BP78" s="2"/>
      <c r="BQ78" s="2"/>
      <c r="BR78" s="2" t="s">
        <v>104</v>
      </c>
      <c r="BS78" s="2" t="s">
        <v>1761</v>
      </c>
      <c r="BT78" s="2" t="str">
        <f aca="false">HYPERLINK("https%3A%2F%2Fwww.webofscience.com%2Fwos%2Fwoscc%2Ffull-record%2FWOS:000240068600002","View Full Record in Web of Science")</f>
        <v>View Full Record in Web of Science</v>
      </c>
    </row>
    <row r="79" customFormat="false" ht="12.75" hidden="false" customHeight="false" outlineLevel="0" collapsed="false">
      <c r="A79" s="2" t="s">
        <v>72</v>
      </c>
      <c r="B79" s="2" t="s">
        <v>1762</v>
      </c>
      <c r="C79" s="2"/>
      <c r="D79" s="2"/>
      <c r="E79" s="2"/>
      <c r="F79" s="2" t="s">
        <v>1763</v>
      </c>
      <c r="G79" s="2"/>
      <c r="H79" s="2"/>
      <c r="I79" s="2" t="s">
        <v>1764</v>
      </c>
      <c r="J79" s="2" t="s">
        <v>1765</v>
      </c>
      <c r="K79" s="2"/>
      <c r="L79" s="2"/>
      <c r="M79" s="2" t="s">
        <v>77</v>
      </c>
      <c r="N79" s="2" t="s">
        <v>78</v>
      </c>
      <c r="O79" s="2"/>
      <c r="P79" s="2"/>
      <c r="Q79" s="2"/>
      <c r="R79" s="2"/>
      <c r="S79" s="2"/>
      <c r="T79" s="2" t="s">
        <v>1766</v>
      </c>
      <c r="U79" s="2" t="s">
        <v>1767</v>
      </c>
      <c r="V79" s="2" t="s">
        <v>1768</v>
      </c>
      <c r="W79" s="2" t="s">
        <v>1769</v>
      </c>
      <c r="X79" s="2" t="s">
        <v>1770</v>
      </c>
      <c r="Y79" s="2" t="s">
        <v>1771</v>
      </c>
      <c r="Z79" s="2" t="s">
        <v>1772</v>
      </c>
      <c r="AA79" s="2" t="s">
        <v>1773</v>
      </c>
      <c r="AB79" s="2" t="s">
        <v>1774</v>
      </c>
      <c r="AC79" s="2" t="s">
        <v>1775</v>
      </c>
      <c r="AD79" s="2" t="s">
        <v>1776</v>
      </c>
      <c r="AE79" s="2" t="s">
        <v>1777</v>
      </c>
      <c r="AF79" s="2"/>
      <c r="AG79" s="2" t="n">
        <v>56</v>
      </c>
      <c r="AH79" s="2" t="n">
        <v>3</v>
      </c>
      <c r="AI79" s="2" t="n">
        <v>3</v>
      </c>
      <c r="AJ79" s="2" t="n">
        <v>0</v>
      </c>
      <c r="AK79" s="2" t="n">
        <v>1</v>
      </c>
      <c r="AL79" s="2" t="s">
        <v>620</v>
      </c>
      <c r="AM79" s="2" t="s">
        <v>621</v>
      </c>
      <c r="AN79" s="2" t="s">
        <v>622</v>
      </c>
      <c r="AO79" s="2" t="s">
        <v>1778</v>
      </c>
      <c r="AP79" s="2"/>
      <c r="AQ79" s="2"/>
      <c r="AR79" s="2" t="s">
        <v>1779</v>
      </c>
      <c r="AS79" s="2" t="s">
        <v>1780</v>
      </c>
      <c r="AT79" s="2" t="s">
        <v>1781</v>
      </c>
      <c r="AU79" s="2" t="n">
        <v>2023</v>
      </c>
      <c r="AV79" s="2" t="n">
        <v>11</v>
      </c>
      <c r="AW79" s="2"/>
      <c r="AX79" s="2"/>
      <c r="AY79" s="2"/>
      <c r="AZ79" s="2"/>
      <c r="BA79" s="2"/>
      <c r="BB79" s="2"/>
      <c r="BC79" s="2"/>
      <c r="BD79" s="2" t="n">
        <v>1198278</v>
      </c>
      <c r="BE79" s="2" t="s">
        <v>1782</v>
      </c>
      <c r="BF79" s="2" t="str">
        <f aca="false">HYPERLINK("http://dx.doi.org/10.3389/fped.2023.1198278","http://dx.doi.org/10.3389/fped.2023.1198278")</f>
        <v>http://dx.doi.org/10.3389/fped.2023.1198278</v>
      </c>
      <c r="BG79" s="2"/>
      <c r="BH79" s="2"/>
      <c r="BI79" s="2" t="n">
        <v>10</v>
      </c>
      <c r="BJ79" s="2" t="s">
        <v>601</v>
      </c>
      <c r="BK79" s="2" t="s">
        <v>100</v>
      </c>
      <c r="BL79" s="2" t="s">
        <v>601</v>
      </c>
      <c r="BM79" s="2" t="s">
        <v>1783</v>
      </c>
      <c r="BN79" s="2" t="n">
        <v>37484765</v>
      </c>
      <c r="BO79" s="2" t="s">
        <v>190</v>
      </c>
      <c r="BP79" s="2"/>
      <c r="BQ79" s="2"/>
      <c r="BR79" s="2" t="s">
        <v>104</v>
      </c>
      <c r="BS79" s="2" t="s">
        <v>1784</v>
      </c>
      <c r="BT79" s="2" t="str">
        <f aca="false">HYPERLINK("https%3A%2F%2Fwww.webofscience.com%2Fwos%2Fwoscc%2Ffull-record%2FWOS:001033374700001","View Full Record in Web of Science")</f>
        <v>View Full Record in Web of Science</v>
      </c>
    </row>
    <row r="80" customFormat="false" ht="12.75" hidden="false" customHeight="false" outlineLevel="0" collapsed="false">
      <c r="A80" s="2" t="s">
        <v>72</v>
      </c>
      <c r="B80" s="2" t="s">
        <v>1785</v>
      </c>
      <c r="C80" s="2"/>
      <c r="D80" s="2"/>
      <c r="E80" s="2"/>
      <c r="F80" s="2" t="s">
        <v>1786</v>
      </c>
      <c r="G80" s="2"/>
      <c r="H80" s="2"/>
      <c r="I80" s="2" t="s">
        <v>1787</v>
      </c>
      <c r="J80" s="2" t="s">
        <v>607</v>
      </c>
      <c r="K80" s="2"/>
      <c r="L80" s="2"/>
      <c r="M80" s="2" t="s">
        <v>77</v>
      </c>
      <c r="N80" s="2" t="s">
        <v>78</v>
      </c>
      <c r="O80" s="2"/>
      <c r="P80" s="2"/>
      <c r="Q80" s="2"/>
      <c r="R80" s="2"/>
      <c r="S80" s="2"/>
      <c r="T80" s="2" t="s">
        <v>1788</v>
      </c>
      <c r="U80" s="2" t="s">
        <v>1789</v>
      </c>
      <c r="V80" s="2" t="s">
        <v>1790</v>
      </c>
      <c r="W80" s="2" t="s">
        <v>1791</v>
      </c>
      <c r="X80" s="2" t="s">
        <v>1792</v>
      </c>
      <c r="Y80" s="2" t="s">
        <v>1793</v>
      </c>
      <c r="Z80" s="2" t="s">
        <v>1794</v>
      </c>
      <c r="AA80" s="2"/>
      <c r="AB80" s="2" t="s">
        <v>1795</v>
      </c>
      <c r="AC80" s="2" t="s">
        <v>1796</v>
      </c>
      <c r="AD80" s="2" t="s">
        <v>1797</v>
      </c>
      <c r="AE80" s="2" t="s">
        <v>1798</v>
      </c>
      <c r="AF80" s="2"/>
      <c r="AG80" s="2" t="n">
        <v>60</v>
      </c>
      <c r="AH80" s="2" t="n">
        <v>0</v>
      </c>
      <c r="AI80" s="2" t="n">
        <v>0</v>
      </c>
      <c r="AJ80" s="2" t="n">
        <v>1</v>
      </c>
      <c r="AK80" s="2" t="n">
        <v>1</v>
      </c>
      <c r="AL80" s="2" t="s">
        <v>620</v>
      </c>
      <c r="AM80" s="2" t="s">
        <v>621</v>
      </c>
      <c r="AN80" s="2" t="s">
        <v>622</v>
      </c>
      <c r="AO80" s="2" t="s">
        <v>623</v>
      </c>
      <c r="AP80" s="2"/>
      <c r="AQ80" s="2"/>
      <c r="AR80" s="2" t="s">
        <v>624</v>
      </c>
      <c r="AS80" s="2" t="s">
        <v>625</v>
      </c>
      <c r="AT80" s="2" t="s">
        <v>1799</v>
      </c>
      <c r="AU80" s="2" t="n">
        <v>2024</v>
      </c>
      <c r="AV80" s="2" t="n">
        <v>15</v>
      </c>
      <c r="AW80" s="2"/>
      <c r="AX80" s="2"/>
      <c r="AY80" s="2"/>
      <c r="AZ80" s="2"/>
      <c r="BA80" s="2"/>
      <c r="BB80" s="2"/>
      <c r="BC80" s="2"/>
      <c r="BD80" s="2" t="n">
        <v>1364622</v>
      </c>
      <c r="BE80" s="2" t="s">
        <v>1800</v>
      </c>
      <c r="BF80" s="2" t="str">
        <f aca="false">HYPERLINK("http://dx.doi.org/10.3389/fimmu.2024.1364622","http://dx.doi.org/10.3389/fimmu.2024.1364622")</f>
        <v>http://dx.doi.org/10.3389/fimmu.2024.1364622</v>
      </c>
      <c r="BG80" s="2"/>
      <c r="BH80" s="2"/>
      <c r="BI80" s="2" t="n">
        <v>11</v>
      </c>
      <c r="BJ80" s="2" t="s">
        <v>628</v>
      </c>
      <c r="BK80" s="2" t="s">
        <v>100</v>
      </c>
      <c r="BL80" s="2" t="s">
        <v>628</v>
      </c>
      <c r="BM80" s="2" t="s">
        <v>1801</v>
      </c>
      <c r="BN80" s="2" t="n">
        <v>38933273</v>
      </c>
      <c r="BO80" s="2" t="s">
        <v>190</v>
      </c>
      <c r="BP80" s="2"/>
      <c r="BQ80" s="2"/>
      <c r="BR80" s="2" t="s">
        <v>104</v>
      </c>
      <c r="BS80" s="2" t="s">
        <v>1802</v>
      </c>
      <c r="BT80" s="2" t="str">
        <f aca="false">HYPERLINK("https%3A%2F%2Fwww.webofscience.com%2Fwos%2Fwoscc%2Ffull-record%2FWOS:001253604200001","View Full Record in Web of Science")</f>
        <v>View Full Record in Web of Science</v>
      </c>
    </row>
    <row r="81" customFormat="false" ht="12.75" hidden="false" customHeight="false" outlineLevel="0" collapsed="false">
      <c r="A81" s="2" t="s">
        <v>72</v>
      </c>
      <c r="B81" s="2" t="s">
        <v>1803</v>
      </c>
      <c r="C81" s="2"/>
      <c r="D81" s="2"/>
      <c r="E81" s="2"/>
      <c r="F81" s="2" t="s">
        <v>1804</v>
      </c>
      <c r="G81" s="2"/>
      <c r="H81" s="2"/>
      <c r="I81" s="2" t="s">
        <v>1805</v>
      </c>
      <c r="J81" s="2" t="s">
        <v>607</v>
      </c>
      <c r="K81" s="2"/>
      <c r="L81" s="2"/>
      <c r="M81" s="2" t="s">
        <v>77</v>
      </c>
      <c r="N81" s="2" t="s">
        <v>78</v>
      </c>
      <c r="O81" s="2"/>
      <c r="P81" s="2"/>
      <c r="Q81" s="2"/>
      <c r="R81" s="2"/>
      <c r="S81" s="2"/>
      <c r="T81" s="2" t="s">
        <v>1806</v>
      </c>
      <c r="U81" s="2" t="s">
        <v>1807</v>
      </c>
      <c r="V81" s="2" t="s">
        <v>1808</v>
      </c>
      <c r="W81" s="2" t="s">
        <v>1809</v>
      </c>
      <c r="X81" s="2" t="s">
        <v>1810</v>
      </c>
      <c r="Y81" s="2" t="s">
        <v>1811</v>
      </c>
      <c r="Z81" s="2" t="s">
        <v>1812</v>
      </c>
      <c r="AA81" s="2" t="s">
        <v>1813</v>
      </c>
      <c r="AB81" s="2" t="s">
        <v>1814</v>
      </c>
      <c r="AC81" s="2" t="s">
        <v>1815</v>
      </c>
      <c r="AD81" s="2" t="s">
        <v>1816</v>
      </c>
      <c r="AE81" s="2" t="s">
        <v>1817</v>
      </c>
      <c r="AF81" s="2"/>
      <c r="AG81" s="2" t="n">
        <v>44</v>
      </c>
      <c r="AH81" s="2" t="n">
        <v>12</v>
      </c>
      <c r="AI81" s="2" t="n">
        <v>15</v>
      </c>
      <c r="AJ81" s="2" t="n">
        <v>0</v>
      </c>
      <c r="AK81" s="2" t="n">
        <v>4</v>
      </c>
      <c r="AL81" s="2" t="s">
        <v>620</v>
      </c>
      <c r="AM81" s="2" t="s">
        <v>621</v>
      </c>
      <c r="AN81" s="2" t="s">
        <v>622</v>
      </c>
      <c r="AO81" s="2" t="s">
        <v>623</v>
      </c>
      <c r="AP81" s="2"/>
      <c r="AQ81" s="2"/>
      <c r="AR81" s="2" t="s">
        <v>624</v>
      </c>
      <c r="AS81" s="2" t="s">
        <v>625</v>
      </c>
      <c r="AT81" s="2" t="s">
        <v>1818</v>
      </c>
      <c r="AU81" s="2" t="n">
        <v>2017</v>
      </c>
      <c r="AV81" s="2" t="n">
        <v>8</v>
      </c>
      <c r="AW81" s="2"/>
      <c r="AX81" s="2"/>
      <c r="AY81" s="2"/>
      <c r="AZ81" s="2"/>
      <c r="BA81" s="2"/>
      <c r="BB81" s="2"/>
      <c r="BC81" s="2"/>
      <c r="BD81" s="2" t="n">
        <v>161</v>
      </c>
      <c r="BE81" s="2" t="s">
        <v>1819</v>
      </c>
      <c r="BF81" s="2" t="str">
        <f aca="false">HYPERLINK("http://dx.doi.org/10.3389/fimmu.2017.00161","http://dx.doi.org/10.3389/fimmu.2017.00161")</f>
        <v>http://dx.doi.org/10.3389/fimmu.2017.00161</v>
      </c>
      <c r="BG81" s="2"/>
      <c r="BH81" s="2"/>
      <c r="BI81" s="2" t="n">
        <v>10</v>
      </c>
      <c r="BJ81" s="2" t="s">
        <v>628</v>
      </c>
      <c r="BK81" s="2" t="s">
        <v>100</v>
      </c>
      <c r="BL81" s="2" t="s">
        <v>628</v>
      </c>
      <c r="BM81" s="2" t="s">
        <v>1820</v>
      </c>
      <c r="BN81" s="2" t="n">
        <v>28261217</v>
      </c>
      <c r="BO81" s="2" t="s">
        <v>103</v>
      </c>
      <c r="BP81" s="2"/>
      <c r="BQ81" s="2"/>
      <c r="BR81" s="2" t="s">
        <v>104</v>
      </c>
      <c r="BS81" s="2" t="s">
        <v>1821</v>
      </c>
      <c r="BT81" s="2" t="str">
        <f aca="false">HYPERLINK("https%3A%2F%2Fwww.webofscience.com%2Fwos%2Fwoscc%2Ffull-record%2FWOS:000394112800001","View Full Record in Web of Science")</f>
        <v>View Full Record in Web of Science</v>
      </c>
    </row>
    <row r="82" customFormat="false" ht="12.75" hidden="false" customHeight="false" outlineLevel="0" collapsed="false">
      <c r="A82" s="2" t="s">
        <v>72</v>
      </c>
      <c r="B82" s="2" t="s">
        <v>1822</v>
      </c>
      <c r="C82" s="2"/>
      <c r="D82" s="2"/>
      <c r="E82" s="2"/>
      <c r="F82" s="2" t="s">
        <v>1823</v>
      </c>
      <c r="G82" s="2"/>
      <c r="H82" s="2"/>
      <c r="I82" s="2" t="s">
        <v>1824</v>
      </c>
      <c r="J82" s="2" t="s">
        <v>1825</v>
      </c>
      <c r="K82" s="2"/>
      <c r="L82" s="2"/>
      <c r="M82" s="2" t="s">
        <v>77</v>
      </c>
      <c r="N82" s="2" t="s">
        <v>78</v>
      </c>
      <c r="O82" s="2"/>
      <c r="P82" s="2"/>
      <c r="Q82" s="2"/>
      <c r="R82" s="2"/>
      <c r="S82" s="2"/>
      <c r="T82" s="2" t="s">
        <v>1826</v>
      </c>
      <c r="U82" s="2" t="s">
        <v>1827</v>
      </c>
      <c r="V82" s="2" t="s">
        <v>1828</v>
      </c>
      <c r="W82" s="2" t="s">
        <v>1829</v>
      </c>
      <c r="X82" s="2" t="s">
        <v>1830</v>
      </c>
      <c r="Y82" s="2" t="s">
        <v>1831</v>
      </c>
      <c r="Z82" s="2" t="s">
        <v>1832</v>
      </c>
      <c r="AA82" s="2" t="s">
        <v>1833</v>
      </c>
      <c r="AB82" s="2" t="s">
        <v>1834</v>
      </c>
      <c r="AC82" s="2"/>
      <c r="AD82" s="2"/>
      <c r="AE82" s="2"/>
      <c r="AF82" s="2"/>
      <c r="AG82" s="2" t="n">
        <v>107</v>
      </c>
      <c r="AH82" s="2" t="n">
        <v>4</v>
      </c>
      <c r="AI82" s="2" t="n">
        <v>4</v>
      </c>
      <c r="AJ82" s="2" t="n">
        <v>2</v>
      </c>
      <c r="AK82" s="2" t="n">
        <v>9</v>
      </c>
      <c r="AL82" s="2" t="s">
        <v>91</v>
      </c>
      <c r="AM82" s="2" t="s">
        <v>92</v>
      </c>
      <c r="AN82" s="2" t="s">
        <v>93</v>
      </c>
      <c r="AO82" s="2" t="s">
        <v>1835</v>
      </c>
      <c r="AP82" s="2"/>
      <c r="AQ82" s="2"/>
      <c r="AR82" s="2" t="s">
        <v>1836</v>
      </c>
      <c r="AS82" s="2" t="s">
        <v>1837</v>
      </c>
      <c r="AT82" s="2" t="s">
        <v>446</v>
      </c>
      <c r="AU82" s="2" t="n">
        <v>2021</v>
      </c>
      <c r="AV82" s="2" t="n">
        <v>11</v>
      </c>
      <c r="AW82" s="2" t="n">
        <v>12</v>
      </c>
      <c r="AX82" s="2"/>
      <c r="AY82" s="2"/>
      <c r="AZ82" s="2"/>
      <c r="BA82" s="2"/>
      <c r="BB82" s="2"/>
      <c r="BC82" s="2"/>
      <c r="BD82" s="2" t="n">
        <v>3597</v>
      </c>
      <c r="BE82" s="2" t="s">
        <v>1838</v>
      </c>
      <c r="BF82" s="2" t="str">
        <f aca="false">HYPERLINK("http://dx.doi.org/10.3390/ani11123597","http://dx.doi.org/10.3390/ani11123597")</f>
        <v>http://dx.doi.org/10.3390/ani11123597</v>
      </c>
      <c r="BG82" s="2"/>
      <c r="BH82" s="2"/>
      <c r="BI82" s="2" t="n">
        <v>16</v>
      </c>
      <c r="BJ82" s="2" t="s">
        <v>1839</v>
      </c>
      <c r="BK82" s="2" t="s">
        <v>100</v>
      </c>
      <c r="BL82" s="2" t="s">
        <v>1840</v>
      </c>
      <c r="BM82" s="2" t="s">
        <v>1841</v>
      </c>
      <c r="BN82" s="2" t="n">
        <v>34944372</v>
      </c>
      <c r="BO82" s="2" t="s">
        <v>103</v>
      </c>
      <c r="BP82" s="2"/>
      <c r="BQ82" s="2"/>
      <c r="BR82" s="2" t="s">
        <v>104</v>
      </c>
      <c r="BS82" s="2" t="s">
        <v>1842</v>
      </c>
      <c r="BT82" s="2" t="str">
        <f aca="false">HYPERLINK("https%3A%2F%2Fwww.webofscience.com%2Fwos%2Fwoscc%2Ffull-record%2FWOS:000735354900001","View Full Record in Web of Science")</f>
        <v>View Full Record in Web of Science</v>
      </c>
    </row>
    <row r="83" customFormat="false" ht="12.75" hidden="false" customHeight="false" outlineLevel="0" collapsed="false">
      <c r="A83" s="2" t="s">
        <v>72</v>
      </c>
      <c r="B83" s="2" t="s">
        <v>1843</v>
      </c>
      <c r="C83" s="2"/>
      <c r="D83" s="2"/>
      <c r="E83" s="2"/>
      <c r="F83" s="2" t="s">
        <v>1844</v>
      </c>
      <c r="G83" s="2"/>
      <c r="H83" s="2"/>
      <c r="I83" s="2" t="s">
        <v>1845</v>
      </c>
      <c r="J83" s="2" t="s">
        <v>514</v>
      </c>
      <c r="K83" s="2"/>
      <c r="L83" s="2"/>
      <c r="M83" s="2" t="s">
        <v>77</v>
      </c>
      <c r="N83" s="2" t="s">
        <v>78</v>
      </c>
      <c r="O83" s="2"/>
      <c r="P83" s="2"/>
      <c r="Q83" s="2"/>
      <c r="R83" s="2"/>
      <c r="S83" s="2"/>
      <c r="T83" s="2" t="s">
        <v>1846</v>
      </c>
      <c r="U83" s="2" t="s">
        <v>1847</v>
      </c>
      <c r="V83" s="2" t="s">
        <v>1848</v>
      </c>
      <c r="W83" s="2" t="s">
        <v>1849</v>
      </c>
      <c r="X83" s="2" t="s">
        <v>1850</v>
      </c>
      <c r="Y83" s="2" t="s">
        <v>1851</v>
      </c>
      <c r="Z83" s="2" t="s">
        <v>1852</v>
      </c>
      <c r="AA83" s="2" t="s">
        <v>1853</v>
      </c>
      <c r="AB83" s="2" t="s">
        <v>1854</v>
      </c>
      <c r="AC83" s="2"/>
      <c r="AD83" s="2"/>
      <c r="AE83" s="2"/>
      <c r="AF83" s="2"/>
      <c r="AG83" s="2" t="n">
        <v>41</v>
      </c>
      <c r="AH83" s="2" t="n">
        <v>55</v>
      </c>
      <c r="AI83" s="2" t="n">
        <v>59</v>
      </c>
      <c r="AJ83" s="2" t="n">
        <v>0</v>
      </c>
      <c r="AK83" s="2" t="n">
        <v>2</v>
      </c>
      <c r="AL83" s="2" t="s">
        <v>527</v>
      </c>
      <c r="AM83" s="2" t="s">
        <v>528</v>
      </c>
      <c r="AN83" s="2" t="s">
        <v>529</v>
      </c>
      <c r="AO83" s="2" t="s">
        <v>530</v>
      </c>
      <c r="AP83" s="2" t="s">
        <v>531</v>
      </c>
      <c r="AQ83" s="2"/>
      <c r="AR83" s="2" t="s">
        <v>532</v>
      </c>
      <c r="AS83" s="2" t="s">
        <v>533</v>
      </c>
      <c r="AT83" s="2" t="s">
        <v>1855</v>
      </c>
      <c r="AU83" s="2" t="n">
        <v>2021</v>
      </c>
      <c r="AV83" s="2" t="n">
        <v>224</v>
      </c>
      <c r="AW83" s="2" t="n">
        <v>11</v>
      </c>
      <c r="AX83" s="2"/>
      <c r="AY83" s="2"/>
      <c r="AZ83" s="2"/>
      <c r="BA83" s="2"/>
      <c r="BB83" s="2" t="n">
        <v>1900</v>
      </c>
      <c r="BC83" s="2" t="n">
        <v>1906</v>
      </c>
      <c r="BD83" s="2"/>
      <c r="BE83" s="2" t="s">
        <v>1856</v>
      </c>
      <c r="BF83" s="2" t="str">
        <f aca="false">HYPERLINK("http://dx.doi.org/10.1093/infdis/jiab231","http://dx.doi.org/10.1093/infdis/jiab231")</f>
        <v>http://dx.doi.org/10.1093/infdis/jiab231</v>
      </c>
      <c r="BG83" s="2"/>
      <c r="BH83" s="2" t="s">
        <v>1857</v>
      </c>
      <c r="BI83" s="2" t="n">
        <v>7</v>
      </c>
      <c r="BJ83" s="2" t="s">
        <v>536</v>
      </c>
      <c r="BK83" s="2" t="s">
        <v>100</v>
      </c>
      <c r="BL83" s="2" t="s">
        <v>536</v>
      </c>
      <c r="BM83" s="2" t="s">
        <v>1858</v>
      </c>
      <c r="BN83" s="2" t="n">
        <v>34009376</v>
      </c>
      <c r="BO83" s="2" t="s">
        <v>284</v>
      </c>
      <c r="BP83" s="2"/>
      <c r="BQ83" s="2"/>
      <c r="BR83" s="2" t="s">
        <v>104</v>
      </c>
      <c r="BS83" s="2" t="s">
        <v>1859</v>
      </c>
      <c r="BT83" s="2" t="str">
        <f aca="false">HYPERLINK("https%3A%2F%2Fwww.webofscience.com%2Fwos%2Fwoscc%2Ffull-record%2FWOS:000730267700010","View Full Record in Web of Science")</f>
        <v>View Full Record in Web of Science</v>
      </c>
    </row>
    <row r="84" customFormat="false" ht="12.75" hidden="false" customHeight="false" outlineLevel="0" collapsed="false">
      <c r="A84" s="2" t="s">
        <v>72</v>
      </c>
      <c r="B84" s="2" t="s">
        <v>1860</v>
      </c>
      <c r="C84" s="2"/>
      <c r="D84" s="2"/>
      <c r="E84" s="2"/>
      <c r="F84" s="2" t="s">
        <v>1861</v>
      </c>
      <c r="G84" s="2"/>
      <c r="H84" s="2"/>
      <c r="I84" s="2" t="s">
        <v>1862</v>
      </c>
      <c r="J84" s="2" t="s">
        <v>1863</v>
      </c>
      <c r="K84" s="2"/>
      <c r="L84" s="2"/>
      <c r="M84" s="2" t="s">
        <v>77</v>
      </c>
      <c r="N84" s="2" t="s">
        <v>78</v>
      </c>
      <c r="O84" s="2"/>
      <c r="P84" s="2"/>
      <c r="Q84" s="2"/>
      <c r="R84" s="2"/>
      <c r="S84" s="2"/>
      <c r="T84" s="2" t="s">
        <v>1864</v>
      </c>
      <c r="U84" s="2" t="s">
        <v>1865</v>
      </c>
      <c r="V84" s="2" t="s">
        <v>1866</v>
      </c>
      <c r="W84" s="2" t="s">
        <v>1867</v>
      </c>
      <c r="X84" s="2" t="s">
        <v>1868</v>
      </c>
      <c r="Y84" s="2" t="s">
        <v>1869</v>
      </c>
      <c r="Z84" s="2" t="s">
        <v>1870</v>
      </c>
      <c r="AA84" s="2" t="s">
        <v>1871</v>
      </c>
      <c r="AB84" s="2" t="s">
        <v>1872</v>
      </c>
      <c r="AC84" s="2" t="s">
        <v>1873</v>
      </c>
      <c r="AD84" s="2" t="s">
        <v>1874</v>
      </c>
      <c r="AE84" s="2" t="s">
        <v>1875</v>
      </c>
      <c r="AF84" s="2"/>
      <c r="AG84" s="2" t="n">
        <v>18</v>
      </c>
      <c r="AH84" s="2" t="n">
        <v>9</v>
      </c>
      <c r="AI84" s="2" t="n">
        <v>11</v>
      </c>
      <c r="AJ84" s="2" t="n">
        <v>0</v>
      </c>
      <c r="AK84" s="2" t="n">
        <v>1</v>
      </c>
      <c r="AL84" s="2" t="s">
        <v>302</v>
      </c>
      <c r="AM84" s="2" t="s">
        <v>303</v>
      </c>
      <c r="AN84" s="2" t="s">
        <v>304</v>
      </c>
      <c r="AO84" s="2"/>
      <c r="AP84" s="2" t="s">
        <v>1876</v>
      </c>
      <c r="AQ84" s="2"/>
      <c r="AR84" s="2" t="s">
        <v>1877</v>
      </c>
      <c r="AS84" s="2" t="s">
        <v>1878</v>
      </c>
      <c r="AT84" s="2" t="s">
        <v>1879</v>
      </c>
      <c r="AU84" s="2" t="n">
        <v>2012</v>
      </c>
      <c r="AV84" s="2" t="n">
        <v>9</v>
      </c>
      <c r="AW84" s="2"/>
      <c r="AX84" s="2"/>
      <c r="AY84" s="2"/>
      <c r="AZ84" s="2"/>
      <c r="BA84" s="2"/>
      <c r="BB84" s="2"/>
      <c r="BC84" s="2"/>
      <c r="BD84" s="2" t="n">
        <v>105</v>
      </c>
      <c r="BE84" s="2" t="s">
        <v>1880</v>
      </c>
      <c r="BF84" s="2" t="str">
        <f aca="false">HYPERLINK("http://dx.doi.org/10.1186/1743-422X-9-105","http://dx.doi.org/10.1186/1743-422X-9-105")</f>
        <v>http://dx.doi.org/10.1186/1743-422X-9-105</v>
      </c>
      <c r="BG84" s="2"/>
      <c r="BH84" s="2"/>
      <c r="BI84" s="2" t="n">
        <v>5</v>
      </c>
      <c r="BJ84" s="2" t="s">
        <v>163</v>
      </c>
      <c r="BK84" s="2" t="s">
        <v>100</v>
      </c>
      <c r="BL84" s="2" t="s">
        <v>163</v>
      </c>
      <c r="BM84" s="2" t="s">
        <v>1881</v>
      </c>
      <c r="BN84" s="2" t="n">
        <v>22676157</v>
      </c>
      <c r="BO84" s="2" t="s">
        <v>103</v>
      </c>
      <c r="BP84" s="2"/>
      <c r="BQ84" s="2"/>
      <c r="BR84" s="2" t="s">
        <v>104</v>
      </c>
      <c r="BS84" s="2" t="s">
        <v>1882</v>
      </c>
      <c r="BT84" s="2" t="str">
        <f aca="false">HYPERLINK("https%3A%2F%2Fwww.webofscience.com%2Fwos%2Fwoscc%2Ffull-record%2FWOS:000306401200001","View Full Record in Web of Science")</f>
        <v>View Full Record in Web of Science</v>
      </c>
    </row>
    <row r="85" customFormat="false" ht="12.75" hidden="false" customHeight="false" outlineLevel="0" collapsed="false">
      <c r="A85" s="2" t="s">
        <v>72</v>
      </c>
      <c r="B85" s="2" t="s">
        <v>1883</v>
      </c>
      <c r="C85" s="2"/>
      <c r="D85" s="2"/>
      <c r="E85" s="2"/>
      <c r="F85" s="2" t="s">
        <v>1884</v>
      </c>
      <c r="G85" s="2"/>
      <c r="H85" s="2"/>
      <c r="I85" s="2" t="s">
        <v>1885</v>
      </c>
      <c r="J85" s="2" t="s">
        <v>1886</v>
      </c>
      <c r="K85" s="2"/>
      <c r="L85" s="2"/>
      <c r="M85" s="2" t="s">
        <v>77</v>
      </c>
      <c r="N85" s="2" t="s">
        <v>78</v>
      </c>
      <c r="O85" s="2"/>
      <c r="P85" s="2"/>
      <c r="Q85" s="2"/>
      <c r="R85" s="2"/>
      <c r="S85" s="2"/>
      <c r="T85" s="2" t="s">
        <v>1887</v>
      </c>
      <c r="U85" s="2" t="s">
        <v>1888</v>
      </c>
      <c r="V85" s="2" t="s">
        <v>1889</v>
      </c>
      <c r="W85" s="2" t="s">
        <v>1890</v>
      </c>
      <c r="X85" s="2" t="s">
        <v>1891</v>
      </c>
      <c r="Y85" s="2" t="s">
        <v>1892</v>
      </c>
      <c r="Z85" s="2" t="s">
        <v>1893</v>
      </c>
      <c r="AA85" s="2" t="s">
        <v>1894</v>
      </c>
      <c r="AB85" s="2" t="s">
        <v>1895</v>
      </c>
      <c r="AC85" s="2"/>
      <c r="AD85" s="2"/>
      <c r="AE85" s="2"/>
      <c r="AF85" s="2"/>
      <c r="AG85" s="2" t="n">
        <v>29</v>
      </c>
      <c r="AH85" s="2" t="n">
        <v>5</v>
      </c>
      <c r="AI85" s="2" t="n">
        <v>7</v>
      </c>
      <c r="AJ85" s="2" t="n">
        <v>0</v>
      </c>
      <c r="AK85" s="2" t="n">
        <v>1</v>
      </c>
      <c r="AL85" s="2" t="s">
        <v>1896</v>
      </c>
      <c r="AM85" s="2" t="s">
        <v>92</v>
      </c>
      <c r="AN85" s="2" t="s">
        <v>1897</v>
      </c>
      <c r="AO85" s="2" t="s">
        <v>1898</v>
      </c>
      <c r="AP85" s="2" t="s">
        <v>1899</v>
      </c>
      <c r="AQ85" s="2"/>
      <c r="AR85" s="2" t="s">
        <v>1886</v>
      </c>
      <c r="AS85" s="2" t="s">
        <v>1900</v>
      </c>
      <c r="AT85" s="2"/>
      <c r="AU85" s="2" t="n">
        <v>2018</v>
      </c>
      <c r="AV85" s="2" t="n">
        <v>61</v>
      </c>
      <c r="AW85" s="2" t="n">
        <v>3</v>
      </c>
      <c r="AX85" s="2"/>
      <c r="AY85" s="2"/>
      <c r="AZ85" s="2"/>
      <c r="BA85" s="2"/>
      <c r="BB85" s="2" t="n">
        <v>149</v>
      </c>
      <c r="BC85" s="2" t="n">
        <v>154</v>
      </c>
      <c r="BD85" s="2"/>
      <c r="BE85" s="2" t="s">
        <v>1901</v>
      </c>
      <c r="BF85" s="2" t="str">
        <f aca="false">HYPERLINK("http://dx.doi.org/10.1159/000491927","http://dx.doi.org/10.1159/000491927")</f>
        <v>http://dx.doi.org/10.1159/000491927</v>
      </c>
      <c r="BG85" s="2"/>
      <c r="BH85" s="2"/>
      <c r="BI85" s="2" t="n">
        <v>6</v>
      </c>
      <c r="BJ85" s="2" t="s">
        <v>163</v>
      </c>
      <c r="BK85" s="2" t="s">
        <v>100</v>
      </c>
      <c r="BL85" s="2" t="s">
        <v>163</v>
      </c>
      <c r="BM85" s="2" t="s">
        <v>1902</v>
      </c>
      <c r="BN85" s="2" t="n">
        <v>30145592</v>
      </c>
      <c r="BO85" s="2" t="s">
        <v>1903</v>
      </c>
      <c r="BP85" s="2"/>
      <c r="BQ85" s="2"/>
      <c r="BR85" s="2" t="s">
        <v>104</v>
      </c>
      <c r="BS85" s="2" t="s">
        <v>1904</v>
      </c>
      <c r="BT85" s="2" t="str">
        <f aca="false">HYPERLINK("https%3A%2F%2Fwww.webofscience.com%2Fwos%2Fwoscc%2Ffull-record%2FWOS:000451060000006","View Full Record in Web of Science")</f>
        <v>View Full Record in Web of Science</v>
      </c>
    </row>
    <row r="86" customFormat="false" ht="12.75" hidden="false" customHeight="false" outlineLevel="0" collapsed="false">
      <c r="A86" s="2" t="s">
        <v>72</v>
      </c>
      <c r="B86" s="2" t="s">
        <v>1905</v>
      </c>
      <c r="C86" s="2"/>
      <c r="D86" s="2"/>
      <c r="E86" s="2"/>
      <c r="F86" s="2" t="s">
        <v>1906</v>
      </c>
      <c r="G86" s="2"/>
      <c r="H86" s="2"/>
      <c r="I86" s="2" t="s">
        <v>1907</v>
      </c>
      <c r="J86" s="2" t="s">
        <v>370</v>
      </c>
      <c r="K86" s="2"/>
      <c r="L86" s="2"/>
      <c r="M86" s="2" t="s">
        <v>77</v>
      </c>
      <c r="N86" s="2" t="s">
        <v>78</v>
      </c>
      <c r="O86" s="2"/>
      <c r="P86" s="2"/>
      <c r="Q86" s="2"/>
      <c r="R86" s="2"/>
      <c r="S86" s="2"/>
      <c r="T86" s="2" t="s">
        <v>1908</v>
      </c>
      <c r="U86" s="2" t="s">
        <v>1909</v>
      </c>
      <c r="V86" s="2" t="s">
        <v>1910</v>
      </c>
      <c r="W86" s="2" t="s">
        <v>1911</v>
      </c>
      <c r="X86" s="2" t="s">
        <v>1912</v>
      </c>
      <c r="Y86" s="2" t="s">
        <v>1913</v>
      </c>
      <c r="Z86" s="2" t="s">
        <v>1914</v>
      </c>
      <c r="AA86" s="2"/>
      <c r="AB86" s="2"/>
      <c r="AC86" s="2" t="s">
        <v>1915</v>
      </c>
      <c r="AD86" s="2" t="s">
        <v>1916</v>
      </c>
      <c r="AE86" s="2" t="s">
        <v>1917</v>
      </c>
      <c r="AF86" s="2"/>
      <c r="AG86" s="2" t="n">
        <v>41</v>
      </c>
      <c r="AH86" s="2" t="n">
        <v>32</v>
      </c>
      <c r="AI86" s="2" t="n">
        <v>33</v>
      </c>
      <c r="AJ86" s="2" t="n">
        <v>3</v>
      </c>
      <c r="AK86" s="2" t="n">
        <v>8</v>
      </c>
      <c r="AL86" s="2" t="s">
        <v>383</v>
      </c>
      <c r="AM86" s="2" t="s">
        <v>384</v>
      </c>
      <c r="AN86" s="2" t="s">
        <v>385</v>
      </c>
      <c r="AO86" s="2" t="s">
        <v>386</v>
      </c>
      <c r="AP86" s="2" t="s">
        <v>387</v>
      </c>
      <c r="AQ86" s="2"/>
      <c r="AR86" s="2" t="s">
        <v>388</v>
      </c>
      <c r="AS86" s="2" t="s">
        <v>389</v>
      </c>
      <c r="AT86" s="2" t="s">
        <v>692</v>
      </c>
      <c r="AU86" s="2" t="n">
        <v>2023</v>
      </c>
      <c r="AV86" s="2" t="n">
        <v>161</v>
      </c>
      <c r="AW86" s="2"/>
      <c r="AX86" s="2"/>
      <c r="AY86" s="2"/>
      <c r="AZ86" s="2"/>
      <c r="BA86" s="2"/>
      <c r="BB86" s="2"/>
      <c r="BC86" s="2"/>
      <c r="BD86" s="2" t="n">
        <v>105399</v>
      </c>
      <c r="BE86" s="2" t="s">
        <v>1918</v>
      </c>
      <c r="BF86" s="2" t="str">
        <f aca="false">HYPERLINK("http://dx.doi.org/10.1016/j.jcv.2023.105399","http://dx.doi.org/10.1016/j.jcv.2023.105399")</f>
        <v>http://dx.doi.org/10.1016/j.jcv.2023.105399</v>
      </c>
      <c r="BG86" s="2"/>
      <c r="BH86" s="2" t="s">
        <v>1919</v>
      </c>
      <c r="BI86" s="2" t="n">
        <v>7</v>
      </c>
      <c r="BJ86" s="2" t="s">
        <v>163</v>
      </c>
      <c r="BK86" s="2" t="s">
        <v>100</v>
      </c>
      <c r="BL86" s="2" t="s">
        <v>163</v>
      </c>
      <c r="BM86" s="2" t="s">
        <v>1920</v>
      </c>
      <c r="BN86" s="2" t="n">
        <v>36863135</v>
      </c>
      <c r="BO86" s="2" t="s">
        <v>165</v>
      </c>
      <c r="BP86" s="2" t="s">
        <v>1921</v>
      </c>
      <c r="BQ86" s="2" t="s">
        <v>1922</v>
      </c>
      <c r="BR86" s="2" t="s">
        <v>104</v>
      </c>
      <c r="BS86" s="2" t="s">
        <v>1923</v>
      </c>
      <c r="BT86" s="2" t="str">
        <f aca="false">HYPERLINK("https%3A%2F%2Fwww.webofscience.com%2Fwos%2Fwoscc%2Ffull-record%2FWOS:000948930200001","View Full Record in Web of Science")</f>
        <v>View Full Record in Web of Science</v>
      </c>
    </row>
    <row r="87" customFormat="false" ht="12.75" hidden="false" customHeight="false" outlineLevel="0" collapsed="false">
      <c r="A87" s="2" t="s">
        <v>72</v>
      </c>
      <c r="B87" s="2" t="s">
        <v>1924</v>
      </c>
      <c r="C87" s="2"/>
      <c r="D87" s="2"/>
      <c r="E87" s="2"/>
      <c r="F87" s="2" t="s">
        <v>1925</v>
      </c>
      <c r="G87" s="2"/>
      <c r="H87" s="2"/>
      <c r="I87" s="2" t="s">
        <v>1926</v>
      </c>
      <c r="J87" s="2" t="s">
        <v>453</v>
      </c>
      <c r="K87" s="2"/>
      <c r="L87" s="2"/>
      <c r="M87" s="2" t="s">
        <v>77</v>
      </c>
      <c r="N87" s="2" t="s">
        <v>78</v>
      </c>
      <c r="O87" s="2"/>
      <c r="P87" s="2"/>
      <c r="Q87" s="2"/>
      <c r="R87" s="2"/>
      <c r="S87" s="2"/>
      <c r="T87" s="2" t="s">
        <v>1927</v>
      </c>
      <c r="U87" s="2" t="s">
        <v>1928</v>
      </c>
      <c r="V87" s="2" t="s">
        <v>1929</v>
      </c>
      <c r="W87" s="2" t="s">
        <v>1930</v>
      </c>
      <c r="X87" s="2" t="s">
        <v>1931</v>
      </c>
      <c r="Y87" s="2" t="s">
        <v>1932</v>
      </c>
      <c r="Z87" s="2" t="s">
        <v>1933</v>
      </c>
      <c r="AA87" s="2" t="s">
        <v>1934</v>
      </c>
      <c r="AB87" s="2" t="s">
        <v>1935</v>
      </c>
      <c r="AC87" s="2"/>
      <c r="AD87" s="2"/>
      <c r="AE87" s="2"/>
      <c r="AF87" s="2"/>
      <c r="AG87" s="2" t="n">
        <v>30</v>
      </c>
      <c r="AH87" s="2" t="n">
        <v>19</v>
      </c>
      <c r="AI87" s="2" t="n">
        <v>21</v>
      </c>
      <c r="AJ87" s="2" t="n">
        <v>1</v>
      </c>
      <c r="AK87" s="2" t="n">
        <v>6</v>
      </c>
      <c r="AL87" s="2" t="s">
        <v>466</v>
      </c>
      <c r="AM87" s="2" t="s">
        <v>303</v>
      </c>
      <c r="AN87" s="2" t="s">
        <v>467</v>
      </c>
      <c r="AO87" s="2" t="s">
        <v>468</v>
      </c>
      <c r="AP87" s="2"/>
      <c r="AQ87" s="2"/>
      <c r="AR87" s="2" t="s">
        <v>469</v>
      </c>
      <c r="AS87" s="2" t="s">
        <v>470</v>
      </c>
      <c r="AT87" s="2" t="s">
        <v>1936</v>
      </c>
      <c r="AU87" s="2" t="n">
        <v>2019</v>
      </c>
      <c r="AV87" s="2" t="n">
        <v>9</v>
      </c>
      <c r="AW87" s="2"/>
      <c r="AX87" s="2"/>
      <c r="AY87" s="2"/>
      <c r="AZ87" s="2"/>
      <c r="BA87" s="2"/>
      <c r="BB87" s="2"/>
      <c r="BC87" s="2"/>
      <c r="BD87" s="2" t="n">
        <v>86</v>
      </c>
      <c r="BE87" s="2" t="s">
        <v>1937</v>
      </c>
      <c r="BF87" s="2" t="str">
        <f aca="false">HYPERLINK("http://dx.doi.org/10.1186/s13613-019-0559-y","http://dx.doi.org/10.1186/s13613-019-0559-y")</f>
        <v>http://dx.doi.org/10.1186/s13613-019-0559-y</v>
      </c>
      <c r="BG87" s="2"/>
      <c r="BH87" s="2"/>
      <c r="BI87" s="2" t="n">
        <v>6</v>
      </c>
      <c r="BJ87" s="2" t="s">
        <v>473</v>
      </c>
      <c r="BK87" s="2" t="s">
        <v>100</v>
      </c>
      <c r="BL87" s="2" t="s">
        <v>364</v>
      </c>
      <c r="BM87" s="2" t="s">
        <v>1938</v>
      </c>
      <c r="BN87" s="2" t="n">
        <v>31342206</v>
      </c>
      <c r="BO87" s="2" t="s">
        <v>103</v>
      </c>
      <c r="BP87" s="2"/>
      <c r="BQ87" s="2"/>
      <c r="BR87" s="2" t="s">
        <v>104</v>
      </c>
      <c r="BS87" s="2" t="s">
        <v>1939</v>
      </c>
      <c r="BT87" s="2" t="str">
        <f aca="false">HYPERLINK("https%3A%2F%2Fwww.webofscience.com%2Fwos%2Fwoscc%2Ffull-record%2FWOS:000477012700002","View Full Record in Web of Science")</f>
        <v>View Full Record in Web of Science</v>
      </c>
    </row>
    <row r="88" customFormat="false" ht="12.75" hidden="false" customHeight="false" outlineLevel="0" collapsed="false">
      <c r="A88" s="2" t="s">
        <v>72</v>
      </c>
      <c r="B88" s="2" t="s">
        <v>1940</v>
      </c>
      <c r="C88" s="2"/>
      <c r="D88" s="2"/>
      <c r="E88" s="2"/>
      <c r="F88" s="2" t="s">
        <v>1941</v>
      </c>
      <c r="G88" s="2"/>
      <c r="H88" s="2"/>
      <c r="I88" s="2" t="s">
        <v>1942</v>
      </c>
      <c r="J88" s="2" t="s">
        <v>109</v>
      </c>
      <c r="K88" s="2"/>
      <c r="L88" s="2"/>
      <c r="M88" s="2" t="s">
        <v>77</v>
      </c>
      <c r="N88" s="2" t="s">
        <v>78</v>
      </c>
      <c r="O88" s="2"/>
      <c r="P88" s="2"/>
      <c r="Q88" s="2"/>
      <c r="R88" s="2"/>
      <c r="S88" s="2"/>
      <c r="T88" s="2" t="s">
        <v>1943</v>
      </c>
      <c r="U88" s="2" t="s">
        <v>1944</v>
      </c>
      <c r="V88" s="2" t="s">
        <v>1945</v>
      </c>
      <c r="W88" s="2" t="s">
        <v>1946</v>
      </c>
      <c r="X88" s="2" t="s">
        <v>1947</v>
      </c>
      <c r="Y88" s="2" t="s">
        <v>1948</v>
      </c>
      <c r="Z88" s="2" t="s">
        <v>1949</v>
      </c>
      <c r="AA88" s="2" t="s">
        <v>1950</v>
      </c>
      <c r="AB88" s="2" t="s">
        <v>1951</v>
      </c>
      <c r="AC88" s="2"/>
      <c r="AD88" s="2"/>
      <c r="AE88" s="2"/>
      <c r="AF88" s="2"/>
      <c r="AG88" s="2" t="n">
        <v>39</v>
      </c>
      <c r="AH88" s="2" t="n">
        <v>186</v>
      </c>
      <c r="AI88" s="2" t="n">
        <v>208</v>
      </c>
      <c r="AJ88" s="2" t="n">
        <v>1</v>
      </c>
      <c r="AK88" s="2" t="n">
        <v>10</v>
      </c>
      <c r="AL88" s="2" t="s">
        <v>122</v>
      </c>
      <c r="AM88" s="2" t="s">
        <v>123</v>
      </c>
      <c r="AN88" s="2" t="s">
        <v>124</v>
      </c>
      <c r="AO88" s="2" t="s">
        <v>125</v>
      </c>
      <c r="AP88" s="2" t="s">
        <v>126</v>
      </c>
      <c r="AQ88" s="2"/>
      <c r="AR88" s="2" t="s">
        <v>127</v>
      </c>
      <c r="AS88" s="2" t="s">
        <v>128</v>
      </c>
      <c r="AT88" s="2" t="s">
        <v>97</v>
      </c>
      <c r="AU88" s="2" t="n">
        <v>2008</v>
      </c>
      <c r="AV88" s="2" t="n">
        <v>27</v>
      </c>
      <c r="AW88" s="2" t="n">
        <v>3</v>
      </c>
      <c r="AX88" s="2"/>
      <c r="AY88" s="2"/>
      <c r="AZ88" s="2"/>
      <c r="BA88" s="2"/>
      <c r="BB88" s="2" t="n">
        <v>213</v>
      </c>
      <c r="BC88" s="2" t="n">
        <v>217</v>
      </c>
      <c r="BD88" s="2"/>
      <c r="BE88" s="2" t="s">
        <v>1952</v>
      </c>
      <c r="BF88" s="2" t="str">
        <f aca="false">HYPERLINK("http://dx.doi.org/10.1097/INF.0b013e31815b4935","http://dx.doi.org/10.1097/INF.0b013e31815b4935")</f>
        <v>http://dx.doi.org/10.1097/INF.0b013e31815b4935</v>
      </c>
      <c r="BG88" s="2"/>
      <c r="BH88" s="2"/>
      <c r="BI88" s="2" t="n">
        <v>5</v>
      </c>
      <c r="BJ88" s="2" t="s">
        <v>134</v>
      </c>
      <c r="BK88" s="2" t="s">
        <v>100</v>
      </c>
      <c r="BL88" s="2" t="s">
        <v>134</v>
      </c>
      <c r="BM88" s="2" t="s">
        <v>1953</v>
      </c>
      <c r="BN88" s="2" t="n">
        <v>18277932</v>
      </c>
      <c r="BO88" s="2"/>
      <c r="BP88" s="2"/>
      <c r="BQ88" s="2"/>
      <c r="BR88" s="2" t="s">
        <v>104</v>
      </c>
      <c r="BS88" s="2" t="s">
        <v>1954</v>
      </c>
      <c r="BT88" s="2" t="str">
        <f aca="false">HYPERLINK("https%3A%2F%2Fwww.webofscience.com%2Fwos%2Fwoscc%2Ffull-record%2FWOS:000253661500004","View Full Record in Web of Science")</f>
        <v>View Full Record in Web of Science</v>
      </c>
    </row>
    <row r="89" customFormat="false" ht="12.75" hidden="false" customHeight="false" outlineLevel="0" collapsed="false">
      <c r="A89" s="2" t="s">
        <v>72</v>
      </c>
      <c r="B89" s="2" t="s">
        <v>1955</v>
      </c>
      <c r="C89" s="2"/>
      <c r="D89" s="2"/>
      <c r="E89" s="2"/>
      <c r="F89" s="2" t="s">
        <v>1956</v>
      </c>
      <c r="G89" s="2"/>
      <c r="H89" s="2"/>
      <c r="I89" s="2" t="s">
        <v>1957</v>
      </c>
      <c r="J89" s="2" t="s">
        <v>1958</v>
      </c>
      <c r="K89" s="2"/>
      <c r="L89" s="2"/>
      <c r="M89" s="2" t="s">
        <v>77</v>
      </c>
      <c r="N89" s="2" t="s">
        <v>78</v>
      </c>
      <c r="O89" s="2"/>
      <c r="P89" s="2"/>
      <c r="Q89" s="2"/>
      <c r="R89" s="2"/>
      <c r="S89" s="2"/>
      <c r="T89" s="2" t="s">
        <v>1959</v>
      </c>
      <c r="U89" s="2" t="s">
        <v>1960</v>
      </c>
      <c r="V89" s="2" t="s">
        <v>1961</v>
      </c>
      <c r="W89" s="2" t="s">
        <v>1962</v>
      </c>
      <c r="X89" s="2" t="s">
        <v>1963</v>
      </c>
      <c r="Y89" s="2" t="s">
        <v>1964</v>
      </c>
      <c r="Z89" s="2" t="s">
        <v>1965</v>
      </c>
      <c r="AA89" s="2" t="s">
        <v>1966</v>
      </c>
      <c r="AB89" s="2" t="s">
        <v>1967</v>
      </c>
      <c r="AC89" s="2" t="s">
        <v>1968</v>
      </c>
      <c r="AD89" s="2" t="s">
        <v>1969</v>
      </c>
      <c r="AE89" s="2" t="s">
        <v>1970</v>
      </c>
      <c r="AF89" s="2"/>
      <c r="AG89" s="2" t="n">
        <v>24</v>
      </c>
      <c r="AH89" s="2" t="n">
        <v>12</v>
      </c>
      <c r="AI89" s="2" t="n">
        <v>12</v>
      </c>
      <c r="AJ89" s="2" t="n">
        <v>1</v>
      </c>
      <c r="AK89" s="2" t="n">
        <v>2</v>
      </c>
      <c r="AL89" s="2" t="s">
        <v>1565</v>
      </c>
      <c r="AM89" s="2" t="s">
        <v>1566</v>
      </c>
      <c r="AN89" s="2" t="s">
        <v>1567</v>
      </c>
      <c r="AO89" s="2" t="s">
        <v>1971</v>
      </c>
      <c r="AP89" s="2" t="s">
        <v>1972</v>
      </c>
      <c r="AQ89" s="2"/>
      <c r="AR89" s="2" t="s">
        <v>1973</v>
      </c>
      <c r="AS89" s="2" t="s">
        <v>1974</v>
      </c>
      <c r="AT89" s="2" t="s">
        <v>390</v>
      </c>
      <c r="AU89" s="2" t="n">
        <v>2019</v>
      </c>
      <c r="AV89" s="2" t="n">
        <v>56</v>
      </c>
      <c r="AW89" s="2"/>
      <c r="AX89" s="2"/>
      <c r="AY89" s="2"/>
      <c r="AZ89" s="2"/>
      <c r="BA89" s="2"/>
      <c r="BB89" s="2"/>
      <c r="BC89" s="2"/>
      <c r="BD89" s="2" t="n">
        <v>46958019850731</v>
      </c>
      <c r="BE89" s="2" t="s">
        <v>1975</v>
      </c>
      <c r="BF89" s="2" t="str">
        <f aca="false">HYPERLINK("http://dx.doi.org/10.1177/0046958019850731","http://dx.doi.org/10.1177/0046958019850731")</f>
        <v>http://dx.doi.org/10.1177/0046958019850731</v>
      </c>
      <c r="BG89" s="2"/>
      <c r="BH89" s="2"/>
      <c r="BI89" s="2" t="n">
        <v>7</v>
      </c>
      <c r="BJ89" s="2" t="s">
        <v>1976</v>
      </c>
      <c r="BK89" s="2" t="s">
        <v>1086</v>
      </c>
      <c r="BL89" s="2" t="s">
        <v>1977</v>
      </c>
      <c r="BM89" s="2" t="s">
        <v>1978</v>
      </c>
      <c r="BN89" s="2" t="n">
        <v>31137990</v>
      </c>
      <c r="BO89" s="2" t="s">
        <v>103</v>
      </c>
      <c r="BP89" s="2"/>
      <c r="BQ89" s="2"/>
      <c r="BR89" s="2" t="s">
        <v>104</v>
      </c>
      <c r="BS89" s="2" t="s">
        <v>1979</v>
      </c>
      <c r="BT89" s="2" t="str">
        <f aca="false">HYPERLINK("https%3A%2F%2Fwww.webofscience.com%2Fwos%2Fwoscc%2Ffull-record%2FWOS:000469505100001","View Full Record in Web of Science")</f>
        <v>View Full Record in Web of Science</v>
      </c>
    </row>
    <row r="90" customFormat="false" ht="12.75" hidden="false" customHeight="false" outlineLevel="0" collapsed="false">
      <c r="A90" s="2" t="s">
        <v>72</v>
      </c>
      <c r="B90" s="2" t="s">
        <v>1980</v>
      </c>
      <c r="C90" s="2"/>
      <c r="D90" s="2"/>
      <c r="E90" s="2"/>
      <c r="F90" s="2" t="s">
        <v>1981</v>
      </c>
      <c r="G90" s="2"/>
      <c r="H90" s="2"/>
      <c r="I90" s="2" t="s">
        <v>1982</v>
      </c>
      <c r="J90" s="2" t="s">
        <v>846</v>
      </c>
      <c r="K90" s="2"/>
      <c r="L90" s="2"/>
      <c r="M90" s="2" t="s">
        <v>77</v>
      </c>
      <c r="N90" s="2" t="s">
        <v>78</v>
      </c>
      <c r="O90" s="2"/>
      <c r="P90" s="2"/>
      <c r="Q90" s="2"/>
      <c r="R90" s="2"/>
      <c r="S90" s="2"/>
      <c r="T90" s="2" t="s">
        <v>1983</v>
      </c>
      <c r="U90" s="2" t="s">
        <v>1984</v>
      </c>
      <c r="V90" s="2" t="s">
        <v>1985</v>
      </c>
      <c r="W90" s="2" t="s">
        <v>1986</v>
      </c>
      <c r="X90" s="2" t="s">
        <v>1987</v>
      </c>
      <c r="Y90" s="2" t="s">
        <v>1988</v>
      </c>
      <c r="Z90" s="2" t="s">
        <v>1989</v>
      </c>
      <c r="AA90" s="2" t="s">
        <v>1990</v>
      </c>
      <c r="AB90" s="2" t="s">
        <v>1991</v>
      </c>
      <c r="AC90" s="2" t="s">
        <v>1992</v>
      </c>
      <c r="AD90" s="2" t="s">
        <v>1993</v>
      </c>
      <c r="AE90" s="2" t="s">
        <v>1994</v>
      </c>
      <c r="AF90" s="2"/>
      <c r="AG90" s="2" t="n">
        <v>42</v>
      </c>
      <c r="AH90" s="2" t="n">
        <v>4</v>
      </c>
      <c r="AI90" s="2" t="n">
        <v>5</v>
      </c>
      <c r="AJ90" s="2" t="n">
        <v>0</v>
      </c>
      <c r="AK90" s="2" t="n">
        <v>1</v>
      </c>
      <c r="AL90" s="2" t="s">
        <v>592</v>
      </c>
      <c r="AM90" s="2" t="s">
        <v>593</v>
      </c>
      <c r="AN90" s="2" t="s">
        <v>594</v>
      </c>
      <c r="AO90" s="2" t="s">
        <v>860</v>
      </c>
      <c r="AP90" s="2" t="s">
        <v>861</v>
      </c>
      <c r="AQ90" s="2"/>
      <c r="AR90" s="2" t="s">
        <v>862</v>
      </c>
      <c r="AS90" s="2" t="s">
        <v>863</v>
      </c>
      <c r="AT90" s="2" t="s">
        <v>161</v>
      </c>
      <c r="AU90" s="2" t="n">
        <v>2019</v>
      </c>
      <c r="AV90" s="2" t="n">
        <v>50</v>
      </c>
      <c r="AW90" s="2" t="n">
        <v>1</v>
      </c>
      <c r="AX90" s="2"/>
      <c r="AY90" s="2"/>
      <c r="AZ90" s="2"/>
      <c r="BA90" s="2"/>
      <c r="BB90" s="2" t="n">
        <v>133</v>
      </c>
      <c r="BC90" s="2" t="n">
        <v>137</v>
      </c>
      <c r="BD90" s="2"/>
      <c r="BE90" s="2" t="s">
        <v>1995</v>
      </c>
      <c r="BF90" s="2" t="str">
        <f aca="false">HYPERLINK("http://dx.doi.org/10.1007/s42770-018-0038-x","http://dx.doi.org/10.1007/s42770-018-0038-x")</f>
        <v>http://dx.doi.org/10.1007/s42770-018-0038-x</v>
      </c>
      <c r="BG90" s="2"/>
      <c r="BH90" s="2"/>
      <c r="BI90" s="2" t="n">
        <v>5</v>
      </c>
      <c r="BJ90" s="2" t="s">
        <v>211</v>
      </c>
      <c r="BK90" s="2" t="s">
        <v>100</v>
      </c>
      <c r="BL90" s="2" t="s">
        <v>211</v>
      </c>
      <c r="BM90" s="2" t="s">
        <v>1996</v>
      </c>
      <c r="BN90" s="2" t="n">
        <v>30637634</v>
      </c>
      <c r="BO90" s="2" t="s">
        <v>1267</v>
      </c>
      <c r="BP90" s="2"/>
      <c r="BQ90" s="2"/>
      <c r="BR90" s="2" t="s">
        <v>104</v>
      </c>
      <c r="BS90" s="2" t="s">
        <v>1997</v>
      </c>
      <c r="BT90" s="2" t="str">
        <f aca="false">HYPERLINK("https%3A%2F%2Fwww.webofscience.com%2Fwos%2Fwoscc%2Ffull-record%2FWOS:000466778000014","View Full Record in Web of Science")</f>
        <v>View Full Record in Web of Science</v>
      </c>
    </row>
    <row r="91" customFormat="false" ht="12.75" hidden="false" customHeight="false" outlineLevel="0" collapsed="false">
      <c r="A91" s="2" t="s">
        <v>72</v>
      </c>
      <c r="B91" s="2" t="s">
        <v>1998</v>
      </c>
      <c r="C91" s="2"/>
      <c r="D91" s="2"/>
      <c r="E91" s="2"/>
      <c r="F91" s="2" t="s">
        <v>1999</v>
      </c>
      <c r="G91" s="2"/>
      <c r="H91" s="2"/>
      <c r="I91" s="2" t="s">
        <v>2000</v>
      </c>
      <c r="J91" s="2" t="s">
        <v>2001</v>
      </c>
      <c r="K91" s="2"/>
      <c r="L91" s="2"/>
      <c r="M91" s="2" t="s">
        <v>77</v>
      </c>
      <c r="N91" s="2" t="s">
        <v>78</v>
      </c>
      <c r="O91" s="2"/>
      <c r="P91" s="2"/>
      <c r="Q91" s="2"/>
      <c r="R91" s="2"/>
      <c r="S91" s="2"/>
      <c r="T91" s="2" t="s">
        <v>2002</v>
      </c>
      <c r="U91" s="2" t="s">
        <v>2003</v>
      </c>
      <c r="V91" s="2" t="s">
        <v>2004</v>
      </c>
      <c r="W91" s="2" t="s">
        <v>2005</v>
      </c>
      <c r="X91" s="2" t="s">
        <v>2006</v>
      </c>
      <c r="Y91" s="2" t="s">
        <v>2007</v>
      </c>
      <c r="Z91" s="2" t="s">
        <v>2008</v>
      </c>
      <c r="AA91" s="2" t="s">
        <v>2009</v>
      </c>
      <c r="AB91" s="2" t="s">
        <v>2010</v>
      </c>
      <c r="AC91" s="2" t="s">
        <v>2011</v>
      </c>
      <c r="AD91" s="2" t="s">
        <v>2011</v>
      </c>
      <c r="AE91" s="2" t="s">
        <v>2012</v>
      </c>
      <c r="AF91" s="2"/>
      <c r="AG91" s="2" t="n">
        <v>29</v>
      </c>
      <c r="AH91" s="2" t="n">
        <v>2</v>
      </c>
      <c r="AI91" s="2" t="n">
        <v>2</v>
      </c>
      <c r="AJ91" s="2" t="n">
        <v>0</v>
      </c>
      <c r="AK91" s="2" t="n">
        <v>0</v>
      </c>
      <c r="AL91" s="2" t="s">
        <v>91</v>
      </c>
      <c r="AM91" s="2" t="s">
        <v>92</v>
      </c>
      <c r="AN91" s="2" t="s">
        <v>93</v>
      </c>
      <c r="AO91" s="2"/>
      <c r="AP91" s="2" t="s">
        <v>2013</v>
      </c>
      <c r="AQ91" s="2"/>
      <c r="AR91" s="2" t="s">
        <v>2001</v>
      </c>
      <c r="AS91" s="2" t="s">
        <v>2014</v>
      </c>
      <c r="AT91" s="2" t="s">
        <v>185</v>
      </c>
      <c r="AU91" s="2" t="n">
        <v>2024</v>
      </c>
      <c r="AV91" s="2" t="n">
        <v>13</v>
      </c>
      <c r="AW91" s="2" t="n">
        <v>8</v>
      </c>
      <c r="AX91" s="2"/>
      <c r="AY91" s="2"/>
      <c r="AZ91" s="2"/>
      <c r="BA91" s="2"/>
      <c r="BB91" s="2"/>
      <c r="BC91" s="2"/>
      <c r="BD91" s="2" t="n">
        <v>704</v>
      </c>
      <c r="BE91" s="2" t="s">
        <v>2015</v>
      </c>
      <c r="BF91" s="2" t="str">
        <f aca="false">HYPERLINK("http://dx.doi.org/10.3390/pathogens13080704","http://dx.doi.org/10.3390/pathogens13080704")</f>
        <v>http://dx.doi.org/10.3390/pathogens13080704</v>
      </c>
      <c r="BG91" s="2"/>
      <c r="BH91" s="2"/>
      <c r="BI91" s="2" t="n">
        <v>11</v>
      </c>
      <c r="BJ91" s="2" t="s">
        <v>211</v>
      </c>
      <c r="BK91" s="2" t="s">
        <v>100</v>
      </c>
      <c r="BL91" s="2" t="s">
        <v>211</v>
      </c>
      <c r="BM91" s="2" t="s">
        <v>2016</v>
      </c>
      <c r="BN91" s="2" t="n">
        <v>39204304</v>
      </c>
      <c r="BO91" s="2" t="s">
        <v>1355</v>
      </c>
      <c r="BP91" s="2"/>
      <c r="BQ91" s="2"/>
      <c r="BR91" s="2" t="s">
        <v>104</v>
      </c>
      <c r="BS91" s="2" t="s">
        <v>2017</v>
      </c>
      <c r="BT91" s="2" t="str">
        <f aca="false">HYPERLINK("https%3A%2F%2Fwww.webofscience.com%2Fwos%2Fwoscc%2Ffull-record%2FWOS:001304771400001","View Full Record in Web of Science")</f>
        <v>View Full Record in Web of Science</v>
      </c>
    </row>
    <row r="92" customFormat="false" ht="12.75" hidden="false" customHeight="false" outlineLevel="0" collapsed="false">
      <c r="A92" s="2" t="s">
        <v>72</v>
      </c>
      <c r="B92" s="2" t="s">
        <v>2018</v>
      </c>
      <c r="C92" s="2"/>
      <c r="D92" s="2"/>
      <c r="E92" s="2"/>
      <c r="F92" s="2" t="s">
        <v>2019</v>
      </c>
      <c r="G92" s="2"/>
      <c r="H92" s="2"/>
      <c r="I92" s="2" t="s">
        <v>2020</v>
      </c>
      <c r="J92" s="2" t="s">
        <v>2021</v>
      </c>
      <c r="K92" s="2"/>
      <c r="L92" s="2"/>
      <c r="M92" s="2" t="s">
        <v>77</v>
      </c>
      <c r="N92" s="2" t="s">
        <v>78</v>
      </c>
      <c r="O92" s="2"/>
      <c r="P92" s="2"/>
      <c r="Q92" s="2"/>
      <c r="R92" s="2"/>
      <c r="S92" s="2"/>
      <c r="T92" s="2" t="s">
        <v>2022</v>
      </c>
      <c r="U92" s="2" t="s">
        <v>2023</v>
      </c>
      <c r="V92" s="2" t="s">
        <v>2024</v>
      </c>
      <c r="W92" s="2" t="s">
        <v>2025</v>
      </c>
      <c r="X92" s="2" t="s">
        <v>2026</v>
      </c>
      <c r="Y92" s="2" t="s">
        <v>2027</v>
      </c>
      <c r="Z92" s="2" t="s">
        <v>2028</v>
      </c>
      <c r="AA92" s="2" t="s">
        <v>2029</v>
      </c>
      <c r="AB92" s="2" t="s">
        <v>2030</v>
      </c>
      <c r="AC92" s="2" t="s">
        <v>2031</v>
      </c>
      <c r="AD92" s="2" t="s">
        <v>2031</v>
      </c>
      <c r="AE92" s="2" t="s">
        <v>2032</v>
      </c>
      <c r="AF92" s="2"/>
      <c r="AG92" s="2" t="n">
        <v>55</v>
      </c>
      <c r="AH92" s="2" t="n">
        <v>9</v>
      </c>
      <c r="AI92" s="2" t="n">
        <v>9</v>
      </c>
      <c r="AJ92" s="2" t="n">
        <v>1</v>
      </c>
      <c r="AK92" s="2" t="n">
        <v>2</v>
      </c>
      <c r="AL92" s="2" t="s">
        <v>527</v>
      </c>
      <c r="AM92" s="2" t="s">
        <v>528</v>
      </c>
      <c r="AN92" s="2" t="s">
        <v>529</v>
      </c>
      <c r="AO92" s="2" t="s">
        <v>2033</v>
      </c>
      <c r="AP92" s="2" t="s">
        <v>2034</v>
      </c>
      <c r="AQ92" s="2"/>
      <c r="AR92" s="2" t="s">
        <v>2035</v>
      </c>
      <c r="AS92" s="2" t="s">
        <v>2036</v>
      </c>
      <c r="AT92" s="2" t="s">
        <v>2037</v>
      </c>
      <c r="AU92" s="2" t="n">
        <v>2021</v>
      </c>
      <c r="AV92" s="2" t="n">
        <v>72</v>
      </c>
      <c r="AW92" s="2" t="n">
        <v>12</v>
      </c>
      <c r="AX92" s="2"/>
      <c r="AY92" s="2"/>
      <c r="AZ92" s="2"/>
      <c r="BA92" s="2"/>
      <c r="BB92" s="2" t="n">
        <v>2144</v>
      </c>
      <c r="BC92" s="2" t="n">
        <v>2153</v>
      </c>
      <c r="BD92" s="2"/>
      <c r="BE92" s="2" t="s">
        <v>2038</v>
      </c>
      <c r="BF92" s="2" t="str">
        <f aca="false">HYPERLINK("http://dx.doi.org/10.1093/cid/ciaa403","http://dx.doi.org/10.1093/cid/ciaa403")</f>
        <v>http://dx.doi.org/10.1093/cid/ciaa403</v>
      </c>
      <c r="BG92" s="2"/>
      <c r="BH92" s="2"/>
      <c r="BI92" s="2" t="n">
        <v>10</v>
      </c>
      <c r="BJ92" s="2" t="s">
        <v>536</v>
      </c>
      <c r="BK92" s="2" t="s">
        <v>100</v>
      </c>
      <c r="BL92" s="2" t="s">
        <v>536</v>
      </c>
      <c r="BM92" s="2" t="s">
        <v>2039</v>
      </c>
      <c r="BN92" s="2" t="n">
        <v>32270199</v>
      </c>
      <c r="BO92" s="2" t="s">
        <v>165</v>
      </c>
      <c r="BP92" s="2"/>
      <c r="BQ92" s="2"/>
      <c r="BR92" s="2" t="s">
        <v>104</v>
      </c>
      <c r="BS92" s="2" t="s">
        <v>2040</v>
      </c>
      <c r="BT92" s="2" t="str">
        <f aca="false">HYPERLINK("https%3A%2F%2Fwww.webofscience.com%2Fwos%2Fwoscc%2Ffull-record%2FWOS:000670819400059","View Full Record in Web of Science")</f>
        <v>View Full Record in Web of Science</v>
      </c>
    </row>
    <row r="93" customFormat="false" ht="12.75" hidden="false" customHeight="false" outlineLevel="0" collapsed="false">
      <c r="A93" s="2" t="s">
        <v>72</v>
      </c>
      <c r="B93" s="2" t="s">
        <v>2041</v>
      </c>
      <c r="C93" s="2"/>
      <c r="D93" s="2"/>
      <c r="E93" s="2"/>
      <c r="F93" s="2" t="s">
        <v>2042</v>
      </c>
      <c r="G93" s="2"/>
      <c r="H93" s="2"/>
      <c r="I93" s="2" t="s">
        <v>2043</v>
      </c>
      <c r="J93" s="2" t="s">
        <v>2001</v>
      </c>
      <c r="K93" s="2"/>
      <c r="L93" s="2"/>
      <c r="M93" s="2" t="s">
        <v>77</v>
      </c>
      <c r="N93" s="2" t="s">
        <v>78</v>
      </c>
      <c r="O93" s="2"/>
      <c r="P93" s="2"/>
      <c r="Q93" s="2"/>
      <c r="R93" s="2"/>
      <c r="S93" s="2"/>
      <c r="T93" s="2" t="s">
        <v>2044</v>
      </c>
      <c r="U93" s="2" t="s">
        <v>2045</v>
      </c>
      <c r="V93" s="2" t="s">
        <v>2046</v>
      </c>
      <c r="W93" s="2" t="s">
        <v>2047</v>
      </c>
      <c r="X93" s="2" t="s">
        <v>2048</v>
      </c>
      <c r="Y93" s="2" t="s">
        <v>2049</v>
      </c>
      <c r="Z93" s="2" t="s">
        <v>2050</v>
      </c>
      <c r="AA93" s="2"/>
      <c r="AB93" s="2" t="s">
        <v>2051</v>
      </c>
      <c r="AC93" s="2" t="s">
        <v>2052</v>
      </c>
      <c r="AD93" s="2" t="s">
        <v>2053</v>
      </c>
      <c r="AE93" s="2" t="s">
        <v>2054</v>
      </c>
      <c r="AF93" s="2"/>
      <c r="AG93" s="2" t="n">
        <v>24</v>
      </c>
      <c r="AH93" s="2" t="n">
        <v>0</v>
      </c>
      <c r="AI93" s="2" t="n">
        <v>0</v>
      </c>
      <c r="AJ93" s="2" t="n">
        <v>0</v>
      </c>
      <c r="AK93" s="2" t="n">
        <v>0</v>
      </c>
      <c r="AL93" s="2" t="s">
        <v>91</v>
      </c>
      <c r="AM93" s="2" t="s">
        <v>92</v>
      </c>
      <c r="AN93" s="2" t="s">
        <v>93</v>
      </c>
      <c r="AO93" s="2"/>
      <c r="AP93" s="2" t="s">
        <v>2013</v>
      </c>
      <c r="AQ93" s="2"/>
      <c r="AR93" s="2" t="s">
        <v>2001</v>
      </c>
      <c r="AS93" s="2" t="s">
        <v>2014</v>
      </c>
      <c r="AT93" s="2" t="s">
        <v>692</v>
      </c>
      <c r="AU93" s="2" t="n">
        <v>2024</v>
      </c>
      <c r="AV93" s="2" t="n">
        <v>13</v>
      </c>
      <c r="AW93" s="2" t="n">
        <v>4</v>
      </c>
      <c r="AX93" s="2"/>
      <c r="AY93" s="2"/>
      <c r="AZ93" s="2"/>
      <c r="BA93" s="2"/>
      <c r="BB93" s="2"/>
      <c r="BC93" s="2"/>
      <c r="BD93" s="2" t="n">
        <v>340</v>
      </c>
      <c r="BE93" s="2" t="s">
        <v>2055</v>
      </c>
      <c r="BF93" s="2" t="str">
        <f aca="false">HYPERLINK("http://dx.doi.org/10.3390/pathogens13040340","http://dx.doi.org/10.3390/pathogens13040340")</f>
        <v>http://dx.doi.org/10.3390/pathogens13040340</v>
      </c>
      <c r="BG93" s="2"/>
      <c r="BH93" s="2"/>
      <c r="BI93" s="2" t="n">
        <v>16</v>
      </c>
      <c r="BJ93" s="2" t="s">
        <v>211</v>
      </c>
      <c r="BK93" s="2" t="s">
        <v>100</v>
      </c>
      <c r="BL93" s="2" t="s">
        <v>211</v>
      </c>
      <c r="BM93" s="2" t="s">
        <v>2056</v>
      </c>
      <c r="BN93" s="2" t="n">
        <v>38668295</v>
      </c>
      <c r="BO93" s="2" t="s">
        <v>190</v>
      </c>
      <c r="BP93" s="2"/>
      <c r="BQ93" s="2"/>
      <c r="BR93" s="2" t="s">
        <v>104</v>
      </c>
      <c r="BS93" s="2" t="s">
        <v>2057</v>
      </c>
      <c r="BT93" s="2" t="str">
        <f aca="false">HYPERLINK("https%3A%2F%2Fwww.webofscience.com%2Fwos%2Fwoscc%2Ffull-record%2FWOS:001210421900001","View Full Record in Web of Science")</f>
        <v>View Full Record in Web of Science</v>
      </c>
    </row>
    <row r="94" customFormat="false" ht="12.75" hidden="false" customHeight="false" outlineLevel="0" collapsed="false">
      <c r="A94" s="2" t="s">
        <v>72</v>
      </c>
      <c r="B94" s="2" t="s">
        <v>2058</v>
      </c>
      <c r="C94" s="2"/>
      <c r="D94" s="2"/>
      <c r="E94" s="2"/>
      <c r="F94" s="2" t="s">
        <v>2059</v>
      </c>
      <c r="G94" s="2"/>
      <c r="H94" s="2"/>
      <c r="I94" s="2" t="s">
        <v>2060</v>
      </c>
      <c r="J94" s="2" t="s">
        <v>2061</v>
      </c>
      <c r="K94" s="2"/>
      <c r="L94" s="2"/>
      <c r="M94" s="2" t="s">
        <v>77</v>
      </c>
      <c r="N94" s="2" t="s">
        <v>78</v>
      </c>
      <c r="O94" s="2"/>
      <c r="P94" s="2"/>
      <c r="Q94" s="2"/>
      <c r="R94" s="2"/>
      <c r="S94" s="2"/>
      <c r="T94" s="2" t="s">
        <v>2062</v>
      </c>
      <c r="U94" s="2" t="s">
        <v>2063</v>
      </c>
      <c r="V94" s="2" t="s">
        <v>2064</v>
      </c>
      <c r="W94" s="2" t="s">
        <v>2065</v>
      </c>
      <c r="X94" s="2" t="s">
        <v>2066</v>
      </c>
      <c r="Y94" s="2" t="s">
        <v>2067</v>
      </c>
      <c r="Z94" s="2" t="s">
        <v>2068</v>
      </c>
      <c r="AA94" s="2"/>
      <c r="AB94" s="2" t="s">
        <v>2069</v>
      </c>
      <c r="AC94" s="2"/>
      <c r="AD94" s="2"/>
      <c r="AE94" s="2"/>
      <c r="AF94" s="2"/>
      <c r="AG94" s="2" t="n">
        <v>41</v>
      </c>
      <c r="AH94" s="2" t="n">
        <v>1</v>
      </c>
      <c r="AI94" s="2" t="n">
        <v>1</v>
      </c>
      <c r="AJ94" s="2" t="n">
        <v>0</v>
      </c>
      <c r="AK94" s="2" t="n">
        <v>2</v>
      </c>
      <c r="AL94" s="2" t="s">
        <v>2070</v>
      </c>
      <c r="AM94" s="2" t="s">
        <v>2071</v>
      </c>
      <c r="AN94" s="2" t="s">
        <v>2072</v>
      </c>
      <c r="AO94" s="2" t="s">
        <v>2073</v>
      </c>
      <c r="AP94" s="2"/>
      <c r="AQ94" s="2"/>
      <c r="AR94" s="2" t="s">
        <v>2074</v>
      </c>
      <c r="AS94" s="2" t="s">
        <v>2075</v>
      </c>
      <c r="AT94" s="2" t="s">
        <v>599</v>
      </c>
      <c r="AU94" s="2" t="n">
        <v>2023</v>
      </c>
      <c r="AV94" s="2" t="n">
        <v>17</v>
      </c>
      <c r="AW94" s="2" t="n">
        <v>7</v>
      </c>
      <c r="AX94" s="2"/>
      <c r="AY94" s="2"/>
      <c r="AZ94" s="2"/>
      <c r="BA94" s="2"/>
      <c r="BB94" s="2" t="n">
        <v>961</v>
      </c>
      <c r="BC94" s="2" t="s">
        <v>986</v>
      </c>
      <c r="BD94" s="2"/>
      <c r="BE94" s="2" t="s">
        <v>2076</v>
      </c>
      <c r="BF94" s="2" t="str">
        <f aca="false">HYPERLINK("http://dx.doi.org/10.3855/jidc.17727","http://dx.doi.org/10.3855/jidc.17727")</f>
        <v>http://dx.doi.org/10.3855/jidc.17727</v>
      </c>
      <c r="BG94" s="2"/>
      <c r="BH94" s="2"/>
      <c r="BI94" s="2" t="n">
        <v>11</v>
      </c>
      <c r="BJ94" s="2" t="s">
        <v>575</v>
      </c>
      <c r="BK94" s="2" t="s">
        <v>100</v>
      </c>
      <c r="BL94" s="2" t="s">
        <v>575</v>
      </c>
      <c r="BM94" s="2" t="s">
        <v>2077</v>
      </c>
      <c r="BN94" s="2" t="n">
        <v>37515805</v>
      </c>
      <c r="BO94" s="2" t="s">
        <v>1355</v>
      </c>
      <c r="BP94" s="2"/>
      <c r="BQ94" s="2"/>
      <c r="BR94" s="2" t="s">
        <v>104</v>
      </c>
      <c r="BS94" s="2" t="s">
        <v>2078</v>
      </c>
      <c r="BT94" s="2" t="str">
        <f aca="false">HYPERLINK("https%3A%2F%2Fwww.webofscience.com%2Fwos%2Fwoscc%2Ffull-record%2FWOS:001043290300009","View Full Record in Web of Science")</f>
        <v>View Full Record in Web of Science</v>
      </c>
    </row>
    <row r="95" customFormat="false" ht="12.75" hidden="false" customHeight="false" outlineLevel="0" collapsed="false">
      <c r="A95" s="2" t="s">
        <v>72</v>
      </c>
      <c r="B95" s="2" t="s">
        <v>2079</v>
      </c>
      <c r="C95" s="2"/>
      <c r="D95" s="2"/>
      <c r="E95" s="2"/>
      <c r="F95" s="2" t="s">
        <v>2079</v>
      </c>
      <c r="G95" s="2"/>
      <c r="H95" s="2"/>
      <c r="I95" s="2" t="s">
        <v>2080</v>
      </c>
      <c r="J95" s="2" t="s">
        <v>1448</v>
      </c>
      <c r="K95" s="2"/>
      <c r="L95" s="2"/>
      <c r="M95" s="2" t="s">
        <v>77</v>
      </c>
      <c r="N95" s="2" t="s">
        <v>78</v>
      </c>
      <c r="O95" s="2"/>
      <c r="P95" s="2"/>
      <c r="Q95" s="2"/>
      <c r="R95" s="2"/>
      <c r="S95" s="2"/>
      <c r="T95" s="2" t="s">
        <v>2081</v>
      </c>
      <c r="U95" s="2" t="s">
        <v>2082</v>
      </c>
      <c r="V95" s="2" t="s">
        <v>2083</v>
      </c>
      <c r="W95" s="2" t="s">
        <v>2084</v>
      </c>
      <c r="X95" s="2" t="s">
        <v>2085</v>
      </c>
      <c r="Y95" s="2" t="s">
        <v>2086</v>
      </c>
      <c r="Z95" s="2" t="s">
        <v>2087</v>
      </c>
      <c r="AA95" s="2"/>
      <c r="AB95" s="2"/>
      <c r="AC95" s="2"/>
      <c r="AD95" s="2"/>
      <c r="AE95" s="2"/>
      <c r="AF95" s="2"/>
      <c r="AG95" s="2" t="n">
        <v>19</v>
      </c>
      <c r="AH95" s="2" t="n">
        <v>9</v>
      </c>
      <c r="AI95" s="2" t="n">
        <v>11</v>
      </c>
      <c r="AJ95" s="2" t="n">
        <v>1</v>
      </c>
      <c r="AK95" s="2" t="n">
        <v>5</v>
      </c>
      <c r="AL95" s="2" t="s">
        <v>1460</v>
      </c>
      <c r="AM95" s="2" t="s">
        <v>593</v>
      </c>
      <c r="AN95" s="2" t="s">
        <v>2088</v>
      </c>
      <c r="AO95" s="2" t="s">
        <v>1462</v>
      </c>
      <c r="AP95" s="2" t="s">
        <v>1463</v>
      </c>
      <c r="AQ95" s="2"/>
      <c r="AR95" s="2" t="s">
        <v>1464</v>
      </c>
      <c r="AS95" s="2" t="s">
        <v>1465</v>
      </c>
      <c r="AT95" s="2" t="s">
        <v>129</v>
      </c>
      <c r="AU95" s="2" t="n">
        <v>2005</v>
      </c>
      <c r="AV95" s="2" t="n">
        <v>53</v>
      </c>
      <c r="AW95" s="2" t="n">
        <v>1</v>
      </c>
      <c r="AX95" s="2"/>
      <c r="AY95" s="2"/>
      <c r="AZ95" s="2"/>
      <c r="BA95" s="2"/>
      <c r="BB95" s="2" t="n">
        <v>47</v>
      </c>
      <c r="BC95" s="2" t="n">
        <v>55</v>
      </c>
      <c r="BD95" s="2"/>
      <c r="BE95" s="2" t="s">
        <v>2089</v>
      </c>
      <c r="BF95" s="2" t="str">
        <f aca="false">HYPERLINK("http://dx.doi.org/10.1016/j.diagmicrobio.2005.03.007","http://dx.doi.org/10.1016/j.diagmicrobio.2005.03.007")</f>
        <v>http://dx.doi.org/10.1016/j.diagmicrobio.2005.03.007</v>
      </c>
      <c r="BG95" s="2"/>
      <c r="BH95" s="2"/>
      <c r="BI95" s="2" t="n">
        <v>9</v>
      </c>
      <c r="BJ95" s="2" t="s">
        <v>1467</v>
      </c>
      <c r="BK95" s="2" t="s">
        <v>100</v>
      </c>
      <c r="BL95" s="2" t="s">
        <v>1467</v>
      </c>
      <c r="BM95" s="2" t="s">
        <v>2090</v>
      </c>
      <c r="BN95" s="2" t="n">
        <v>15994050</v>
      </c>
      <c r="BO95" s="2" t="s">
        <v>1227</v>
      </c>
      <c r="BP95" s="2"/>
      <c r="BQ95" s="2"/>
      <c r="BR95" s="2" t="s">
        <v>104</v>
      </c>
      <c r="BS95" s="2" t="s">
        <v>2091</v>
      </c>
      <c r="BT95" s="2" t="str">
        <f aca="false">HYPERLINK("https%3A%2F%2Fwww.webofscience.com%2Fwos%2Fwoscc%2Ffull-record%2FWOS:000232683400008","View Full Record in Web of Science")</f>
        <v>View Full Record in Web of Science</v>
      </c>
    </row>
    <row r="96" customFormat="false" ht="12.75" hidden="false" customHeight="false" outlineLevel="0" collapsed="false">
      <c r="A96" s="2" t="s">
        <v>72</v>
      </c>
      <c r="B96" s="2" t="s">
        <v>2092</v>
      </c>
      <c r="C96" s="2"/>
      <c r="D96" s="2"/>
      <c r="E96" s="2"/>
      <c r="F96" s="2" t="s">
        <v>2093</v>
      </c>
      <c r="G96" s="2"/>
      <c r="H96" s="2"/>
      <c r="I96" s="2" t="s">
        <v>2094</v>
      </c>
      <c r="J96" s="2" t="s">
        <v>2095</v>
      </c>
      <c r="K96" s="2"/>
      <c r="L96" s="2"/>
      <c r="M96" s="2" t="s">
        <v>77</v>
      </c>
      <c r="N96" s="2" t="s">
        <v>78</v>
      </c>
      <c r="O96" s="2"/>
      <c r="P96" s="2"/>
      <c r="Q96" s="2"/>
      <c r="R96" s="2"/>
      <c r="S96" s="2"/>
      <c r="T96" s="2" t="s">
        <v>2096</v>
      </c>
      <c r="U96" s="2" t="s">
        <v>2097</v>
      </c>
      <c r="V96" s="2" t="s">
        <v>2098</v>
      </c>
      <c r="W96" s="2" t="s">
        <v>2099</v>
      </c>
      <c r="X96" s="2" t="s">
        <v>2100</v>
      </c>
      <c r="Y96" s="2" t="s">
        <v>2101</v>
      </c>
      <c r="Z96" s="2" t="s">
        <v>2102</v>
      </c>
      <c r="AA96" s="2" t="s">
        <v>2103</v>
      </c>
      <c r="AB96" s="2" t="s">
        <v>2104</v>
      </c>
      <c r="AC96" s="2"/>
      <c r="AD96" s="2"/>
      <c r="AE96" s="2"/>
      <c r="AF96" s="2"/>
      <c r="AG96" s="2" t="n">
        <v>30</v>
      </c>
      <c r="AH96" s="2" t="n">
        <v>60</v>
      </c>
      <c r="AI96" s="2" t="n">
        <v>61</v>
      </c>
      <c r="AJ96" s="2" t="n">
        <v>0</v>
      </c>
      <c r="AK96" s="2" t="n">
        <v>8</v>
      </c>
      <c r="AL96" s="2" t="s">
        <v>2105</v>
      </c>
      <c r="AM96" s="2" t="s">
        <v>303</v>
      </c>
      <c r="AN96" s="2" t="s">
        <v>2106</v>
      </c>
      <c r="AO96" s="2" t="s">
        <v>2107</v>
      </c>
      <c r="AP96" s="2" t="s">
        <v>2108</v>
      </c>
      <c r="AQ96" s="2"/>
      <c r="AR96" s="2" t="s">
        <v>2109</v>
      </c>
      <c r="AS96" s="2" t="s">
        <v>2110</v>
      </c>
      <c r="AT96" s="2" t="s">
        <v>129</v>
      </c>
      <c r="AU96" s="2" t="n">
        <v>2021</v>
      </c>
      <c r="AV96" s="2" t="n">
        <v>14</v>
      </c>
      <c r="AW96" s="2" t="n">
        <v>9</v>
      </c>
      <c r="AX96" s="2"/>
      <c r="AY96" s="2"/>
      <c r="AZ96" s="2"/>
      <c r="BA96" s="2"/>
      <c r="BB96" s="2" t="n">
        <v>1186</v>
      </c>
      <c r="BC96" s="2" t="n">
        <v>1190</v>
      </c>
      <c r="BD96" s="2"/>
      <c r="BE96" s="2" t="s">
        <v>2111</v>
      </c>
      <c r="BF96" s="2" t="str">
        <f aca="false">HYPERLINK("http://dx.doi.org/10.1016/j.jiph.2021.08.004","http://dx.doi.org/10.1016/j.jiph.2021.08.004")</f>
        <v>http://dx.doi.org/10.1016/j.jiph.2021.08.004</v>
      </c>
      <c r="BG96" s="2"/>
      <c r="BH96" s="2" t="s">
        <v>2112</v>
      </c>
      <c r="BI96" s="2" t="n">
        <v>5</v>
      </c>
      <c r="BJ96" s="2" t="s">
        <v>2113</v>
      </c>
      <c r="BK96" s="2" t="s">
        <v>100</v>
      </c>
      <c r="BL96" s="2" t="s">
        <v>2113</v>
      </c>
      <c r="BM96" s="2" t="s">
        <v>2114</v>
      </c>
      <c r="BN96" s="2" t="n">
        <v>34399190</v>
      </c>
      <c r="BO96" s="2" t="s">
        <v>1355</v>
      </c>
      <c r="BP96" s="2"/>
      <c r="BQ96" s="2"/>
      <c r="BR96" s="2" t="s">
        <v>104</v>
      </c>
      <c r="BS96" s="2" t="s">
        <v>2115</v>
      </c>
      <c r="BT96" s="2" t="str">
        <f aca="false">HYPERLINK("https%3A%2F%2Fwww.webofscience.com%2Fwos%2Fwoscc%2Ffull-record%2FWOS:000700595800012","View Full Record in Web of Science")</f>
        <v>View Full Record in Web of Science</v>
      </c>
    </row>
    <row r="97" customFormat="false" ht="12.75" hidden="false" customHeight="false" outlineLevel="0" collapsed="false">
      <c r="A97" s="2" t="s">
        <v>72</v>
      </c>
      <c r="B97" s="2" t="s">
        <v>2116</v>
      </c>
      <c r="C97" s="2"/>
      <c r="D97" s="2"/>
      <c r="E97" s="2"/>
      <c r="F97" s="2" t="s">
        <v>2117</v>
      </c>
      <c r="G97" s="2"/>
      <c r="H97" s="2"/>
      <c r="I97" s="2" t="s">
        <v>2118</v>
      </c>
      <c r="J97" s="2" t="s">
        <v>1048</v>
      </c>
      <c r="K97" s="2"/>
      <c r="L97" s="2"/>
      <c r="M97" s="2" t="s">
        <v>77</v>
      </c>
      <c r="N97" s="2" t="s">
        <v>78</v>
      </c>
      <c r="O97" s="2"/>
      <c r="P97" s="2"/>
      <c r="Q97" s="2"/>
      <c r="R97" s="2"/>
      <c r="S97" s="2"/>
      <c r="T97" s="2" t="s">
        <v>2119</v>
      </c>
      <c r="U97" s="2"/>
      <c r="V97" s="2" t="s">
        <v>2120</v>
      </c>
      <c r="W97" s="2" t="s">
        <v>2121</v>
      </c>
      <c r="X97" s="2" t="s">
        <v>2122</v>
      </c>
      <c r="Y97" s="2" t="s">
        <v>2123</v>
      </c>
      <c r="Z97" s="2" t="s">
        <v>2124</v>
      </c>
      <c r="AA97" s="2" t="s">
        <v>2125</v>
      </c>
      <c r="AB97" s="2" t="s">
        <v>2126</v>
      </c>
      <c r="AC97" s="2"/>
      <c r="AD97" s="2"/>
      <c r="AE97" s="2"/>
      <c r="AF97" s="2"/>
      <c r="AG97" s="2" t="n">
        <v>26</v>
      </c>
      <c r="AH97" s="2" t="n">
        <v>3</v>
      </c>
      <c r="AI97" s="2" t="n">
        <v>4</v>
      </c>
      <c r="AJ97" s="2" t="n">
        <v>0</v>
      </c>
      <c r="AK97" s="2" t="n">
        <v>4</v>
      </c>
      <c r="AL97" s="2" t="s">
        <v>91</v>
      </c>
      <c r="AM97" s="2" t="s">
        <v>92</v>
      </c>
      <c r="AN97" s="2" t="s">
        <v>93</v>
      </c>
      <c r="AO97" s="2"/>
      <c r="AP97" s="2" t="s">
        <v>1061</v>
      </c>
      <c r="AQ97" s="2"/>
      <c r="AR97" s="2" t="s">
        <v>1048</v>
      </c>
      <c r="AS97" s="2" t="s">
        <v>1062</v>
      </c>
      <c r="AT97" s="2" t="s">
        <v>161</v>
      </c>
      <c r="AU97" s="2" t="n">
        <v>2023</v>
      </c>
      <c r="AV97" s="2" t="n">
        <v>11</v>
      </c>
      <c r="AW97" s="2" t="n">
        <v>1</v>
      </c>
      <c r="AX97" s="2"/>
      <c r="AY97" s="2"/>
      <c r="AZ97" s="2"/>
      <c r="BA97" s="2"/>
      <c r="BB97" s="2"/>
      <c r="BC97" s="2"/>
      <c r="BD97" s="2" t="n">
        <v>166</v>
      </c>
      <c r="BE97" s="2" t="s">
        <v>2127</v>
      </c>
      <c r="BF97" s="2" t="str">
        <f aca="false">HYPERLINK("http://dx.doi.org/10.3390/microorganisms11010166","http://dx.doi.org/10.3390/microorganisms11010166")</f>
        <v>http://dx.doi.org/10.3390/microorganisms11010166</v>
      </c>
      <c r="BG97" s="2"/>
      <c r="BH97" s="2"/>
      <c r="BI97" s="2" t="n">
        <v>8</v>
      </c>
      <c r="BJ97" s="2" t="s">
        <v>211</v>
      </c>
      <c r="BK97" s="2" t="s">
        <v>100</v>
      </c>
      <c r="BL97" s="2" t="s">
        <v>211</v>
      </c>
      <c r="BM97" s="2" t="s">
        <v>2128</v>
      </c>
      <c r="BN97" s="2" t="n">
        <v>36677458</v>
      </c>
      <c r="BO97" s="2" t="s">
        <v>103</v>
      </c>
      <c r="BP97" s="2"/>
      <c r="BQ97" s="2"/>
      <c r="BR97" s="2" t="s">
        <v>104</v>
      </c>
      <c r="BS97" s="2" t="s">
        <v>2129</v>
      </c>
      <c r="BT97" s="2" t="str">
        <f aca="false">HYPERLINK("https%3A%2F%2Fwww.webofscience.com%2Fwos%2Fwoscc%2Ffull-record%2FWOS:000915618500001","View Full Record in Web of Science")</f>
        <v>View Full Record in Web of Science</v>
      </c>
    </row>
    <row r="98" customFormat="false" ht="12.75" hidden="false" customHeight="false" outlineLevel="0" collapsed="false">
      <c r="A98" s="2" t="s">
        <v>72</v>
      </c>
      <c r="B98" s="2" t="s">
        <v>2130</v>
      </c>
      <c r="C98" s="2"/>
      <c r="D98" s="2"/>
      <c r="E98" s="2"/>
      <c r="F98" s="2" t="s">
        <v>2131</v>
      </c>
      <c r="G98" s="2"/>
      <c r="H98" s="2"/>
      <c r="I98" s="2" t="s">
        <v>2132</v>
      </c>
      <c r="J98" s="2" t="s">
        <v>1863</v>
      </c>
      <c r="K98" s="2"/>
      <c r="L98" s="2"/>
      <c r="M98" s="2" t="s">
        <v>77</v>
      </c>
      <c r="N98" s="2" t="s">
        <v>78</v>
      </c>
      <c r="O98" s="2"/>
      <c r="P98" s="2"/>
      <c r="Q98" s="2"/>
      <c r="R98" s="2"/>
      <c r="S98" s="2"/>
      <c r="T98" s="2" t="s">
        <v>2133</v>
      </c>
      <c r="U98" s="2" t="s">
        <v>2134</v>
      </c>
      <c r="V98" s="2" t="s">
        <v>2135</v>
      </c>
      <c r="W98" s="2" t="s">
        <v>2136</v>
      </c>
      <c r="X98" s="2" t="s">
        <v>2137</v>
      </c>
      <c r="Y98" s="2" t="s">
        <v>2138</v>
      </c>
      <c r="Z98" s="2" t="s">
        <v>2139</v>
      </c>
      <c r="AA98" s="2" t="s">
        <v>2140</v>
      </c>
      <c r="AB98" s="2"/>
      <c r="AC98" s="2" t="s">
        <v>2141</v>
      </c>
      <c r="AD98" s="2" t="s">
        <v>2142</v>
      </c>
      <c r="AE98" s="2" t="s">
        <v>2143</v>
      </c>
      <c r="AF98" s="2"/>
      <c r="AG98" s="2" t="n">
        <v>23</v>
      </c>
      <c r="AH98" s="2" t="n">
        <v>26</v>
      </c>
      <c r="AI98" s="2" t="n">
        <v>30</v>
      </c>
      <c r="AJ98" s="2" t="n">
        <v>0</v>
      </c>
      <c r="AK98" s="2" t="n">
        <v>12</v>
      </c>
      <c r="AL98" s="2" t="s">
        <v>302</v>
      </c>
      <c r="AM98" s="2" t="s">
        <v>303</v>
      </c>
      <c r="AN98" s="2" t="s">
        <v>304</v>
      </c>
      <c r="AO98" s="2"/>
      <c r="AP98" s="2" t="s">
        <v>1876</v>
      </c>
      <c r="AQ98" s="2"/>
      <c r="AR98" s="2" t="s">
        <v>1877</v>
      </c>
      <c r="AS98" s="2" t="s">
        <v>1878</v>
      </c>
      <c r="AT98" s="2" t="s">
        <v>2144</v>
      </c>
      <c r="AU98" s="2" t="n">
        <v>2021</v>
      </c>
      <c r="AV98" s="2" t="n">
        <v>18</v>
      </c>
      <c r="AW98" s="2" t="n">
        <v>1</v>
      </c>
      <c r="AX98" s="2"/>
      <c r="AY98" s="2"/>
      <c r="AZ98" s="2"/>
      <c r="BA98" s="2"/>
      <c r="BB98" s="2"/>
      <c r="BC98" s="2"/>
      <c r="BD98" s="2" t="n">
        <v>202</v>
      </c>
      <c r="BE98" s="2" t="s">
        <v>2145</v>
      </c>
      <c r="BF98" s="2" t="str">
        <f aca="false">HYPERLINK("http://dx.doi.org/10.1186/s12985-021-01669-y","http://dx.doi.org/10.1186/s12985-021-01669-y")</f>
        <v>http://dx.doi.org/10.1186/s12985-021-01669-y</v>
      </c>
      <c r="BG98" s="2"/>
      <c r="BH98" s="2"/>
      <c r="BI98" s="2" t="n">
        <v>6</v>
      </c>
      <c r="BJ98" s="2" t="s">
        <v>163</v>
      </c>
      <c r="BK98" s="2" t="s">
        <v>100</v>
      </c>
      <c r="BL98" s="2" t="s">
        <v>163</v>
      </c>
      <c r="BM98" s="2" t="s">
        <v>2146</v>
      </c>
      <c r="BN98" s="2" t="n">
        <v>34627307</v>
      </c>
      <c r="BO98" s="2" t="s">
        <v>190</v>
      </c>
      <c r="BP98" s="2"/>
      <c r="BQ98" s="2"/>
      <c r="BR98" s="2" t="s">
        <v>104</v>
      </c>
      <c r="BS98" s="2" t="s">
        <v>2147</v>
      </c>
      <c r="BT98" s="2" t="str">
        <f aca="false">HYPERLINK("https%3A%2F%2Fwww.webofscience.com%2Fwos%2Fwoscc%2Ffull-record%2FWOS:000705219500003","View Full Record in Web of Science")</f>
        <v>View Full Record in Web of Science</v>
      </c>
    </row>
    <row r="99" customFormat="false" ht="12.75" hidden="false" customHeight="false" outlineLevel="0" collapsed="false">
      <c r="A99" s="2" t="s">
        <v>72</v>
      </c>
      <c r="B99" s="2" t="s">
        <v>2148</v>
      </c>
      <c r="C99" s="2"/>
      <c r="D99" s="2"/>
      <c r="E99" s="2"/>
      <c r="F99" s="2" t="s">
        <v>2149</v>
      </c>
      <c r="G99" s="2"/>
      <c r="H99" s="2"/>
      <c r="I99" s="2" t="s">
        <v>2150</v>
      </c>
      <c r="J99" s="2" t="s">
        <v>370</v>
      </c>
      <c r="K99" s="2"/>
      <c r="L99" s="2"/>
      <c r="M99" s="2" t="s">
        <v>77</v>
      </c>
      <c r="N99" s="2" t="s">
        <v>78</v>
      </c>
      <c r="O99" s="2"/>
      <c r="P99" s="2"/>
      <c r="Q99" s="2"/>
      <c r="R99" s="2"/>
      <c r="S99" s="2"/>
      <c r="T99" s="2" t="s">
        <v>2151</v>
      </c>
      <c r="U99" s="2"/>
      <c r="V99" s="2" t="s">
        <v>2152</v>
      </c>
      <c r="W99" s="2" t="s">
        <v>2153</v>
      </c>
      <c r="X99" s="2" t="s">
        <v>2154</v>
      </c>
      <c r="Y99" s="2" t="s">
        <v>2155</v>
      </c>
      <c r="Z99" s="2" t="s">
        <v>2156</v>
      </c>
      <c r="AA99" s="2"/>
      <c r="AB99" s="2" t="s">
        <v>2157</v>
      </c>
      <c r="AC99" s="2"/>
      <c r="AD99" s="2"/>
      <c r="AE99" s="2"/>
      <c r="AF99" s="2"/>
      <c r="AG99" s="2" t="n">
        <v>11</v>
      </c>
      <c r="AH99" s="2" t="n">
        <v>91</v>
      </c>
      <c r="AI99" s="2" t="n">
        <v>91</v>
      </c>
      <c r="AJ99" s="2" t="n">
        <v>0</v>
      </c>
      <c r="AK99" s="2" t="n">
        <v>9</v>
      </c>
      <c r="AL99" s="2" t="s">
        <v>383</v>
      </c>
      <c r="AM99" s="2" t="s">
        <v>384</v>
      </c>
      <c r="AN99" s="2" t="s">
        <v>385</v>
      </c>
      <c r="AO99" s="2" t="s">
        <v>386</v>
      </c>
      <c r="AP99" s="2" t="s">
        <v>387</v>
      </c>
      <c r="AQ99" s="2"/>
      <c r="AR99" s="2" t="s">
        <v>388</v>
      </c>
      <c r="AS99" s="2" t="s">
        <v>389</v>
      </c>
      <c r="AT99" s="2" t="s">
        <v>692</v>
      </c>
      <c r="AU99" s="2" t="n">
        <v>2021</v>
      </c>
      <c r="AV99" s="2" t="n">
        <v>137</v>
      </c>
      <c r="AW99" s="2"/>
      <c r="AX99" s="2"/>
      <c r="AY99" s="2"/>
      <c r="AZ99" s="2"/>
      <c r="BA99" s="2"/>
      <c r="BB99" s="2"/>
      <c r="BC99" s="2"/>
      <c r="BD99" s="2" t="n">
        <v>104795</v>
      </c>
      <c r="BE99" s="2" t="s">
        <v>2158</v>
      </c>
      <c r="BF99" s="2" t="str">
        <f aca="false">HYPERLINK("http://dx.doi.org/10.1016/j.jcv.2021.104795","http://dx.doi.org/10.1016/j.jcv.2021.104795")</f>
        <v>http://dx.doi.org/10.1016/j.jcv.2021.104795</v>
      </c>
      <c r="BG99" s="2"/>
      <c r="BH99" s="2" t="s">
        <v>2159</v>
      </c>
      <c r="BI99" s="2" t="n">
        <v>4</v>
      </c>
      <c r="BJ99" s="2" t="s">
        <v>163</v>
      </c>
      <c r="BK99" s="2" t="s">
        <v>100</v>
      </c>
      <c r="BL99" s="2" t="s">
        <v>163</v>
      </c>
      <c r="BM99" s="2" t="s">
        <v>2160</v>
      </c>
      <c r="BN99" s="2" t="n">
        <v>33761423</v>
      </c>
      <c r="BO99" s="2" t="s">
        <v>284</v>
      </c>
      <c r="BP99" s="2"/>
      <c r="BQ99" s="2"/>
      <c r="BR99" s="2" t="s">
        <v>104</v>
      </c>
      <c r="BS99" s="2" t="s">
        <v>2161</v>
      </c>
      <c r="BT99" s="2" t="str">
        <f aca="false">HYPERLINK("https%3A%2F%2Fwww.webofscience.com%2Fwos%2Fwoscc%2Ffull-record%2FWOS:000636118800009","View Full Record in Web of Science")</f>
        <v>View Full Record in Web of Science</v>
      </c>
    </row>
    <row r="100" customFormat="false" ht="12.75" hidden="false" customHeight="false" outlineLevel="0" collapsed="false">
      <c r="A100" s="2" t="s">
        <v>72</v>
      </c>
      <c r="B100" s="2" t="s">
        <v>2162</v>
      </c>
      <c r="C100" s="2"/>
      <c r="D100" s="2"/>
      <c r="E100" s="2"/>
      <c r="F100" s="2" t="s">
        <v>2163</v>
      </c>
      <c r="G100" s="2"/>
      <c r="H100" s="2"/>
      <c r="I100" s="2" t="s">
        <v>2164</v>
      </c>
      <c r="J100" s="2" t="s">
        <v>370</v>
      </c>
      <c r="K100" s="2"/>
      <c r="L100" s="2"/>
      <c r="M100" s="2" t="s">
        <v>77</v>
      </c>
      <c r="N100" s="2" t="s">
        <v>78</v>
      </c>
      <c r="O100" s="2"/>
      <c r="P100" s="2"/>
      <c r="Q100" s="2"/>
      <c r="R100" s="2"/>
      <c r="S100" s="2"/>
      <c r="T100" s="2" t="s">
        <v>2165</v>
      </c>
      <c r="U100" s="2"/>
      <c r="V100" s="2" t="s">
        <v>2166</v>
      </c>
      <c r="W100" s="2" t="s">
        <v>2167</v>
      </c>
      <c r="X100" s="2" t="s">
        <v>2168</v>
      </c>
      <c r="Y100" s="2" t="s">
        <v>2169</v>
      </c>
      <c r="Z100" s="2" t="s">
        <v>2170</v>
      </c>
      <c r="AA100" s="2" t="s">
        <v>2171</v>
      </c>
      <c r="AB100" s="2" t="s">
        <v>2172</v>
      </c>
      <c r="AC100" s="2" t="s">
        <v>2173</v>
      </c>
      <c r="AD100" s="2" t="s">
        <v>2174</v>
      </c>
      <c r="AE100" s="2" t="s">
        <v>2175</v>
      </c>
      <c r="AF100" s="2"/>
      <c r="AG100" s="2" t="n">
        <v>11</v>
      </c>
      <c r="AH100" s="2" t="n">
        <v>44</v>
      </c>
      <c r="AI100" s="2" t="n">
        <v>46</v>
      </c>
      <c r="AJ100" s="2" t="n">
        <v>0</v>
      </c>
      <c r="AK100" s="2" t="n">
        <v>7</v>
      </c>
      <c r="AL100" s="2" t="s">
        <v>383</v>
      </c>
      <c r="AM100" s="2" t="s">
        <v>384</v>
      </c>
      <c r="AN100" s="2" t="s">
        <v>385</v>
      </c>
      <c r="AO100" s="2" t="s">
        <v>386</v>
      </c>
      <c r="AP100" s="2" t="s">
        <v>387</v>
      </c>
      <c r="AQ100" s="2"/>
      <c r="AR100" s="2" t="s">
        <v>388</v>
      </c>
      <c r="AS100" s="2" t="s">
        <v>389</v>
      </c>
      <c r="AT100" s="2" t="s">
        <v>185</v>
      </c>
      <c r="AU100" s="2" t="n">
        <v>2020</v>
      </c>
      <c r="AV100" s="2" t="n">
        <v>129</v>
      </c>
      <c r="AW100" s="2"/>
      <c r="AX100" s="2"/>
      <c r="AY100" s="2"/>
      <c r="AZ100" s="2"/>
      <c r="BA100" s="2"/>
      <c r="BB100" s="2"/>
      <c r="BC100" s="2"/>
      <c r="BD100" s="2" t="n">
        <v>104543</v>
      </c>
      <c r="BE100" s="2" t="s">
        <v>2176</v>
      </c>
      <c r="BF100" s="2" t="str">
        <f aca="false">HYPERLINK("http://dx.doi.org/10.1016/j.jcv.2020.104543","http://dx.doi.org/10.1016/j.jcv.2020.104543")</f>
        <v>http://dx.doi.org/10.1016/j.jcv.2020.104543</v>
      </c>
      <c r="BG100" s="2"/>
      <c r="BH100" s="2"/>
      <c r="BI100" s="2" t="n">
        <v>4</v>
      </c>
      <c r="BJ100" s="2" t="s">
        <v>163</v>
      </c>
      <c r="BK100" s="2" t="s">
        <v>100</v>
      </c>
      <c r="BL100" s="2" t="s">
        <v>163</v>
      </c>
      <c r="BM100" s="2" t="s">
        <v>2177</v>
      </c>
      <c r="BN100" s="2" t="n">
        <v>32663787</v>
      </c>
      <c r="BO100" s="2" t="s">
        <v>2178</v>
      </c>
      <c r="BP100" s="2"/>
      <c r="BQ100" s="2"/>
      <c r="BR100" s="2" t="s">
        <v>104</v>
      </c>
      <c r="BS100" s="2" t="s">
        <v>2179</v>
      </c>
      <c r="BT100" s="2" t="str">
        <f aca="false">HYPERLINK("https%3A%2F%2Fwww.webofscience.com%2Fwos%2Fwoscc%2Ffull-record%2FWOS:000552973400022","View Full Record in Web of Science")</f>
        <v>View Full Record in Web of Science</v>
      </c>
    </row>
    <row r="101" customFormat="false" ht="12.75" hidden="false" customHeight="false" outlineLevel="0" collapsed="false">
      <c r="A101" s="2" t="s">
        <v>72</v>
      </c>
      <c r="B101" s="2" t="s">
        <v>2180</v>
      </c>
      <c r="C101" s="2"/>
      <c r="D101" s="2"/>
      <c r="E101" s="2"/>
      <c r="F101" s="2" t="s">
        <v>2181</v>
      </c>
      <c r="G101" s="2"/>
      <c r="H101" s="2"/>
      <c r="I101" s="2" t="s">
        <v>2182</v>
      </c>
      <c r="J101" s="2" t="s">
        <v>770</v>
      </c>
      <c r="K101" s="2"/>
      <c r="L101" s="2"/>
      <c r="M101" s="2" t="s">
        <v>77</v>
      </c>
      <c r="N101" s="2" t="s">
        <v>78</v>
      </c>
      <c r="O101" s="2"/>
      <c r="P101" s="2"/>
      <c r="Q101" s="2"/>
      <c r="R101" s="2"/>
      <c r="S101" s="2"/>
      <c r="T101" s="2" t="s">
        <v>2183</v>
      </c>
      <c r="U101" s="2" t="s">
        <v>2184</v>
      </c>
      <c r="V101" s="2" t="s">
        <v>2185</v>
      </c>
      <c r="W101" s="2" t="s">
        <v>2186</v>
      </c>
      <c r="X101" s="2" t="s">
        <v>1437</v>
      </c>
      <c r="Y101" s="2" t="s">
        <v>2187</v>
      </c>
      <c r="Z101" s="2" t="s">
        <v>2188</v>
      </c>
      <c r="AA101" s="2" t="s">
        <v>2189</v>
      </c>
      <c r="AB101" s="2"/>
      <c r="AC101" s="2" t="s">
        <v>2190</v>
      </c>
      <c r="AD101" s="2" t="s">
        <v>2191</v>
      </c>
      <c r="AE101" s="2" t="s">
        <v>2192</v>
      </c>
      <c r="AF101" s="2"/>
      <c r="AG101" s="2" t="n">
        <v>15</v>
      </c>
      <c r="AH101" s="2" t="n">
        <v>19</v>
      </c>
      <c r="AI101" s="2" t="n">
        <v>20</v>
      </c>
      <c r="AJ101" s="2" t="n">
        <v>1</v>
      </c>
      <c r="AK101" s="2" t="n">
        <v>16</v>
      </c>
      <c r="AL101" s="2" t="s">
        <v>782</v>
      </c>
      <c r="AM101" s="2" t="s">
        <v>2193</v>
      </c>
      <c r="AN101" s="2" t="s">
        <v>2194</v>
      </c>
      <c r="AO101" s="2" t="s">
        <v>785</v>
      </c>
      <c r="AP101" s="2" t="s">
        <v>786</v>
      </c>
      <c r="AQ101" s="2"/>
      <c r="AR101" s="2" t="s">
        <v>787</v>
      </c>
      <c r="AS101" s="2" t="s">
        <v>788</v>
      </c>
      <c r="AT101" s="2" t="s">
        <v>1041</v>
      </c>
      <c r="AU101" s="2" t="n">
        <v>2021</v>
      </c>
      <c r="AV101" s="2" t="n">
        <v>103</v>
      </c>
      <c r="AW101" s="2"/>
      <c r="AX101" s="2"/>
      <c r="AY101" s="2"/>
      <c r="AZ101" s="2"/>
      <c r="BA101" s="2"/>
      <c r="BB101" s="2" t="n">
        <v>517</v>
      </c>
      <c r="BC101" s="2" t="n">
        <v>524</v>
      </c>
      <c r="BD101" s="2"/>
      <c r="BE101" s="2" t="s">
        <v>2195</v>
      </c>
      <c r="BF101" s="2" t="str">
        <f aca="false">HYPERLINK("http://dx.doi.org/10.1016/j.ijid.2020.12.027","http://dx.doi.org/10.1016/j.ijid.2020.12.027")</f>
        <v>http://dx.doi.org/10.1016/j.ijid.2020.12.027</v>
      </c>
      <c r="BG101" s="2"/>
      <c r="BH101" s="2" t="s">
        <v>2196</v>
      </c>
      <c r="BI101" s="2" t="n">
        <v>8</v>
      </c>
      <c r="BJ101" s="2" t="s">
        <v>575</v>
      </c>
      <c r="BK101" s="2" t="s">
        <v>100</v>
      </c>
      <c r="BL101" s="2" t="s">
        <v>575</v>
      </c>
      <c r="BM101" s="2" t="s">
        <v>2197</v>
      </c>
      <c r="BN101" s="2" t="n">
        <v>33326873</v>
      </c>
      <c r="BO101" s="2" t="s">
        <v>103</v>
      </c>
      <c r="BP101" s="2"/>
      <c r="BQ101" s="2"/>
      <c r="BR101" s="2" t="s">
        <v>104</v>
      </c>
      <c r="BS101" s="2" t="s">
        <v>2198</v>
      </c>
      <c r="BT101" s="2" t="str">
        <f aca="false">HYPERLINK("https%3A%2F%2Fwww.webofscience.com%2Fwos%2Fwoscc%2Ffull-record%2FWOS:000616697100031","View Full Record in Web of Science")</f>
        <v>View Full Record in Web of Science</v>
      </c>
    </row>
    <row r="102" customFormat="false" ht="12.75" hidden="false" customHeight="false" outlineLevel="0" collapsed="false">
      <c r="A102" s="2" t="s">
        <v>72</v>
      </c>
      <c r="B102" s="2" t="s">
        <v>2199</v>
      </c>
      <c r="C102" s="2"/>
      <c r="D102" s="2"/>
      <c r="E102" s="2"/>
      <c r="F102" s="2" t="s">
        <v>2200</v>
      </c>
      <c r="G102" s="2"/>
      <c r="H102" s="2"/>
      <c r="I102" s="2" t="s">
        <v>2201</v>
      </c>
      <c r="J102" s="2" t="s">
        <v>514</v>
      </c>
      <c r="K102" s="2"/>
      <c r="L102" s="2"/>
      <c r="M102" s="2" t="s">
        <v>77</v>
      </c>
      <c r="N102" s="2" t="s">
        <v>78</v>
      </c>
      <c r="O102" s="2"/>
      <c r="P102" s="2"/>
      <c r="Q102" s="2"/>
      <c r="R102" s="2"/>
      <c r="S102" s="2"/>
      <c r="T102" s="2" t="s">
        <v>2202</v>
      </c>
      <c r="U102" s="2" t="s">
        <v>2203</v>
      </c>
      <c r="V102" s="2" t="s">
        <v>2204</v>
      </c>
      <c r="W102" s="2" t="s">
        <v>2205</v>
      </c>
      <c r="X102" s="2" t="s">
        <v>2206</v>
      </c>
      <c r="Y102" s="2" t="s">
        <v>2207</v>
      </c>
      <c r="Z102" s="2" t="s">
        <v>2208</v>
      </c>
      <c r="AA102" s="2" t="s">
        <v>2209</v>
      </c>
      <c r="AB102" s="2" t="s">
        <v>2210</v>
      </c>
      <c r="AC102" s="2" t="s">
        <v>2211</v>
      </c>
      <c r="AD102" s="2" t="s">
        <v>2212</v>
      </c>
      <c r="AE102" s="2" t="s">
        <v>2213</v>
      </c>
      <c r="AF102" s="2"/>
      <c r="AG102" s="2" t="n">
        <v>39</v>
      </c>
      <c r="AH102" s="2" t="n">
        <v>15</v>
      </c>
      <c r="AI102" s="2" t="n">
        <v>15</v>
      </c>
      <c r="AJ102" s="2" t="n">
        <v>1</v>
      </c>
      <c r="AK102" s="2" t="n">
        <v>8</v>
      </c>
      <c r="AL102" s="2" t="s">
        <v>527</v>
      </c>
      <c r="AM102" s="2" t="s">
        <v>528</v>
      </c>
      <c r="AN102" s="2" t="s">
        <v>529</v>
      </c>
      <c r="AO102" s="2" t="s">
        <v>530</v>
      </c>
      <c r="AP102" s="2" t="s">
        <v>531</v>
      </c>
      <c r="AQ102" s="2"/>
      <c r="AR102" s="2" t="s">
        <v>532</v>
      </c>
      <c r="AS102" s="2" t="s">
        <v>533</v>
      </c>
      <c r="AT102" s="2" t="s">
        <v>2214</v>
      </c>
      <c r="AU102" s="2" t="n">
        <v>2022</v>
      </c>
      <c r="AV102" s="2" t="n">
        <v>226</v>
      </c>
      <c r="AW102" s="2" t="n">
        <v>12</v>
      </c>
      <c r="AX102" s="2"/>
      <c r="AY102" s="2"/>
      <c r="AZ102" s="2"/>
      <c r="BA102" s="2"/>
      <c r="BB102" s="2" t="n">
        <v>2095</v>
      </c>
      <c r="BC102" s="2" t="n">
        <v>2104</v>
      </c>
      <c r="BD102" s="2"/>
      <c r="BE102" s="2" t="s">
        <v>2215</v>
      </c>
      <c r="BF102" s="2" t="str">
        <f aca="false">HYPERLINK("http://dx.doi.org/10.1093/infdis/jiac357","http://dx.doi.org/10.1093/infdis/jiac357")</f>
        <v>http://dx.doi.org/10.1093/infdis/jiac357</v>
      </c>
      <c r="BG102" s="2"/>
      <c r="BH102" s="2" t="s">
        <v>2216</v>
      </c>
      <c r="BI102" s="2" t="n">
        <v>10</v>
      </c>
      <c r="BJ102" s="2" t="s">
        <v>536</v>
      </c>
      <c r="BK102" s="2" t="s">
        <v>100</v>
      </c>
      <c r="BL102" s="2" t="s">
        <v>536</v>
      </c>
      <c r="BM102" s="2" t="s">
        <v>2217</v>
      </c>
      <c r="BN102" s="2" t="n">
        <v>36031537</v>
      </c>
      <c r="BO102" s="2" t="s">
        <v>165</v>
      </c>
      <c r="BP102" s="2"/>
      <c r="BQ102" s="2"/>
      <c r="BR102" s="2" t="s">
        <v>104</v>
      </c>
      <c r="BS102" s="2" t="s">
        <v>2218</v>
      </c>
      <c r="BT102" s="2" t="str">
        <f aca="false">HYPERLINK("https%3A%2F%2Fwww.webofscience.com%2Fwos%2Fwoscc%2Ffull-record%2FWOS:000853179000001","View Full Record in Web of Science")</f>
        <v>View Full Record in Web of Science</v>
      </c>
    </row>
    <row r="103" customFormat="false" ht="12.75" hidden="false" customHeight="false" outlineLevel="0" collapsed="false">
      <c r="A103" s="2" t="s">
        <v>72</v>
      </c>
      <c r="B103" s="2" t="s">
        <v>2219</v>
      </c>
      <c r="C103" s="2"/>
      <c r="D103" s="2"/>
      <c r="E103" s="2"/>
      <c r="F103" s="2" t="s">
        <v>2220</v>
      </c>
      <c r="G103" s="2"/>
      <c r="H103" s="2"/>
      <c r="I103" s="2" t="s">
        <v>2221</v>
      </c>
      <c r="J103" s="2" t="s">
        <v>2222</v>
      </c>
      <c r="K103" s="2"/>
      <c r="L103" s="2"/>
      <c r="M103" s="2" t="s">
        <v>77</v>
      </c>
      <c r="N103" s="2" t="s">
        <v>78</v>
      </c>
      <c r="O103" s="2"/>
      <c r="P103" s="2"/>
      <c r="Q103" s="2"/>
      <c r="R103" s="2"/>
      <c r="S103" s="2"/>
      <c r="T103" s="2" t="s">
        <v>2223</v>
      </c>
      <c r="U103" s="2"/>
      <c r="V103" s="2" t="s">
        <v>2224</v>
      </c>
      <c r="W103" s="2" t="s">
        <v>2225</v>
      </c>
      <c r="X103" s="2" t="s">
        <v>2226</v>
      </c>
      <c r="Y103" s="2" t="s">
        <v>2227</v>
      </c>
      <c r="Z103" s="2" t="s">
        <v>2228</v>
      </c>
      <c r="AA103" s="2" t="s">
        <v>2229</v>
      </c>
      <c r="AB103" s="2" t="s">
        <v>2230</v>
      </c>
      <c r="AC103" s="2" t="s">
        <v>2231</v>
      </c>
      <c r="AD103" s="2" t="s">
        <v>2232</v>
      </c>
      <c r="AE103" s="2" t="s">
        <v>2233</v>
      </c>
      <c r="AF103" s="2"/>
      <c r="AG103" s="2" t="n">
        <v>16</v>
      </c>
      <c r="AH103" s="2" t="n">
        <v>25</v>
      </c>
      <c r="AI103" s="2" t="n">
        <v>25</v>
      </c>
      <c r="AJ103" s="2" t="n">
        <v>0</v>
      </c>
      <c r="AK103" s="2" t="n">
        <v>10</v>
      </c>
      <c r="AL103" s="2" t="s">
        <v>755</v>
      </c>
      <c r="AM103" s="2" t="s">
        <v>273</v>
      </c>
      <c r="AN103" s="2" t="s">
        <v>756</v>
      </c>
      <c r="AO103" s="2" t="s">
        <v>2234</v>
      </c>
      <c r="AP103" s="2" t="s">
        <v>2235</v>
      </c>
      <c r="AQ103" s="2"/>
      <c r="AR103" s="2" t="s">
        <v>2236</v>
      </c>
      <c r="AS103" s="2" t="s">
        <v>2237</v>
      </c>
      <c r="AT103" s="2" t="s">
        <v>161</v>
      </c>
      <c r="AU103" s="2" t="n">
        <v>2021</v>
      </c>
      <c r="AV103" s="2" t="n">
        <v>59</v>
      </c>
      <c r="AW103" s="2" t="n">
        <v>1</v>
      </c>
      <c r="AX103" s="2"/>
      <c r="AY103" s="2"/>
      <c r="AZ103" s="2"/>
      <c r="BA103" s="2"/>
      <c r="BB103" s="2"/>
      <c r="BC103" s="2"/>
      <c r="BD103" s="2" t="s">
        <v>2238</v>
      </c>
      <c r="BE103" s="2" t="s">
        <v>2239</v>
      </c>
      <c r="BF103" s="2" t="str">
        <f aca="false">HYPERLINK("http://dx.doi.org/10.1128/JCM.02142-20","http://dx.doi.org/10.1128/JCM.02142-20")</f>
        <v>http://dx.doi.org/10.1128/JCM.02142-20</v>
      </c>
      <c r="BG103" s="2"/>
      <c r="BH103" s="2"/>
      <c r="BI103" s="2" t="n">
        <v>6</v>
      </c>
      <c r="BJ103" s="2" t="s">
        <v>211</v>
      </c>
      <c r="BK103" s="2" t="s">
        <v>100</v>
      </c>
      <c r="BL103" s="2" t="s">
        <v>211</v>
      </c>
      <c r="BM103" s="2" t="s">
        <v>2240</v>
      </c>
      <c r="BN103" s="2" t="n">
        <v>33067271</v>
      </c>
      <c r="BO103" s="2" t="s">
        <v>2178</v>
      </c>
      <c r="BP103" s="2"/>
      <c r="BQ103" s="2"/>
      <c r="BR103" s="2" t="s">
        <v>104</v>
      </c>
      <c r="BS103" s="2" t="s">
        <v>2241</v>
      </c>
      <c r="BT103" s="2" t="str">
        <f aca="false">HYPERLINK("https%3A%2F%2Fwww.webofscience.com%2Fwos%2Fwoscc%2Ffull-record%2FWOS:000600837900025","View Full Record in Web of Science")</f>
        <v>View Full Record in Web of Science</v>
      </c>
    </row>
    <row r="104" customFormat="false" ht="12.75" hidden="false" customHeight="false" outlineLevel="0" collapsed="false">
      <c r="A104" s="2" t="s">
        <v>72</v>
      </c>
      <c r="B104" s="2" t="s">
        <v>2242</v>
      </c>
      <c r="C104" s="2"/>
      <c r="D104" s="2"/>
      <c r="E104" s="2"/>
      <c r="F104" s="2" t="s">
        <v>2243</v>
      </c>
      <c r="G104" s="2"/>
      <c r="H104" s="2" t="s">
        <v>2244</v>
      </c>
      <c r="I104" s="2" t="s">
        <v>2245</v>
      </c>
      <c r="J104" s="2" t="s">
        <v>514</v>
      </c>
      <c r="K104" s="2"/>
      <c r="L104" s="2"/>
      <c r="M104" s="2" t="s">
        <v>77</v>
      </c>
      <c r="N104" s="2" t="s">
        <v>78</v>
      </c>
      <c r="O104" s="2"/>
      <c r="P104" s="2"/>
      <c r="Q104" s="2"/>
      <c r="R104" s="2"/>
      <c r="S104" s="2"/>
      <c r="T104" s="2" t="s">
        <v>2246</v>
      </c>
      <c r="U104" s="2" t="s">
        <v>2247</v>
      </c>
      <c r="V104" s="2" t="s">
        <v>2248</v>
      </c>
      <c r="W104" s="2" t="s">
        <v>2249</v>
      </c>
      <c r="X104" s="2" t="s">
        <v>2250</v>
      </c>
      <c r="Y104" s="2" t="s">
        <v>2251</v>
      </c>
      <c r="Z104" s="2" t="s">
        <v>2252</v>
      </c>
      <c r="AA104" s="2" t="s">
        <v>2253</v>
      </c>
      <c r="AB104" s="2" t="s">
        <v>2254</v>
      </c>
      <c r="AC104" s="2"/>
      <c r="AD104" s="2"/>
      <c r="AE104" s="2"/>
      <c r="AF104" s="2"/>
      <c r="AG104" s="2" t="n">
        <v>47</v>
      </c>
      <c r="AH104" s="2" t="n">
        <v>7</v>
      </c>
      <c r="AI104" s="2" t="n">
        <v>7</v>
      </c>
      <c r="AJ104" s="2" t="n">
        <v>4</v>
      </c>
      <c r="AK104" s="2" t="n">
        <v>9</v>
      </c>
      <c r="AL104" s="2" t="s">
        <v>527</v>
      </c>
      <c r="AM104" s="2" t="s">
        <v>528</v>
      </c>
      <c r="AN104" s="2" t="s">
        <v>529</v>
      </c>
      <c r="AO104" s="2" t="s">
        <v>530</v>
      </c>
      <c r="AP104" s="2" t="s">
        <v>531</v>
      </c>
      <c r="AQ104" s="2"/>
      <c r="AR104" s="2" t="s">
        <v>532</v>
      </c>
      <c r="AS104" s="2" t="s">
        <v>533</v>
      </c>
      <c r="AT104" s="2" t="s">
        <v>2255</v>
      </c>
      <c r="AU104" s="2" t="n">
        <v>2024</v>
      </c>
      <c r="AV104" s="2" t="n">
        <v>229</v>
      </c>
      <c r="AW104" s="2" t="n">
        <v>1</v>
      </c>
      <c r="AX104" s="2"/>
      <c r="AY104" s="2"/>
      <c r="AZ104" s="2"/>
      <c r="BA104" s="2"/>
      <c r="BB104" s="2" t="n">
        <v>83</v>
      </c>
      <c r="BC104" s="2" t="n">
        <v>94</v>
      </c>
      <c r="BD104" s="2"/>
      <c r="BE104" s="2" t="s">
        <v>2256</v>
      </c>
      <c r="BF104" s="2" t="str">
        <f aca="false">HYPERLINK("http://dx.doi.org/10.1093/infdis/jiad268","http://dx.doi.org/10.1093/infdis/jiad268")</f>
        <v>http://dx.doi.org/10.1093/infdis/jiad268</v>
      </c>
      <c r="BG104" s="2"/>
      <c r="BH104" s="2"/>
      <c r="BI104" s="2" t="n">
        <v>12</v>
      </c>
      <c r="BJ104" s="2" t="s">
        <v>536</v>
      </c>
      <c r="BK104" s="2" t="s">
        <v>100</v>
      </c>
      <c r="BL104" s="2" t="s">
        <v>536</v>
      </c>
      <c r="BM104" s="2" t="s">
        <v>2257</v>
      </c>
      <c r="BN104" s="2" t="n">
        <v>37440459</v>
      </c>
      <c r="BO104" s="2" t="s">
        <v>765</v>
      </c>
      <c r="BP104" s="2"/>
      <c r="BQ104" s="2"/>
      <c r="BR104" s="2" t="s">
        <v>104</v>
      </c>
      <c r="BS104" s="2" t="s">
        <v>2258</v>
      </c>
      <c r="BT104" s="2" t="str">
        <f aca="false">HYPERLINK("https%3A%2F%2Fwww.webofscience.com%2Fwos%2Fwoscc%2Ffull-record%2FWOS:001343885600005","View Full Record in Web of Science")</f>
        <v>View Full Record in Web of Science</v>
      </c>
    </row>
    <row r="105" customFormat="false" ht="12.75" hidden="false" customHeight="false" outlineLevel="0" collapsed="false">
      <c r="A105" s="2" t="s">
        <v>72</v>
      </c>
      <c r="B105" s="2" t="s">
        <v>2259</v>
      </c>
      <c r="C105" s="2"/>
      <c r="D105" s="2"/>
      <c r="E105" s="2"/>
      <c r="F105" s="2" t="s">
        <v>2260</v>
      </c>
      <c r="G105" s="2"/>
      <c r="H105" s="2"/>
      <c r="I105" s="2" t="s">
        <v>2261</v>
      </c>
      <c r="J105" s="2" t="s">
        <v>2262</v>
      </c>
      <c r="K105" s="2"/>
      <c r="L105" s="2"/>
      <c r="M105" s="2" t="s">
        <v>77</v>
      </c>
      <c r="N105" s="2" t="s">
        <v>78</v>
      </c>
      <c r="O105" s="2"/>
      <c r="P105" s="2"/>
      <c r="Q105" s="2"/>
      <c r="R105" s="2"/>
      <c r="S105" s="2"/>
      <c r="T105" s="2" t="s">
        <v>2263</v>
      </c>
      <c r="U105" s="2" t="s">
        <v>2264</v>
      </c>
      <c r="V105" s="2" t="s">
        <v>2265</v>
      </c>
      <c r="W105" s="2" t="s">
        <v>2266</v>
      </c>
      <c r="X105" s="2" t="s">
        <v>2267</v>
      </c>
      <c r="Y105" s="2" t="s">
        <v>2268</v>
      </c>
      <c r="Z105" s="2" t="s">
        <v>2269</v>
      </c>
      <c r="AA105" s="2"/>
      <c r="AB105" s="2"/>
      <c r="AC105" s="2"/>
      <c r="AD105" s="2"/>
      <c r="AE105" s="2" t="s">
        <v>2270</v>
      </c>
      <c r="AF105" s="2"/>
      <c r="AG105" s="2" t="n">
        <v>27</v>
      </c>
      <c r="AH105" s="2" t="n">
        <v>0</v>
      </c>
      <c r="AI105" s="2" t="n">
        <v>0</v>
      </c>
      <c r="AJ105" s="2" t="n">
        <v>3</v>
      </c>
      <c r="AK105" s="2" t="n">
        <v>3</v>
      </c>
      <c r="AL105" s="2" t="s">
        <v>383</v>
      </c>
      <c r="AM105" s="2" t="s">
        <v>384</v>
      </c>
      <c r="AN105" s="2" t="s">
        <v>385</v>
      </c>
      <c r="AO105" s="2" t="s">
        <v>2271</v>
      </c>
      <c r="AP105" s="2" t="s">
        <v>2272</v>
      </c>
      <c r="AQ105" s="2"/>
      <c r="AR105" s="2" t="s">
        <v>2273</v>
      </c>
      <c r="AS105" s="2" t="s">
        <v>2274</v>
      </c>
      <c r="AT105" s="2" t="s">
        <v>129</v>
      </c>
      <c r="AU105" s="2" t="n">
        <v>2024</v>
      </c>
      <c r="AV105" s="2" t="n">
        <v>62</v>
      </c>
      <c r="AW105" s="2" t="n">
        <v>5</v>
      </c>
      <c r="AX105" s="2"/>
      <c r="AY105" s="2"/>
      <c r="AZ105" s="2"/>
      <c r="BA105" s="2"/>
      <c r="BB105" s="2" t="n">
        <v>884</v>
      </c>
      <c r="BC105" s="2" t="n">
        <v>888</v>
      </c>
      <c r="BD105" s="2"/>
      <c r="BE105" s="2" t="s">
        <v>2275</v>
      </c>
      <c r="BF105" s="2" t="str">
        <f aca="false">HYPERLINK("http://dx.doi.org/10.1016/j.resinv.2024.07.016","http://dx.doi.org/10.1016/j.resinv.2024.07.016")</f>
        <v>http://dx.doi.org/10.1016/j.resinv.2024.07.016</v>
      </c>
      <c r="BG105" s="2"/>
      <c r="BH105" s="2" t="s">
        <v>2276</v>
      </c>
      <c r="BI105" s="2" t="n">
        <v>5</v>
      </c>
      <c r="BJ105" s="2" t="s">
        <v>338</v>
      </c>
      <c r="BK105" s="2" t="s">
        <v>339</v>
      </c>
      <c r="BL105" s="2" t="s">
        <v>338</v>
      </c>
      <c r="BM105" s="2" t="s">
        <v>2277</v>
      </c>
      <c r="BN105" s="2" t="n">
        <v>39098246</v>
      </c>
      <c r="BO105" s="2" t="s">
        <v>2278</v>
      </c>
      <c r="BP105" s="2"/>
      <c r="BQ105" s="2"/>
      <c r="BR105" s="2" t="s">
        <v>104</v>
      </c>
      <c r="BS105" s="2" t="s">
        <v>2279</v>
      </c>
      <c r="BT105" s="2" t="str">
        <f aca="false">HYPERLINK("https%3A%2F%2Fwww.webofscience.com%2Fwos%2Fwoscc%2Ffull-record%2FWOS:001288606700001","View Full Record in Web of Science")</f>
        <v>View Full Record in Web of Science</v>
      </c>
    </row>
    <row r="106" customFormat="false" ht="12.75" hidden="false" customHeight="false" outlineLevel="0" collapsed="false">
      <c r="A106" s="2" t="s">
        <v>72</v>
      </c>
      <c r="B106" s="2" t="s">
        <v>2280</v>
      </c>
      <c r="C106" s="2"/>
      <c r="D106" s="2"/>
      <c r="E106" s="2"/>
      <c r="F106" s="2" t="s">
        <v>2281</v>
      </c>
      <c r="G106" s="2"/>
      <c r="H106" s="2" t="s">
        <v>2282</v>
      </c>
      <c r="I106" s="2" t="s">
        <v>2283</v>
      </c>
      <c r="J106" s="2" t="s">
        <v>557</v>
      </c>
      <c r="K106" s="2"/>
      <c r="L106" s="2"/>
      <c r="M106" s="2" t="s">
        <v>77</v>
      </c>
      <c r="N106" s="2" t="s">
        <v>78</v>
      </c>
      <c r="O106" s="2"/>
      <c r="P106" s="2"/>
      <c r="Q106" s="2"/>
      <c r="R106" s="2"/>
      <c r="S106" s="2"/>
      <c r="T106" s="2" t="s">
        <v>2284</v>
      </c>
      <c r="U106" s="2" t="s">
        <v>2285</v>
      </c>
      <c r="V106" s="2" t="s">
        <v>2286</v>
      </c>
      <c r="W106" s="2" t="s">
        <v>2287</v>
      </c>
      <c r="X106" s="2" t="s">
        <v>2288</v>
      </c>
      <c r="Y106" s="2" t="s">
        <v>2289</v>
      </c>
      <c r="Z106" s="2" t="s">
        <v>2290</v>
      </c>
      <c r="AA106" s="2" t="s">
        <v>2291</v>
      </c>
      <c r="AB106" s="2" t="s">
        <v>2292</v>
      </c>
      <c r="AC106" s="2" t="s">
        <v>2293</v>
      </c>
      <c r="AD106" s="2" t="s">
        <v>2294</v>
      </c>
      <c r="AE106" s="2" t="s">
        <v>2295</v>
      </c>
      <c r="AF106" s="2"/>
      <c r="AG106" s="2" t="n">
        <v>74</v>
      </c>
      <c r="AH106" s="2" t="n">
        <v>0</v>
      </c>
      <c r="AI106" s="2" t="n">
        <v>0</v>
      </c>
      <c r="AJ106" s="2" t="n">
        <v>1</v>
      </c>
      <c r="AK106" s="2" t="n">
        <v>1</v>
      </c>
      <c r="AL106" s="2" t="s">
        <v>302</v>
      </c>
      <c r="AM106" s="2" t="s">
        <v>303</v>
      </c>
      <c r="AN106" s="2" t="s">
        <v>304</v>
      </c>
      <c r="AO106" s="2"/>
      <c r="AP106" s="2" t="s">
        <v>570</v>
      </c>
      <c r="AQ106" s="2"/>
      <c r="AR106" s="2" t="s">
        <v>571</v>
      </c>
      <c r="AS106" s="2" t="s">
        <v>572</v>
      </c>
      <c r="AT106" s="2" t="s">
        <v>2296</v>
      </c>
      <c r="AU106" s="2" t="n">
        <v>2024</v>
      </c>
      <c r="AV106" s="2" t="n">
        <v>24</v>
      </c>
      <c r="AW106" s="2" t="n">
        <v>1</v>
      </c>
      <c r="AX106" s="2"/>
      <c r="AY106" s="2"/>
      <c r="AZ106" s="2"/>
      <c r="BA106" s="2"/>
      <c r="BB106" s="2"/>
      <c r="BC106" s="2"/>
      <c r="BD106" s="2" t="n">
        <v>637</v>
      </c>
      <c r="BE106" s="2" t="s">
        <v>2297</v>
      </c>
      <c r="BF106" s="2" t="str">
        <f aca="false">HYPERLINK("http://dx.doi.org/10.1186/s12879-024-09540-5","http://dx.doi.org/10.1186/s12879-024-09540-5")</f>
        <v>http://dx.doi.org/10.1186/s12879-024-09540-5</v>
      </c>
      <c r="BG106" s="2"/>
      <c r="BH106" s="2"/>
      <c r="BI106" s="2" t="n">
        <v>17</v>
      </c>
      <c r="BJ106" s="2" t="s">
        <v>575</v>
      </c>
      <c r="BK106" s="2" t="s">
        <v>100</v>
      </c>
      <c r="BL106" s="2" t="s">
        <v>575</v>
      </c>
      <c r="BM106" s="2" t="s">
        <v>2298</v>
      </c>
      <c r="BN106" s="2" t="n">
        <v>38926682</v>
      </c>
      <c r="BO106" s="2" t="s">
        <v>1355</v>
      </c>
      <c r="BP106" s="2"/>
      <c r="BQ106" s="2"/>
      <c r="BR106" s="2" t="s">
        <v>104</v>
      </c>
      <c r="BS106" s="2" t="s">
        <v>2299</v>
      </c>
      <c r="BT106" s="2" t="str">
        <f aca="false">HYPERLINK("https%3A%2F%2Fwww.webofscience.com%2Fwos%2Fwoscc%2Ffull-record%2FWOS:001255543000008","View Full Record in Web of Science")</f>
        <v>View Full Record in Web of Science</v>
      </c>
    </row>
    <row r="107" customFormat="false" ht="12.75" hidden="false" customHeight="false" outlineLevel="0" collapsed="false">
      <c r="A107" s="2" t="s">
        <v>72</v>
      </c>
      <c r="B107" s="2" t="s">
        <v>2300</v>
      </c>
      <c r="C107" s="2"/>
      <c r="D107" s="2"/>
      <c r="E107" s="2"/>
      <c r="F107" s="2" t="s">
        <v>2301</v>
      </c>
      <c r="G107" s="2"/>
      <c r="H107" s="2"/>
      <c r="I107" s="2" t="s">
        <v>2302</v>
      </c>
      <c r="J107" s="2" t="s">
        <v>370</v>
      </c>
      <c r="K107" s="2"/>
      <c r="L107" s="2"/>
      <c r="M107" s="2" t="s">
        <v>77</v>
      </c>
      <c r="N107" s="2" t="s">
        <v>78</v>
      </c>
      <c r="O107" s="2"/>
      <c r="P107" s="2"/>
      <c r="Q107" s="2"/>
      <c r="R107" s="2"/>
      <c r="S107" s="2"/>
      <c r="T107" s="2" t="s">
        <v>2303</v>
      </c>
      <c r="U107" s="2" t="s">
        <v>2304</v>
      </c>
      <c r="V107" s="2" t="s">
        <v>2305</v>
      </c>
      <c r="W107" s="2" t="s">
        <v>2306</v>
      </c>
      <c r="X107" s="2" t="s">
        <v>2307</v>
      </c>
      <c r="Y107" s="2" t="s">
        <v>2308</v>
      </c>
      <c r="Z107" s="2"/>
      <c r="AA107" s="2"/>
      <c r="AB107" s="2"/>
      <c r="AC107" s="2"/>
      <c r="AD107" s="2"/>
      <c r="AE107" s="2"/>
      <c r="AF107" s="2"/>
      <c r="AG107" s="2" t="n">
        <v>39</v>
      </c>
      <c r="AH107" s="2" t="n">
        <v>1</v>
      </c>
      <c r="AI107" s="2" t="n">
        <v>1</v>
      </c>
      <c r="AJ107" s="2" t="n">
        <v>4</v>
      </c>
      <c r="AK107" s="2" t="n">
        <v>5</v>
      </c>
      <c r="AL107" s="2" t="s">
        <v>383</v>
      </c>
      <c r="AM107" s="2" t="s">
        <v>384</v>
      </c>
      <c r="AN107" s="2" t="s">
        <v>385</v>
      </c>
      <c r="AO107" s="2" t="s">
        <v>386</v>
      </c>
      <c r="AP107" s="2" t="s">
        <v>387</v>
      </c>
      <c r="AQ107" s="2"/>
      <c r="AR107" s="2" t="s">
        <v>388</v>
      </c>
      <c r="AS107" s="2" t="s">
        <v>389</v>
      </c>
      <c r="AT107" s="2" t="s">
        <v>185</v>
      </c>
      <c r="AU107" s="2" t="n">
        <v>2024</v>
      </c>
      <c r="AV107" s="2" t="n">
        <v>173</v>
      </c>
      <c r="AW107" s="2"/>
      <c r="AX107" s="2"/>
      <c r="AY107" s="2"/>
      <c r="AZ107" s="2"/>
      <c r="BA107" s="2"/>
      <c r="BB107" s="2"/>
      <c r="BC107" s="2"/>
      <c r="BD107" s="2" t="n">
        <v>105693</v>
      </c>
      <c r="BE107" s="2" t="s">
        <v>2309</v>
      </c>
      <c r="BF107" s="2" t="str">
        <f aca="false">HYPERLINK("http://dx.doi.org/10.1016/j.jcv.2024.105693","http://dx.doi.org/10.1016/j.jcv.2024.105693")</f>
        <v>http://dx.doi.org/10.1016/j.jcv.2024.105693</v>
      </c>
      <c r="BG107" s="2"/>
      <c r="BH107" s="2" t="s">
        <v>2310</v>
      </c>
      <c r="BI107" s="2" t="n">
        <v>7</v>
      </c>
      <c r="BJ107" s="2" t="s">
        <v>163</v>
      </c>
      <c r="BK107" s="2" t="s">
        <v>100</v>
      </c>
      <c r="BL107" s="2" t="s">
        <v>163</v>
      </c>
      <c r="BM107" s="2" t="s">
        <v>2311</v>
      </c>
      <c r="BN107" s="2" t="n">
        <v>38820916</v>
      </c>
      <c r="BO107" s="2" t="s">
        <v>2278</v>
      </c>
      <c r="BP107" s="2"/>
      <c r="BQ107" s="2"/>
      <c r="BR107" s="2" t="s">
        <v>104</v>
      </c>
      <c r="BS107" s="2" t="s">
        <v>2312</v>
      </c>
      <c r="BT107" s="2" t="str">
        <f aca="false">HYPERLINK("https%3A%2F%2Fwww.webofscience.com%2Fwos%2Fwoscc%2Ffull-record%2FWOS:001249297000002","View Full Record in Web of Science")</f>
        <v>View Full Record in Web of Science</v>
      </c>
    </row>
    <row r="108" customFormat="false" ht="12.75" hidden="false" customHeight="false" outlineLevel="0" collapsed="false">
      <c r="A108" s="2" t="s">
        <v>72</v>
      </c>
      <c r="B108" s="2" t="s">
        <v>2313</v>
      </c>
      <c r="C108" s="2"/>
      <c r="D108" s="2"/>
      <c r="E108" s="2"/>
      <c r="F108" s="2" t="s">
        <v>2313</v>
      </c>
      <c r="G108" s="2"/>
      <c r="H108" s="2"/>
      <c r="I108" s="2" t="s">
        <v>2314</v>
      </c>
      <c r="J108" s="2" t="s">
        <v>717</v>
      </c>
      <c r="K108" s="2"/>
      <c r="L108" s="2"/>
      <c r="M108" s="2" t="s">
        <v>77</v>
      </c>
      <c r="N108" s="2" t="s">
        <v>78</v>
      </c>
      <c r="O108" s="2"/>
      <c r="P108" s="2"/>
      <c r="Q108" s="2"/>
      <c r="R108" s="2"/>
      <c r="S108" s="2"/>
      <c r="T108" s="2" t="s">
        <v>2315</v>
      </c>
      <c r="U108" s="2" t="s">
        <v>2316</v>
      </c>
      <c r="V108" s="2" t="s">
        <v>2317</v>
      </c>
      <c r="W108" s="2" t="s">
        <v>2318</v>
      </c>
      <c r="X108" s="2" t="s">
        <v>2319</v>
      </c>
      <c r="Y108" s="2" t="s">
        <v>2320</v>
      </c>
      <c r="Z108" s="2" t="s">
        <v>2321</v>
      </c>
      <c r="AA108" s="2" t="s">
        <v>2322</v>
      </c>
      <c r="AB108" s="2" t="s">
        <v>2323</v>
      </c>
      <c r="AC108" s="2"/>
      <c r="AD108" s="2"/>
      <c r="AE108" s="2"/>
      <c r="AF108" s="2"/>
      <c r="AG108" s="2" t="n">
        <v>37</v>
      </c>
      <c r="AH108" s="2" t="n">
        <v>38</v>
      </c>
      <c r="AI108" s="2" t="n">
        <v>47</v>
      </c>
      <c r="AJ108" s="2" t="n">
        <v>0</v>
      </c>
      <c r="AK108" s="2" t="n">
        <v>3</v>
      </c>
      <c r="AL108" s="2" t="s">
        <v>383</v>
      </c>
      <c r="AM108" s="2" t="s">
        <v>384</v>
      </c>
      <c r="AN108" s="2" t="s">
        <v>385</v>
      </c>
      <c r="AO108" s="2" t="s">
        <v>729</v>
      </c>
      <c r="AP108" s="2" t="s">
        <v>730</v>
      </c>
      <c r="AQ108" s="2"/>
      <c r="AR108" s="2" t="s">
        <v>731</v>
      </c>
      <c r="AS108" s="2" t="s">
        <v>732</v>
      </c>
      <c r="AT108" s="2" t="s">
        <v>336</v>
      </c>
      <c r="AU108" s="2" t="n">
        <v>2005</v>
      </c>
      <c r="AV108" s="2" t="n">
        <v>129</v>
      </c>
      <c r="AW108" s="2" t="n">
        <v>1</v>
      </c>
      <c r="AX108" s="2"/>
      <c r="AY108" s="2"/>
      <c r="AZ108" s="2"/>
      <c r="BA108" s="2"/>
      <c r="BB108" s="2" t="n">
        <v>1</v>
      </c>
      <c r="BC108" s="2" t="n">
        <v>7</v>
      </c>
      <c r="BD108" s="2"/>
      <c r="BE108" s="2" t="s">
        <v>2324</v>
      </c>
      <c r="BF108" s="2" t="str">
        <f aca="false">HYPERLINK("http://dx.doi.org/10.1016/j.jviromet.2005.05.004","http://dx.doi.org/10.1016/j.jviromet.2005.05.004")</f>
        <v>http://dx.doi.org/10.1016/j.jviromet.2005.05.004</v>
      </c>
      <c r="BG108" s="2"/>
      <c r="BH108" s="2"/>
      <c r="BI108" s="2" t="n">
        <v>7</v>
      </c>
      <c r="BJ108" s="2" t="s">
        <v>735</v>
      </c>
      <c r="BK108" s="2" t="s">
        <v>100</v>
      </c>
      <c r="BL108" s="2" t="s">
        <v>736</v>
      </c>
      <c r="BM108" s="2" t="s">
        <v>2325</v>
      </c>
      <c r="BN108" s="2" t="n">
        <v>15961167</v>
      </c>
      <c r="BO108" s="2" t="s">
        <v>165</v>
      </c>
      <c r="BP108" s="2"/>
      <c r="BQ108" s="2"/>
      <c r="BR108" s="2" t="s">
        <v>104</v>
      </c>
      <c r="BS108" s="2" t="s">
        <v>2326</v>
      </c>
      <c r="BT108" s="2" t="str">
        <f aca="false">HYPERLINK("https%3A%2F%2Fwww.webofscience.com%2Fwos%2Fwoscc%2Ffull-record%2FWOS:000231936500001","View Full Record in Web of Science")</f>
        <v>View Full Record in Web of Science</v>
      </c>
    </row>
    <row r="109" customFormat="false" ht="12.75" hidden="false" customHeight="false" outlineLevel="0" collapsed="false">
      <c r="A109" s="2" t="s">
        <v>72</v>
      </c>
      <c r="B109" s="2" t="s">
        <v>2327</v>
      </c>
      <c r="C109" s="2"/>
      <c r="D109" s="2"/>
      <c r="E109" s="2"/>
      <c r="F109" s="2" t="s">
        <v>2328</v>
      </c>
      <c r="G109" s="2"/>
      <c r="H109" s="2"/>
      <c r="I109" s="2" t="s">
        <v>2329</v>
      </c>
      <c r="J109" s="2" t="s">
        <v>1863</v>
      </c>
      <c r="K109" s="2"/>
      <c r="L109" s="2"/>
      <c r="M109" s="2" t="s">
        <v>77</v>
      </c>
      <c r="N109" s="2" t="s">
        <v>78</v>
      </c>
      <c r="O109" s="2"/>
      <c r="P109" s="2"/>
      <c r="Q109" s="2"/>
      <c r="R109" s="2"/>
      <c r="S109" s="2"/>
      <c r="T109" s="2" t="s">
        <v>2330</v>
      </c>
      <c r="U109" s="2" t="s">
        <v>2331</v>
      </c>
      <c r="V109" s="2" t="s">
        <v>2332</v>
      </c>
      <c r="W109" s="2" t="s">
        <v>2333</v>
      </c>
      <c r="X109" s="2" t="s">
        <v>2334</v>
      </c>
      <c r="Y109" s="2" t="s">
        <v>2335</v>
      </c>
      <c r="Z109" s="2" t="s">
        <v>2336</v>
      </c>
      <c r="AA109" s="2"/>
      <c r="AB109" s="2"/>
      <c r="AC109" s="2"/>
      <c r="AD109" s="2"/>
      <c r="AE109" s="2"/>
      <c r="AF109" s="2"/>
      <c r="AG109" s="2" t="n">
        <v>21</v>
      </c>
      <c r="AH109" s="2" t="n">
        <v>36</v>
      </c>
      <c r="AI109" s="2" t="n">
        <v>36</v>
      </c>
      <c r="AJ109" s="2" t="n">
        <v>4</v>
      </c>
      <c r="AK109" s="2" t="n">
        <v>9</v>
      </c>
      <c r="AL109" s="2" t="s">
        <v>2337</v>
      </c>
      <c r="AM109" s="2" t="s">
        <v>303</v>
      </c>
      <c r="AN109" s="2" t="s">
        <v>2338</v>
      </c>
      <c r="AO109" s="2" t="s">
        <v>1876</v>
      </c>
      <c r="AP109" s="2"/>
      <c r="AQ109" s="2"/>
      <c r="AR109" s="2" t="s">
        <v>1877</v>
      </c>
      <c r="AS109" s="2" t="s">
        <v>1878</v>
      </c>
      <c r="AT109" s="2" t="s">
        <v>2339</v>
      </c>
      <c r="AU109" s="2" t="n">
        <v>2012</v>
      </c>
      <c r="AV109" s="2" t="n">
        <v>9</v>
      </c>
      <c r="AW109" s="2"/>
      <c r="AX109" s="2"/>
      <c r="AY109" s="2"/>
      <c r="AZ109" s="2"/>
      <c r="BA109" s="2"/>
      <c r="BB109" s="2"/>
      <c r="BC109" s="2"/>
      <c r="BD109" s="2" t="n">
        <v>253</v>
      </c>
      <c r="BE109" s="2" t="s">
        <v>2340</v>
      </c>
      <c r="BF109" s="2" t="str">
        <f aca="false">HYPERLINK("http://dx.doi.org/10.1186/1743-422X-9-253","http://dx.doi.org/10.1186/1743-422X-9-253")</f>
        <v>http://dx.doi.org/10.1186/1743-422X-9-253</v>
      </c>
      <c r="BG109" s="2"/>
      <c r="BH109" s="2"/>
      <c r="BI109" s="2" t="n">
        <v>7</v>
      </c>
      <c r="BJ109" s="2" t="s">
        <v>163</v>
      </c>
      <c r="BK109" s="2" t="s">
        <v>100</v>
      </c>
      <c r="BL109" s="2" t="s">
        <v>163</v>
      </c>
      <c r="BM109" s="2" t="s">
        <v>2341</v>
      </c>
      <c r="BN109" s="2" t="n">
        <v>23114196</v>
      </c>
      <c r="BO109" s="2" t="s">
        <v>190</v>
      </c>
      <c r="BP109" s="2"/>
      <c r="BQ109" s="2"/>
      <c r="BR109" s="2" t="s">
        <v>104</v>
      </c>
      <c r="BS109" s="2" t="s">
        <v>2342</v>
      </c>
      <c r="BT109" s="2" t="str">
        <f aca="false">HYPERLINK("https%3A%2F%2Fwww.webofscience.com%2Fwos%2Fwoscc%2Ffull-record%2FWOS:000311963800001","View Full Record in Web of Science")</f>
        <v>View Full Record in Web of Science</v>
      </c>
    </row>
    <row r="110" customFormat="false" ht="12.75" hidden="false" customHeight="false" outlineLevel="0" collapsed="false">
      <c r="A110" s="2" t="s">
        <v>72</v>
      </c>
      <c r="B110" s="2" t="s">
        <v>2343</v>
      </c>
      <c r="C110" s="2"/>
      <c r="D110" s="2"/>
      <c r="E110" s="2"/>
      <c r="F110" s="2" t="s">
        <v>2344</v>
      </c>
      <c r="G110" s="2"/>
      <c r="H110" s="2"/>
      <c r="I110" s="2" t="s">
        <v>2345</v>
      </c>
      <c r="J110" s="2" t="s">
        <v>2346</v>
      </c>
      <c r="K110" s="2"/>
      <c r="L110" s="2"/>
      <c r="M110" s="2" t="s">
        <v>77</v>
      </c>
      <c r="N110" s="2" t="s">
        <v>78</v>
      </c>
      <c r="O110" s="2"/>
      <c r="P110" s="2"/>
      <c r="Q110" s="2"/>
      <c r="R110" s="2"/>
      <c r="S110" s="2"/>
      <c r="T110" s="2" t="s">
        <v>2347</v>
      </c>
      <c r="U110" s="2" t="s">
        <v>2348</v>
      </c>
      <c r="V110" s="2" t="s">
        <v>2349</v>
      </c>
      <c r="W110" s="2" t="s">
        <v>2350</v>
      </c>
      <c r="X110" s="2" t="s">
        <v>2351</v>
      </c>
      <c r="Y110" s="2" t="s">
        <v>2352</v>
      </c>
      <c r="Z110" s="2" t="s">
        <v>2353</v>
      </c>
      <c r="AA110" s="2" t="s">
        <v>2354</v>
      </c>
      <c r="AB110" s="2" t="s">
        <v>2355</v>
      </c>
      <c r="AC110" s="2" t="s">
        <v>2356</v>
      </c>
      <c r="AD110" s="2" t="s">
        <v>2357</v>
      </c>
      <c r="AE110" s="2" t="s">
        <v>2358</v>
      </c>
      <c r="AF110" s="2"/>
      <c r="AG110" s="2" t="n">
        <v>36</v>
      </c>
      <c r="AH110" s="2" t="n">
        <v>48</v>
      </c>
      <c r="AI110" s="2" t="n">
        <v>53</v>
      </c>
      <c r="AJ110" s="2" t="n">
        <v>0</v>
      </c>
      <c r="AK110" s="2" t="n">
        <v>11</v>
      </c>
      <c r="AL110" s="2" t="s">
        <v>592</v>
      </c>
      <c r="AM110" s="2" t="s">
        <v>593</v>
      </c>
      <c r="AN110" s="2" t="s">
        <v>594</v>
      </c>
      <c r="AO110" s="2" t="s">
        <v>2359</v>
      </c>
      <c r="AP110" s="2" t="s">
        <v>2360</v>
      </c>
      <c r="AQ110" s="2"/>
      <c r="AR110" s="2" t="s">
        <v>2361</v>
      </c>
      <c r="AS110" s="2" t="s">
        <v>2362</v>
      </c>
      <c r="AT110" s="2" t="s">
        <v>185</v>
      </c>
      <c r="AU110" s="2" t="n">
        <v>2012</v>
      </c>
      <c r="AV110" s="2" t="n">
        <v>201</v>
      </c>
      <c r="AW110" s="2" t="n">
        <v>3</v>
      </c>
      <c r="AX110" s="2"/>
      <c r="AY110" s="2"/>
      <c r="AZ110" s="2"/>
      <c r="BA110" s="2"/>
      <c r="BB110" s="2" t="n">
        <v>311</v>
      </c>
      <c r="BC110" s="2" t="n">
        <v>317</v>
      </c>
      <c r="BD110" s="2"/>
      <c r="BE110" s="2" t="s">
        <v>2363</v>
      </c>
      <c r="BF110" s="2" t="str">
        <f aca="false">HYPERLINK("http://dx.doi.org/10.1007/s00430-012-0233-6","http://dx.doi.org/10.1007/s00430-012-0233-6")</f>
        <v>http://dx.doi.org/10.1007/s00430-012-0233-6</v>
      </c>
      <c r="BG110" s="2"/>
      <c r="BH110" s="2"/>
      <c r="BI110" s="2" t="n">
        <v>7</v>
      </c>
      <c r="BJ110" s="2" t="s">
        <v>2364</v>
      </c>
      <c r="BK110" s="2" t="s">
        <v>100</v>
      </c>
      <c r="BL110" s="2" t="s">
        <v>2364</v>
      </c>
      <c r="BM110" s="2" t="s">
        <v>2365</v>
      </c>
      <c r="BN110" s="2" t="n">
        <v>22406873</v>
      </c>
      <c r="BO110" s="2" t="s">
        <v>538</v>
      </c>
      <c r="BP110" s="2"/>
      <c r="BQ110" s="2"/>
      <c r="BR110" s="2" t="s">
        <v>104</v>
      </c>
      <c r="BS110" s="2" t="s">
        <v>2366</v>
      </c>
      <c r="BT110" s="2" t="str">
        <f aca="false">HYPERLINK("https%3A%2F%2Fwww.webofscience.com%2Fwos%2Fwoscc%2Ffull-record%2FWOS:000306439500008","View Full Record in Web of Science")</f>
        <v>View Full Record in Web of Science</v>
      </c>
    </row>
    <row r="111" customFormat="false" ht="12.75" hidden="false" customHeight="false" outlineLevel="0" collapsed="false">
      <c r="A111" s="2" t="s">
        <v>72</v>
      </c>
      <c r="B111" s="2" t="s">
        <v>2367</v>
      </c>
      <c r="C111" s="2"/>
      <c r="D111" s="2"/>
      <c r="E111" s="2"/>
      <c r="F111" s="2" t="s">
        <v>2368</v>
      </c>
      <c r="G111" s="2"/>
      <c r="H111" s="2"/>
      <c r="I111" s="2" t="s">
        <v>2369</v>
      </c>
      <c r="J111" s="2" t="s">
        <v>2021</v>
      </c>
      <c r="K111" s="2"/>
      <c r="L111" s="2"/>
      <c r="M111" s="2" t="s">
        <v>77</v>
      </c>
      <c r="N111" s="2" t="s">
        <v>78</v>
      </c>
      <c r="O111" s="2"/>
      <c r="P111" s="2"/>
      <c r="Q111" s="2"/>
      <c r="R111" s="2"/>
      <c r="S111" s="2"/>
      <c r="T111" s="2" t="s">
        <v>2370</v>
      </c>
      <c r="U111" s="2" t="s">
        <v>2371</v>
      </c>
      <c r="V111" s="2" t="s">
        <v>2372</v>
      </c>
      <c r="W111" s="2" t="s">
        <v>2373</v>
      </c>
      <c r="X111" s="2" t="s">
        <v>2374</v>
      </c>
      <c r="Y111" s="2" t="s">
        <v>2375</v>
      </c>
      <c r="Z111" s="2" t="s">
        <v>2376</v>
      </c>
      <c r="AA111" s="2" t="s">
        <v>2377</v>
      </c>
      <c r="AB111" s="2" t="s">
        <v>2378</v>
      </c>
      <c r="AC111" s="2" t="s">
        <v>2379</v>
      </c>
      <c r="AD111" s="2" t="s">
        <v>2379</v>
      </c>
      <c r="AE111" s="2" t="s">
        <v>2380</v>
      </c>
      <c r="AF111" s="2"/>
      <c r="AG111" s="2" t="n">
        <v>19</v>
      </c>
      <c r="AH111" s="2" t="n">
        <v>31</v>
      </c>
      <c r="AI111" s="2" t="n">
        <v>34</v>
      </c>
      <c r="AJ111" s="2" t="n">
        <v>0</v>
      </c>
      <c r="AK111" s="2" t="n">
        <v>6</v>
      </c>
      <c r="AL111" s="2" t="s">
        <v>527</v>
      </c>
      <c r="AM111" s="2" t="s">
        <v>528</v>
      </c>
      <c r="AN111" s="2" t="s">
        <v>529</v>
      </c>
      <c r="AO111" s="2" t="s">
        <v>2033</v>
      </c>
      <c r="AP111" s="2" t="s">
        <v>2034</v>
      </c>
      <c r="AQ111" s="2"/>
      <c r="AR111" s="2" t="s">
        <v>2035</v>
      </c>
      <c r="AS111" s="2" t="s">
        <v>2036</v>
      </c>
      <c r="AT111" s="2" t="s">
        <v>673</v>
      </c>
      <c r="AU111" s="2" t="n">
        <v>2015</v>
      </c>
      <c r="AV111" s="2" t="n">
        <v>60</v>
      </c>
      <c r="AW111" s="2" t="n">
        <v>11</v>
      </c>
      <c r="AX111" s="2"/>
      <c r="AY111" s="2"/>
      <c r="AZ111" s="2"/>
      <c r="BA111" s="2"/>
      <c r="BB111" s="2" t="s">
        <v>2381</v>
      </c>
      <c r="BC111" s="2" t="s">
        <v>2382</v>
      </c>
      <c r="BD111" s="2"/>
      <c r="BE111" s="2" t="s">
        <v>2383</v>
      </c>
      <c r="BF111" s="2" t="str">
        <f aca="false">HYPERLINK("http://dx.doi.org/10.1093/cid/civ065","http://dx.doi.org/10.1093/cid/civ065")</f>
        <v>http://dx.doi.org/10.1093/cid/civ065</v>
      </c>
      <c r="BG111" s="2"/>
      <c r="BH111" s="2"/>
      <c r="BI111" s="2" t="n">
        <v>10</v>
      </c>
      <c r="BJ111" s="2" t="s">
        <v>536</v>
      </c>
      <c r="BK111" s="2" t="s">
        <v>100</v>
      </c>
      <c r="BL111" s="2" t="s">
        <v>536</v>
      </c>
      <c r="BM111" s="2" t="s">
        <v>2384</v>
      </c>
      <c r="BN111" s="2" t="n">
        <v>25673560</v>
      </c>
      <c r="BO111" s="2" t="s">
        <v>136</v>
      </c>
      <c r="BP111" s="2"/>
      <c r="BQ111" s="2"/>
      <c r="BR111" s="2" t="s">
        <v>104</v>
      </c>
      <c r="BS111" s="2" t="s">
        <v>2385</v>
      </c>
      <c r="BT111" s="2" t="str">
        <f aca="false">HYPERLINK("https%3A%2F%2Fwww.webofscience.com%2Fwos%2Fwoscc%2Ffull-record%2FWOS:000358070500005","View Full Record in Web of Science")</f>
        <v>View Full Record in Web of Science</v>
      </c>
    </row>
    <row r="112" customFormat="false" ht="12.75" hidden="false" customHeight="false" outlineLevel="0" collapsed="false">
      <c r="A112" s="2" t="s">
        <v>72</v>
      </c>
      <c r="B112" s="2" t="s">
        <v>2386</v>
      </c>
      <c r="C112" s="2"/>
      <c r="D112" s="2"/>
      <c r="E112" s="2"/>
      <c r="F112" s="2" t="s">
        <v>2387</v>
      </c>
      <c r="G112" s="2"/>
      <c r="H112" s="2"/>
      <c r="I112" s="2" t="s">
        <v>2388</v>
      </c>
      <c r="J112" s="2" t="s">
        <v>1863</v>
      </c>
      <c r="K112" s="2"/>
      <c r="L112" s="2"/>
      <c r="M112" s="2" t="s">
        <v>77</v>
      </c>
      <c r="N112" s="2" t="s">
        <v>78</v>
      </c>
      <c r="O112" s="2"/>
      <c r="P112" s="2"/>
      <c r="Q112" s="2"/>
      <c r="R112" s="2"/>
      <c r="S112" s="2"/>
      <c r="T112" s="2" t="s">
        <v>2389</v>
      </c>
      <c r="U112" s="2" t="s">
        <v>2390</v>
      </c>
      <c r="V112" s="2" t="s">
        <v>2391</v>
      </c>
      <c r="W112" s="2" t="s">
        <v>2392</v>
      </c>
      <c r="X112" s="2" t="s">
        <v>2393</v>
      </c>
      <c r="Y112" s="2" t="s">
        <v>2394</v>
      </c>
      <c r="Z112" s="2" t="s">
        <v>2395</v>
      </c>
      <c r="AA112" s="2" t="s">
        <v>2396</v>
      </c>
      <c r="AB112" s="2"/>
      <c r="AC112" s="2" t="s">
        <v>2397</v>
      </c>
      <c r="AD112" s="2" t="s">
        <v>2398</v>
      </c>
      <c r="AE112" s="2" t="s">
        <v>2399</v>
      </c>
      <c r="AF112" s="2"/>
      <c r="AG112" s="2" t="n">
        <v>28</v>
      </c>
      <c r="AH112" s="2" t="n">
        <v>23</v>
      </c>
      <c r="AI112" s="2" t="n">
        <v>26</v>
      </c>
      <c r="AJ112" s="2" t="n">
        <v>4</v>
      </c>
      <c r="AK112" s="2" t="n">
        <v>18</v>
      </c>
      <c r="AL112" s="2" t="s">
        <v>302</v>
      </c>
      <c r="AM112" s="2" t="s">
        <v>303</v>
      </c>
      <c r="AN112" s="2" t="s">
        <v>304</v>
      </c>
      <c r="AO112" s="2" t="s">
        <v>1876</v>
      </c>
      <c r="AP112" s="2"/>
      <c r="AQ112" s="2"/>
      <c r="AR112" s="2" t="s">
        <v>1877</v>
      </c>
      <c r="AS112" s="2" t="s">
        <v>1878</v>
      </c>
      <c r="AT112" s="2" t="s">
        <v>2400</v>
      </c>
      <c r="AU112" s="2" t="n">
        <v>2018</v>
      </c>
      <c r="AV112" s="2" t="n">
        <v>15</v>
      </c>
      <c r="AW112" s="2"/>
      <c r="AX112" s="2"/>
      <c r="AY112" s="2"/>
      <c r="AZ112" s="2"/>
      <c r="BA112" s="2"/>
      <c r="BB112" s="2"/>
      <c r="BC112" s="2"/>
      <c r="BD112" s="2" t="n">
        <v>167</v>
      </c>
      <c r="BE112" s="2" t="s">
        <v>2401</v>
      </c>
      <c r="BF112" s="2" t="str">
        <f aca="false">HYPERLINK("http://dx.doi.org/10.1186/s12985-018-1061-0","http://dx.doi.org/10.1186/s12985-018-1061-0")</f>
        <v>http://dx.doi.org/10.1186/s12985-018-1061-0</v>
      </c>
      <c r="BG112" s="2"/>
      <c r="BH112" s="2"/>
      <c r="BI112" s="2" t="n">
        <v>7</v>
      </c>
      <c r="BJ112" s="2" t="s">
        <v>163</v>
      </c>
      <c r="BK112" s="2" t="s">
        <v>100</v>
      </c>
      <c r="BL112" s="2" t="s">
        <v>163</v>
      </c>
      <c r="BM112" s="2" t="s">
        <v>2402</v>
      </c>
      <c r="BN112" s="2" t="n">
        <v>30376870</v>
      </c>
      <c r="BO112" s="2" t="s">
        <v>190</v>
      </c>
      <c r="BP112" s="2"/>
      <c r="BQ112" s="2"/>
      <c r="BR112" s="2" t="s">
        <v>104</v>
      </c>
      <c r="BS112" s="2" t="s">
        <v>2403</v>
      </c>
      <c r="BT112" s="2" t="str">
        <f aca="false">HYPERLINK("https%3A%2F%2Fwww.webofscience.com%2Fwos%2Fwoscc%2Ffull-record%2FWOS:000449013300001","View Full Record in Web of Science")</f>
        <v>View Full Record in Web of Science</v>
      </c>
    </row>
    <row r="113" customFormat="false" ht="12.75" hidden="false" customHeight="false" outlineLevel="0" collapsed="false">
      <c r="A113" s="2" t="s">
        <v>72</v>
      </c>
      <c r="B113" s="2" t="s">
        <v>2404</v>
      </c>
      <c r="C113" s="2"/>
      <c r="D113" s="2"/>
      <c r="E113" s="2"/>
      <c r="F113" s="2" t="s">
        <v>2404</v>
      </c>
      <c r="G113" s="2"/>
      <c r="H113" s="2"/>
      <c r="I113" s="2" t="s">
        <v>2405</v>
      </c>
      <c r="J113" s="2" t="s">
        <v>2406</v>
      </c>
      <c r="K113" s="2"/>
      <c r="L113" s="2"/>
      <c r="M113" s="2" t="s">
        <v>77</v>
      </c>
      <c r="N113" s="2" t="s">
        <v>78</v>
      </c>
      <c r="O113" s="2"/>
      <c r="P113" s="2"/>
      <c r="Q113" s="2"/>
      <c r="R113" s="2"/>
      <c r="S113" s="2"/>
      <c r="T113" s="2" t="s">
        <v>2407</v>
      </c>
      <c r="U113" s="2" t="s">
        <v>2408</v>
      </c>
      <c r="V113" s="2" t="s">
        <v>2409</v>
      </c>
      <c r="W113" s="2" t="s">
        <v>2410</v>
      </c>
      <c r="X113" s="2" t="s">
        <v>2411</v>
      </c>
      <c r="Y113" s="2" t="s">
        <v>2412</v>
      </c>
      <c r="Z113" s="2" t="s">
        <v>2413</v>
      </c>
      <c r="AA113" s="2"/>
      <c r="AB113" s="2" t="s">
        <v>2414</v>
      </c>
      <c r="AC113" s="2" t="s">
        <v>2415</v>
      </c>
      <c r="AD113" s="2" t="s">
        <v>2416</v>
      </c>
      <c r="AE113" s="2"/>
      <c r="AF113" s="2"/>
      <c r="AG113" s="2" t="n">
        <v>45</v>
      </c>
      <c r="AH113" s="2" t="n">
        <v>137</v>
      </c>
      <c r="AI113" s="2" t="n">
        <v>158</v>
      </c>
      <c r="AJ113" s="2" t="n">
        <v>0</v>
      </c>
      <c r="AK113" s="2" t="n">
        <v>8</v>
      </c>
      <c r="AL113" s="2" t="s">
        <v>549</v>
      </c>
      <c r="AM113" s="2" t="s">
        <v>384</v>
      </c>
      <c r="AN113" s="2" t="s">
        <v>550</v>
      </c>
      <c r="AO113" s="2" t="s">
        <v>2417</v>
      </c>
      <c r="AP113" s="2"/>
      <c r="AQ113" s="2"/>
      <c r="AR113" s="2" t="s">
        <v>2418</v>
      </c>
      <c r="AS113" s="2" t="s">
        <v>2419</v>
      </c>
      <c r="AT113" s="2" t="s">
        <v>129</v>
      </c>
      <c r="AU113" s="2" t="n">
        <v>2003</v>
      </c>
      <c r="AV113" s="2" t="n">
        <v>60</v>
      </c>
      <c r="AW113" s="2" t="n">
        <v>1</v>
      </c>
      <c r="AX113" s="2"/>
      <c r="AY113" s="2"/>
      <c r="AZ113" s="2"/>
      <c r="BA113" s="2"/>
      <c r="BB113" s="2" t="n">
        <v>51</v>
      </c>
      <c r="BC113" s="2" t="n">
        <v>59</v>
      </c>
      <c r="BD113" s="2"/>
      <c r="BE113" s="2" t="s">
        <v>2420</v>
      </c>
      <c r="BF113" s="2" t="str">
        <f aca="false">HYPERLINK("http://dx.doi.org/10.1016/S0166-3542(03)00153-0","http://dx.doi.org/10.1016/S0166-3542(03)00153-0")</f>
        <v>http://dx.doi.org/10.1016/S0166-3542(03)00153-0</v>
      </c>
      <c r="BG113" s="2"/>
      <c r="BH113" s="2"/>
      <c r="BI113" s="2" t="n">
        <v>9</v>
      </c>
      <c r="BJ113" s="2" t="s">
        <v>2421</v>
      </c>
      <c r="BK113" s="2" t="s">
        <v>100</v>
      </c>
      <c r="BL113" s="2" t="s">
        <v>2421</v>
      </c>
      <c r="BM113" s="2" t="s">
        <v>2422</v>
      </c>
      <c r="BN113" s="2" t="n">
        <v>14516921</v>
      </c>
      <c r="BO113" s="2"/>
      <c r="BP113" s="2"/>
      <c r="BQ113" s="2"/>
      <c r="BR113" s="2" t="s">
        <v>104</v>
      </c>
      <c r="BS113" s="2" t="s">
        <v>2423</v>
      </c>
      <c r="BT113" s="2" t="str">
        <f aca="false">HYPERLINK("https%3A%2F%2Fwww.webofscience.com%2Fwos%2Fwoscc%2Ffull-record%2FWOS:000185909600006","View Full Record in Web of Science")</f>
        <v>View Full Record in Web of Science</v>
      </c>
    </row>
    <row r="114" customFormat="false" ht="12.75" hidden="false" customHeight="false" outlineLevel="0" collapsed="false">
      <c r="A114" s="2" t="s">
        <v>72</v>
      </c>
      <c r="B114" s="2" t="s">
        <v>2424</v>
      </c>
      <c r="C114" s="2"/>
      <c r="D114" s="2"/>
      <c r="E114" s="2"/>
      <c r="F114" s="2" t="s">
        <v>2425</v>
      </c>
      <c r="G114" s="2"/>
      <c r="H114" s="2"/>
      <c r="I114" s="2" t="s">
        <v>2426</v>
      </c>
      <c r="J114" s="2" t="s">
        <v>2427</v>
      </c>
      <c r="K114" s="2"/>
      <c r="L114" s="2"/>
      <c r="M114" s="2" t="s">
        <v>77</v>
      </c>
      <c r="N114" s="2" t="s">
        <v>78</v>
      </c>
      <c r="O114" s="2"/>
      <c r="P114" s="2"/>
      <c r="Q114" s="2"/>
      <c r="R114" s="2"/>
      <c r="S114" s="2"/>
      <c r="T114" s="2" t="s">
        <v>2428</v>
      </c>
      <c r="U114" s="2" t="s">
        <v>2429</v>
      </c>
      <c r="V114" s="2" t="s">
        <v>2430</v>
      </c>
      <c r="W114" s="2" t="s">
        <v>2431</v>
      </c>
      <c r="X114" s="2" t="s">
        <v>2432</v>
      </c>
      <c r="Y114" s="2" t="s">
        <v>2433</v>
      </c>
      <c r="Z114" s="2" t="s">
        <v>2434</v>
      </c>
      <c r="AA114" s="2" t="s">
        <v>2435</v>
      </c>
      <c r="AB114" s="2" t="s">
        <v>2436</v>
      </c>
      <c r="AC114" s="2"/>
      <c r="AD114" s="2"/>
      <c r="AE114" s="2"/>
      <c r="AF114" s="2"/>
      <c r="AG114" s="2" t="n">
        <v>16</v>
      </c>
      <c r="AH114" s="2" t="n">
        <v>5</v>
      </c>
      <c r="AI114" s="2" t="n">
        <v>5</v>
      </c>
      <c r="AJ114" s="2" t="n">
        <v>0</v>
      </c>
      <c r="AK114" s="2" t="n">
        <v>3</v>
      </c>
      <c r="AL114" s="2" t="s">
        <v>2437</v>
      </c>
      <c r="AM114" s="2" t="s">
        <v>2438</v>
      </c>
      <c r="AN114" s="2" t="s">
        <v>2439</v>
      </c>
      <c r="AO114" s="2" t="s">
        <v>2440</v>
      </c>
      <c r="AP114" s="2" t="s">
        <v>2441</v>
      </c>
      <c r="AQ114" s="2"/>
      <c r="AR114" s="2" t="s">
        <v>2442</v>
      </c>
      <c r="AS114" s="2" t="s">
        <v>2443</v>
      </c>
      <c r="AT114" s="2"/>
      <c r="AU114" s="2" t="n">
        <v>2010</v>
      </c>
      <c r="AV114" s="2" t="n">
        <v>39</v>
      </c>
      <c r="AW114" s="2" t="n">
        <v>4</v>
      </c>
      <c r="AX114" s="2"/>
      <c r="AY114" s="2"/>
      <c r="AZ114" s="2"/>
      <c r="BA114" s="2"/>
      <c r="BB114" s="2" t="n">
        <v>140</v>
      </c>
      <c r="BC114" s="2" t="n">
        <v>142</v>
      </c>
      <c r="BD114" s="2"/>
      <c r="BE114" s="2"/>
      <c r="BF114" s="2"/>
      <c r="BG114" s="2"/>
      <c r="BH114" s="2"/>
      <c r="BI114" s="2" t="n">
        <v>3</v>
      </c>
      <c r="BJ114" s="2" t="s">
        <v>1353</v>
      </c>
      <c r="BK114" s="2" t="s">
        <v>1086</v>
      </c>
      <c r="BL114" s="2" t="s">
        <v>1353</v>
      </c>
      <c r="BM114" s="2" t="s">
        <v>2444</v>
      </c>
      <c r="BN114" s="2" t="n">
        <v>23113048</v>
      </c>
      <c r="BO114" s="2"/>
      <c r="BP114" s="2"/>
      <c r="BQ114" s="2"/>
      <c r="BR114" s="2" t="s">
        <v>104</v>
      </c>
      <c r="BS114" s="2" t="s">
        <v>2445</v>
      </c>
      <c r="BT114" s="2" t="str">
        <f aca="false">HYPERLINK("https%3A%2F%2Fwww.webofscience.com%2Fwos%2Fwoscc%2Ffull-record%2FWOS:000286026400016","View Full Record in Web of Science")</f>
        <v>View Full Record in Web of Science</v>
      </c>
    </row>
    <row r="115" customFormat="false" ht="12.75" hidden="false" customHeight="false" outlineLevel="0" collapsed="false">
      <c r="A115" s="2" t="s">
        <v>72</v>
      </c>
      <c r="B115" s="2" t="s">
        <v>2446</v>
      </c>
      <c r="C115" s="2"/>
      <c r="D115" s="2"/>
      <c r="E115" s="2"/>
      <c r="F115" s="2" t="s">
        <v>2447</v>
      </c>
      <c r="G115" s="2"/>
      <c r="H115" s="2"/>
      <c r="I115" s="2" t="s">
        <v>2448</v>
      </c>
      <c r="J115" s="2" t="s">
        <v>1134</v>
      </c>
      <c r="K115" s="2"/>
      <c r="L115" s="2"/>
      <c r="M115" s="2" t="s">
        <v>77</v>
      </c>
      <c r="N115" s="2" t="s">
        <v>78</v>
      </c>
      <c r="O115" s="2"/>
      <c r="P115" s="2"/>
      <c r="Q115" s="2"/>
      <c r="R115" s="2"/>
      <c r="S115" s="2"/>
      <c r="T115" s="2" t="s">
        <v>2449</v>
      </c>
      <c r="U115" s="2" t="s">
        <v>2450</v>
      </c>
      <c r="V115" s="2" t="s">
        <v>2451</v>
      </c>
      <c r="W115" s="2" t="s">
        <v>2452</v>
      </c>
      <c r="X115" s="2" t="s">
        <v>2453</v>
      </c>
      <c r="Y115" s="2" t="s">
        <v>2454</v>
      </c>
      <c r="Z115" s="2" t="s">
        <v>2455</v>
      </c>
      <c r="AA115" s="2" t="s">
        <v>2456</v>
      </c>
      <c r="AB115" s="2" t="s">
        <v>2457</v>
      </c>
      <c r="AC115" s="2" t="s">
        <v>2458</v>
      </c>
      <c r="AD115" s="2" t="s">
        <v>2459</v>
      </c>
      <c r="AE115" s="2" t="s">
        <v>2460</v>
      </c>
      <c r="AF115" s="2"/>
      <c r="AG115" s="2" t="n">
        <v>20</v>
      </c>
      <c r="AH115" s="2" t="n">
        <v>19</v>
      </c>
      <c r="AI115" s="2" t="n">
        <v>20</v>
      </c>
      <c r="AJ115" s="2" t="n">
        <v>1</v>
      </c>
      <c r="AK115" s="2" t="n">
        <v>5</v>
      </c>
      <c r="AL115" s="2" t="s">
        <v>2337</v>
      </c>
      <c r="AM115" s="2" t="s">
        <v>303</v>
      </c>
      <c r="AN115" s="2" t="s">
        <v>2338</v>
      </c>
      <c r="AO115" s="2" t="s">
        <v>1144</v>
      </c>
      <c r="AP115" s="2"/>
      <c r="AQ115" s="2"/>
      <c r="AR115" s="2" t="s">
        <v>1145</v>
      </c>
      <c r="AS115" s="2" t="s">
        <v>1146</v>
      </c>
      <c r="AT115" s="2" t="s">
        <v>2461</v>
      </c>
      <c r="AU115" s="2" t="n">
        <v>2017</v>
      </c>
      <c r="AV115" s="2" t="n">
        <v>17</v>
      </c>
      <c r="AW115" s="2"/>
      <c r="AX115" s="2"/>
      <c r="AY115" s="2"/>
      <c r="AZ115" s="2"/>
      <c r="BA115" s="2"/>
      <c r="BB115" s="2"/>
      <c r="BC115" s="2"/>
      <c r="BD115" s="2" t="n">
        <v>89</v>
      </c>
      <c r="BE115" s="2" t="s">
        <v>2462</v>
      </c>
      <c r="BF115" s="2" t="str">
        <f aca="false">HYPERLINK("http://dx.doi.org/10.1186/s12887-017-0843-7","http://dx.doi.org/10.1186/s12887-017-0843-7")</f>
        <v>http://dx.doi.org/10.1186/s12887-017-0843-7</v>
      </c>
      <c r="BG115" s="2"/>
      <c r="BH115" s="2"/>
      <c r="BI115" s="2" t="n">
        <v>7</v>
      </c>
      <c r="BJ115" s="2" t="s">
        <v>601</v>
      </c>
      <c r="BK115" s="2" t="s">
        <v>100</v>
      </c>
      <c r="BL115" s="2" t="s">
        <v>601</v>
      </c>
      <c r="BM115" s="2" t="s">
        <v>2463</v>
      </c>
      <c r="BN115" s="2" t="n">
        <v>28347279</v>
      </c>
      <c r="BO115" s="2" t="s">
        <v>103</v>
      </c>
      <c r="BP115" s="2"/>
      <c r="BQ115" s="2"/>
      <c r="BR115" s="2" t="s">
        <v>104</v>
      </c>
      <c r="BS115" s="2" t="s">
        <v>2464</v>
      </c>
      <c r="BT115" s="2" t="str">
        <f aca="false">HYPERLINK("https%3A%2F%2Fwww.webofscience.com%2Fwos%2Fwoscc%2Ffull-record%2FWOS:000397890100003","View Full Record in Web of Science")</f>
        <v>View Full Record in Web of Science</v>
      </c>
    </row>
    <row r="116" customFormat="false" ht="12.75" hidden="false" customHeight="false" outlineLevel="0" collapsed="false">
      <c r="A116" s="2" t="s">
        <v>72</v>
      </c>
      <c r="B116" s="2" t="s">
        <v>2465</v>
      </c>
      <c r="C116" s="2"/>
      <c r="D116" s="2"/>
      <c r="E116" s="2"/>
      <c r="F116" s="2" t="s">
        <v>2466</v>
      </c>
      <c r="G116" s="2"/>
      <c r="H116" s="2"/>
      <c r="I116" s="2" t="s">
        <v>2467</v>
      </c>
      <c r="J116" s="2" t="s">
        <v>1134</v>
      </c>
      <c r="K116" s="2"/>
      <c r="L116" s="2"/>
      <c r="M116" s="2" t="s">
        <v>77</v>
      </c>
      <c r="N116" s="2" t="s">
        <v>78</v>
      </c>
      <c r="O116" s="2"/>
      <c r="P116" s="2"/>
      <c r="Q116" s="2"/>
      <c r="R116" s="2"/>
      <c r="S116" s="2"/>
      <c r="T116" s="2" t="s">
        <v>2468</v>
      </c>
      <c r="U116" s="2" t="s">
        <v>2469</v>
      </c>
      <c r="V116" s="2" t="s">
        <v>2470</v>
      </c>
      <c r="W116" s="2" t="s">
        <v>2471</v>
      </c>
      <c r="X116" s="2" t="s">
        <v>2472</v>
      </c>
      <c r="Y116" s="2" t="s">
        <v>2473</v>
      </c>
      <c r="Z116" s="2" t="s">
        <v>2474</v>
      </c>
      <c r="AA116" s="2" t="s">
        <v>2475</v>
      </c>
      <c r="AB116" s="2" t="s">
        <v>2476</v>
      </c>
      <c r="AC116" s="2"/>
      <c r="AD116" s="2"/>
      <c r="AE116" s="2"/>
      <c r="AF116" s="2"/>
      <c r="AG116" s="2" t="n">
        <v>35</v>
      </c>
      <c r="AH116" s="2" t="n">
        <v>2</v>
      </c>
      <c r="AI116" s="2" t="n">
        <v>2</v>
      </c>
      <c r="AJ116" s="2" t="n">
        <v>0</v>
      </c>
      <c r="AK116" s="2" t="n">
        <v>1</v>
      </c>
      <c r="AL116" s="2" t="s">
        <v>302</v>
      </c>
      <c r="AM116" s="2" t="s">
        <v>303</v>
      </c>
      <c r="AN116" s="2" t="s">
        <v>304</v>
      </c>
      <c r="AO116" s="2"/>
      <c r="AP116" s="2" t="s">
        <v>1144</v>
      </c>
      <c r="AQ116" s="2"/>
      <c r="AR116" s="2" t="s">
        <v>1145</v>
      </c>
      <c r="AS116" s="2" t="s">
        <v>1146</v>
      </c>
      <c r="AT116" s="2" t="s">
        <v>2477</v>
      </c>
      <c r="AU116" s="2" t="n">
        <v>2022</v>
      </c>
      <c r="AV116" s="2" t="n">
        <v>22</v>
      </c>
      <c r="AW116" s="2" t="n">
        <v>1</v>
      </c>
      <c r="AX116" s="2"/>
      <c r="AY116" s="2"/>
      <c r="AZ116" s="2"/>
      <c r="BA116" s="2"/>
      <c r="BB116" s="2"/>
      <c r="BC116" s="2"/>
      <c r="BD116" s="2" t="n">
        <v>364</v>
      </c>
      <c r="BE116" s="2" t="s">
        <v>2478</v>
      </c>
      <c r="BF116" s="2" t="str">
        <f aca="false">HYPERLINK("http://dx.doi.org/10.1186/s12887-022-03419-7","http://dx.doi.org/10.1186/s12887-022-03419-7")</f>
        <v>http://dx.doi.org/10.1186/s12887-022-03419-7</v>
      </c>
      <c r="BG116" s="2"/>
      <c r="BH116" s="2"/>
      <c r="BI116" s="2" t="n">
        <v>9</v>
      </c>
      <c r="BJ116" s="2" t="s">
        <v>601</v>
      </c>
      <c r="BK116" s="2" t="s">
        <v>100</v>
      </c>
      <c r="BL116" s="2" t="s">
        <v>601</v>
      </c>
      <c r="BM116" s="2" t="s">
        <v>2479</v>
      </c>
      <c r="BN116" s="2" t="n">
        <v>35751110</v>
      </c>
      <c r="BO116" s="2" t="s">
        <v>190</v>
      </c>
      <c r="BP116" s="2"/>
      <c r="BQ116" s="2"/>
      <c r="BR116" s="2" t="s">
        <v>104</v>
      </c>
      <c r="BS116" s="2" t="s">
        <v>2480</v>
      </c>
      <c r="BT116" s="2" t="str">
        <f aca="false">HYPERLINK("https%3A%2F%2Fwww.webofscience.com%2Fwos%2Fwoscc%2Ffull-record%2FWOS:000815486000002","View Full Record in Web of Science")</f>
        <v>View Full Record in Web of Science</v>
      </c>
    </row>
    <row r="117" customFormat="false" ht="12.75" hidden="false" customHeight="false" outlineLevel="0" collapsed="false">
      <c r="A117" s="2" t="s">
        <v>72</v>
      </c>
      <c r="B117" s="2" t="s">
        <v>2481</v>
      </c>
      <c r="C117" s="2"/>
      <c r="D117" s="2"/>
      <c r="E117" s="2"/>
      <c r="F117" s="2" t="s">
        <v>2482</v>
      </c>
      <c r="G117" s="2"/>
      <c r="H117" s="2"/>
      <c r="I117" s="2" t="s">
        <v>2483</v>
      </c>
      <c r="J117" s="2" t="s">
        <v>370</v>
      </c>
      <c r="K117" s="2"/>
      <c r="L117" s="2"/>
      <c r="M117" s="2" t="s">
        <v>77</v>
      </c>
      <c r="N117" s="2" t="s">
        <v>78</v>
      </c>
      <c r="O117" s="2"/>
      <c r="P117" s="2"/>
      <c r="Q117" s="2"/>
      <c r="R117" s="2"/>
      <c r="S117" s="2"/>
      <c r="T117" s="2" t="s">
        <v>2484</v>
      </c>
      <c r="U117" s="2" t="s">
        <v>2485</v>
      </c>
      <c r="V117" s="2" t="s">
        <v>2486</v>
      </c>
      <c r="W117" s="2" t="s">
        <v>2487</v>
      </c>
      <c r="X117" s="2" t="s">
        <v>2488</v>
      </c>
      <c r="Y117" s="2" t="s">
        <v>2489</v>
      </c>
      <c r="Z117" s="2" t="s">
        <v>2490</v>
      </c>
      <c r="AA117" s="2" t="s">
        <v>2491</v>
      </c>
      <c r="AB117" s="2"/>
      <c r="AC117" s="2"/>
      <c r="AD117" s="2"/>
      <c r="AE117" s="2"/>
      <c r="AF117" s="2"/>
      <c r="AG117" s="2" t="n">
        <v>33</v>
      </c>
      <c r="AH117" s="2" t="n">
        <v>28</v>
      </c>
      <c r="AI117" s="2" t="n">
        <v>28</v>
      </c>
      <c r="AJ117" s="2" t="n">
        <v>2</v>
      </c>
      <c r="AK117" s="2" t="n">
        <v>6</v>
      </c>
      <c r="AL117" s="2" t="s">
        <v>383</v>
      </c>
      <c r="AM117" s="2" t="s">
        <v>384</v>
      </c>
      <c r="AN117" s="2" t="s">
        <v>385</v>
      </c>
      <c r="AO117" s="2" t="s">
        <v>386</v>
      </c>
      <c r="AP117" s="2" t="s">
        <v>387</v>
      </c>
      <c r="AQ117" s="2"/>
      <c r="AR117" s="2" t="s">
        <v>388</v>
      </c>
      <c r="AS117" s="2" t="s">
        <v>389</v>
      </c>
      <c r="AT117" s="2" t="s">
        <v>185</v>
      </c>
      <c r="AU117" s="2" t="n">
        <v>2019</v>
      </c>
      <c r="AV117" s="2" t="n">
        <v>117</v>
      </c>
      <c r="AW117" s="2"/>
      <c r="AX117" s="2"/>
      <c r="AY117" s="2"/>
      <c r="AZ117" s="2"/>
      <c r="BA117" s="2"/>
      <c r="BB117" s="2" t="n">
        <v>103</v>
      </c>
      <c r="BC117" s="2" t="n">
        <v>108</v>
      </c>
      <c r="BD117" s="2"/>
      <c r="BE117" s="2" t="s">
        <v>2492</v>
      </c>
      <c r="BF117" s="2" t="str">
        <f aca="false">HYPERLINK("http://dx.doi.org/10.1016/j.jcv.2019.07.001","http://dx.doi.org/10.1016/j.jcv.2019.07.001")</f>
        <v>http://dx.doi.org/10.1016/j.jcv.2019.07.001</v>
      </c>
      <c r="BG117" s="2"/>
      <c r="BH117" s="2"/>
      <c r="BI117" s="2" t="n">
        <v>6</v>
      </c>
      <c r="BJ117" s="2" t="s">
        <v>163</v>
      </c>
      <c r="BK117" s="2" t="s">
        <v>100</v>
      </c>
      <c r="BL117" s="2" t="s">
        <v>163</v>
      </c>
      <c r="BM117" s="2" t="s">
        <v>2493</v>
      </c>
      <c r="BN117" s="2" t="n">
        <v>31280089</v>
      </c>
      <c r="BO117" s="2" t="s">
        <v>165</v>
      </c>
      <c r="BP117" s="2"/>
      <c r="BQ117" s="2"/>
      <c r="BR117" s="2" t="s">
        <v>104</v>
      </c>
      <c r="BS117" s="2" t="s">
        <v>2494</v>
      </c>
      <c r="BT117" s="2" t="str">
        <f aca="false">HYPERLINK("https%3A%2F%2Fwww.webofscience.com%2Fwos%2Fwoscc%2Ffull-record%2FWOS:000475867400019","View Full Record in Web of Science")</f>
        <v>View Full Record in Web of Science</v>
      </c>
    </row>
    <row r="118" customFormat="false" ht="12.75" hidden="false" customHeight="false" outlineLevel="0" collapsed="false">
      <c r="A118" s="2" t="s">
        <v>72</v>
      </c>
      <c r="B118" s="2" t="s">
        <v>2495</v>
      </c>
      <c r="C118" s="2"/>
      <c r="D118" s="2"/>
      <c r="E118" s="2"/>
      <c r="F118" s="2" t="s">
        <v>2496</v>
      </c>
      <c r="G118" s="2"/>
      <c r="H118" s="2"/>
      <c r="I118" s="2" t="s">
        <v>2497</v>
      </c>
      <c r="J118" s="2" t="s">
        <v>2498</v>
      </c>
      <c r="K118" s="2"/>
      <c r="L118" s="2"/>
      <c r="M118" s="2" t="s">
        <v>77</v>
      </c>
      <c r="N118" s="2" t="s">
        <v>78</v>
      </c>
      <c r="O118" s="2"/>
      <c r="P118" s="2"/>
      <c r="Q118" s="2"/>
      <c r="R118" s="2"/>
      <c r="S118" s="2"/>
      <c r="T118" s="2" t="s">
        <v>2499</v>
      </c>
      <c r="U118" s="2" t="s">
        <v>2500</v>
      </c>
      <c r="V118" s="2" t="s">
        <v>2501</v>
      </c>
      <c r="W118" s="2" t="s">
        <v>2502</v>
      </c>
      <c r="X118" s="2" t="s">
        <v>2503</v>
      </c>
      <c r="Y118" s="2" t="s">
        <v>2504</v>
      </c>
      <c r="Z118" s="2" t="s">
        <v>2505</v>
      </c>
      <c r="AA118" s="2" t="s">
        <v>2506</v>
      </c>
      <c r="AB118" s="2"/>
      <c r="AC118" s="2"/>
      <c r="AD118" s="2"/>
      <c r="AE118" s="2"/>
      <c r="AF118" s="2"/>
      <c r="AG118" s="2" t="n">
        <v>36</v>
      </c>
      <c r="AH118" s="2" t="n">
        <v>29</v>
      </c>
      <c r="AI118" s="2" t="n">
        <v>34</v>
      </c>
      <c r="AJ118" s="2" t="n">
        <v>1</v>
      </c>
      <c r="AK118" s="2" t="n">
        <v>13</v>
      </c>
      <c r="AL118" s="2" t="s">
        <v>2507</v>
      </c>
      <c r="AM118" s="2" t="s">
        <v>2508</v>
      </c>
      <c r="AN118" s="2" t="s">
        <v>2509</v>
      </c>
      <c r="AO118" s="2" t="s">
        <v>2510</v>
      </c>
      <c r="AP118" s="2" t="s">
        <v>2511</v>
      </c>
      <c r="AQ118" s="2"/>
      <c r="AR118" s="2" t="s">
        <v>2512</v>
      </c>
      <c r="AS118" s="2" t="s">
        <v>2513</v>
      </c>
      <c r="AT118" s="2" t="s">
        <v>97</v>
      </c>
      <c r="AU118" s="2" t="n">
        <v>2018</v>
      </c>
      <c r="AV118" s="2" t="n">
        <v>17</v>
      </c>
      <c r="AW118" s="2" t="n">
        <v>3</v>
      </c>
      <c r="AX118" s="2"/>
      <c r="AY118" s="2"/>
      <c r="AZ118" s="2"/>
      <c r="BA118" s="2"/>
      <c r="BB118" s="2" t="n">
        <v>4138</v>
      </c>
      <c r="BC118" s="2" t="n">
        <v>4144</v>
      </c>
      <c r="BD118" s="2"/>
      <c r="BE118" s="2" t="s">
        <v>2514</v>
      </c>
      <c r="BF118" s="2" t="str">
        <f aca="false">HYPERLINK("http://dx.doi.org/10.3892/mmr.2017.8303","http://dx.doi.org/10.3892/mmr.2017.8303")</f>
        <v>http://dx.doi.org/10.3892/mmr.2017.8303</v>
      </c>
      <c r="BG118" s="2"/>
      <c r="BH118" s="2"/>
      <c r="BI118" s="2" t="n">
        <v>7</v>
      </c>
      <c r="BJ118" s="2" t="s">
        <v>2515</v>
      </c>
      <c r="BK118" s="2" t="s">
        <v>100</v>
      </c>
      <c r="BL118" s="2" t="s">
        <v>2516</v>
      </c>
      <c r="BM118" s="2" t="s">
        <v>2517</v>
      </c>
      <c r="BN118" s="2" t="n">
        <v>29257348</v>
      </c>
      <c r="BO118" s="2" t="s">
        <v>656</v>
      </c>
      <c r="BP118" s="2"/>
      <c r="BQ118" s="2"/>
      <c r="BR118" s="2" t="s">
        <v>104</v>
      </c>
      <c r="BS118" s="2" t="s">
        <v>2518</v>
      </c>
      <c r="BT118" s="2" t="str">
        <f aca="false">HYPERLINK("https%3A%2F%2Fwww.webofscience.com%2Fwos%2Fwoscc%2Ffull-record%2FWOS:000424400000091","View Full Record in Web of Science")</f>
        <v>View Full Record in Web of Science</v>
      </c>
    </row>
    <row r="119" customFormat="false" ht="12.75" hidden="false" customHeight="false" outlineLevel="0" collapsed="false">
      <c r="A119" s="2" t="s">
        <v>72</v>
      </c>
      <c r="B119" s="2" t="s">
        <v>2519</v>
      </c>
      <c r="C119" s="2"/>
      <c r="D119" s="2"/>
      <c r="E119" s="2"/>
      <c r="F119" s="2" t="s">
        <v>2520</v>
      </c>
      <c r="G119" s="2"/>
      <c r="H119" s="2"/>
      <c r="I119" s="2" t="s">
        <v>2521</v>
      </c>
      <c r="J119" s="2" t="s">
        <v>2522</v>
      </c>
      <c r="K119" s="2"/>
      <c r="L119" s="2"/>
      <c r="M119" s="2" t="s">
        <v>77</v>
      </c>
      <c r="N119" s="2" t="s">
        <v>78</v>
      </c>
      <c r="O119" s="2"/>
      <c r="P119" s="2"/>
      <c r="Q119" s="2"/>
      <c r="R119" s="2"/>
      <c r="S119" s="2"/>
      <c r="T119" s="2" t="s">
        <v>2523</v>
      </c>
      <c r="U119" s="2" t="s">
        <v>2524</v>
      </c>
      <c r="V119" s="2" t="s">
        <v>2525</v>
      </c>
      <c r="W119" s="2" t="s">
        <v>2526</v>
      </c>
      <c r="X119" s="2" t="s">
        <v>747</v>
      </c>
      <c r="Y119" s="2" t="s">
        <v>2527</v>
      </c>
      <c r="Z119" s="2" t="s">
        <v>2528</v>
      </c>
      <c r="AA119" s="2" t="s">
        <v>2529</v>
      </c>
      <c r="AB119" s="2"/>
      <c r="AC119" s="2" t="s">
        <v>2530</v>
      </c>
      <c r="AD119" s="2" t="s">
        <v>2531</v>
      </c>
      <c r="AE119" s="2" t="s">
        <v>2532</v>
      </c>
      <c r="AF119" s="2"/>
      <c r="AG119" s="2" t="n">
        <v>33</v>
      </c>
      <c r="AH119" s="2" t="n">
        <v>7</v>
      </c>
      <c r="AI119" s="2" t="n">
        <v>7</v>
      </c>
      <c r="AJ119" s="2" t="n">
        <v>0</v>
      </c>
      <c r="AK119" s="2" t="n">
        <v>2</v>
      </c>
      <c r="AL119" s="2" t="s">
        <v>2533</v>
      </c>
      <c r="AM119" s="2" t="s">
        <v>123</v>
      </c>
      <c r="AN119" s="2" t="s">
        <v>2534</v>
      </c>
      <c r="AO119" s="2" t="s">
        <v>2535</v>
      </c>
      <c r="AP119" s="2" t="s">
        <v>2536</v>
      </c>
      <c r="AQ119" s="2"/>
      <c r="AR119" s="2" t="s">
        <v>2537</v>
      </c>
      <c r="AS119" s="2" t="s">
        <v>2538</v>
      </c>
      <c r="AT119" s="2" t="s">
        <v>2539</v>
      </c>
      <c r="AU119" s="2" t="n">
        <v>2022</v>
      </c>
      <c r="AV119" s="2" t="n">
        <v>18</v>
      </c>
      <c r="AW119" s="2" t="n">
        <v>1</v>
      </c>
      <c r="AX119" s="2"/>
      <c r="AY119" s="2"/>
      <c r="AZ119" s="2"/>
      <c r="BA119" s="2"/>
      <c r="BB119" s="2"/>
      <c r="BC119" s="2"/>
      <c r="BD119" s="2"/>
      <c r="BE119" s="2" t="s">
        <v>2540</v>
      </c>
      <c r="BF119" s="2" t="str">
        <f aca="false">HYPERLINK("http://dx.doi.org/10.1080/21645515.2021.1958610","http://dx.doi.org/10.1080/21645515.2021.1958610")</f>
        <v>http://dx.doi.org/10.1080/21645515.2021.1958610</v>
      </c>
      <c r="BG119" s="2"/>
      <c r="BH119" s="2" t="s">
        <v>1857</v>
      </c>
      <c r="BI119" s="2" t="n">
        <v>12</v>
      </c>
      <c r="BJ119" s="2" t="s">
        <v>2541</v>
      </c>
      <c r="BK119" s="2" t="s">
        <v>100</v>
      </c>
      <c r="BL119" s="2" t="s">
        <v>2541</v>
      </c>
      <c r="BM119" s="2" t="s">
        <v>2542</v>
      </c>
      <c r="BN119" s="2" t="n">
        <v>35271432</v>
      </c>
      <c r="BO119" s="2" t="s">
        <v>190</v>
      </c>
      <c r="BP119" s="2"/>
      <c r="BQ119" s="2"/>
      <c r="BR119" s="2" t="s">
        <v>104</v>
      </c>
      <c r="BS119" s="2" t="s">
        <v>2543</v>
      </c>
      <c r="BT119" s="2" t="str">
        <f aca="false">HYPERLINK("https%3A%2F%2Fwww.webofscience.com%2Fwos%2Fwoscc%2Ffull-record%2FWOS:000682376100001","View Full Record in Web of Science")</f>
        <v>View Full Record in Web of Science</v>
      </c>
    </row>
    <row r="120" customFormat="false" ht="12.75" hidden="false" customHeight="false" outlineLevel="0" collapsed="false">
      <c r="A120" s="2" t="s">
        <v>72</v>
      </c>
      <c r="B120" s="2" t="s">
        <v>2544</v>
      </c>
      <c r="C120" s="2"/>
      <c r="D120" s="2"/>
      <c r="E120" s="2"/>
      <c r="F120" s="2" t="s">
        <v>2545</v>
      </c>
      <c r="G120" s="2"/>
      <c r="H120" s="2"/>
      <c r="I120" s="2" t="s">
        <v>2546</v>
      </c>
      <c r="J120" s="2" t="s">
        <v>2547</v>
      </c>
      <c r="K120" s="2"/>
      <c r="L120" s="2"/>
      <c r="M120" s="2" t="s">
        <v>77</v>
      </c>
      <c r="N120" s="2" t="s">
        <v>78</v>
      </c>
      <c r="O120" s="2"/>
      <c r="P120" s="2"/>
      <c r="Q120" s="2"/>
      <c r="R120" s="2"/>
      <c r="S120" s="2"/>
      <c r="T120" s="2" t="s">
        <v>2548</v>
      </c>
      <c r="U120" s="2" t="s">
        <v>2549</v>
      </c>
      <c r="V120" s="2" t="s">
        <v>2550</v>
      </c>
      <c r="W120" s="2" t="s">
        <v>2551</v>
      </c>
      <c r="X120" s="2" t="s">
        <v>747</v>
      </c>
      <c r="Y120" s="2" t="s">
        <v>2552</v>
      </c>
      <c r="Z120" s="2" t="s">
        <v>2528</v>
      </c>
      <c r="AA120" s="2" t="s">
        <v>2553</v>
      </c>
      <c r="AB120" s="2"/>
      <c r="AC120" s="2" t="s">
        <v>2554</v>
      </c>
      <c r="AD120" s="2" t="s">
        <v>2554</v>
      </c>
      <c r="AE120" s="2" t="s">
        <v>2555</v>
      </c>
      <c r="AF120" s="2"/>
      <c r="AG120" s="2" t="n">
        <v>28</v>
      </c>
      <c r="AH120" s="2" t="n">
        <v>17</v>
      </c>
      <c r="AI120" s="2" t="n">
        <v>19</v>
      </c>
      <c r="AJ120" s="2" t="n">
        <v>0</v>
      </c>
      <c r="AK120" s="2" t="n">
        <v>4</v>
      </c>
      <c r="AL120" s="2" t="s">
        <v>782</v>
      </c>
      <c r="AM120" s="2" t="s">
        <v>783</v>
      </c>
      <c r="AN120" s="2" t="s">
        <v>784</v>
      </c>
      <c r="AO120" s="2" t="s">
        <v>2556</v>
      </c>
      <c r="AP120" s="2" t="s">
        <v>2557</v>
      </c>
      <c r="AQ120" s="2"/>
      <c r="AR120" s="2" t="s">
        <v>2547</v>
      </c>
      <c r="AS120" s="2" t="s">
        <v>2558</v>
      </c>
      <c r="AT120" s="2" t="s">
        <v>2559</v>
      </c>
      <c r="AU120" s="2" t="n">
        <v>2022</v>
      </c>
      <c r="AV120" s="2" t="n">
        <v>40</v>
      </c>
      <c r="AW120" s="2" t="n">
        <v>31</v>
      </c>
      <c r="AX120" s="2"/>
      <c r="AY120" s="2"/>
      <c r="AZ120" s="2"/>
      <c r="BA120" s="2"/>
      <c r="BB120" s="2" t="n">
        <v>4121</v>
      </c>
      <c r="BC120" s="2" t="n">
        <v>4127</v>
      </c>
      <c r="BD120" s="2"/>
      <c r="BE120" s="2" t="s">
        <v>2560</v>
      </c>
      <c r="BF120" s="2" t="str">
        <f aca="false">HYPERLINK("http://dx.doi.org/10.1016/j.vaccine.2022.05.077","http://dx.doi.org/10.1016/j.vaccine.2022.05.077")</f>
        <v>http://dx.doi.org/10.1016/j.vaccine.2022.05.077</v>
      </c>
      <c r="BG120" s="2"/>
      <c r="BH120" s="2" t="s">
        <v>2561</v>
      </c>
      <c r="BI120" s="2" t="n">
        <v>7</v>
      </c>
      <c r="BJ120" s="2" t="s">
        <v>187</v>
      </c>
      <c r="BK120" s="2" t="s">
        <v>100</v>
      </c>
      <c r="BL120" s="2" t="s">
        <v>188</v>
      </c>
      <c r="BM120" s="2" t="s">
        <v>2562</v>
      </c>
      <c r="BN120" s="2" t="n">
        <v>35667912</v>
      </c>
      <c r="BO120" s="2" t="s">
        <v>695</v>
      </c>
      <c r="BP120" s="2"/>
      <c r="BQ120" s="2"/>
      <c r="BR120" s="2" t="s">
        <v>104</v>
      </c>
      <c r="BS120" s="2" t="s">
        <v>2563</v>
      </c>
      <c r="BT120" s="2" t="str">
        <f aca="false">HYPERLINK("https%3A%2F%2Fwww.webofscience.com%2Fwos%2Fwoscc%2Ffull-record%2FWOS:000832911500007","View Full Record in Web of Science")</f>
        <v>View Full Record in Web of Science</v>
      </c>
    </row>
    <row r="121" customFormat="false" ht="12.75" hidden="false" customHeight="false" outlineLevel="0" collapsed="false">
      <c r="A121" s="2" t="s">
        <v>72</v>
      </c>
      <c r="B121" s="2" t="s">
        <v>2564</v>
      </c>
      <c r="C121" s="2"/>
      <c r="D121" s="2"/>
      <c r="E121" s="2"/>
      <c r="F121" s="2" t="s">
        <v>2565</v>
      </c>
      <c r="G121" s="2"/>
      <c r="H121" s="2"/>
      <c r="I121" s="2" t="s">
        <v>2566</v>
      </c>
      <c r="J121" s="2" t="s">
        <v>607</v>
      </c>
      <c r="K121" s="2"/>
      <c r="L121" s="2"/>
      <c r="M121" s="2" t="s">
        <v>77</v>
      </c>
      <c r="N121" s="2" t="s">
        <v>78</v>
      </c>
      <c r="O121" s="2"/>
      <c r="P121" s="2"/>
      <c r="Q121" s="2"/>
      <c r="R121" s="2"/>
      <c r="S121" s="2"/>
      <c r="T121" s="2" t="s">
        <v>2567</v>
      </c>
      <c r="U121" s="2" t="s">
        <v>2568</v>
      </c>
      <c r="V121" s="2" t="s">
        <v>2569</v>
      </c>
      <c r="W121" s="2" t="s">
        <v>2570</v>
      </c>
      <c r="X121" s="2" t="s">
        <v>2571</v>
      </c>
      <c r="Y121" s="2" t="s">
        <v>2572</v>
      </c>
      <c r="Z121" s="2" t="s">
        <v>2573</v>
      </c>
      <c r="AA121" s="2" t="s">
        <v>2574</v>
      </c>
      <c r="AB121" s="2" t="s">
        <v>2575</v>
      </c>
      <c r="AC121" s="2" t="s">
        <v>2576</v>
      </c>
      <c r="AD121" s="2" t="s">
        <v>2577</v>
      </c>
      <c r="AE121" s="2" t="s">
        <v>2578</v>
      </c>
      <c r="AF121" s="2"/>
      <c r="AG121" s="2" t="n">
        <v>73</v>
      </c>
      <c r="AH121" s="2" t="n">
        <v>3</v>
      </c>
      <c r="AI121" s="2" t="n">
        <v>6</v>
      </c>
      <c r="AJ121" s="2" t="n">
        <v>2</v>
      </c>
      <c r="AK121" s="2" t="n">
        <v>9</v>
      </c>
      <c r="AL121" s="2" t="s">
        <v>620</v>
      </c>
      <c r="AM121" s="2" t="s">
        <v>621</v>
      </c>
      <c r="AN121" s="2" t="s">
        <v>622</v>
      </c>
      <c r="AO121" s="2" t="s">
        <v>623</v>
      </c>
      <c r="AP121" s="2"/>
      <c r="AQ121" s="2"/>
      <c r="AR121" s="2" t="s">
        <v>624</v>
      </c>
      <c r="AS121" s="2" t="s">
        <v>625</v>
      </c>
      <c r="AT121" s="2" t="s">
        <v>2579</v>
      </c>
      <c r="AU121" s="2" t="n">
        <v>2022</v>
      </c>
      <c r="AV121" s="2" t="n">
        <v>13</v>
      </c>
      <c r="AW121" s="2"/>
      <c r="AX121" s="2"/>
      <c r="AY121" s="2"/>
      <c r="AZ121" s="2"/>
      <c r="BA121" s="2"/>
      <c r="BB121" s="2"/>
      <c r="BC121" s="2"/>
      <c r="BD121" s="2" t="n">
        <v>941865</v>
      </c>
      <c r="BE121" s="2" t="s">
        <v>2580</v>
      </c>
      <c r="BF121" s="2" t="str">
        <f aca="false">HYPERLINK("http://dx.doi.org/10.3389/fimmu.2022.941865","http://dx.doi.org/10.3389/fimmu.2022.941865")</f>
        <v>http://dx.doi.org/10.3389/fimmu.2022.941865</v>
      </c>
      <c r="BG121" s="2"/>
      <c r="BH121" s="2"/>
      <c r="BI121" s="2" t="n">
        <v>14</v>
      </c>
      <c r="BJ121" s="2" t="s">
        <v>628</v>
      </c>
      <c r="BK121" s="2" t="s">
        <v>100</v>
      </c>
      <c r="BL121" s="2" t="s">
        <v>628</v>
      </c>
      <c r="BM121" s="2" t="s">
        <v>2581</v>
      </c>
      <c r="BN121" s="2" t="n">
        <v>36003370</v>
      </c>
      <c r="BO121" s="2" t="s">
        <v>2582</v>
      </c>
      <c r="BP121" s="2"/>
      <c r="BQ121" s="2"/>
      <c r="BR121" s="2" t="s">
        <v>104</v>
      </c>
      <c r="BS121" s="2" t="s">
        <v>2583</v>
      </c>
      <c r="BT121" s="2" t="str">
        <f aca="false">HYPERLINK("https%3A%2F%2Fwww.webofscience.com%2Fwos%2Fwoscc%2Ffull-record%2FWOS:000843323900001","View Full Record in Web of Science")</f>
        <v>View Full Record in Web of Science</v>
      </c>
    </row>
    <row r="122" customFormat="false" ht="12.75" hidden="false" customHeight="false" outlineLevel="0" collapsed="false">
      <c r="A122" s="2" t="s">
        <v>72</v>
      </c>
      <c r="B122" s="2" t="s">
        <v>2584</v>
      </c>
      <c r="C122" s="2"/>
      <c r="D122" s="2"/>
      <c r="E122" s="2"/>
      <c r="F122" s="2" t="s">
        <v>2585</v>
      </c>
      <c r="G122" s="2"/>
      <c r="H122" s="2"/>
      <c r="I122" s="2" t="s">
        <v>2586</v>
      </c>
      <c r="J122" s="2" t="s">
        <v>2587</v>
      </c>
      <c r="K122" s="2"/>
      <c r="L122" s="2"/>
      <c r="M122" s="2" t="s">
        <v>77</v>
      </c>
      <c r="N122" s="2" t="s">
        <v>78</v>
      </c>
      <c r="O122" s="2"/>
      <c r="P122" s="2"/>
      <c r="Q122" s="2"/>
      <c r="R122" s="2"/>
      <c r="S122" s="2"/>
      <c r="T122" s="2" t="s">
        <v>2588</v>
      </c>
      <c r="U122" s="2"/>
      <c r="V122" s="2" t="s">
        <v>2589</v>
      </c>
      <c r="W122" s="2" t="s">
        <v>2590</v>
      </c>
      <c r="X122" s="2" t="s">
        <v>2591</v>
      </c>
      <c r="Y122" s="2" t="s">
        <v>2592</v>
      </c>
      <c r="Z122" s="2" t="s">
        <v>2593</v>
      </c>
      <c r="AA122" s="2" t="s">
        <v>2594</v>
      </c>
      <c r="AB122" s="2" t="s">
        <v>2595</v>
      </c>
      <c r="AC122" s="2" t="s">
        <v>2596</v>
      </c>
      <c r="AD122" s="2" t="s">
        <v>2597</v>
      </c>
      <c r="AE122" s="2" t="s">
        <v>2598</v>
      </c>
      <c r="AF122" s="2"/>
      <c r="AG122" s="2" t="n">
        <v>21</v>
      </c>
      <c r="AH122" s="2" t="n">
        <v>2</v>
      </c>
      <c r="AI122" s="2" t="n">
        <v>2</v>
      </c>
      <c r="AJ122" s="2" t="n">
        <v>2</v>
      </c>
      <c r="AK122" s="2" t="n">
        <v>2</v>
      </c>
      <c r="AL122" s="2" t="s">
        <v>620</v>
      </c>
      <c r="AM122" s="2" t="s">
        <v>621</v>
      </c>
      <c r="AN122" s="2" t="s">
        <v>622</v>
      </c>
      <c r="AO122" s="2"/>
      <c r="AP122" s="2" t="s">
        <v>2599</v>
      </c>
      <c r="AQ122" s="2"/>
      <c r="AR122" s="2" t="s">
        <v>2600</v>
      </c>
      <c r="AS122" s="2" t="s">
        <v>2601</v>
      </c>
      <c r="AT122" s="2" t="s">
        <v>2602</v>
      </c>
      <c r="AU122" s="2" t="n">
        <v>2024</v>
      </c>
      <c r="AV122" s="2" t="n">
        <v>15</v>
      </c>
      <c r="AW122" s="2"/>
      <c r="AX122" s="2"/>
      <c r="AY122" s="2"/>
      <c r="AZ122" s="2"/>
      <c r="BA122" s="2"/>
      <c r="BB122" s="2"/>
      <c r="BC122" s="2"/>
      <c r="BD122" s="2" t="n">
        <v>1327984</v>
      </c>
      <c r="BE122" s="2" t="s">
        <v>2603</v>
      </c>
      <c r="BF122" s="2" t="str">
        <f aca="false">HYPERLINK("http://dx.doi.org/10.3389/fgene.2024.1327984","http://dx.doi.org/10.3389/fgene.2024.1327984")</f>
        <v>http://dx.doi.org/10.3389/fgene.2024.1327984</v>
      </c>
      <c r="BG122" s="2"/>
      <c r="BH122" s="2"/>
      <c r="BI122" s="2" t="n">
        <v>20</v>
      </c>
      <c r="BJ122" s="2" t="s">
        <v>2604</v>
      </c>
      <c r="BK122" s="2" t="s">
        <v>100</v>
      </c>
      <c r="BL122" s="2" t="s">
        <v>2604</v>
      </c>
      <c r="BM122" s="2" t="s">
        <v>2605</v>
      </c>
      <c r="BN122" s="2" t="n">
        <v>38957806</v>
      </c>
      <c r="BO122" s="2" t="s">
        <v>1355</v>
      </c>
      <c r="BP122" s="2"/>
      <c r="BQ122" s="2"/>
      <c r="BR122" s="2" t="s">
        <v>104</v>
      </c>
      <c r="BS122" s="2" t="s">
        <v>2606</v>
      </c>
      <c r="BT122" s="2" t="str">
        <f aca="false">HYPERLINK("https%3A%2F%2Fwww.webofscience.com%2Fwos%2Fwoscc%2Ffull-record%2FWOS:001259113700001","View Full Record in Web of Science")</f>
        <v>View Full Record in Web of Science</v>
      </c>
    </row>
    <row r="123" customFormat="false" ht="12.75" hidden="false" customHeight="false" outlineLevel="0" collapsed="false">
      <c r="A123" s="2" t="s">
        <v>72</v>
      </c>
      <c r="B123" s="2" t="s">
        <v>2607</v>
      </c>
      <c r="C123" s="2"/>
      <c r="D123" s="2"/>
      <c r="E123" s="2"/>
      <c r="F123" s="2" t="s">
        <v>2608</v>
      </c>
      <c r="G123" s="2"/>
      <c r="H123" s="2"/>
      <c r="I123" s="2" t="s">
        <v>2609</v>
      </c>
      <c r="J123" s="2" t="s">
        <v>607</v>
      </c>
      <c r="K123" s="2"/>
      <c r="L123" s="2"/>
      <c r="M123" s="2" t="s">
        <v>77</v>
      </c>
      <c r="N123" s="2" t="s">
        <v>78</v>
      </c>
      <c r="O123" s="2"/>
      <c r="P123" s="2"/>
      <c r="Q123" s="2"/>
      <c r="R123" s="2"/>
      <c r="S123" s="2"/>
      <c r="T123" s="2" t="s">
        <v>2610</v>
      </c>
      <c r="U123" s="2" t="s">
        <v>2611</v>
      </c>
      <c r="V123" s="2" t="s">
        <v>2612</v>
      </c>
      <c r="W123" s="2" t="s">
        <v>2613</v>
      </c>
      <c r="X123" s="2" t="s">
        <v>2614</v>
      </c>
      <c r="Y123" s="2" t="s">
        <v>2615</v>
      </c>
      <c r="Z123" s="2" t="s">
        <v>2616</v>
      </c>
      <c r="AA123" s="2" t="s">
        <v>2617</v>
      </c>
      <c r="AB123" s="2"/>
      <c r="AC123" s="2" t="s">
        <v>2618</v>
      </c>
      <c r="AD123" s="2" t="s">
        <v>2619</v>
      </c>
      <c r="AE123" s="2" t="s">
        <v>2620</v>
      </c>
      <c r="AF123" s="2"/>
      <c r="AG123" s="2" t="n">
        <v>57</v>
      </c>
      <c r="AH123" s="2" t="n">
        <v>3</v>
      </c>
      <c r="AI123" s="2" t="n">
        <v>3</v>
      </c>
      <c r="AJ123" s="2" t="n">
        <v>0</v>
      </c>
      <c r="AK123" s="2" t="n">
        <v>3</v>
      </c>
      <c r="AL123" s="2" t="s">
        <v>620</v>
      </c>
      <c r="AM123" s="2" t="s">
        <v>621</v>
      </c>
      <c r="AN123" s="2" t="s">
        <v>622</v>
      </c>
      <c r="AO123" s="2" t="s">
        <v>623</v>
      </c>
      <c r="AP123" s="2"/>
      <c r="AQ123" s="2"/>
      <c r="AR123" s="2" t="s">
        <v>624</v>
      </c>
      <c r="AS123" s="2" t="s">
        <v>625</v>
      </c>
      <c r="AT123" s="2" t="s">
        <v>2621</v>
      </c>
      <c r="AU123" s="2" t="n">
        <v>2022</v>
      </c>
      <c r="AV123" s="2" t="n">
        <v>13</v>
      </c>
      <c r="AW123" s="2"/>
      <c r="AX123" s="2"/>
      <c r="AY123" s="2"/>
      <c r="AZ123" s="2"/>
      <c r="BA123" s="2"/>
      <c r="BB123" s="2"/>
      <c r="BC123" s="2"/>
      <c r="BD123" s="2" t="n">
        <v>962925</v>
      </c>
      <c r="BE123" s="2" t="s">
        <v>2622</v>
      </c>
      <c r="BF123" s="2" t="str">
        <f aca="false">HYPERLINK("http://dx.doi.org/10.3389/fimmu.2022.962925","http://dx.doi.org/10.3389/fimmu.2022.962925")</f>
        <v>http://dx.doi.org/10.3389/fimmu.2022.962925</v>
      </c>
      <c r="BG123" s="2"/>
      <c r="BH123" s="2"/>
      <c r="BI123" s="2" t="n">
        <v>15</v>
      </c>
      <c r="BJ123" s="2" t="s">
        <v>628</v>
      </c>
      <c r="BK123" s="2" t="s">
        <v>100</v>
      </c>
      <c r="BL123" s="2" t="s">
        <v>628</v>
      </c>
      <c r="BM123" s="2" t="s">
        <v>2623</v>
      </c>
      <c r="BN123" s="2" t="n">
        <v>35958551</v>
      </c>
      <c r="BO123" s="2" t="s">
        <v>103</v>
      </c>
      <c r="BP123" s="2"/>
      <c r="BQ123" s="2"/>
      <c r="BR123" s="2" t="s">
        <v>104</v>
      </c>
      <c r="BS123" s="2" t="s">
        <v>2624</v>
      </c>
      <c r="BT123" s="2" t="str">
        <f aca="false">HYPERLINK("https%3A%2F%2Fwww.webofscience.com%2Fwos%2Fwoscc%2Ffull-record%2FWOS:000838056300001","View Full Record in Web of Science")</f>
        <v>View Full Record in Web of Science</v>
      </c>
    </row>
    <row r="124" customFormat="false" ht="12.75" hidden="false" customHeight="false" outlineLevel="0" collapsed="false">
      <c r="A124" s="2" t="s">
        <v>72</v>
      </c>
      <c r="B124" s="2" t="s">
        <v>2625</v>
      </c>
      <c r="C124" s="2"/>
      <c r="D124" s="2"/>
      <c r="E124" s="2"/>
      <c r="F124" s="2" t="s">
        <v>2626</v>
      </c>
      <c r="G124" s="2"/>
      <c r="H124" s="2"/>
      <c r="I124" s="2" t="s">
        <v>2627</v>
      </c>
      <c r="J124" s="2" t="s">
        <v>514</v>
      </c>
      <c r="K124" s="2"/>
      <c r="L124" s="2"/>
      <c r="M124" s="2" t="s">
        <v>77</v>
      </c>
      <c r="N124" s="2" t="s">
        <v>78</v>
      </c>
      <c r="O124" s="2"/>
      <c r="P124" s="2"/>
      <c r="Q124" s="2"/>
      <c r="R124" s="2"/>
      <c r="S124" s="2"/>
      <c r="T124" s="2" t="s">
        <v>2628</v>
      </c>
      <c r="U124" s="2" t="s">
        <v>2629</v>
      </c>
      <c r="V124" s="2" t="s">
        <v>2630</v>
      </c>
      <c r="W124" s="2" t="s">
        <v>2631</v>
      </c>
      <c r="X124" s="2" t="s">
        <v>2632</v>
      </c>
      <c r="Y124" s="2" t="s">
        <v>2633</v>
      </c>
      <c r="Z124" s="2" t="s">
        <v>2634</v>
      </c>
      <c r="AA124" s="2" t="s">
        <v>2635</v>
      </c>
      <c r="AB124" s="2" t="s">
        <v>2636</v>
      </c>
      <c r="AC124" s="2" t="s">
        <v>2637</v>
      </c>
      <c r="AD124" s="2" t="s">
        <v>2638</v>
      </c>
      <c r="AE124" s="2" t="s">
        <v>2639</v>
      </c>
      <c r="AF124" s="2"/>
      <c r="AG124" s="2" t="n">
        <v>48</v>
      </c>
      <c r="AH124" s="2" t="n">
        <v>73</v>
      </c>
      <c r="AI124" s="2" t="n">
        <v>80</v>
      </c>
      <c r="AJ124" s="2" t="n">
        <v>1</v>
      </c>
      <c r="AK124" s="2" t="n">
        <v>13</v>
      </c>
      <c r="AL124" s="2" t="s">
        <v>527</v>
      </c>
      <c r="AM124" s="2" t="s">
        <v>528</v>
      </c>
      <c r="AN124" s="2" t="s">
        <v>529</v>
      </c>
      <c r="AO124" s="2" t="s">
        <v>530</v>
      </c>
      <c r="AP124" s="2" t="s">
        <v>531</v>
      </c>
      <c r="AQ124" s="2"/>
      <c r="AR124" s="2" t="s">
        <v>532</v>
      </c>
      <c r="AS124" s="2" t="s">
        <v>533</v>
      </c>
      <c r="AT124" s="2" t="s">
        <v>2640</v>
      </c>
      <c r="AU124" s="2" t="n">
        <v>2017</v>
      </c>
      <c r="AV124" s="2" t="n">
        <v>215</v>
      </c>
      <c r="AW124" s="2" t="n">
        <v>9</v>
      </c>
      <c r="AX124" s="2"/>
      <c r="AY124" s="2"/>
      <c r="AZ124" s="2"/>
      <c r="BA124" s="2"/>
      <c r="BB124" s="2" t="n">
        <v>1407</v>
      </c>
      <c r="BC124" s="2" t="n">
        <v>1415</v>
      </c>
      <c r="BD124" s="2"/>
      <c r="BE124" s="2" t="s">
        <v>2641</v>
      </c>
      <c r="BF124" s="2" t="str">
        <f aca="false">HYPERLINK("http://dx.doi.org/10.1093/infdis/jix148","http://dx.doi.org/10.1093/infdis/jix148")</f>
        <v>http://dx.doi.org/10.1093/infdis/jix148</v>
      </c>
      <c r="BG124" s="2"/>
      <c r="BH124" s="2"/>
      <c r="BI124" s="2" t="n">
        <v>9</v>
      </c>
      <c r="BJ124" s="2" t="s">
        <v>536</v>
      </c>
      <c r="BK124" s="2" t="s">
        <v>100</v>
      </c>
      <c r="BL124" s="2" t="s">
        <v>536</v>
      </c>
      <c r="BM124" s="2" t="s">
        <v>2642</v>
      </c>
      <c r="BN124" s="2" t="n">
        <v>28368491</v>
      </c>
      <c r="BO124" s="2" t="s">
        <v>2643</v>
      </c>
      <c r="BP124" s="2"/>
      <c r="BQ124" s="2"/>
      <c r="BR124" s="2" t="s">
        <v>104</v>
      </c>
      <c r="BS124" s="2" t="s">
        <v>2644</v>
      </c>
      <c r="BT124" s="2" t="str">
        <f aca="false">HYPERLINK("https%3A%2F%2Fwww.webofscience.com%2Fwos%2Fwoscc%2Ffull-record%2FWOS:000402614600010","View Full Record in Web of Science")</f>
        <v>View Full Record in Web of Science</v>
      </c>
    </row>
    <row r="125" customFormat="false" ht="12.75" hidden="false" customHeight="false" outlineLevel="0" collapsed="false">
      <c r="A125" s="2" t="s">
        <v>72</v>
      </c>
      <c r="B125" s="2" t="s">
        <v>2645</v>
      </c>
      <c r="C125" s="2"/>
      <c r="D125" s="2"/>
      <c r="E125" s="2"/>
      <c r="F125" s="2" t="s">
        <v>2646</v>
      </c>
      <c r="G125" s="2"/>
      <c r="H125" s="2"/>
      <c r="I125" s="2" t="s">
        <v>2647</v>
      </c>
      <c r="J125" s="2" t="s">
        <v>2406</v>
      </c>
      <c r="K125" s="2"/>
      <c r="L125" s="2"/>
      <c r="M125" s="2" t="s">
        <v>77</v>
      </c>
      <c r="N125" s="2" t="s">
        <v>78</v>
      </c>
      <c r="O125" s="2"/>
      <c r="P125" s="2"/>
      <c r="Q125" s="2"/>
      <c r="R125" s="2"/>
      <c r="S125" s="2"/>
      <c r="T125" s="2" t="s">
        <v>2648</v>
      </c>
      <c r="U125" s="2" t="s">
        <v>2649</v>
      </c>
      <c r="V125" s="2" t="s">
        <v>2650</v>
      </c>
      <c r="W125" s="2" t="s">
        <v>2651</v>
      </c>
      <c r="X125" s="2" t="s">
        <v>2652</v>
      </c>
      <c r="Y125" s="2" t="s">
        <v>2653</v>
      </c>
      <c r="Z125" s="2" t="s">
        <v>2654</v>
      </c>
      <c r="AA125" s="2" t="s">
        <v>2655</v>
      </c>
      <c r="AB125" s="2" t="s">
        <v>2656</v>
      </c>
      <c r="AC125" s="2" t="s">
        <v>2657</v>
      </c>
      <c r="AD125" s="2" t="s">
        <v>2658</v>
      </c>
      <c r="AE125" s="2" t="s">
        <v>2659</v>
      </c>
      <c r="AF125" s="2"/>
      <c r="AG125" s="2" t="n">
        <v>55</v>
      </c>
      <c r="AH125" s="2" t="n">
        <v>19</v>
      </c>
      <c r="AI125" s="2" t="n">
        <v>23</v>
      </c>
      <c r="AJ125" s="2" t="n">
        <v>0</v>
      </c>
      <c r="AK125" s="2" t="n">
        <v>13</v>
      </c>
      <c r="AL125" s="2" t="s">
        <v>549</v>
      </c>
      <c r="AM125" s="2" t="s">
        <v>384</v>
      </c>
      <c r="AN125" s="2" t="s">
        <v>550</v>
      </c>
      <c r="AO125" s="2" t="s">
        <v>2417</v>
      </c>
      <c r="AP125" s="2"/>
      <c r="AQ125" s="2"/>
      <c r="AR125" s="2" t="s">
        <v>2418</v>
      </c>
      <c r="AS125" s="2" t="s">
        <v>2419</v>
      </c>
      <c r="AT125" s="2" t="s">
        <v>97</v>
      </c>
      <c r="AU125" s="2" t="n">
        <v>2012</v>
      </c>
      <c r="AV125" s="2" t="n">
        <v>93</v>
      </c>
      <c r="AW125" s="2" t="n">
        <v>3</v>
      </c>
      <c r="AX125" s="2"/>
      <c r="AY125" s="2"/>
      <c r="AZ125" s="2"/>
      <c r="BA125" s="2"/>
      <c r="BB125" s="2" t="n">
        <v>364</v>
      </c>
      <c r="BC125" s="2" t="n">
        <v>373</v>
      </c>
      <c r="BD125" s="2"/>
      <c r="BE125" s="2" t="s">
        <v>2660</v>
      </c>
      <c r="BF125" s="2" t="str">
        <f aca="false">HYPERLINK("http://dx.doi.org/10.1016/j.antiviral.2012.01.004","http://dx.doi.org/10.1016/j.antiviral.2012.01.004")</f>
        <v>http://dx.doi.org/10.1016/j.antiviral.2012.01.004</v>
      </c>
      <c r="BG125" s="2"/>
      <c r="BH125" s="2"/>
      <c r="BI125" s="2" t="n">
        <v>10</v>
      </c>
      <c r="BJ125" s="2" t="s">
        <v>2421</v>
      </c>
      <c r="BK125" s="2" t="s">
        <v>100</v>
      </c>
      <c r="BL125" s="2" t="s">
        <v>2421</v>
      </c>
      <c r="BM125" s="2" t="s">
        <v>2661</v>
      </c>
      <c r="BN125" s="2" t="n">
        <v>22285728</v>
      </c>
      <c r="BO125" s="2"/>
      <c r="BP125" s="2"/>
      <c r="BQ125" s="2"/>
      <c r="BR125" s="2" t="s">
        <v>104</v>
      </c>
      <c r="BS125" s="2" t="s">
        <v>2662</v>
      </c>
      <c r="BT125" s="2" t="str">
        <f aca="false">HYPERLINK("https%3A%2F%2Fwww.webofscience.com%2Fwos%2Fwoscc%2Ffull-record%2FWOS:000302430100007","View Full Record in Web of Science")</f>
        <v>View Full Record in Web of Science</v>
      </c>
    </row>
    <row r="126" customFormat="false" ht="12.75" hidden="false" customHeight="false" outlineLevel="0" collapsed="false">
      <c r="A126" s="2" t="s">
        <v>72</v>
      </c>
      <c r="B126" s="2" t="s">
        <v>2663</v>
      </c>
      <c r="C126" s="2"/>
      <c r="D126" s="2"/>
      <c r="E126" s="2"/>
      <c r="F126" s="2" t="s">
        <v>2664</v>
      </c>
      <c r="G126" s="2"/>
      <c r="H126" s="2"/>
      <c r="I126" s="2" t="s">
        <v>2665</v>
      </c>
      <c r="J126" s="2" t="s">
        <v>2666</v>
      </c>
      <c r="K126" s="2"/>
      <c r="L126" s="2"/>
      <c r="M126" s="2" t="s">
        <v>77</v>
      </c>
      <c r="N126" s="2" t="s">
        <v>78</v>
      </c>
      <c r="O126" s="2"/>
      <c r="P126" s="2"/>
      <c r="Q126" s="2"/>
      <c r="R126" s="2"/>
      <c r="S126" s="2"/>
      <c r="T126" s="2" t="s">
        <v>2667</v>
      </c>
      <c r="U126" s="2" t="s">
        <v>2668</v>
      </c>
      <c r="V126" s="2" t="s">
        <v>2669</v>
      </c>
      <c r="W126" s="2" t="s">
        <v>2670</v>
      </c>
      <c r="X126" s="2" t="s">
        <v>2671</v>
      </c>
      <c r="Y126" s="2" t="s">
        <v>2672</v>
      </c>
      <c r="Z126" s="2" t="s">
        <v>2673</v>
      </c>
      <c r="AA126" s="2" t="s">
        <v>2674</v>
      </c>
      <c r="AB126" s="2" t="s">
        <v>2675</v>
      </c>
      <c r="AC126" s="2"/>
      <c r="AD126" s="2"/>
      <c r="AE126" s="2"/>
      <c r="AF126" s="2"/>
      <c r="AG126" s="2" t="n">
        <v>44</v>
      </c>
      <c r="AH126" s="2" t="n">
        <v>4</v>
      </c>
      <c r="AI126" s="2" t="n">
        <v>6</v>
      </c>
      <c r="AJ126" s="2" t="n">
        <v>0</v>
      </c>
      <c r="AK126" s="2" t="n">
        <v>0</v>
      </c>
      <c r="AL126" s="2" t="s">
        <v>2676</v>
      </c>
      <c r="AM126" s="2" t="s">
        <v>2677</v>
      </c>
      <c r="AN126" s="2" t="s">
        <v>2678</v>
      </c>
      <c r="AO126" s="2" t="s">
        <v>2679</v>
      </c>
      <c r="AP126" s="2"/>
      <c r="AQ126" s="2"/>
      <c r="AR126" s="2" t="s">
        <v>2680</v>
      </c>
      <c r="AS126" s="2" t="s">
        <v>2681</v>
      </c>
      <c r="AT126" s="2"/>
      <c r="AU126" s="2" t="n">
        <v>2019</v>
      </c>
      <c r="AV126" s="2" t="n">
        <v>27</v>
      </c>
      <c r="AW126" s="2"/>
      <c r="AX126" s="2"/>
      <c r="AY126" s="2"/>
      <c r="AZ126" s="2"/>
      <c r="BA126" s="2"/>
      <c r="BB126" s="2"/>
      <c r="BC126" s="2"/>
      <c r="BD126" s="2" t="s">
        <v>2682</v>
      </c>
      <c r="BE126" s="2" t="s">
        <v>2683</v>
      </c>
      <c r="BF126" s="2" t="str">
        <f aca="false">HYPERLINK("http://dx.doi.org/10.1590/1518-8345.2902.3153","http://dx.doi.org/10.1590/1518-8345.2902.3153")</f>
        <v>http://dx.doi.org/10.1590/1518-8345.2902.3153</v>
      </c>
      <c r="BG126" s="2"/>
      <c r="BH126" s="2"/>
      <c r="BI126" s="2" t="n">
        <v>13</v>
      </c>
      <c r="BJ126" s="2" t="s">
        <v>2684</v>
      </c>
      <c r="BK126" s="2" t="s">
        <v>1086</v>
      </c>
      <c r="BL126" s="2" t="s">
        <v>2684</v>
      </c>
      <c r="BM126" s="2" t="s">
        <v>2685</v>
      </c>
      <c r="BN126" s="2" t="n">
        <v>31596405</v>
      </c>
      <c r="BO126" s="2" t="s">
        <v>103</v>
      </c>
      <c r="BP126" s="2"/>
      <c r="BQ126" s="2"/>
      <c r="BR126" s="2" t="s">
        <v>104</v>
      </c>
      <c r="BS126" s="2" t="s">
        <v>2686</v>
      </c>
      <c r="BT126" s="2" t="str">
        <f aca="false">HYPERLINK("https%3A%2F%2Fwww.webofscience.com%2Fwos%2Fwoscc%2Ffull-record%2FWOS:000490327600001","View Full Record in Web of Science")</f>
        <v>View Full Record in Web of Science</v>
      </c>
    </row>
    <row r="127" customFormat="false" ht="12.75" hidden="false" customHeight="false" outlineLevel="0" collapsed="false">
      <c r="A127" s="2" t="s">
        <v>72</v>
      </c>
      <c r="B127" s="2" t="s">
        <v>2687</v>
      </c>
      <c r="C127" s="2"/>
      <c r="D127" s="2"/>
      <c r="E127" s="2"/>
      <c r="F127" s="2" t="s">
        <v>2688</v>
      </c>
      <c r="G127" s="2"/>
      <c r="H127" s="2"/>
      <c r="I127" s="2" t="s">
        <v>2689</v>
      </c>
      <c r="J127" s="2" t="s">
        <v>2690</v>
      </c>
      <c r="K127" s="2"/>
      <c r="L127" s="2"/>
      <c r="M127" s="2" t="s">
        <v>77</v>
      </c>
      <c r="N127" s="2" t="s">
        <v>78</v>
      </c>
      <c r="O127" s="2"/>
      <c r="P127" s="2"/>
      <c r="Q127" s="2"/>
      <c r="R127" s="2"/>
      <c r="S127" s="2"/>
      <c r="T127" s="2" t="s">
        <v>2691</v>
      </c>
      <c r="U127" s="2" t="s">
        <v>2692</v>
      </c>
      <c r="V127" s="2" t="s">
        <v>2693</v>
      </c>
      <c r="W127" s="2" t="s">
        <v>2694</v>
      </c>
      <c r="X127" s="2" t="s">
        <v>2695</v>
      </c>
      <c r="Y127" s="2" t="s">
        <v>2696</v>
      </c>
      <c r="Z127" s="2" t="s">
        <v>2697</v>
      </c>
      <c r="AA127" s="2" t="s">
        <v>2698</v>
      </c>
      <c r="AB127" s="2"/>
      <c r="AC127" s="2" t="s">
        <v>2699</v>
      </c>
      <c r="AD127" s="2" t="s">
        <v>2700</v>
      </c>
      <c r="AE127" s="2" t="s">
        <v>2701</v>
      </c>
      <c r="AF127" s="2"/>
      <c r="AG127" s="2" t="n">
        <v>10</v>
      </c>
      <c r="AH127" s="2" t="n">
        <v>0</v>
      </c>
      <c r="AI127" s="2" t="n">
        <v>0</v>
      </c>
      <c r="AJ127" s="2" t="n">
        <v>0</v>
      </c>
      <c r="AK127" s="2" t="n">
        <v>0</v>
      </c>
      <c r="AL127" s="2" t="s">
        <v>1565</v>
      </c>
      <c r="AM127" s="2" t="s">
        <v>1566</v>
      </c>
      <c r="AN127" s="2" t="s">
        <v>1567</v>
      </c>
      <c r="AO127" s="2" t="s">
        <v>2702</v>
      </c>
      <c r="AP127" s="2" t="s">
        <v>2703</v>
      </c>
      <c r="AQ127" s="2"/>
      <c r="AR127" s="2" t="s">
        <v>2704</v>
      </c>
      <c r="AS127" s="2" t="s">
        <v>2705</v>
      </c>
      <c r="AT127" s="2" t="s">
        <v>2706</v>
      </c>
      <c r="AU127" s="2" t="n">
        <v>2019</v>
      </c>
      <c r="AV127" s="2" t="n">
        <v>17</v>
      </c>
      <c r="AW127" s="2"/>
      <c r="AX127" s="2"/>
      <c r="AY127" s="2"/>
      <c r="AZ127" s="2"/>
      <c r="BA127" s="2"/>
      <c r="BB127" s="2"/>
      <c r="BC127" s="2"/>
      <c r="BD127" s="2" t="n">
        <v>2058739218818680</v>
      </c>
      <c r="BE127" s="2" t="s">
        <v>2707</v>
      </c>
      <c r="BF127" s="2" t="str">
        <f aca="false">HYPERLINK("http://dx.doi.org/10.1177/2058739218818677","http://dx.doi.org/10.1177/2058739218818677")</f>
        <v>http://dx.doi.org/10.1177/2058739218818677</v>
      </c>
      <c r="BG127" s="2"/>
      <c r="BH127" s="2"/>
      <c r="BI127" s="2" t="n">
        <v>5</v>
      </c>
      <c r="BJ127" s="2" t="s">
        <v>628</v>
      </c>
      <c r="BK127" s="2" t="s">
        <v>100</v>
      </c>
      <c r="BL127" s="2" t="s">
        <v>628</v>
      </c>
      <c r="BM127" s="2" t="s">
        <v>2708</v>
      </c>
      <c r="BN127" s="2"/>
      <c r="BO127" s="2" t="s">
        <v>1355</v>
      </c>
      <c r="BP127" s="2"/>
      <c r="BQ127" s="2"/>
      <c r="BR127" s="2" t="s">
        <v>104</v>
      </c>
      <c r="BS127" s="2" t="s">
        <v>2709</v>
      </c>
      <c r="BT127" s="2" t="str">
        <f aca="false">HYPERLINK("https%3A%2F%2Fwww.webofscience.com%2Fwos%2Fwoscc%2Ffull-record%2FWOS:000462483100001","View Full Record in Web of Science")</f>
        <v>View Full Record in Web of Science</v>
      </c>
    </row>
    <row r="128" customFormat="false" ht="12.75" hidden="false" customHeight="false" outlineLevel="0" collapsed="false">
      <c r="A128" s="2" t="s">
        <v>72</v>
      </c>
      <c r="B128" s="2" t="s">
        <v>2710</v>
      </c>
      <c r="C128" s="2"/>
      <c r="D128" s="2"/>
      <c r="E128" s="2"/>
      <c r="F128" s="2" t="s">
        <v>2711</v>
      </c>
      <c r="G128" s="2"/>
      <c r="H128" s="2"/>
      <c r="I128" s="2" t="s">
        <v>2712</v>
      </c>
      <c r="J128" s="2" t="s">
        <v>2713</v>
      </c>
      <c r="K128" s="2"/>
      <c r="L128" s="2"/>
      <c r="M128" s="2" t="s">
        <v>77</v>
      </c>
      <c r="N128" s="2" t="s">
        <v>78</v>
      </c>
      <c r="O128" s="2"/>
      <c r="P128" s="2"/>
      <c r="Q128" s="2"/>
      <c r="R128" s="2"/>
      <c r="S128" s="2"/>
      <c r="T128" s="2" t="s">
        <v>2714</v>
      </c>
      <c r="U128" s="2" t="s">
        <v>2715</v>
      </c>
      <c r="V128" s="2" t="s">
        <v>2716</v>
      </c>
      <c r="W128" s="2" t="s">
        <v>2717</v>
      </c>
      <c r="X128" s="2" t="s">
        <v>2718</v>
      </c>
      <c r="Y128" s="2" t="s">
        <v>2719</v>
      </c>
      <c r="Z128" s="2" t="s">
        <v>2720</v>
      </c>
      <c r="AA128" s="2" t="s">
        <v>2721</v>
      </c>
      <c r="AB128" s="2" t="s">
        <v>2722</v>
      </c>
      <c r="AC128" s="2" t="s">
        <v>2723</v>
      </c>
      <c r="AD128" s="2" t="s">
        <v>2724</v>
      </c>
      <c r="AE128" s="2" t="s">
        <v>2725</v>
      </c>
      <c r="AF128" s="2"/>
      <c r="AG128" s="2" t="n">
        <v>43</v>
      </c>
      <c r="AH128" s="2" t="n">
        <v>21</v>
      </c>
      <c r="AI128" s="2" t="n">
        <v>22</v>
      </c>
      <c r="AJ128" s="2" t="n">
        <v>0</v>
      </c>
      <c r="AK128" s="2" t="n">
        <v>2</v>
      </c>
      <c r="AL128" s="2" t="s">
        <v>1460</v>
      </c>
      <c r="AM128" s="2" t="s">
        <v>593</v>
      </c>
      <c r="AN128" s="2" t="s">
        <v>2088</v>
      </c>
      <c r="AO128" s="2" t="s">
        <v>2726</v>
      </c>
      <c r="AP128" s="2" t="s">
        <v>2727</v>
      </c>
      <c r="AQ128" s="2"/>
      <c r="AR128" s="2" t="s">
        <v>2728</v>
      </c>
      <c r="AS128" s="2" t="s">
        <v>2729</v>
      </c>
      <c r="AT128" s="2" t="s">
        <v>390</v>
      </c>
      <c r="AU128" s="2" t="n">
        <v>2019</v>
      </c>
      <c r="AV128" s="2" t="n">
        <v>25</v>
      </c>
      <c r="AW128" s="2" t="n">
        <v>5</v>
      </c>
      <c r="AX128" s="2"/>
      <c r="AY128" s="2"/>
      <c r="AZ128" s="2"/>
      <c r="BA128" s="2"/>
      <c r="BB128" s="2" t="n">
        <v>1011</v>
      </c>
      <c r="BC128" s="2" t="n">
        <v>1021</v>
      </c>
      <c r="BD128" s="2"/>
      <c r="BE128" s="2" t="s">
        <v>2730</v>
      </c>
      <c r="BF128" s="2" t="str">
        <f aca="false">HYPERLINK("http://dx.doi.org/10.1016/j.bbmt.2018.12.005","http://dx.doi.org/10.1016/j.bbmt.2018.12.005")</f>
        <v>http://dx.doi.org/10.1016/j.bbmt.2018.12.005</v>
      </c>
      <c r="BG128" s="2"/>
      <c r="BH128" s="2"/>
      <c r="BI128" s="2" t="n">
        <v>11</v>
      </c>
      <c r="BJ128" s="2" t="s">
        <v>2731</v>
      </c>
      <c r="BK128" s="2" t="s">
        <v>100</v>
      </c>
      <c r="BL128" s="2" t="s">
        <v>2731</v>
      </c>
      <c r="BM128" s="2" t="s">
        <v>2732</v>
      </c>
      <c r="BN128" s="2" t="n">
        <v>30537551</v>
      </c>
      <c r="BO128" s="2" t="s">
        <v>676</v>
      </c>
      <c r="BP128" s="2"/>
      <c r="BQ128" s="2"/>
      <c r="BR128" s="2" t="s">
        <v>104</v>
      </c>
      <c r="BS128" s="2" t="s">
        <v>2733</v>
      </c>
      <c r="BT128" s="2" t="str">
        <f aca="false">HYPERLINK("https%3A%2F%2Fwww.webofscience.com%2Fwos%2Fwoscc%2Ffull-record%2FWOS:000469164700021","View Full Record in Web of Science")</f>
        <v>View Full Record in Web of Science</v>
      </c>
    </row>
    <row r="129" customFormat="false" ht="12.75" hidden="false" customHeight="false" outlineLevel="0" collapsed="false">
      <c r="A129" s="2" t="s">
        <v>72</v>
      </c>
      <c r="B129" s="2" t="s">
        <v>2734</v>
      </c>
      <c r="C129" s="2"/>
      <c r="D129" s="2"/>
      <c r="E129" s="2"/>
      <c r="F129" s="2" t="s">
        <v>2735</v>
      </c>
      <c r="G129" s="2"/>
      <c r="H129" s="2"/>
      <c r="I129" s="2" t="s">
        <v>2736</v>
      </c>
      <c r="J129" s="2" t="s">
        <v>1290</v>
      </c>
      <c r="K129" s="2"/>
      <c r="L129" s="2"/>
      <c r="M129" s="2" t="s">
        <v>77</v>
      </c>
      <c r="N129" s="2" t="s">
        <v>78</v>
      </c>
      <c r="O129" s="2"/>
      <c r="P129" s="2"/>
      <c r="Q129" s="2"/>
      <c r="R129" s="2"/>
      <c r="S129" s="2"/>
      <c r="T129" s="2" t="s">
        <v>2737</v>
      </c>
      <c r="U129" s="2" t="s">
        <v>2738</v>
      </c>
      <c r="V129" s="2" t="s">
        <v>2739</v>
      </c>
      <c r="W129" s="2" t="s">
        <v>2740</v>
      </c>
      <c r="X129" s="2" t="s">
        <v>2741</v>
      </c>
      <c r="Y129" s="2" t="s">
        <v>2742</v>
      </c>
      <c r="Z129" s="2" t="s">
        <v>2743</v>
      </c>
      <c r="AA129" s="2" t="s">
        <v>2744</v>
      </c>
      <c r="AB129" s="2" t="s">
        <v>2745</v>
      </c>
      <c r="AC129" s="2"/>
      <c r="AD129" s="2"/>
      <c r="AE129" s="2"/>
      <c r="AF129" s="2"/>
      <c r="AG129" s="2" t="n">
        <v>30</v>
      </c>
      <c r="AH129" s="2" t="n">
        <v>49</v>
      </c>
      <c r="AI129" s="2" t="n">
        <v>57</v>
      </c>
      <c r="AJ129" s="2" t="n">
        <v>1</v>
      </c>
      <c r="AK129" s="2" t="n">
        <v>8</v>
      </c>
      <c r="AL129" s="2" t="s">
        <v>2746</v>
      </c>
      <c r="AM129" s="2" t="s">
        <v>155</v>
      </c>
      <c r="AN129" s="2" t="s">
        <v>2747</v>
      </c>
      <c r="AO129" s="2" t="s">
        <v>1302</v>
      </c>
      <c r="AP129" s="2"/>
      <c r="AQ129" s="2"/>
      <c r="AR129" s="2" t="s">
        <v>1304</v>
      </c>
      <c r="AS129" s="2" t="s">
        <v>1305</v>
      </c>
      <c r="AT129" s="2" t="s">
        <v>486</v>
      </c>
      <c r="AU129" s="2" t="n">
        <v>2010</v>
      </c>
      <c r="AV129" s="2" t="n">
        <v>45</v>
      </c>
      <c r="AW129" s="2" t="n">
        <v>6</v>
      </c>
      <c r="AX129" s="2"/>
      <c r="AY129" s="2"/>
      <c r="AZ129" s="2"/>
      <c r="BA129" s="2"/>
      <c r="BB129" s="2" t="n">
        <v>619</v>
      </c>
      <c r="BC129" s="2" t="n">
        <v>625</v>
      </c>
      <c r="BD129" s="2"/>
      <c r="BE129" s="2" t="s">
        <v>2748</v>
      </c>
      <c r="BF129" s="2" t="str">
        <f aca="false">HYPERLINK("http://dx.doi.org/10.1002/ppul.21236","http://dx.doi.org/10.1002/ppul.21236")</f>
        <v>http://dx.doi.org/10.1002/ppul.21236</v>
      </c>
      <c r="BG129" s="2"/>
      <c r="BH129" s="2"/>
      <c r="BI129" s="2" t="n">
        <v>7</v>
      </c>
      <c r="BJ129" s="2" t="s">
        <v>1307</v>
      </c>
      <c r="BK129" s="2" t="s">
        <v>100</v>
      </c>
      <c r="BL129" s="2" t="s">
        <v>1307</v>
      </c>
      <c r="BM129" s="2" t="s">
        <v>2749</v>
      </c>
      <c r="BN129" s="2" t="n">
        <v>20503289</v>
      </c>
      <c r="BO129" s="2" t="s">
        <v>165</v>
      </c>
      <c r="BP129" s="2"/>
      <c r="BQ129" s="2"/>
      <c r="BR129" s="2" t="s">
        <v>104</v>
      </c>
      <c r="BS129" s="2" t="s">
        <v>2750</v>
      </c>
      <c r="BT129" s="2" t="str">
        <f aca="false">HYPERLINK("https%3A%2F%2Fwww.webofscience.com%2Fwos%2Fwoscc%2Ffull-record%2FWOS:000278500000014","View Full Record in Web of Science")</f>
        <v>View Full Record in Web of Science</v>
      </c>
    </row>
    <row r="130" customFormat="false" ht="12.75" hidden="false" customHeight="false" outlineLevel="0" collapsed="false">
      <c r="A130" s="2" t="s">
        <v>72</v>
      </c>
      <c r="B130" s="2" t="s">
        <v>2751</v>
      </c>
      <c r="C130" s="2"/>
      <c r="D130" s="2"/>
      <c r="E130" s="2"/>
      <c r="F130" s="2" t="s">
        <v>2752</v>
      </c>
      <c r="G130" s="2"/>
      <c r="H130" s="2"/>
      <c r="I130" s="2" t="s">
        <v>2753</v>
      </c>
      <c r="J130" s="2" t="s">
        <v>2754</v>
      </c>
      <c r="K130" s="2"/>
      <c r="L130" s="2"/>
      <c r="M130" s="2" t="s">
        <v>77</v>
      </c>
      <c r="N130" s="2" t="s">
        <v>78</v>
      </c>
      <c r="O130" s="2"/>
      <c r="P130" s="2"/>
      <c r="Q130" s="2"/>
      <c r="R130" s="2"/>
      <c r="S130" s="2"/>
      <c r="T130" s="2" t="s">
        <v>2755</v>
      </c>
      <c r="U130" s="2" t="s">
        <v>2756</v>
      </c>
      <c r="V130" s="2" t="s">
        <v>2757</v>
      </c>
      <c r="W130" s="2" t="s">
        <v>2758</v>
      </c>
      <c r="X130" s="2" t="s">
        <v>2759</v>
      </c>
      <c r="Y130" s="2" t="s">
        <v>2760</v>
      </c>
      <c r="Z130" s="2" t="s">
        <v>2761</v>
      </c>
      <c r="AA130" s="2" t="s">
        <v>2762</v>
      </c>
      <c r="AB130" s="2"/>
      <c r="AC130" s="2"/>
      <c r="AD130" s="2"/>
      <c r="AE130" s="2"/>
      <c r="AF130" s="2"/>
      <c r="AG130" s="2" t="n">
        <v>25</v>
      </c>
      <c r="AH130" s="2" t="n">
        <v>8</v>
      </c>
      <c r="AI130" s="2" t="n">
        <v>11</v>
      </c>
      <c r="AJ130" s="2" t="n">
        <v>0</v>
      </c>
      <c r="AK130" s="2" t="n">
        <v>11</v>
      </c>
      <c r="AL130" s="2" t="s">
        <v>2763</v>
      </c>
      <c r="AM130" s="2" t="s">
        <v>2764</v>
      </c>
      <c r="AN130" s="2" t="s">
        <v>2765</v>
      </c>
      <c r="AO130" s="2" t="s">
        <v>2766</v>
      </c>
      <c r="AP130" s="2" t="s">
        <v>2767</v>
      </c>
      <c r="AQ130" s="2"/>
      <c r="AR130" s="2" t="s">
        <v>2768</v>
      </c>
      <c r="AS130" s="2" t="s">
        <v>2769</v>
      </c>
      <c r="AT130" s="2" t="s">
        <v>2770</v>
      </c>
      <c r="AU130" s="2" t="n">
        <v>2016</v>
      </c>
      <c r="AV130" s="2" t="n">
        <v>20</v>
      </c>
      <c r="AW130" s="2" t="n">
        <v>2</v>
      </c>
      <c r="AX130" s="2"/>
      <c r="AY130" s="2"/>
      <c r="AZ130" s="2"/>
      <c r="BA130" s="2"/>
      <c r="BB130" s="2" t="n">
        <v>179</v>
      </c>
      <c r="BC130" s="2" t="n">
        <v>183</v>
      </c>
      <c r="BD130" s="2"/>
      <c r="BE130" s="2" t="s">
        <v>2771</v>
      </c>
      <c r="BF130" s="2" t="str">
        <f aca="false">HYPERLINK("http://dx.doi.org/10.1016/j.bjid.2015.12.005","http://dx.doi.org/10.1016/j.bjid.2015.12.005")</f>
        <v>http://dx.doi.org/10.1016/j.bjid.2015.12.005</v>
      </c>
      <c r="BG130" s="2"/>
      <c r="BH130" s="2"/>
      <c r="BI130" s="2" t="n">
        <v>5</v>
      </c>
      <c r="BJ130" s="2" t="s">
        <v>575</v>
      </c>
      <c r="BK130" s="2" t="s">
        <v>100</v>
      </c>
      <c r="BL130" s="2" t="s">
        <v>575</v>
      </c>
      <c r="BM130" s="2" t="s">
        <v>2772</v>
      </c>
      <c r="BN130" s="2" t="n">
        <v>26859065</v>
      </c>
      <c r="BO130" s="2" t="s">
        <v>103</v>
      </c>
      <c r="BP130" s="2"/>
      <c r="BQ130" s="2"/>
      <c r="BR130" s="2" t="s">
        <v>104</v>
      </c>
      <c r="BS130" s="2" t="s">
        <v>2773</v>
      </c>
      <c r="BT130" s="2" t="str">
        <f aca="false">HYPERLINK("https%3A%2F%2Fwww.webofscience.com%2Fwos%2Fwoscc%2Ffull-record%2FWOS:000372813300011","View Full Record in Web of Science")</f>
        <v>View Full Record in Web of Science</v>
      </c>
    </row>
    <row r="131" customFormat="false" ht="12.75" hidden="false" customHeight="false" outlineLevel="0" collapsed="false">
      <c r="A131" s="2" t="s">
        <v>72</v>
      </c>
      <c r="B131" s="2" t="s">
        <v>2774</v>
      </c>
      <c r="C131" s="2"/>
      <c r="D131" s="2"/>
      <c r="E131" s="2"/>
      <c r="F131" s="2" t="s">
        <v>2775</v>
      </c>
      <c r="G131" s="2"/>
      <c r="H131" s="2"/>
      <c r="I131" s="2" t="s">
        <v>2776</v>
      </c>
      <c r="J131" s="2" t="s">
        <v>2777</v>
      </c>
      <c r="K131" s="2"/>
      <c r="L131" s="2"/>
      <c r="M131" s="2" t="s">
        <v>77</v>
      </c>
      <c r="N131" s="2" t="s">
        <v>78</v>
      </c>
      <c r="O131" s="2"/>
      <c r="P131" s="2"/>
      <c r="Q131" s="2"/>
      <c r="R131" s="2"/>
      <c r="S131" s="2"/>
      <c r="T131" s="2" t="s">
        <v>2778</v>
      </c>
      <c r="U131" s="2" t="s">
        <v>2779</v>
      </c>
      <c r="V131" s="2" t="s">
        <v>2780</v>
      </c>
      <c r="W131" s="2" t="s">
        <v>2781</v>
      </c>
      <c r="X131" s="2" t="s">
        <v>2782</v>
      </c>
      <c r="Y131" s="2" t="s">
        <v>2783</v>
      </c>
      <c r="Z131" s="2" t="s">
        <v>2784</v>
      </c>
      <c r="AA131" s="2"/>
      <c r="AB131" s="2"/>
      <c r="AC131" s="2" t="s">
        <v>2785</v>
      </c>
      <c r="AD131" s="2" t="s">
        <v>2786</v>
      </c>
      <c r="AE131" s="2" t="s">
        <v>2787</v>
      </c>
      <c r="AF131" s="2"/>
      <c r="AG131" s="2" t="n">
        <v>23</v>
      </c>
      <c r="AH131" s="2" t="n">
        <v>5</v>
      </c>
      <c r="AI131" s="2" t="n">
        <v>5</v>
      </c>
      <c r="AJ131" s="2" t="n">
        <v>0</v>
      </c>
      <c r="AK131" s="2" t="n">
        <v>6</v>
      </c>
      <c r="AL131" s="2" t="s">
        <v>2788</v>
      </c>
      <c r="AM131" s="2" t="s">
        <v>2789</v>
      </c>
      <c r="AN131" s="2" t="s">
        <v>2790</v>
      </c>
      <c r="AO131" s="2" t="s">
        <v>2791</v>
      </c>
      <c r="AP131" s="2" t="s">
        <v>2792</v>
      </c>
      <c r="AQ131" s="2"/>
      <c r="AR131" s="2" t="s">
        <v>2793</v>
      </c>
      <c r="AS131" s="2" t="s">
        <v>2794</v>
      </c>
      <c r="AT131" s="2" t="s">
        <v>2795</v>
      </c>
      <c r="AU131" s="2" t="n">
        <v>2016</v>
      </c>
      <c r="AV131" s="2" t="n">
        <v>53</v>
      </c>
      <c r="AW131" s="2" t="n">
        <v>1</v>
      </c>
      <c r="AX131" s="2"/>
      <c r="AY131" s="2"/>
      <c r="AZ131" s="2"/>
      <c r="BA131" s="2"/>
      <c r="BB131" s="2" t="n">
        <v>15</v>
      </c>
      <c r="BC131" s="2" t="n">
        <v>18</v>
      </c>
      <c r="BD131" s="2"/>
      <c r="BE131" s="2" t="s">
        <v>2796</v>
      </c>
      <c r="BF131" s="2" t="str">
        <f aca="false">HYPERLINK("http://dx.doi.org/10.3109/02770903.2015.1081940","http://dx.doi.org/10.3109/02770903.2015.1081940")</f>
        <v>http://dx.doi.org/10.3109/02770903.2015.1081940</v>
      </c>
      <c r="BG131" s="2"/>
      <c r="BH131" s="2"/>
      <c r="BI131" s="2" t="n">
        <v>4</v>
      </c>
      <c r="BJ131" s="2" t="s">
        <v>2797</v>
      </c>
      <c r="BK131" s="2" t="s">
        <v>100</v>
      </c>
      <c r="BL131" s="2" t="s">
        <v>2797</v>
      </c>
      <c r="BM131" s="2" t="s">
        <v>2798</v>
      </c>
      <c r="BN131" s="2" t="n">
        <v>26364908</v>
      </c>
      <c r="BO131" s="2" t="s">
        <v>695</v>
      </c>
      <c r="BP131" s="2"/>
      <c r="BQ131" s="2"/>
      <c r="BR131" s="2" t="s">
        <v>104</v>
      </c>
      <c r="BS131" s="2" t="s">
        <v>2799</v>
      </c>
      <c r="BT131" s="2" t="str">
        <f aca="false">HYPERLINK("https%3A%2F%2Fwww.webofscience.com%2Fwos%2Fwoscc%2Ffull-record%2FWOS:000372419200004","View Full Record in Web of Science")</f>
        <v>View Full Record in Web of Science</v>
      </c>
    </row>
    <row r="132" customFormat="false" ht="12.75" hidden="false" customHeight="false" outlineLevel="0" collapsed="false">
      <c r="A132" s="2" t="s">
        <v>72</v>
      </c>
      <c r="B132" s="2" t="s">
        <v>2800</v>
      </c>
      <c r="C132" s="2"/>
      <c r="D132" s="2"/>
      <c r="E132" s="2"/>
      <c r="F132" s="2" t="s">
        <v>2801</v>
      </c>
      <c r="G132" s="2"/>
      <c r="H132" s="2"/>
      <c r="I132" s="2" t="s">
        <v>2802</v>
      </c>
      <c r="J132" s="2" t="s">
        <v>370</v>
      </c>
      <c r="K132" s="2"/>
      <c r="L132" s="2"/>
      <c r="M132" s="2" t="s">
        <v>77</v>
      </c>
      <c r="N132" s="2" t="s">
        <v>78</v>
      </c>
      <c r="O132" s="2"/>
      <c r="P132" s="2"/>
      <c r="Q132" s="2"/>
      <c r="R132" s="2"/>
      <c r="S132" s="2"/>
      <c r="T132" s="2" t="s">
        <v>2803</v>
      </c>
      <c r="U132" s="2" t="s">
        <v>2804</v>
      </c>
      <c r="V132" s="2" t="s">
        <v>2805</v>
      </c>
      <c r="W132" s="2" t="s">
        <v>2806</v>
      </c>
      <c r="X132" s="2" t="s">
        <v>2807</v>
      </c>
      <c r="Y132" s="2" t="s">
        <v>2808</v>
      </c>
      <c r="Z132" s="2" t="s">
        <v>428</v>
      </c>
      <c r="AA132" s="2" t="s">
        <v>2809</v>
      </c>
      <c r="AB132" s="2" t="s">
        <v>2810</v>
      </c>
      <c r="AC132" s="2" t="s">
        <v>2811</v>
      </c>
      <c r="AD132" s="2" t="s">
        <v>2812</v>
      </c>
      <c r="AE132" s="2" t="s">
        <v>2813</v>
      </c>
      <c r="AF132" s="2"/>
      <c r="AG132" s="2" t="n">
        <v>50</v>
      </c>
      <c r="AH132" s="2" t="n">
        <v>125</v>
      </c>
      <c r="AI132" s="2" t="n">
        <v>133</v>
      </c>
      <c r="AJ132" s="2" t="n">
        <v>0</v>
      </c>
      <c r="AK132" s="2" t="n">
        <v>7</v>
      </c>
      <c r="AL132" s="2" t="s">
        <v>383</v>
      </c>
      <c r="AM132" s="2" t="s">
        <v>384</v>
      </c>
      <c r="AN132" s="2" t="s">
        <v>385</v>
      </c>
      <c r="AO132" s="2" t="s">
        <v>386</v>
      </c>
      <c r="AP132" s="2" t="s">
        <v>387</v>
      </c>
      <c r="AQ132" s="2"/>
      <c r="AR132" s="2" t="s">
        <v>388</v>
      </c>
      <c r="AS132" s="2" t="s">
        <v>389</v>
      </c>
      <c r="AT132" s="2" t="s">
        <v>390</v>
      </c>
      <c r="AU132" s="2" t="n">
        <v>2009</v>
      </c>
      <c r="AV132" s="2" t="n">
        <v>45</v>
      </c>
      <c r="AW132" s="2" t="n">
        <v>1</v>
      </c>
      <c r="AX132" s="2"/>
      <c r="AY132" s="2"/>
      <c r="AZ132" s="2"/>
      <c r="BA132" s="2"/>
      <c r="BB132" s="2" t="n">
        <v>10</v>
      </c>
      <c r="BC132" s="2" t="n">
        <v>15</v>
      </c>
      <c r="BD132" s="2"/>
      <c r="BE132" s="2" t="s">
        <v>2814</v>
      </c>
      <c r="BF132" s="2" t="str">
        <f aca="false">HYPERLINK("http://dx.doi.org/10.1016/j.jcv.2009.03.008","http://dx.doi.org/10.1016/j.jcv.2009.03.008")</f>
        <v>http://dx.doi.org/10.1016/j.jcv.2009.03.008</v>
      </c>
      <c r="BG132" s="2"/>
      <c r="BH132" s="2"/>
      <c r="BI132" s="2" t="n">
        <v>6</v>
      </c>
      <c r="BJ132" s="2" t="s">
        <v>163</v>
      </c>
      <c r="BK132" s="2" t="s">
        <v>100</v>
      </c>
      <c r="BL132" s="2" t="s">
        <v>163</v>
      </c>
      <c r="BM132" s="2" t="s">
        <v>2815</v>
      </c>
      <c r="BN132" s="2" t="n">
        <v>19376742</v>
      </c>
      <c r="BO132" s="2" t="s">
        <v>165</v>
      </c>
      <c r="BP132" s="2"/>
      <c r="BQ132" s="2"/>
      <c r="BR132" s="2" t="s">
        <v>104</v>
      </c>
      <c r="BS132" s="2" t="s">
        <v>2816</v>
      </c>
      <c r="BT132" s="2" t="str">
        <f aca="false">HYPERLINK("https%3A%2F%2Fwww.webofscience.com%2Fwos%2Fwoscc%2Ffull-record%2FWOS:000266682900003","View Full Record in Web of Science")</f>
        <v>View Full Record in Web of Science</v>
      </c>
    </row>
    <row r="133" customFormat="false" ht="12.75" hidden="false" customHeight="false" outlineLevel="0" collapsed="false">
      <c r="A133" s="2" t="s">
        <v>72</v>
      </c>
      <c r="B133" s="2" t="s">
        <v>2817</v>
      </c>
      <c r="C133" s="2"/>
      <c r="D133" s="2"/>
      <c r="E133" s="2"/>
      <c r="F133" s="2" t="s">
        <v>2818</v>
      </c>
      <c r="G133" s="2"/>
      <c r="H133" s="2"/>
      <c r="I133" s="2" t="s">
        <v>2819</v>
      </c>
      <c r="J133" s="2" t="s">
        <v>2820</v>
      </c>
      <c r="K133" s="2"/>
      <c r="L133" s="2"/>
      <c r="M133" s="2" t="s">
        <v>77</v>
      </c>
      <c r="N133" s="2" t="s">
        <v>78</v>
      </c>
      <c r="O133" s="2"/>
      <c r="P133" s="2"/>
      <c r="Q133" s="2"/>
      <c r="R133" s="2"/>
      <c r="S133" s="2"/>
      <c r="T133" s="2" t="s">
        <v>2821</v>
      </c>
      <c r="U133" s="2" t="s">
        <v>2822</v>
      </c>
      <c r="V133" s="2" t="s">
        <v>2823</v>
      </c>
      <c r="W133" s="2" t="s">
        <v>2824</v>
      </c>
      <c r="X133" s="2" t="s">
        <v>2825</v>
      </c>
      <c r="Y133" s="2" t="s">
        <v>2826</v>
      </c>
      <c r="Z133" s="2" t="s">
        <v>2827</v>
      </c>
      <c r="AA133" s="2" t="s">
        <v>2828</v>
      </c>
      <c r="AB133" s="2" t="s">
        <v>2829</v>
      </c>
      <c r="AC133" s="2" t="s">
        <v>2830</v>
      </c>
      <c r="AD133" s="2" t="s">
        <v>2831</v>
      </c>
      <c r="AE133" s="2" t="s">
        <v>2832</v>
      </c>
      <c r="AF133" s="2"/>
      <c r="AG133" s="2" t="n">
        <v>63</v>
      </c>
      <c r="AH133" s="2" t="n">
        <v>76</v>
      </c>
      <c r="AI133" s="2" t="n">
        <v>78</v>
      </c>
      <c r="AJ133" s="2" t="n">
        <v>0</v>
      </c>
      <c r="AK133" s="2" t="n">
        <v>5</v>
      </c>
      <c r="AL133" s="2" t="s">
        <v>919</v>
      </c>
      <c r="AM133" s="2" t="s">
        <v>593</v>
      </c>
      <c r="AN133" s="2" t="s">
        <v>920</v>
      </c>
      <c r="AO133" s="2" t="s">
        <v>2833</v>
      </c>
      <c r="AP133" s="2" t="s">
        <v>2834</v>
      </c>
      <c r="AQ133" s="2"/>
      <c r="AR133" s="2" t="s">
        <v>2835</v>
      </c>
      <c r="AS133" s="2" t="s">
        <v>2836</v>
      </c>
      <c r="AT133" s="2" t="s">
        <v>692</v>
      </c>
      <c r="AU133" s="2" t="n">
        <v>2011</v>
      </c>
      <c r="AV133" s="2" t="n">
        <v>127</v>
      </c>
      <c r="AW133" s="2" t="n">
        <v>4</v>
      </c>
      <c r="AX133" s="2"/>
      <c r="AY133" s="2"/>
      <c r="AZ133" s="2"/>
      <c r="BA133" s="2"/>
      <c r="BB133" s="2" t="n">
        <v>883</v>
      </c>
      <c r="BC133" s="2" t="n">
        <v>891</v>
      </c>
      <c r="BD133" s="2"/>
      <c r="BE133" s="2" t="s">
        <v>2837</v>
      </c>
      <c r="BF133" s="2" t="str">
        <f aca="false">HYPERLINK("http://dx.doi.org/10.1016/j.jaci.2010.11.041","http://dx.doi.org/10.1016/j.jaci.2010.11.041")</f>
        <v>http://dx.doi.org/10.1016/j.jaci.2010.11.041</v>
      </c>
      <c r="BG133" s="2"/>
      <c r="BH133" s="2"/>
      <c r="BI133" s="2" t="n">
        <v>9</v>
      </c>
      <c r="BJ133" s="2" t="s">
        <v>254</v>
      </c>
      <c r="BK133" s="2" t="s">
        <v>100</v>
      </c>
      <c r="BL133" s="2" t="s">
        <v>254</v>
      </c>
      <c r="BM133" s="2" t="s">
        <v>2838</v>
      </c>
      <c r="BN133" s="2" t="n">
        <v>21269669</v>
      </c>
      <c r="BO133" s="2" t="s">
        <v>2839</v>
      </c>
      <c r="BP133" s="2"/>
      <c r="BQ133" s="2"/>
      <c r="BR133" s="2" t="s">
        <v>104</v>
      </c>
      <c r="BS133" s="2" t="s">
        <v>2840</v>
      </c>
      <c r="BT133" s="2" t="str">
        <f aca="false">HYPERLINK("https%3A%2F%2Fwww.webofscience.com%2Fwos%2Fwoscc%2Ffull-record%2FWOS:000289055800008","View Full Record in Web of Science")</f>
        <v>View Full Record in Web of Science</v>
      </c>
    </row>
    <row r="134" customFormat="false" ht="12.75" hidden="false" customHeight="false" outlineLevel="0" collapsed="false">
      <c r="A134" s="2" t="s">
        <v>72</v>
      </c>
      <c r="B134" s="2" t="s">
        <v>2841</v>
      </c>
      <c r="C134" s="2"/>
      <c r="D134" s="2"/>
      <c r="E134" s="2"/>
      <c r="F134" s="2" t="s">
        <v>2842</v>
      </c>
      <c r="G134" s="2"/>
      <c r="H134" s="2"/>
      <c r="I134" s="2" t="s">
        <v>2843</v>
      </c>
      <c r="J134" s="2" t="s">
        <v>2820</v>
      </c>
      <c r="K134" s="2"/>
      <c r="L134" s="2"/>
      <c r="M134" s="2" t="s">
        <v>77</v>
      </c>
      <c r="N134" s="2" t="s">
        <v>78</v>
      </c>
      <c r="O134" s="2"/>
      <c r="P134" s="2"/>
      <c r="Q134" s="2"/>
      <c r="R134" s="2"/>
      <c r="S134" s="2"/>
      <c r="T134" s="2" t="s">
        <v>2844</v>
      </c>
      <c r="U134" s="2" t="s">
        <v>2845</v>
      </c>
      <c r="V134" s="2" t="s">
        <v>2846</v>
      </c>
      <c r="W134" s="2" t="s">
        <v>2847</v>
      </c>
      <c r="X134" s="2" t="s">
        <v>2848</v>
      </c>
      <c r="Y134" s="2" t="s">
        <v>2849</v>
      </c>
      <c r="Z134" s="2" t="s">
        <v>2850</v>
      </c>
      <c r="AA134" s="2" t="s">
        <v>750</v>
      </c>
      <c r="AB134" s="2" t="s">
        <v>2851</v>
      </c>
      <c r="AC134" s="2" t="s">
        <v>2852</v>
      </c>
      <c r="AD134" s="2" t="s">
        <v>2853</v>
      </c>
      <c r="AE134" s="2" t="s">
        <v>2854</v>
      </c>
      <c r="AF134" s="2"/>
      <c r="AG134" s="2" t="n">
        <v>48</v>
      </c>
      <c r="AH134" s="2" t="n">
        <v>86</v>
      </c>
      <c r="AI134" s="2" t="n">
        <v>95</v>
      </c>
      <c r="AJ134" s="2" t="n">
        <v>1</v>
      </c>
      <c r="AK134" s="2" t="n">
        <v>12</v>
      </c>
      <c r="AL134" s="2" t="s">
        <v>919</v>
      </c>
      <c r="AM134" s="2" t="s">
        <v>593</v>
      </c>
      <c r="AN134" s="2" t="s">
        <v>920</v>
      </c>
      <c r="AO134" s="2" t="s">
        <v>2833</v>
      </c>
      <c r="AP134" s="2" t="s">
        <v>2834</v>
      </c>
      <c r="AQ134" s="2"/>
      <c r="AR134" s="2" t="s">
        <v>2835</v>
      </c>
      <c r="AS134" s="2" t="s">
        <v>2836</v>
      </c>
      <c r="AT134" s="2" t="s">
        <v>161</v>
      </c>
      <c r="AU134" s="2" t="n">
        <v>2013</v>
      </c>
      <c r="AV134" s="2" t="n">
        <v>131</v>
      </c>
      <c r="AW134" s="2" t="n">
        <v>1</v>
      </c>
      <c r="AX134" s="2"/>
      <c r="AY134" s="2"/>
      <c r="AZ134" s="2"/>
      <c r="BA134" s="2"/>
      <c r="BB134" s="2" t="n">
        <v>69</v>
      </c>
      <c r="BC134" s="2" t="s">
        <v>2855</v>
      </c>
      <c r="BD134" s="2"/>
      <c r="BE134" s="2" t="s">
        <v>2856</v>
      </c>
      <c r="BF134" s="2" t="str">
        <f aca="false">HYPERLINK("http://dx.doi.org/10.1016/j.jaci.2012.09.033","http://dx.doi.org/10.1016/j.jaci.2012.09.033")</f>
        <v>http://dx.doi.org/10.1016/j.jaci.2012.09.033</v>
      </c>
      <c r="BG134" s="2"/>
      <c r="BH134" s="2"/>
      <c r="BI134" s="2" t="n">
        <v>15</v>
      </c>
      <c r="BJ134" s="2" t="s">
        <v>254</v>
      </c>
      <c r="BK134" s="2" t="s">
        <v>100</v>
      </c>
      <c r="BL134" s="2" t="s">
        <v>254</v>
      </c>
      <c r="BM134" s="2" t="s">
        <v>2857</v>
      </c>
      <c r="BN134" s="2" t="n">
        <v>23146382</v>
      </c>
      <c r="BO134" s="2" t="s">
        <v>2858</v>
      </c>
      <c r="BP134" s="2"/>
      <c r="BQ134" s="2"/>
      <c r="BR134" s="2" t="s">
        <v>104</v>
      </c>
      <c r="BS134" s="2" t="s">
        <v>2859</v>
      </c>
      <c r="BT134" s="2" t="str">
        <f aca="false">HYPERLINK("https%3A%2F%2Fwww.webofscience.com%2Fwos%2Fwoscc%2Ffull-record%2FWOS:000312961200008","View Full Record in Web of Science")</f>
        <v>View Full Record in Web of Science</v>
      </c>
    </row>
    <row r="135" customFormat="false" ht="12.75" hidden="false" customHeight="false" outlineLevel="0" collapsed="false">
      <c r="A135" s="2" t="s">
        <v>72</v>
      </c>
      <c r="B135" s="2" t="s">
        <v>2860</v>
      </c>
      <c r="C135" s="2"/>
      <c r="D135" s="2"/>
      <c r="E135" s="2"/>
      <c r="F135" s="2" t="s">
        <v>2861</v>
      </c>
      <c r="G135" s="2"/>
      <c r="H135" s="2"/>
      <c r="I135" s="2" t="s">
        <v>2862</v>
      </c>
      <c r="J135" s="2" t="s">
        <v>2863</v>
      </c>
      <c r="K135" s="2"/>
      <c r="L135" s="2"/>
      <c r="M135" s="2" t="s">
        <v>77</v>
      </c>
      <c r="N135" s="2" t="s">
        <v>78</v>
      </c>
      <c r="O135" s="2"/>
      <c r="P135" s="2"/>
      <c r="Q135" s="2"/>
      <c r="R135" s="2"/>
      <c r="S135" s="2"/>
      <c r="T135" s="2" t="s">
        <v>2864</v>
      </c>
      <c r="U135" s="2" t="s">
        <v>2865</v>
      </c>
      <c r="V135" s="2" t="s">
        <v>2866</v>
      </c>
      <c r="W135" s="2" t="s">
        <v>2867</v>
      </c>
      <c r="X135" s="2" t="s">
        <v>2868</v>
      </c>
      <c r="Y135" s="2" t="s">
        <v>2869</v>
      </c>
      <c r="Z135" s="2" t="s">
        <v>2870</v>
      </c>
      <c r="AA135" s="2" t="s">
        <v>2871</v>
      </c>
      <c r="AB135" s="2" t="s">
        <v>2872</v>
      </c>
      <c r="AC135" s="2" t="s">
        <v>2873</v>
      </c>
      <c r="AD135" s="2" t="s">
        <v>2873</v>
      </c>
      <c r="AE135" s="2" t="s">
        <v>2874</v>
      </c>
      <c r="AF135" s="2"/>
      <c r="AG135" s="2" t="n">
        <v>30</v>
      </c>
      <c r="AH135" s="2" t="n">
        <v>21</v>
      </c>
      <c r="AI135" s="2" t="n">
        <v>22</v>
      </c>
      <c r="AJ135" s="2" t="n">
        <v>0</v>
      </c>
      <c r="AK135" s="2" t="n">
        <v>4</v>
      </c>
      <c r="AL135" s="2" t="s">
        <v>2875</v>
      </c>
      <c r="AM135" s="2" t="s">
        <v>2876</v>
      </c>
      <c r="AN135" s="2" t="s">
        <v>2877</v>
      </c>
      <c r="AO135" s="2" t="s">
        <v>2878</v>
      </c>
      <c r="AP135" s="2" t="s">
        <v>2879</v>
      </c>
      <c r="AQ135" s="2"/>
      <c r="AR135" s="2" t="s">
        <v>2880</v>
      </c>
      <c r="AS135" s="2" t="s">
        <v>2881</v>
      </c>
      <c r="AT135" s="2" t="s">
        <v>2882</v>
      </c>
      <c r="AU135" s="2" t="n">
        <v>2022</v>
      </c>
      <c r="AV135" s="2" t="n">
        <v>98</v>
      </c>
      <c r="AW135" s="2" t="n">
        <v>6</v>
      </c>
      <c r="AX135" s="2"/>
      <c r="AY135" s="2"/>
      <c r="AZ135" s="2"/>
      <c r="BA135" s="2"/>
      <c r="BB135" s="2" t="n">
        <v>579</v>
      </c>
      <c r="BC135" s="2" t="n">
        <v>586</v>
      </c>
      <c r="BD135" s="2"/>
      <c r="BE135" s="2" t="s">
        <v>2883</v>
      </c>
      <c r="BF135" s="2" t="str">
        <f aca="false">HYPERLINK("http://dx.doi.org/10.1016/j.jped.2022.03.003","http://dx.doi.org/10.1016/j.jped.2022.03.003")</f>
        <v>http://dx.doi.org/10.1016/j.jped.2022.03.003</v>
      </c>
      <c r="BG135" s="2"/>
      <c r="BH135" s="2" t="s">
        <v>2884</v>
      </c>
      <c r="BI135" s="2" t="n">
        <v>8</v>
      </c>
      <c r="BJ135" s="2" t="s">
        <v>601</v>
      </c>
      <c r="BK135" s="2" t="s">
        <v>100</v>
      </c>
      <c r="BL135" s="2" t="s">
        <v>601</v>
      </c>
      <c r="BM135" s="2" t="s">
        <v>2885</v>
      </c>
      <c r="BN135" s="2" t="n">
        <v>35490727</v>
      </c>
      <c r="BO135" s="2" t="s">
        <v>103</v>
      </c>
      <c r="BP135" s="2"/>
      <c r="BQ135" s="2"/>
      <c r="BR135" s="2" t="s">
        <v>104</v>
      </c>
      <c r="BS135" s="2" t="s">
        <v>2886</v>
      </c>
      <c r="BT135" s="2" t="str">
        <f aca="false">HYPERLINK("https%3A%2F%2Fwww.webofscience.com%2Fwos%2Fwoscc%2Ffull-record%2FWOS:000892476900001","View Full Record in Web of Science")</f>
        <v>View Full Record in Web of Science</v>
      </c>
    </row>
    <row r="136" customFormat="false" ht="12.75" hidden="false" customHeight="false" outlineLevel="0" collapsed="false">
      <c r="A136" s="2" t="s">
        <v>72</v>
      </c>
      <c r="B136" s="2" t="s">
        <v>2887</v>
      </c>
      <c r="C136" s="2"/>
      <c r="D136" s="2"/>
      <c r="E136" s="2"/>
      <c r="F136" s="2" t="s">
        <v>2888</v>
      </c>
      <c r="G136" s="2"/>
      <c r="H136" s="2"/>
      <c r="I136" s="2" t="s">
        <v>2889</v>
      </c>
      <c r="J136" s="2" t="s">
        <v>109</v>
      </c>
      <c r="K136" s="2"/>
      <c r="L136" s="2"/>
      <c r="M136" s="2" t="s">
        <v>77</v>
      </c>
      <c r="N136" s="2" t="s">
        <v>78</v>
      </c>
      <c r="O136" s="2"/>
      <c r="P136" s="2"/>
      <c r="Q136" s="2"/>
      <c r="R136" s="2"/>
      <c r="S136" s="2"/>
      <c r="T136" s="2" t="s">
        <v>2890</v>
      </c>
      <c r="U136" s="2" t="s">
        <v>2891</v>
      </c>
      <c r="V136" s="2" t="s">
        <v>2892</v>
      </c>
      <c r="W136" s="2" t="s">
        <v>2893</v>
      </c>
      <c r="X136" s="2" t="s">
        <v>2894</v>
      </c>
      <c r="Y136" s="2" t="s">
        <v>2895</v>
      </c>
      <c r="Z136" s="2" t="s">
        <v>2896</v>
      </c>
      <c r="AA136" s="2" t="s">
        <v>2897</v>
      </c>
      <c r="AB136" s="2" t="s">
        <v>2898</v>
      </c>
      <c r="AC136" s="2"/>
      <c r="AD136" s="2"/>
      <c r="AE136" s="2"/>
      <c r="AF136" s="2"/>
      <c r="AG136" s="2" t="n">
        <v>25</v>
      </c>
      <c r="AH136" s="2" t="n">
        <v>64</v>
      </c>
      <c r="AI136" s="2" t="n">
        <v>72</v>
      </c>
      <c r="AJ136" s="2" t="n">
        <v>0</v>
      </c>
      <c r="AK136" s="2" t="n">
        <v>2</v>
      </c>
      <c r="AL136" s="2" t="s">
        <v>122</v>
      </c>
      <c r="AM136" s="2" t="s">
        <v>123</v>
      </c>
      <c r="AN136" s="2" t="s">
        <v>124</v>
      </c>
      <c r="AO136" s="2" t="s">
        <v>125</v>
      </c>
      <c r="AP136" s="2" t="s">
        <v>126</v>
      </c>
      <c r="AQ136" s="2"/>
      <c r="AR136" s="2" t="s">
        <v>127</v>
      </c>
      <c r="AS136" s="2" t="s">
        <v>128</v>
      </c>
      <c r="AT136" s="2" t="s">
        <v>804</v>
      </c>
      <c r="AU136" s="2" t="n">
        <v>2007</v>
      </c>
      <c r="AV136" s="2" t="n">
        <v>26</v>
      </c>
      <c r="AW136" s="2" t="n">
        <v>11</v>
      </c>
      <c r="AX136" s="2"/>
      <c r="AY136" s="2"/>
      <c r="AZ136" s="2"/>
      <c r="BA136" s="2"/>
      <c r="BB136" s="2" t="n">
        <v>995</v>
      </c>
      <c r="BC136" s="2" t="n">
        <v>1000</v>
      </c>
      <c r="BD136" s="2"/>
      <c r="BE136" s="2" t="s">
        <v>2899</v>
      </c>
      <c r="BF136" s="2" t="str">
        <f aca="false">HYPERLINK("http://dx.doi.org/10.1097/INF.0b013e3181586b63","http://dx.doi.org/10.1097/INF.0b013e3181586b63")</f>
        <v>http://dx.doi.org/10.1097/INF.0b013e3181586b63</v>
      </c>
      <c r="BG136" s="2"/>
      <c r="BH136" s="2"/>
      <c r="BI136" s="2" t="n">
        <v>6</v>
      </c>
      <c r="BJ136" s="2" t="s">
        <v>134</v>
      </c>
      <c r="BK136" s="2" t="s">
        <v>100</v>
      </c>
      <c r="BL136" s="2" t="s">
        <v>134</v>
      </c>
      <c r="BM136" s="2" t="s">
        <v>2900</v>
      </c>
      <c r="BN136" s="2" t="n">
        <v>17984805</v>
      </c>
      <c r="BO136" s="2"/>
      <c r="BP136" s="2"/>
      <c r="BQ136" s="2"/>
      <c r="BR136" s="2" t="s">
        <v>104</v>
      </c>
      <c r="BS136" s="2" t="s">
        <v>2901</v>
      </c>
      <c r="BT136" s="2" t="str">
        <f aca="false">HYPERLINK("https%3A%2F%2Fwww.webofscience.com%2Fwos%2Fwoscc%2Ffull-record%2FWOS:000250818300004","View Full Record in Web of Science")</f>
        <v>View Full Record in Web of Science</v>
      </c>
    </row>
    <row r="137" customFormat="false" ht="12.75" hidden="false" customHeight="false" outlineLevel="0" collapsed="false">
      <c r="A137" s="2" t="s">
        <v>72</v>
      </c>
      <c r="B137" s="2" t="s">
        <v>2902</v>
      </c>
      <c r="C137" s="2"/>
      <c r="D137" s="2"/>
      <c r="E137" s="2"/>
      <c r="F137" s="2" t="s">
        <v>2903</v>
      </c>
      <c r="G137" s="2"/>
      <c r="H137" s="2"/>
      <c r="I137" s="2" t="s">
        <v>2904</v>
      </c>
      <c r="J137" s="2" t="s">
        <v>2905</v>
      </c>
      <c r="K137" s="2"/>
      <c r="L137" s="2"/>
      <c r="M137" s="2" t="s">
        <v>77</v>
      </c>
      <c r="N137" s="2" t="s">
        <v>78</v>
      </c>
      <c r="O137" s="2"/>
      <c r="P137" s="2"/>
      <c r="Q137" s="2"/>
      <c r="R137" s="2"/>
      <c r="S137" s="2"/>
      <c r="T137" s="2" t="s">
        <v>2906</v>
      </c>
      <c r="U137" s="2" t="s">
        <v>2907</v>
      </c>
      <c r="V137" s="2" t="s">
        <v>2908</v>
      </c>
      <c r="W137" s="2" t="s">
        <v>2909</v>
      </c>
      <c r="X137" s="2" t="s">
        <v>2910</v>
      </c>
      <c r="Y137" s="2" t="s">
        <v>2911</v>
      </c>
      <c r="Z137" s="2" t="s">
        <v>2912</v>
      </c>
      <c r="AA137" s="2"/>
      <c r="AB137" s="2" t="s">
        <v>2913</v>
      </c>
      <c r="AC137" s="2" t="s">
        <v>2914</v>
      </c>
      <c r="AD137" s="2" t="s">
        <v>2915</v>
      </c>
      <c r="AE137" s="2" t="s">
        <v>2916</v>
      </c>
      <c r="AF137" s="2"/>
      <c r="AG137" s="2" t="n">
        <v>36</v>
      </c>
      <c r="AH137" s="2" t="n">
        <v>18</v>
      </c>
      <c r="AI137" s="2" t="n">
        <v>24</v>
      </c>
      <c r="AJ137" s="2" t="n">
        <v>0</v>
      </c>
      <c r="AK137" s="2" t="n">
        <v>8</v>
      </c>
      <c r="AL137" s="2" t="s">
        <v>2917</v>
      </c>
      <c r="AM137" s="2" t="s">
        <v>2918</v>
      </c>
      <c r="AN137" s="2" t="s">
        <v>2919</v>
      </c>
      <c r="AO137" s="2" t="s">
        <v>2920</v>
      </c>
      <c r="AP137" s="2" t="s">
        <v>2921</v>
      </c>
      <c r="AQ137" s="2"/>
      <c r="AR137" s="2" t="s">
        <v>2922</v>
      </c>
      <c r="AS137" s="2" t="s">
        <v>2923</v>
      </c>
      <c r="AT137" s="2" t="s">
        <v>129</v>
      </c>
      <c r="AU137" s="2" t="n">
        <v>2014</v>
      </c>
      <c r="AV137" s="2" t="n">
        <v>32</v>
      </c>
      <c r="AW137" s="2" t="n">
        <v>3</v>
      </c>
      <c r="AX137" s="2"/>
      <c r="AY137" s="2"/>
      <c r="AZ137" s="2"/>
      <c r="BA137" s="2"/>
      <c r="BB137" s="2" t="n">
        <v>226</v>
      </c>
      <c r="BC137" s="2" t="n">
        <v>234</v>
      </c>
      <c r="BD137" s="2"/>
      <c r="BE137" s="2"/>
      <c r="BF137" s="2"/>
      <c r="BG137" s="2"/>
      <c r="BH137" s="2"/>
      <c r="BI137" s="2" t="n">
        <v>9</v>
      </c>
      <c r="BJ137" s="2" t="s">
        <v>254</v>
      </c>
      <c r="BK137" s="2" t="s">
        <v>100</v>
      </c>
      <c r="BL137" s="2" t="s">
        <v>254</v>
      </c>
      <c r="BM137" s="2" t="s">
        <v>2924</v>
      </c>
      <c r="BN137" s="2" t="n">
        <v>25268340</v>
      </c>
      <c r="BO137" s="2"/>
      <c r="BP137" s="2"/>
      <c r="BQ137" s="2"/>
      <c r="BR137" s="2" t="s">
        <v>104</v>
      </c>
      <c r="BS137" s="2" t="s">
        <v>2925</v>
      </c>
      <c r="BT137" s="2" t="str">
        <f aca="false">HYPERLINK("https%3A%2F%2Fwww.webofscience.com%2Fwos%2Fwoscc%2Ffull-record%2FWOS:000343079200006","View Full Record in Web of Science")</f>
        <v>View Full Record in Web of Science</v>
      </c>
    </row>
    <row r="138" customFormat="false" ht="12.75" hidden="false" customHeight="false" outlineLevel="0" collapsed="false">
      <c r="A138" s="2" t="s">
        <v>72</v>
      </c>
      <c r="B138" s="2" t="s">
        <v>2926</v>
      </c>
      <c r="C138" s="2"/>
      <c r="D138" s="2"/>
      <c r="E138" s="2"/>
      <c r="F138" s="2" t="s">
        <v>2927</v>
      </c>
      <c r="G138" s="2"/>
      <c r="H138" s="2"/>
      <c r="I138" s="2" t="s">
        <v>2928</v>
      </c>
      <c r="J138" s="2" t="s">
        <v>370</v>
      </c>
      <c r="K138" s="2"/>
      <c r="L138" s="2"/>
      <c r="M138" s="2" t="s">
        <v>77</v>
      </c>
      <c r="N138" s="2" t="s">
        <v>78</v>
      </c>
      <c r="O138" s="2"/>
      <c r="P138" s="2"/>
      <c r="Q138" s="2"/>
      <c r="R138" s="2"/>
      <c r="S138" s="2"/>
      <c r="T138" s="2" t="s">
        <v>2929</v>
      </c>
      <c r="U138" s="2" t="s">
        <v>2930</v>
      </c>
      <c r="V138" s="2" t="s">
        <v>2931</v>
      </c>
      <c r="W138" s="2" t="s">
        <v>2932</v>
      </c>
      <c r="X138" s="2" t="s">
        <v>2933</v>
      </c>
      <c r="Y138" s="2" t="s">
        <v>2934</v>
      </c>
      <c r="Z138" s="2" t="s">
        <v>2935</v>
      </c>
      <c r="AA138" s="2" t="s">
        <v>2936</v>
      </c>
      <c r="AB138" s="2" t="s">
        <v>2937</v>
      </c>
      <c r="AC138" s="2"/>
      <c r="AD138" s="2"/>
      <c r="AE138" s="2"/>
      <c r="AF138" s="2"/>
      <c r="AG138" s="2" t="n">
        <v>25</v>
      </c>
      <c r="AH138" s="2" t="n">
        <v>37</v>
      </c>
      <c r="AI138" s="2" t="n">
        <v>37</v>
      </c>
      <c r="AJ138" s="2" t="n">
        <v>1</v>
      </c>
      <c r="AK138" s="2" t="n">
        <v>11</v>
      </c>
      <c r="AL138" s="2" t="s">
        <v>549</v>
      </c>
      <c r="AM138" s="2" t="s">
        <v>384</v>
      </c>
      <c r="AN138" s="2" t="s">
        <v>550</v>
      </c>
      <c r="AO138" s="2" t="s">
        <v>386</v>
      </c>
      <c r="AP138" s="2" t="s">
        <v>387</v>
      </c>
      <c r="AQ138" s="2"/>
      <c r="AR138" s="2" t="s">
        <v>388</v>
      </c>
      <c r="AS138" s="2" t="s">
        <v>389</v>
      </c>
      <c r="AT138" s="2" t="s">
        <v>804</v>
      </c>
      <c r="AU138" s="2" t="n">
        <v>2014</v>
      </c>
      <c r="AV138" s="2" t="n">
        <v>61</v>
      </c>
      <c r="AW138" s="2" t="n">
        <v>3</v>
      </c>
      <c r="AX138" s="2"/>
      <c r="AY138" s="2"/>
      <c r="AZ138" s="2"/>
      <c r="BA138" s="2"/>
      <c r="BB138" s="2" t="n">
        <v>411</v>
      </c>
      <c r="BC138" s="2" t="n">
        <v>417</v>
      </c>
      <c r="BD138" s="2"/>
      <c r="BE138" s="2" t="s">
        <v>2938</v>
      </c>
      <c r="BF138" s="2" t="str">
        <f aca="false">HYPERLINK("http://dx.doi.org/10.1016/j.jcv.2014.08.023","http://dx.doi.org/10.1016/j.jcv.2014.08.023")</f>
        <v>http://dx.doi.org/10.1016/j.jcv.2014.08.023</v>
      </c>
      <c r="BG138" s="2"/>
      <c r="BH138" s="2"/>
      <c r="BI138" s="2" t="n">
        <v>7</v>
      </c>
      <c r="BJ138" s="2" t="s">
        <v>163</v>
      </c>
      <c r="BK138" s="2" t="s">
        <v>100</v>
      </c>
      <c r="BL138" s="2" t="s">
        <v>163</v>
      </c>
      <c r="BM138" s="2" t="s">
        <v>2939</v>
      </c>
      <c r="BN138" s="2" t="n">
        <v>25223920</v>
      </c>
      <c r="BO138" s="2" t="s">
        <v>165</v>
      </c>
      <c r="BP138" s="2"/>
      <c r="BQ138" s="2"/>
      <c r="BR138" s="2" t="s">
        <v>104</v>
      </c>
      <c r="BS138" s="2" t="s">
        <v>2940</v>
      </c>
      <c r="BT138" s="2" t="str">
        <f aca="false">HYPERLINK("https%3A%2F%2Fwww.webofscience.com%2Fwos%2Fwoscc%2Ffull-record%2FWOS:000344750100018","View Full Record in Web of Science")</f>
        <v>View Full Record in Web of Science</v>
      </c>
    </row>
    <row r="139" customFormat="false" ht="12.75" hidden="false" customHeight="false" outlineLevel="0" collapsed="false">
      <c r="A139" s="2" t="s">
        <v>72</v>
      </c>
      <c r="B139" s="2" t="s">
        <v>2941</v>
      </c>
      <c r="C139" s="2"/>
      <c r="D139" s="2"/>
      <c r="E139" s="2"/>
      <c r="F139" s="2" t="s">
        <v>2942</v>
      </c>
      <c r="G139" s="2"/>
      <c r="H139" s="2"/>
      <c r="I139" s="2" t="s">
        <v>2943</v>
      </c>
      <c r="J139" s="2" t="s">
        <v>2944</v>
      </c>
      <c r="K139" s="2"/>
      <c r="L139" s="2"/>
      <c r="M139" s="2" t="s">
        <v>77</v>
      </c>
      <c r="N139" s="2" t="s">
        <v>78</v>
      </c>
      <c r="O139" s="2"/>
      <c r="P139" s="2"/>
      <c r="Q139" s="2"/>
      <c r="R139" s="2"/>
      <c r="S139" s="2"/>
      <c r="T139" s="2" t="s">
        <v>2945</v>
      </c>
      <c r="U139" s="2" t="s">
        <v>2946</v>
      </c>
      <c r="V139" s="2" t="s">
        <v>2947</v>
      </c>
      <c r="W139" s="2" t="s">
        <v>2948</v>
      </c>
      <c r="X139" s="2" t="s">
        <v>2949</v>
      </c>
      <c r="Y139" s="2" t="s">
        <v>2950</v>
      </c>
      <c r="Z139" s="2" t="s">
        <v>2951</v>
      </c>
      <c r="AA139" s="2" t="s">
        <v>2952</v>
      </c>
      <c r="AB139" s="2" t="s">
        <v>2953</v>
      </c>
      <c r="AC139" s="2"/>
      <c r="AD139" s="2"/>
      <c r="AE139" s="2"/>
      <c r="AF139" s="2"/>
      <c r="AG139" s="2" t="n">
        <v>38</v>
      </c>
      <c r="AH139" s="2" t="n">
        <v>99</v>
      </c>
      <c r="AI139" s="2" t="n">
        <v>101</v>
      </c>
      <c r="AJ139" s="2" t="n">
        <v>0</v>
      </c>
      <c r="AK139" s="2" t="n">
        <v>3</v>
      </c>
      <c r="AL139" s="2" t="s">
        <v>2954</v>
      </c>
      <c r="AM139" s="2" t="s">
        <v>593</v>
      </c>
      <c r="AN139" s="2" t="s">
        <v>2955</v>
      </c>
      <c r="AO139" s="2" t="s">
        <v>2956</v>
      </c>
      <c r="AP139" s="2" t="s">
        <v>2957</v>
      </c>
      <c r="AQ139" s="2"/>
      <c r="AR139" s="2" t="s">
        <v>2958</v>
      </c>
      <c r="AS139" s="2" t="s">
        <v>2959</v>
      </c>
      <c r="AT139" s="2" t="s">
        <v>2960</v>
      </c>
      <c r="AU139" s="2" t="n">
        <v>2008</v>
      </c>
      <c r="AV139" s="2" t="n">
        <v>178</v>
      </c>
      <c r="AW139" s="2" t="n">
        <v>8</v>
      </c>
      <c r="AX139" s="2"/>
      <c r="AY139" s="2"/>
      <c r="AZ139" s="2"/>
      <c r="BA139" s="2"/>
      <c r="BB139" s="2" t="n">
        <v>876</v>
      </c>
      <c r="BC139" s="2" t="n">
        <v>881</v>
      </c>
      <c r="BD139" s="2"/>
      <c r="BE139" s="2" t="s">
        <v>2961</v>
      </c>
      <c r="BF139" s="2" t="str">
        <f aca="false">HYPERLINK("http://dx.doi.org/10.1164/rccm.200711-1657OC","http://dx.doi.org/10.1164/rccm.200711-1657OC")</f>
        <v>http://dx.doi.org/10.1164/rccm.200711-1657OC</v>
      </c>
      <c r="BG139" s="2"/>
      <c r="BH139" s="2"/>
      <c r="BI139" s="2" t="n">
        <v>6</v>
      </c>
      <c r="BJ139" s="2" t="s">
        <v>2962</v>
      </c>
      <c r="BK139" s="2" t="s">
        <v>100</v>
      </c>
      <c r="BL139" s="2" t="s">
        <v>2963</v>
      </c>
      <c r="BM139" s="2" t="s">
        <v>2964</v>
      </c>
      <c r="BN139" s="2" t="n">
        <v>18658110</v>
      </c>
      <c r="BO139" s="2"/>
      <c r="BP139" s="2"/>
      <c r="BQ139" s="2"/>
      <c r="BR139" s="2" t="s">
        <v>104</v>
      </c>
      <c r="BS139" s="2" t="s">
        <v>2965</v>
      </c>
      <c r="BT139" s="2" t="str">
        <f aca="false">HYPERLINK("https%3A%2F%2Fwww.webofscience.com%2Fwos%2Fwoscc%2Ffull-record%2FWOS:000259932600016","View Full Record in Web of Science")</f>
        <v>View Full Record in Web of Science</v>
      </c>
    </row>
    <row r="140" customFormat="false" ht="12.75" hidden="false" customHeight="false" outlineLevel="0" collapsed="false">
      <c r="A140" s="2" t="s">
        <v>72</v>
      </c>
      <c r="B140" s="2" t="s">
        <v>2966</v>
      </c>
      <c r="C140" s="2"/>
      <c r="D140" s="2"/>
      <c r="E140" s="2"/>
      <c r="F140" s="2" t="s">
        <v>2967</v>
      </c>
      <c r="G140" s="2"/>
      <c r="H140" s="2"/>
      <c r="I140" s="2" t="s">
        <v>2968</v>
      </c>
      <c r="J140" s="2" t="s">
        <v>370</v>
      </c>
      <c r="K140" s="2"/>
      <c r="L140" s="2"/>
      <c r="M140" s="2" t="s">
        <v>77</v>
      </c>
      <c r="N140" s="2" t="s">
        <v>78</v>
      </c>
      <c r="O140" s="2"/>
      <c r="P140" s="2"/>
      <c r="Q140" s="2"/>
      <c r="R140" s="2"/>
      <c r="S140" s="2"/>
      <c r="T140" s="2" t="s">
        <v>2969</v>
      </c>
      <c r="U140" s="2" t="s">
        <v>2970</v>
      </c>
      <c r="V140" s="2" t="s">
        <v>2971</v>
      </c>
      <c r="W140" s="2" t="s">
        <v>2972</v>
      </c>
      <c r="X140" s="2" t="s">
        <v>2973</v>
      </c>
      <c r="Y140" s="2" t="s">
        <v>2974</v>
      </c>
      <c r="Z140" s="2" t="s">
        <v>2975</v>
      </c>
      <c r="AA140" s="2" t="s">
        <v>2976</v>
      </c>
      <c r="AB140" s="2" t="s">
        <v>2977</v>
      </c>
      <c r="AC140" s="2" t="s">
        <v>2978</v>
      </c>
      <c r="AD140" s="2" t="s">
        <v>2979</v>
      </c>
      <c r="AE140" s="2" t="s">
        <v>2980</v>
      </c>
      <c r="AF140" s="2"/>
      <c r="AG140" s="2" t="n">
        <v>35</v>
      </c>
      <c r="AH140" s="2" t="n">
        <v>71</v>
      </c>
      <c r="AI140" s="2" t="n">
        <v>81</v>
      </c>
      <c r="AJ140" s="2" t="n">
        <v>0</v>
      </c>
      <c r="AK140" s="2" t="n">
        <v>18</v>
      </c>
      <c r="AL140" s="2" t="s">
        <v>549</v>
      </c>
      <c r="AM140" s="2" t="s">
        <v>384</v>
      </c>
      <c r="AN140" s="2" t="s">
        <v>550</v>
      </c>
      <c r="AO140" s="2" t="s">
        <v>386</v>
      </c>
      <c r="AP140" s="2" t="s">
        <v>387</v>
      </c>
      <c r="AQ140" s="2"/>
      <c r="AR140" s="2" t="s">
        <v>388</v>
      </c>
      <c r="AS140" s="2" t="s">
        <v>389</v>
      </c>
      <c r="AT140" s="2" t="s">
        <v>804</v>
      </c>
      <c r="AU140" s="2" t="n">
        <v>2011</v>
      </c>
      <c r="AV140" s="2" t="n">
        <v>52</v>
      </c>
      <c r="AW140" s="2" t="n">
        <v>3</v>
      </c>
      <c r="AX140" s="2"/>
      <c r="AY140" s="2"/>
      <c r="AZ140" s="2"/>
      <c r="BA140" s="2"/>
      <c r="BB140" s="2" t="n">
        <v>215</v>
      </c>
      <c r="BC140" s="2" t="n">
        <v>221</v>
      </c>
      <c r="BD140" s="2"/>
      <c r="BE140" s="2" t="s">
        <v>2981</v>
      </c>
      <c r="BF140" s="2" t="str">
        <f aca="false">HYPERLINK("http://dx.doi.org/10.1016/j.jcv.2011.07.017","http://dx.doi.org/10.1016/j.jcv.2011.07.017")</f>
        <v>http://dx.doi.org/10.1016/j.jcv.2011.07.017</v>
      </c>
      <c r="BG140" s="2"/>
      <c r="BH140" s="2"/>
      <c r="BI140" s="2" t="n">
        <v>7</v>
      </c>
      <c r="BJ140" s="2" t="s">
        <v>163</v>
      </c>
      <c r="BK140" s="2" t="s">
        <v>100</v>
      </c>
      <c r="BL140" s="2" t="s">
        <v>163</v>
      </c>
      <c r="BM140" s="2" t="s">
        <v>2982</v>
      </c>
      <c r="BN140" s="2" t="n">
        <v>21880543</v>
      </c>
      <c r="BO140" s="2" t="s">
        <v>1089</v>
      </c>
      <c r="BP140" s="2"/>
      <c r="BQ140" s="2"/>
      <c r="BR140" s="2" t="s">
        <v>104</v>
      </c>
      <c r="BS140" s="2" t="s">
        <v>2983</v>
      </c>
      <c r="BT140" s="2" t="str">
        <f aca="false">HYPERLINK("https%3A%2F%2Fwww.webofscience.com%2Fwos%2Fwoscc%2Ffull-record%2FWOS:000296556800011","View Full Record in Web of Science")</f>
        <v>View Full Record in Web of Science</v>
      </c>
    </row>
    <row r="141" customFormat="false" ht="12.75" hidden="false" customHeight="false" outlineLevel="0" collapsed="false">
      <c r="A141" s="2" t="s">
        <v>72</v>
      </c>
      <c r="B141" s="2" t="s">
        <v>2984</v>
      </c>
      <c r="C141" s="2"/>
      <c r="D141" s="2"/>
      <c r="E141" s="2"/>
      <c r="F141" s="2" t="s">
        <v>2985</v>
      </c>
      <c r="G141" s="2"/>
      <c r="H141" s="2"/>
      <c r="I141" s="2" t="s">
        <v>2986</v>
      </c>
      <c r="J141" s="2" t="s">
        <v>109</v>
      </c>
      <c r="K141" s="2"/>
      <c r="L141" s="2"/>
      <c r="M141" s="2" t="s">
        <v>77</v>
      </c>
      <c r="N141" s="2" t="s">
        <v>78</v>
      </c>
      <c r="O141" s="2"/>
      <c r="P141" s="2"/>
      <c r="Q141" s="2"/>
      <c r="R141" s="2"/>
      <c r="S141" s="2"/>
      <c r="T141" s="2" t="s">
        <v>2987</v>
      </c>
      <c r="U141" s="2" t="s">
        <v>2988</v>
      </c>
      <c r="V141" s="2" t="s">
        <v>2989</v>
      </c>
      <c r="W141" s="2" t="s">
        <v>2990</v>
      </c>
      <c r="X141" s="2" t="s">
        <v>2991</v>
      </c>
      <c r="Y141" s="2" t="s">
        <v>2992</v>
      </c>
      <c r="Z141" s="2" t="s">
        <v>2993</v>
      </c>
      <c r="AA141" s="2" t="s">
        <v>2994</v>
      </c>
      <c r="AB141" s="2" t="s">
        <v>2995</v>
      </c>
      <c r="AC141" s="2" t="s">
        <v>2996</v>
      </c>
      <c r="AD141" s="2" t="s">
        <v>2997</v>
      </c>
      <c r="AE141" s="2" t="s">
        <v>2998</v>
      </c>
      <c r="AF141" s="2"/>
      <c r="AG141" s="2" t="n">
        <v>26</v>
      </c>
      <c r="AH141" s="2" t="n">
        <v>34</v>
      </c>
      <c r="AI141" s="2" t="n">
        <v>37</v>
      </c>
      <c r="AJ141" s="2" t="n">
        <v>0</v>
      </c>
      <c r="AK141" s="2" t="n">
        <v>9</v>
      </c>
      <c r="AL141" s="2" t="s">
        <v>122</v>
      </c>
      <c r="AM141" s="2" t="s">
        <v>123</v>
      </c>
      <c r="AN141" s="2" t="s">
        <v>839</v>
      </c>
      <c r="AO141" s="2" t="s">
        <v>125</v>
      </c>
      <c r="AP141" s="2"/>
      <c r="AQ141" s="2"/>
      <c r="AR141" s="2" t="s">
        <v>127</v>
      </c>
      <c r="AS141" s="2" t="s">
        <v>128</v>
      </c>
      <c r="AT141" s="2" t="s">
        <v>97</v>
      </c>
      <c r="AU141" s="2" t="n">
        <v>2013</v>
      </c>
      <c r="AV141" s="2" t="n">
        <v>32</v>
      </c>
      <c r="AW141" s="2" t="n">
        <v>3</v>
      </c>
      <c r="AX141" s="2"/>
      <c r="AY141" s="2"/>
      <c r="AZ141" s="2"/>
      <c r="BA141" s="2"/>
      <c r="BB141" s="2" t="s">
        <v>2999</v>
      </c>
      <c r="BC141" s="2" t="s">
        <v>3000</v>
      </c>
      <c r="BD141" s="2"/>
      <c r="BE141" s="2" t="s">
        <v>3001</v>
      </c>
      <c r="BF141" s="2" t="str">
        <f aca="false">HYPERLINK("http://dx.doi.org/10.1097/INF.0b013e31827bd619","http://dx.doi.org/10.1097/INF.0b013e31827bd619")</f>
        <v>http://dx.doi.org/10.1097/INF.0b013e31827bd619</v>
      </c>
      <c r="BG141" s="2"/>
      <c r="BH141" s="2"/>
      <c r="BI141" s="2" t="n">
        <v>6</v>
      </c>
      <c r="BJ141" s="2" t="s">
        <v>134</v>
      </c>
      <c r="BK141" s="2" t="s">
        <v>100</v>
      </c>
      <c r="BL141" s="2" t="s">
        <v>134</v>
      </c>
      <c r="BM141" s="2" t="s">
        <v>3002</v>
      </c>
      <c r="BN141" s="2" t="n">
        <v>23190778</v>
      </c>
      <c r="BO141" s="2" t="s">
        <v>695</v>
      </c>
      <c r="BP141" s="2"/>
      <c r="BQ141" s="2"/>
      <c r="BR141" s="2" t="s">
        <v>104</v>
      </c>
      <c r="BS141" s="2" t="s">
        <v>3003</v>
      </c>
      <c r="BT141" s="2" t="str">
        <f aca="false">HYPERLINK("https%3A%2F%2Fwww.webofscience.com%2Fwos%2Fwoscc%2Ffull-record%2FWOS:000314932700002","View Full Record in Web of Science")</f>
        <v>View Full Record in Web of Science</v>
      </c>
    </row>
    <row r="142" customFormat="false" ht="12.75" hidden="false" customHeight="false" outlineLevel="0" collapsed="false">
      <c r="A142" s="2" t="s">
        <v>72</v>
      </c>
      <c r="B142" s="2" t="s">
        <v>3004</v>
      </c>
      <c r="C142" s="2"/>
      <c r="D142" s="2"/>
      <c r="E142" s="2"/>
      <c r="F142" s="2" t="s">
        <v>3005</v>
      </c>
      <c r="G142" s="2"/>
      <c r="H142" s="2"/>
      <c r="I142" s="2" t="s">
        <v>3006</v>
      </c>
      <c r="J142" s="2" t="s">
        <v>370</v>
      </c>
      <c r="K142" s="2"/>
      <c r="L142" s="2"/>
      <c r="M142" s="2" t="s">
        <v>77</v>
      </c>
      <c r="N142" s="2" t="s">
        <v>78</v>
      </c>
      <c r="O142" s="2"/>
      <c r="P142" s="2"/>
      <c r="Q142" s="2"/>
      <c r="R142" s="2"/>
      <c r="S142" s="2"/>
      <c r="T142" s="2" t="s">
        <v>3007</v>
      </c>
      <c r="U142" s="2" t="s">
        <v>3008</v>
      </c>
      <c r="V142" s="2" t="s">
        <v>3009</v>
      </c>
      <c r="W142" s="2" t="s">
        <v>3010</v>
      </c>
      <c r="X142" s="2" t="s">
        <v>3011</v>
      </c>
      <c r="Y142" s="2" t="s">
        <v>3012</v>
      </c>
      <c r="Z142" s="2" t="s">
        <v>3013</v>
      </c>
      <c r="AA142" s="2" t="s">
        <v>3014</v>
      </c>
      <c r="AB142" s="2"/>
      <c r="AC142" s="2" t="s">
        <v>3015</v>
      </c>
      <c r="AD142" s="2" t="s">
        <v>3015</v>
      </c>
      <c r="AE142" s="2" t="s">
        <v>3016</v>
      </c>
      <c r="AF142" s="2"/>
      <c r="AG142" s="2" t="n">
        <v>32</v>
      </c>
      <c r="AH142" s="2" t="n">
        <v>8</v>
      </c>
      <c r="AI142" s="2" t="n">
        <v>9</v>
      </c>
      <c r="AJ142" s="2" t="n">
        <v>1</v>
      </c>
      <c r="AK142" s="2" t="n">
        <v>5</v>
      </c>
      <c r="AL142" s="2" t="s">
        <v>549</v>
      </c>
      <c r="AM142" s="2" t="s">
        <v>384</v>
      </c>
      <c r="AN142" s="2" t="s">
        <v>550</v>
      </c>
      <c r="AO142" s="2" t="s">
        <v>386</v>
      </c>
      <c r="AP142" s="2" t="s">
        <v>387</v>
      </c>
      <c r="AQ142" s="2"/>
      <c r="AR142" s="2" t="s">
        <v>388</v>
      </c>
      <c r="AS142" s="2" t="s">
        <v>389</v>
      </c>
      <c r="AT142" s="2" t="s">
        <v>129</v>
      </c>
      <c r="AU142" s="2" t="n">
        <v>2017</v>
      </c>
      <c r="AV142" s="2" t="n">
        <v>94</v>
      </c>
      <c r="AW142" s="2"/>
      <c r="AX142" s="2"/>
      <c r="AY142" s="2"/>
      <c r="AZ142" s="2"/>
      <c r="BA142" s="2"/>
      <c r="BB142" s="2" t="n">
        <v>91</v>
      </c>
      <c r="BC142" s="2" t="n">
        <v>99</v>
      </c>
      <c r="BD142" s="2"/>
      <c r="BE142" s="2" t="s">
        <v>3017</v>
      </c>
      <c r="BF142" s="2" t="str">
        <f aca="false">HYPERLINK("http://dx.doi.org/10.1016/j.jcv.2017.07.004","http://dx.doi.org/10.1016/j.jcv.2017.07.004")</f>
        <v>http://dx.doi.org/10.1016/j.jcv.2017.07.004</v>
      </c>
      <c r="BG142" s="2"/>
      <c r="BH142" s="2"/>
      <c r="BI142" s="2" t="n">
        <v>9</v>
      </c>
      <c r="BJ142" s="2" t="s">
        <v>163</v>
      </c>
      <c r="BK142" s="2" t="s">
        <v>100</v>
      </c>
      <c r="BL142" s="2" t="s">
        <v>163</v>
      </c>
      <c r="BM142" s="2" t="s">
        <v>3018</v>
      </c>
      <c r="BN142" s="2" t="n">
        <v>28779659</v>
      </c>
      <c r="BO142" s="2" t="s">
        <v>136</v>
      </c>
      <c r="BP142" s="2"/>
      <c r="BQ142" s="2"/>
      <c r="BR142" s="2" t="s">
        <v>104</v>
      </c>
      <c r="BS142" s="2" t="s">
        <v>3019</v>
      </c>
      <c r="BT142" s="2" t="str">
        <f aca="false">HYPERLINK("https%3A%2F%2Fwww.webofscience.com%2Fwos%2Fwoscc%2Ffull-record%2FWOS:000410608400016","View Full Record in Web of Science")</f>
        <v>View Full Record in Web of Science</v>
      </c>
    </row>
    <row r="143" customFormat="false" ht="12.75" hidden="false" customHeight="false" outlineLevel="0" collapsed="false">
      <c r="A143" s="2" t="s">
        <v>72</v>
      </c>
      <c r="B143" s="2" t="s">
        <v>3020</v>
      </c>
      <c r="C143" s="2"/>
      <c r="D143" s="2"/>
      <c r="E143" s="2"/>
      <c r="F143" s="2" t="s">
        <v>3021</v>
      </c>
      <c r="G143" s="2"/>
      <c r="H143" s="2"/>
      <c r="I143" s="2" t="s">
        <v>3022</v>
      </c>
      <c r="J143" s="2" t="s">
        <v>1290</v>
      </c>
      <c r="K143" s="2"/>
      <c r="L143" s="2"/>
      <c r="M143" s="2" t="s">
        <v>77</v>
      </c>
      <c r="N143" s="2" t="s">
        <v>78</v>
      </c>
      <c r="O143" s="2"/>
      <c r="P143" s="2"/>
      <c r="Q143" s="2"/>
      <c r="R143" s="2"/>
      <c r="S143" s="2"/>
      <c r="T143" s="2" t="s">
        <v>3023</v>
      </c>
      <c r="U143" s="2" t="s">
        <v>3024</v>
      </c>
      <c r="V143" s="2" t="s">
        <v>3025</v>
      </c>
      <c r="W143" s="2" t="s">
        <v>3026</v>
      </c>
      <c r="X143" s="2" t="s">
        <v>3027</v>
      </c>
      <c r="Y143" s="2" t="s">
        <v>3028</v>
      </c>
      <c r="Z143" s="2" t="s">
        <v>3029</v>
      </c>
      <c r="AA143" s="2" t="s">
        <v>3030</v>
      </c>
      <c r="AB143" s="2" t="s">
        <v>3031</v>
      </c>
      <c r="AC143" s="2" t="s">
        <v>3032</v>
      </c>
      <c r="AD143" s="2" t="s">
        <v>3033</v>
      </c>
      <c r="AE143" s="2" t="s">
        <v>3034</v>
      </c>
      <c r="AF143" s="2"/>
      <c r="AG143" s="2" t="n">
        <v>35</v>
      </c>
      <c r="AH143" s="2" t="n">
        <v>59</v>
      </c>
      <c r="AI143" s="2" t="n">
        <v>67</v>
      </c>
      <c r="AJ143" s="2" t="n">
        <v>0</v>
      </c>
      <c r="AK143" s="2" t="n">
        <v>2</v>
      </c>
      <c r="AL143" s="2" t="s">
        <v>154</v>
      </c>
      <c r="AM143" s="2" t="s">
        <v>155</v>
      </c>
      <c r="AN143" s="2" t="s">
        <v>156</v>
      </c>
      <c r="AO143" s="2" t="s">
        <v>1302</v>
      </c>
      <c r="AP143" s="2" t="s">
        <v>1303</v>
      </c>
      <c r="AQ143" s="2"/>
      <c r="AR143" s="2" t="s">
        <v>1304</v>
      </c>
      <c r="AS143" s="2" t="s">
        <v>1305</v>
      </c>
      <c r="AT143" s="2" t="s">
        <v>486</v>
      </c>
      <c r="AU143" s="2" t="n">
        <v>2010</v>
      </c>
      <c r="AV143" s="2" t="n">
        <v>45</v>
      </c>
      <c r="AW143" s="2" t="n">
        <v>6</v>
      </c>
      <c r="AX143" s="2"/>
      <c r="AY143" s="2"/>
      <c r="AZ143" s="2"/>
      <c r="BA143" s="2"/>
      <c r="BB143" s="2" t="n">
        <v>585</v>
      </c>
      <c r="BC143" s="2" t="n">
        <v>591</v>
      </c>
      <c r="BD143" s="2"/>
      <c r="BE143" s="2" t="s">
        <v>3035</v>
      </c>
      <c r="BF143" s="2" t="str">
        <f aca="false">HYPERLINK("http://dx.doi.org/10.1002/ppul.21225","http://dx.doi.org/10.1002/ppul.21225")</f>
        <v>http://dx.doi.org/10.1002/ppul.21225</v>
      </c>
      <c r="BG143" s="2"/>
      <c r="BH143" s="2"/>
      <c r="BI143" s="2" t="n">
        <v>7</v>
      </c>
      <c r="BJ143" s="2" t="s">
        <v>1307</v>
      </c>
      <c r="BK143" s="2" t="s">
        <v>100</v>
      </c>
      <c r="BL143" s="2" t="s">
        <v>1307</v>
      </c>
      <c r="BM143" s="2" t="s">
        <v>2749</v>
      </c>
      <c r="BN143" s="2" t="n">
        <v>20503284</v>
      </c>
      <c r="BO143" s="2" t="s">
        <v>538</v>
      </c>
      <c r="BP143" s="2"/>
      <c r="BQ143" s="2"/>
      <c r="BR143" s="2" t="s">
        <v>104</v>
      </c>
      <c r="BS143" s="2" t="s">
        <v>3036</v>
      </c>
      <c r="BT143" s="2" t="str">
        <f aca="false">HYPERLINK("https%3A%2F%2Fwww.webofscience.com%2Fwos%2Fwoscc%2Ffull-record%2FWOS:000278500000009","View Full Record in Web of Science")</f>
        <v>View Full Record in Web of Science</v>
      </c>
    </row>
    <row r="144" customFormat="false" ht="12.75" hidden="false" customHeight="false" outlineLevel="0" collapsed="false">
      <c r="A144" s="2" t="s">
        <v>72</v>
      </c>
      <c r="B144" s="2" t="s">
        <v>3037</v>
      </c>
      <c r="C144" s="2"/>
      <c r="D144" s="2"/>
      <c r="E144" s="2"/>
      <c r="F144" s="2" t="s">
        <v>3038</v>
      </c>
      <c r="G144" s="2"/>
      <c r="H144" s="2"/>
      <c r="I144" s="2" t="s">
        <v>3039</v>
      </c>
      <c r="J144" s="2" t="s">
        <v>109</v>
      </c>
      <c r="K144" s="2"/>
      <c r="L144" s="2"/>
      <c r="M144" s="2" t="s">
        <v>77</v>
      </c>
      <c r="N144" s="2" t="s">
        <v>78</v>
      </c>
      <c r="O144" s="2"/>
      <c r="P144" s="2"/>
      <c r="Q144" s="2"/>
      <c r="R144" s="2"/>
      <c r="S144" s="2"/>
      <c r="T144" s="2" t="s">
        <v>3040</v>
      </c>
      <c r="U144" s="2" t="s">
        <v>3041</v>
      </c>
      <c r="V144" s="2" t="s">
        <v>3042</v>
      </c>
      <c r="W144" s="2" t="s">
        <v>3043</v>
      </c>
      <c r="X144" s="2" t="s">
        <v>3044</v>
      </c>
      <c r="Y144" s="2" t="s">
        <v>3045</v>
      </c>
      <c r="Z144" s="2" t="s">
        <v>3046</v>
      </c>
      <c r="AA144" s="2" t="s">
        <v>3047</v>
      </c>
      <c r="AB144" s="2" t="s">
        <v>3048</v>
      </c>
      <c r="AC144" s="2"/>
      <c r="AD144" s="2"/>
      <c r="AE144" s="2"/>
      <c r="AF144" s="2"/>
      <c r="AG144" s="2" t="n">
        <v>30</v>
      </c>
      <c r="AH144" s="2" t="n">
        <v>127</v>
      </c>
      <c r="AI144" s="2" t="n">
        <v>139</v>
      </c>
      <c r="AJ144" s="2" t="n">
        <v>0</v>
      </c>
      <c r="AK144" s="2" t="n">
        <v>6</v>
      </c>
      <c r="AL144" s="2" t="s">
        <v>122</v>
      </c>
      <c r="AM144" s="2" t="s">
        <v>123</v>
      </c>
      <c r="AN144" s="2" t="s">
        <v>124</v>
      </c>
      <c r="AO144" s="2" t="s">
        <v>125</v>
      </c>
      <c r="AP144" s="2" t="s">
        <v>126</v>
      </c>
      <c r="AQ144" s="2"/>
      <c r="AR144" s="2" t="s">
        <v>127</v>
      </c>
      <c r="AS144" s="2" t="s">
        <v>128</v>
      </c>
      <c r="AT144" s="2" t="s">
        <v>599</v>
      </c>
      <c r="AU144" s="2" t="n">
        <v>2008</v>
      </c>
      <c r="AV144" s="2" t="n">
        <v>27</v>
      </c>
      <c r="AW144" s="2" t="n">
        <v>7</v>
      </c>
      <c r="AX144" s="2"/>
      <c r="AY144" s="2"/>
      <c r="AZ144" s="2"/>
      <c r="BA144" s="2"/>
      <c r="BB144" s="2" t="n">
        <v>589</v>
      </c>
      <c r="BC144" s="2" t="n">
        <v>594</v>
      </c>
      <c r="BD144" s="2"/>
      <c r="BE144" s="2" t="s">
        <v>3049</v>
      </c>
      <c r="BF144" s="2" t="str">
        <f aca="false">HYPERLINK("http://dx.doi.org/10.1097/INF.0b013e3181694fb9","http://dx.doi.org/10.1097/INF.0b013e3181694fb9")</f>
        <v>http://dx.doi.org/10.1097/INF.0b013e3181694fb9</v>
      </c>
      <c r="BG144" s="2"/>
      <c r="BH144" s="2"/>
      <c r="BI144" s="2" t="n">
        <v>6</v>
      </c>
      <c r="BJ144" s="2" t="s">
        <v>134</v>
      </c>
      <c r="BK144" s="2" t="s">
        <v>100</v>
      </c>
      <c r="BL144" s="2" t="s">
        <v>134</v>
      </c>
      <c r="BM144" s="2" t="s">
        <v>3050</v>
      </c>
      <c r="BN144" s="2" t="n">
        <v>18520973</v>
      </c>
      <c r="BO144" s="2"/>
      <c r="BP144" s="2"/>
      <c r="BQ144" s="2"/>
      <c r="BR144" s="2" t="s">
        <v>104</v>
      </c>
      <c r="BS144" s="2" t="s">
        <v>3051</v>
      </c>
      <c r="BT144" s="2" t="str">
        <f aca="false">HYPERLINK("https%3A%2F%2Fwww.webofscience.com%2Fwos%2Fwoscc%2Ffull-record%2FWOS:000257176600002","View Full Record in Web of Science")</f>
        <v>View Full Record in Web of Science</v>
      </c>
    </row>
    <row r="145" customFormat="false" ht="12.75" hidden="false" customHeight="false" outlineLevel="0" collapsed="false">
      <c r="A145" s="2" t="s">
        <v>72</v>
      </c>
      <c r="B145" s="2" t="s">
        <v>3052</v>
      </c>
      <c r="C145" s="2"/>
      <c r="D145" s="2"/>
      <c r="E145" s="2"/>
      <c r="F145" s="2" t="s">
        <v>3053</v>
      </c>
      <c r="G145" s="2"/>
      <c r="H145" s="2"/>
      <c r="I145" s="2" t="s">
        <v>3054</v>
      </c>
      <c r="J145" s="2" t="s">
        <v>141</v>
      </c>
      <c r="K145" s="2"/>
      <c r="L145" s="2"/>
      <c r="M145" s="2" t="s">
        <v>77</v>
      </c>
      <c r="N145" s="2" t="s">
        <v>78</v>
      </c>
      <c r="O145" s="2"/>
      <c r="P145" s="2"/>
      <c r="Q145" s="2"/>
      <c r="R145" s="2"/>
      <c r="S145" s="2"/>
      <c r="T145" s="2" t="s">
        <v>3055</v>
      </c>
      <c r="U145" s="2" t="s">
        <v>3056</v>
      </c>
      <c r="V145" s="2" t="s">
        <v>3057</v>
      </c>
      <c r="W145" s="2" t="s">
        <v>3058</v>
      </c>
      <c r="X145" s="2" t="s">
        <v>3059</v>
      </c>
      <c r="Y145" s="2" t="s">
        <v>3060</v>
      </c>
      <c r="Z145" s="2" t="s">
        <v>3061</v>
      </c>
      <c r="AA145" s="2" t="s">
        <v>3062</v>
      </c>
      <c r="AB145" s="2" t="s">
        <v>3063</v>
      </c>
      <c r="AC145" s="2"/>
      <c r="AD145" s="2"/>
      <c r="AE145" s="2"/>
      <c r="AF145" s="2"/>
      <c r="AG145" s="2" t="n">
        <v>28</v>
      </c>
      <c r="AH145" s="2" t="n">
        <v>133</v>
      </c>
      <c r="AI145" s="2" t="n">
        <v>153</v>
      </c>
      <c r="AJ145" s="2" t="n">
        <v>0</v>
      </c>
      <c r="AK145" s="2" t="n">
        <v>8</v>
      </c>
      <c r="AL145" s="2" t="s">
        <v>2746</v>
      </c>
      <c r="AM145" s="2" t="s">
        <v>155</v>
      </c>
      <c r="AN145" s="2" t="s">
        <v>2747</v>
      </c>
      <c r="AO145" s="2" t="s">
        <v>157</v>
      </c>
      <c r="AP145" s="2"/>
      <c r="AQ145" s="2"/>
      <c r="AR145" s="2" t="s">
        <v>159</v>
      </c>
      <c r="AS145" s="2" t="s">
        <v>160</v>
      </c>
      <c r="AT145" s="2" t="s">
        <v>692</v>
      </c>
      <c r="AU145" s="2" t="n">
        <v>2008</v>
      </c>
      <c r="AV145" s="2" t="n">
        <v>80</v>
      </c>
      <c r="AW145" s="2" t="n">
        <v>4</v>
      </c>
      <c r="AX145" s="2"/>
      <c r="AY145" s="2"/>
      <c r="AZ145" s="2"/>
      <c r="BA145" s="2"/>
      <c r="BB145" s="2" t="n">
        <v>716</v>
      </c>
      <c r="BC145" s="2" t="n">
        <v>723</v>
      </c>
      <c r="BD145" s="2"/>
      <c r="BE145" s="2" t="s">
        <v>3064</v>
      </c>
      <c r="BF145" s="2" t="str">
        <f aca="false">HYPERLINK("http://dx.doi.org/10.1002/jmv.21108","http://dx.doi.org/10.1002/jmv.21108")</f>
        <v>http://dx.doi.org/10.1002/jmv.21108</v>
      </c>
      <c r="BG145" s="2"/>
      <c r="BH145" s="2"/>
      <c r="BI145" s="2" t="n">
        <v>8</v>
      </c>
      <c r="BJ145" s="2" t="s">
        <v>163</v>
      </c>
      <c r="BK145" s="2" t="s">
        <v>100</v>
      </c>
      <c r="BL145" s="2" t="s">
        <v>163</v>
      </c>
      <c r="BM145" s="2" t="s">
        <v>3065</v>
      </c>
      <c r="BN145" s="2" t="n">
        <v>18297694</v>
      </c>
      <c r="BO145" s="2" t="s">
        <v>165</v>
      </c>
      <c r="BP145" s="2"/>
      <c r="BQ145" s="2"/>
      <c r="BR145" s="2" t="s">
        <v>104</v>
      </c>
      <c r="BS145" s="2" t="s">
        <v>3066</v>
      </c>
      <c r="BT145" s="2" t="str">
        <f aca="false">HYPERLINK("https%3A%2F%2Fwww.webofscience.com%2Fwos%2Fwoscc%2Ffull-record%2FWOS:000253789800022","View Full Record in Web of Science")</f>
        <v>View Full Record in Web of Science</v>
      </c>
    </row>
    <row r="146" customFormat="false" ht="12.75" hidden="false" customHeight="false" outlineLevel="0" collapsed="false">
      <c r="A146" s="2" t="s">
        <v>72</v>
      </c>
      <c r="B146" s="2" t="s">
        <v>3067</v>
      </c>
      <c r="C146" s="2"/>
      <c r="D146" s="2"/>
      <c r="E146" s="2"/>
      <c r="F146" s="2" t="s">
        <v>3068</v>
      </c>
      <c r="G146" s="2"/>
      <c r="H146" s="2"/>
      <c r="I146" s="2" t="s">
        <v>3069</v>
      </c>
      <c r="J146" s="2" t="s">
        <v>2061</v>
      </c>
      <c r="K146" s="2"/>
      <c r="L146" s="2"/>
      <c r="M146" s="2" t="s">
        <v>77</v>
      </c>
      <c r="N146" s="2" t="s">
        <v>78</v>
      </c>
      <c r="O146" s="2"/>
      <c r="P146" s="2"/>
      <c r="Q146" s="2"/>
      <c r="R146" s="2"/>
      <c r="S146" s="2"/>
      <c r="T146" s="2" t="s">
        <v>3070</v>
      </c>
      <c r="U146" s="2" t="s">
        <v>3071</v>
      </c>
      <c r="V146" s="2" t="s">
        <v>3072</v>
      </c>
      <c r="W146" s="2" t="s">
        <v>3073</v>
      </c>
      <c r="X146" s="2" t="s">
        <v>3074</v>
      </c>
      <c r="Y146" s="2" t="s">
        <v>3075</v>
      </c>
      <c r="Z146" s="2" t="s">
        <v>3076</v>
      </c>
      <c r="AA146" s="2" t="s">
        <v>3077</v>
      </c>
      <c r="AB146" s="2" t="s">
        <v>3078</v>
      </c>
      <c r="AC146" s="2"/>
      <c r="AD146" s="2"/>
      <c r="AE146" s="2"/>
      <c r="AF146" s="2"/>
      <c r="AG146" s="2" t="n">
        <v>27</v>
      </c>
      <c r="AH146" s="2" t="n">
        <v>1</v>
      </c>
      <c r="AI146" s="2" t="n">
        <v>1</v>
      </c>
      <c r="AJ146" s="2" t="n">
        <v>1</v>
      </c>
      <c r="AK146" s="2" t="n">
        <v>7</v>
      </c>
      <c r="AL146" s="2" t="s">
        <v>2070</v>
      </c>
      <c r="AM146" s="2" t="s">
        <v>2071</v>
      </c>
      <c r="AN146" s="2" t="s">
        <v>2072</v>
      </c>
      <c r="AO146" s="2" t="s">
        <v>2073</v>
      </c>
      <c r="AP146" s="2"/>
      <c r="AQ146" s="2"/>
      <c r="AR146" s="2" t="s">
        <v>2074</v>
      </c>
      <c r="AS146" s="2" t="s">
        <v>2075</v>
      </c>
      <c r="AT146" s="2" t="s">
        <v>390</v>
      </c>
      <c r="AU146" s="2" t="n">
        <v>2022</v>
      </c>
      <c r="AV146" s="2" t="n">
        <v>16</v>
      </c>
      <c r="AW146" s="2" t="n">
        <v>5</v>
      </c>
      <c r="AX146" s="2"/>
      <c r="AY146" s="2"/>
      <c r="AZ146" s="2"/>
      <c r="BA146" s="2"/>
      <c r="BB146" s="2" t="n">
        <v>857</v>
      </c>
      <c r="BC146" s="2" t="n">
        <v>863</v>
      </c>
      <c r="BD146" s="2"/>
      <c r="BE146" s="2" t="s">
        <v>3079</v>
      </c>
      <c r="BF146" s="2" t="str">
        <f aca="false">HYPERLINK("http://dx.doi.org/10.3855/jidc.14427","http://dx.doi.org/10.3855/jidc.14427")</f>
        <v>http://dx.doi.org/10.3855/jidc.14427</v>
      </c>
      <c r="BG146" s="2"/>
      <c r="BH146" s="2"/>
      <c r="BI146" s="2" t="n">
        <v>7</v>
      </c>
      <c r="BJ146" s="2" t="s">
        <v>575</v>
      </c>
      <c r="BK146" s="2" t="s">
        <v>100</v>
      </c>
      <c r="BL146" s="2" t="s">
        <v>575</v>
      </c>
      <c r="BM146" s="2" t="s">
        <v>3080</v>
      </c>
      <c r="BN146" s="2" t="n">
        <v>35656958</v>
      </c>
      <c r="BO146" s="2" t="s">
        <v>1355</v>
      </c>
      <c r="BP146" s="2"/>
      <c r="BQ146" s="2"/>
      <c r="BR146" s="2" t="s">
        <v>104</v>
      </c>
      <c r="BS146" s="2" t="s">
        <v>3081</v>
      </c>
      <c r="BT146" s="2" t="str">
        <f aca="false">HYPERLINK("https%3A%2F%2Fwww.webofscience.com%2Fwos%2Fwoscc%2Ffull-record%2FWOS:000808235800017","View Full Record in Web of Science")</f>
        <v>View Full Record in Web of Science</v>
      </c>
    </row>
    <row r="147" customFormat="false" ht="12.75" hidden="false" customHeight="false" outlineLevel="0" collapsed="false">
      <c r="A147" s="2" t="s">
        <v>72</v>
      </c>
      <c r="B147" s="2" t="s">
        <v>3082</v>
      </c>
      <c r="C147" s="2"/>
      <c r="D147" s="2"/>
      <c r="E147" s="2"/>
      <c r="F147" s="2" t="s">
        <v>3083</v>
      </c>
      <c r="G147" s="2"/>
      <c r="H147" s="2"/>
      <c r="I147" s="2" t="s">
        <v>3084</v>
      </c>
      <c r="J147" s="2" t="s">
        <v>109</v>
      </c>
      <c r="K147" s="2"/>
      <c r="L147" s="2"/>
      <c r="M147" s="2" t="s">
        <v>77</v>
      </c>
      <c r="N147" s="2" t="s">
        <v>78</v>
      </c>
      <c r="O147" s="2"/>
      <c r="P147" s="2"/>
      <c r="Q147" s="2"/>
      <c r="R147" s="2"/>
      <c r="S147" s="2"/>
      <c r="T147" s="2" t="s">
        <v>3085</v>
      </c>
      <c r="U147" s="2" t="s">
        <v>3086</v>
      </c>
      <c r="V147" s="2" t="s">
        <v>3087</v>
      </c>
      <c r="W147" s="2" t="s">
        <v>3088</v>
      </c>
      <c r="X147" s="2" t="s">
        <v>3089</v>
      </c>
      <c r="Y147" s="2" t="s">
        <v>3090</v>
      </c>
      <c r="Z147" s="2" t="s">
        <v>3091</v>
      </c>
      <c r="AA147" s="2" t="s">
        <v>3092</v>
      </c>
      <c r="AB147" s="2" t="s">
        <v>3093</v>
      </c>
      <c r="AC147" s="2" t="s">
        <v>3094</v>
      </c>
      <c r="AD147" s="2" t="s">
        <v>3095</v>
      </c>
      <c r="AE147" s="2" t="s">
        <v>3096</v>
      </c>
      <c r="AF147" s="2"/>
      <c r="AG147" s="2" t="n">
        <v>36</v>
      </c>
      <c r="AH147" s="2" t="n">
        <v>52</v>
      </c>
      <c r="AI147" s="2" t="n">
        <v>64</v>
      </c>
      <c r="AJ147" s="2" t="n">
        <v>0</v>
      </c>
      <c r="AK147" s="2" t="n">
        <v>12</v>
      </c>
      <c r="AL147" s="2" t="s">
        <v>122</v>
      </c>
      <c r="AM147" s="2" t="s">
        <v>123</v>
      </c>
      <c r="AN147" s="2" t="s">
        <v>839</v>
      </c>
      <c r="AO147" s="2" t="s">
        <v>125</v>
      </c>
      <c r="AP147" s="2"/>
      <c r="AQ147" s="2"/>
      <c r="AR147" s="2" t="s">
        <v>127</v>
      </c>
      <c r="AS147" s="2" t="s">
        <v>128</v>
      </c>
      <c r="AT147" s="2" t="s">
        <v>97</v>
      </c>
      <c r="AU147" s="2" t="n">
        <v>2013</v>
      </c>
      <c r="AV147" s="2" t="n">
        <v>32</v>
      </c>
      <c r="AW147" s="2" t="n">
        <v>3</v>
      </c>
      <c r="AX147" s="2"/>
      <c r="AY147" s="2"/>
      <c r="AZ147" s="2"/>
      <c r="BA147" s="2"/>
      <c r="BB147" s="2" t="s">
        <v>3097</v>
      </c>
      <c r="BC147" s="2" t="s">
        <v>3098</v>
      </c>
      <c r="BD147" s="2"/>
      <c r="BE147" s="2" t="s">
        <v>3099</v>
      </c>
      <c r="BF147" s="2" t="str">
        <f aca="false">HYPERLINK("http://dx.doi.org/10.1097/INF.0b013e31827cd06f","http://dx.doi.org/10.1097/INF.0b013e31827cd06f")</f>
        <v>http://dx.doi.org/10.1097/INF.0b013e31827cd06f</v>
      </c>
      <c r="BG147" s="2"/>
      <c r="BH147" s="2"/>
      <c r="BI147" s="2" t="n">
        <v>6</v>
      </c>
      <c r="BJ147" s="2" t="s">
        <v>134</v>
      </c>
      <c r="BK147" s="2" t="s">
        <v>100</v>
      </c>
      <c r="BL147" s="2" t="s">
        <v>134</v>
      </c>
      <c r="BM147" s="2" t="s">
        <v>3002</v>
      </c>
      <c r="BN147" s="2" t="n">
        <v>23190781</v>
      </c>
      <c r="BO147" s="2" t="s">
        <v>165</v>
      </c>
      <c r="BP147" s="2"/>
      <c r="BQ147" s="2"/>
      <c r="BR147" s="2" t="s">
        <v>104</v>
      </c>
      <c r="BS147" s="2" t="s">
        <v>3100</v>
      </c>
      <c r="BT147" s="2" t="str">
        <f aca="false">HYPERLINK("https%3A%2F%2Fwww.webofscience.com%2Fwos%2Fwoscc%2Ffull-record%2FWOS:000314932700003","View Full Record in Web of Science")</f>
        <v>View Full Record in Web of Science</v>
      </c>
    </row>
    <row r="148" customFormat="false" ht="12.75" hidden="false" customHeight="false" outlineLevel="0" collapsed="false">
      <c r="A148" s="2" t="s">
        <v>72</v>
      </c>
      <c r="B148" s="2" t="s">
        <v>3101</v>
      </c>
      <c r="C148" s="2"/>
      <c r="D148" s="2"/>
      <c r="E148" s="2"/>
      <c r="F148" s="2" t="s">
        <v>3102</v>
      </c>
      <c r="G148" s="2"/>
      <c r="H148" s="2"/>
      <c r="I148" s="2" t="s">
        <v>3103</v>
      </c>
      <c r="J148" s="2" t="s">
        <v>3104</v>
      </c>
      <c r="K148" s="2"/>
      <c r="L148" s="2"/>
      <c r="M148" s="2" t="s">
        <v>77</v>
      </c>
      <c r="N148" s="2" t="s">
        <v>78</v>
      </c>
      <c r="O148" s="2"/>
      <c r="P148" s="2"/>
      <c r="Q148" s="2"/>
      <c r="R148" s="2"/>
      <c r="S148" s="2"/>
      <c r="T148" s="2" t="s">
        <v>3105</v>
      </c>
      <c r="U148" s="2" t="s">
        <v>3106</v>
      </c>
      <c r="V148" s="2" t="s">
        <v>3107</v>
      </c>
      <c r="W148" s="2" t="s">
        <v>3108</v>
      </c>
      <c r="X148" s="2" t="s">
        <v>3109</v>
      </c>
      <c r="Y148" s="2" t="s">
        <v>3110</v>
      </c>
      <c r="Z148" s="2" t="s">
        <v>3111</v>
      </c>
      <c r="AA148" s="2" t="s">
        <v>3112</v>
      </c>
      <c r="AB148" s="2" t="s">
        <v>3113</v>
      </c>
      <c r="AC148" s="2"/>
      <c r="AD148" s="2"/>
      <c r="AE148" s="2"/>
      <c r="AF148" s="2"/>
      <c r="AG148" s="2" t="n">
        <v>21</v>
      </c>
      <c r="AH148" s="2" t="n">
        <v>47</v>
      </c>
      <c r="AI148" s="2" t="n">
        <v>49</v>
      </c>
      <c r="AJ148" s="2" t="n">
        <v>0</v>
      </c>
      <c r="AK148" s="2" t="n">
        <v>1</v>
      </c>
      <c r="AL148" s="2" t="s">
        <v>3114</v>
      </c>
      <c r="AM148" s="2" t="s">
        <v>3115</v>
      </c>
      <c r="AN148" s="2" t="s">
        <v>3116</v>
      </c>
      <c r="AO148" s="2" t="s">
        <v>3117</v>
      </c>
      <c r="AP148" s="2" t="s">
        <v>3118</v>
      </c>
      <c r="AQ148" s="2"/>
      <c r="AR148" s="2" t="s">
        <v>3119</v>
      </c>
      <c r="AS148" s="2" t="s">
        <v>3120</v>
      </c>
      <c r="AT148" s="2" t="s">
        <v>3121</v>
      </c>
      <c r="AU148" s="2" t="n">
        <v>2008</v>
      </c>
      <c r="AV148" s="2" t="n">
        <v>38</v>
      </c>
      <c r="AW148" s="2" t="n">
        <v>1</v>
      </c>
      <c r="AX148" s="2"/>
      <c r="AY148" s="2"/>
      <c r="AZ148" s="2"/>
      <c r="BA148" s="2"/>
      <c r="BB148" s="2" t="n">
        <v>41</v>
      </c>
      <c r="BC148" s="2" t="n">
        <v>46</v>
      </c>
      <c r="BD148" s="2"/>
      <c r="BE148" s="2"/>
      <c r="BF148" s="2"/>
      <c r="BG148" s="2"/>
      <c r="BH148" s="2"/>
      <c r="BI148" s="2" t="n">
        <v>6</v>
      </c>
      <c r="BJ148" s="2" t="s">
        <v>3122</v>
      </c>
      <c r="BK148" s="2" t="s">
        <v>100</v>
      </c>
      <c r="BL148" s="2" t="s">
        <v>3122</v>
      </c>
      <c r="BM148" s="2" t="s">
        <v>3123</v>
      </c>
      <c r="BN148" s="2" t="n">
        <v>18316781</v>
      </c>
      <c r="BO148" s="2"/>
      <c r="BP148" s="2"/>
      <c r="BQ148" s="2"/>
      <c r="BR148" s="2" t="s">
        <v>104</v>
      </c>
      <c r="BS148" s="2" t="s">
        <v>3124</v>
      </c>
      <c r="BT148" s="2" t="str">
        <f aca="false">HYPERLINK("https%3A%2F%2Fwww.webofscience.com%2Fwos%2Fwoscc%2Ffull-record%2FWOS:000253492800008","View Full Record in Web of Science")</f>
        <v>View Full Record in Web of Science</v>
      </c>
    </row>
    <row r="149" customFormat="false" ht="12.75" hidden="false" customHeight="false" outlineLevel="0" collapsed="false">
      <c r="A149" s="2" t="s">
        <v>72</v>
      </c>
      <c r="B149" s="2" t="s">
        <v>3125</v>
      </c>
      <c r="C149" s="2"/>
      <c r="D149" s="2"/>
      <c r="E149" s="2"/>
      <c r="F149" s="2" t="s">
        <v>3126</v>
      </c>
      <c r="G149" s="2"/>
      <c r="H149" s="2"/>
      <c r="I149" s="2" t="s">
        <v>3127</v>
      </c>
      <c r="J149" s="2" t="s">
        <v>949</v>
      </c>
      <c r="K149" s="2"/>
      <c r="L149" s="2"/>
      <c r="M149" s="2" t="s">
        <v>77</v>
      </c>
      <c r="N149" s="2" t="s">
        <v>78</v>
      </c>
      <c r="O149" s="2"/>
      <c r="P149" s="2"/>
      <c r="Q149" s="2"/>
      <c r="R149" s="2"/>
      <c r="S149" s="2"/>
      <c r="T149" s="2" t="s">
        <v>3128</v>
      </c>
      <c r="U149" s="2" t="s">
        <v>3129</v>
      </c>
      <c r="V149" s="2" t="s">
        <v>3130</v>
      </c>
      <c r="W149" s="2" t="s">
        <v>3131</v>
      </c>
      <c r="X149" s="2" t="s">
        <v>3132</v>
      </c>
      <c r="Y149" s="2" t="s">
        <v>3133</v>
      </c>
      <c r="Z149" s="2" t="s">
        <v>3134</v>
      </c>
      <c r="AA149" s="2"/>
      <c r="AB149" s="2"/>
      <c r="AC149" s="2"/>
      <c r="AD149" s="2"/>
      <c r="AE149" s="2"/>
      <c r="AF149" s="2"/>
      <c r="AG149" s="2" t="n">
        <v>136</v>
      </c>
      <c r="AH149" s="2" t="n">
        <v>62</v>
      </c>
      <c r="AI149" s="2" t="n">
        <v>76</v>
      </c>
      <c r="AJ149" s="2" t="n">
        <v>0</v>
      </c>
      <c r="AK149" s="2" t="n">
        <v>17</v>
      </c>
      <c r="AL149" s="2" t="s">
        <v>957</v>
      </c>
      <c r="AM149" s="2" t="s">
        <v>123</v>
      </c>
      <c r="AN149" s="2" t="s">
        <v>958</v>
      </c>
      <c r="AO149" s="2" t="s">
        <v>959</v>
      </c>
      <c r="AP149" s="2" t="s">
        <v>960</v>
      </c>
      <c r="AQ149" s="2"/>
      <c r="AR149" s="2" t="s">
        <v>961</v>
      </c>
      <c r="AS149" s="2" t="s">
        <v>962</v>
      </c>
      <c r="AT149" s="2" t="s">
        <v>97</v>
      </c>
      <c r="AU149" s="2" t="n">
        <v>2013</v>
      </c>
      <c r="AV149" s="2" t="n">
        <v>27</v>
      </c>
      <c r="AW149" s="2" t="n">
        <v>1</v>
      </c>
      <c r="AX149" s="2"/>
      <c r="AY149" s="2"/>
      <c r="AZ149" s="2"/>
      <c r="BA149" s="2"/>
      <c r="BB149" s="2" t="n">
        <v>157</v>
      </c>
      <c r="BC149" s="2" t="s">
        <v>986</v>
      </c>
      <c r="BD149" s="2"/>
      <c r="BE149" s="2" t="s">
        <v>3135</v>
      </c>
      <c r="BF149" s="2" t="str">
        <f aca="false">HYPERLINK("http://dx.doi.org/10.1016/j.idc.2012.11.007","http://dx.doi.org/10.1016/j.idc.2012.11.007")</f>
        <v>http://dx.doi.org/10.1016/j.idc.2012.11.007</v>
      </c>
      <c r="BG149" s="2"/>
      <c r="BH149" s="2"/>
      <c r="BI149" s="2" t="n">
        <v>21</v>
      </c>
      <c r="BJ149" s="2" t="s">
        <v>965</v>
      </c>
      <c r="BK149" s="2" t="s">
        <v>100</v>
      </c>
      <c r="BL149" s="2" t="s">
        <v>965</v>
      </c>
      <c r="BM149" s="2" t="s">
        <v>3136</v>
      </c>
      <c r="BN149" s="2" t="n">
        <v>23398872</v>
      </c>
      <c r="BO149" s="2" t="s">
        <v>695</v>
      </c>
      <c r="BP149" s="2"/>
      <c r="BQ149" s="2"/>
      <c r="BR149" s="2" t="s">
        <v>104</v>
      </c>
      <c r="BS149" s="2" t="s">
        <v>3137</v>
      </c>
      <c r="BT149" s="2" t="str">
        <f aca="false">HYPERLINK("https%3A%2F%2Fwww.webofscience.com%2Fwos%2Fwoscc%2Ffull-record%2FWOS:000316032200013","View Full Record in Web of Science")</f>
        <v>View Full Record in Web of Science</v>
      </c>
    </row>
    <row r="150" customFormat="false" ht="12.75" hidden="false" customHeight="false" outlineLevel="0" collapsed="false">
      <c r="A150" s="2" t="s">
        <v>72</v>
      </c>
      <c r="B150" s="2" t="s">
        <v>3138</v>
      </c>
      <c r="C150" s="2"/>
      <c r="D150" s="2"/>
      <c r="E150" s="2"/>
      <c r="F150" s="2" t="s">
        <v>3139</v>
      </c>
      <c r="G150" s="2"/>
      <c r="H150" s="2"/>
      <c r="I150" s="2" t="s">
        <v>3140</v>
      </c>
      <c r="J150" s="2" t="s">
        <v>3141</v>
      </c>
      <c r="K150" s="2"/>
      <c r="L150" s="2"/>
      <c r="M150" s="2" t="s">
        <v>77</v>
      </c>
      <c r="N150" s="2" t="s">
        <v>78</v>
      </c>
      <c r="O150" s="2"/>
      <c r="P150" s="2"/>
      <c r="Q150" s="2"/>
      <c r="R150" s="2"/>
      <c r="S150" s="2"/>
      <c r="T150" s="2" t="s">
        <v>3142</v>
      </c>
      <c r="U150" s="2" t="s">
        <v>3143</v>
      </c>
      <c r="V150" s="2" t="s">
        <v>3144</v>
      </c>
      <c r="W150" s="2" t="s">
        <v>3145</v>
      </c>
      <c r="X150" s="2" t="s">
        <v>3146</v>
      </c>
      <c r="Y150" s="2" t="s">
        <v>3147</v>
      </c>
      <c r="Z150" s="2" t="s">
        <v>3148</v>
      </c>
      <c r="AA150" s="2" t="s">
        <v>3149</v>
      </c>
      <c r="AB150" s="2"/>
      <c r="AC150" s="2"/>
      <c r="AD150" s="2"/>
      <c r="AE150" s="2"/>
      <c r="AF150" s="2"/>
      <c r="AG150" s="2" t="n">
        <v>35</v>
      </c>
      <c r="AH150" s="2" t="n">
        <v>8</v>
      </c>
      <c r="AI150" s="2" t="n">
        <v>10</v>
      </c>
      <c r="AJ150" s="2" t="n">
        <v>1</v>
      </c>
      <c r="AK150" s="2" t="n">
        <v>4</v>
      </c>
      <c r="AL150" s="2" t="s">
        <v>3150</v>
      </c>
      <c r="AM150" s="2" t="s">
        <v>3151</v>
      </c>
      <c r="AN150" s="2" t="s">
        <v>3152</v>
      </c>
      <c r="AO150" s="2" t="s">
        <v>3153</v>
      </c>
      <c r="AP150" s="2" t="s">
        <v>3154</v>
      </c>
      <c r="AQ150" s="2"/>
      <c r="AR150" s="2" t="s">
        <v>3155</v>
      </c>
      <c r="AS150" s="2" t="s">
        <v>3156</v>
      </c>
      <c r="AT150" s="2" t="s">
        <v>336</v>
      </c>
      <c r="AU150" s="2" t="n">
        <v>2021</v>
      </c>
      <c r="AV150" s="2" t="n">
        <v>54</v>
      </c>
      <c r="AW150" s="2" t="n">
        <v>5</v>
      </c>
      <c r="AX150" s="2"/>
      <c r="AY150" s="2"/>
      <c r="AZ150" s="2"/>
      <c r="BA150" s="2"/>
      <c r="BB150" s="2" t="n">
        <v>858</v>
      </c>
      <c r="BC150" s="2" t="n">
        <v>864</v>
      </c>
      <c r="BD150" s="2"/>
      <c r="BE150" s="2" t="s">
        <v>3157</v>
      </c>
      <c r="BF150" s="2" t="str">
        <f aca="false">HYPERLINK("http://dx.doi.org/10.1016/j.jmii.2020.07.020","http://dx.doi.org/10.1016/j.jmii.2020.07.020")</f>
        <v>http://dx.doi.org/10.1016/j.jmii.2020.07.020</v>
      </c>
      <c r="BG150" s="2"/>
      <c r="BH150" s="2" t="s">
        <v>3158</v>
      </c>
      <c r="BI150" s="2" t="n">
        <v>7</v>
      </c>
      <c r="BJ150" s="2" t="s">
        <v>536</v>
      </c>
      <c r="BK150" s="2" t="s">
        <v>100</v>
      </c>
      <c r="BL150" s="2" t="s">
        <v>536</v>
      </c>
      <c r="BM150" s="2" t="s">
        <v>3159</v>
      </c>
      <c r="BN150" s="2" t="n">
        <v>32826192</v>
      </c>
      <c r="BO150" s="2" t="s">
        <v>103</v>
      </c>
      <c r="BP150" s="2"/>
      <c r="BQ150" s="2"/>
      <c r="BR150" s="2" t="s">
        <v>104</v>
      </c>
      <c r="BS150" s="2" t="s">
        <v>3160</v>
      </c>
      <c r="BT150" s="2" t="str">
        <f aca="false">HYPERLINK("https%3A%2F%2Fwww.webofscience.com%2Fwos%2Fwoscc%2Ffull-record%2FWOS:000708390100011","View Full Record in Web of Science")</f>
        <v>View Full Record in Web of Science</v>
      </c>
    </row>
    <row r="151" customFormat="false" ht="12.75" hidden="false" customHeight="false" outlineLevel="0" collapsed="false">
      <c r="A151" s="2" t="s">
        <v>72</v>
      </c>
      <c r="B151" s="2" t="s">
        <v>3161</v>
      </c>
      <c r="C151" s="2"/>
      <c r="D151" s="2"/>
      <c r="E151" s="2"/>
      <c r="F151" s="2" t="s">
        <v>3162</v>
      </c>
      <c r="G151" s="2"/>
      <c r="H151" s="2"/>
      <c r="I151" s="2" t="s">
        <v>3163</v>
      </c>
      <c r="J151" s="2" t="s">
        <v>109</v>
      </c>
      <c r="K151" s="2"/>
      <c r="L151" s="2"/>
      <c r="M151" s="2" t="s">
        <v>77</v>
      </c>
      <c r="N151" s="2" t="s">
        <v>78</v>
      </c>
      <c r="O151" s="2"/>
      <c r="P151" s="2"/>
      <c r="Q151" s="2"/>
      <c r="R151" s="2"/>
      <c r="S151" s="2"/>
      <c r="T151" s="2" t="s">
        <v>3164</v>
      </c>
      <c r="U151" s="2" t="s">
        <v>3165</v>
      </c>
      <c r="V151" s="2" t="s">
        <v>3166</v>
      </c>
      <c r="W151" s="2" t="s">
        <v>3167</v>
      </c>
      <c r="X151" s="2" t="s">
        <v>3168</v>
      </c>
      <c r="Y151" s="2" t="s">
        <v>3169</v>
      </c>
      <c r="Z151" s="2" t="s">
        <v>3170</v>
      </c>
      <c r="AA151" s="2" t="s">
        <v>3171</v>
      </c>
      <c r="AB151" s="2" t="s">
        <v>3172</v>
      </c>
      <c r="AC151" s="2" t="s">
        <v>3173</v>
      </c>
      <c r="AD151" s="2" t="s">
        <v>3174</v>
      </c>
      <c r="AE151" s="2" t="s">
        <v>3175</v>
      </c>
      <c r="AF151" s="2"/>
      <c r="AG151" s="2" t="n">
        <v>31</v>
      </c>
      <c r="AH151" s="2" t="n">
        <v>14</v>
      </c>
      <c r="AI151" s="2" t="n">
        <v>17</v>
      </c>
      <c r="AJ151" s="2" t="n">
        <v>0</v>
      </c>
      <c r="AK151" s="2" t="n">
        <v>3</v>
      </c>
      <c r="AL151" s="2" t="s">
        <v>122</v>
      </c>
      <c r="AM151" s="2" t="s">
        <v>123</v>
      </c>
      <c r="AN151" s="2" t="s">
        <v>124</v>
      </c>
      <c r="AO151" s="2" t="s">
        <v>125</v>
      </c>
      <c r="AP151" s="2" t="s">
        <v>126</v>
      </c>
      <c r="AQ151" s="2"/>
      <c r="AR151" s="2" t="s">
        <v>127</v>
      </c>
      <c r="AS151" s="2" t="s">
        <v>128</v>
      </c>
      <c r="AT151" s="2" t="s">
        <v>446</v>
      </c>
      <c r="AU151" s="2" t="n">
        <v>2011</v>
      </c>
      <c r="AV151" s="2" t="n">
        <v>30</v>
      </c>
      <c r="AW151" s="2" t="n">
        <v>12</v>
      </c>
      <c r="AX151" s="2"/>
      <c r="AY151" s="2"/>
      <c r="AZ151" s="2"/>
      <c r="BA151" s="2"/>
      <c r="BB151" s="2" t="n">
        <v>1032</v>
      </c>
      <c r="BC151" s="2" t="n">
        <v>1036</v>
      </c>
      <c r="BD151" s="2"/>
      <c r="BE151" s="2" t="s">
        <v>3176</v>
      </c>
      <c r="BF151" s="2" t="str">
        <f aca="false">HYPERLINK("http://dx.doi.org/10.1097/INF.0b013e31822f845f","http://dx.doi.org/10.1097/INF.0b013e31822f845f")</f>
        <v>http://dx.doi.org/10.1097/INF.0b013e31822f845f</v>
      </c>
      <c r="BG151" s="2"/>
      <c r="BH151" s="2"/>
      <c r="BI151" s="2" t="n">
        <v>5</v>
      </c>
      <c r="BJ151" s="2" t="s">
        <v>134</v>
      </c>
      <c r="BK151" s="2" t="s">
        <v>100</v>
      </c>
      <c r="BL151" s="2" t="s">
        <v>134</v>
      </c>
      <c r="BM151" s="2" t="s">
        <v>3177</v>
      </c>
      <c r="BN151" s="2" t="n">
        <v>21860338</v>
      </c>
      <c r="BO151" s="2"/>
      <c r="BP151" s="2"/>
      <c r="BQ151" s="2"/>
      <c r="BR151" s="2" t="s">
        <v>104</v>
      </c>
      <c r="BS151" s="2" t="s">
        <v>3178</v>
      </c>
      <c r="BT151" s="2" t="str">
        <f aca="false">HYPERLINK("https%3A%2F%2Fwww.webofscience.com%2Fwos%2Fwoscc%2Ffull-record%2FWOS:000297406100007","View Full Record in Web of Science")</f>
        <v>View Full Record in Web of Science</v>
      </c>
    </row>
    <row r="152" customFormat="false" ht="12.75" hidden="false" customHeight="false" outlineLevel="0" collapsed="false">
      <c r="A152" s="2" t="s">
        <v>72</v>
      </c>
      <c r="B152" s="2" t="s">
        <v>3179</v>
      </c>
      <c r="C152" s="2"/>
      <c r="D152" s="2"/>
      <c r="E152" s="2"/>
      <c r="F152" s="2" t="s">
        <v>3180</v>
      </c>
      <c r="G152" s="2"/>
      <c r="H152" s="2"/>
      <c r="I152" s="2" t="s">
        <v>3181</v>
      </c>
      <c r="J152" s="2" t="s">
        <v>3182</v>
      </c>
      <c r="K152" s="2"/>
      <c r="L152" s="2"/>
      <c r="M152" s="2" t="s">
        <v>77</v>
      </c>
      <c r="N152" s="2" t="s">
        <v>78</v>
      </c>
      <c r="O152" s="2"/>
      <c r="P152" s="2"/>
      <c r="Q152" s="2"/>
      <c r="R152" s="2"/>
      <c r="S152" s="2"/>
      <c r="T152" s="2" t="s">
        <v>3183</v>
      </c>
      <c r="U152" s="2" t="s">
        <v>3184</v>
      </c>
      <c r="V152" s="2" t="s">
        <v>3185</v>
      </c>
      <c r="W152" s="2" t="s">
        <v>3186</v>
      </c>
      <c r="X152" s="2" t="s">
        <v>3187</v>
      </c>
      <c r="Y152" s="2" t="s">
        <v>3188</v>
      </c>
      <c r="Z152" s="2" t="s">
        <v>3189</v>
      </c>
      <c r="AA152" s="2" t="s">
        <v>3190</v>
      </c>
      <c r="AB152" s="2" t="s">
        <v>3191</v>
      </c>
      <c r="AC152" s="2"/>
      <c r="AD152" s="2"/>
      <c r="AE152" s="2"/>
      <c r="AF152" s="2"/>
      <c r="AG152" s="2" t="n">
        <v>40</v>
      </c>
      <c r="AH152" s="2" t="n">
        <v>49</v>
      </c>
      <c r="AI152" s="2" t="n">
        <v>53</v>
      </c>
      <c r="AJ152" s="2" t="n">
        <v>0</v>
      </c>
      <c r="AK152" s="2" t="n">
        <v>1</v>
      </c>
      <c r="AL152" s="2" t="s">
        <v>3192</v>
      </c>
      <c r="AM152" s="2" t="s">
        <v>2876</v>
      </c>
      <c r="AN152" s="2" t="s">
        <v>3193</v>
      </c>
      <c r="AO152" s="2" t="s">
        <v>3194</v>
      </c>
      <c r="AP152" s="2" t="s">
        <v>3195</v>
      </c>
      <c r="AQ152" s="2"/>
      <c r="AR152" s="2" t="s">
        <v>3196</v>
      </c>
      <c r="AS152" s="2" t="s">
        <v>3197</v>
      </c>
      <c r="AT152" s="2" t="s">
        <v>390</v>
      </c>
      <c r="AU152" s="2" t="n">
        <v>2006</v>
      </c>
      <c r="AV152" s="2" t="n">
        <v>101</v>
      </c>
      <c r="AW152" s="2" t="n">
        <v>3</v>
      </c>
      <c r="AX152" s="2"/>
      <c r="AY152" s="2"/>
      <c r="AZ152" s="2"/>
      <c r="BA152" s="2"/>
      <c r="BB152" s="2" t="n">
        <v>301</v>
      </c>
      <c r="BC152" s="2" t="n">
        <v>306</v>
      </c>
      <c r="BD152" s="2"/>
      <c r="BE152" s="2" t="s">
        <v>3198</v>
      </c>
      <c r="BF152" s="2" t="str">
        <f aca="false">HYPERLINK("http://dx.doi.org/10.1590/S0074-02762006000300014","http://dx.doi.org/10.1590/S0074-02762006000300014")</f>
        <v>http://dx.doi.org/10.1590/S0074-02762006000300014</v>
      </c>
      <c r="BG152" s="2"/>
      <c r="BH152" s="2"/>
      <c r="BI152" s="2" t="n">
        <v>6</v>
      </c>
      <c r="BJ152" s="2" t="s">
        <v>3199</v>
      </c>
      <c r="BK152" s="2" t="s">
        <v>100</v>
      </c>
      <c r="BL152" s="2" t="s">
        <v>3199</v>
      </c>
      <c r="BM152" s="2" t="s">
        <v>3200</v>
      </c>
      <c r="BN152" s="2" t="n">
        <v>16862327</v>
      </c>
      <c r="BO152" s="2" t="s">
        <v>3201</v>
      </c>
      <c r="BP152" s="2"/>
      <c r="BQ152" s="2"/>
      <c r="BR152" s="2" t="s">
        <v>104</v>
      </c>
      <c r="BS152" s="2" t="s">
        <v>3202</v>
      </c>
      <c r="BT152" s="2" t="str">
        <f aca="false">HYPERLINK("https%3A%2F%2Fwww.webofscience.com%2Fwos%2Fwoscc%2Ffull-record%2FWOS:000238116700014","View Full Record in Web of Science")</f>
        <v>View Full Record in Web of Science</v>
      </c>
    </row>
    <row r="153" customFormat="false" ht="12.75" hidden="false" customHeight="false" outlineLevel="0" collapsed="false">
      <c r="A153" s="2" t="s">
        <v>72</v>
      </c>
      <c r="B153" s="2" t="s">
        <v>3203</v>
      </c>
      <c r="C153" s="2"/>
      <c r="D153" s="2"/>
      <c r="E153" s="2"/>
      <c r="F153" s="2" t="s">
        <v>3204</v>
      </c>
      <c r="G153" s="2"/>
      <c r="H153" s="2"/>
      <c r="I153" s="2" t="s">
        <v>3205</v>
      </c>
      <c r="J153" s="2" t="s">
        <v>717</v>
      </c>
      <c r="K153" s="2"/>
      <c r="L153" s="2"/>
      <c r="M153" s="2" t="s">
        <v>77</v>
      </c>
      <c r="N153" s="2" t="s">
        <v>78</v>
      </c>
      <c r="O153" s="2"/>
      <c r="P153" s="2"/>
      <c r="Q153" s="2"/>
      <c r="R153" s="2"/>
      <c r="S153" s="2"/>
      <c r="T153" s="2" t="s">
        <v>3206</v>
      </c>
      <c r="U153" s="2" t="s">
        <v>3207</v>
      </c>
      <c r="V153" s="2" t="s">
        <v>3208</v>
      </c>
      <c r="W153" s="2" t="s">
        <v>3209</v>
      </c>
      <c r="X153" s="2" t="s">
        <v>3210</v>
      </c>
      <c r="Y153" s="2" t="s">
        <v>3211</v>
      </c>
      <c r="Z153" s="2" t="s">
        <v>3212</v>
      </c>
      <c r="AA153" s="2" t="s">
        <v>3213</v>
      </c>
      <c r="AB153" s="2" t="s">
        <v>3214</v>
      </c>
      <c r="AC153" s="2" t="s">
        <v>3215</v>
      </c>
      <c r="AD153" s="2" t="s">
        <v>3215</v>
      </c>
      <c r="AE153" s="2" t="s">
        <v>3216</v>
      </c>
      <c r="AF153" s="2"/>
      <c r="AG153" s="2" t="n">
        <v>28</v>
      </c>
      <c r="AH153" s="2" t="n">
        <v>66</v>
      </c>
      <c r="AI153" s="2" t="n">
        <v>75</v>
      </c>
      <c r="AJ153" s="2" t="n">
        <v>0</v>
      </c>
      <c r="AK153" s="2" t="n">
        <v>14</v>
      </c>
      <c r="AL153" s="2" t="s">
        <v>383</v>
      </c>
      <c r="AM153" s="2" t="s">
        <v>384</v>
      </c>
      <c r="AN153" s="2" t="s">
        <v>385</v>
      </c>
      <c r="AO153" s="2" t="s">
        <v>729</v>
      </c>
      <c r="AP153" s="2" t="s">
        <v>730</v>
      </c>
      <c r="AQ153" s="2"/>
      <c r="AR153" s="2" t="s">
        <v>731</v>
      </c>
      <c r="AS153" s="2" t="s">
        <v>732</v>
      </c>
      <c r="AT153" s="2" t="s">
        <v>804</v>
      </c>
      <c r="AU153" s="2" t="n">
        <v>2008</v>
      </c>
      <c r="AV153" s="2" t="n">
        <v>153</v>
      </c>
      <c r="AW153" s="2" t="n">
        <v>2</v>
      </c>
      <c r="AX153" s="2"/>
      <c r="AY153" s="2"/>
      <c r="AZ153" s="2"/>
      <c r="BA153" s="2"/>
      <c r="BB153" s="2" t="n">
        <v>84</v>
      </c>
      <c r="BC153" s="2" t="n">
        <v>89</v>
      </c>
      <c r="BD153" s="2"/>
      <c r="BE153" s="2" t="s">
        <v>3217</v>
      </c>
      <c r="BF153" s="2" t="str">
        <f aca="false">HYPERLINK("http://dx.doi.org/10.1016/j.jviromet.2008.08.001","http://dx.doi.org/10.1016/j.jviromet.2008.08.001")</f>
        <v>http://dx.doi.org/10.1016/j.jviromet.2008.08.001</v>
      </c>
      <c r="BG153" s="2"/>
      <c r="BH153" s="2"/>
      <c r="BI153" s="2" t="n">
        <v>6</v>
      </c>
      <c r="BJ153" s="2" t="s">
        <v>735</v>
      </c>
      <c r="BK153" s="2" t="s">
        <v>100</v>
      </c>
      <c r="BL153" s="2" t="s">
        <v>736</v>
      </c>
      <c r="BM153" s="2" t="s">
        <v>3218</v>
      </c>
      <c r="BN153" s="2" t="n">
        <v>18761378</v>
      </c>
      <c r="BO153" s="2"/>
      <c r="BP153" s="2"/>
      <c r="BQ153" s="2"/>
      <c r="BR153" s="2" t="s">
        <v>104</v>
      </c>
      <c r="BS153" s="2" t="s">
        <v>3219</v>
      </c>
      <c r="BT153" s="2" t="str">
        <f aca="false">HYPERLINK("https%3A%2F%2Fwww.webofscience.com%2Fwos%2Fwoscc%2Ffull-record%2FWOS:000260565200002","View Full Record in Web of Science")</f>
        <v>View Full Record in Web of Science</v>
      </c>
    </row>
    <row r="154" customFormat="false" ht="12.75" hidden="false" customHeight="false" outlineLevel="0" collapsed="false">
      <c r="A154" s="2" t="s">
        <v>72</v>
      </c>
      <c r="B154" s="2" t="s">
        <v>3220</v>
      </c>
      <c r="C154" s="2"/>
      <c r="D154" s="2"/>
      <c r="E154" s="2"/>
      <c r="F154" s="2" t="s">
        <v>3221</v>
      </c>
      <c r="G154" s="2"/>
      <c r="H154" s="2"/>
      <c r="I154" s="2" t="s">
        <v>3222</v>
      </c>
      <c r="J154" s="2" t="s">
        <v>109</v>
      </c>
      <c r="K154" s="2"/>
      <c r="L154" s="2"/>
      <c r="M154" s="2" t="s">
        <v>77</v>
      </c>
      <c r="N154" s="2" t="s">
        <v>78</v>
      </c>
      <c r="O154" s="2"/>
      <c r="P154" s="2"/>
      <c r="Q154" s="2"/>
      <c r="R154" s="2"/>
      <c r="S154" s="2"/>
      <c r="T154" s="2" t="s">
        <v>3223</v>
      </c>
      <c r="U154" s="2" t="s">
        <v>3224</v>
      </c>
      <c r="V154" s="2" t="s">
        <v>3225</v>
      </c>
      <c r="W154" s="2" t="s">
        <v>3226</v>
      </c>
      <c r="X154" s="2" t="s">
        <v>3227</v>
      </c>
      <c r="Y154" s="2" t="s">
        <v>3228</v>
      </c>
      <c r="Z154" s="2" t="s">
        <v>3229</v>
      </c>
      <c r="AA154" s="2" t="s">
        <v>3230</v>
      </c>
      <c r="AB154" s="2" t="s">
        <v>3231</v>
      </c>
      <c r="AC154" s="2" t="s">
        <v>3232</v>
      </c>
      <c r="AD154" s="2" t="s">
        <v>3233</v>
      </c>
      <c r="AE154" s="2" t="s">
        <v>3234</v>
      </c>
      <c r="AF154" s="2"/>
      <c r="AG154" s="2" t="n">
        <v>40</v>
      </c>
      <c r="AH154" s="2" t="n">
        <v>43</v>
      </c>
      <c r="AI154" s="2" t="n">
        <v>46</v>
      </c>
      <c r="AJ154" s="2" t="n">
        <v>0</v>
      </c>
      <c r="AK154" s="2" t="n">
        <v>2</v>
      </c>
      <c r="AL154" s="2" t="s">
        <v>122</v>
      </c>
      <c r="AM154" s="2" t="s">
        <v>123</v>
      </c>
      <c r="AN154" s="2" t="s">
        <v>124</v>
      </c>
      <c r="AO154" s="2" t="s">
        <v>125</v>
      </c>
      <c r="AP154" s="2" t="s">
        <v>126</v>
      </c>
      <c r="AQ154" s="2"/>
      <c r="AR154" s="2" t="s">
        <v>127</v>
      </c>
      <c r="AS154" s="2" t="s">
        <v>128</v>
      </c>
      <c r="AT154" s="2" t="s">
        <v>1041</v>
      </c>
      <c r="AU154" s="2" t="n">
        <v>2011</v>
      </c>
      <c r="AV154" s="2" t="n">
        <v>30</v>
      </c>
      <c r="AW154" s="2" t="n">
        <v>2</v>
      </c>
      <c r="AX154" s="2"/>
      <c r="AY154" s="2"/>
      <c r="AZ154" s="2"/>
      <c r="BA154" s="2"/>
      <c r="BB154" s="2" t="s">
        <v>3235</v>
      </c>
      <c r="BC154" s="2" t="s">
        <v>3236</v>
      </c>
      <c r="BD154" s="2"/>
      <c r="BE154" s="2" t="s">
        <v>3237</v>
      </c>
      <c r="BF154" s="2" t="str">
        <f aca="false">HYPERLINK("http://dx.doi.org/10.1097/INF.0b013e3181ff2fac","http://dx.doi.org/10.1097/INF.0b013e3181ff2fac")</f>
        <v>http://dx.doi.org/10.1097/INF.0b013e3181ff2fac</v>
      </c>
      <c r="BG154" s="2"/>
      <c r="BH154" s="2"/>
      <c r="BI154" s="2" t="n">
        <v>6</v>
      </c>
      <c r="BJ154" s="2" t="s">
        <v>134</v>
      </c>
      <c r="BK154" s="2" t="s">
        <v>100</v>
      </c>
      <c r="BL154" s="2" t="s">
        <v>134</v>
      </c>
      <c r="BM154" s="2" t="s">
        <v>3238</v>
      </c>
      <c r="BN154" s="2" t="n">
        <v>20980931</v>
      </c>
      <c r="BO154" s="2"/>
      <c r="BP154" s="2"/>
      <c r="BQ154" s="2"/>
      <c r="BR154" s="2" t="s">
        <v>104</v>
      </c>
      <c r="BS154" s="2" t="s">
        <v>3239</v>
      </c>
      <c r="BT154" s="2" t="str">
        <f aca="false">HYPERLINK("https%3A%2F%2Fwww.webofscience.com%2Fwos%2Fwoscc%2Ffull-record%2FWOS:000286310400001","View Full Record in Web of Science")</f>
        <v>View Full Record in Web of Science</v>
      </c>
    </row>
    <row r="155" customFormat="false" ht="12.75" hidden="false" customHeight="false" outlineLevel="0" collapsed="false">
      <c r="A155" s="2" t="s">
        <v>72</v>
      </c>
      <c r="B155" s="2" t="s">
        <v>3240</v>
      </c>
      <c r="C155" s="2"/>
      <c r="D155" s="2"/>
      <c r="E155" s="2"/>
      <c r="F155" s="2" t="s">
        <v>3241</v>
      </c>
      <c r="G155" s="2"/>
      <c r="H155" s="2"/>
      <c r="I155" s="2" t="s">
        <v>3242</v>
      </c>
      <c r="J155" s="2" t="s">
        <v>717</v>
      </c>
      <c r="K155" s="2"/>
      <c r="L155" s="2"/>
      <c r="M155" s="2" t="s">
        <v>77</v>
      </c>
      <c r="N155" s="2" t="s">
        <v>78</v>
      </c>
      <c r="O155" s="2"/>
      <c r="P155" s="2"/>
      <c r="Q155" s="2"/>
      <c r="R155" s="2"/>
      <c r="S155" s="2"/>
      <c r="T155" s="2" t="s">
        <v>3243</v>
      </c>
      <c r="U155" s="2" t="s">
        <v>3244</v>
      </c>
      <c r="V155" s="2" t="s">
        <v>3245</v>
      </c>
      <c r="W155" s="2" t="s">
        <v>3246</v>
      </c>
      <c r="X155" s="2" t="s">
        <v>3247</v>
      </c>
      <c r="Y155" s="2" t="s">
        <v>3248</v>
      </c>
      <c r="Z155" s="2" t="s">
        <v>3249</v>
      </c>
      <c r="AA155" s="2"/>
      <c r="AB155" s="2" t="s">
        <v>3250</v>
      </c>
      <c r="AC155" s="2"/>
      <c r="AD155" s="2"/>
      <c r="AE155" s="2"/>
      <c r="AF155" s="2"/>
      <c r="AG155" s="2" t="n">
        <v>25</v>
      </c>
      <c r="AH155" s="2" t="n">
        <v>22</v>
      </c>
      <c r="AI155" s="2" t="n">
        <v>23</v>
      </c>
      <c r="AJ155" s="2" t="n">
        <v>0</v>
      </c>
      <c r="AK155" s="2" t="n">
        <v>4</v>
      </c>
      <c r="AL155" s="2" t="s">
        <v>383</v>
      </c>
      <c r="AM155" s="2" t="s">
        <v>384</v>
      </c>
      <c r="AN155" s="2" t="s">
        <v>385</v>
      </c>
      <c r="AO155" s="2" t="s">
        <v>729</v>
      </c>
      <c r="AP155" s="2" t="s">
        <v>730</v>
      </c>
      <c r="AQ155" s="2"/>
      <c r="AR155" s="2" t="s">
        <v>731</v>
      </c>
      <c r="AS155" s="2" t="s">
        <v>732</v>
      </c>
      <c r="AT155" s="2" t="s">
        <v>129</v>
      </c>
      <c r="AU155" s="2" t="n">
        <v>2011</v>
      </c>
      <c r="AV155" s="2" t="n">
        <v>176</v>
      </c>
      <c r="AW155" s="2" t="s">
        <v>1407</v>
      </c>
      <c r="AX155" s="2"/>
      <c r="AY155" s="2"/>
      <c r="AZ155" s="2"/>
      <c r="BA155" s="2"/>
      <c r="BB155" s="2" t="n">
        <v>9</v>
      </c>
      <c r="BC155" s="2" t="n">
        <v>13</v>
      </c>
      <c r="BD155" s="2"/>
      <c r="BE155" s="2" t="s">
        <v>3251</v>
      </c>
      <c r="BF155" s="2" t="str">
        <f aca="false">HYPERLINK("http://dx.doi.org/10.1016/j.jviromet.2011.05.017","http://dx.doi.org/10.1016/j.jviromet.2011.05.017")</f>
        <v>http://dx.doi.org/10.1016/j.jviromet.2011.05.017</v>
      </c>
      <c r="BG155" s="2"/>
      <c r="BH155" s="2"/>
      <c r="BI155" s="2" t="n">
        <v>5</v>
      </c>
      <c r="BJ155" s="2" t="s">
        <v>735</v>
      </c>
      <c r="BK155" s="2" t="s">
        <v>100</v>
      </c>
      <c r="BL155" s="2" t="s">
        <v>736</v>
      </c>
      <c r="BM155" s="2" t="s">
        <v>3252</v>
      </c>
      <c r="BN155" s="2" t="n">
        <v>21620897</v>
      </c>
      <c r="BO155" s="2"/>
      <c r="BP155" s="2"/>
      <c r="BQ155" s="2"/>
      <c r="BR155" s="2" t="s">
        <v>104</v>
      </c>
      <c r="BS155" s="2" t="s">
        <v>3253</v>
      </c>
      <c r="BT155" s="2" t="str">
        <f aca="false">HYPERLINK("https%3A%2F%2Fwww.webofscience.com%2Fwos%2Fwoscc%2Ffull-record%2FWOS:000294033700002","View Full Record in Web of Science")</f>
        <v>View Full Record in Web of Science</v>
      </c>
    </row>
    <row r="156" customFormat="false" ht="12.75" hidden="false" customHeight="false" outlineLevel="0" collapsed="false">
      <c r="A156" s="2" t="s">
        <v>72</v>
      </c>
      <c r="B156" s="2" t="s">
        <v>3254</v>
      </c>
      <c r="C156" s="2"/>
      <c r="D156" s="2"/>
      <c r="E156" s="2"/>
      <c r="F156" s="2" t="s">
        <v>3255</v>
      </c>
      <c r="G156" s="2"/>
      <c r="H156" s="2"/>
      <c r="I156" s="2" t="s">
        <v>3256</v>
      </c>
      <c r="J156" s="2" t="s">
        <v>141</v>
      </c>
      <c r="K156" s="2"/>
      <c r="L156" s="2"/>
      <c r="M156" s="2" t="s">
        <v>77</v>
      </c>
      <c r="N156" s="2" t="s">
        <v>78</v>
      </c>
      <c r="O156" s="2"/>
      <c r="P156" s="2"/>
      <c r="Q156" s="2"/>
      <c r="R156" s="2"/>
      <c r="S156" s="2"/>
      <c r="T156" s="2" t="s">
        <v>3257</v>
      </c>
      <c r="U156" s="2" t="s">
        <v>3258</v>
      </c>
      <c r="V156" s="2" t="s">
        <v>3259</v>
      </c>
      <c r="W156" s="2" t="s">
        <v>3260</v>
      </c>
      <c r="X156" s="2" t="s">
        <v>3261</v>
      </c>
      <c r="Y156" s="2" t="s">
        <v>3262</v>
      </c>
      <c r="Z156" s="2" t="s">
        <v>3263</v>
      </c>
      <c r="AA156" s="2" t="s">
        <v>3264</v>
      </c>
      <c r="AB156" s="2" t="s">
        <v>3265</v>
      </c>
      <c r="AC156" s="2" t="s">
        <v>3266</v>
      </c>
      <c r="AD156" s="2" t="s">
        <v>3266</v>
      </c>
      <c r="AE156" s="2" t="s">
        <v>3267</v>
      </c>
      <c r="AF156" s="2"/>
      <c r="AG156" s="2" t="n">
        <v>56</v>
      </c>
      <c r="AH156" s="2" t="n">
        <v>55</v>
      </c>
      <c r="AI156" s="2" t="n">
        <v>62</v>
      </c>
      <c r="AJ156" s="2" t="n">
        <v>0</v>
      </c>
      <c r="AK156" s="2" t="n">
        <v>3</v>
      </c>
      <c r="AL156" s="2" t="s">
        <v>154</v>
      </c>
      <c r="AM156" s="2" t="s">
        <v>155</v>
      </c>
      <c r="AN156" s="2" t="s">
        <v>156</v>
      </c>
      <c r="AO156" s="2" t="s">
        <v>157</v>
      </c>
      <c r="AP156" s="2" t="s">
        <v>158</v>
      </c>
      <c r="AQ156" s="2"/>
      <c r="AR156" s="2" t="s">
        <v>159</v>
      </c>
      <c r="AS156" s="2" t="s">
        <v>160</v>
      </c>
      <c r="AT156" s="2" t="s">
        <v>804</v>
      </c>
      <c r="AU156" s="2" t="n">
        <v>2011</v>
      </c>
      <c r="AV156" s="2" t="n">
        <v>83</v>
      </c>
      <c r="AW156" s="2" t="n">
        <v>11</v>
      </c>
      <c r="AX156" s="2"/>
      <c r="AY156" s="2"/>
      <c r="AZ156" s="2"/>
      <c r="BA156" s="2"/>
      <c r="BB156" s="2" t="n">
        <v>2008</v>
      </c>
      <c r="BC156" s="2" t="n">
        <v>2017</v>
      </c>
      <c r="BD156" s="2"/>
      <c r="BE156" s="2" t="s">
        <v>3268</v>
      </c>
      <c r="BF156" s="2" t="str">
        <f aca="false">HYPERLINK("http://dx.doi.org/10.1002/jmv.22221","http://dx.doi.org/10.1002/jmv.22221")</f>
        <v>http://dx.doi.org/10.1002/jmv.22221</v>
      </c>
      <c r="BG156" s="2"/>
      <c r="BH156" s="2"/>
      <c r="BI156" s="2" t="n">
        <v>10</v>
      </c>
      <c r="BJ156" s="2" t="s">
        <v>163</v>
      </c>
      <c r="BK156" s="2" t="s">
        <v>100</v>
      </c>
      <c r="BL156" s="2" t="s">
        <v>163</v>
      </c>
      <c r="BM156" s="2" t="s">
        <v>3269</v>
      </c>
      <c r="BN156" s="2" t="n">
        <v>21915878</v>
      </c>
      <c r="BO156" s="2" t="s">
        <v>538</v>
      </c>
      <c r="BP156" s="2"/>
      <c r="BQ156" s="2"/>
      <c r="BR156" s="2" t="s">
        <v>104</v>
      </c>
      <c r="BS156" s="2" t="s">
        <v>3270</v>
      </c>
      <c r="BT156" s="2" t="str">
        <f aca="false">HYPERLINK("https%3A%2F%2Fwww.webofscience.com%2Fwos%2Fwoscc%2Ffull-record%2FWOS:000295196200020","View Full Record in Web of Science")</f>
        <v>View Full Record in Web of Science</v>
      </c>
    </row>
    <row r="157" customFormat="false" ht="12.75" hidden="false" customHeight="false" outlineLevel="0" collapsed="false">
      <c r="A157" s="2" t="s">
        <v>72</v>
      </c>
      <c r="B157" s="2" t="s">
        <v>3271</v>
      </c>
      <c r="C157" s="2"/>
      <c r="D157" s="2"/>
      <c r="E157" s="2"/>
      <c r="F157" s="2" t="s">
        <v>3272</v>
      </c>
      <c r="G157" s="2"/>
      <c r="H157" s="2"/>
      <c r="I157" s="2" t="s">
        <v>3273</v>
      </c>
      <c r="J157" s="2" t="s">
        <v>370</v>
      </c>
      <c r="K157" s="2"/>
      <c r="L157" s="2"/>
      <c r="M157" s="2" t="s">
        <v>77</v>
      </c>
      <c r="N157" s="2" t="s">
        <v>78</v>
      </c>
      <c r="O157" s="2"/>
      <c r="P157" s="2"/>
      <c r="Q157" s="2"/>
      <c r="R157" s="2"/>
      <c r="S157" s="2"/>
      <c r="T157" s="2" t="s">
        <v>3274</v>
      </c>
      <c r="U157" s="2" t="s">
        <v>3275</v>
      </c>
      <c r="V157" s="2" t="s">
        <v>3276</v>
      </c>
      <c r="W157" s="2" t="s">
        <v>3277</v>
      </c>
      <c r="X157" s="2" t="s">
        <v>3278</v>
      </c>
      <c r="Y157" s="2" t="s">
        <v>3279</v>
      </c>
      <c r="Z157" s="2" t="s">
        <v>3280</v>
      </c>
      <c r="AA157" s="2" t="s">
        <v>3281</v>
      </c>
      <c r="AB157" s="2" t="s">
        <v>3282</v>
      </c>
      <c r="AC157" s="2"/>
      <c r="AD157" s="2"/>
      <c r="AE157" s="2"/>
      <c r="AF157" s="2"/>
      <c r="AG157" s="2" t="n">
        <v>40</v>
      </c>
      <c r="AH157" s="2" t="n">
        <v>98</v>
      </c>
      <c r="AI157" s="2" t="n">
        <v>115</v>
      </c>
      <c r="AJ157" s="2" t="n">
        <v>0</v>
      </c>
      <c r="AK157" s="2" t="n">
        <v>6</v>
      </c>
      <c r="AL157" s="2" t="s">
        <v>383</v>
      </c>
      <c r="AM157" s="2" t="s">
        <v>384</v>
      </c>
      <c r="AN157" s="2" t="s">
        <v>385</v>
      </c>
      <c r="AO157" s="2" t="s">
        <v>386</v>
      </c>
      <c r="AP157" s="2" t="s">
        <v>387</v>
      </c>
      <c r="AQ157" s="2"/>
      <c r="AR157" s="2" t="s">
        <v>388</v>
      </c>
      <c r="AS157" s="2" t="s">
        <v>389</v>
      </c>
      <c r="AT157" s="2" t="s">
        <v>446</v>
      </c>
      <c r="AU157" s="2" t="n">
        <v>2008</v>
      </c>
      <c r="AV157" s="2" t="n">
        <v>43</v>
      </c>
      <c r="AW157" s="2" t="n">
        <v>4</v>
      </c>
      <c r="AX157" s="2"/>
      <c r="AY157" s="2"/>
      <c r="AZ157" s="2" t="s">
        <v>1627</v>
      </c>
      <c r="BA157" s="2"/>
      <c r="BB157" s="2" t="n">
        <v>407</v>
      </c>
      <c r="BC157" s="2" t="n">
        <v>410</v>
      </c>
      <c r="BD157" s="2"/>
      <c r="BE157" s="2" t="s">
        <v>3283</v>
      </c>
      <c r="BF157" s="2" t="str">
        <f aca="false">HYPERLINK("http://dx.doi.org/10.1016/j.jcv.2008.08.010","http://dx.doi.org/10.1016/j.jcv.2008.08.010")</f>
        <v>http://dx.doi.org/10.1016/j.jcv.2008.08.010</v>
      </c>
      <c r="BG157" s="2"/>
      <c r="BH157" s="2"/>
      <c r="BI157" s="2" t="n">
        <v>4</v>
      </c>
      <c r="BJ157" s="2" t="s">
        <v>163</v>
      </c>
      <c r="BK157" s="2" t="s">
        <v>100</v>
      </c>
      <c r="BL157" s="2" t="s">
        <v>163</v>
      </c>
      <c r="BM157" s="2" t="s">
        <v>3284</v>
      </c>
      <c r="BN157" s="2" t="n">
        <v>18829380</v>
      </c>
      <c r="BO157" s="2" t="s">
        <v>1227</v>
      </c>
      <c r="BP157" s="2"/>
      <c r="BQ157" s="2"/>
      <c r="BR157" s="2" t="s">
        <v>104</v>
      </c>
      <c r="BS157" s="2" t="s">
        <v>3285</v>
      </c>
      <c r="BT157" s="2" t="str">
        <f aca="false">HYPERLINK("https%3A%2F%2Fwww.webofscience.com%2Fwos%2Fwoscc%2Ffull-record%2FWOS:000261750100011","View Full Record in Web of Science")</f>
        <v>View Full Record in Web of Science</v>
      </c>
    </row>
    <row r="158" customFormat="false" ht="12.75" hidden="false" customHeight="false" outlineLevel="0" collapsed="false">
      <c r="A158" s="2" t="s">
        <v>72</v>
      </c>
      <c r="B158" s="2" t="s">
        <v>3286</v>
      </c>
      <c r="C158" s="2"/>
      <c r="D158" s="2"/>
      <c r="E158" s="2"/>
      <c r="F158" s="2" t="s">
        <v>3287</v>
      </c>
      <c r="G158" s="2"/>
      <c r="H158" s="2"/>
      <c r="I158" s="2" t="s">
        <v>3288</v>
      </c>
      <c r="J158" s="2" t="s">
        <v>370</v>
      </c>
      <c r="K158" s="2"/>
      <c r="L158" s="2"/>
      <c r="M158" s="2" t="s">
        <v>77</v>
      </c>
      <c r="N158" s="2" t="s">
        <v>78</v>
      </c>
      <c r="O158" s="2"/>
      <c r="P158" s="2"/>
      <c r="Q158" s="2"/>
      <c r="R158" s="2"/>
      <c r="S158" s="2"/>
      <c r="T158" s="2" t="s">
        <v>3289</v>
      </c>
      <c r="U158" s="2" t="s">
        <v>3290</v>
      </c>
      <c r="V158" s="2" t="s">
        <v>3291</v>
      </c>
      <c r="W158" s="2" t="s">
        <v>3292</v>
      </c>
      <c r="X158" s="2" t="s">
        <v>3293</v>
      </c>
      <c r="Y158" s="2" t="s">
        <v>3294</v>
      </c>
      <c r="Z158" s="2" t="s">
        <v>3295</v>
      </c>
      <c r="AA158" s="2"/>
      <c r="AB158" s="2" t="s">
        <v>3296</v>
      </c>
      <c r="AC158" s="2"/>
      <c r="AD158" s="2"/>
      <c r="AE158" s="2"/>
      <c r="AF158" s="2"/>
      <c r="AG158" s="2" t="n">
        <v>23</v>
      </c>
      <c r="AH158" s="2" t="n">
        <v>1</v>
      </c>
      <c r="AI158" s="2" t="n">
        <v>1</v>
      </c>
      <c r="AJ158" s="2" t="n">
        <v>0</v>
      </c>
      <c r="AK158" s="2" t="n">
        <v>3</v>
      </c>
      <c r="AL158" s="2" t="s">
        <v>383</v>
      </c>
      <c r="AM158" s="2" t="s">
        <v>384</v>
      </c>
      <c r="AN158" s="2" t="s">
        <v>385</v>
      </c>
      <c r="AO158" s="2" t="s">
        <v>386</v>
      </c>
      <c r="AP158" s="2" t="s">
        <v>387</v>
      </c>
      <c r="AQ158" s="2"/>
      <c r="AR158" s="2" t="s">
        <v>388</v>
      </c>
      <c r="AS158" s="2" t="s">
        <v>389</v>
      </c>
      <c r="AT158" s="2" t="s">
        <v>97</v>
      </c>
      <c r="AU158" s="2" t="n">
        <v>2022</v>
      </c>
      <c r="AV158" s="2" t="n">
        <v>148</v>
      </c>
      <c r="AW158" s="2"/>
      <c r="AX158" s="2"/>
      <c r="AY158" s="2"/>
      <c r="AZ158" s="2"/>
      <c r="BA158" s="2"/>
      <c r="BB158" s="2"/>
      <c r="BC158" s="2"/>
      <c r="BD158" s="2" t="n">
        <v>105084</v>
      </c>
      <c r="BE158" s="2" t="s">
        <v>3297</v>
      </c>
      <c r="BF158" s="2" t="str">
        <f aca="false">HYPERLINK("http://dx.doi.org/10.1016/j.jcv.2022.105084","http://dx.doi.org/10.1016/j.jcv.2022.105084")</f>
        <v>http://dx.doi.org/10.1016/j.jcv.2022.105084</v>
      </c>
      <c r="BG158" s="2"/>
      <c r="BH158" s="2" t="s">
        <v>3298</v>
      </c>
      <c r="BI158" s="2" t="n">
        <v>6</v>
      </c>
      <c r="BJ158" s="2" t="s">
        <v>163</v>
      </c>
      <c r="BK158" s="2" t="s">
        <v>100</v>
      </c>
      <c r="BL158" s="2" t="s">
        <v>163</v>
      </c>
      <c r="BM158" s="2" t="s">
        <v>3299</v>
      </c>
      <c r="BN158" s="2" t="n">
        <v>35101733</v>
      </c>
      <c r="BO158" s="2"/>
      <c r="BP158" s="2"/>
      <c r="BQ158" s="2"/>
      <c r="BR158" s="2" t="s">
        <v>104</v>
      </c>
      <c r="BS158" s="2" t="s">
        <v>3300</v>
      </c>
      <c r="BT158" s="2" t="str">
        <f aca="false">HYPERLINK("https%3A%2F%2Fwww.webofscience.com%2Fwos%2Fwoscc%2Ffull-record%2FWOS:000754176900005","View Full Record in Web of Science")</f>
        <v>View Full Record in Web of Science</v>
      </c>
    </row>
    <row r="159" customFormat="false" ht="12.75" hidden="false" customHeight="false" outlineLevel="0" collapsed="false">
      <c r="A159" s="2" t="s">
        <v>72</v>
      </c>
      <c r="B159" s="2" t="s">
        <v>3301</v>
      </c>
      <c r="C159" s="2"/>
      <c r="D159" s="2"/>
      <c r="E159" s="2"/>
      <c r="F159" s="2" t="s">
        <v>3302</v>
      </c>
      <c r="G159" s="2"/>
      <c r="H159" s="2"/>
      <c r="I159" s="2" t="s">
        <v>3303</v>
      </c>
      <c r="J159" s="2" t="s">
        <v>3304</v>
      </c>
      <c r="K159" s="2"/>
      <c r="L159" s="2"/>
      <c r="M159" s="2" t="s">
        <v>77</v>
      </c>
      <c r="N159" s="2" t="s">
        <v>78</v>
      </c>
      <c r="O159" s="2"/>
      <c r="P159" s="2"/>
      <c r="Q159" s="2"/>
      <c r="R159" s="2"/>
      <c r="S159" s="2"/>
      <c r="T159" s="2" t="s">
        <v>3305</v>
      </c>
      <c r="U159" s="2" t="s">
        <v>3306</v>
      </c>
      <c r="V159" s="2" t="s">
        <v>3307</v>
      </c>
      <c r="W159" s="2" t="s">
        <v>3308</v>
      </c>
      <c r="X159" s="2" t="s">
        <v>3309</v>
      </c>
      <c r="Y159" s="2" t="s">
        <v>3310</v>
      </c>
      <c r="Z159" s="2" t="s">
        <v>3311</v>
      </c>
      <c r="AA159" s="2"/>
      <c r="AB159" s="2"/>
      <c r="AC159" s="2"/>
      <c r="AD159" s="2"/>
      <c r="AE159" s="2"/>
      <c r="AF159" s="2"/>
      <c r="AG159" s="2" t="n">
        <v>74</v>
      </c>
      <c r="AH159" s="2" t="n">
        <v>24</v>
      </c>
      <c r="AI159" s="2" t="n">
        <v>25</v>
      </c>
      <c r="AJ159" s="2" t="n">
        <v>0</v>
      </c>
      <c r="AK159" s="2" t="n">
        <v>15</v>
      </c>
      <c r="AL159" s="2" t="s">
        <v>957</v>
      </c>
      <c r="AM159" s="2" t="s">
        <v>123</v>
      </c>
      <c r="AN159" s="2" t="s">
        <v>958</v>
      </c>
      <c r="AO159" s="2" t="s">
        <v>3312</v>
      </c>
      <c r="AP159" s="2" t="s">
        <v>3313</v>
      </c>
      <c r="AQ159" s="2"/>
      <c r="AR159" s="2" t="s">
        <v>3314</v>
      </c>
      <c r="AS159" s="2" t="s">
        <v>3315</v>
      </c>
      <c r="AT159" s="2" t="s">
        <v>129</v>
      </c>
      <c r="AU159" s="2" t="n">
        <v>2013</v>
      </c>
      <c r="AV159" s="2" t="n">
        <v>33</v>
      </c>
      <c r="AW159" s="2" t="n">
        <v>3</v>
      </c>
      <c r="AX159" s="2"/>
      <c r="AY159" s="2"/>
      <c r="AZ159" s="2"/>
      <c r="BA159" s="2"/>
      <c r="BB159" s="2" t="n">
        <v>439</v>
      </c>
      <c r="BC159" s="2" t="s">
        <v>986</v>
      </c>
      <c r="BD159" s="2"/>
      <c r="BE159" s="2" t="s">
        <v>3316</v>
      </c>
      <c r="BF159" s="2" t="str">
        <f aca="false">HYPERLINK("http://dx.doi.org/10.1016/j.cll.2013.03.007","http://dx.doi.org/10.1016/j.cll.2013.03.007")</f>
        <v>http://dx.doi.org/10.1016/j.cll.2013.03.007</v>
      </c>
      <c r="BG159" s="2"/>
      <c r="BH159" s="2"/>
      <c r="BI159" s="2" t="n">
        <v>23</v>
      </c>
      <c r="BJ159" s="2" t="s">
        <v>3122</v>
      </c>
      <c r="BK159" s="2" t="s">
        <v>100</v>
      </c>
      <c r="BL159" s="2" t="s">
        <v>3122</v>
      </c>
      <c r="BM159" s="2" t="s">
        <v>3317</v>
      </c>
      <c r="BN159" s="2" t="n">
        <v>23931834</v>
      </c>
      <c r="BO159" s="2" t="s">
        <v>1089</v>
      </c>
      <c r="BP159" s="2"/>
      <c r="BQ159" s="2"/>
      <c r="BR159" s="2" t="s">
        <v>104</v>
      </c>
      <c r="BS159" s="2" t="s">
        <v>3318</v>
      </c>
      <c r="BT159" s="2" t="str">
        <f aca="false">HYPERLINK("https%3A%2F%2Fwww.webofscience.com%2Fwos%2Fwoscc%2Ffull-record%2FWOS:000324221600003","View Full Record in Web of Science")</f>
        <v>View Full Record in Web of Science</v>
      </c>
    </row>
    <row r="160" customFormat="false" ht="12.75" hidden="false" customHeight="false" outlineLevel="0" collapsed="false">
      <c r="A160" s="2" t="s">
        <v>72</v>
      </c>
      <c r="B160" s="2" t="s">
        <v>3319</v>
      </c>
      <c r="C160" s="2"/>
      <c r="D160" s="2"/>
      <c r="E160" s="2"/>
      <c r="F160" s="2" t="s">
        <v>3320</v>
      </c>
      <c r="G160" s="2"/>
      <c r="H160" s="2"/>
      <c r="I160" s="2" t="s">
        <v>3321</v>
      </c>
      <c r="J160" s="2" t="s">
        <v>370</v>
      </c>
      <c r="K160" s="2"/>
      <c r="L160" s="2"/>
      <c r="M160" s="2" t="s">
        <v>77</v>
      </c>
      <c r="N160" s="2" t="s">
        <v>78</v>
      </c>
      <c r="O160" s="2"/>
      <c r="P160" s="2"/>
      <c r="Q160" s="2"/>
      <c r="R160" s="2"/>
      <c r="S160" s="2"/>
      <c r="T160" s="2" t="s">
        <v>3322</v>
      </c>
      <c r="U160" s="2" t="s">
        <v>3323</v>
      </c>
      <c r="V160" s="2" t="s">
        <v>3324</v>
      </c>
      <c r="W160" s="2" t="s">
        <v>3325</v>
      </c>
      <c r="X160" s="2" t="s">
        <v>3326</v>
      </c>
      <c r="Y160" s="2" t="s">
        <v>3327</v>
      </c>
      <c r="Z160" s="2" t="s">
        <v>3328</v>
      </c>
      <c r="AA160" s="2" t="s">
        <v>3329</v>
      </c>
      <c r="AB160" s="2"/>
      <c r="AC160" s="2"/>
      <c r="AD160" s="2"/>
      <c r="AE160" s="2"/>
      <c r="AF160" s="2"/>
      <c r="AG160" s="2" t="n">
        <v>26</v>
      </c>
      <c r="AH160" s="2" t="n">
        <v>34</v>
      </c>
      <c r="AI160" s="2" t="n">
        <v>34</v>
      </c>
      <c r="AJ160" s="2" t="n">
        <v>0</v>
      </c>
      <c r="AK160" s="2" t="n">
        <v>14</v>
      </c>
      <c r="AL160" s="2" t="s">
        <v>549</v>
      </c>
      <c r="AM160" s="2" t="s">
        <v>384</v>
      </c>
      <c r="AN160" s="2" t="s">
        <v>550</v>
      </c>
      <c r="AO160" s="2" t="s">
        <v>386</v>
      </c>
      <c r="AP160" s="2" t="s">
        <v>387</v>
      </c>
      <c r="AQ160" s="2"/>
      <c r="AR160" s="2" t="s">
        <v>388</v>
      </c>
      <c r="AS160" s="2" t="s">
        <v>389</v>
      </c>
      <c r="AT160" s="2" t="s">
        <v>804</v>
      </c>
      <c r="AU160" s="2" t="n">
        <v>2014</v>
      </c>
      <c r="AV160" s="2" t="n">
        <v>61</v>
      </c>
      <c r="AW160" s="2" t="n">
        <v>3</v>
      </c>
      <c r="AX160" s="2"/>
      <c r="AY160" s="2"/>
      <c r="AZ160" s="2"/>
      <c r="BA160" s="2"/>
      <c r="BB160" s="2" t="n">
        <v>406</v>
      </c>
      <c r="BC160" s="2" t="n">
        <v>410</v>
      </c>
      <c r="BD160" s="2"/>
      <c r="BE160" s="2" t="s">
        <v>3330</v>
      </c>
      <c r="BF160" s="2" t="str">
        <f aca="false">HYPERLINK("http://dx.doi.org/10.1016/j.jcv.2014.08.010","http://dx.doi.org/10.1016/j.jcv.2014.08.010")</f>
        <v>http://dx.doi.org/10.1016/j.jcv.2014.08.010</v>
      </c>
      <c r="BG160" s="2"/>
      <c r="BH160" s="2"/>
      <c r="BI160" s="2" t="n">
        <v>5</v>
      </c>
      <c r="BJ160" s="2" t="s">
        <v>163</v>
      </c>
      <c r="BK160" s="2" t="s">
        <v>100</v>
      </c>
      <c r="BL160" s="2" t="s">
        <v>163</v>
      </c>
      <c r="BM160" s="2" t="s">
        <v>2939</v>
      </c>
      <c r="BN160" s="2" t="n">
        <v>25183359</v>
      </c>
      <c r="BO160" s="2" t="s">
        <v>1089</v>
      </c>
      <c r="BP160" s="2"/>
      <c r="BQ160" s="2"/>
      <c r="BR160" s="2" t="s">
        <v>104</v>
      </c>
      <c r="BS160" s="2" t="s">
        <v>3331</v>
      </c>
      <c r="BT160" s="2" t="str">
        <f aca="false">HYPERLINK("https%3A%2F%2Fwww.webofscience.com%2Fwos%2Fwoscc%2Ffull-record%2FWOS:000344750100017","View Full Record in Web of Science")</f>
        <v>View Full Record in Web of Science</v>
      </c>
    </row>
    <row r="161" customFormat="false" ht="12.75" hidden="false" customHeight="false" outlineLevel="0" collapsed="false">
      <c r="A161" s="2" t="s">
        <v>72</v>
      </c>
      <c r="B161" s="2" t="s">
        <v>3332</v>
      </c>
      <c r="C161" s="2"/>
      <c r="D161" s="2"/>
      <c r="E161" s="2"/>
      <c r="F161" s="2" t="s">
        <v>3333</v>
      </c>
      <c r="G161" s="2"/>
      <c r="H161" s="2"/>
      <c r="I161" s="2" t="s">
        <v>3334</v>
      </c>
      <c r="J161" s="2" t="s">
        <v>370</v>
      </c>
      <c r="K161" s="2"/>
      <c r="L161" s="2"/>
      <c r="M161" s="2" t="s">
        <v>77</v>
      </c>
      <c r="N161" s="2" t="s">
        <v>78</v>
      </c>
      <c r="O161" s="2"/>
      <c r="P161" s="2"/>
      <c r="Q161" s="2"/>
      <c r="R161" s="2"/>
      <c r="S161" s="2"/>
      <c r="T161" s="2" t="s">
        <v>3335</v>
      </c>
      <c r="U161" s="2" t="s">
        <v>3336</v>
      </c>
      <c r="V161" s="2" t="s">
        <v>3337</v>
      </c>
      <c r="W161" s="2" t="s">
        <v>3338</v>
      </c>
      <c r="X161" s="2" t="s">
        <v>3339</v>
      </c>
      <c r="Y161" s="2" t="s">
        <v>3340</v>
      </c>
      <c r="Z161" s="2" t="s">
        <v>3328</v>
      </c>
      <c r="AA161" s="2" t="s">
        <v>3329</v>
      </c>
      <c r="AB161" s="2"/>
      <c r="AC161" s="2" t="s">
        <v>3341</v>
      </c>
      <c r="AD161" s="2" t="s">
        <v>3341</v>
      </c>
      <c r="AE161" s="2" t="s">
        <v>3342</v>
      </c>
      <c r="AF161" s="2"/>
      <c r="AG161" s="2" t="n">
        <v>21</v>
      </c>
      <c r="AH161" s="2" t="n">
        <v>16</v>
      </c>
      <c r="AI161" s="2" t="n">
        <v>16</v>
      </c>
      <c r="AJ161" s="2" t="n">
        <v>0</v>
      </c>
      <c r="AK161" s="2" t="n">
        <v>7</v>
      </c>
      <c r="AL161" s="2" t="s">
        <v>383</v>
      </c>
      <c r="AM161" s="2" t="s">
        <v>384</v>
      </c>
      <c r="AN161" s="2" t="s">
        <v>385</v>
      </c>
      <c r="AO161" s="2" t="s">
        <v>386</v>
      </c>
      <c r="AP161" s="2" t="s">
        <v>387</v>
      </c>
      <c r="AQ161" s="2"/>
      <c r="AR161" s="2" t="s">
        <v>388</v>
      </c>
      <c r="AS161" s="2" t="s">
        <v>389</v>
      </c>
      <c r="AT161" s="2" t="s">
        <v>446</v>
      </c>
      <c r="AU161" s="2" t="n">
        <v>2019</v>
      </c>
      <c r="AV161" s="2" t="n">
        <v>121</v>
      </c>
      <c r="AW161" s="2"/>
      <c r="AX161" s="2"/>
      <c r="AY161" s="2"/>
      <c r="AZ161" s="2"/>
      <c r="BA161" s="2"/>
      <c r="BB161" s="2"/>
      <c r="BC161" s="2"/>
      <c r="BD161" s="2" t="n">
        <v>104204</v>
      </c>
      <c r="BE161" s="2" t="s">
        <v>3343</v>
      </c>
      <c r="BF161" s="2" t="str">
        <f aca="false">HYPERLINK("http://dx.doi.org/10.1016/j.jcv.2019.104204","http://dx.doi.org/10.1016/j.jcv.2019.104204")</f>
        <v>http://dx.doi.org/10.1016/j.jcv.2019.104204</v>
      </c>
      <c r="BG161" s="2"/>
      <c r="BH161" s="2"/>
      <c r="BI161" s="2" t="n">
        <v>5</v>
      </c>
      <c r="BJ161" s="2" t="s">
        <v>163</v>
      </c>
      <c r="BK161" s="2" t="s">
        <v>100</v>
      </c>
      <c r="BL161" s="2" t="s">
        <v>163</v>
      </c>
      <c r="BM161" s="2" t="s">
        <v>3344</v>
      </c>
      <c r="BN161" s="2" t="n">
        <v>31743836</v>
      </c>
      <c r="BO161" s="2" t="s">
        <v>136</v>
      </c>
      <c r="BP161" s="2"/>
      <c r="BQ161" s="2"/>
      <c r="BR161" s="2" t="s">
        <v>104</v>
      </c>
      <c r="BS161" s="2" t="s">
        <v>3345</v>
      </c>
      <c r="BT161" s="2" t="str">
        <f aca="false">HYPERLINK("https%3A%2F%2Fwww.webofscience.com%2Fwos%2Fwoscc%2Ffull-record%2FWOS:000498796600006","View Full Record in Web of Science")</f>
        <v>View Full Record in Web of Science</v>
      </c>
    </row>
    <row r="162" customFormat="false" ht="12.75" hidden="false" customHeight="false" outlineLevel="0" collapsed="false">
      <c r="A162" s="2" t="s">
        <v>72</v>
      </c>
      <c r="B162" s="2" t="s">
        <v>3346</v>
      </c>
      <c r="C162" s="2"/>
      <c r="D162" s="2"/>
      <c r="E162" s="2"/>
      <c r="F162" s="2" t="s">
        <v>3347</v>
      </c>
      <c r="G162" s="2"/>
      <c r="H162" s="2"/>
      <c r="I162" s="2" t="s">
        <v>3348</v>
      </c>
      <c r="J162" s="2" t="s">
        <v>141</v>
      </c>
      <c r="K162" s="2"/>
      <c r="L162" s="2"/>
      <c r="M162" s="2" t="s">
        <v>77</v>
      </c>
      <c r="N162" s="2" t="s">
        <v>78</v>
      </c>
      <c r="O162" s="2"/>
      <c r="P162" s="2"/>
      <c r="Q162" s="2"/>
      <c r="R162" s="2"/>
      <c r="S162" s="2"/>
      <c r="T162" s="2" t="s">
        <v>3349</v>
      </c>
      <c r="U162" s="2" t="s">
        <v>3350</v>
      </c>
      <c r="V162" s="2" t="s">
        <v>3351</v>
      </c>
      <c r="W162" s="2" t="s">
        <v>3352</v>
      </c>
      <c r="X162" s="2" t="s">
        <v>3353</v>
      </c>
      <c r="Y162" s="2" t="s">
        <v>3354</v>
      </c>
      <c r="Z162" s="2" t="s">
        <v>3355</v>
      </c>
      <c r="AA162" s="2" t="s">
        <v>3356</v>
      </c>
      <c r="AB162" s="2" t="s">
        <v>3357</v>
      </c>
      <c r="AC162" s="2"/>
      <c r="AD162" s="2"/>
      <c r="AE162" s="2"/>
      <c r="AF162" s="2"/>
      <c r="AG162" s="2" t="n">
        <v>20</v>
      </c>
      <c r="AH162" s="2" t="n">
        <v>35</v>
      </c>
      <c r="AI162" s="2" t="n">
        <v>40</v>
      </c>
      <c r="AJ162" s="2" t="n">
        <v>0</v>
      </c>
      <c r="AK162" s="2" t="n">
        <v>10</v>
      </c>
      <c r="AL162" s="2" t="s">
        <v>154</v>
      </c>
      <c r="AM162" s="2" t="s">
        <v>155</v>
      </c>
      <c r="AN162" s="2" t="s">
        <v>156</v>
      </c>
      <c r="AO162" s="2" t="s">
        <v>157</v>
      </c>
      <c r="AP162" s="2" t="s">
        <v>158</v>
      </c>
      <c r="AQ162" s="2"/>
      <c r="AR162" s="2" t="s">
        <v>159</v>
      </c>
      <c r="AS162" s="2" t="s">
        <v>160</v>
      </c>
      <c r="AT162" s="2" t="s">
        <v>446</v>
      </c>
      <c r="AU162" s="2" t="n">
        <v>2012</v>
      </c>
      <c r="AV162" s="2" t="n">
        <v>84</v>
      </c>
      <c r="AW162" s="2" t="n">
        <v>12</v>
      </c>
      <c r="AX162" s="2"/>
      <c r="AY162" s="2"/>
      <c r="AZ162" s="2"/>
      <c r="BA162" s="2"/>
      <c r="BB162" s="2" t="n">
        <v>1980</v>
      </c>
      <c r="BC162" s="2" t="n">
        <v>1984</v>
      </c>
      <c r="BD162" s="2"/>
      <c r="BE162" s="2" t="s">
        <v>3358</v>
      </c>
      <c r="BF162" s="2" t="str">
        <f aca="false">HYPERLINK("http://dx.doi.org/10.1002/jmv.23401","http://dx.doi.org/10.1002/jmv.23401")</f>
        <v>http://dx.doi.org/10.1002/jmv.23401</v>
      </c>
      <c r="BG162" s="2"/>
      <c r="BH162" s="2"/>
      <c r="BI162" s="2" t="n">
        <v>5</v>
      </c>
      <c r="BJ162" s="2" t="s">
        <v>163</v>
      </c>
      <c r="BK162" s="2" t="s">
        <v>100</v>
      </c>
      <c r="BL162" s="2" t="s">
        <v>163</v>
      </c>
      <c r="BM162" s="2" t="s">
        <v>3359</v>
      </c>
      <c r="BN162" s="2" t="n">
        <v>23080506</v>
      </c>
      <c r="BO162" s="2" t="s">
        <v>165</v>
      </c>
      <c r="BP162" s="2"/>
      <c r="BQ162" s="2"/>
      <c r="BR162" s="2" t="s">
        <v>104</v>
      </c>
      <c r="BS162" s="2" t="s">
        <v>3360</v>
      </c>
      <c r="BT162" s="2" t="str">
        <f aca="false">HYPERLINK("https%3A%2F%2Fwww.webofscience.com%2Fwos%2Fwoscc%2Ffull-record%2FWOS:000310339300022","View Full Record in Web of Science")</f>
        <v>View Full Record in Web of Science</v>
      </c>
    </row>
    <row r="163" customFormat="false" ht="12.75" hidden="false" customHeight="false" outlineLevel="0" collapsed="false">
      <c r="A163" s="2" t="s">
        <v>72</v>
      </c>
      <c r="B163" s="2" t="s">
        <v>3361</v>
      </c>
      <c r="C163" s="2"/>
      <c r="D163" s="2"/>
      <c r="E163" s="2"/>
      <c r="F163" s="2" t="s">
        <v>3362</v>
      </c>
      <c r="G163" s="2"/>
      <c r="H163" s="2"/>
      <c r="I163" s="2" t="s">
        <v>3363</v>
      </c>
      <c r="J163" s="2" t="s">
        <v>141</v>
      </c>
      <c r="K163" s="2"/>
      <c r="L163" s="2"/>
      <c r="M163" s="2" t="s">
        <v>77</v>
      </c>
      <c r="N163" s="2" t="s">
        <v>78</v>
      </c>
      <c r="O163" s="2"/>
      <c r="P163" s="2"/>
      <c r="Q163" s="2"/>
      <c r="R163" s="2"/>
      <c r="S163" s="2"/>
      <c r="T163" s="2" t="s">
        <v>3364</v>
      </c>
      <c r="U163" s="2" t="s">
        <v>3365</v>
      </c>
      <c r="V163" s="2" t="s">
        <v>3366</v>
      </c>
      <c r="W163" s="2" t="s">
        <v>3367</v>
      </c>
      <c r="X163" s="2" t="s">
        <v>3368</v>
      </c>
      <c r="Y163" s="2" t="s">
        <v>3369</v>
      </c>
      <c r="Z163" s="2" t="s">
        <v>3370</v>
      </c>
      <c r="AA163" s="2" t="s">
        <v>3371</v>
      </c>
      <c r="AB163" s="2" t="s">
        <v>3372</v>
      </c>
      <c r="AC163" s="2" t="s">
        <v>3373</v>
      </c>
      <c r="AD163" s="2" t="s">
        <v>3373</v>
      </c>
      <c r="AE163" s="2" t="s">
        <v>3374</v>
      </c>
      <c r="AF163" s="2"/>
      <c r="AG163" s="2" t="n">
        <v>24</v>
      </c>
      <c r="AH163" s="2" t="n">
        <v>20</v>
      </c>
      <c r="AI163" s="2" t="n">
        <v>22</v>
      </c>
      <c r="AJ163" s="2" t="n">
        <v>0</v>
      </c>
      <c r="AK163" s="2" t="n">
        <v>1</v>
      </c>
      <c r="AL163" s="2" t="s">
        <v>154</v>
      </c>
      <c r="AM163" s="2" t="s">
        <v>155</v>
      </c>
      <c r="AN163" s="2" t="s">
        <v>156</v>
      </c>
      <c r="AO163" s="2" t="s">
        <v>157</v>
      </c>
      <c r="AP163" s="2" t="s">
        <v>158</v>
      </c>
      <c r="AQ163" s="2"/>
      <c r="AR163" s="2" t="s">
        <v>159</v>
      </c>
      <c r="AS163" s="2" t="s">
        <v>160</v>
      </c>
      <c r="AT163" s="2" t="s">
        <v>185</v>
      </c>
      <c r="AU163" s="2" t="n">
        <v>2011</v>
      </c>
      <c r="AV163" s="2" t="n">
        <v>83</v>
      </c>
      <c r="AW163" s="2" t="n">
        <v>8</v>
      </c>
      <c r="AX163" s="2"/>
      <c r="AY163" s="2"/>
      <c r="AZ163" s="2"/>
      <c r="BA163" s="2"/>
      <c r="BB163" s="2" t="n">
        <v>1451</v>
      </c>
      <c r="BC163" s="2" t="n">
        <v>1457</v>
      </c>
      <c r="BD163" s="2"/>
      <c r="BE163" s="2" t="s">
        <v>3375</v>
      </c>
      <c r="BF163" s="2" t="str">
        <f aca="false">HYPERLINK("http://dx.doi.org/10.1002/jmv.22113","http://dx.doi.org/10.1002/jmv.22113")</f>
        <v>http://dx.doi.org/10.1002/jmv.22113</v>
      </c>
      <c r="BG163" s="2"/>
      <c r="BH163" s="2"/>
      <c r="BI163" s="2" t="n">
        <v>7</v>
      </c>
      <c r="BJ163" s="2" t="s">
        <v>163</v>
      </c>
      <c r="BK163" s="2" t="s">
        <v>100</v>
      </c>
      <c r="BL163" s="2" t="s">
        <v>163</v>
      </c>
      <c r="BM163" s="2" t="s">
        <v>3376</v>
      </c>
      <c r="BN163" s="2" t="n">
        <v>21638286</v>
      </c>
      <c r="BO163" s="2" t="s">
        <v>2178</v>
      </c>
      <c r="BP163" s="2"/>
      <c r="BQ163" s="2"/>
      <c r="BR163" s="2" t="s">
        <v>104</v>
      </c>
      <c r="BS163" s="2" t="s">
        <v>3377</v>
      </c>
      <c r="BT163" s="2" t="str">
        <f aca="false">HYPERLINK("https%3A%2F%2Fwww.webofscience.com%2Fwos%2Fwoscc%2Ffull-record%2FWOS:000292061200026","View Full Record in Web of Science")</f>
        <v>View Full Record in Web of Science</v>
      </c>
    </row>
    <row r="164" customFormat="false" ht="12.75" hidden="false" customHeight="false" outlineLevel="0" collapsed="false">
      <c r="A164" s="2" t="s">
        <v>72</v>
      </c>
      <c r="B164" s="2" t="s">
        <v>3378</v>
      </c>
      <c r="C164" s="2"/>
      <c r="D164" s="2"/>
      <c r="E164" s="2"/>
      <c r="F164" s="2" t="s">
        <v>3379</v>
      </c>
      <c r="G164" s="2"/>
      <c r="H164" s="2"/>
      <c r="I164" s="2" t="s">
        <v>3380</v>
      </c>
      <c r="J164" s="2" t="s">
        <v>141</v>
      </c>
      <c r="K164" s="2"/>
      <c r="L164" s="2"/>
      <c r="M164" s="2" t="s">
        <v>77</v>
      </c>
      <c r="N164" s="2" t="s">
        <v>78</v>
      </c>
      <c r="O164" s="2"/>
      <c r="P164" s="2"/>
      <c r="Q164" s="2"/>
      <c r="R164" s="2"/>
      <c r="S164" s="2"/>
      <c r="T164" s="2" t="s">
        <v>3381</v>
      </c>
      <c r="U164" s="2" t="s">
        <v>3382</v>
      </c>
      <c r="V164" s="2" t="s">
        <v>3383</v>
      </c>
      <c r="W164" s="2" t="s">
        <v>3384</v>
      </c>
      <c r="X164" s="2" t="s">
        <v>3385</v>
      </c>
      <c r="Y164" s="2" t="s">
        <v>3386</v>
      </c>
      <c r="Z164" s="2" t="s">
        <v>3387</v>
      </c>
      <c r="AA164" s="2" t="s">
        <v>3388</v>
      </c>
      <c r="AB164" s="2" t="s">
        <v>3389</v>
      </c>
      <c r="AC164" s="2"/>
      <c r="AD164" s="2"/>
      <c r="AE164" s="2"/>
      <c r="AF164" s="2"/>
      <c r="AG164" s="2" t="n">
        <v>49</v>
      </c>
      <c r="AH164" s="2" t="n">
        <v>30</v>
      </c>
      <c r="AI164" s="2" t="n">
        <v>31</v>
      </c>
      <c r="AJ164" s="2" t="n">
        <v>0</v>
      </c>
      <c r="AK164" s="2" t="n">
        <v>2</v>
      </c>
      <c r="AL164" s="2" t="s">
        <v>154</v>
      </c>
      <c r="AM164" s="2" t="s">
        <v>155</v>
      </c>
      <c r="AN164" s="2" t="s">
        <v>156</v>
      </c>
      <c r="AO164" s="2" t="s">
        <v>157</v>
      </c>
      <c r="AP164" s="2" t="s">
        <v>158</v>
      </c>
      <c r="AQ164" s="2"/>
      <c r="AR164" s="2" t="s">
        <v>159</v>
      </c>
      <c r="AS164" s="2" t="s">
        <v>160</v>
      </c>
      <c r="AT164" s="2" t="s">
        <v>599</v>
      </c>
      <c r="AU164" s="2" t="n">
        <v>2012</v>
      </c>
      <c r="AV164" s="2" t="n">
        <v>84</v>
      </c>
      <c r="AW164" s="2" t="n">
        <v>7</v>
      </c>
      <c r="AX164" s="2"/>
      <c r="AY164" s="2"/>
      <c r="AZ164" s="2"/>
      <c r="BA164" s="2"/>
      <c r="BB164" s="2" t="n">
        <v>1071</v>
      </c>
      <c r="BC164" s="2" t="n">
        <v>1079</v>
      </c>
      <c r="BD164" s="2"/>
      <c r="BE164" s="2" t="s">
        <v>3390</v>
      </c>
      <c r="BF164" s="2" t="str">
        <f aca="false">HYPERLINK("http://dx.doi.org/10.1002/jmv.23265","http://dx.doi.org/10.1002/jmv.23265")</f>
        <v>http://dx.doi.org/10.1002/jmv.23265</v>
      </c>
      <c r="BG164" s="2"/>
      <c r="BH164" s="2"/>
      <c r="BI164" s="2" t="n">
        <v>9</v>
      </c>
      <c r="BJ164" s="2" t="s">
        <v>163</v>
      </c>
      <c r="BK164" s="2" t="s">
        <v>100</v>
      </c>
      <c r="BL164" s="2" t="s">
        <v>163</v>
      </c>
      <c r="BM164" s="2" t="s">
        <v>3391</v>
      </c>
      <c r="BN164" s="2" t="n">
        <v>22585724</v>
      </c>
      <c r="BO164" s="2" t="s">
        <v>165</v>
      </c>
      <c r="BP164" s="2"/>
      <c r="BQ164" s="2"/>
      <c r="BR164" s="2" t="s">
        <v>104</v>
      </c>
      <c r="BS164" s="2" t="s">
        <v>3392</v>
      </c>
      <c r="BT164" s="2" t="str">
        <f aca="false">HYPERLINK("https%3A%2F%2Fwww.webofscience.com%2Fwos%2Fwoscc%2Ffull-record%2FWOS:000303994200011","View Full Record in Web of Science")</f>
        <v>View Full Record in Web of Science</v>
      </c>
    </row>
    <row r="165" customFormat="false" ht="12.75" hidden="false" customHeight="false" outlineLevel="0" collapsed="false">
      <c r="A165" s="2" t="s">
        <v>72</v>
      </c>
      <c r="B165" s="2" t="s">
        <v>3393</v>
      </c>
      <c r="C165" s="2"/>
      <c r="D165" s="2"/>
      <c r="E165" s="2"/>
      <c r="F165" s="2" t="s">
        <v>3394</v>
      </c>
      <c r="G165" s="2"/>
      <c r="H165" s="2"/>
      <c r="I165" s="2" t="s">
        <v>3395</v>
      </c>
      <c r="J165" s="2" t="s">
        <v>514</v>
      </c>
      <c r="K165" s="2"/>
      <c r="L165" s="2"/>
      <c r="M165" s="2" t="s">
        <v>77</v>
      </c>
      <c r="N165" s="2" t="s">
        <v>78</v>
      </c>
      <c r="O165" s="2"/>
      <c r="P165" s="2"/>
      <c r="Q165" s="2"/>
      <c r="R165" s="2"/>
      <c r="S165" s="2"/>
      <c r="T165" s="2" t="s">
        <v>3396</v>
      </c>
      <c r="U165" s="2" t="s">
        <v>3397</v>
      </c>
      <c r="V165" s="2" t="s">
        <v>3398</v>
      </c>
      <c r="W165" s="2" t="s">
        <v>3399</v>
      </c>
      <c r="X165" s="2" t="s">
        <v>3400</v>
      </c>
      <c r="Y165" s="2" t="s">
        <v>3401</v>
      </c>
      <c r="Z165" s="2" t="s">
        <v>3402</v>
      </c>
      <c r="AA165" s="2" t="s">
        <v>3403</v>
      </c>
      <c r="AB165" s="2" t="s">
        <v>3404</v>
      </c>
      <c r="AC165" s="2" t="s">
        <v>3405</v>
      </c>
      <c r="AD165" s="2" t="s">
        <v>3406</v>
      </c>
      <c r="AE165" s="2" t="s">
        <v>3407</v>
      </c>
      <c r="AF165" s="2"/>
      <c r="AG165" s="2" t="n">
        <v>50</v>
      </c>
      <c r="AH165" s="2" t="n">
        <v>28</v>
      </c>
      <c r="AI165" s="2" t="n">
        <v>30</v>
      </c>
      <c r="AJ165" s="2" t="n">
        <v>0</v>
      </c>
      <c r="AK165" s="2" t="n">
        <v>11</v>
      </c>
      <c r="AL165" s="2" t="s">
        <v>527</v>
      </c>
      <c r="AM165" s="2" t="s">
        <v>528</v>
      </c>
      <c r="AN165" s="2" t="s">
        <v>529</v>
      </c>
      <c r="AO165" s="2" t="s">
        <v>530</v>
      </c>
      <c r="AP165" s="2" t="s">
        <v>531</v>
      </c>
      <c r="AQ165" s="2"/>
      <c r="AR165" s="2" t="s">
        <v>532</v>
      </c>
      <c r="AS165" s="2" t="s">
        <v>533</v>
      </c>
      <c r="AT165" s="2" t="s">
        <v>3408</v>
      </c>
      <c r="AU165" s="2" t="n">
        <v>2018</v>
      </c>
      <c r="AV165" s="2" t="n">
        <v>217</v>
      </c>
      <c r="AW165" s="2" t="n">
        <v>3</v>
      </c>
      <c r="AX165" s="2"/>
      <c r="AY165" s="2"/>
      <c r="AZ165" s="2"/>
      <c r="BA165" s="2"/>
      <c r="BB165" s="2" t="n">
        <v>418</v>
      </c>
      <c r="BC165" s="2" t="n">
        <v>427</v>
      </c>
      <c r="BD165" s="2"/>
      <c r="BE165" s="2" t="s">
        <v>3409</v>
      </c>
      <c r="BF165" s="2" t="str">
        <f aca="false">HYPERLINK("http://dx.doi.org/10.1093/infdis/jix599","http://dx.doi.org/10.1093/infdis/jix599")</f>
        <v>http://dx.doi.org/10.1093/infdis/jix599</v>
      </c>
      <c r="BG165" s="2"/>
      <c r="BH165" s="2"/>
      <c r="BI165" s="2" t="n">
        <v>10</v>
      </c>
      <c r="BJ165" s="2" t="s">
        <v>536</v>
      </c>
      <c r="BK165" s="2" t="s">
        <v>100</v>
      </c>
      <c r="BL165" s="2" t="s">
        <v>536</v>
      </c>
      <c r="BM165" s="2" t="s">
        <v>3410</v>
      </c>
      <c r="BN165" s="2" t="n">
        <v>29165576</v>
      </c>
      <c r="BO165" s="2" t="s">
        <v>1267</v>
      </c>
      <c r="BP165" s="2"/>
      <c r="BQ165" s="2"/>
      <c r="BR165" s="2" t="s">
        <v>104</v>
      </c>
      <c r="BS165" s="2" t="s">
        <v>3411</v>
      </c>
      <c r="BT165" s="2" t="str">
        <f aca="false">HYPERLINK("https%3A%2F%2Fwww.webofscience.com%2Fwos%2Fwoscc%2Ffull-record%2FWOS:000423169200012","View Full Record in Web of Science")</f>
        <v>View Full Record in Web of Science</v>
      </c>
    </row>
    <row r="166" customFormat="false" ht="12.75" hidden="false" customHeight="false" outlineLevel="0" collapsed="false">
      <c r="A166" s="2" t="s">
        <v>72</v>
      </c>
      <c r="B166" s="2" t="s">
        <v>3412</v>
      </c>
      <c r="C166" s="2"/>
      <c r="D166" s="2"/>
      <c r="E166" s="2"/>
      <c r="F166" s="2" t="s">
        <v>3413</v>
      </c>
      <c r="G166" s="2"/>
      <c r="H166" s="2"/>
      <c r="I166" s="2" t="s">
        <v>3414</v>
      </c>
      <c r="J166" s="2" t="s">
        <v>3415</v>
      </c>
      <c r="K166" s="2"/>
      <c r="L166" s="2"/>
      <c r="M166" s="2" t="s">
        <v>77</v>
      </c>
      <c r="N166" s="2" t="s">
        <v>78</v>
      </c>
      <c r="O166" s="2"/>
      <c r="P166" s="2"/>
      <c r="Q166" s="2"/>
      <c r="R166" s="2"/>
      <c r="S166" s="2"/>
      <c r="T166" s="2" t="s">
        <v>3416</v>
      </c>
      <c r="U166" s="2" t="s">
        <v>3417</v>
      </c>
      <c r="V166" s="2" t="s">
        <v>3418</v>
      </c>
      <c r="W166" s="2" t="s">
        <v>3419</v>
      </c>
      <c r="X166" s="2" t="s">
        <v>3420</v>
      </c>
      <c r="Y166" s="2" t="s">
        <v>3421</v>
      </c>
      <c r="Z166" s="2" t="s">
        <v>3422</v>
      </c>
      <c r="AA166" s="2"/>
      <c r="AB166" s="2" t="s">
        <v>3423</v>
      </c>
      <c r="AC166" s="2" t="s">
        <v>3424</v>
      </c>
      <c r="AD166" s="2" t="s">
        <v>3424</v>
      </c>
      <c r="AE166" s="2" t="s">
        <v>3425</v>
      </c>
      <c r="AF166" s="2"/>
      <c r="AG166" s="2" t="n">
        <v>39</v>
      </c>
      <c r="AH166" s="2" t="n">
        <v>7</v>
      </c>
      <c r="AI166" s="2" t="n">
        <v>7</v>
      </c>
      <c r="AJ166" s="2" t="n">
        <v>0</v>
      </c>
      <c r="AK166" s="2" t="n">
        <v>2</v>
      </c>
      <c r="AL166" s="2" t="s">
        <v>3426</v>
      </c>
      <c r="AM166" s="2" t="s">
        <v>303</v>
      </c>
      <c r="AN166" s="2" t="s">
        <v>3427</v>
      </c>
      <c r="AO166" s="2" t="s">
        <v>3428</v>
      </c>
      <c r="AP166" s="2" t="s">
        <v>3429</v>
      </c>
      <c r="AQ166" s="2"/>
      <c r="AR166" s="2" t="s">
        <v>3430</v>
      </c>
      <c r="AS166" s="2" t="s">
        <v>3431</v>
      </c>
      <c r="AT166" s="2"/>
      <c r="AU166" s="2" t="n">
        <v>2020</v>
      </c>
      <c r="AV166" s="2" t="n">
        <v>69</v>
      </c>
      <c r="AW166" s="2" t="n">
        <v>3</v>
      </c>
      <c r="AX166" s="2"/>
      <c r="AY166" s="2"/>
      <c r="AZ166" s="2"/>
      <c r="BA166" s="2"/>
      <c r="BB166" s="2" t="n">
        <v>427</v>
      </c>
      <c r="BC166" s="2" t="n">
        <v>435</v>
      </c>
      <c r="BD166" s="2"/>
      <c r="BE166" s="2" t="s">
        <v>3432</v>
      </c>
      <c r="BF166" s="2" t="str">
        <f aca="false">HYPERLINK("http://dx.doi.org/10.1099/jmm.0.001133","http://dx.doi.org/10.1099/jmm.0.001133")</f>
        <v>http://dx.doi.org/10.1099/jmm.0.001133</v>
      </c>
      <c r="BG166" s="2"/>
      <c r="BH166" s="2"/>
      <c r="BI166" s="2" t="n">
        <v>9</v>
      </c>
      <c r="BJ166" s="2" t="s">
        <v>211</v>
      </c>
      <c r="BK166" s="2" t="s">
        <v>100</v>
      </c>
      <c r="BL166" s="2" t="s">
        <v>211</v>
      </c>
      <c r="BM166" s="2" t="s">
        <v>3433</v>
      </c>
      <c r="BN166" s="2" t="n">
        <v>32118531</v>
      </c>
      <c r="BO166" s="2" t="s">
        <v>656</v>
      </c>
      <c r="BP166" s="2"/>
      <c r="BQ166" s="2"/>
      <c r="BR166" s="2" t="s">
        <v>104</v>
      </c>
      <c r="BS166" s="2" t="s">
        <v>3434</v>
      </c>
      <c r="BT166" s="2" t="str">
        <f aca="false">HYPERLINK("https%3A%2F%2Fwww.webofscience.com%2Fwos%2Fwoscc%2Ffull-record%2FWOS:000522650900012","View Full Record in Web of Science")</f>
        <v>View Full Record in Web of Science</v>
      </c>
    </row>
    <row r="167" customFormat="false" ht="12.75" hidden="false" customHeight="false" outlineLevel="0" collapsed="false">
      <c r="A167" s="2" t="s">
        <v>72</v>
      </c>
      <c r="B167" s="2" t="s">
        <v>3435</v>
      </c>
      <c r="C167" s="2"/>
      <c r="D167" s="2"/>
      <c r="E167" s="2"/>
      <c r="F167" s="2" t="s">
        <v>3436</v>
      </c>
      <c r="G167" s="2"/>
      <c r="H167" s="2"/>
      <c r="I167" s="2" t="s">
        <v>3437</v>
      </c>
      <c r="J167" s="2" t="s">
        <v>3438</v>
      </c>
      <c r="K167" s="2"/>
      <c r="L167" s="2"/>
      <c r="M167" s="2" t="s">
        <v>77</v>
      </c>
      <c r="N167" s="2" t="s">
        <v>78</v>
      </c>
      <c r="O167" s="2"/>
      <c r="P167" s="2"/>
      <c r="Q167" s="2"/>
      <c r="R167" s="2"/>
      <c r="S167" s="2"/>
      <c r="T167" s="2" t="s">
        <v>3439</v>
      </c>
      <c r="U167" s="2" t="s">
        <v>3440</v>
      </c>
      <c r="V167" s="2" t="s">
        <v>3441</v>
      </c>
      <c r="W167" s="2" t="s">
        <v>3442</v>
      </c>
      <c r="X167" s="2" t="s">
        <v>3443</v>
      </c>
      <c r="Y167" s="2" t="s">
        <v>3444</v>
      </c>
      <c r="Z167" s="2" t="s">
        <v>3445</v>
      </c>
      <c r="AA167" s="2" t="s">
        <v>3446</v>
      </c>
      <c r="AB167" s="2" t="s">
        <v>3447</v>
      </c>
      <c r="AC167" s="2" t="s">
        <v>3448</v>
      </c>
      <c r="AD167" s="2" t="s">
        <v>3449</v>
      </c>
      <c r="AE167" s="2" t="s">
        <v>3450</v>
      </c>
      <c r="AF167" s="2"/>
      <c r="AG167" s="2" t="n">
        <v>24</v>
      </c>
      <c r="AH167" s="2" t="n">
        <v>0</v>
      </c>
      <c r="AI167" s="2" t="n">
        <v>0</v>
      </c>
      <c r="AJ167" s="2" t="n">
        <v>0</v>
      </c>
      <c r="AK167" s="2" t="n">
        <v>1</v>
      </c>
      <c r="AL167" s="2" t="s">
        <v>3451</v>
      </c>
      <c r="AM167" s="2" t="s">
        <v>3452</v>
      </c>
      <c r="AN167" s="2" t="s">
        <v>3453</v>
      </c>
      <c r="AO167" s="2" t="s">
        <v>3454</v>
      </c>
      <c r="AP167" s="2"/>
      <c r="AQ167" s="2"/>
      <c r="AR167" s="2" t="s">
        <v>3455</v>
      </c>
      <c r="AS167" s="2" t="s">
        <v>3456</v>
      </c>
      <c r="AT167" s="2" t="s">
        <v>925</v>
      </c>
      <c r="AU167" s="2" t="n">
        <v>2011</v>
      </c>
      <c r="AV167" s="2" t="n">
        <v>44</v>
      </c>
      <c r="AW167" s="2" t="n">
        <v>1</v>
      </c>
      <c r="AX167" s="2"/>
      <c r="AY167" s="2"/>
      <c r="AZ167" s="2"/>
      <c r="BA167" s="2"/>
      <c r="BB167" s="2"/>
      <c r="BC167" s="2"/>
      <c r="BD167" s="2"/>
      <c r="BE167" s="2"/>
      <c r="BF167" s="2"/>
      <c r="BG167" s="2"/>
      <c r="BH167" s="2"/>
      <c r="BI167" s="2" t="n">
        <v>4</v>
      </c>
      <c r="BJ167" s="2" t="s">
        <v>3199</v>
      </c>
      <c r="BK167" s="2" t="s">
        <v>100</v>
      </c>
      <c r="BL167" s="2" t="s">
        <v>3199</v>
      </c>
      <c r="BM167" s="2" t="s">
        <v>3457</v>
      </c>
      <c r="BN167" s="2"/>
      <c r="BO167" s="2"/>
      <c r="BP167" s="2"/>
      <c r="BQ167" s="2"/>
      <c r="BR167" s="2" t="s">
        <v>104</v>
      </c>
      <c r="BS167" s="2" t="s">
        <v>3458</v>
      </c>
      <c r="BT167" s="2" t="str">
        <f aca="false">HYPERLINK("https%3A%2F%2Fwww.webofscience.com%2Fwos%2Fwoscc%2Ffull-record%2FWOS:000287536100005","View Full Record in Web of Science")</f>
        <v>View Full Record in Web of Science</v>
      </c>
    </row>
    <row r="168" customFormat="false" ht="12.75" hidden="false" customHeight="false" outlineLevel="0" collapsed="false">
      <c r="A168" s="2" t="s">
        <v>72</v>
      </c>
      <c r="B168" s="2" t="s">
        <v>3459</v>
      </c>
      <c r="C168" s="2"/>
      <c r="D168" s="2"/>
      <c r="E168" s="2"/>
      <c r="F168" s="2" t="s">
        <v>3460</v>
      </c>
      <c r="G168" s="2"/>
      <c r="H168" s="2"/>
      <c r="I168" s="2" t="s">
        <v>3461</v>
      </c>
      <c r="J168" s="2" t="s">
        <v>1448</v>
      </c>
      <c r="K168" s="2"/>
      <c r="L168" s="2"/>
      <c r="M168" s="2" t="s">
        <v>77</v>
      </c>
      <c r="N168" s="2" t="s">
        <v>78</v>
      </c>
      <c r="O168" s="2"/>
      <c r="P168" s="2"/>
      <c r="Q168" s="2"/>
      <c r="R168" s="2"/>
      <c r="S168" s="2"/>
      <c r="T168" s="2" t="s">
        <v>3462</v>
      </c>
      <c r="U168" s="2" t="s">
        <v>3463</v>
      </c>
      <c r="V168" s="2" t="s">
        <v>3464</v>
      </c>
      <c r="W168" s="2" t="s">
        <v>3465</v>
      </c>
      <c r="X168" s="2" t="s">
        <v>3466</v>
      </c>
      <c r="Y168" s="2" t="s">
        <v>3467</v>
      </c>
      <c r="Z168" s="2" t="s">
        <v>3468</v>
      </c>
      <c r="AA168" s="2"/>
      <c r="AB168" s="2" t="s">
        <v>3469</v>
      </c>
      <c r="AC168" s="2" t="s">
        <v>3470</v>
      </c>
      <c r="AD168" s="2" t="s">
        <v>3470</v>
      </c>
      <c r="AE168" s="2" t="s">
        <v>3471</v>
      </c>
      <c r="AF168" s="2"/>
      <c r="AG168" s="2" t="n">
        <v>17</v>
      </c>
      <c r="AH168" s="2" t="n">
        <v>3</v>
      </c>
      <c r="AI168" s="2" t="n">
        <v>3</v>
      </c>
      <c r="AJ168" s="2" t="n">
        <v>0</v>
      </c>
      <c r="AK168" s="2" t="n">
        <v>3</v>
      </c>
      <c r="AL168" s="2" t="s">
        <v>1460</v>
      </c>
      <c r="AM168" s="2" t="s">
        <v>593</v>
      </c>
      <c r="AN168" s="2" t="s">
        <v>2088</v>
      </c>
      <c r="AO168" s="2" t="s">
        <v>1462</v>
      </c>
      <c r="AP168" s="2" t="s">
        <v>1463</v>
      </c>
      <c r="AQ168" s="2"/>
      <c r="AR168" s="2" t="s">
        <v>1464</v>
      </c>
      <c r="AS168" s="2" t="s">
        <v>1465</v>
      </c>
      <c r="AT168" s="2" t="s">
        <v>97</v>
      </c>
      <c r="AU168" s="2" t="n">
        <v>2012</v>
      </c>
      <c r="AV168" s="2" t="n">
        <v>72</v>
      </c>
      <c r="AW168" s="2" t="n">
        <v>3</v>
      </c>
      <c r="AX168" s="2"/>
      <c r="AY168" s="2"/>
      <c r="AZ168" s="2"/>
      <c r="BA168" s="2"/>
      <c r="BB168" s="2" t="n">
        <v>278</v>
      </c>
      <c r="BC168" s="2" t="n">
        <v>281</v>
      </c>
      <c r="BD168" s="2"/>
      <c r="BE168" s="2" t="s">
        <v>3472</v>
      </c>
      <c r="BF168" s="2" t="str">
        <f aca="false">HYPERLINK("http://dx.doi.org/10.1016/j.diagmicrobio.2011.11.005","http://dx.doi.org/10.1016/j.diagmicrobio.2011.11.005")</f>
        <v>http://dx.doi.org/10.1016/j.diagmicrobio.2011.11.005</v>
      </c>
      <c r="BG168" s="2"/>
      <c r="BH168" s="2"/>
      <c r="BI168" s="2" t="n">
        <v>4</v>
      </c>
      <c r="BJ168" s="2" t="s">
        <v>1467</v>
      </c>
      <c r="BK168" s="2" t="s">
        <v>100</v>
      </c>
      <c r="BL168" s="2" t="s">
        <v>1467</v>
      </c>
      <c r="BM168" s="2" t="s">
        <v>3473</v>
      </c>
      <c r="BN168" s="2" t="n">
        <v>22209513</v>
      </c>
      <c r="BO168" s="2" t="s">
        <v>1089</v>
      </c>
      <c r="BP168" s="2"/>
      <c r="BQ168" s="2"/>
      <c r="BR168" s="2" t="s">
        <v>104</v>
      </c>
      <c r="BS168" s="2" t="s">
        <v>3474</v>
      </c>
      <c r="BT168" s="2" t="str">
        <f aca="false">HYPERLINK("https%3A%2F%2Fwww.webofscience.com%2Fwos%2Fwoscc%2Ffull-record%2FWOS:000300478500014","View Full Record in Web of Science")</f>
        <v>View Full Record in Web of Science</v>
      </c>
    </row>
    <row r="169" customFormat="false" ht="12.75" hidden="false" customHeight="false" outlineLevel="0" collapsed="false">
      <c r="A169" s="2" t="s">
        <v>72</v>
      </c>
      <c r="B169" s="2" t="s">
        <v>3475</v>
      </c>
      <c r="C169" s="2"/>
      <c r="D169" s="2"/>
      <c r="E169" s="2"/>
      <c r="F169" s="2" t="s">
        <v>3476</v>
      </c>
      <c r="G169" s="2"/>
      <c r="H169" s="2"/>
      <c r="I169" s="2" t="s">
        <v>3477</v>
      </c>
      <c r="J169" s="2" t="s">
        <v>2095</v>
      </c>
      <c r="K169" s="2"/>
      <c r="L169" s="2"/>
      <c r="M169" s="2" t="s">
        <v>77</v>
      </c>
      <c r="N169" s="2" t="s">
        <v>78</v>
      </c>
      <c r="O169" s="2"/>
      <c r="P169" s="2"/>
      <c r="Q169" s="2"/>
      <c r="R169" s="2"/>
      <c r="S169" s="2"/>
      <c r="T169" s="2" t="s">
        <v>3478</v>
      </c>
      <c r="U169" s="2" t="s">
        <v>3479</v>
      </c>
      <c r="V169" s="2" t="s">
        <v>3480</v>
      </c>
      <c r="W169" s="2" t="s">
        <v>3481</v>
      </c>
      <c r="X169" s="2" t="s">
        <v>1697</v>
      </c>
      <c r="Y169" s="2" t="s">
        <v>3482</v>
      </c>
      <c r="Z169" s="2" t="s">
        <v>3483</v>
      </c>
      <c r="AA169" s="2" t="s">
        <v>3484</v>
      </c>
      <c r="AB169" s="2" t="s">
        <v>3485</v>
      </c>
      <c r="AC169" s="2" t="s">
        <v>3486</v>
      </c>
      <c r="AD169" s="2" t="s">
        <v>3487</v>
      </c>
      <c r="AE169" s="2" t="s">
        <v>3488</v>
      </c>
      <c r="AF169" s="2"/>
      <c r="AG169" s="2" t="n">
        <v>46</v>
      </c>
      <c r="AH169" s="2" t="n">
        <v>5</v>
      </c>
      <c r="AI169" s="2" t="n">
        <v>6</v>
      </c>
      <c r="AJ169" s="2" t="n">
        <v>0</v>
      </c>
      <c r="AK169" s="2" t="n">
        <v>0</v>
      </c>
      <c r="AL169" s="2" t="s">
        <v>2105</v>
      </c>
      <c r="AM169" s="2" t="s">
        <v>303</v>
      </c>
      <c r="AN169" s="2" t="s">
        <v>2106</v>
      </c>
      <c r="AO169" s="2" t="s">
        <v>2107</v>
      </c>
      <c r="AP169" s="2" t="s">
        <v>2108</v>
      </c>
      <c r="AQ169" s="2"/>
      <c r="AR169" s="2" t="s">
        <v>2109</v>
      </c>
      <c r="AS169" s="2" t="s">
        <v>2110</v>
      </c>
      <c r="AT169" s="2" t="s">
        <v>252</v>
      </c>
      <c r="AU169" s="2" t="n">
        <v>2015</v>
      </c>
      <c r="AV169" s="2" t="n">
        <v>8</v>
      </c>
      <c r="AW169" s="2" t="n">
        <v>5</v>
      </c>
      <c r="AX169" s="2"/>
      <c r="AY169" s="2"/>
      <c r="AZ169" s="2"/>
      <c r="BA169" s="2"/>
      <c r="BB169" s="2" t="n">
        <v>448</v>
      </c>
      <c r="BC169" s="2" t="n">
        <v>457</v>
      </c>
      <c r="BD169" s="2"/>
      <c r="BE169" s="2" t="s">
        <v>3489</v>
      </c>
      <c r="BF169" s="2" t="str">
        <f aca="false">HYPERLINK("http://dx.doi.org/10.1016/j.jiph.2015.01.008","http://dx.doi.org/10.1016/j.jiph.2015.01.008")</f>
        <v>http://dx.doi.org/10.1016/j.jiph.2015.01.008</v>
      </c>
      <c r="BG169" s="2"/>
      <c r="BH169" s="2"/>
      <c r="BI169" s="2" t="n">
        <v>10</v>
      </c>
      <c r="BJ169" s="2" t="s">
        <v>2113</v>
      </c>
      <c r="BK169" s="2" t="s">
        <v>100</v>
      </c>
      <c r="BL169" s="2" t="s">
        <v>2113</v>
      </c>
      <c r="BM169" s="2" t="s">
        <v>3490</v>
      </c>
      <c r="BN169" s="2" t="n">
        <v>25773766</v>
      </c>
      <c r="BO169" s="2" t="s">
        <v>656</v>
      </c>
      <c r="BP169" s="2"/>
      <c r="BQ169" s="2"/>
      <c r="BR169" s="2" t="s">
        <v>104</v>
      </c>
      <c r="BS169" s="2" t="s">
        <v>3491</v>
      </c>
      <c r="BT169" s="2" t="str">
        <f aca="false">HYPERLINK("https%3A%2F%2Fwww.webofscience.com%2Fwos%2Fwoscc%2Ffull-record%2FWOS:000360865900007","View Full Record in Web of Science")</f>
        <v>View Full Record in Web of Science</v>
      </c>
    </row>
    <row r="170" customFormat="false" ht="12.75" hidden="false" customHeight="false" outlineLevel="0" collapsed="false">
      <c r="A170" s="2" t="s">
        <v>72</v>
      </c>
      <c r="B170" s="2" t="s">
        <v>3492</v>
      </c>
      <c r="C170" s="2"/>
      <c r="D170" s="2"/>
      <c r="E170" s="2"/>
      <c r="F170" s="2" t="s">
        <v>3492</v>
      </c>
      <c r="G170" s="2"/>
      <c r="H170" s="2"/>
      <c r="I170" s="2" t="s">
        <v>3493</v>
      </c>
      <c r="J170" s="2" t="s">
        <v>2713</v>
      </c>
      <c r="K170" s="2"/>
      <c r="L170" s="2"/>
      <c r="M170" s="2" t="s">
        <v>77</v>
      </c>
      <c r="N170" s="2" t="s">
        <v>78</v>
      </c>
      <c r="O170" s="2"/>
      <c r="P170" s="2"/>
      <c r="Q170" s="2"/>
      <c r="R170" s="2"/>
      <c r="S170" s="2"/>
      <c r="T170" s="2" t="s">
        <v>3494</v>
      </c>
      <c r="U170" s="2" t="s">
        <v>3495</v>
      </c>
      <c r="V170" s="2" t="s">
        <v>3496</v>
      </c>
      <c r="W170" s="2" t="s">
        <v>3497</v>
      </c>
      <c r="X170" s="2" t="s">
        <v>3498</v>
      </c>
      <c r="Y170" s="2" t="s">
        <v>3499</v>
      </c>
      <c r="Z170" s="2" t="s">
        <v>3500</v>
      </c>
      <c r="AA170" s="2" t="s">
        <v>3501</v>
      </c>
      <c r="AB170" s="2" t="s">
        <v>3502</v>
      </c>
      <c r="AC170" s="2"/>
      <c r="AD170" s="2"/>
      <c r="AE170" s="2"/>
      <c r="AF170" s="2"/>
      <c r="AG170" s="2" t="n">
        <v>69</v>
      </c>
      <c r="AH170" s="2" t="n">
        <v>169</v>
      </c>
      <c r="AI170" s="2" t="n">
        <v>174</v>
      </c>
      <c r="AJ170" s="2" t="n">
        <v>0</v>
      </c>
      <c r="AK170" s="2" t="n">
        <v>7</v>
      </c>
      <c r="AL170" s="2" t="s">
        <v>1460</v>
      </c>
      <c r="AM170" s="2" t="s">
        <v>593</v>
      </c>
      <c r="AN170" s="2" t="s">
        <v>2088</v>
      </c>
      <c r="AO170" s="2" t="s">
        <v>2726</v>
      </c>
      <c r="AP170" s="2" t="s">
        <v>2727</v>
      </c>
      <c r="AQ170" s="2"/>
      <c r="AR170" s="2" t="s">
        <v>2728</v>
      </c>
      <c r="AS170" s="2" t="s">
        <v>2729</v>
      </c>
      <c r="AT170" s="2" t="s">
        <v>336</v>
      </c>
      <c r="AU170" s="2" t="n">
        <v>2005</v>
      </c>
      <c r="AV170" s="2" t="n">
        <v>11</v>
      </c>
      <c r="AW170" s="2" t="n">
        <v>10</v>
      </c>
      <c r="AX170" s="2"/>
      <c r="AY170" s="2"/>
      <c r="AZ170" s="2"/>
      <c r="BA170" s="2"/>
      <c r="BB170" s="2" t="n">
        <v>781</v>
      </c>
      <c r="BC170" s="2" t="n">
        <v>796</v>
      </c>
      <c r="BD170" s="2"/>
      <c r="BE170" s="2" t="s">
        <v>3503</v>
      </c>
      <c r="BF170" s="2" t="str">
        <f aca="false">HYPERLINK("http://dx.doi.org/10.1016/j.bbmt.2005.07.007","http://dx.doi.org/10.1016/j.bbmt.2005.07.007")</f>
        <v>http://dx.doi.org/10.1016/j.bbmt.2005.07.007</v>
      </c>
      <c r="BG170" s="2"/>
      <c r="BH170" s="2"/>
      <c r="BI170" s="2" t="n">
        <v>16</v>
      </c>
      <c r="BJ170" s="2" t="s">
        <v>2731</v>
      </c>
      <c r="BK170" s="2" t="s">
        <v>100</v>
      </c>
      <c r="BL170" s="2" t="s">
        <v>2731</v>
      </c>
      <c r="BM170" s="2" t="s">
        <v>3504</v>
      </c>
      <c r="BN170" s="2" t="n">
        <v>16182179</v>
      </c>
      <c r="BO170" s="2" t="s">
        <v>3505</v>
      </c>
      <c r="BP170" s="2"/>
      <c r="BQ170" s="2"/>
      <c r="BR170" s="2" t="s">
        <v>104</v>
      </c>
      <c r="BS170" s="2" t="s">
        <v>3506</v>
      </c>
      <c r="BT170" s="2" t="str">
        <f aca="false">HYPERLINK("https%3A%2F%2Fwww.webofscience.com%2Fwos%2Fwoscc%2Ffull-record%2FWOS:000232731800005","View Full Record in Web of Science")</f>
        <v>View Full Record in Web of Science</v>
      </c>
    </row>
    <row r="171" customFormat="false" ht="12.75" hidden="false" customHeight="false" outlineLevel="0" collapsed="false">
      <c r="A171" s="2" t="s">
        <v>72</v>
      </c>
      <c r="B171" s="2" t="s">
        <v>3507</v>
      </c>
      <c r="C171" s="2"/>
      <c r="D171" s="2"/>
      <c r="E171" s="2"/>
      <c r="F171" s="2" t="s">
        <v>3508</v>
      </c>
      <c r="G171" s="2"/>
      <c r="H171" s="2"/>
      <c r="I171" s="2" t="s">
        <v>3509</v>
      </c>
      <c r="J171" s="2" t="s">
        <v>493</v>
      </c>
      <c r="K171" s="2"/>
      <c r="L171" s="2"/>
      <c r="M171" s="2" t="s">
        <v>77</v>
      </c>
      <c r="N171" s="2" t="s">
        <v>78</v>
      </c>
      <c r="O171" s="2"/>
      <c r="P171" s="2"/>
      <c r="Q171" s="2"/>
      <c r="R171" s="2"/>
      <c r="S171" s="2"/>
      <c r="T171" s="2" t="s">
        <v>3510</v>
      </c>
      <c r="U171" s="2" t="s">
        <v>3511</v>
      </c>
      <c r="V171" s="2" t="s">
        <v>3512</v>
      </c>
      <c r="W171" s="2" t="s">
        <v>3513</v>
      </c>
      <c r="X171" s="2" t="s">
        <v>3514</v>
      </c>
      <c r="Y171" s="2" t="s">
        <v>3515</v>
      </c>
      <c r="Z171" s="2" t="s">
        <v>3516</v>
      </c>
      <c r="AA171" s="2"/>
      <c r="AB171" s="2" t="s">
        <v>3517</v>
      </c>
      <c r="AC171" s="2" t="s">
        <v>3518</v>
      </c>
      <c r="AD171" s="2" t="s">
        <v>3519</v>
      </c>
      <c r="AE171" s="2" t="s">
        <v>3520</v>
      </c>
      <c r="AF171" s="2"/>
      <c r="AG171" s="2" t="n">
        <v>35</v>
      </c>
      <c r="AH171" s="2" t="n">
        <v>26</v>
      </c>
      <c r="AI171" s="2" t="n">
        <v>27</v>
      </c>
      <c r="AJ171" s="2" t="n">
        <v>0</v>
      </c>
      <c r="AK171" s="2" t="n">
        <v>16</v>
      </c>
      <c r="AL171" s="2" t="s">
        <v>91</v>
      </c>
      <c r="AM171" s="2" t="s">
        <v>92</v>
      </c>
      <c r="AN171" s="2" t="s">
        <v>93</v>
      </c>
      <c r="AO171" s="2"/>
      <c r="AP171" s="2" t="s">
        <v>506</v>
      </c>
      <c r="AQ171" s="2"/>
      <c r="AR171" s="2" t="s">
        <v>493</v>
      </c>
      <c r="AS171" s="2" t="s">
        <v>507</v>
      </c>
      <c r="AT171" s="2" t="s">
        <v>97</v>
      </c>
      <c r="AU171" s="2" t="n">
        <v>2014</v>
      </c>
      <c r="AV171" s="2" t="n">
        <v>6</v>
      </c>
      <c r="AW171" s="2" t="n">
        <v>3</v>
      </c>
      <c r="AX171" s="2"/>
      <c r="AY171" s="2"/>
      <c r="AZ171" s="2"/>
      <c r="BA171" s="2"/>
      <c r="BB171" s="2" t="n">
        <v>1442</v>
      </c>
      <c r="BC171" s="2" t="n">
        <v>1453</v>
      </c>
      <c r="BD171" s="2"/>
      <c r="BE171" s="2" t="s">
        <v>3521</v>
      </c>
      <c r="BF171" s="2" t="str">
        <f aca="false">HYPERLINK("http://dx.doi.org/10.3390/v6031442","http://dx.doi.org/10.3390/v6031442")</f>
        <v>http://dx.doi.org/10.3390/v6031442</v>
      </c>
      <c r="BG171" s="2"/>
      <c r="BH171" s="2"/>
      <c r="BI171" s="2" t="n">
        <v>12</v>
      </c>
      <c r="BJ171" s="2" t="s">
        <v>163</v>
      </c>
      <c r="BK171" s="2" t="s">
        <v>100</v>
      </c>
      <c r="BL171" s="2" t="s">
        <v>163</v>
      </c>
      <c r="BM171" s="2" t="s">
        <v>3522</v>
      </c>
      <c r="BN171" s="2" t="n">
        <v>24662675</v>
      </c>
      <c r="BO171" s="2" t="s">
        <v>341</v>
      </c>
      <c r="BP171" s="2"/>
      <c r="BQ171" s="2"/>
      <c r="BR171" s="2" t="s">
        <v>104</v>
      </c>
      <c r="BS171" s="2" t="s">
        <v>3523</v>
      </c>
      <c r="BT171" s="2" t="str">
        <f aca="false">HYPERLINK("https%3A%2F%2Fwww.webofscience.com%2Fwos%2Fwoscc%2Ffull-record%2FWOS:000335756100028","View Full Record in Web of Science")</f>
        <v>View Full Record in Web of Science</v>
      </c>
    </row>
    <row r="172" customFormat="false" ht="12.75" hidden="false" customHeight="false" outlineLevel="0" collapsed="false">
      <c r="A172" s="2" t="s">
        <v>72</v>
      </c>
      <c r="B172" s="2" t="s">
        <v>3524</v>
      </c>
      <c r="C172" s="2"/>
      <c r="D172" s="2"/>
      <c r="E172" s="2"/>
      <c r="F172" s="2" t="s">
        <v>3525</v>
      </c>
      <c r="G172" s="2"/>
      <c r="H172" s="2"/>
      <c r="I172" s="2" t="s">
        <v>3526</v>
      </c>
      <c r="J172" s="2" t="s">
        <v>770</v>
      </c>
      <c r="K172" s="2"/>
      <c r="L172" s="2"/>
      <c r="M172" s="2" t="s">
        <v>77</v>
      </c>
      <c r="N172" s="2" t="s">
        <v>78</v>
      </c>
      <c r="O172" s="2"/>
      <c r="P172" s="2"/>
      <c r="Q172" s="2"/>
      <c r="R172" s="2"/>
      <c r="S172" s="2"/>
      <c r="T172" s="2" t="s">
        <v>3527</v>
      </c>
      <c r="U172" s="2" t="s">
        <v>3528</v>
      </c>
      <c r="V172" s="2" t="s">
        <v>3529</v>
      </c>
      <c r="W172" s="2" t="s">
        <v>3530</v>
      </c>
      <c r="X172" s="2" t="s">
        <v>3531</v>
      </c>
      <c r="Y172" s="2" t="s">
        <v>3532</v>
      </c>
      <c r="Z172" s="2" t="s">
        <v>3533</v>
      </c>
      <c r="AA172" s="2" t="s">
        <v>3534</v>
      </c>
      <c r="AB172" s="2" t="s">
        <v>3535</v>
      </c>
      <c r="AC172" s="2" t="s">
        <v>3536</v>
      </c>
      <c r="AD172" s="2" t="s">
        <v>3537</v>
      </c>
      <c r="AE172" s="2" t="s">
        <v>3538</v>
      </c>
      <c r="AF172" s="2"/>
      <c r="AG172" s="2" t="n">
        <v>36</v>
      </c>
      <c r="AH172" s="2" t="n">
        <v>15</v>
      </c>
      <c r="AI172" s="2" t="n">
        <v>17</v>
      </c>
      <c r="AJ172" s="2" t="n">
        <v>2</v>
      </c>
      <c r="AK172" s="2" t="n">
        <v>22</v>
      </c>
      <c r="AL172" s="2" t="s">
        <v>782</v>
      </c>
      <c r="AM172" s="2" t="s">
        <v>783</v>
      </c>
      <c r="AN172" s="2" t="s">
        <v>784</v>
      </c>
      <c r="AO172" s="2" t="s">
        <v>785</v>
      </c>
      <c r="AP172" s="2" t="s">
        <v>786</v>
      </c>
      <c r="AQ172" s="2"/>
      <c r="AR172" s="2" t="s">
        <v>787</v>
      </c>
      <c r="AS172" s="2" t="s">
        <v>788</v>
      </c>
      <c r="AT172" s="2" t="s">
        <v>129</v>
      </c>
      <c r="AU172" s="2" t="n">
        <v>2020</v>
      </c>
      <c r="AV172" s="2" t="n">
        <v>98</v>
      </c>
      <c r="AW172" s="2"/>
      <c r="AX172" s="2"/>
      <c r="AY172" s="2"/>
      <c r="AZ172" s="2"/>
      <c r="BA172" s="2"/>
      <c r="BB172" s="2" t="n">
        <v>21</v>
      </c>
      <c r="BC172" s="2" t="n">
        <v>32</v>
      </c>
      <c r="BD172" s="2"/>
      <c r="BE172" s="2" t="s">
        <v>3539</v>
      </c>
      <c r="BF172" s="2" t="str">
        <f aca="false">HYPERLINK("http://dx.doi.org/10.1016/j.ijid.2020.06.051","http://dx.doi.org/10.1016/j.ijid.2020.06.051")</f>
        <v>http://dx.doi.org/10.1016/j.ijid.2020.06.051</v>
      </c>
      <c r="BG172" s="2"/>
      <c r="BH172" s="2"/>
      <c r="BI172" s="2" t="n">
        <v>12</v>
      </c>
      <c r="BJ172" s="2" t="s">
        <v>575</v>
      </c>
      <c r="BK172" s="2" t="s">
        <v>100</v>
      </c>
      <c r="BL172" s="2" t="s">
        <v>575</v>
      </c>
      <c r="BM172" s="2" t="s">
        <v>3540</v>
      </c>
      <c r="BN172" s="2" t="n">
        <v>32562851</v>
      </c>
      <c r="BO172" s="2" t="s">
        <v>1355</v>
      </c>
      <c r="BP172" s="2"/>
      <c r="BQ172" s="2"/>
      <c r="BR172" s="2" t="s">
        <v>104</v>
      </c>
      <c r="BS172" s="2" t="s">
        <v>3541</v>
      </c>
      <c r="BT172" s="2" t="str">
        <f aca="false">HYPERLINK("https%3A%2F%2Fwww.webofscience.com%2Fwos%2Fwoscc%2Ffull-record%2FWOS:000569065100006","View Full Record in Web of Science")</f>
        <v>View Full Record in Web of Science</v>
      </c>
    </row>
    <row r="173" customFormat="false" ht="12.75" hidden="false" customHeight="false" outlineLevel="0" collapsed="false">
      <c r="A173" s="2" t="s">
        <v>72</v>
      </c>
      <c r="B173" s="2" t="s">
        <v>3542</v>
      </c>
      <c r="C173" s="2"/>
      <c r="D173" s="2"/>
      <c r="E173" s="2"/>
      <c r="F173" s="2" t="s">
        <v>3543</v>
      </c>
      <c r="G173" s="2"/>
      <c r="H173" s="2"/>
      <c r="I173" s="2" t="s">
        <v>3544</v>
      </c>
      <c r="J173" s="2" t="s">
        <v>3545</v>
      </c>
      <c r="K173" s="2"/>
      <c r="L173" s="2"/>
      <c r="M173" s="2" t="s">
        <v>77</v>
      </c>
      <c r="N173" s="2" t="s">
        <v>78</v>
      </c>
      <c r="O173" s="2"/>
      <c r="P173" s="2"/>
      <c r="Q173" s="2"/>
      <c r="R173" s="2"/>
      <c r="S173" s="2"/>
      <c r="T173" s="2" t="s">
        <v>3546</v>
      </c>
      <c r="U173" s="2"/>
      <c r="V173" s="2" t="s">
        <v>3547</v>
      </c>
      <c r="W173" s="2" t="s">
        <v>3548</v>
      </c>
      <c r="X173" s="2" t="s">
        <v>3549</v>
      </c>
      <c r="Y173" s="2" t="s">
        <v>3550</v>
      </c>
      <c r="Z173" s="2" t="s">
        <v>3551</v>
      </c>
      <c r="AA173" s="2" t="s">
        <v>3552</v>
      </c>
      <c r="AB173" s="2" t="s">
        <v>3553</v>
      </c>
      <c r="AC173" s="2" t="s">
        <v>3554</v>
      </c>
      <c r="AD173" s="2" t="s">
        <v>3555</v>
      </c>
      <c r="AE173" s="2" t="s">
        <v>3556</v>
      </c>
      <c r="AF173" s="2"/>
      <c r="AG173" s="2" t="n">
        <v>26</v>
      </c>
      <c r="AH173" s="2" t="n">
        <v>0</v>
      </c>
      <c r="AI173" s="2" t="n">
        <v>0</v>
      </c>
      <c r="AJ173" s="2" t="n">
        <v>0</v>
      </c>
      <c r="AK173" s="2" t="n">
        <v>1</v>
      </c>
      <c r="AL173" s="2" t="s">
        <v>3557</v>
      </c>
      <c r="AM173" s="2" t="s">
        <v>330</v>
      </c>
      <c r="AN173" s="2" t="s">
        <v>3558</v>
      </c>
      <c r="AO173" s="2" t="s">
        <v>3559</v>
      </c>
      <c r="AP173" s="2" t="s">
        <v>3560</v>
      </c>
      <c r="AQ173" s="2"/>
      <c r="AR173" s="2" t="s">
        <v>3561</v>
      </c>
      <c r="AS173" s="2" t="s">
        <v>3562</v>
      </c>
      <c r="AT173" s="2" t="s">
        <v>3563</v>
      </c>
      <c r="AU173" s="2" t="n">
        <v>2024</v>
      </c>
      <c r="AV173" s="2" t="n">
        <v>39</v>
      </c>
      <c r="AW173" s="2" t="n">
        <v>19</v>
      </c>
      <c r="AX173" s="2"/>
      <c r="AY173" s="2"/>
      <c r="AZ173" s="2"/>
      <c r="BA173" s="2"/>
      <c r="BB173" s="2"/>
      <c r="BC173" s="2"/>
      <c r="BD173" s="2" t="s">
        <v>3564</v>
      </c>
      <c r="BE173" s="2" t="s">
        <v>3565</v>
      </c>
      <c r="BF173" s="2" t="str">
        <f aca="false">HYPERLINK("http://dx.doi.org/10.3346/jkms.2024.39.e171","http://dx.doi.org/10.3346/jkms.2024.39.e171")</f>
        <v>http://dx.doi.org/10.3346/jkms.2024.39.e171</v>
      </c>
      <c r="BG173" s="2"/>
      <c r="BH173" s="2"/>
      <c r="BI173" s="2" t="n">
        <v>10</v>
      </c>
      <c r="BJ173" s="2" t="s">
        <v>363</v>
      </c>
      <c r="BK173" s="2" t="s">
        <v>100</v>
      </c>
      <c r="BL173" s="2" t="s">
        <v>364</v>
      </c>
      <c r="BM173" s="2" t="s">
        <v>3566</v>
      </c>
      <c r="BN173" s="2" t="n">
        <v>38769924</v>
      </c>
      <c r="BO173" s="2" t="s">
        <v>3567</v>
      </c>
      <c r="BP173" s="2"/>
      <c r="BQ173" s="2"/>
      <c r="BR173" s="2" t="s">
        <v>104</v>
      </c>
      <c r="BS173" s="2" t="s">
        <v>3568</v>
      </c>
      <c r="BT173" s="2" t="str">
        <f aca="false">HYPERLINK("https%3A%2F%2Fwww.webofscience.com%2Fwos%2Fwoscc%2Ffull-record%2FWOS:001239180000001","View Full Record in Web of Science")</f>
        <v>View Full Record in Web of Science</v>
      </c>
    </row>
    <row r="174" customFormat="false" ht="12.75" hidden="false" customHeight="false" outlineLevel="0" collapsed="false">
      <c r="A174" s="2" t="s">
        <v>72</v>
      </c>
      <c r="B174" s="2" t="s">
        <v>3569</v>
      </c>
      <c r="C174" s="2"/>
      <c r="D174" s="2"/>
      <c r="E174" s="2"/>
      <c r="F174" s="2" t="s">
        <v>3570</v>
      </c>
      <c r="G174" s="2"/>
      <c r="H174" s="2"/>
      <c r="I174" s="2" t="s">
        <v>3571</v>
      </c>
      <c r="J174" s="2" t="s">
        <v>3572</v>
      </c>
      <c r="K174" s="2"/>
      <c r="L174" s="2"/>
      <c r="M174" s="2" t="s">
        <v>77</v>
      </c>
      <c r="N174" s="2" t="s">
        <v>78</v>
      </c>
      <c r="O174" s="2"/>
      <c r="P174" s="2"/>
      <c r="Q174" s="2"/>
      <c r="R174" s="2"/>
      <c r="S174" s="2"/>
      <c r="T174" s="2" t="s">
        <v>3573</v>
      </c>
      <c r="U174" s="2" t="s">
        <v>889</v>
      </c>
      <c r="V174" s="2" t="s">
        <v>3574</v>
      </c>
      <c r="W174" s="2" t="s">
        <v>3575</v>
      </c>
      <c r="X174" s="2" t="s">
        <v>3576</v>
      </c>
      <c r="Y174" s="2" t="s">
        <v>3577</v>
      </c>
      <c r="Z174" s="2" t="s">
        <v>3578</v>
      </c>
      <c r="AA174" s="2" t="s">
        <v>3579</v>
      </c>
      <c r="AB174" s="2" t="s">
        <v>3580</v>
      </c>
      <c r="AC174" s="2" t="s">
        <v>3581</v>
      </c>
      <c r="AD174" s="2" t="s">
        <v>3582</v>
      </c>
      <c r="AE174" s="2" t="s">
        <v>3583</v>
      </c>
      <c r="AF174" s="2"/>
      <c r="AG174" s="2" t="n">
        <v>32</v>
      </c>
      <c r="AH174" s="2" t="n">
        <v>0</v>
      </c>
      <c r="AI174" s="2" t="n">
        <v>0</v>
      </c>
      <c r="AJ174" s="2" t="n">
        <v>1</v>
      </c>
      <c r="AK174" s="2" t="n">
        <v>1</v>
      </c>
      <c r="AL174" s="2" t="s">
        <v>3584</v>
      </c>
      <c r="AM174" s="2" t="s">
        <v>303</v>
      </c>
      <c r="AN174" s="2" t="s">
        <v>3585</v>
      </c>
      <c r="AO174" s="2" t="s">
        <v>3586</v>
      </c>
      <c r="AP174" s="2" t="s">
        <v>3587</v>
      </c>
      <c r="AQ174" s="2"/>
      <c r="AR174" s="2" t="s">
        <v>3572</v>
      </c>
      <c r="AS174" s="2" t="s">
        <v>3588</v>
      </c>
      <c r="AT174" s="2" t="s">
        <v>161</v>
      </c>
      <c r="AU174" s="2" t="n">
        <v>2024</v>
      </c>
      <c r="AV174" s="2" t="n">
        <v>226</v>
      </c>
      <c r="AW174" s="2"/>
      <c r="AX174" s="2"/>
      <c r="AY174" s="2"/>
      <c r="AZ174" s="2"/>
      <c r="BA174" s="2"/>
      <c r="BB174" s="2" t="n">
        <v>159</v>
      </c>
      <c r="BC174" s="2" t="n">
        <v>164</v>
      </c>
      <c r="BD174" s="2"/>
      <c r="BE174" s="2" t="s">
        <v>3589</v>
      </c>
      <c r="BF174" s="2" t="str">
        <f aca="false">HYPERLINK("http://dx.doi.org/10.1016/j.puhe.2023.11.021","http://dx.doi.org/10.1016/j.puhe.2023.11.021")</f>
        <v>http://dx.doi.org/10.1016/j.puhe.2023.11.021</v>
      </c>
      <c r="BG174" s="2"/>
      <c r="BH174" s="2" t="s">
        <v>3590</v>
      </c>
      <c r="BI174" s="2" t="n">
        <v>6</v>
      </c>
      <c r="BJ174" s="2" t="s">
        <v>1353</v>
      </c>
      <c r="BK174" s="2" t="s">
        <v>1086</v>
      </c>
      <c r="BL174" s="2" t="s">
        <v>1353</v>
      </c>
      <c r="BM174" s="2" t="s">
        <v>3591</v>
      </c>
      <c r="BN174" s="2" t="n">
        <v>38071948</v>
      </c>
      <c r="BO174" s="2"/>
      <c r="BP174" s="2"/>
      <c r="BQ174" s="2"/>
      <c r="BR174" s="2" t="s">
        <v>104</v>
      </c>
      <c r="BS174" s="2" t="s">
        <v>3592</v>
      </c>
      <c r="BT174" s="2" t="str">
        <f aca="false">HYPERLINK("https%3A%2F%2Fwww.webofscience.com%2Fwos%2Fwoscc%2Ffull-record%2FWOS:001136193700001","View Full Record in Web of Science")</f>
        <v>View Full Record in Web of Science</v>
      </c>
    </row>
    <row r="175" customFormat="false" ht="12.75" hidden="false" customHeight="false" outlineLevel="0" collapsed="false">
      <c r="A175" s="2" t="s">
        <v>72</v>
      </c>
      <c r="B175" s="2" t="s">
        <v>3593</v>
      </c>
      <c r="C175" s="2"/>
      <c r="D175" s="2"/>
      <c r="E175" s="2"/>
      <c r="F175" s="2" t="s">
        <v>3594</v>
      </c>
      <c r="G175" s="2"/>
      <c r="H175" s="2"/>
      <c r="I175" s="2" t="s">
        <v>3595</v>
      </c>
      <c r="J175" s="2" t="s">
        <v>109</v>
      </c>
      <c r="K175" s="2"/>
      <c r="L175" s="2"/>
      <c r="M175" s="2" t="s">
        <v>77</v>
      </c>
      <c r="N175" s="2" t="s">
        <v>78</v>
      </c>
      <c r="O175" s="2"/>
      <c r="P175" s="2"/>
      <c r="Q175" s="2"/>
      <c r="R175" s="2"/>
      <c r="S175" s="2"/>
      <c r="T175" s="2" t="s">
        <v>3596</v>
      </c>
      <c r="U175" s="2" t="s">
        <v>3597</v>
      </c>
      <c r="V175" s="2" t="s">
        <v>3598</v>
      </c>
      <c r="W175" s="2" t="s">
        <v>3599</v>
      </c>
      <c r="X175" s="2" t="s">
        <v>3600</v>
      </c>
      <c r="Y175" s="2" t="s">
        <v>3601</v>
      </c>
      <c r="Z175" s="2" t="s">
        <v>3602</v>
      </c>
      <c r="AA175" s="2" t="s">
        <v>3603</v>
      </c>
      <c r="AB175" s="2" t="s">
        <v>3604</v>
      </c>
      <c r="AC175" s="2" t="s">
        <v>3605</v>
      </c>
      <c r="AD175" s="2" t="s">
        <v>3606</v>
      </c>
      <c r="AE175" s="2" t="s">
        <v>3607</v>
      </c>
      <c r="AF175" s="2"/>
      <c r="AG175" s="2" t="n">
        <v>35</v>
      </c>
      <c r="AH175" s="2" t="n">
        <v>7</v>
      </c>
      <c r="AI175" s="2" t="n">
        <v>7</v>
      </c>
      <c r="AJ175" s="2" t="n">
        <v>0</v>
      </c>
      <c r="AK175" s="2" t="n">
        <v>1</v>
      </c>
      <c r="AL175" s="2" t="s">
        <v>122</v>
      </c>
      <c r="AM175" s="2" t="s">
        <v>123</v>
      </c>
      <c r="AN175" s="2" t="s">
        <v>124</v>
      </c>
      <c r="AO175" s="2" t="s">
        <v>125</v>
      </c>
      <c r="AP175" s="2" t="s">
        <v>126</v>
      </c>
      <c r="AQ175" s="2"/>
      <c r="AR175" s="2" t="s">
        <v>127</v>
      </c>
      <c r="AS175" s="2" t="s">
        <v>128</v>
      </c>
      <c r="AT175" s="2" t="s">
        <v>390</v>
      </c>
      <c r="AU175" s="2" t="n">
        <v>2023</v>
      </c>
      <c r="AV175" s="2" t="n">
        <v>42</v>
      </c>
      <c r="AW175" s="2" t="n">
        <v>5</v>
      </c>
      <c r="AX175" s="2"/>
      <c r="AY175" s="2"/>
      <c r="AZ175" s="2"/>
      <c r="BA175" s="2"/>
      <c r="BB175" s="2" t="n">
        <v>396</v>
      </c>
      <c r="BC175" s="2" t="n">
        <v>404</v>
      </c>
      <c r="BD175" s="2"/>
      <c r="BE175" s="2" t="s">
        <v>3608</v>
      </c>
      <c r="BF175" s="2" t="str">
        <f aca="false">HYPERLINK("http://dx.doi.org/10.1097/INF.0000000000003865","http://dx.doi.org/10.1097/INF.0000000000003865")</f>
        <v>http://dx.doi.org/10.1097/INF.0000000000003865</v>
      </c>
      <c r="BG175" s="2"/>
      <c r="BH175" s="2"/>
      <c r="BI175" s="2" t="n">
        <v>9</v>
      </c>
      <c r="BJ175" s="2" t="s">
        <v>134</v>
      </c>
      <c r="BK175" s="2" t="s">
        <v>100</v>
      </c>
      <c r="BL175" s="2" t="s">
        <v>134</v>
      </c>
      <c r="BM175" s="2" t="s">
        <v>3609</v>
      </c>
      <c r="BN175" s="2" t="n">
        <v>36917029</v>
      </c>
      <c r="BO175" s="2"/>
      <c r="BP175" s="2"/>
      <c r="BQ175" s="2"/>
      <c r="BR175" s="2" t="s">
        <v>104</v>
      </c>
      <c r="BS175" s="2" t="s">
        <v>3610</v>
      </c>
      <c r="BT175" s="2" t="str">
        <f aca="false">HYPERLINK("https%3A%2F%2Fwww.webofscience.com%2Fwos%2Fwoscc%2Ffull-record%2FWOS:000970325200025","View Full Record in Web of Science")</f>
        <v>View Full Record in Web of Science</v>
      </c>
    </row>
    <row r="176" customFormat="false" ht="12.75" hidden="false" customHeight="false" outlineLevel="0" collapsed="false">
      <c r="A176" s="2" t="s">
        <v>72</v>
      </c>
      <c r="B176" s="2" t="s">
        <v>3611</v>
      </c>
      <c r="C176" s="2"/>
      <c r="D176" s="2"/>
      <c r="E176" s="2"/>
      <c r="F176" s="2" t="s">
        <v>3612</v>
      </c>
      <c r="G176" s="2"/>
      <c r="H176" s="2"/>
      <c r="I176" s="2" t="s">
        <v>3613</v>
      </c>
      <c r="J176" s="2" t="s">
        <v>3614</v>
      </c>
      <c r="K176" s="2"/>
      <c r="L176" s="2"/>
      <c r="M176" s="2" t="s">
        <v>77</v>
      </c>
      <c r="N176" s="2" t="s">
        <v>78</v>
      </c>
      <c r="O176" s="2"/>
      <c r="P176" s="2"/>
      <c r="Q176" s="2"/>
      <c r="R176" s="2"/>
      <c r="S176" s="2"/>
      <c r="T176" s="2" t="s">
        <v>3615</v>
      </c>
      <c r="U176" s="2" t="s">
        <v>3616</v>
      </c>
      <c r="V176" s="2" t="s">
        <v>3617</v>
      </c>
      <c r="W176" s="2" t="s">
        <v>3618</v>
      </c>
      <c r="X176" s="2" t="s">
        <v>3619</v>
      </c>
      <c r="Y176" s="2" t="s">
        <v>3620</v>
      </c>
      <c r="Z176" s="2" t="s">
        <v>3621</v>
      </c>
      <c r="AA176" s="2" t="s">
        <v>3622</v>
      </c>
      <c r="AB176" s="2" t="s">
        <v>3623</v>
      </c>
      <c r="AC176" s="2" t="s">
        <v>3624</v>
      </c>
      <c r="AD176" s="2" t="s">
        <v>3625</v>
      </c>
      <c r="AE176" s="2" t="s">
        <v>3626</v>
      </c>
      <c r="AF176" s="2"/>
      <c r="AG176" s="2" t="n">
        <v>50</v>
      </c>
      <c r="AH176" s="2" t="n">
        <v>16</v>
      </c>
      <c r="AI176" s="2" t="n">
        <v>19</v>
      </c>
      <c r="AJ176" s="2" t="n">
        <v>0</v>
      </c>
      <c r="AK176" s="2" t="n">
        <v>12</v>
      </c>
      <c r="AL176" s="2" t="s">
        <v>302</v>
      </c>
      <c r="AM176" s="2" t="s">
        <v>303</v>
      </c>
      <c r="AN176" s="2" t="s">
        <v>304</v>
      </c>
      <c r="AO176" s="2" t="s">
        <v>3627</v>
      </c>
      <c r="AP176" s="2" t="s">
        <v>3628</v>
      </c>
      <c r="AQ176" s="2"/>
      <c r="AR176" s="2" t="s">
        <v>3629</v>
      </c>
      <c r="AS176" s="2" t="s">
        <v>3630</v>
      </c>
      <c r="AT176" s="2" t="s">
        <v>3631</v>
      </c>
      <c r="AU176" s="2" t="n">
        <v>2015</v>
      </c>
      <c r="AV176" s="2" t="n">
        <v>41</v>
      </c>
      <c r="AW176" s="2"/>
      <c r="AX176" s="2"/>
      <c r="AY176" s="2"/>
      <c r="AZ176" s="2"/>
      <c r="BA176" s="2"/>
      <c r="BB176" s="2"/>
      <c r="BC176" s="2"/>
      <c r="BD176" s="2" t="n">
        <v>33</v>
      </c>
      <c r="BE176" s="2" t="s">
        <v>3632</v>
      </c>
      <c r="BF176" s="2" t="str">
        <f aca="false">HYPERLINK("http://dx.doi.org/10.1186/s13052-015-0133-7","http://dx.doi.org/10.1186/s13052-015-0133-7")</f>
        <v>http://dx.doi.org/10.1186/s13052-015-0133-7</v>
      </c>
      <c r="BG176" s="2"/>
      <c r="BH176" s="2"/>
      <c r="BI176" s="2" t="n">
        <v>8</v>
      </c>
      <c r="BJ176" s="2" t="s">
        <v>601</v>
      </c>
      <c r="BK176" s="2" t="s">
        <v>100</v>
      </c>
      <c r="BL176" s="2" t="s">
        <v>601</v>
      </c>
      <c r="BM176" s="2" t="s">
        <v>3633</v>
      </c>
      <c r="BN176" s="2" t="n">
        <v>25903455</v>
      </c>
      <c r="BO176" s="2" t="s">
        <v>103</v>
      </c>
      <c r="BP176" s="2"/>
      <c r="BQ176" s="2"/>
      <c r="BR176" s="2" t="s">
        <v>104</v>
      </c>
      <c r="BS176" s="2" t="s">
        <v>3634</v>
      </c>
      <c r="BT176" s="2" t="str">
        <f aca="false">HYPERLINK("https%3A%2F%2Fwww.webofscience.com%2Fwos%2Fwoscc%2Ffull-record%2FWOS:000353382000002","View Full Record in Web of Science")</f>
        <v>View Full Record in Web of Science</v>
      </c>
    </row>
    <row r="177" customFormat="false" ht="12.75" hidden="false" customHeight="false" outlineLevel="0" collapsed="false">
      <c r="A177" s="2" t="s">
        <v>72</v>
      </c>
      <c r="B177" s="2" t="s">
        <v>3635</v>
      </c>
      <c r="C177" s="2"/>
      <c r="D177" s="2"/>
      <c r="E177" s="2"/>
      <c r="F177" s="2" t="s">
        <v>3636</v>
      </c>
      <c r="G177" s="2"/>
      <c r="H177" s="2"/>
      <c r="I177" s="2" t="s">
        <v>3637</v>
      </c>
      <c r="J177" s="2" t="s">
        <v>2061</v>
      </c>
      <c r="K177" s="2"/>
      <c r="L177" s="2"/>
      <c r="M177" s="2" t="s">
        <v>77</v>
      </c>
      <c r="N177" s="2" t="s">
        <v>78</v>
      </c>
      <c r="O177" s="2"/>
      <c r="P177" s="2"/>
      <c r="Q177" s="2"/>
      <c r="R177" s="2"/>
      <c r="S177" s="2"/>
      <c r="T177" s="2" t="s">
        <v>3638</v>
      </c>
      <c r="U177" s="2" t="s">
        <v>3639</v>
      </c>
      <c r="V177" s="2" t="s">
        <v>3640</v>
      </c>
      <c r="W177" s="2" t="s">
        <v>3641</v>
      </c>
      <c r="X177" s="2" t="s">
        <v>3642</v>
      </c>
      <c r="Y177" s="2" t="s">
        <v>3643</v>
      </c>
      <c r="Z177" s="2" t="s">
        <v>3644</v>
      </c>
      <c r="AA177" s="2" t="s">
        <v>3645</v>
      </c>
      <c r="AB177" s="2" t="s">
        <v>3646</v>
      </c>
      <c r="AC177" s="2" t="s">
        <v>3647</v>
      </c>
      <c r="AD177" s="2" t="s">
        <v>3648</v>
      </c>
      <c r="AE177" s="2" t="s">
        <v>3649</v>
      </c>
      <c r="AF177" s="2"/>
      <c r="AG177" s="2" t="n">
        <v>46</v>
      </c>
      <c r="AH177" s="2" t="n">
        <v>20</v>
      </c>
      <c r="AI177" s="2" t="n">
        <v>20</v>
      </c>
      <c r="AJ177" s="2" t="n">
        <v>0</v>
      </c>
      <c r="AK177" s="2" t="n">
        <v>8</v>
      </c>
      <c r="AL177" s="2" t="s">
        <v>2070</v>
      </c>
      <c r="AM177" s="2" t="s">
        <v>2071</v>
      </c>
      <c r="AN177" s="2" t="s">
        <v>2072</v>
      </c>
      <c r="AO177" s="2" t="s">
        <v>2073</v>
      </c>
      <c r="AP177" s="2"/>
      <c r="AQ177" s="2"/>
      <c r="AR177" s="2" t="s">
        <v>2074</v>
      </c>
      <c r="AS177" s="2" t="s">
        <v>2075</v>
      </c>
      <c r="AT177" s="2" t="s">
        <v>336</v>
      </c>
      <c r="AU177" s="2" t="n">
        <v>2014</v>
      </c>
      <c r="AV177" s="2" t="n">
        <v>8</v>
      </c>
      <c r="AW177" s="2" t="n">
        <v>10</v>
      </c>
      <c r="AX177" s="2"/>
      <c r="AY177" s="2"/>
      <c r="AZ177" s="2"/>
      <c r="BA177" s="2"/>
      <c r="BB177" s="2" t="n">
        <v>1285</v>
      </c>
      <c r="BC177" s="2" t="n">
        <v>1293</v>
      </c>
      <c r="BD177" s="2"/>
      <c r="BE177" s="2" t="s">
        <v>3650</v>
      </c>
      <c r="BF177" s="2" t="str">
        <f aca="false">HYPERLINK("http://dx.doi.org/10.3855/jidc.4682","http://dx.doi.org/10.3855/jidc.4682")</f>
        <v>http://dx.doi.org/10.3855/jidc.4682</v>
      </c>
      <c r="BG177" s="2"/>
      <c r="BH177" s="2"/>
      <c r="BI177" s="2" t="n">
        <v>9</v>
      </c>
      <c r="BJ177" s="2" t="s">
        <v>575</v>
      </c>
      <c r="BK177" s="2" t="s">
        <v>100</v>
      </c>
      <c r="BL177" s="2" t="s">
        <v>575</v>
      </c>
      <c r="BM177" s="2" t="s">
        <v>3651</v>
      </c>
      <c r="BN177" s="2" t="n">
        <v>25313605</v>
      </c>
      <c r="BO177" s="2" t="s">
        <v>3652</v>
      </c>
      <c r="BP177" s="2"/>
      <c r="BQ177" s="2"/>
      <c r="BR177" s="2" t="s">
        <v>104</v>
      </c>
      <c r="BS177" s="2" t="s">
        <v>3653</v>
      </c>
      <c r="BT177" s="2" t="str">
        <f aca="false">HYPERLINK("https%3A%2F%2Fwww.webofscience.com%2Fwos%2Fwoscc%2Ffull-record%2FWOS:000343791200008","View Full Record in Web of Science")</f>
        <v>View Full Record in Web of Science</v>
      </c>
    </row>
    <row r="178" customFormat="false" ht="12.75" hidden="false" customHeight="false" outlineLevel="0" collapsed="false">
      <c r="A178" s="2" t="s">
        <v>72</v>
      </c>
      <c r="B178" s="2" t="s">
        <v>3654</v>
      </c>
      <c r="C178" s="2"/>
      <c r="D178" s="2"/>
      <c r="E178" s="2"/>
      <c r="F178" s="2" t="s">
        <v>3655</v>
      </c>
      <c r="G178" s="2"/>
      <c r="H178" s="2"/>
      <c r="I178" s="2" t="s">
        <v>3656</v>
      </c>
      <c r="J178" s="2" t="s">
        <v>3657</v>
      </c>
      <c r="K178" s="2"/>
      <c r="L178" s="2"/>
      <c r="M178" s="2" t="s">
        <v>77</v>
      </c>
      <c r="N178" s="2" t="s">
        <v>78</v>
      </c>
      <c r="O178" s="2"/>
      <c r="P178" s="2"/>
      <c r="Q178" s="2"/>
      <c r="R178" s="2"/>
      <c r="S178" s="2"/>
      <c r="T178" s="2" t="s">
        <v>3658</v>
      </c>
      <c r="U178" s="2" t="s">
        <v>3659</v>
      </c>
      <c r="V178" s="2" t="s">
        <v>3660</v>
      </c>
      <c r="W178" s="2" t="s">
        <v>3661</v>
      </c>
      <c r="X178" s="2" t="s">
        <v>3662</v>
      </c>
      <c r="Y178" s="2" t="s">
        <v>3663</v>
      </c>
      <c r="Z178" s="2" t="s">
        <v>3664</v>
      </c>
      <c r="AA178" s="2" t="s">
        <v>3665</v>
      </c>
      <c r="AB178" s="2" t="s">
        <v>3666</v>
      </c>
      <c r="AC178" s="2"/>
      <c r="AD178" s="2"/>
      <c r="AE178" s="2"/>
      <c r="AF178" s="2"/>
      <c r="AG178" s="2" t="n">
        <v>29</v>
      </c>
      <c r="AH178" s="2" t="n">
        <v>16</v>
      </c>
      <c r="AI178" s="2" t="n">
        <v>16</v>
      </c>
      <c r="AJ178" s="2" t="n">
        <v>0</v>
      </c>
      <c r="AK178" s="2" t="n">
        <v>2</v>
      </c>
      <c r="AL178" s="2" t="s">
        <v>3667</v>
      </c>
      <c r="AM178" s="2" t="s">
        <v>3668</v>
      </c>
      <c r="AN178" s="2" t="s">
        <v>3669</v>
      </c>
      <c r="AO178" s="2" t="s">
        <v>3670</v>
      </c>
      <c r="AP178" s="2"/>
      <c r="AQ178" s="2"/>
      <c r="AR178" s="2" t="s">
        <v>3671</v>
      </c>
      <c r="AS178" s="2" t="s">
        <v>3672</v>
      </c>
      <c r="AT178" s="2" t="s">
        <v>3673</v>
      </c>
      <c r="AU178" s="2" t="n">
        <v>2014</v>
      </c>
      <c r="AV178" s="2" t="n">
        <v>56</v>
      </c>
      <c r="AW178" s="2" t="n">
        <v>4</v>
      </c>
      <c r="AX178" s="2"/>
      <c r="AY178" s="2"/>
      <c r="AZ178" s="2"/>
      <c r="BA178" s="2"/>
      <c r="BB178" s="2" t="n">
        <v>354</v>
      </c>
      <c r="BC178" s="2" t="n">
        <v>359</v>
      </c>
      <c r="BD178" s="2"/>
      <c r="BE178" s="2"/>
      <c r="BF178" s="2"/>
      <c r="BG178" s="2"/>
      <c r="BH178" s="2"/>
      <c r="BI178" s="2" t="n">
        <v>6</v>
      </c>
      <c r="BJ178" s="2" t="s">
        <v>601</v>
      </c>
      <c r="BK178" s="2" t="s">
        <v>100</v>
      </c>
      <c r="BL178" s="2" t="s">
        <v>601</v>
      </c>
      <c r="BM178" s="2" t="s">
        <v>3674</v>
      </c>
      <c r="BN178" s="2" t="n">
        <v>25818953</v>
      </c>
      <c r="BO178" s="2"/>
      <c r="BP178" s="2"/>
      <c r="BQ178" s="2"/>
      <c r="BR178" s="2" t="s">
        <v>104</v>
      </c>
      <c r="BS178" s="2" t="s">
        <v>3675</v>
      </c>
      <c r="BT178" s="2" t="str">
        <f aca="false">HYPERLINK("https%3A%2F%2Fwww.webofscience.com%2Fwos%2Fwoscc%2Ffull-record%2FWOS:000355252900003","View Full Record in Web of Science")</f>
        <v>View Full Record in Web of Science</v>
      </c>
    </row>
    <row r="179" customFormat="false" ht="12.75" hidden="false" customHeight="false" outlineLevel="0" collapsed="false">
      <c r="A179" s="2" t="s">
        <v>72</v>
      </c>
      <c r="B179" s="2" t="s">
        <v>3676</v>
      </c>
      <c r="C179" s="2"/>
      <c r="D179" s="2"/>
      <c r="E179" s="2"/>
      <c r="F179" s="2" t="s">
        <v>3677</v>
      </c>
      <c r="G179" s="2"/>
      <c r="H179" s="2"/>
      <c r="I179" s="2" t="s">
        <v>3678</v>
      </c>
      <c r="J179" s="2" t="s">
        <v>3679</v>
      </c>
      <c r="K179" s="2"/>
      <c r="L179" s="2"/>
      <c r="M179" s="2" t="s">
        <v>77</v>
      </c>
      <c r="N179" s="2" t="s">
        <v>78</v>
      </c>
      <c r="O179" s="2"/>
      <c r="P179" s="2"/>
      <c r="Q179" s="2"/>
      <c r="R179" s="2"/>
      <c r="S179" s="2"/>
      <c r="T179" s="2" t="s">
        <v>3680</v>
      </c>
      <c r="U179" s="2" t="s">
        <v>3681</v>
      </c>
      <c r="V179" s="2" t="s">
        <v>3682</v>
      </c>
      <c r="W179" s="2" t="s">
        <v>3683</v>
      </c>
      <c r="X179" s="2" t="s">
        <v>3684</v>
      </c>
      <c r="Y179" s="2" t="s">
        <v>3685</v>
      </c>
      <c r="Z179" s="2" t="s">
        <v>3686</v>
      </c>
      <c r="AA179" s="2" t="s">
        <v>3687</v>
      </c>
      <c r="AB179" s="2" t="s">
        <v>3688</v>
      </c>
      <c r="AC179" s="2"/>
      <c r="AD179" s="2"/>
      <c r="AE179" s="2"/>
      <c r="AF179" s="2"/>
      <c r="AG179" s="2" t="n">
        <v>25</v>
      </c>
      <c r="AH179" s="2" t="n">
        <v>0</v>
      </c>
      <c r="AI179" s="2" t="n">
        <v>0</v>
      </c>
      <c r="AJ179" s="2" t="n">
        <v>8</v>
      </c>
      <c r="AK179" s="2" t="n">
        <v>15</v>
      </c>
      <c r="AL179" s="2" t="s">
        <v>3689</v>
      </c>
      <c r="AM179" s="2" t="s">
        <v>3690</v>
      </c>
      <c r="AN179" s="2" t="s">
        <v>3691</v>
      </c>
      <c r="AO179" s="2" t="s">
        <v>3692</v>
      </c>
      <c r="AP179" s="2"/>
      <c r="AQ179" s="2"/>
      <c r="AR179" s="2" t="s">
        <v>3693</v>
      </c>
      <c r="AS179" s="2" t="s">
        <v>3694</v>
      </c>
      <c r="AT179" s="2" t="s">
        <v>446</v>
      </c>
      <c r="AU179" s="2" t="n">
        <v>2022</v>
      </c>
      <c r="AV179" s="2" t="n">
        <v>9</v>
      </c>
      <c r="AW179" s="2" t="n">
        <v>4</v>
      </c>
      <c r="AX179" s="2"/>
      <c r="AY179" s="2"/>
      <c r="AZ179" s="2"/>
      <c r="BA179" s="2"/>
      <c r="BB179" s="2" t="n">
        <v>314</v>
      </c>
      <c r="BC179" s="2" t="n">
        <v>319</v>
      </c>
      <c r="BD179" s="2"/>
      <c r="BE179" s="2" t="s">
        <v>3695</v>
      </c>
      <c r="BF179" s="2" t="str">
        <f aca="false">HYPERLINK("http://dx.doi.org/10.4274/jpr.galenos.2022.54289","http://dx.doi.org/10.4274/jpr.galenos.2022.54289")</f>
        <v>http://dx.doi.org/10.4274/jpr.galenos.2022.54289</v>
      </c>
      <c r="BG179" s="2"/>
      <c r="BH179" s="2"/>
      <c r="BI179" s="2" t="n">
        <v>6</v>
      </c>
      <c r="BJ179" s="2" t="s">
        <v>601</v>
      </c>
      <c r="BK179" s="2" t="s">
        <v>339</v>
      </c>
      <c r="BL179" s="2" t="s">
        <v>601</v>
      </c>
      <c r="BM179" s="2" t="s">
        <v>3696</v>
      </c>
      <c r="BN179" s="2"/>
      <c r="BO179" s="2" t="s">
        <v>1355</v>
      </c>
      <c r="BP179" s="2"/>
      <c r="BQ179" s="2"/>
      <c r="BR179" s="2" t="s">
        <v>104</v>
      </c>
      <c r="BS179" s="2" t="s">
        <v>3697</v>
      </c>
      <c r="BT179" s="2" t="str">
        <f aca="false">HYPERLINK("https%3A%2F%2Fwww.webofscience.com%2Fwos%2Fwoscc%2Ffull-record%2FWOS:001124572400001","View Full Record in Web of Science")</f>
        <v>View Full Record in Web of Science</v>
      </c>
    </row>
    <row r="180" customFormat="false" ht="12.75" hidden="false" customHeight="false" outlineLevel="0" collapsed="false">
      <c r="A180" s="2" t="s">
        <v>72</v>
      </c>
      <c r="B180" s="2" t="s">
        <v>3698</v>
      </c>
      <c r="C180" s="2"/>
      <c r="D180" s="2"/>
      <c r="E180" s="2"/>
      <c r="F180" s="2" t="s">
        <v>3699</v>
      </c>
      <c r="G180" s="2"/>
      <c r="H180" s="2"/>
      <c r="I180" s="2" t="s">
        <v>3700</v>
      </c>
      <c r="J180" s="2" t="s">
        <v>370</v>
      </c>
      <c r="K180" s="2"/>
      <c r="L180" s="2"/>
      <c r="M180" s="2" t="s">
        <v>77</v>
      </c>
      <c r="N180" s="2" t="s">
        <v>78</v>
      </c>
      <c r="O180" s="2"/>
      <c r="P180" s="2"/>
      <c r="Q180" s="2"/>
      <c r="R180" s="2"/>
      <c r="S180" s="2"/>
      <c r="T180" s="2" t="s">
        <v>3701</v>
      </c>
      <c r="U180" s="2" t="s">
        <v>3702</v>
      </c>
      <c r="V180" s="2" t="s">
        <v>3703</v>
      </c>
      <c r="W180" s="2" t="s">
        <v>3704</v>
      </c>
      <c r="X180" s="2" t="s">
        <v>3705</v>
      </c>
      <c r="Y180" s="2" t="s">
        <v>3706</v>
      </c>
      <c r="Z180" s="2" t="s">
        <v>3707</v>
      </c>
      <c r="AA180" s="2" t="s">
        <v>3708</v>
      </c>
      <c r="AB180" s="2" t="s">
        <v>3709</v>
      </c>
      <c r="AC180" s="2" t="s">
        <v>3710</v>
      </c>
      <c r="AD180" s="2" t="s">
        <v>3711</v>
      </c>
      <c r="AE180" s="2" t="s">
        <v>3712</v>
      </c>
      <c r="AF180" s="2"/>
      <c r="AG180" s="2" t="n">
        <v>22</v>
      </c>
      <c r="AH180" s="2" t="n">
        <v>32</v>
      </c>
      <c r="AI180" s="2" t="n">
        <v>32</v>
      </c>
      <c r="AJ180" s="2" t="n">
        <v>0</v>
      </c>
      <c r="AK180" s="2" t="n">
        <v>2</v>
      </c>
      <c r="AL180" s="2" t="s">
        <v>549</v>
      </c>
      <c r="AM180" s="2" t="s">
        <v>384</v>
      </c>
      <c r="AN180" s="2" t="s">
        <v>550</v>
      </c>
      <c r="AO180" s="2" t="s">
        <v>386</v>
      </c>
      <c r="AP180" s="2" t="s">
        <v>387</v>
      </c>
      <c r="AQ180" s="2"/>
      <c r="AR180" s="2" t="s">
        <v>388</v>
      </c>
      <c r="AS180" s="2" t="s">
        <v>389</v>
      </c>
      <c r="AT180" s="2" t="s">
        <v>599</v>
      </c>
      <c r="AU180" s="2" t="n">
        <v>2017</v>
      </c>
      <c r="AV180" s="2" t="n">
        <v>92</v>
      </c>
      <c r="AW180" s="2"/>
      <c r="AX180" s="2"/>
      <c r="AY180" s="2"/>
      <c r="AZ180" s="2"/>
      <c r="BA180" s="2"/>
      <c r="BB180" s="2" t="n">
        <v>48</v>
      </c>
      <c r="BC180" s="2" t="n">
        <v>51</v>
      </c>
      <c r="BD180" s="2"/>
      <c r="BE180" s="2" t="s">
        <v>3713</v>
      </c>
      <c r="BF180" s="2" t="str">
        <f aca="false">HYPERLINK("http://dx.doi.org/10.1016/j.jcv.2017.05.004","http://dx.doi.org/10.1016/j.jcv.2017.05.004")</f>
        <v>http://dx.doi.org/10.1016/j.jcv.2017.05.004</v>
      </c>
      <c r="BG180" s="2"/>
      <c r="BH180" s="2"/>
      <c r="BI180" s="2" t="n">
        <v>4</v>
      </c>
      <c r="BJ180" s="2" t="s">
        <v>163</v>
      </c>
      <c r="BK180" s="2" t="s">
        <v>100</v>
      </c>
      <c r="BL180" s="2" t="s">
        <v>163</v>
      </c>
      <c r="BM180" s="2" t="s">
        <v>3714</v>
      </c>
      <c r="BN180" s="2" t="n">
        <v>28527970</v>
      </c>
      <c r="BO180" s="2" t="s">
        <v>1227</v>
      </c>
      <c r="BP180" s="2"/>
      <c r="BQ180" s="2"/>
      <c r="BR180" s="2" t="s">
        <v>104</v>
      </c>
      <c r="BS180" s="2" t="s">
        <v>3715</v>
      </c>
      <c r="BT180" s="2" t="str">
        <f aca="false">HYPERLINK("https%3A%2F%2Fwww.webofscience.com%2Fwos%2Fwoscc%2Ffull-record%2FWOS:000405107800010","View Full Record in Web of Science")</f>
        <v>View Full Record in Web of Science</v>
      </c>
    </row>
    <row r="181" customFormat="false" ht="12.75" hidden="false" customHeight="false" outlineLevel="0" collapsed="false">
      <c r="A181" s="2" t="s">
        <v>72</v>
      </c>
      <c r="B181" s="2" t="s">
        <v>3716</v>
      </c>
      <c r="C181" s="2"/>
      <c r="D181" s="2"/>
      <c r="E181" s="2"/>
      <c r="F181" s="2" t="s">
        <v>3717</v>
      </c>
      <c r="G181" s="2"/>
      <c r="H181" s="2"/>
      <c r="I181" s="2" t="s">
        <v>3718</v>
      </c>
      <c r="J181" s="2" t="s">
        <v>3719</v>
      </c>
      <c r="K181" s="2"/>
      <c r="L181" s="2"/>
      <c r="M181" s="2" t="s">
        <v>77</v>
      </c>
      <c r="N181" s="2" t="s">
        <v>78</v>
      </c>
      <c r="O181" s="2"/>
      <c r="P181" s="2"/>
      <c r="Q181" s="2"/>
      <c r="R181" s="2"/>
      <c r="S181" s="2"/>
      <c r="T181" s="2" t="s">
        <v>3720</v>
      </c>
      <c r="U181" s="2" t="s">
        <v>3721</v>
      </c>
      <c r="V181" s="2" t="s">
        <v>3722</v>
      </c>
      <c r="W181" s="2" t="s">
        <v>3723</v>
      </c>
      <c r="X181" s="2" t="s">
        <v>3724</v>
      </c>
      <c r="Y181" s="2" t="s">
        <v>3725</v>
      </c>
      <c r="Z181" s="2" t="s">
        <v>3726</v>
      </c>
      <c r="AA181" s="2" t="s">
        <v>3727</v>
      </c>
      <c r="AB181" s="2" t="s">
        <v>3728</v>
      </c>
      <c r="AC181" s="2" t="s">
        <v>3729</v>
      </c>
      <c r="AD181" s="2" t="s">
        <v>3730</v>
      </c>
      <c r="AE181" s="2" t="s">
        <v>3731</v>
      </c>
      <c r="AF181" s="2"/>
      <c r="AG181" s="2" t="n">
        <v>34</v>
      </c>
      <c r="AH181" s="2" t="n">
        <v>20</v>
      </c>
      <c r="AI181" s="2" t="n">
        <v>24</v>
      </c>
      <c r="AJ181" s="2" t="n">
        <v>0</v>
      </c>
      <c r="AK181" s="2" t="n">
        <v>1</v>
      </c>
      <c r="AL181" s="2" t="s">
        <v>3584</v>
      </c>
      <c r="AM181" s="2" t="s">
        <v>303</v>
      </c>
      <c r="AN181" s="2" t="s">
        <v>3585</v>
      </c>
      <c r="AO181" s="2" t="s">
        <v>3732</v>
      </c>
      <c r="AP181" s="2"/>
      <c r="AQ181" s="2"/>
      <c r="AR181" s="2" t="s">
        <v>3733</v>
      </c>
      <c r="AS181" s="2" t="s">
        <v>3734</v>
      </c>
      <c r="AT181" s="2" t="s">
        <v>97</v>
      </c>
      <c r="AU181" s="2" t="n">
        <v>2009</v>
      </c>
      <c r="AV181" s="2" t="n">
        <v>58</v>
      </c>
      <c r="AW181" s="2" t="n">
        <v>3</v>
      </c>
      <c r="AX181" s="2"/>
      <c r="AY181" s="2"/>
      <c r="AZ181" s="2"/>
      <c r="BA181" s="2"/>
      <c r="BB181" s="2" t="n">
        <v>227</v>
      </c>
      <c r="BC181" s="2" t="n">
        <v>231</v>
      </c>
      <c r="BD181" s="2"/>
      <c r="BE181" s="2" t="s">
        <v>3735</v>
      </c>
      <c r="BF181" s="2" t="str">
        <f aca="false">HYPERLINK("http://dx.doi.org/10.1016/j.jinf.2009.01.004","http://dx.doi.org/10.1016/j.jinf.2009.01.004")</f>
        <v>http://dx.doi.org/10.1016/j.jinf.2009.01.004</v>
      </c>
      <c r="BG181" s="2"/>
      <c r="BH181" s="2"/>
      <c r="BI181" s="2" t="n">
        <v>5</v>
      </c>
      <c r="BJ181" s="2" t="s">
        <v>575</v>
      </c>
      <c r="BK181" s="2" t="s">
        <v>100</v>
      </c>
      <c r="BL181" s="2" t="s">
        <v>575</v>
      </c>
      <c r="BM181" s="2" t="s">
        <v>3736</v>
      </c>
      <c r="BN181" s="2" t="n">
        <v>19211148</v>
      </c>
      <c r="BO181" s="2" t="s">
        <v>136</v>
      </c>
      <c r="BP181" s="2"/>
      <c r="BQ181" s="2"/>
      <c r="BR181" s="2" t="s">
        <v>104</v>
      </c>
      <c r="BS181" s="2" t="s">
        <v>3737</v>
      </c>
      <c r="BT181" s="2" t="str">
        <f aca="false">HYPERLINK("https%3A%2F%2Fwww.webofscience.com%2Fwos%2Fwoscc%2Ffull-record%2FWOS:000264945300008","View Full Record in Web of Science")</f>
        <v>View Full Record in Web of Science</v>
      </c>
    </row>
    <row r="182" customFormat="false" ht="12.75" hidden="false" customHeight="false" outlineLevel="0" collapsed="false">
      <c r="A182" s="2" t="s">
        <v>72</v>
      </c>
      <c r="B182" s="2" t="s">
        <v>3738</v>
      </c>
      <c r="C182" s="2"/>
      <c r="D182" s="2"/>
      <c r="E182" s="2"/>
      <c r="F182" s="2" t="s">
        <v>3739</v>
      </c>
      <c r="G182" s="2"/>
      <c r="H182" s="2"/>
      <c r="I182" s="2" t="s">
        <v>3740</v>
      </c>
      <c r="J182" s="2" t="s">
        <v>3741</v>
      </c>
      <c r="K182" s="2"/>
      <c r="L182" s="2"/>
      <c r="M182" s="2" t="s">
        <v>77</v>
      </c>
      <c r="N182" s="2" t="s">
        <v>78</v>
      </c>
      <c r="O182" s="2"/>
      <c r="P182" s="2"/>
      <c r="Q182" s="2"/>
      <c r="R182" s="2"/>
      <c r="S182" s="2"/>
      <c r="T182" s="2" t="s">
        <v>3742</v>
      </c>
      <c r="U182" s="2" t="s">
        <v>3743</v>
      </c>
      <c r="V182" s="2" t="s">
        <v>3744</v>
      </c>
      <c r="W182" s="2" t="s">
        <v>3745</v>
      </c>
      <c r="X182" s="2" t="s">
        <v>3746</v>
      </c>
      <c r="Y182" s="2" t="s">
        <v>3747</v>
      </c>
      <c r="Z182" s="2" t="s">
        <v>3748</v>
      </c>
      <c r="AA182" s="2" t="s">
        <v>3749</v>
      </c>
      <c r="AB182" s="2" t="s">
        <v>3172</v>
      </c>
      <c r="AC182" s="2" t="s">
        <v>3750</v>
      </c>
      <c r="AD182" s="2" t="s">
        <v>3751</v>
      </c>
      <c r="AE182" s="2" t="s">
        <v>3752</v>
      </c>
      <c r="AF182" s="2"/>
      <c r="AG182" s="2" t="n">
        <v>72</v>
      </c>
      <c r="AH182" s="2" t="n">
        <v>2</v>
      </c>
      <c r="AI182" s="2" t="n">
        <v>2</v>
      </c>
      <c r="AJ182" s="2" t="n">
        <v>0</v>
      </c>
      <c r="AK182" s="2" t="n">
        <v>3</v>
      </c>
      <c r="AL182" s="2" t="s">
        <v>755</v>
      </c>
      <c r="AM182" s="2" t="s">
        <v>273</v>
      </c>
      <c r="AN182" s="2" t="s">
        <v>756</v>
      </c>
      <c r="AO182" s="2" t="s">
        <v>3753</v>
      </c>
      <c r="AP182" s="2"/>
      <c r="AQ182" s="2"/>
      <c r="AR182" s="2" t="s">
        <v>3754</v>
      </c>
      <c r="AS182" s="2" t="s">
        <v>3755</v>
      </c>
      <c r="AT182" s="2" t="s">
        <v>336</v>
      </c>
      <c r="AU182" s="2" t="n">
        <v>2021</v>
      </c>
      <c r="AV182" s="2" t="n">
        <v>9</v>
      </c>
      <c r="AW182" s="2" t="n">
        <v>2</v>
      </c>
      <c r="AX182" s="2"/>
      <c r="AY182" s="2"/>
      <c r="AZ182" s="2"/>
      <c r="BA182" s="2"/>
      <c r="BB182" s="2"/>
      <c r="BC182" s="2"/>
      <c r="BD182" s="2" t="s">
        <v>3756</v>
      </c>
      <c r="BE182" s="2" t="s">
        <v>3757</v>
      </c>
      <c r="BF182" s="2" t="str">
        <f aca="false">HYPERLINK("http://dx.doi.org/10.1128/Spectrum.00551-21","http://dx.doi.org/10.1128/Spectrum.00551-21")</f>
        <v>http://dx.doi.org/10.1128/Spectrum.00551-21</v>
      </c>
      <c r="BG182" s="2"/>
      <c r="BH182" s="2"/>
      <c r="BI182" s="2" t="n">
        <v>12</v>
      </c>
      <c r="BJ182" s="2" t="s">
        <v>211</v>
      </c>
      <c r="BK182" s="2" t="s">
        <v>100</v>
      </c>
      <c r="BL182" s="2" t="s">
        <v>211</v>
      </c>
      <c r="BM182" s="2" t="s">
        <v>3758</v>
      </c>
      <c r="BN182" s="2" t="n">
        <v>34704788</v>
      </c>
      <c r="BO182" s="2" t="s">
        <v>165</v>
      </c>
      <c r="BP182" s="2"/>
      <c r="BQ182" s="2"/>
      <c r="BR182" s="2" t="s">
        <v>104</v>
      </c>
      <c r="BS182" s="2" t="s">
        <v>3759</v>
      </c>
      <c r="BT182" s="2" t="str">
        <f aca="false">HYPERLINK("https%3A%2F%2Fwww.webofscience.com%2Fwos%2Fwoscc%2Ffull-record%2FWOS:000728629300070","View Full Record in Web of Science")</f>
        <v>View Full Record in Web of Science</v>
      </c>
    </row>
    <row r="183" customFormat="false" ht="12.75" hidden="false" customHeight="false" outlineLevel="0" collapsed="false">
      <c r="A183" s="2" t="s">
        <v>72</v>
      </c>
      <c r="B183" s="2" t="s">
        <v>3760</v>
      </c>
      <c r="C183" s="2"/>
      <c r="D183" s="2"/>
      <c r="E183" s="2"/>
      <c r="F183" s="2" t="s">
        <v>3761</v>
      </c>
      <c r="G183" s="2"/>
      <c r="H183" s="2"/>
      <c r="I183" s="2" t="s">
        <v>3762</v>
      </c>
      <c r="J183" s="2" t="s">
        <v>1665</v>
      </c>
      <c r="K183" s="2"/>
      <c r="L183" s="2"/>
      <c r="M183" s="2" t="s">
        <v>77</v>
      </c>
      <c r="N183" s="2" t="s">
        <v>78</v>
      </c>
      <c r="O183" s="2"/>
      <c r="P183" s="2"/>
      <c r="Q183" s="2"/>
      <c r="R183" s="2"/>
      <c r="S183" s="2"/>
      <c r="T183" s="2" t="s">
        <v>3763</v>
      </c>
      <c r="U183" s="2" t="s">
        <v>3764</v>
      </c>
      <c r="V183" s="2" t="s">
        <v>3765</v>
      </c>
      <c r="W183" s="2" t="s">
        <v>3766</v>
      </c>
      <c r="X183" s="2" t="s">
        <v>3767</v>
      </c>
      <c r="Y183" s="2" t="s">
        <v>3768</v>
      </c>
      <c r="Z183" s="2" t="s">
        <v>3769</v>
      </c>
      <c r="AA183" s="2" t="s">
        <v>3770</v>
      </c>
      <c r="AB183" s="2" t="s">
        <v>3771</v>
      </c>
      <c r="AC183" s="2"/>
      <c r="AD183" s="2"/>
      <c r="AE183" s="2"/>
      <c r="AF183" s="2"/>
      <c r="AG183" s="2" t="n">
        <v>25</v>
      </c>
      <c r="AH183" s="2" t="n">
        <v>28</v>
      </c>
      <c r="AI183" s="2" t="n">
        <v>29</v>
      </c>
      <c r="AJ183" s="2" t="n">
        <v>1</v>
      </c>
      <c r="AK183" s="2" t="n">
        <v>12</v>
      </c>
      <c r="AL183" s="2" t="s">
        <v>1678</v>
      </c>
      <c r="AM183" s="2" t="s">
        <v>1679</v>
      </c>
      <c r="AN183" s="2" t="s">
        <v>1680</v>
      </c>
      <c r="AO183" s="2" t="s">
        <v>1681</v>
      </c>
      <c r="AP183" s="2" t="s">
        <v>1682</v>
      </c>
      <c r="AQ183" s="2"/>
      <c r="AR183" s="2" t="s">
        <v>1683</v>
      </c>
      <c r="AS183" s="2" t="s">
        <v>1684</v>
      </c>
      <c r="AT183" s="2" t="s">
        <v>129</v>
      </c>
      <c r="AU183" s="2" t="n">
        <v>2016</v>
      </c>
      <c r="AV183" s="2" t="n">
        <v>9</v>
      </c>
      <c r="AW183" s="2" t="n">
        <v>9</v>
      </c>
      <c r="AX183" s="2"/>
      <c r="AY183" s="2"/>
      <c r="AZ183" s="2"/>
      <c r="BA183" s="2"/>
      <c r="BB183" s="2"/>
      <c r="BC183" s="2"/>
      <c r="BD183" s="2" t="s">
        <v>3772</v>
      </c>
      <c r="BE183" s="2" t="s">
        <v>3773</v>
      </c>
      <c r="BF183" s="2" t="str">
        <f aca="false">HYPERLINK("http://dx.doi.org/10.5812/jjm.39132","http://dx.doi.org/10.5812/jjm.39132")</f>
        <v>http://dx.doi.org/10.5812/jjm.39132</v>
      </c>
      <c r="BG183" s="2"/>
      <c r="BH183" s="2"/>
      <c r="BI183" s="2" t="n">
        <v>6</v>
      </c>
      <c r="BJ183" s="2" t="s">
        <v>211</v>
      </c>
      <c r="BK183" s="2" t="s">
        <v>100</v>
      </c>
      <c r="BL183" s="2" t="s">
        <v>211</v>
      </c>
      <c r="BM183" s="2" t="s">
        <v>3774</v>
      </c>
      <c r="BN183" s="2" t="n">
        <v>27800148</v>
      </c>
      <c r="BO183" s="2" t="s">
        <v>3775</v>
      </c>
      <c r="BP183" s="2"/>
      <c r="BQ183" s="2"/>
      <c r="BR183" s="2" t="s">
        <v>104</v>
      </c>
      <c r="BS183" s="2" t="s">
        <v>3776</v>
      </c>
      <c r="BT183" s="2" t="str">
        <f aca="false">HYPERLINK("https%3A%2F%2Fwww.webofscience.com%2Fwos%2Fwoscc%2Ffull-record%2FWOS:000385651600011","View Full Record in Web of Science")</f>
        <v>View Full Record in Web of Science</v>
      </c>
    </row>
    <row r="184" customFormat="false" ht="12.75" hidden="false" customHeight="false" outlineLevel="0" collapsed="false">
      <c r="A184" s="2" t="s">
        <v>72</v>
      </c>
      <c r="B184" s="2" t="s">
        <v>3777</v>
      </c>
      <c r="C184" s="2"/>
      <c r="D184" s="2"/>
      <c r="E184" s="2"/>
      <c r="F184" s="2" t="s">
        <v>3778</v>
      </c>
      <c r="G184" s="2"/>
      <c r="H184" s="2"/>
      <c r="I184" s="2" t="s">
        <v>3779</v>
      </c>
      <c r="J184" s="2" t="s">
        <v>3780</v>
      </c>
      <c r="K184" s="2"/>
      <c r="L184" s="2"/>
      <c r="M184" s="2" t="s">
        <v>77</v>
      </c>
      <c r="N184" s="2" t="s">
        <v>78</v>
      </c>
      <c r="O184" s="2"/>
      <c r="P184" s="2"/>
      <c r="Q184" s="2"/>
      <c r="R184" s="2"/>
      <c r="S184" s="2"/>
      <c r="T184" s="2" t="s">
        <v>3781</v>
      </c>
      <c r="U184" s="2" t="s">
        <v>3782</v>
      </c>
      <c r="V184" s="2" t="s">
        <v>3783</v>
      </c>
      <c r="W184" s="2" t="s">
        <v>3784</v>
      </c>
      <c r="X184" s="2" t="s">
        <v>3785</v>
      </c>
      <c r="Y184" s="2" t="s">
        <v>3786</v>
      </c>
      <c r="Z184" s="2" t="s">
        <v>3787</v>
      </c>
      <c r="AA184" s="2" t="s">
        <v>3788</v>
      </c>
      <c r="AB184" s="2"/>
      <c r="AC184" s="2" t="s">
        <v>3789</v>
      </c>
      <c r="AD184" s="2" t="s">
        <v>3790</v>
      </c>
      <c r="AE184" s="2" t="s">
        <v>3791</v>
      </c>
      <c r="AF184" s="2"/>
      <c r="AG184" s="2" t="n">
        <v>28</v>
      </c>
      <c r="AH184" s="2" t="n">
        <v>5</v>
      </c>
      <c r="AI184" s="2" t="n">
        <v>9</v>
      </c>
      <c r="AJ184" s="2" t="n">
        <v>0</v>
      </c>
      <c r="AK184" s="2" t="n">
        <v>14</v>
      </c>
      <c r="AL184" s="2" t="s">
        <v>3792</v>
      </c>
      <c r="AM184" s="2" t="s">
        <v>3793</v>
      </c>
      <c r="AN184" s="2" t="s">
        <v>3794</v>
      </c>
      <c r="AO184" s="2" t="s">
        <v>3795</v>
      </c>
      <c r="AP184" s="2"/>
      <c r="AQ184" s="2"/>
      <c r="AR184" s="2" t="s">
        <v>3796</v>
      </c>
      <c r="AS184" s="2" t="s">
        <v>3797</v>
      </c>
      <c r="AT184" s="2" t="s">
        <v>3798</v>
      </c>
      <c r="AU184" s="2" t="n">
        <v>2014</v>
      </c>
      <c r="AV184" s="2" t="n">
        <v>127</v>
      </c>
      <c r="AW184" s="2" t="n">
        <v>21</v>
      </c>
      <c r="AX184" s="2"/>
      <c r="AY184" s="2"/>
      <c r="AZ184" s="2"/>
      <c r="BA184" s="2"/>
      <c r="BB184" s="2" t="n">
        <v>3706</v>
      </c>
      <c r="BC184" s="2" t="n">
        <v>3711</v>
      </c>
      <c r="BD184" s="2"/>
      <c r="BE184" s="2" t="s">
        <v>3799</v>
      </c>
      <c r="BF184" s="2" t="str">
        <f aca="false">HYPERLINK("http://dx.doi.org/10.3760/cma.j.issn.0366-6999.20141556","http://dx.doi.org/10.3760/cma.j.issn.0366-6999.20141556")</f>
        <v>http://dx.doi.org/10.3760/cma.j.issn.0366-6999.20141556</v>
      </c>
      <c r="BG184" s="2"/>
      <c r="BH184" s="2"/>
      <c r="BI184" s="2" t="n">
        <v>6</v>
      </c>
      <c r="BJ184" s="2" t="s">
        <v>363</v>
      </c>
      <c r="BK184" s="2" t="s">
        <v>100</v>
      </c>
      <c r="BL184" s="2" t="s">
        <v>364</v>
      </c>
      <c r="BM184" s="2" t="s">
        <v>3800</v>
      </c>
      <c r="BN184" s="2" t="n">
        <v>25382323</v>
      </c>
      <c r="BO184" s="2" t="s">
        <v>1355</v>
      </c>
      <c r="BP184" s="2"/>
      <c r="BQ184" s="2"/>
      <c r="BR184" s="2" t="s">
        <v>104</v>
      </c>
      <c r="BS184" s="2" t="s">
        <v>3801</v>
      </c>
      <c r="BT184" s="2" t="str">
        <f aca="false">HYPERLINK("https%3A%2F%2Fwww.webofscience.com%2Fwos%2Fwoscc%2Ffull-record%2FWOS:000346329300006","View Full Record in Web of Science")</f>
        <v>View Full Record in Web of Science</v>
      </c>
    </row>
    <row r="185" customFormat="false" ht="12.75" hidden="false" customHeight="false" outlineLevel="0" collapsed="false">
      <c r="A185" s="2" t="s">
        <v>72</v>
      </c>
      <c r="B185" s="2" t="s">
        <v>3802</v>
      </c>
      <c r="C185" s="2"/>
      <c r="D185" s="2"/>
      <c r="E185" s="2"/>
      <c r="F185" s="2" t="s">
        <v>3803</v>
      </c>
      <c r="G185" s="2"/>
      <c r="H185" s="2"/>
      <c r="I185" s="2" t="s">
        <v>3804</v>
      </c>
      <c r="J185" s="2" t="s">
        <v>141</v>
      </c>
      <c r="K185" s="2"/>
      <c r="L185" s="2"/>
      <c r="M185" s="2" t="s">
        <v>77</v>
      </c>
      <c r="N185" s="2" t="s">
        <v>78</v>
      </c>
      <c r="O185" s="2"/>
      <c r="P185" s="2"/>
      <c r="Q185" s="2"/>
      <c r="R185" s="2"/>
      <c r="S185" s="2"/>
      <c r="T185" s="2" t="s">
        <v>3805</v>
      </c>
      <c r="U185" s="2" t="s">
        <v>3806</v>
      </c>
      <c r="V185" s="2" t="s">
        <v>3807</v>
      </c>
      <c r="W185" s="2" t="s">
        <v>3808</v>
      </c>
      <c r="X185" s="2"/>
      <c r="Y185" s="2" t="s">
        <v>3809</v>
      </c>
      <c r="Z185" s="2" t="s">
        <v>3810</v>
      </c>
      <c r="AA185" s="2" t="s">
        <v>3811</v>
      </c>
      <c r="AB185" s="2" t="s">
        <v>3812</v>
      </c>
      <c r="AC185" s="2"/>
      <c r="AD185" s="2"/>
      <c r="AE185" s="2"/>
      <c r="AF185" s="2"/>
      <c r="AG185" s="2" t="n">
        <v>38</v>
      </c>
      <c r="AH185" s="2" t="n">
        <v>27</v>
      </c>
      <c r="AI185" s="2" t="n">
        <v>29</v>
      </c>
      <c r="AJ185" s="2" t="n">
        <v>2</v>
      </c>
      <c r="AK185" s="2" t="n">
        <v>32</v>
      </c>
      <c r="AL185" s="2" t="s">
        <v>3813</v>
      </c>
      <c r="AM185" s="2" t="s">
        <v>155</v>
      </c>
      <c r="AN185" s="2" t="s">
        <v>156</v>
      </c>
      <c r="AO185" s="2" t="s">
        <v>157</v>
      </c>
      <c r="AP185" s="2" t="s">
        <v>158</v>
      </c>
      <c r="AQ185" s="2"/>
      <c r="AR185" s="2" t="s">
        <v>159</v>
      </c>
      <c r="AS185" s="2" t="s">
        <v>160</v>
      </c>
      <c r="AT185" s="2" t="s">
        <v>1041</v>
      </c>
      <c r="AU185" s="2" t="n">
        <v>2017</v>
      </c>
      <c r="AV185" s="2" t="n">
        <v>89</v>
      </c>
      <c r="AW185" s="2" t="n">
        <v>2</v>
      </c>
      <c r="AX185" s="2"/>
      <c r="AY185" s="2"/>
      <c r="AZ185" s="2"/>
      <c r="BA185" s="2"/>
      <c r="BB185" s="2" t="n">
        <v>195</v>
      </c>
      <c r="BC185" s="2" t="n">
        <v>201</v>
      </c>
      <c r="BD185" s="2"/>
      <c r="BE185" s="2" t="s">
        <v>3814</v>
      </c>
      <c r="BF185" s="2" t="str">
        <f aca="false">HYPERLINK("http://dx.doi.org/10.1002/jmv.24632","http://dx.doi.org/10.1002/jmv.24632")</f>
        <v>http://dx.doi.org/10.1002/jmv.24632</v>
      </c>
      <c r="BG185" s="2"/>
      <c r="BH185" s="2"/>
      <c r="BI185" s="2" t="n">
        <v>7</v>
      </c>
      <c r="BJ185" s="2" t="s">
        <v>163</v>
      </c>
      <c r="BK185" s="2" t="s">
        <v>100</v>
      </c>
      <c r="BL185" s="2" t="s">
        <v>163</v>
      </c>
      <c r="BM185" s="2" t="s">
        <v>3815</v>
      </c>
      <c r="BN185" s="2" t="n">
        <v>27430485</v>
      </c>
      <c r="BO185" s="2" t="s">
        <v>165</v>
      </c>
      <c r="BP185" s="2"/>
      <c r="BQ185" s="2"/>
      <c r="BR185" s="2" t="s">
        <v>104</v>
      </c>
      <c r="BS185" s="2" t="s">
        <v>3816</v>
      </c>
      <c r="BT185" s="2" t="str">
        <f aca="false">HYPERLINK("https%3A%2F%2Fwww.webofscience.com%2Fwos%2Fwoscc%2Ffull-record%2FWOS:000389316800002","View Full Record in Web of Science")</f>
        <v>View Full Record in Web of Science</v>
      </c>
    </row>
    <row r="186" customFormat="false" ht="12.75" hidden="false" customHeight="false" outlineLevel="0" collapsed="false">
      <c r="A186" s="2" t="s">
        <v>72</v>
      </c>
      <c r="B186" s="2" t="s">
        <v>3817</v>
      </c>
      <c r="C186" s="2"/>
      <c r="D186" s="2"/>
      <c r="E186" s="2"/>
      <c r="F186" s="2" t="s">
        <v>3818</v>
      </c>
      <c r="G186" s="2"/>
      <c r="H186" s="2"/>
      <c r="I186" s="2" t="s">
        <v>3819</v>
      </c>
      <c r="J186" s="2" t="s">
        <v>2713</v>
      </c>
      <c r="K186" s="2"/>
      <c r="L186" s="2"/>
      <c r="M186" s="2" t="s">
        <v>77</v>
      </c>
      <c r="N186" s="2" t="s">
        <v>78</v>
      </c>
      <c r="O186" s="2"/>
      <c r="P186" s="2"/>
      <c r="Q186" s="2"/>
      <c r="R186" s="2"/>
      <c r="S186" s="2"/>
      <c r="T186" s="2" t="s">
        <v>3820</v>
      </c>
      <c r="U186" s="2" t="s">
        <v>3821</v>
      </c>
      <c r="V186" s="2" t="s">
        <v>3822</v>
      </c>
      <c r="W186" s="2" t="s">
        <v>3823</v>
      </c>
      <c r="X186" s="2" t="s">
        <v>3824</v>
      </c>
      <c r="Y186" s="2" t="s">
        <v>3825</v>
      </c>
      <c r="Z186" s="2" t="s">
        <v>3826</v>
      </c>
      <c r="AA186" s="2"/>
      <c r="AB186" s="2" t="s">
        <v>3827</v>
      </c>
      <c r="AC186" s="2"/>
      <c r="AD186" s="2"/>
      <c r="AE186" s="2"/>
      <c r="AF186" s="2"/>
      <c r="AG186" s="2" t="n">
        <v>56</v>
      </c>
      <c r="AH186" s="2" t="n">
        <v>16</v>
      </c>
      <c r="AI186" s="2" t="n">
        <v>16</v>
      </c>
      <c r="AJ186" s="2" t="n">
        <v>0</v>
      </c>
      <c r="AK186" s="2" t="n">
        <v>2</v>
      </c>
      <c r="AL186" s="2" t="s">
        <v>1460</v>
      </c>
      <c r="AM186" s="2" t="s">
        <v>593</v>
      </c>
      <c r="AN186" s="2" t="s">
        <v>2088</v>
      </c>
      <c r="AO186" s="2" t="s">
        <v>2726</v>
      </c>
      <c r="AP186" s="2" t="s">
        <v>2727</v>
      </c>
      <c r="AQ186" s="2"/>
      <c r="AR186" s="2" t="s">
        <v>2728</v>
      </c>
      <c r="AS186" s="2" t="s">
        <v>2729</v>
      </c>
      <c r="AT186" s="2" t="s">
        <v>692</v>
      </c>
      <c r="AU186" s="2" t="n">
        <v>2020</v>
      </c>
      <c r="AV186" s="2" t="n">
        <v>26</v>
      </c>
      <c r="AW186" s="2" t="n">
        <v>4</v>
      </c>
      <c r="AX186" s="2"/>
      <c r="AY186" s="2"/>
      <c r="AZ186" s="2"/>
      <c r="BA186" s="2"/>
      <c r="BB186" s="2" t="n">
        <v>782</v>
      </c>
      <c r="BC186" s="2" t="n">
        <v>788</v>
      </c>
      <c r="BD186" s="2"/>
      <c r="BE186" s="2" t="s">
        <v>3828</v>
      </c>
      <c r="BF186" s="2" t="str">
        <f aca="false">HYPERLINK("http://dx.doi.org/10.1016/j.bbmt.2019.12.724","http://dx.doi.org/10.1016/j.bbmt.2019.12.724")</f>
        <v>http://dx.doi.org/10.1016/j.bbmt.2019.12.724</v>
      </c>
      <c r="BG186" s="2"/>
      <c r="BH186" s="2"/>
      <c r="BI186" s="2" t="n">
        <v>7</v>
      </c>
      <c r="BJ186" s="2" t="s">
        <v>2731</v>
      </c>
      <c r="BK186" s="2" t="s">
        <v>100</v>
      </c>
      <c r="BL186" s="2" t="s">
        <v>2731</v>
      </c>
      <c r="BM186" s="2" t="s">
        <v>3829</v>
      </c>
      <c r="BN186" s="2" t="n">
        <v>31866345</v>
      </c>
      <c r="BO186" s="2" t="s">
        <v>2278</v>
      </c>
      <c r="BP186" s="2"/>
      <c r="BQ186" s="2"/>
      <c r="BR186" s="2" t="s">
        <v>104</v>
      </c>
      <c r="BS186" s="2" t="s">
        <v>3830</v>
      </c>
      <c r="BT186" s="2" t="str">
        <f aca="false">HYPERLINK("https%3A%2F%2Fwww.webofscience.com%2Fwos%2Fwoscc%2Ffull-record%2FWOS:000530091800025","View Full Record in Web of Science")</f>
        <v>View Full Record in Web of Science</v>
      </c>
    </row>
    <row r="187" customFormat="false" ht="12.75" hidden="false" customHeight="false" outlineLevel="0" collapsed="false">
      <c r="A187" s="2" t="s">
        <v>72</v>
      </c>
      <c r="B187" s="2" t="s">
        <v>3831</v>
      </c>
      <c r="C187" s="2"/>
      <c r="D187" s="2"/>
      <c r="E187" s="2"/>
      <c r="F187" s="2" t="s">
        <v>3832</v>
      </c>
      <c r="G187" s="2"/>
      <c r="H187" s="2"/>
      <c r="I187" s="2" t="s">
        <v>3833</v>
      </c>
      <c r="J187" s="2" t="s">
        <v>141</v>
      </c>
      <c r="K187" s="2"/>
      <c r="L187" s="2"/>
      <c r="M187" s="2" t="s">
        <v>77</v>
      </c>
      <c r="N187" s="2" t="s">
        <v>78</v>
      </c>
      <c r="O187" s="2"/>
      <c r="P187" s="2"/>
      <c r="Q187" s="2"/>
      <c r="R187" s="2"/>
      <c r="S187" s="2"/>
      <c r="T187" s="2" t="s">
        <v>3834</v>
      </c>
      <c r="U187" s="2" t="s">
        <v>3835</v>
      </c>
      <c r="V187" s="2" t="s">
        <v>3836</v>
      </c>
      <c r="W187" s="2" t="s">
        <v>3837</v>
      </c>
      <c r="X187" s="2" t="s">
        <v>3838</v>
      </c>
      <c r="Y187" s="2" t="s">
        <v>3839</v>
      </c>
      <c r="Z187" s="2" t="s">
        <v>3840</v>
      </c>
      <c r="AA187" s="2"/>
      <c r="AB187" s="2"/>
      <c r="AC187" s="2"/>
      <c r="AD187" s="2"/>
      <c r="AE187" s="2"/>
      <c r="AF187" s="2"/>
      <c r="AG187" s="2" t="n">
        <v>44</v>
      </c>
      <c r="AH187" s="2" t="n">
        <v>25</v>
      </c>
      <c r="AI187" s="2" t="n">
        <v>33</v>
      </c>
      <c r="AJ187" s="2" t="n">
        <v>0</v>
      </c>
      <c r="AK187" s="2" t="n">
        <v>17</v>
      </c>
      <c r="AL187" s="2" t="s">
        <v>154</v>
      </c>
      <c r="AM187" s="2" t="s">
        <v>155</v>
      </c>
      <c r="AN187" s="2" t="s">
        <v>156</v>
      </c>
      <c r="AO187" s="2" t="s">
        <v>157</v>
      </c>
      <c r="AP187" s="2" t="s">
        <v>158</v>
      </c>
      <c r="AQ187" s="2"/>
      <c r="AR187" s="2" t="s">
        <v>159</v>
      </c>
      <c r="AS187" s="2" t="s">
        <v>160</v>
      </c>
      <c r="AT187" s="2" t="s">
        <v>599</v>
      </c>
      <c r="AU187" s="2" t="n">
        <v>2014</v>
      </c>
      <c r="AV187" s="2" t="n">
        <v>86</v>
      </c>
      <c r="AW187" s="2" t="n">
        <v>7</v>
      </c>
      <c r="AX187" s="2"/>
      <c r="AY187" s="2"/>
      <c r="AZ187" s="2"/>
      <c r="BA187" s="2"/>
      <c r="BB187" s="2" t="n">
        <v>1249</v>
      </c>
      <c r="BC187" s="2" t="n">
        <v>1255</v>
      </c>
      <c r="BD187" s="2"/>
      <c r="BE187" s="2" t="s">
        <v>3841</v>
      </c>
      <c r="BF187" s="2" t="str">
        <f aca="false">HYPERLINK("http://dx.doi.org/10.1002/jmv.23931","http://dx.doi.org/10.1002/jmv.23931")</f>
        <v>http://dx.doi.org/10.1002/jmv.23931</v>
      </c>
      <c r="BG187" s="2"/>
      <c r="BH187" s="2"/>
      <c r="BI187" s="2" t="n">
        <v>7</v>
      </c>
      <c r="BJ187" s="2" t="s">
        <v>163</v>
      </c>
      <c r="BK187" s="2" t="s">
        <v>100</v>
      </c>
      <c r="BL187" s="2" t="s">
        <v>163</v>
      </c>
      <c r="BM187" s="2" t="s">
        <v>3842</v>
      </c>
      <c r="BN187" s="2" t="n">
        <v>24619492</v>
      </c>
      <c r="BO187" s="2"/>
      <c r="BP187" s="2"/>
      <c r="BQ187" s="2"/>
      <c r="BR187" s="2" t="s">
        <v>104</v>
      </c>
      <c r="BS187" s="2" t="s">
        <v>3843</v>
      </c>
      <c r="BT187" s="2" t="str">
        <f aca="false">HYPERLINK("https%3A%2F%2Fwww.webofscience.com%2Fwos%2Fwoscc%2Ffull-record%2FWOS:000335195300023","View Full Record in Web of Science")</f>
        <v>View Full Record in Web of Science</v>
      </c>
    </row>
    <row r="188" customFormat="false" ht="12.75" hidden="false" customHeight="false" outlineLevel="0" collapsed="false">
      <c r="A188" s="2" t="s">
        <v>72</v>
      </c>
      <c r="B188" s="2" t="s">
        <v>3844</v>
      </c>
      <c r="C188" s="2"/>
      <c r="D188" s="2"/>
      <c r="E188" s="2"/>
      <c r="F188" s="2" t="s">
        <v>3845</v>
      </c>
      <c r="G188" s="2"/>
      <c r="H188" s="2"/>
      <c r="I188" s="2" t="s">
        <v>3846</v>
      </c>
      <c r="J188" s="2" t="s">
        <v>971</v>
      </c>
      <c r="K188" s="2"/>
      <c r="L188" s="2"/>
      <c r="M188" s="2" t="s">
        <v>77</v>
      </c>
      <c r="N188" s="2" t="s">
        <v>78</v>
      </c>
      <c r="O188" s="2"/>
      <c r="P188" s="2"/>
      <c r="Q188" s="2"/>
      <c r="R188" s="2"/>
      <c r="S188" s="2"/>
      <c r="T188" s="2" t="s">
        <v>3847</v>
      </c>
      <c r="U188" s="2" t="s">
        <v>3848</v>
      </c>
      <c r="V188" s="2" t="s">
        <v>3849</v>
      </c>
      <c r="W188" s="2" t="s">
        <v>3850</v>
      </c>
      <c r="X188" s="2" t="s">
        <v>3851</v>
      </c>
      <c r="Y188" s="2" t="s">
        <v>3852</v>
      </c>
      <c r="Z188" s="2" t="s">
        <v>3853</v>
      </c>
      <c r="AA188" s="2"/>
      <c r="AB188" s="2"/>
      <c r="AC188" s="2"/>
      <c r="AD188" s="2"/>
      <c r="AE188" s="2"/>
      <c r="AF188" s="2"/>
      <c r="AG188" s="2" t="n">
        <v>220</v>
      </c>
      <c r="AH188" s="2" t="n">
        <v>44</v>
      </c>
      <c r="AI188" s="2" t="n">
        <v>45</v>
      </c>
      <c r="AJ188" s="2" t="n">
        <v>0</v>
      </c>
      <c r="AK188" s="2" t="n">
        <v>9</v>
      </c>
      <c r="AL188" s="2" t="s">
        <v>957</v>
      </c>
      <c r="AM188" s="2" t="s">
        <v>123</v>
      </c>
      <c r="AN188" s="2" t="s">
        <v>958</v>
      </c>
      <c r="AO188" s="2" t="s">
        <v>982</v>
      </c>
      <c r="AP188" s="2" t="s">
        <v>983</v>
      </c>
      <c r="AQ188" s="2"/>
      <c r="AR188" s="2" t="s">
        <v>984</v>
      </c>
      <c r="AS188" s="2" t="s">
        <v>985</v>
      </c>
      <c r="AT188" s="2" t="s">
        <v>446</v>
      </c>
      <c r="AU188" s="2" t="n">
        <v>2017</v>
      </c>
      <c r="AV188" s="2" t="n">
        <v>38</v>
      </c>
      <c r="AW188" s="2" t="n">
        <v>4</v>
      </c>
      <c r="AX188" s="2"/>
      <c r="AY188" s="2"/>
      <c r="AZ188" s="2"/>
      <c r="BA188" s="2"/>
      <c r="BB188" s="2" t="n">
        <v>707</v>
      </c>
      <c r="BC188" s="2" t="n">
        <v>726</v>
      </c>
      <c r="BD188" s="2"/>
      <c r="BE188" s="2" t="s">
        <v>3854</v>
      </c>
      <c r="BF188" s="2" t="str">
        <f aca="false">HYPERLINK("http://dx.doi.org/10.1016/j.ccm.2017.07.012","http://dx.doi.org/10.1016/j.ccm.2017.07.012")</f>
        <v>http://dx.doi.org/10.1016/j.ccm.2017.07.012</v>
      </c>
      <c r="BG188" s="2"/>
      <c r="BH188" s="2"/>
      <c r="BI188" s="2" t="n">
        <v>20</v>
      </c>
      <c r="BJ188" s="2" t="s">
        <v>338</v>
      </c>
      <c r="BK188" s="2" t="s">
        <v>100</v>
      </c>
      <c r="BL188" s="2" t="s">
        <v>338</v>
      </c>
      <c r="BM188" s="2" t="s">
        <v>3855</v>
      </c>
      <c r="BN188" s="2" t="n">
        <v>29128020</v>
      </c>
      <c r="BO188" s="2" t="s">
        <v>165</v>
      </c>
      <c r="BP188" s="2"/>
      <c r="BQ188" s="2"/>
      <c r="BR188" s="2" t="s">
        <v>104</v>
      </c>
      <c r="BS188" s="2" t="s">
        <v>3856</v>
      </c>
      <c r="BT188" s="2" t="str">
        <f aca="false">HYPERLINK("https%3A%2F%2Fwww.webofscience.com%2Fwos%2Fwoscc%2Ffull-record%2FWOS:000417772000011","View Full Record in Web of Science")</f>
        <v>View Full Record in Web of Science</v>
      </c>
    </row>
    <row r="189" customFormat="false" ht="12.75" hidden="false" customHeight="false" outlineLevel="0" collapsed="false">
      <c r="A189" s="2" t="s">
        <v>72</v>
      </c>
      <c r="B189" s="2" t="s">
        <v>3857</v>
      </c>
      <c r="C189" s="2"/>
      <c r="D189" s="2"/>
      <c r="E189" s="2"/>
      <c r="F189" s="2" t="s">
        <v>3858</v>
      </c>
      <c r="G189" s="2"/>
      <c r="H189" s="2"/>
      <c r="I189" s="2" t="s">
        <v>3859</v>
      </c>
      <c r="J189" s="2" t="s">
        <v>3860</v>
      </c>
      <c r="K189" s="2"/>
      <c r="L189" s="2"/>
      <c r="M189" s="2" t="s">
        <v>77</v>
      </c>
      <c r="N189" s="2" t="s">
        <v>78</v>
      </c>
      <c r="O189" s="2"/>
      <c r="P189" s="2"/>
      <c r="Q189" s="2"/>
      <c r="R189" s="2"/>
      <c r="S189" s="2"/>
      <c r="T189" s="2" t="s">
        <v>3861</v>
      </c>
      <c r="U189" s="2" t="s">
        <v>3862</v>
      </c>
      <c r="V189" s="2" t="s">
        <v>3863</v>
      </c>
      <c r="W189" s="2" t="s">
        <v>3864</v>
      </c>
      <c r="X189" s="2" t="s">
        <v>3865</v>
      </c>
      <c r="Y189" s="2" t="s">
        <v>3866</v>
      </c>
      <c r="Z189" s="2" t="s">
        <v>3867</v>
      </c>
      <c r="AA189" s="2"/>
      <c r="AB189" s="2" t="s">
        <v>3868</v>
      </c>
      <c r="AC189" s="2" t="s">
        <v>3869</v>
      </c>
      <c r="AD189" s="2" t="s">
        <v>3870</v>
      </c>
      <c r="AE189" s="2" t="s">
        <v>3871</v>
      </c>
      <c r="AF189" s="2"/>
      <c r="AG189" s="2" t="n">
        <v>30</v>
      </c>
      <c r="AH189" s="2" t="n">
        <v>18</v>
      </c>
      <c r="AI189" s="2" t="n">
        <v>18</v>
      </c>
      <c r="AJ189" s="2" t="n">
        <v>2</v>
      </c>
      <c r="AK189" s="2" t="n">
        <v>42</v>
      </c>
      <c r="AL189" s="2" t="s">
        <v>3872</v>
      </c>
      <c r="AM189" s="2" t="s">
        <v>330</v>
      </c>
      <c r="AN189" s="2" t="s">
        <v>3873</v>
      </c>
      <c r="AO189" s="2" t="s">
        <v>3874</v>
      </c>
      <c r="AP189" s="2" t="s">
        <v>3875</v>
      </c>
      <c r="AQ189" s="2"/>
      <c r="AR189" s="2" t="s">
        <v>3876</v>
      </c>
      <c r="AS189" s="2" t="s">
        <v>3877</v>
      </c>
      <c r="AT189" s="2" t="s">
        <v>446</v>
      </c>
      <c r="AU189" s="2" t="n">
        <v>2021</v>
      </c>
      <c r="AV189" s="2" t="n">
        <v>15</v>
      </c>
      <c r="AW189" s="2" t="n">
        <v>4</v>
      </c>
      <c r="AX189" s="2"/>
      <c r="AY189" s="2"/>
      <c r="AZ189" s="2"/>
      <c r="BA189" s="2"/>
      <c r="BB189" s="2" t="n">
        <v>371</v>
      </c>
      <c r="BC189" s="2" t="n">
        <v>380</v>
      </c>
      <c r="BD189" s="2"/>
      <c r="BE189" s="2" t="s">
        <v>3878</v>
      </c>
      <c r="BF189" s="2" t="str">
        <f aca="false">HYPERLINK("http://dx.doi.org/10.1007/s13206-021-00037-w","http://dx.doi.org/10.1007/s13206-021-00037-w")</f>
        <v>http://dx.doi.org/10.1007/s13206-021-00037-w</v>
      </c>
      <c r="BG189" s="2"/>
      <c r="BH189" s="2" t="s">
        <v>3879</v>
      </c>
      <c r="BI189" s="2" t="n">
        <v>10</v>
      </c>
      <c r="BJ189" s="2" t="s">
        <v>3880</v>
      </c>
      <c r="BK189" s="2" t="s">
        <v>100</v>
      </c>
      <c r="BL189" s="2" t="s">
        <v>3881</v>
      </c>
      <c r="BM189" s="2" t="s">
        <v>3882</v>
      </c>
      <c r="BN189" s="2" t="n">
        <v>34745431</v>
      </c>
      <c r="BO189" s="2" t="s">
        <v>538</v>
      </c>
      <c r="BP189" s="2"/>
      <c r="BQ189" s="2"/>
      <c r="BR189" s="2" t="s">
        <v>104</v>
      </c>
      <c r="BS189" s="2" t="s">
        <v>3883</v>
      </c>
      <c r="BT189" s="2" t="str">
        <f aca="false">HYPERLINK("https%3A%2F%2Fwww.webofscience.com%2Fwos%2Fwoscc%2Ffull-record%2FWOS:000714326900002","View Full Record in Web of Science")</f>
        <v>View Full Record in Web of Science</v>
      </c>
    </row>
    <row r="190" customFormat="false" ht="12.75" hidden="false" customHeight="false" outlineLevel="0" collapsed="false">
      <c r="A190" s="2" t="s">
        <v>72</v>
      </c>
      <c r="B190" s="2" t="s">
        <v>3884</v>
      </c>
      <c r="C190" s="2"/>
      <c r="D190" s="2"/>
      <c r="E190" s="2"/>
      <c r="F190" s="2" t="s">
        <v>3885</v>
      </c>
      <c r="G190" s="2"/>
      <c r="H190" s="2"/>
      <c r="I190" s="2" t="s">
        <v>3886</v>
      </c>
      <c r="J190" s="2" t="s">
        <v>717</v>
      </c>
      <c r="K190" s="2"/>
      <c r="L190" s="2"/>
      <c r="M190" s="2" t="s">
        <v>77</v>
      </c>
      <c r="N190" s="2" t="s">
        <v>78</v>
      </c>
      <c r="O190" s="2"/>
      <c r="P190" s="2"/>
      <c r="Q190" s="2"/>
      <c r="R190" s="2"/>
      <c r="S190" s="2"/>
      <c r="T190" s="2" t="s">
        <v>3887</v>
      </c>
      <c r="U190" s="2" t="s">
        <v>3888</v>
      </c>
      <c r="V190" s="2" t="s">
        <v>3889</v>
      </c>
      <c r="W190" s="2" t="s">
        <v>3890</v>
      </c>
      <c r="X190" s="2" t="s">
        <v>3891</v>
      </c>
      <c r="Y190" s="2" t="s">
        <v>3892</v>
      </c>
      <c r="Z190" s="2" t="s">
        <v>3893</v>
      </c>
      <c r="AA190" s="2" t="s">
        <v>3894</v>
      </c>
      <c r="AB190" s="2" t="s">
        <v>3895</v>
      </c>
      <c r="AC190" s="2" t="s">
        <v>3896</v>
      </c>
      <c r="AD190" s="2" t="s">
        <v>3896</v>
      </c>
      <c r="AE190" s="2" t="s">
        <v>3897</v>
      </c>
      <c r="AF190" s="2"/>
      <c r="AG190" s="2" t="n">
        <v>34</v>
      </c>
      <c r="AH190" s="2" t="n">
        <v>49</v>
      </c>
      <c r="AI190" s="2" t="n">
        <v>60</v>
      </c>
      <c r="AJ190" s="2" t="n">
        <v>1</v>
      </c>
      <c r="AK190" s="2" t="n">
        <v>27</v>
      </c>
      <c r="AL190" s="2" t="s">
        <v>549</v>
      </c>
      <c r="AM190" s="2" t="s">
        <v>384</v>
      </c>
      <c r="AN190" s="2" t="s">
        <v>550</v>
      </c>
      <c r="AO190" s="2" t="s">
        <v>729</v>
      </c>
      <c r="AP190" s="2" t="s">
        <v>730</v>
      </c>
      <c r="AQ190" s="2"/>
      <c r="AR190" s="2" t="s">
        <v>731</v>
      </c>
      <c r="AS190" s="2" t="s">
        <v>732</v>
      </c>
      <c r="AT190" s="2" t="s">
        <v>390</v>
      </c>
      <c r="AU190" s="2" t="n">
        <v>2010</v>
      </c>
      <c r="AV190" s="2" t="n">
        <v>165</v>
      </c>
      <c r="AW190" s="2" t="n">
        <v>2</v>
      </c>
      <c r="AX190" s="2"/>
      <c r="AY190" s="2"/>
      <c r="AZ190" s="2"/>
      <c r="BA190" s="2"/>
      <c r="BB190" s="2" t="n">
        <v>254</v>
      </c>
      <c r="BC190" s="2" t="n">
        <v>260</v>
      </c>
      <c r="BD190" s="2"/>
      <c r="BE190" s="2" t="s">
        <v>3898</v>
      </c>
      <c r="BF190" s="2" t="str">
        <f aca="false">HYPERLINK("http://dx.doi.org/10.1016/j.jviromet.2010.02.005","http://dx.doi.org/10.1016/j.jviromet.2010.02.005")</f>
        <v>http://dx.doi.org/10.1016/j.jviromet.2010.02.005</v>
      </c>
      <c r="BG190" s="2"/>
      <c r="BH190" s="2"/>
      <c r="BI190" s="2" t="n">
        <v>7</v>
      </c>
      <c r="BJ190" s="2" t="s">
        <v>735</v>
      </c>
      <c r="BK190" s="2" t="s">
        <v>100</v>
      </c>
      <c r="BL190" s="2" t="s">
        <v>736</v>
      </c>
      <c r="BM190" s="2" t="s">
        <v>3899</v>
      </c>
      <c r="BN190" s="2" t="n">
        <v>20153377</v>
      </c>
      <c r="BO190" s="2" t="s">
        <v>165</v>
      </c>
      <c r="BP190" s="2"/>
      <c r="BQ190" s="2"/>
      <c r="BR190" s="2" t="s">
        <v>104</v>
      </c>
      <c r="BS190" s="2" t="s">
        <v>3900</v>
      </c>
      <c r="BT190" s="2" t="str">
        <f aca="false">HYPERLINK("https%3A%2F%2Fwww.webofscience.com%2Fwos%2Fwoscc%2Ffull-record%2FWOS:000277763700018","View Full Record in Web of Science")</f>
        <v>View Full Record in Web of Science</v>
      </c>
    </row>
    <row r="191" customFormat="false" ht="12.75" hidden="false" customHeight="false" outlineLevel="0" collapsed="false">
      <c r="A191" s="2" t="s">
        <v>72</v>
      </c>
      <c r="B191" s="2" t="s">
        <v>3901</v>
      </c>
      <c r="C191" s="2"/>
      <c r="D191" s="2"/>
      <c r="E191" s="2"/>
      <c r="F191" s="2" t="s">
        <v>3902</v>
      </c>
      <c r="G191" s="2"/>
      <c r="H191" s="2"/>
      <c r="I191" s="2" t="s">
        <v>3903</v>
      </c>
      <c r="J191" s="2" t="s">
        <v>3904</v>
      </c>
      <c r="K191" s="2"/>
      <c r="L191" s="2"/>
      <c r="M191" s="2" t="s">
        <v>77</v>
      </c>
      <c r="N191" s="2" t="s">
        <v>78</v>
      </c>
      <c r="O191" s="2"/>
      <c r="P191" s="2"/>
      <c r="Q191" s="2"/>
      <c r="R191" s="2"/>
      <c r="S191" s="2"/>
      <c r="T191" s="2" t="s">
        <v>3905</v>
      </c>
      <c r="U191" s="2" t="s">
        <v>3906</v>
      </c>
      <c r="V191" s="2" t="s">
        <v>3907</v>
      </c>
      <c r="W191" s="2" t="s">
        <v>3908</v>
      </c>
      <c r="X191" s="2" t="s">
        <v>3909</v>
      </c>
      <c r="Y191" s="2" t="s">
        <v>3910</v>
      </c>
      <c r="Z191" s="2" t="s">
        <v>3911</v>
      </c>
      <c r="AA191" s="2" t="s">
        <v>3912</v>
      </c>
      <c r="AB191" s="2" t="s">
        <v>3913</v>
      </c>
      <c r="AC191" s="2" t="s">
        <v>3914</v>
      </c>
      <c r="AD191" s="2" t="s">
        <v>3915</v>
      </c>
      <c r="AE191" s="2" t="s">
        <v>3916</v>
      </c>
      <c r="AF191" s="2"/>
      <c r="AG191" s="2" t="n">
        <v>50</v>
      </c>
      <c r="AH191" s="2" t="n">
        <v>65</v>
      </c>
      <c r="AI191" s="2" t="n">
        <v>77</v>
      </c>
      <c r="AJ191" s="2" t="n">
        <v>0</v>
      </c>
      <c r="AK191" s="2" t="n">
        <v>14</v>
      </c>
      <c r="AL191" s="2" t="s">
        <v>91</v>
      </c>
      <c r="AM191" s="2" t="s">
        <v>92</v>
      </c>
      <c r="AN191" s="2" t="s">
        <v>93</v>
      </c>
      <c r="AO191" s="2"/>
      <c r="AP191" s="2" t="s">
        <v>3917</v>
      </c>
      <c r="AQ191" s="2"/>
      <c r="AR191" s="2" t="s">
        <v>3918</v>
      </c>
      <c r="AS191" s="2" t="s">
        <v>3919</v>
      </c>
      <c r="AT191" s="2" t="s">
        <v>2795</v>
      </c>
      <c r="AU191" s="2" t="n">
        <v>2020</v>
      </c>
      <c r="AV191" s="2" t="n">
        <v>17</v>
      </c>
      <c r="AW191" s="2" t="n">
        <v>2</v>
      </c>
      <c r="AX191" s="2"/>
      <c r="AY191" s="2"/>
      <c r="AZ191" s="2"/>
      <c r="BA191" s="2"/>
      <c r="BB191" s="2"/>
      <c r="BC191" s="2"/>
      <c r="BD191" s="2" t="n">
        <v>564</v>
      </c>
      <c r="BE191" s="2" t="s">
        <v>3920</v>
      </c>
      <c r="BF191" s="2" t="str">
        <f aca="false">HYPERLINK("http://dx.doi.org/10.3390/ijerph17020564","http://dx.doi.org/10.3390/ijerph17020564")</f>
        <v>http://dx.doi.org/10.3390/ijerph17020564</v>
      </c>
      <c r="BG191" s="2"/>
      <c r="BH191" s="2"/>
      <c r="BI191" s="2" t="n">
        <v>13</v>
      </c>
      <c r="BJ191" s="2" t="s">
        <v>3921</v>
      </c>
      <c r="BK191" s="2" t="s">
        <v>1086</v>
      </c>
      <c r="BL191" s="2" t="s">
        <v>3922</v>
      </c>
      <c r="BM191" s="2" t="s">
        <v>3923</v>
      </c>
      <c r="BN191" s="2" t="n">
        <v>31952364</v>
      </c>
      <c r="BO191" s="2" t="s">
        <v>103</v>
      </c>
      <c r="BP191" s="2"/>
      <c r="BQ191" s="2"/>
      <c r="BR191" s="2" t="s">
        <v>104</v>
      </c>
      <c r="BS191" s="2" t="s">
        <v>3924</v>
      </c>
      <c r="BT191" s="2" t="str">
        <f aca="false">HYPERLINK("https%3A%2F%2Fwww.webofscience.com%2Fwos%2Fwoscc%2Ffull-record%2FWOS:000516827400185","View Full Record in Web of Science")</f>
        <v>View Full Record in Web of Science</v>
      </c>
    </row>
    <row r="192" customFormat="false" ht="12.75" hidden="false" customHeight="false" outlineLevel="0" collapsed="false">
      <c r="A192" s="2" t="s">
        <v>72</v>
      </c>
      <c r="B192" s="2" t="s">
        <v>3925</v>
      </c>
      <c r="C192" s="2"/>
      <c r="D192" s="2"/>
      <c r="E192" s="2"/>
      <c r="F192" s="2" t="s">
        <v>3926</v>
      </c>
      <c r="G192" s="2"/>
      <c r="H192" s="2"/>
      <c r="I192" s="2" t="s">
        <v>3927</v>
      </c>
      <c r="J192" s="2" t="s">
        <v>3928</v>
      </c>
      <c r="K192" s="2"/>
      <c r="L192" s="2"/>
      <c r="M192" s="2" t="s">
        <v>77</v>
      </c>
      <c r="N192" s="2" t="s">
        <v>78</v>
      </c>
      <c r="O192" s="2"/>
      <c r="P192" s="2"/>
      <c r="Q192" s="2"/>
      <c r="R192" s="2"/>
      <c r="S192" s="2"/>
      <c r="T192" s="2" t="s">
        <v>3929</v>
      </c>
      <c r="U192" s="2" t="s">
        <v>3930</v>
      </c>
      <c r="V192" s="2" t="s">
        <v>3931</v>
      </c>
      <c r="W192" s="2" t="s">
        <v>3932</v>
      </c>
      <c r="X192" s="2" t="s">
        <v>3933</v>
      </c>
      <c r="Y192" s="2" t="s">
        <v>3934</v>
      </c>
      <c r="Z192" s="2" t="s">
        <v>3935</v>
      </c>
      <c r="AA192" s="2"/>
      <c r="AB192" s="2"/>
      <c r="AC192" s="2"/>
      <c r="AD192" s="2"/>
      <c r="AE192" s="2"/>
      <c r="AF192" s="2"/>
      <c r="AG192" s="2" t="n">
        <v>95</v>
      </c>
      <c r="AH192" s="2" t="n">
        <v>5</v>
      </c>
      <c r="AI192" s="2" t="n">
        <v>5</v>
      </c>
      <c r="AJ192" s="2" t="n">
        <v>0</v>
      </c>
      <c r="AK192" s="2" t="n">
        <v>6</v>
      </c>
      <c r="AL192" s="2" t="s">
        <v>592</v>
      </c>
      <c r="AM192" s="2" t="s">
        <v>593</v>
      </c>
      <c r="AN192" s="2" t="s">
        <v>859</v>
      </c>
      <c r="AO192" s="2" t="s">
        <v>3936</v>
      </c>
      <c r="AP192" s="2" t="s">
        <v>3937</v>
      </c>
      <c r="AQ192" s="2"/>
      <c r="AR192" s="2" t="s">
        <v>3938</v>
      </c>
      <c r="AS192" s="2" t="s">
        <v>3939</v>
      </c>
      <c r="AT192" s="2" t="s">
        <v>446</v>
      </c>
      <c r="AU192" s="2" t="n">
        <v>2012</v>
      </c>
      <c r="AV192" s="2" t="n">
        <v>14</v>
      </c>
      <c r="AW192" s="2" t="n">
        <v>6</v>
      </c>
      <c r="AX192" s="2"/>
      <c r="AY192" s="2"/>
      <c r="AZ192" s="2"/>
      <c r="BA192" s="2"/>
      <c r="BB192" s="2" t="n">
        <v>658</v>
      </c>
      <c r="BC192" s="2" t="n">
        <v>667</v>
      </c>
      <c r="BD192" s="2"/>
      <c r="BE192" s="2" t="s">
        <v>3940</v>
      </c>
      <c r="BF192" s="2" t="str">
        <f aca="false">HYPERLINK("http://dx.doi.org/10.1007/s11908-012-0294-0","http://dx.doi.org/10.1007/s11908-012-0294-0")</f>
        <v>http://dx.doi.org/10.1007/s11908-012-0294-0</v>
      </c>
      <c r="BG192" s="2"/>
      <c r="BH192" s="2"/>
      <c r="BI192" s="2" t="n">
        <v>10</v>
      </c>
      <c r="BJ192" s="2" t="s">
        <v>575</v>
      </c>
      <c r="BK192" s="2" t="s">
        <v>100</v>
      </c>
      <c r="BL192" s="2" t="s">
        <v>575</v>
      </c>
      <c r="BM192" s="2" t="s">
        <v>3941</v>
      </c>
      <c r="BN192" s="2" t="n">
        <v>22968439</v>
      </c>
      <c r="BO192" s="2" t="s">
        <v>1267</v>
      </c>
      <c r="BP192" s="2"/>
      <c r="BQ192" s="2"/>
      <c r="BR192" s="2" t="s">
        <v>104</v>
      </c>
      <c r="BS192" s="2" t="s">
        <v>3942</v>
      </c>
      <c r="BT192" s="2" t="str">
        <f aca="false">HYPERLINK("https%3A%2F%2Fwww.webofscience.com%2Fwos%2Fwoscc%2Ffull-record%2FWOS:000208983500011","View Full Record in Web of Science")</f>
        <v>View Full Record in Web of Science</v>
      </c>
    </row>
    <row r="193" customFormat="false" ht="12.75" hidden="false" customHeight="false" outlineLevel="0" collapsed="false">
      <c r="A193" s="2" t="s">
        <v>72</v>
      </c>
      <c r="B193" s="2" t="s">
        <v>3943</v>
      </c>
      <c r="C193" s="2"/>
      <c r="D193" s="2"/>
      <c r="E193" s="2"/>
      <c r="F193" s="2" t="s">
        <v>3944</v>
      </c>
      <c r="G193" s="2"/>
      <c r="H193" s="2"/>
      <c r="I193" s="2" t="s">
        <v>3945</v>
      </c>
      <c r="J193" s="2" t="s">
        <v>2001</v>
      </c>
      <c r="K193" s="2"/>
      <c r="L193" s="2"/>
      <c r="M193" s="2" t="s">
        <v>77</v>
      </c>
      <c r="N193" s="2" t="s">
        <v>78</v>
      </c>
      <c r="O193" s="2"/>
      <c r="P193" s="2"/>
      <c r="Q193" s="2"/>
      <c r="R193" s="2"/>
      <c r="S193" s="2"/>
      <c r="T193" s="2" t="s">
        <v>3946</v>
      </c>
      <c r="U193" s="2" t="s">
        <v>3947</v>
      </c>
      <c r="V193" s="2" t="s">
        <v>3948</v>
      </c>
      <c r="W193" s="2" t="s">
        <v>3949</v>
      </c>
      <c r="X193" s="2" t="s">
        <v>3950</v>
      </c>
      <c r="Y193" s="2" t="s">
        <v>3951</v>
      </c>
      <c r="Z193" s="2" t="s">
        <v>3952</v>
      </c>
      <c r="AA193" s="2" t="s">
        <v>3953</v>
      </c>
      <c r="AB193" s="2" t="s">
        <v>3954</v>
      </c>
      <c r="AC193" s="2"/>
      <c r="AD193" s="2"/>
      <c r="AE193" s="2"/>
      <c r="AF193" s="2"/>
      <c r="AG193" s="2" t="n">
        <v>42</v>
      </c>
      <c r="AH193" s="2" t="n">
        <v>0</v>
      </c>
      <c r="AI193" s="2" t="n">
        <v>0</v>
      </c>
      <c r="AJ193" s="2" t="n">
        <v>0</v>
      </c>
      <c r="AK193" s="2" t="n">
        <v>0</v>
      </c>
      <c r="AL193" s="2" t="s">
        <v>91</v>
      </c>
      <c r="AM193" s="2" t="s">
        <v>92</v>
      </c>
      <c r="AN193" s="2" t="s">
        <v>93</v>
      </c>
      <c r="AO193" s="2"/>
      <c r="AP193" s="2" t="s">
        <v>2013</v>
      </c>
      <c r="AQ193" s="2"/>
      <c r="AR193" s="2" t="s">
        <v>2001</v>
      </c>
      <c r="AS193" s="2" t="s">
        <v>2014</v>
      </c>
      <c r="AT193" s="2" t="s">
        <v>804</v>
      </c>
      <c r="AU193" s="2" t="n">
        <v>2024</v>
      </c>
      <c r="AV193" s="2" t="n">
        <v>13</v>
      </c>
      <c r="AW193" s="2" t="n">
        <v>11</v>
      </c>
      <c r="AX193" s="2"/>
      <c r="AY193" s="2"/>
      <c r="AZ193" s="2"/>
      <c r="BA193" s="2"/>
      <c r="BB193" s="2"/>
      <c r="BC193" s="2"/>
      <c r="BD193" s="2" t="n">
        <v>983</v>
      </c>
      <c r="BE193" s="2" t="s">
        <v>3955</v>
      </c>
      <c r="BF193" s="2" t="str">
        <f aca="false">HYPERLINK("http://dx.doi.org/10.3390/pathogens13110983","http://dx.doi.org/10.3390/pathogens13110983")</f>
        <v>http://dx.doi.org/10.3390/pathogens13110983</v>
      </c>
      <c r="BG193" s="2"/>
      <c r="BH193" s="2"/>
      <c r="BI193" s="2" t="n">
        <v>11</v>
      </c>
      <c r="BJ193" s="2" t="s">
        <v>211</v>
      </c>
      <c r="BK193" s="2" t="s">
        <v>100</v>
      </c>
      <c r="BL193" s="2" t="s">
        <v>211</v>
      </c>
      <c r="BM193" s="2" t="s">
        <v>3956</v>
      </c>
      <c r="BN193" s="2" t="n">
        <v>39599536</v>
      </c>
      <c r="BO193" s="2" t="s">
        <v>1355</v>
      </c>
      <c r="BP193" s="2"/>
      <c r="BQ193" s="2"/>
      <c r="BR193" s="2" t="s">
        <v>104</v>
      </c>
      <c r="BS193" s="2" t="s">
        <v>3957</v>
      </c>
      <c r="BT193" s="2" t="str">
        <f aca="false">HYPERLINK("https%3A%2F%2Fwww.webofscience.com%2Fwos%2Fwoscc%2Ffull-record%2FWOS:001367143600001","View Full Record in Web of Science")</f>
        <v>View Full Record in Web of Science</v>
      </c>
    </row>
    <row r="194" customFormat="false" ht="12.75" hidden="false" customHeight="false" outlineLevel="0" collapsed="false">
      <c r="A194" s="2" t="s">
        <v>72</v>
      </c>
      <c r="B194" s="2" t="s">
        <v>3958</v>
      </c>
      <c r="C194" s="2"/>
      <c r="D194" s="2"/>
      <c r="E194" s="2"/>
      <c r="F194" s="2" t="s">
        <v>3959</v>
      </c>
      <c r="G194" s="2"/>
      <c r="H194" s="2"/>
      <c r="I194" s="2" t="s">
        <v>3960</v>
      </c>
      <c r="J194" s="2" t="s">
        <v>3961</v>
      </c>
      <c r="K194" s="2"/>
      <c r="L194" s="2"/>
      <c r="M194" s="2" t="s">
        <v>77</v>
      </c>
      <c r="N194" s="2" t="s">
        <v>78</v>
      </c>
      <c r="O194" s="2"/>
      <c r="P194" s="2"/>
      <c r="Q194" s="2"/>
      <c r="R194" s="2"/>
      <c r="S194" s="2"/>
      <c r="T194" s="2" t="s">
        <v>3962</v>
      </c>
      <c r="U194" s="2" t="s">
        <v>172</v>
      </c>
      <c r="V194" s="2" t="s">
        <v>3963</v>
      </c>
      <c r="W194" s="2" t="s">
        <v>3964</v>
      </c>
      <c r="X194" s="2" t="s">
        <v>3965</v>
      </c>
      <c r="Y194" s="2" t="s">
        <v>3966</v>
      </c>
      <c r="Z194" s="2" t="s">
        <v>3967</v>
      </c>
      <c r="AA194" s="2" t="s">
        <v>3968</v>
      </c>
      <c r="AB194" s="2"/>
      <c r="AC194" s="2" t="s">
        <v>3969</v>
      </c>
      <c r="AD194" s="2" t="s">
        <v>3969</v>
      </c>
      <c r="AE194" s="2" t="s">
        <v>3970</v>
      </c>
      <c r="AF194" s="2"/>
      <c r="AG194" s="2" t="n">
        <v>26</v>
      </c>
      <c r="AH194" s="2" t="n">
        <v>0</v>
      </c>
      <c r="AI194" s="2" t="n">
        <v>0</v>
      </c>
      <c r="AJ194" s="2" t="n">
        <v>14</v>
      </c>
      <c r="AK194" s="2" t="n">
        <v>14</v>
      </c>
      <c r="AL194" s="2" t="s">
        <v>620</v>
      </c>
      <c r="AM194" s="2" t="s">
        <v>621</v>
      </c>
      <c r="AN194" s="2" t="s">
        <v>622</v>
      </c>
      <c r="AO194" s="2" t="s">
        <v>3971</v>
      </c>
      <c r="AP194" s="2"/>
      <c r="AQ194" s="2"/>
      <c r="AR194" s="2" t="s">
        <v>3972</v>
      </c>
      <c r="AS194" s="2" t="s">
        <v>3973</v>
      </c>
      <c r="AT194" s="2" t="s">
        <v>3974</v>
      </c>
      <c r="AU194" s="2" t="n">
        <v>2024</v>
      </c>
      <c r="AV194" s="2" t="n">
        <v>12</v>
      </c>
      <c r="AW194" s="2"/>
      <c r="AX194" s="2"/>
      <c r="AY194" s="2"/>
      <c r="AZ194" s="2"/>
      <c r="BA194" s="2"/>
      <c r="BB194" s="2"/>
      <c r="BC194" s="2"/>
      <c r="BD194" s="2" t="n">
        <v>1402831</v>
      </c>
      <c r="BE194" s="2" t="s">
        <v>3975</v>
      </c>
      <c r="BF194" s="2" t="str">
        <f aca="false">HYPERLINK("http://dx.doi.org/10.3389/fbioe.2024.1402831","http://dx.doi.org/10.3389/fbioe.2024.1402831")</f>
        <v>http://dx.doi.org/10.3389/fbioe.2024.1402831</v>
      </c>
      <c r="BG194" s="2"/>
      <c r="BH194" s="2"/>
      <c r="BI194" s="2" t="n">
        <v>9</v>
      </c>
      <c r="BJ194" s="2" t="s">
        <v>3976</v>
      </c>
      <c r="BK194" s="2" t="s">
        <v>100</v>
      </c>
      <c r="BL194" s="2" t="s">
        <v>3977</v>
      </c>
      <c r="BM194" s="2" t="s">
        <v>3978</v>
      </c>
      <c r="BN194" s="2" t="n">
        <v>38817925</v>
      </c>
      <c r="BO194" s="2" t="s">
        <v>165</v>
      </c>
      <c r="BP194" s="2"/>
      <c r="BQ194" s="2"/>
      <c r="BR194" s="2" t="s">
        <v>104</v>
      </c>
      <c r="BS194" s="2" t="s">
        <v>3979</v>
      </c>
      <c r="BT194" s="2" t="str">
        <f aca="false">HYPERLINK("https%3A%2F%2Fwww.webofscience.com%2Fwos%2Fwoscc%2Ffull-record%2FWOS:001234334000001","View Full Record in Web of Science")</f>
        <v>View Full Record in Web of Science</v>
      </c>
    </row>
    <row r="195" customFormat="false" ht="12.75" hidden="false" customHeight="false" outlineLevel="0" collapsed="false">
      <c r="A195" s="2" t="s">
        <v>72</v>
      </c>
      <c r="B195" s="2" t="s">
        <v>3980</v>
      </c>
      <c r="C195" s="2"/>
      <c r="D195" s="2"/>
      <c r="E195" s="2"/>
      <c r="F195" s="2" t="s">
        <v>3981</v>
      </c>
      <c r="G195" s="2"/>
      <c r="H195" s="2"/>
      <c r="I195" s="2" t="s">
        <v>3982</v>
      </c>
      <c r="J195" s="2" t="s">
        <v>717</v>
      </c>
      <c r="K195" s="2"/>
      <c r="L195" s="2"/>
      <c r="M195" s="2" t="s">
        <v>77</v>
      </c>
      <c r="N195" s="2" t="s">
        <v>78</v>
      </c>
      <c r="O195" s="2"/>
      <c r="P195" s="2"/>
      <c r="Q195" s="2"/>
      <c r="R195" s="2"/>
      <c r="S195" s="2"/>
      <c r="T195" s="2" t="s">
        <v>3983</v>
      </c>
      <c r="U195" s="2" t="s">
        <v>3984</v>
      </c>
      <c r="V195" s="2" t="s">
        <v>3985</v>
      </c>
      <c r="W195" s="2" t="s">
        <v>3986</v>
      </c>
      <c r="X195" s="2" t="s">
        <v>3987</v>
      </c>
      <c r="Y195" s="2" t="s">
        <v>3988</v>
      </c>
      <c r="Z195" s="2" t="s">
        <v>3989</v>
      </c>
      <c r="AA195" s="2" t="s">
        <v>3990</v>
      </c>
      <c r="AB195" s="2" t="s">
        <v>3991</v>
      </c>
      <c r="AC195" s="2" t="s">
        <v>3992</v>
      </c>
      <c r="AD195" s="2" t="s">
        <v>3992</v>
      </c>
      <c r="AE195" s="2" t="s">
        <v>3993</v>
      </c>
      <c r="AF195" s="2"/>
      <c r="AG195" s="2" t="n">
        <v>29</v>
      </c>
      <c r="AH195" s="2" t="n">
        <v>31</v>
      </c>
      <c r="AI195" s="2" t="n">
        <v>33</v>
      </c>
      <c r="AJ195" s="2" t="n">
        <v>1</v>
      </c>
      <c r="AK195" s="2" t="n">
        <v>3</v>
      </c>
      <c r="AL195" s="2" t="s">
        <v>549</v>
      </c>
      <c r="AM195" s="2" t="s">
        <v>384</v>
      </c>
      <c r="AN195" s="2" t="s">
        <v>550</v>
      </c>
      <c r="AO195" s="2" t="s">
        <v>729</v>
      </c>
      <c r="AP195" s="2" t="s">
        <v>730</v>
      </c>
      <c r="AQ195" s="2"/>
      <c r="AR195" s="2" t="s">
        <v>731</v>
      </c>
      <c r="AS195" s="2" t="s">
        <v>732</v>
      </c>
      <c r="AT195" s="2" t="s">
        <v>446</v>
      </c>
      <c r="AU195" s="2" t="n">
        <v>2009</v>
      </c>
      <c r="AV195" s="2" t="n">
        <v>162</v>
      </c>
      <c r="AW195" s="2" t="s">
        <v>1407</v>
      </c>
      <c r="AX195" s="2"/>
      <c r="AY195" s="2"/>
      <c r="AZ195" s="2"/>
      <c r="BA195" s="2"/>
      <c r="BB195" s="2" t="n">
        <v>40</v>
      </c>
      <c r="BC195" s="2" t="n">
        <v>45</v>
      </c>
      <c r="BD195" s="2"/>
      <c r="BE195" s="2" t="s">
        <v>3994</v>
      </c>
      <c r="BF195" s="2" t="str">
        <f aca="false">HYPERLINK("http://dx.doi.org/10.1016/j.jviromet.2009.07.004","http://dx.doi.org/10.1016/j.jviromet.2009.07.004")</f>
        <v>http://dx.doi.org/10.1016/j.jviromet.2009.07.004</v>
      </c>
      <c r="BG195" s="2"/>
      <c r="BH195" s="2"/>
      <c r="BI195" s="2" t="n">
        <v>6</v>
      </c>
      <c r="BJ195" s="2" t="s">
        <v>735</v>
      </c>
      <c r="BK195" s="2" t="s">
        <v>100</v>
      </c>
      <c r="BL195" s="2" t="s">
        <v>736</v>
      </c>
      <c r="BM195" s="2" t="s">
        <v>3995</v>
      </c>
      <c r="BN195" s="2" t="n">
        <v>19638288</v>
      </c>
      <c r="BO195" s="2" t="s">
        <v>1227</v>
      </c>
      <c r="BP195" s="2"/>
      <c r="BQ195" s="2"/>
      <c r="BR195" s="2" t="s">
        <v>104</v>
      </c>
      <c r="BS195" s="2" t="s">
        <v>3996</v>
      </c>
      <c r="BT195" s="2" t="str">
        <f aca="false">HYPERLINK("https%3A%2F%2Fwww.webofscience.com%2Fwos%2Fwoscc%2Ffull-record%2FWOS:000271586500006","View Full Record in Web of Science")</f>
        <v>View Full Record in Web of Science</v>
      </c>
    </row>
    <row r="196" customFormat="false" ht="12.75" hidden="false" customHeight="false" outlineLevel="0" collapsed="false">
      <c r="A196" s="2" t="s">
        <v>72</v>
      </c>
      <c r="B196" s="2" t="s">
        <v>3997</v>
      </c>
      <c r="C196" s="2"/>
      <c r="D196" s="2"/>
      <c r="E196" s="2"/>
      <c r="F196" s="2" t="s">
        <v>3998</v>
      </c>
      <c r="G196" s="2"/>
      <c r="H196" s="2"/>
      <c r="I196" s="2" t="s">
        <v>3999</v>
      </c>
      <c r="J196" s="2" t="s">
        <v>4000</v>
      </c>
      <c r="K196" s="2"/>
      <c r="L196" s="2"/>
      <c r="M196" s="2" t="s">
        <v>77</v>
      </c>
      <c r="N196" s="2" t="s">
        <v>78</v>
      </c>
      <c r="O196" s="2"/>
      <c r="P196" s="2"/>
      <c r="Q196" s="2"/>
      <c r="R196" s="2"/>
      <c r="S196" s="2"/>
      <c r="T196" s="2" t="s">
        <v>4001</v>
      </c>
      <c r="U196" s="2" t="s">
        <v>4002</v>
      </c>
      <c r="V196" s="2" t="s">
        <v>4003</v>
      </c>
      <c r="W196" s="2" t="s">
        <v>4004</v>
      </c>
      <c r="X196" s="2" t="s">
        <v>4005</v>
      </c>
      <c r="Y196" s="2" t="s">
        <v>4006</v>
      </c>
      <c r="Z196" s="2" t="s">
        <v>4007</v>
      </c>
      <c r="AA196" s="2"/>
      <c r="AB196" s="2" t="s">
        <v>4008</v>
      </c>
      <c r="AC196" s="2" t="s">
        <v>4009</v>
      </c>
      <c r="AD196" s="2" t="s">
        <v>4010</v>
      </c>
      <c r="AE196" s="2" t="s">
        <v>4011</v>
      </c>
      <c r="AF196" s="2"/>
      <c r="AG196" s="2" t="n">
        <v>25</v>
      </c>
      <c r="AH196" s="2" t="n">
        <v>8</v>
      </c>
      <c r="AI196" s="2" t="n">
        <v>8</v>
      </c>
      <c r="AJ196" s="2" t="n">
        <v>0</v>
      </c>
      <c r="AK196" s="2" t="n">
        <v>1</v>
      </c>
      <c r="AL196" s="2" t="s">
        <v>91</v>
      </c>
      <c r="AM196" s="2" t="s">
        <v>92</v>
      </c>
      <c r="AN196" s="2" t="s">
        <v>93</v>
      </c>
      <c r="AO196" s="2"/>
      <c r="AP196" s="2" t="s">
        <v>4012</v>
      </c>
      <c r="AQ196" s="2"/>
      <c r="AR196" s="2" t="s">
        <v>4000</v>
      </c>
      <c r="AS196" s="2" t="s">
        <v>4013</v>
      </c>
      <c r="AT196" s="2" t="s">
        <v>161</v>
      </c>
      <c r="AU196" s="2" t="n">
        <v>2017</v>
      </c>
      <c r="AV196" s="2" t="n">
        <v>4</v>
      </c>
      <c r="AW196" s="2" t="n">
        <v>1</v>
      </c>
      <c r="AX196" s="2"/>
      <c r="AY196" s="2"/>
      <c r="AZ196" s="2"/>
      <c r="BA196" s="2"/>
      <c r="BB196" s="2"/>
      <c r="BC196" s="2"/>
      <c r="BD196" s="2" t="n">
        <v>3</v>
      </c>
      <c r="BE196" s="2" t="s">
        <v>4014</v>
      </c>
      <c r="BF196" s="2" t="str">
        <f aca="false">HYPERLINK("http://dx.doi.org/10.3390/children4010003","http://dx.doi.org/10.3390/children4010003")</f>
        <v>http://dx.doi.org/10.3390/children4010003</v>
      </c>
      <c r="BG196" s="2"/>
      <c r="BH196" s="2"/>
      <c r="BI196" s="2" t="n">
        <v>8</v>
      </c>
      <c r="BJ196" s="2" t="s">
        <v>601</v>
      </c>
      <c r="BK196" s="2" t="s">
        <v>100</v>
      </c>
      <c r="BL196" s="2" t="s">
        <v>601</v>
      </c>
      <c r="BM196" s="2" t="s">
        <v>4015</v>
      </c>
      <c r="BN196" s="2" t="n">
        <v>28067857</v>
      </c>
      <c r="BO196" s="2" t="s">
        <v>190</v>
      </c>
      <c r="BP196" s="2"/>
      <c r="BQ196" s="2"/>
      <c r="BR196" s="2" t="s">
        <v>104</v>
      </c>
      <c r="BS196" s="2" t="s">
        <v>4016</v>
      </c>
      <c r="BT196" s="2" t="str">
        <f aca="false">HYPERLINK("https%3A%2F%2Fwww.webofscience.com%2Fwos%2Fwoscc%2Ffull-record%2FWOS:000395506400002","View Full Record in Web of Science")</f>
        <v>View Full Record in Web of Science</v>
      </c>
    </row>
    <row r="197" customFormat="false" ht="12.75" hidden="false" customHeight="false" outlineLevel="0" collapsed="false">
      <c r="A197" s="2" t="s">
        <v>72</v>
      </c>
      <c r="B197" s="2" t="s">
        <v>4017</v>
      </c>
      <c r="C197" s="2"/>
      <c r="D197" s="2"/>
      <c r="E197" s="2"/>
      <c r="F197" s="2" t="s">
        <v>4017</v>
      </c>
      <c r="G197" s="2"/>
      <c r="H197" s="2"/>
      <c r="I197" s="2" t="s">
        <v>4018</v>
      </c>
      <c r="J197" s="2" t="s">
        <v>370</v>
      </c>
      <c r="K197" s="2"/>
      <c r="L197" s="2"/>
      <c r="M197" s="2" t="s">
        <v>77</v>
      </c>
      <c r="N197" s="2" t="s">
        <v>78</v>
      </c>
      <c r="O197" s="2"/>
      <c r="P197" s="2"/>
      <c r="Q197" s="2"/>
      <c r="R197" s="2"/>
      <c r="S197" s="2"/>
      <c r="T197" s="2" t="s">
        <v>4019</v>
      </c>
      <c r="U197" s="2" t="s">
        <v>4020</v>
      </c>
      <c r="V197" s="2" t="s">
        <v>4021</v>
      </c>
      <c r="W197" s="2" t="s">
        <v>4022</v>
      </c>
      <c r="X197" s="2" t="s">
        <v>4023</v>
      </c>
      <c r="Y197" s="2" t="s">
        <v>4024</v>
      </c>
      <c r="Z197" s="2" t="s">
        <v>4025</v>
      </c>
      <c r="AA197" s="2" t="s">
        <v>4026</v>
      </c>
      <c r="AB197" s="2" t="s">
        <v>4027</v>
      </c>
      <c r="AC197" s="2"/>
      <c r="AD197" s="2"/>
      <c r="AE197" s="2"/>
      <c r="AF197" s="2"/>
      <c r="AG197" s="2" t="n">
        <v>24</v>
      </c>
      <c r="AH197" s="2" t="n">
        <v>22</v>
      </c>
      <c r="AI197" s="2" t="n">
        <v>22</v>
      </c>
      <c r="AJ197" s="2" t="n">
        <v>1</v>
      </c>
      <c r="AK197" s="2" t="n">
        <v>3</v>
      </c>
      <c r="AL197" s="2" t="s">
        <v>549</v>
      </c>
      <c r="AM197" s="2" t="s">
        <v>384</v>
      </c>
      <c r="AN197" s="2" t="s">
        <v>550</v>
      </c>
      <c r="AO197" s="2" t="s">
        <v>386</v>
      </c>
      <c r="AP197" s="2" t="s">
        <v>387</v>
      </c>
      <c r="AQ197" s="2"/>
      <c r="AR197" s="2" t="s">
        <v>388</v>
      </c>
      <c r="AS197" s="2" t="s">
        <v>389</v>
      </c>
      <c r="AT197" s="2" t="s">
        <v>161</v>
      </c>
      <c r="AU197" s="2" t="n">
        <v>2006</v>
      </c>
      <c r="AV197" s="2" t="n">
        <v>35</v>
      </c>
      <c r="AW197" s="2" t="n">
        <v>1</v>
      </c>
      <c r="AX197" s="2"/>
      <c r="AY197" s="2"/>
      <c r="AZ197" s="2"/>
      <c r="BA197" s="2"/>
      <c r="BB197" s="2" t="n">
        <v>51</v>
      </c>
      <c r="BC197" s="2" t="n">
        <v>58</v>
      </c>
      <c r="BD197" s="2"/>
      <c r="BE197" s="2" t="s">
        <v>4028</v>
      </c>
      <c r="BF197" s="2" t="str">
        <f aca="false">HYPERLINK("http://dx.doi.org/10.1016/j.jcv.2005.05.005","http://dx.doi.org/10.1016/j.jcv.2005.05.005")</f>
        <v>http://dx.doi.org/10.1016/j.jcv.2005.05.005</v>
      </c>
      <c r="BG197" s="2"/>
      <c r="BH197" s="2"/>
      <c r="BI197" s="2" t="n">
        <v>8</v>
      </c>
      <c r="BJ197" s="2" t="s">
        <v>163</v>
      </c>
      <c r="BK197" s="2" t="s">
        <v>100</v>
      </c>
      <c r="BL197" s="2" t="s">
        <v>163</v>
      </c>
      <c r="BM197" s="2" t="s">
        <v>552</v>
      </c>
      <c r="BN197" s="2" t="n">
        <v>16019258</v>
      </c>
      <c r="BO197" s="2" t="s">
        <v>165</v>
      </c>
      <c r="BP197" s="2"/>
      <c r="BQ197" s="2"/>
      <c r="BR197" s="2" t="s">
        <v>104</v>
      </c>
      <c r="BS197" s="2" t="s">
        <v>4029</v>
      </c>
      <c r="BT197" s="2" t="str">
        <f aca="false">HYPERLINK("https%3A%2F%2Fwww.webofscience.com%2Fwos%2Fwoscc%2Ffull-record%2FWOS:000235182800008","View Full Record in Web of Science")</f>
        <v>View Full Record in Web of Science</v>
      </c>
    </row>
    <row r="198" customFormat="false" ht="12.75" hidden="false" customHeight="false" outlineLevel="0" collapsed="false">
      <c r="A198" s="2" t="s">
        <v>72</v>
      </c>
      <c r="B198" s="2" t="s">
        <v>4030</v>
      </c>
      <c r="C198" s="2"/>
      <c r="D198" s="2"/>
      <c r="E198" s="2"/>
      <c r="F198" s="2" t="s">
        <v>4031</v>
      </c>
      <c r="G198" s="2"/>
      <c r="H198" s="2"/>
      <c r="I198" s="2" t="s">
        <v>4032</v>
      </c>
      <c r="J198" s="2" t="s">
        <v>141</v>
      </c>
      <c r="K198" s="2"/>
      <c r="L198" s="2"/>
      <c r="M198" s="2" t="s">
        <v>77</v>
      </c>
      <c r="N198" s="2" t="s">
        <v>78</v>
      </c>
      <c r="O198" s="2"/>
      <c r="P198" s="2"/>
      <c r="Q198" s="2"/>
      <c r="R198" s="2"/>
      <c r="S198" s="2"/>
      <c r="T198" s="2" t="s">
        <v>4033</v>
      </c>
      <c r="U198" s="2" t="s">
        <v>4034</v>
      </c>
      <c r="V198" s="2" t="s">
        <v>4035</v>
      </c>
      <c r="W198" s="2" t="s">
        <v>4036</v>
      </c>
      <c r="X198" s="2" t="s">
        <v>4037</v>
      </c>
      <c r="Y198" s="2" t="s">
        <v>4038</v>
      </c>
      <c r="Z198" s="2" t="s">
        <v>4039</v>
      </c>
      <c r="AA198" s="2" t="s">
        <v>4040</v>
      </c>
      <c r="AB198" s="2" t="s">
        <v>4041</v>
      </c>
      <c r="AC198" s="2"/>
      <c r="AD198" s="2"/>
      <c r="AE198" s="2"/>
      <c r="AF198" s="2"/>
      <c r="AG198" s="2" t="n">
        <v>22</v>
      </c>
      <c r="AH198" s="2" t="n">
        <v>16</v>
      </c>
      <c r="AI198" s="2" t="n">
        <v>16</v>
      </c>
      <c r="AJ198" s="2" t="n">
        <v>0</v>
      </c>
      <c r="AK198" s="2" t="n">
        <v>2</v>
      </c>
      <c r="AL198" s="2" t="s">
        <v>154</v>
      </c>
      <c r="AM198" s="2" t="s">
        <v>155</v>
      </c>
      <c r="AN198" s="2" t="s">
        <v>156</v>
      </c>
      <c r="AO198" s="2" t="s">
        <v>157</v>
      </c>
      <c r="AP198" s="2" t="s">
        <v>158</v>
      </c>
      <c r="AQ198" s="2"/>
      <c r="AR198" s="2" t="s">
        <v>159</v>
      </c>
      <c r="AS198" s="2" t="s">
        <v>160</v>
      </c>
      <c r="AT198" s="2" t="s">
        <v>1041</v>
      </c>
      <c r="AU198" s="2" t="n">
        <v>2015</v>
      </c>
      <c r="AV198" s="2" t="n">
        <v>87</v>
      </c>
      <c r="AW198" s="2" t="n">
        <v>2</v>
      </c>
      <c r="AX198" s="2"/>
      <c r="AY198" s="2"/>
      <c r="AZ198" s="2"/>
      <c r="BA198" s="2"/>
      <c r="BB198" s="2" t="n">
        <v>269</v>
      </c>
      <c r="BC198" s="2" t="n">
        <v>274</v>
      </c>
      <c r="BD198" s="2"/>
      <c r="BE198" s="2" t="s">
        <v>4042</v>
      </c>
      <c r="BF198" s="2" t="str">
        <f aca="false">HYPERLINK("http://dx.doi.org/10.1002/jmv.24024","http://dx.doi.org/10.1002/jmv.24024")</f>
        <v>http://dx.doi.org/10.1002/jmv.24024</v>
      </c>
      <c r="BG198" s="2"/>
      <c r="BH198" s="2"/>
      <c r="BI198" s="2" t="n">
        <v>6</v>
      </c>
      <c r="BJ198" s="2" t="s">
        <v>163</v>
      </c>
      <c r="BK198" s="2" t="s">
        <v>100</v>
      </c>
      <c r="BL198" s="2" t="s">
        <v>163</v>
      </c>
      <c r="BM198" s="2" t="s">
        <v>4043</v>
      </c>
      <c r="BN198" s="2" t="n">
        <v>25091145</v>
      </c>
      <c r="BO198" s="2" t="s">
        <v>165</v>
      </c>
      <c r="BP198" s="2"/>
      <c r="BQ198" s="2"/>
      <c r="BR198" s="2" t="s">
        <v>104</v>
      </c>
      <c r="BS198" s="2" t="s">
        <v>4044</v>
      </c>
      <c r="BT198" s="2" t="str">
        <f aca="false">HYPERLINK("https%3A%2F%2Fwww.webofscience.com%2Fwos%2Fwoscc%2Ffull-record%2FWOS:000346486800012","View Full Record in Web of Science")</f>
        <v>View Full Record in Web of Science</v>
      </c>
    </row>
    <row r="199" customFormat="false" ht="12.75" hidden="false" customHeight="false" outlineLevel="0" collapsed="false">
      <c r="A199" s="2" t="s">
        <v>72</v>
      </c>
      <c r="B199" s="2" t="s">
        <v>4045</v>
      </c>
      <c r="C199" s="2"/>
      <c r="D199" s="2"/>
      <c r="E199" s="2"/>
      <c r="F199" s="2" t="s">
        <v>4046</v>
      </c>
      <c r="G199" s="2"/>
      <c r="H199" s="2"/>
      <c r="I199" s="2" t="s">
        <v>4047</v>
      </c>
      <c r="J199" s="2" t="s">
        <v>370</v>
      </c>
      <c r="K199" s="2"/>
      <c r="L199" s="2"/>
      <c r="M199" s="2" t="s">
        <v>77</v>
      </c>
      <c r="N199" s="2" t="s">
        <v>78</v>
      </c>
      <c r="O199" s="2"/>
      <c r="P199" s="2"/>
      <c r="Q199" s="2"/>
      <c r="R199" s="2"/>
      <c r="S199" s="2"/>
      <c r="T199" s="2" t="s">
        <v>4048</v>
      </c>
      <c r="U199" s="2" t="s">
        <v>4049</v>
      </c>
      <c r="V199" s="2" t="s">
        <v>4050</v>
      </c>
      <c r="W199" s="2" t="s">
        <v>4051</v>
      </c>
      <c r="X199" s="2" t="s">
        <v>4052</v>
      </c>
      <c r="Y199" s="2" t="s">
        <v>4053</v>
      </c>
      <c r="Z199" s="2" t="s">
        <v>4054</v>
      </c>
      <c r="AA199" s="2" t="s">
        <v>4055</v>
      </c>
      <c r="AB199" s="2"/>
      <c r="AC199" s="2" t="s">
        <v>4056</v>
      </c>
      <c r="AD199" s="2" t="s">
        <v>4057</v>
      </c>
      <c r="AE199" s="2" t="s">
        <v>4058</v>
      </c>
      <c r="AF199" s="2"/>
      <c r="AG199" s="2" t="n">
        <v>20</v>
      </c>
      <c r="AH199" s="2" t="n">
        <v>6</v>
      </c>
      <c r="AI199" s="2" t="n">
        <v>6</v>
      </c>
      <c r="AJ199" s="2" t="n">
        <v>0</v>
      </c>
      <c r="AK199" s="2" t="n">
        <v>0</v>
      </c>
      <c r="AL199" s="2" t="s">
        <v>383</v>
      </c>
      <c r="AM199" s="2" t="s">
        <v>384</v>
      </c>
      <c r="AN199" s="2" t="s">
        <v>385</v>
      </c>
      <c r="AO199" s="2" t="s">
        <v>386</v>
      </c>
      <c r="AP199" s="2" t="s">
        <v>387</v>
      </c>
      <c r="AQ199" s="2"/>
      <c r="AR199" s="2" t="s">
        <v>388</v>
      </c>
      <c r="AS199" s="2" t="s">
        <v>389</v>
      </c>
      <c r="AT199" s="2" t="s">
        <v>486</v>
      </c>
      <c r="AU199" s="2" t="n">
        <v>2022</v>
      </c>
      <c r="AV199" s="2" t="n">
        <v>150</v>
      </c>
      <c r="AW199" s="2"/>
      <c r="AX199" s="2"/>
      <c r="AY199" s="2"/>
      <c r="AZ199" s="2"/>
      <c r="BA199" s="2"/>
      <c r="BB199" s="2"/>
      <c r="BC199" s="2"/>
      <c r="BD199" s="2" t="n">
        <v>105152</v>
      </c>
      <c r="BE199" s="2" t="s">
        <v>4059</v>
      </c>
      <c r="BF199" s="2" t="str">
        <f aca="false">HYPERLINK("http://dx.doi.org/10.1016/j.jcv.2022.105152","http://dx.doi.org/10.1016/j.jcv.2022.105152")</f>
        <v>http://dx.doi.org/10.1016/j.jcv.2022.105152</v>
      </c>
      <c r="BG199" s="2"/>
      <c r="BH199" s="2" t="s">
        <v>4060</v>
      </c>
      <c r="BI199" s="2" t="n">
        <v>7</v>
      </c>
      <c r="BJ199" s="2" t="s">
        <v>163</v>
      </c>
      <c r="BK199" s="2" t="s">
        <v>100</v>
      </c>
      <c r="BL199" s="2" t="s">
        <v>163</v>
      </c>
      <c r="BM199" s="2" t="s">
        <v>4061</v>
      </c>
      <c r="BN199" s="2" t="n">
        <v>35447514</v>
      </c>
      <c r="BO199" s="2" t="s">
        <v>4062</v>
      </c>
      <c r="BP199" s="2"/>
      <c r="BQ199" s="2"/>
      <c r="BR199" s="2" t="s">
        <v>104</v>
      </c>
      <c r="BS199" s="2" t="s">
        <v>4063</v>
      </c>
      <c r="BT199" s="2" t="str">
        <f aca="false">HYPERLINK("https%3A%2F%2Fwww.webofscience.com%2Fwos%2Fwoscc%2Ffull-record%2FWOS:000793482900004","View Full Record in Web of Science")</f>
        <v>View Full Record in Web of Science</v>
      </c>
    </row>
    <row r="200" customFormat="false" ht="12.75" hidden="false" customHeight="false" outlineLevel="0" collapsed="false">
      <c r="A200" s="2" t="s">
        <v>72</v>
      </c>
      <c r="B200" s="2" t="s">
        <v>4064</v>
      </c>
      <c r="C200" s="2"/>
      <c r="D200" s="2"/>
      <c r="E200" s="2"/>
      <c r="F200" s="2" t="s">
        <v>4065</v>
      </c>
      <c r="G200" s="2"/>
      <c r="H200" s="2"/>
      <c r="I200" s="2" t="s">
        <v>4066</v>
      </c>
      <c r="J200" s="2" t="s">
        <v>971</v>
      </c>
      <c r="K200" s="2"/>
      <c r="L200" s="2"/>
      <c r="M200" s="2" t="s">
        <v>77</v>
      </c>
      <c r="N200" s="2" t="s">
        <v>78</v>
      </c>
      <c r="O200" s="2"/>
      <c r="P200" s="2"/>
      <c r="Q200" s="2"/>
      <c r="R200" s="2"/>
      <c r="S200" s="2"/>
      <c r="T200" s="2" t="s">
        <v>4067</v>
      </c>
      <c r="U200" s="2" t="s">
        <v>4068</v>
      </c>
      <c r="V200" s="2" t="s">
        <v>4069</v>
      </c>
      <c r="W200" s="2" t="s">
        <v>4070</v>
      </c>
      <c r="X200" s="2" t="s">
        <v>1016</v>
      </c>
      <c r="Y200" s="2" t="s">
        <v>4071</v>
      </c>
      <c r="Z200" s="2" t="s">
        <v>4072</v>
      </c>
      <c r="AA200" s="2" t="s">
        <v>4073</v>
      </c>
      <c r="AB200" s="2"/>
      <c r="AC200" s="2" t="s">
        <v>4074</v>
      </c>
      <c r="AD200" s="2" t="s">
        <v>4075</v>
      </c>
      <c r="AE200" s="2" t="s">
        <v>4076</v>
      </c>
      <c r="AF200" s="2"/>
      <c r="AG200" s="2" t="n">
        <v>119</v>
      </c>
      <c r="AH200" s="2" t="n">
        <v>56</v>
      </c>
      <c r="AI200" s="2" t="n">
        <v>63</v>
      </c>
      <c r="AJ200" s="2" t="n">
        <v>0</v>
      </c>
      <c r="AK200" s="2" t="n">
        <v>20</v>
      </c>
      <c r="AL200" s="2" t="s">
        <v>957</v>
      </c>
      <c r="AM200" s="2" t="s">
        <v>123</v>
      </c>
      <c r="AN200" s="2" t="s">
        <v>958</v>
      </c>
      <c r="AO200" s="2" t="s">
        <v>982</v>
      </c>
      <c r="AP200" s="2" t="s">
        <v>983</v>
      </c>
      <c r="AQ200" s="2"/>
      <c r="AR200" s="2" t="s">
        <v>984</v>
      </c>
      <c r="AS200" s="2" t="s">
        <v>985</v>
      </c>
      <c r="AT200" s="2" t="s">
        <v>97</v>
      </c>
      <c r="AU200" s="2" t="n">
        <v>2017</v>
      </c>
      <c r="AV200" s="2" t="n">
        <v>38</v>
      </c>
      <c r="AW200" s="2" t="n">
        <v>1</v>
      </c>
      <c r="AX200" s="2"/>
      <c r="AY200" s="2"/>
      <c r="AZ200" s="2"/>
      <c r="BA200" s="2"/>
      <c r="BB200" s="2" t="n">
        <v>139</v>
      </c>
      <c r="BC200" s="2" t="s">
        <v>986</v>
      </c>
      <c r="BD200" s="2"/>
      <c r="BE200" s="2" t="s">
        <v>4077</v>
      </c>
      <c r="BF200" s="2" t="str">
        <f aca="false">HYPERLINK("http://dx.doi.org/10.1016/j.ccm.2016.11.008","http://dx.doi.org/10.1016/j.ccm.2016.11.008")</f>
        <v>http://dx.doi.org/10.1016/j.ccm.2016.11.008</v>
      </c>
      <c r="BG200" s="2"/>
      <c r="BH200" s="2"/>
      <c r="BI200" s="2" t="n">
        <v>16</v>
      </c>
      <c r="BJ200" s="2" t="s">
        <v>338</v>
      </c>
      <c r="BK200" s="2" t="s">
        <v>100</v>
      </c>
      <c r="BL200" s="2" t="s">
        <v>338</v>
      </c>
      <c r="BM200" s="2" t="s">
        <v>988</v>
      </c>
      <c r="BN200" s="2" t="n">
        <v>28159156</v>
      </c>
      <c r="BO200" s="2" t="s">
        <v>1227</v>
      </c>
      <c r="BP200" s="2"/>
      <c r="BQ200" s="2"/>
      <c r="BR200" s="2" t="s">
        <v>104</v>
      </c>
      <c r="BS200" s="2" t="s">
        <v>4078</v>
      </c>
      <c r="BT200" s="2" t="str">
        <f aca="false">HYPERLINK("https%3A%2F%2Fwww.webofscience.com%2Fwos%2Fwoscc%2Ffull-record%2FWOS:000396387100014","View Full Record in Web of Science")</f>
        <v>View Full Record in Web of Science</v>
      </c>
    </row>
    <row r="201" customFormat="false" ht="12.75" hidden="false" customHeight="false" outlineLevel="0" collapsed="false">
      <c r="A201" s="2" t="s">
        <v>72</v>
      </c>
      <c r="B201" s="2" t="s">
        <v>4079</v>
      </c>
      <c r="C201" s="2"/>
      <c r="D201" s="2"/>
      <c r="E201" s="2"/>
      <c r="F201" s="2" t="s">
        <v>4080</v>
      </c>
      <c r="G201" s="2"/>
      <c r="H201" s="2"/>
      <c r="I201" s="2" t="s">
        <v>4081</v>
      </c>
      <c r="J201" s="2" t="s">
        <v>109</v>
      </c>
      <c r="K201" s="2"/>
      <c r="L201" s="2"/>
      <c r="M201" s="2" t="s">
        <v>77</v>
      </c>
      <c r="N201" s="2" t="s">
        <v>78</v>
      </c>
      <c r="O201" s="2"/>
      <c r="P201" s="2"/>
      <c r="Q201" s="2"/>
      <c r="R201" s="2"/>
      <c r="S201" s="2"/>
      <c r="T201" s="2" t="s">
        <v>4082</v>
      </c>
      <c r="U201" s="2" t="s">
        <v>4083</v>
      </c>
      <c r="V201" s="2" t="s">
        <v>4084</v>
      </c>
      <c r="W201" s="2" t="s">
        <v>4085</v>
      </c>
      <c r="X201" s="2" t="s">
        <v>4086</v>
      </c>
      <c r="Y201" s="2" t="s">
        <v>4087</v>
      </c>
      <c r="Z201" s="2" t="s">
        <v>4088</v>
      </c>
      <c r="AA201" s="2"/>
      <c r="AB201" s="2" t="s">
        <v>4089</v>
      </c>
      <c r="AC201" s="2" t="s">
        <v>4090</v>
      </c>
      <c r="AD201" s="2" t="s">
        <v>4091</v>
      </c>
      <c r="AE201" s="2" t="s">
        <v>4092</v>
      </c>
      <c r="AF201" s="2"/>
      <c r="AG201" s="2" t="n">
        <v>40</v>
      </c>
      <c r="AH201" s="2" t="n">
        <v>9</v>
      </c>
      <c r="AI201" s="2" t="n">
        <v>9</v>
      </c>
      <c r="AJ201" s="2" t="n">
        <v>0</v>
      </c>
      <c r="AK201" s="2" t="n">
        <v>4</v>
      </c>
      <c r="AL201" s="2" t="s">
        <v>122</v>
      </c>
      <c r="AM201" s="2" t="s">
        <v>123</v>
      </c>
      <c r="AN201" s="2" t="s">
        <v>124</v>
      </c>
      <c r="AO201" s="2" t="s">
        <v>125</v>
      </c>
      <c r="AP201" s="2" t="s">
        <v>126</v>
      </c>
      <c r="AQ201" s="2"/>
      <c r="AR201" s="2" t="s">
        <v>127</v>
      </c>
      <c r="AS201" s="2" t="s">
        <v>128</v>
      </c>
      <c r="AT201" s="2" t="s">
        <v>185</v>
      </c>
      <c r="AU201" s="2" t="n">
        <v>2020</v>
      </c>
      <c r="AV201" s="2" t="n">
        <v>39</v>
      </c>
      <c r="AW201" s="2" t="n">
        <v>8</v>
      </c>
      <c r="AX201" s="2"/>
      <c r="AY201" s="2"/>
      <c r="AZ201" s="2"/>
      <c r="BA201" s="2"/>
      <c r="BB201" s="2" t="s">
        <v>4093</v>
      </c>
      <c r="BC201" s="2" t="s">
        <v>4094</v>
      </c>
      <c r="BD201" s="2"/>
      <c r="BE201" s="2" t="s">
        <v>4095</v>
      </c>
      <c r="BF201" s="2" t="str">
        <f aca="false">HYPERLINK("http://dx.doi.org/10.1097/INF.0000000000002681","http://dx.doi.org/10.1097/INF.0000000000002681")</f>
        <v>http://dx.doi.org/10.1097/INF.0000000000002681</v>
      </c>
      <c r="BG201" s="2"/>
      <c r="BH201" s="2"/>
      <c r="BI201" s="2" t="n">
        <v>7</v>
      </c>
      <c r="BJ201" s="2" t="s">
        <v>134</v>
      </c>
      <c r="BK201" s="2" t="s">
        <v>100</v>
      </c>
      <c r="BL201" s="2" t="s">
        <v>134</v>
      </c>
      <c r="BM201" s="2" t="s">
        <v>4096</v>
      </c>
      <c r="BN201" s="2" t="n">
        <v>32675757</v>
      </c>
      <c r="BO201" s="2"/>
      <c r="BP201" s="2"/>
      <c r="BQ201" s="2"/>
      <c r="BR201" s="2" t="s">
        <v>104</v>
      </c>
      <c r="BS201" s="2" t="s">
        <v>4097</v>
      </c>
      <c r="BT201" s="2" t="str">
        <f aca="false">HYPERLINK("https%3A%2F%2Fwww.webofscience.com%2Fwos%2Fwoscc%2Ffull-record%2FWOS:000561886700003","View Full Record in Web of Science")</f>
        <v>View Full Record in Web of Science</v>
      </c>
    </row>
    <row r="202" customFormat="false" ht="12.75" hidden="false" customHeight="false" outlineLevel="0" collapsed="false">
      <c r="A202" s="2" t="s">
        <v>72</v>
      </c>
      <c r="B202" s="2" t="s">
        <v>4098</v>
      </c>
      <c r="C202" s="2"/>
      <c r="D202" s="2"/>
      <c r="E202" s="2"/>
      <c r="F202" s="2" t="s">
        <v>4099</v>
      </c>
      <c r="G202" s="2"/>
      <c r="H202" s="2"/>
      <c r="I202" s="2" t="s">
        <v>4100</v>
      </c>
      <c r="J202" s="2" t="s">
        <v>717</v>
      </c>
      <c r="K202" s="2"/>
      <c r="L202" s="2"/>
      <c r="M202" s="2" t="s">
        <v>77</v>
      </c>
      <c r="N202" s="2" t="s">
        <v>78</v>
      </c>
      <c r="O202" s="2"/>
      <c r="P202" s="2"/>
      <c r="Q202" s="2"/>
      <c r="R202" s="2"/>
      <c r="S202" s="2"/>
      <c r="T202" s="2" t="s">
        <v>4101</v>
      </c>
      <c r="U202" s="2" t="s">
        <v>4102</v>
      </c>
      <c r="V202" s="2" t="s">
        <v>4103</v>
      </c>
      <c r="W202" s="2" t="s">
        <v>4104</v>
      </c>
      <c r="X202" s="2" t="s">
        <v>4105</v>
      </c>
      <c r="Y202" s="2" t="s">
        <v>4106</v>
      </c>
      <c r="Z202" s="2" t="s">
        <v>4107</v>
      </c>
      <c r="AA202" s="2" t="s">
        <v>4108</v>
      </c>
      <c r="AB202" s="2" t="s">
        <v>4109</v>
      </c>
      <c r="AC202" s="2" t="s">
        <v>4110</v>
      </c>
      <c r="AD202" s="2" t="s">
        <v>4111</v>
      </c>
      <c r="AE202" s="2" t="s">
        <v>4112</v>
      </c>
      <c r="AF202" s="2"/>
      <c r="AG202" s="2" t="n">
        <v>61</v>
      </c>
      <c r="AH202" s="2" t="n">
        <v>8</v>
      </c>
      <c r="AI202" s="2" t="n">
        <v>11</v>
      </c>
      <c r="AJ202" s="2" t="n">
        <v>0</v>
      </c>
      <c r="AK202" s="2" t="n">
        <v>14</v>
      </c>
      <c r="AL202" s="2" t="s">
        <v>383</v>
      </c>
      <c r="AM202" s="2" t="s">
        <v>384</v>
      </c>
      <c r="AN202" s="2" t="s">
        <v>385</v>
      </c>
      <c r="AO202" s="2" t="s">
        <v>729</v>
      </c>
      <c r="AP202" s="2" t="s">
        <v>730</v>
      </c>
      <c r="AQ202" s="2"/>
      <c r="AR202" s="2" t="s">
        <v>731</v>
      </c>
      <c r="AS202" s="2" t="s">
        <v>732</v>
      </c>
      <c r="AT202" s="2" t="s">
        <v>599</v>
      </c>
      <c r="AU202" s="2" t="n">
        <v>2019</v>
      </c>
      <c r="AV202" s="2" t="n">
        <v>269</v>
      </c>
      <c r="AW202" s="2"/>
      <c r="AX202" s="2"/>
      <c r="AY202" s="2"/>
      <c r="AZ202" s="2"/>
      <c r="BA202" s="2"/>
      <c r="BB202" s="2" t="n">
        <v>1</v>
      </c>
      <c r="BC202" s="2" t="n">
        <v>6</v>
      </c>
      <c r="BD202" s="2"/>
      <c r="BE202" s="2" t="s">
        <v>4113</v>
      </c>
      <c r="BF202" s="2" t="str">
        <f aca="false">HYPERLINK("http://dx.doi.org/10.1016/j.jviromet.2019.03.013","http://dx.doi.org/10.1016/j.jviromet.2019.03.013")</f>
        <v>http://dx.doi.org/10.1016/j.jviromet.2019.03.013</v>
      </c>
      <c r="BG202" s="2"/>
      <c r="BH202" s="2"/>
      <c r="BI202" s="2" t="n">
        <v>6</v>
      </c>
      <c r="BJ202" s="2" t="s">
        <v>735</v>
      </c>
      <c r="BK202" s="2" t="s">
        <v>100</v>
      </c>
      <c r="BL202" s="2" t="s">
        <v>736</v>
      </c>
      <c r="BM202" s="2" t="s">
        <v>4114</v>
      </c>
      <c r="BN202" s="2" t="n">
        <v>30910688</v>
      </c>
      <c r="BO202" s="2" t="s">
        <v>1227</v>
      </c>
      <c r="BP202" s="2"/>
      <c r="BQ202" s="2"/>
      <c r="BR202" s="2" t="s">
        <v>104</v>
      </c>
      <c r="BS202" s="2" t="s">
        <v>4115</v>
      </c>
      <c r="BT202" s="2" t="str">
        <f aca="false">HYPERLINK("https%3A%2F%2Fwww.webofscience.com%2Fwos%2Fwoscc%2Ffull-record%2FWOS:000469890400001","View Full Record in Web of Science")</f>
        <v>View Full Record in Web of Science</v>
      </c>
    </row>
    <row r="203" customFormat="false" ht="12.75" hidden="false" customHeight="false" outlineLevel="0" collapsed="false">
      <c r="A203" s="2" t="s">
        <v>72</v>
      </c>
      <c r="B203" s="2" t="s">
        <v>4116</v>
      </c>
      <c r="C203" s="2"/>
      <c r="D203" s="2"/>
      <c r="E203" s="2"/>
      <c r="F203" s="2" t="s">
        <v>4117</v>
      </c>
      <c r="G203" s="2"/>
      <c r="H203" s="2"/>
      <c r="I203" s="2" t="s">
        <v>4118</v>
      </c>
      <c r="J203" s="2" t="s">
        <v>634</v>
      </c>
      <c r="K203" s="2"/>
      <c r="L203" s="2"/>
      <c r="M203" s="2" t="s">
        <v>77</v>
      </c>
      <c r="N203" s="2" t="s">
        <v>78</v>
      </c>
      <c r="O203" s="2"/>
      <c r="P203" s="2"/>
      <c r="Q203" s="2"/>
      <c r="R203" s="2"/>
      <c r="S203" s="2"/>
      <c r="T203" s="2" t="s">
        <v>4119</v>
      </c>
      <c r="U203" s="2" t="s">
        <v>4120</v>
      </c>
      <c r="V203" s="2" t="s">
        <v>4121</v>
      </c>
      <c r="W203" s="2" t="s">
        <v>4122</v>
      </c>
      <c r="X203" s="2" t="s">
        <v>4123</v>
      </c>
      <c r="Y203" s="2" t="s">
        <v>4124</v>
      </c>
      <c r="Z203" s="2" t="s">
        <v>4125</v>
      </c>
      <c r="AA203" s="2" t="s">
        <v>4126</v>
      </c>
      <c r="AB203" s="2" t="s">
        <v>4127</v>
      </c>
      <c r="AC203" s="2" t="s">
        <v>4128</v>
      </c>
      <c r="AD203" s="2" t="s">
        <v>4128</v>
      </c>
      <c r="AE203" s="2" t="s">
        <v>4129</v>
      </c>
      <c r="AF203" s="2"/>
      <c r="AG203" s="2" t="n">
        <v>31</v>
      </c>
      <c r="AH203" s="2" t="n">
        <v>38</v>
      </c>
      <c r="AI203" s="2" t="n">
        <v>41</v>
      </c>
      <c r="AJ203" s="2" t="n">
        <v>1</v>
      </c>
      <c r="AK203" s="2" t="n">
        <v>5</v>
      </c>
      <c r="AL203" s="2" t="s">
        <v>647</v>
      </c>
      <c r="AM203" s="2" t="s">
        <v>330</v>
      </c>
      <c r="AN203" s="2" t="s">
        <v>648</v>
      </c>
      <c r="AO203" s="2" t="s">
        <v>649</v>
      </c>
      <c r="AP203" s="2" t="s">
        <v>650</v>
      </c>
      <c r="AQ203" s="2"/>
      <c r="AR203" s="2" t="s">
        <v>651</v>
      </c>
      <c r="AS203" s="2" t="s">
        <v>652</v>
      </c>
      <c r="AT203" s="2" t="s">
        <v>1041</v>
      </c>
      <c r="AU203" s="2" t="n">
        <v>2013</v>
      </c>
      <c r="AV203" s="2" t="n">
        <v>23</v>
      </c>
      <c r="AW203" s="2" t="n">
        <v>2</v>
      </c>
      <c r="AX203" s="2"/>
      <c r="AY203" s="2"/>
      <c r="AZ203" s="2"/>
      <c r="BA203" s="2"/>
      <c r="BB203" s="2" t="n">
        <v>267</v>
      </c>
      <c r="BC203" s="2" t="n">
        <v>273</v>
      </c>
      <c r="BD203" s="2"/>
      <c r="BE203" s="2" t="s">
        <v>4130</v>
      </c>
      <c r="BF203" s="2" t="str">
        <f aca="false">HYPERLINK("http://dx.doi.org/10.4014/jmb.1212.12050","http://dx.doi.org/10.4014/jmb.1212.12050")</f>
        <v>http://dx.doi.org/10.4014/jmb.1212.12050</v>
      </c>
      <c r="BG203" s="2"/>
      <c r="BH203" s="2"/>
      <c r="BI203" s="2" t="n">
        <v>7</v>
      </c>
      <c r="BJ203" s="2" t="s">
        <v>654</v>
      </c>
      <c r="BK203" s="2" t="s">
        <v>100</v>
      </c>
      <c r="BL203" s="2" t="s">
        <v>654</v>
      </c>
      <c r="BM203" s="2" t="s">
        <v>4131</v>
      </c>
      <c r="BN203" s="2" t="n">
        <v>23412071</v>
      </c>
      <c r="BO203" s="2"/>
      <c r="BP203" s="2"/>
      <c r="BQ203" s="2"/>
      <c r="BR203" s="2" t="s">
        <v>104</v>
      </c>
      <c r="BS203" s="2" t="s">
        <v>4132</v>
      </c>
      <c r="BT203" s="2" t="str">
        <f aca="false">HYPERLINK("https%3A%2F%2Fwww.webofscience.com%2Fwos%2Fwoscc%2Ffull-record%2FWOS:000315547800019","View Full Record in Web of Science")</f>
        <v>View Full Record in Web of Science</v>
      </c>
    </row>
    <row r="204" customFormat="false" ht="12.75" hidden="false" customHeight="false" outlineLevel="0" collapsed="false">
      <c r="A204" s="2" t="s">
        <v>72</v>
      </c>
      <c r="B204" s="2" t="s">
        <v>4133</v>
      </c>
      <c r="C204" s="2"/>
      <c r="D204" s="2"/>
      <c r="E204" s="2"/>
      <c r="F204" s="2" t="s">
        <v>4134</v>
      </c>
      <c r="G204" s="2"/>
      <c r="H204" s="2"/>
      <c r="I204" s="2" t="s">
        <v>4135</v>
      </c>
      <c r="J204" s="2" t="s">
        <v>370</v>
      </c>
      <c r="K204" s="2"/>
      <c r="L204" s="2"/>
      <c r="M204" s="2" t="s">
        <v>77</v>
      </c>
      <c r="N204" s="2" t="s">
        <v>78</v>
      </c>
      <c r="O204" s="2"/>
      <c r="P204" s="2"/>
      <c r="Q204" s="2"/>
      <c r="R204" s="2"/>
      <c r="S204" s="2"/>
      <c r="T204" s="2" t="s">
        <v>4136</v>
      </c>
      <c r="U204" s="2" t="s">
        <v>4137</v>
      </c>
      <c r="V204" s="2" t="s">
        <v>4138</v>
      </c>
      <c r="W204" s="2" t="s">
        <v>4139</v>
      </c>
      <c r="X204" s="2" t="s">
        <v>4140</v>
      </c>
      <c r="Y204" s="2" t="s">
        <v>4141</v>
      </c>
      <c r="Z204" s="2" t="s">
        <v>4142</v>
      </c>
      <c r="AA204" s="2"/>
      <c r="AB204" s="2"/>
      <c r="AC204" s="2"/>
      <c r="AD204" s="2"/>
      <c r="AE204" s="2"/>
      <c r="AF204" s="2"/>
      <c r="AG204" s="2" t="n">
        <v>64</v>
      </c>
      <c r="AH204" s="2" t="n">
        <v>53</v>
      </c>
      <c r="AI204" s="2" t="n">
        <v>59</v>
      </c>
      <c r="AJ204" s="2" t="n">
        <v>0</v>
      </c>
      <c r="AK204" s="2" t="n">
        <v>15</v>
      </c>
      <c r="AL204" s="2" t="s">
        <v>549</v>
      </c>
      <c r="AM204" s="2" t="s">
        <v>384</v>
      </c>
      <c r="AN204" s="2" t="s">
        <v>550</v>
      </c>
      <c r="AO204" s="2" t="s">
        <v>386</v>
      </c>
      <c r="AP204" s="2" t="s">
        <v>387</v>
      </c>
      <c r="AQ204" s="2"/>
      <c r="AR204" s="2" t="s">
        <v>388</v>
      </c>
      <c r="AS204" s="2" t="s">
        <v>389</v>
      </c>
      <c r="AT204" s="2" t="s">
        <v>804</v>
      </c>
      <c r="AU204" s="2" t="n">
        <v>2007</v>
      </c>
      <c r="AV204" s="2" t="n">
        <v>40</v>
      </c>
      <c r="AW204" s="2"/>
      <c r="AX204" s="2"/>
      <c r="AY204" s="2" t="n">
        <v>1</v>
      </c>
      <c r="AZ204" s="2"/>
      <c r="BA204" s="2"/>
      <c r="BB204" s="2" t="s">
        <v>4143</v>
      </c>
      <c r="BC204" s="2" t="s">
        <v>4144</v>
      </c>
      <c r="BD204" s="2"/>
      <c r="BE204" s="2" t="s">
        <v>4145</v>
      </c>
      <c r="BF204" s="2" t="str">
        <f aca="false">HYPERLINK("http://dx.doi.org/10.1016/S1386-6532(07)70005-7","http://dx.doi.org/10.1016/S1386-6532(07)70005-7")</f>
        <v>http://dx.doi.org/10.1016/S1386-6532(07)70005-7</v>
      </c>
      <c r="BG204" s="2"/>
      <c r="BH204" s="2"/>
      <c r="BI204" s="2" t="n">
        <v>9</v>
      </c>
      <c r="BJ204" s="2" t="s">
        <v>163</v>
      </c>
      <c r="BK204" s="2" t="s">
        <v>100</v>
      </c>
      <c r="BL204" s="2" t="s">
        <v>163</v>
      </c>
      <c r="BM204" s="2" t="s">
        <v>4146</v>
      </c>
      <c r="BN204" s="2" t="n">
        <v>18162249</v>
      </c>
      <c r="BO204" s="2" t="s">
        <v>165</v>
      </c>
      <c r="BP204" s="2"/>
      <c r="BQ204" s="2"/>
      <c r="BR204" s="2" t="s">
        <v>104</v>
      </c>
      <c r="BS204" s="2" t="s">
        <v>4147</v>
      </c>
      <c r="BT204" s="2" t="str">
        <f aca="false">HYPERLINK("https%3A%2F%2Fwww.webofscience.com%2Fwos%2Fwoscc%2Ffull-record%2FWOS:000252736300005","View Full Record in Web of Science")</f>
        <v>View Full Record in Web of Science</v>
      </c>
    </row>
    <row r="205" customFormat="false" ht="12.75" hidden="false" customHeight="false" outlineLevel="0" collapsed="false">
      <c r="A205" s="2" t="s">
        <v>72</v>
      </c>
      <c r="B205" s="2" t="s">
        <v>4133</v>
      </c>
      <c r="C205" s="2"/>
      <c r="D205" s="2"/>
      <c r="E205" s="2"/>
      <c r="F205" s="2" t="s">
        <v>4134</v>
      </c>
      <c r="G205" s="2"/>
      <c r="H205" s="2"/>
      <c r="I205" s="2" t="s">
        <v>4148</v>
      </c>
      <c r="J205" s="2" t="s">
        <v>370</v>
      </c>
      <c r="K205" s="2"/>
      <c r="L205" s="2"/>
      <c r="M205" s="2" t="s">
        <v>77</v>
      </c>
      <c r="N205" s="2" t="s">
        <v>78</v>
      </c>
      <c r="O205" s="2"/>
      <c r="P205" s="2"/>
      <c r="Q205" s="2"/>
      <c r="R205" s="2"/>
      <c r="S205" s="2"/>
      <c r="T205" s="2" t="s">
        <v>4149</v>
      </c>
      <c r="U205" s="2" t="s">
        <v>4150</v>
      </c>
      <c r="V205" s="2" t="s">
        <v>4151</v>
      </c>
      <c r="W205" s="2" t="s">
        <v>4152</v>
      </c>
      <c r="X205" s="2" t="s">
        <v>4140</v>
      </c>
      <c r="Y205" s="2" t="s">
        <v>4141</v>
      </c>
      <c r="Z205" s="2" t="s">
        <v>4142</v>
      </c>
      <c r="AA205" s="2"/>
      <c r="AB205" s="2"/>
      <c r="AC205" s="2"/>
      <c r="AD205" s="2"/>
      <c r="AE205" s="2"/>
      <c r="AF205" s="2"/>
      <c r="AG205" s="2" t="n">
        <v>41</v>
      </c>
      <c r="AH205" s="2" t="n">
        <v>21</v>
      </c>
      <c r="AI205" s="2" t="n">
        <v>24</v>
      </c>
      <c r="AJ205" s="2" t="n">
        <v>0</v>
      </c>
      <c r="AK205" s="2" t="n">
        <v>4</v>
      </c>
      <c r="AL205" s="2" t="s">
        <v>549</v>
      </c>
      <c r="AM205" s="2" t="s">
        <v>384</v>
      </c>
      <c r="AN205" s="2" t="s">
        <v>550</v>
      </c>
      <c r="AO205" s="2" t="s">
        <v>386</v>
      </c>
      <c r="AP205" s="2"/>
      <c r="AQ205" s="2"/>
      <c r="AR205" s="2" t="s">
        <v>388</v>
      </c>
      <c r="AS205" s="2" t="s">
        <v>389</v>
      </c>
      <c r="AT205" s="2" t="s">
        <v>804</v>
      </c>
      <c r="AU205" s="2" t="n">
        <v>2007</v>
      </c>
      <c r="AV205" s="2" t="n">
        <v>40</v>
      </c>
      <c r="AW205" s="2"/>
      <c r="AX205" s="2"/>
      <c r="AY205" s="2" t="n">
        <v>1</v>
      </c>
      <c r="AZ205" s="2"/>
      <c r="BA205" s="2"/>
      <c r="BB205" s="2" t="s">
        <v>4153</v>
      </c>
      <c r="BC205" s="2" t="s">
        <v>4154</v>
      </c>
      <c r="BD205" s="2"/>
      <c r="BE205" s="2" t="s">
        <v>4155</v>
      </c>
      <c r="BF205" s="2" t="str">
        <f aca="false">HYPERLINK("http://dx.doi.org/10.1016/S1386-6532(07)70006-9","http://dx.doi.org/10.1016/S1386-6532(07)70006-9")</f>
        <v>http://dx.doi.org/10.1016/S1386-6532(07)70006-9</v>
      </c>
      <c r="BG205" s="2"/>
      <c r="BH205" s="2"/>
      <c r="BI205" s="2" t="n">
        <v>7</v>
      </c>
      <c r="BJ205" s="2" t="s">
        <v>163</v>
      </c>
      <c r="BK205" s="2" t="s">
        <v>100</v>
      </c>
      <c r="BL205" s="2" t="s">
        <v>163</v>
      </c>
      <c r="BM205" s="2" t="s">
        <v>4146</v>
      </c>
      <c r="BN205" s="2" t="n">
        <v>18162251</v>
      </c>
      <c r="BO205" s="2" t="s">
        <v>165</v>
      </c>
      <c r="BP205" s="2"/>
      <c r="BQ205" s="2"/>
      <c r="BR205" s="2" t="s">
        <v>104</v>
      </c>
      <c r="BS205" s="2" t="s">
        <v>4156</v>
      </c>
      <c r="BT205" s="2" t="str">
        <f aca="false">HYPERLINK("https%3A%2F%2Fwww.webofscience.com%2Fwos%2Fwoscc%2Ffull-record%2FWOS:000252736300006","View Full Record in Web of Science")</f>
        <v>View Full Record in Web of Science</v>
      </c>
    </row>
    <row r="206" customFormat="false" ht="12.75" hidden="false" customHeight="false" outlineLevel="0" collapsed="false">
      <c r="A206" s="2" t="s">
        <v>72</v>
      </c>
      <c r="B206" s="2" t="s">
        <v>4157</v>
      </c>
      <c r="C206" s="2"/>
      <c r="D206" s="2"/>
      <c r="E206" s="2"/>
      <c r="F206" s="2" t="s">
        <v>4158</v>
      </c>
      <c r="G206" s="2"/>
      <c r="H206" s="2"/>
      <c r="I206" s="2" t="s">
        <v>4159</v>
      </c>
      <c r="J206" s="2" t="s">
        <v>4160</v>
      </c>
      <c r="K206" s="2"/>
      <c r="L206" s="2"/>
      <c r="M206" s="2" t="s">
        <v>77</v>
      </c>
      <c r="N206" s="2" t="s">
        <v>78</v>
      </c>
      <c r="O206" s="2"/>
      <c r="P206" s="2"/>
      <c r="Q206" s="2"/>
      <c r="R206" s="2"/>
      <c r="S206" s="2"/>
      <c r="T206" s="2" t="s">
        <v>4161</v>
      </c>
      <c r="U206" s="2" t="s">
        <v>4162</v>
      </c>
      <c r="V206" s="2" t="s">
        <v>4163</v>
      </c>
      <c r="W206" s="2" t="s">
        <v>4164</v>
      </c>
      <c r="X206" s="2" t="s">
        <v>4165</v>
      </c>
      <c r="Y206" s="2" t="s">
        <v>4166</v>
      </c>
      <c r="Z206" s="2" t="s">
        <v>4167</v>
      </c>
      <c r="AA206" s="2"/>
      <c r="AB206" s="2"/>
      <c r="AC206" s="2" t="s">
        <v>4168</v>
      </c>
      <c r="AD206" s="2" t="s">
        <v>4168</v>
      </c>
      <c r="AE206" s="2" t="s">
        <v>4169</v>
      </c>
      <c r="AF206" s="2"/>
      <c r="AG206" s="2" t="n">
        <v>26</v>
      </c>
      <c r="AH206" s="2" t="n">
        <v>4</v>
      </c>
      <c r="AI206" s="2" t="n">
        <v>4</v>
      </c>
      <c r="AJ206" s="2" t="n">
        <v>0</v>
      </c>
      <c r="AK206" s="2" t="n">
        <v>3</v>
      </c>
      <c r="AL206" s="2" t="s">
        <v>1242</v>
      </c>
      <c r="AM206" s="2" t="s">
        <v>303</v>
      </c>
      <c r="AN206" s="2" t="s">
        <v>467</v>
      </c>
      <c r="AO206" s="2" t="s">
        <v>4170</v>
      </c>
      <c r="AP206" s="2" t="s">
        <v>4171</v>
      </c>
      <c r="AQ206" s="2"/>
      <c r="AR206" s="2" t="s">
        <v>4172</v>
      </c>
      <c r="AS206" s="2" t="s">
        <v>4173</v>
      </c>
      <c r="AT206" s="2" t="s">
        <v>97</v>
      </c>
      <c r="AU206" s="2" t="n">
        <v>2024</v>
      </c>
      <c r="AV206" s="2" t="n">
        <v>14</v>
      </c>
      <c r="AW206" s="2" t="n">
        <v>1</v>
      </c>
      <c r="AX206" s="2"/>
      <c r="AY206" s="2"/>
      <c r="AZ206" s="2"/>
      <c r="BA206" s="2"/>
      <c r="BB206" s="2" t="n">
        <v>54</v>
      </c>
      <c r="BC206" s="2" t="n">
        <v>62</v>
      </c>
      <c r="BD206" s="2"/>
      <c r="BE206" s="2" t="s">
        <v>4174</v>
      </c>
      <c r="BF206" s="2" t="str">
        <f aca="false">HYPERLINK("http://dx.doi.org/10.1007/s44197-023-00168-3","http://dx.doi.org/10.1007/s44197-023-00168-3")</f>
        <v>http://dx.doi.org/10.1007/s44197-023-00168-3</v>
      </c>
      <c r="BG206" s="2"/>
      <c r="BH206" s="2" t="s">
        <v>3590</v>
      </c>
      <c r="BI206" s="2" t="n">
        <v>9</v>
      </c>
      <c r="BJ206" s="2" t="s">
        <v>1353</v>
      </c>
      <c r="BK206" s="2" t="s">
        <v>1086</v>
      </c>
      <c r="BL206" s="2" t="s">
        <v>1353</v>
      </c>
      <c r="BM206" s="2" t="s">
        <v>4175</v>
      </c>
      <c r="BN206" s="2" t="n">
        <v>38048027</v>
      </c>
      <c r="BO206" s="2" t="s">
        <v>103</v>
      </c>
      <c r="BP206" s="2"/>
      <c r="BQ206" s="2"/>
      <c r="BR206" s="2" t="s">
        <v>104</v>
      </c>
      <c r="BS206" s="2" t="s">
        <v>4176</v>
      </c>
      <c r="BT206" s="2" t="str">
        <f aca="false">HYPERLINK("https%3A%2F%2Fwww.webofscience.com%2Fwos%2Fwoscc%2Ffull-record%2FWOS:001122242100001","View Full Record in Web of Science")</f>
        <v>View Full Record in Web of Science</v>
      </c>
    </row>
    <row r="207" customFormat="false" ht="12.75" hidden="false" customHeight="false" outlineLevel="0" collapsed="false">
      <c r="A207" s="2" t="s">
        <v>72</v>
      </c>
      <c r="B207" s="2" t="s">
        <v>4177</v>
      </c>
      <c r="C207" s="2"/>
      <c r="D207" s="2"/>
      <c r="E207" s="2"/>
      <c r="F207" s="2" t="s">
        <v>4178</v>
      </c>
      <c r="G207" s="2"/>
      <c r="H207" s="2"/>
      <c r="I207" s="2" t="s">
        <v>4179</v>
      </c>
      <c r="J207" s="2" t="s">
        <v>4180</v>
      </c>
      <c r="K207" s="2"/>
      <c r="L207" s="2"/>
      <c r="M207" s="2" t="s">
        <v>77</v>
      </c>
      <c r="N207" s="2" t="s">
        <v>78</v>
      </c>
      <c r="O207" s="2"/>
      <c r="P207" s="2"/>
      <c r="Q207" s="2"/>
      <c r="R207" s="2"/>
      <c r="S207" s="2"/>
      <c r="T207" s="2" t="s">
        <v>4181</v>
      </c>
      <c r="U207" s="2" t="s">
        <v>4182</v>
      </c>
      <c r="V207" s="2" t="s">
        <v>4183</v>
      </c>
      <c r="W207" s="2" t="s">
        <v>4184</v>
      </c>
      <c r="X207" s="2" t="s">
        <v>4185</v>
      </c>
      <c r="Y207" s="2" t="s">
        <v>4186</v>
      </c>
      <c r="Z207" s="2" t="s">
        <v>4187</v>
      </c>
      <c r="AA207" s="2" t="s">
        <v>4188</v>
      </c>
      <c r="AB207" s="2"/>
      <c r="AC207" s="2" t="s">
        <v>4189</v>
      </c>
      <c r="AD207" s="2" t="s">
        <v>4190</v>
      </c>
      <c r="AE207" s="2" t="s">
        <v>4191</v>
      </c>
      <c r="AF207" s="2"/>
      <c r="AG207" s="2" t="n">
        <v>24</v>
      </c>
      <c r="AH207" s="2" t="n">
        <v>0</v>
      </c>
      <c r="AI207" s="2" t="n">
        <v>0</v>
      </c>
      <c r="AJ207" s="2" t="n">
        <v>0</v>
      </c>
      <c r="AK207" s="2" t="n">
        <v>3</v>
      </c>
      <c r="AL207" s="2" t="s">
        <v>4192</v>
      </c>
      <c r="AM207" s="2" t="s">
        <v>2918</v>
      </c>
      <c r="AN207" s="2" t="s">
        <v>4193</v>
      </c>
      <c r="AO207" s="2" t="s">
        <v>4194</v>
      </c>
      <c r="AP207" s="2"/>
      <c r="AQ207" s="2"/>
      <c r="AR207" s="2" t="s">
        <v>4195</v>
      </c>
      <c r="AS207" s="2" t="s">
        <v>4196</v>
      </c>
      <c r="AT207" s="2" t="s">
        <v>804</v>
      </c>
      <c r="AU207" s="2" t="n">
        <v>2018</v>
      </c>
      <c r="AV207" s="2" t="n">
        <v>49</v>
      </c>
      <c r="AW207" s="2" t="n">
        <v>6</v>
      </c>
      <c r="AX207" s="2"/>
      <c r="AY207" s="2"/>
      <c r="AZ207" s="2"/>
      <c r="BA207" s="2"/>
      <c r="BB207" s="2" t="n">
        <v>1009</v>
      </c>
      <c r="BC207" s="2" t="n">
        <v>1016</v>
      </c>
      <c r="BD207" s="2"/>
      <c r="BE207" s="2"/>
      <c r="BF207" s="2"/>
      <c r="BG207" s="2"/>
      <c r="BH207" s="2"/>
      <c r="BI207" s="2" t="n">
        <v>8</v>
      </c>
      <c r="BJ207" s="2" t="s">
        <v>4197</v>
      </c>
      <c r="BK207" s="2" t="s">
        <v>100</v>
      </c>
      <c r="BL207" s="2" t="s">
        <v>4197</v>
      </c>
      <c r="BM207" s="2" t="s">
        <v>4198</v>
      </c>
      <c r="BN207" s="2"/>
      <c r="BO207" s="2"/>
      <c r="BP207" s="2"/>
      <c r="BQ207" s="2"/>
      <c r="BR207" s="2" t="s">
        <v>104</v>
      </c>
      <c r="BS207" s="2" t="s">
        <v>4199</v>
      </c>
      <c r="BT207" s="2" t="str">
        <f aca="false">HYPERLINK("https%3A%2F%2Fwww.webofscience.com%2Fwos%2Fwoscc%2Ffull-record%2FWOS:000456906500009","View Full Record in Web of Science")</f>
        <v>View Full Record in Web of Science</v>
      </c>
    </row>
    <row r="208" customFormat="false" ht="12.75" hidden="false" customHeight="false" outlineLevel="0" collapsed="false">
      <c r="A208" s="2" t="s">
        <v>72</v>
      </c>
      <c r="B208" s="2" t="s">
        <v>4200</v>
      </c>
      <c r="C208" s="2"/>
      <c r="D208" s="2"/>
      <c r="E208" s="2"/>
      <c r="F208" s="2" t="s">
        <v>4201</v>
      </c>
      <c r="G208" s="2"/>
      <c r="H208" s="2"/>
      <c r="I208" s="2" t="s">
        <v>4202</v>
      </c>
      <c r="J208" s="2" t="s">
        <v>514</v>
      </c>
      <c r="K208" s="2"/>
      <c r="L208" s="2"/>
      <c r="M208" s="2" t="s">
        <v>77</v>
      </c>
      <c r="N208" s="2" t="s">
        <v>78</v>
      </c>
      <c r="O208" s="2"/>
      <c r="P208" s="2"/>
      <c r="Q208" s="2"/>
      <c r="R208" s="2"/>
      <c r="S208" s="2"/>
      <c r="T208" s="2" t="s">
        <v>4203</v>
      </c>
      <c r="U208" s="2" t="s">
        <v>4204</v>
      </c>
      <c r="V208" s="2" t="s">
        <v>4205</v>
      </c>
      <c r="W208" s="2" t="s">
        <v>4206</v>
      </c>
      <c r="X208" s="2" t="s">
        <v>4207</v>
      </c>
      <c r="Y208" s="2" t="s">
        <v>4208</v>
      </c>
      <c r="Z208" s="2" t="s">
        <v>4209</v>
      </c>
      <c r="AA208" s="2" t="s">
        <v>4210</v>
      </c>
      <c r="AB208" s="2"/>
      <c r="AC208" s="2" t="s">
        <v>4211</v>
      </c>
      <c r="AD208" s="2" t="s">
        <v>4212</v>
      </c>
      <c r="AE208" s="2" t="s">
        <v>4213</v>
      </c>
      <c r="AF208" s="2"/>
      <c r="AG208" s="2" t="n">
        <v>45</v>
      </c>
      <c r="AH208" s="2" t="n">
        <v>98</v>
      </c>
      <c r="AI208" s="2" t="n">
        <v>111</v>
      </c>
      <c r="AJ208" s="2" t="n">
        <v>0</v>
      </c>
      <c r="AK208" s="2" t="n">
        <v>12</v>
      </c>
      <c r="AL208" s="2" t="s">
        <v>527</v>
      </c>
      <c r="AM208" s="2" t="s">
        <v>528</v>
      </c>
      <c r="AN208" s="2" t="s">
        <v>529</v>
      </c>
      <c r="AO208" s="2" t="s">
        <v>530</v>
      </c>
      <c r="AP208" s="2" t="s">
        <v>531</v>
      </c>
      <c r="AQ208" s="2"/>
      <c r="AR208" s="2" t="s">
        <v>532</v>
      </c>
      <c r="AS208" s="2" t="s">
        <v>533</v>
      </c>
      <c r="AT208" s="2" t="s">
        <v>4214</v>
      </c>
      <c r="AU208" s="2" t="n">
        <v>2013</v>
      </c>
      <c r="AV208" s="2" t="n">
        <v>207</v>
      </c>
      <c r="AW208" s="2" t="n">
        <v>6</v>
      </c>
      <c r="AX208" s="2"/>
      <c r="AY208" s="2"/>
      <c r="AZ208" s="2"/>
      <c r="BA208" s="2"/>
      <c r="BB208" s="2" t="n">
        <v>982</v>
      </c>
      <c r="BC208" s="2" t="n">
        <v>989</v>
      </c>
      <c r="BD208" s="2"/>
      <c r="BE208" s="2" t="s">
        <v>4215</v>
      </c>
      <c r="BF208" s="2" t="str">
        <f aca="false">HYPERLINK("http://dx.doi.org/10.1093/infdis/jis934","http://dx.doi.org/10.1093/infdis/jis934")</f>
        <v>http://dx.doi.org/10.1093/infdis/jis934</v>
      </c>
      <c r="BG208" s="2"/>
      <c r="BH208" s="2"/>
      <c r="BI208" s="2" t="n">
        <v>8</v>
      </c>
      <c r="BJ208" s="2" t="s">
        <v>536</v>
      </c>
      <c r="BK208" s="2" t="s">
        <v>100</v>
      </c>
      <c r="BL208" s="2" t="s">
        <v>536</v>
      </c>
      <c r="BM208" s="2" t="s">
        <v>4216</v>
      </c>
      <c r="BN208" s="2" t="n">
        <v>23288925</v>
      </c>
      <c r="BO208" s="2" t="s">
        <v>538</v>
      </c>
      <c r="BP208" s="2"/>
      <c r="BQ208" s="2"/>
      <c r="BR208" s="2" t="s">
        <v>104</v>
      </c>
      <c r="BS208" s="2" t="s">
        <v>4217</v>
      </c>
      <c r="BT208" s="2" t="str">
        <f aca="false">HYPERLINK("https%3A%2F%2Fwww.webofscience.com%2Fwos%2Fwoscc%2Ffull-record%2FWOS:000315156500015","View Full Record in Web of Science")</f>
        <v>View Full Record in Web of Science</v>
      </c>
    </row>
    <row r="209" customFormat="false" ht="12.75" hidden="false" customHeight="false" outlineLevel="0" collapsed="false">
      <c r="A209" s="2" t="s">
        <v>72</v>
      </c>
      <c r="B209" s="2" t="s">
        <v>4218</v>
      </c>
      <c r="C209" s="2"/>
      <c r="D209" s="2"/>
      <c r="E209" s="2"/>
      <c r="F209" s="2" t="s">
        <v>4219</v>
      </c>
      <c r="G209" s="2"/>
      <c r="H209" s="2"/>
      <c r="I209" s="2" t="s">
        <v>4220</v>
      </c>
      <c r="J209" s="2" t="s">
        <v>398</v>
      </c>
      <c r="K209" s="2"/>
      <c r="L209" s="2"/>
      <c r="M209" s="2" t="s">
        <v>77</v>
      </c>
      <c r="N209" s="2" t="s">
        <v>78</v>
      </c>
      <c r="O209" s="2"/>
      <c r="P209" s="2"/>
      <c r="Q209" s="2"/>
      <c r="R209" s="2"/>
      <c r="S209" s="2"/>
      <c r="T209" s="2" t="s">
        <v>4221</v>
      </c>
      <c r="U209" s="2"/>
      <c r="V209" s="2" t="s">
        <v>4222</v>
      </c>
      <c r="W209" s="2" t="s">
        <v>4223</v>
      </c>
      <c r="X209" s="2" t="s">
        <v>4224</v>
      </c>
      <c r="Y209" s="2" t="s">
        <v>4225</v>
      </c>
      <c r="Z209" s="2" t="s">
        <v>4226</v>
      </c>
      <c r="AA209" s="2"/>
      <c r="AB209" s="2"/>
      <c r="AC209" s="2"/>
      <c r="AD209" s="2"/>
      <c r="AE209" s="2"/>
      <c r="AF209" s="2"/>
      <c r="AG209" s="2" t="n">
        <v>34</v>
      </c>
      <c r="AH209" s="2" t="n">
        <v>0</v>
      </c>
      <c r="AI209" s="2" t="n">
        <v>0</v>
      </c>
      <c r="AJ209" s="2" t="n">
        <v>3</v>
      </c>
      <c r="AK209" s="2" t="n">
        <v>19</v>
      </c>
      <c r="AL209" s="2" t="s">
        <v>408</v>
      </c>
      <c r="AM209" s="2" t="s">
        <v>409</v>
      </c>
      <c r="AN209" s="2" t="s">
        <v>410</v>
      </c>
      <c r="AO209" s="2" t="s">
        <v>411</v>
      </c>
      <c r="AP209" s="2" t="s">
        <v>412</v>
      </c>
      <c r="AQ209" s="2"/>
      <c r="AR209" s="2" t="s">
        <v>413</v>
      </c>
      <c r="AS209" s="2" t="s">
        <v>414</v>
      </c>
      <c r="AT209" s="2" t="s">
        <v>97</v>
      </c>
      <c r="AU209" s="2" t="n">
        <v>2021</v>
      </c>
      <c r="AV209" s="2" t="n">
        <v>16</v>
      </c>
      <c r="AW209" s="2" t="n">
        <v>2</v>
      </c>
      <c r="AX209" s="2"/>
      <c r="AY209" s="2"/>
      <c r="AZ209" s="2"/>
      <c r="BA209" s="2"/>
      <c r="BB209" s="2" t="n">
        <v>67</v>
      </c>
      <c r="BC209" s="2" t="n">
        <v>73</v>
      </c>
      <c r="BD209" s="2"/>
      <c r="BE209" s="2" t="s">
        <v>4227</v>
      </c>
      <c r="BF209" s="2" t="str">
        <f aca="false">HYPERLINK("http://dx.doi.org/10.1055/s-0040-1722569","http://dx.doi.org/10.1055/s-0040-1722569")</f>
        <v>http://dx.doi.org/10.1055/s-0040-1722569</v>
      </c>
      <c r="BG209" s="2"/>
      <c r="BH209" s="2" t="s">
        <v>4228</v>
      </c>
      <c r="BI209" s="2" t="n">
        <v>7</v>
      </c>
      <c r="BJ209" s="2" t="s">
        <v>417</v>
      </c>
      <c r="BK209" s="2" t="s">
        <v>100</v>
      </c>
      <c r="BL209" s="2" t="s">
        <v>417</v>
      </c>
      <c r="BM209" s="2" t="s">
        <v>4229</v>
      </c>
      <c r="BN209" s="2"/>
      <c r="BO209" s="2"/>
      <c r="BP209" s="2"/>
      <c r="BQ209" s="2"/>
      <c r="BR209" s="2" t="s">
        <v>104</v>
      </c>
      <c r="BS209" s="2" t="s">
        <v>4230</v>
      </c>
      <c r="BT209" s="2" t="str">
        <f aca="false">HYPERLINK("https%3A%2F%2Fwww.webofscience.com%2Fwos%2Fwoscc%2Ffull-record%2FWOS:000614612700001","View Full Record in Web of Science")</f>
        <v>View Full Record in Web of Science</v>
      </c>
    </row>
    <row r="210" customFormat="false" ht="12.75" hidden="false" customHeight="false" outlineLevel="0" collapsed="false">
      <c r="A210" s="2" t="s">
        <v>72</v>
      </c>
      <c r="B210" s="2" t="s">
        <v>4231</v>
      </c>
      <c r="C210" s="2"/>
      <c r="D210" s="2"/>
      <c r="E210" s="2"/>
      <c r="F210" s="2" t="s">
        <v>4232</v>
      </c>
      <c r="G210" s="2"/>
      <c r="H210" s="2" t="s">
        <v>4233</v>
      </c>
      <c r="I210" s="2" t="s">
        <v>4234</v>
      </c>
      <c r="J210" s="2" t="s">
        <v>4235</v>
      </c>
      <c r="K210" s="2"/>
      <c r="L210" s="2"/>
      <c r="M210" s="2" t="s">
        <v>77</v>
      </c>
      <c r="N210" s="2" t="s">
        <v>78</v>
      </c>
      <c r="O210" s="2"/>
      <c r="P210" s="2"/>
      <c r="Q210" s="2"/>
      <c r="R210" s="2"/>
      <c r="S210" s="2"/>
      <c r="T210" s="2" t="s">
        <v>4236</v>
      </c>
      <c r="U210" s="2" t="s">
        <v>4237</v>
      </c>
      <c r="V210" s="2" t="s">
        <v>4238</v>
      </c>
      <c r="W210" s="2" t="s">
        <v>4239</v>
      </c>
      <c r="X210" s="2" t="s">
        <v>4240</v>
      </c>
      <c r="Y210" s="2" t="s">
        <v>4241</v>
      </c>
      <c r="Z210" s="2" t="s">
        <v>4242</v>
      </c>
      <c r="AA210" s="2" t="s">
        <v>4243</v>
      </c>
      <c r="AB210" s="2" t="s">
        <v>4244</v>
      </c>
      <c r="AC210" s="2" t="s">
        <v>4245</v>
      </c>
      <c r="AD210" s="2" t="s">
        <v>4246</v>
      </c>
      <c r="AE210" s="2" t="s">
        <v>4247</v>
      </c>
      <c r="AF210" s="2"/>
      <c r="AG210" s="2" t="n">
        <v>18</v>
      </c>
      <c r="AH210" s="2" t="n">
        <v>0</v>
      </c>
      <c r="AI210" s="2" t="n">
        <v>0</v>
      </c>
      <c r="AJ210" s="2" t="n">
        <v>1</v>
      </c>
      <c r="AK210" s="2" t="n">
        <v>1</v>
      </c>
      <c r="AL210" s="2" t="s">
        <v>302</v>
      </c>
      <c r="AM210" s="2" t="s">
        <v>303</v>
      </c>
      <c r="AN210" s="2" t="s">
        <v>304</v>
      </c>
      <c r="AO210" s="2" t="s">
        <v>4248</v>
      </c>
      <c r="AP210" s="2"/>
      <c r="AQ210" s="2"/>
      <c r="AR210" s="2" t="s">
        <v>4249</v>
      </c>
      <c r="AS210" s="2" t="s">
        <v>4250</v>
      </c>
      <c r="AT210" s="2" t="s">
        <v>4251</v>
      </c>
      <c r="AU210" s="2" t="n">
        <v>2024</v>
      </c>
      <c r="AV210" s="2" t="n">
        <v>24</v>
      </c>
      <c r="AW210" s="2" t="n">
        <v>1</v>
      </c>
      <c r="AX210" s="2"/>
      <c r="AY210" s="2"/>
      <c r="AZ210" s="2"/>
      <c r="BA210" s="2"/>
      <c r="BB210" s="2"/>
      <c r="BC210" s="2"/>
      <c r="BD210" s="2" t="n">
        <v>474</v>
      </c>
      <c r="BE210" s="2" t="s">
        <v>4252</v>
      </c>
      <c r="BF210" s="2" t="str">
        <f aca="false">HYPERLINK("http://dx.doi.org/10.1186/s12890-024-03298-x","http://dx.doi.org/10.1186/s12890-024-03298-x")</f>
        <v>http://dx.doi.org/10.1186/s12890-024-03298-x</v>
      </c>
      <c r="BG210" s="2"/>
      <c r="BH210" s="2"/>
      <c r="BI210" s="2" t="n">
        <v>7</v>
      </c>
      <c r="BJ210" s="2" t="s">
        <v>338</v>
      </c>
      <c r="BK210" s="2" t="s">
        <v>100</v>
      </c>
      <c r="BL210" s="2" t="s">
        <v>338</v>
      </c>
      <c r="BM210" s="2" t="s">
        <v>4253</v>
      </c>
      <c r="BN210" s="2" t="n">
        <v>39334189</v>
      </c>
      <c r="BO210" s="2" t="s">
        <v>1355</v>
      </c>
      <c r="BP210" s="2"/>
      <c r="BQ210" s="2"/>
      <c r="BR210" s="2" t="s">
        <v>104</v>
      </c>
      <c r="BS210" s="2" t="s">
        <v>4254</v>
      </c>
      <c r="BT210" s="2" t="str">
        <f aca="false">HYPERLINK("https%3A%2F%2Fwww.webofscience.com%2Fwos%2Fwoscc%2Ffull-record%2FWOS:001325053400001","View Full Record in Web of Science")</f>
        <v>View Full Record in Web of Science</v>
      </c>
    </row>
    <row r="211" customFormat="false" ht="12.75" hidden="false" customHeight="false" outlineLevel="0" collapsed="false">
      <c r="A211" s="2" t="s">
        <v>72</v>
      </c>
      <c r="B211" s="2" t="s">
        <v>4255</v>
      </c>
      <c r="C211" s="2"/>
      <c r="D211" s="2"/>
      <c r="E211" s="2"/>
      <c r="F211" s="2" t="s">
        <v>4256</v>
      </c>
      <c r="G211" s="2"/>
      <c r="H211" s="2"/>
      <c r="I211" s="2" t="s">
        <v>4257</v>
      </c>
      <c r="J211" s="2" t="s">
        <v>370</v>
      </c>
      <c r="K211" s="2"/>
      <c r="L211" s="2"/>
      <c r="M211" s="2" t="s">
        <v>77</v>
      </c>
      <c r="N211" s="2" t="s">
        <v>78</v>
      </c>
      <c r="O211" s="2"/>
      <c r="P211" s="2"/>
      <c r="Q211" s="2"/>
      <c r="R211" s="2"/>
      <c r="S211" s="2"/>
      <c r="T211" s="2" t="s">
        <v>4258</v>
      </c>
      <c r="U211" s="2" t="s">
        <v>4259</v>
      </c>
      <c r="V211" s="2" t="s">
        <v>4260</v>
      </c>
      <c r="W211" s="2" t="s">
        <v>4261</v>
      </c>
      <c r="X211" s="2" t="s">
        <v>4262</v>
      </c>
      <c r="Y211" s="2" t="s">
        <v>4263</v>
      </c>
      <c r="Z211" s="2" t="s">
        <v>4264</v>
      </c>
      <c r="AA211" s="2" t="s">
        <v>4265</v>
      </c>
      <c r="AB211" s="2" t="s">
        <v>4266</v>
      </c>
      <c r="AC211" s="2" t="s">
        <v>4267</v>
      </c>
      <c r="AD211" s="2" t="s">
        <v>4268</v>
      </c>
      <c r="AE211" s="2" t="s">
        <v>4269</v>
      </c>
      <c r="AF211" s="2"/>
      <c r="AG211" s="2" t="n">
        <v>11</v>
      </c>
      <c r="AH211" s="2" t="n">
        <v>21</v>
      </c>
      <c r="AI211" s="2" t="n">
        <v>21</v>
      </c>
      <c r="AJ211" s="2" t="n">
        <v>0</v>
      </c>
      <c r="AK211" s="2" t="n">
        <v>12</v>
      </c>
      <c r="AL211" s="2" t="s">
        <v>383</v>
      </c>
      <c r="AM211" s="2" t="s">
        <v>384</v>
      </c>
      <c r="AN211" s="2" t="s">
        <v>385</v>
      </c>
      <c r="AO211" s="2" t="s">
        <v>386</v>
      </c>
      <c r="AP211" s="2" t="s">
        <v>387</v>
      </c>
      <c r="AQ211" s="2"/>
      <c r="AR211" s="2" t="s">
        <v>388</v>
      </c>
      <c r="AS211" s="2" t="s">
        <v>389</v>
      </c>
      <c r="AT211" s="2" t="s">
        <v>599</v>
      </c>
      <c r="AU211" s="2" t="n">
        <v>2014</v>
      </c>
      <c r="AV211" s="2" t="n">
        <v>60</v>
      </c>
      <c r="AW211" s="2" t="n">
        <v>3</v>
      </c>
      <c r="AX211" s="2"/>
      <c r="AY211" s="2"/>
      <c r="AZ211" s="2"/>
      <c r="BA211" s="2"/>
      <c r="BB211" s="2" t="n">
        <v>309</v>
      </c>
      <c r="BC211" s="2" t="n">
        <v>312</v>
      </c>
      <c r="BD211" s="2"/>
      <c r="BE211" s="2" t="s">
        <v>4270</v>
      </c>
      <c r="BF211" s="2" t="str">
        <f aca="false">HYPERLINK("http://dx.doi.org/10.1016/j.jcv.2014.04.011","http://dx.doi.org/10.1016/j.jcv.2014.04.011")</f>
        <v>http://dx.doi.org/10.1016/j.jcv.2014.04.011</v>
      </c>
      <c r="BG211" s="2"/>
      <c r="BH211" s="2"/>
      <c r="BI211" s="2" t="n">
        <v>4</v>
      </c>
      <c r="BJ211" s="2" t="s">
        <v>163</v>
      </c>
      <c r="BK211" s="2" t="s">
        <v>100</v>
      </c>
      <c r="BL211" s="2" t="s">
        <v>163</v>
      </c>
      <c r="BM211" s="2" t="s">
        <v>4271</v>
      </c>
      <c r="BN211" s="2" t="n">
        <v>24875136</v>
      </c>
      <c r="BO211" s="2" t="s">
        <v>695</v>
      </c>
      <c r="BP211" s="2"/>
      <c r="BQ211" s="2"/>
      <c r="BR211" s="2" t="s">
        <v>104</v>
      </c>
      <c r="BS211" s="2" t="s">
        <v>4272</v>
      </c>
      <c r="BT211" s="2" t="str">
        <f aca="false">HYPERLINK("https%3A%2F%2Fwww.webofscience.com%2Fwos%2Fwoscc%2Ffull-record%2FWOS:000339287200019","View Full Record in Web of Science")</f>
        <v>View Full Record in Web of Science</v>
      </c>
    </row>
    <row r="212" customFormat="false" ht="12.75" hidden="false" customHeight="false" outlineLevel="0" collapsed="false">
      <c r="A212" s="2" t="s">
        <v>72</v>
      </c>
      <c r="B212" s="2" t="s">
        <v>4273</v>
      </c>
      <c r="C212" s="2"/>
      <c r="D212" s="2"/>
      <c r="E212" s="2"/>
      <c r="F212" s="2" t="s">
        <v>4274</v>
      </c>
      <c r="G212" s="2"/>
      <c r="H212" s="2"/>
      <c r="I212" s="2" t="s">
        <v>4275</v>
      </c>
      <c r="J212" s="2" t="s">
        <v>770</v>
      </c>
      <c r="K212" s="2"/>
      <c r="L212" s="2"/>
      <c r="M212" s="2" t="s">
        <v>77</v>
      </c>
      <c r="N212" s="2" t="s">
        <v>78</v>
      </c>
      <c r="O212" s="2"/>
      <c r="P212" s="2"/>
      <c r="Q212" s="2"/>
      <c r="R212" s="2"/>
      <c r="S212" s="2"/>
      <c r="T212" s="2" t="s">
        <v>4276</v>
      </c>
      <c r="U212" s="2" t="s">
        <v>4277</v>
      </c>
      <c r="V212" s="2" t="s">
        <v>4278</v>
      </c>
      <c r="W212" s="2" t="s">
        <v>4279</v>
      </c>
      <c r="X212" s="2" t="s">
        <v>4280</v>
      </c>
      <c r="Y212" s="2" t="s">
        <v>4281</v>
      </c>
      <c r="Z212" s="2" t="s">
        <v>4282</v>
      </c>
      <c r="AA212" s="2" t="s">
        <v>4283</v>
      </c>
      <c r="AB212" s="2" t="s">
        <v>4284</v>
      </c>
      <c r="AC212" s="2" t="s">
        <v>4285</v>
      </c>
      <c r="AD212" s="2" t="s">
        <v>4286</v>
      </c>
      <c r="AE212" s="2" t="s">
        <v>4287</v>
      </c>
      <c r="AF212" s="2"/>
      <c r="AG212" s="2" t="n">
        <v>33</v>
      </c>
      <c r="AH212" s="2" t="n">
        <v>13</v>
      </c>
      <c r="AI212" s="2" t="n">
        <v>14</v>
      </c>
      <c r="AJ212" s="2" t="n">
        <v>0</v>
      </c>
      <c r="AK212" s="2" t="n">
        <v>4</v>
      </c>
      <c r="AL212" s="2" t="s">
        <v>782</v>
      </c>
      <c r="AM212" s="2" t="s">
        <v>2193</v>
      </c>
      <c r="AN212" s="2" t="s">
        <v>2194</v>
      </c>
      <c r="AO212" s="2" t="s">
        <v>785</v>
      </c>
      <c r="AP212" s="2" t="s">
        <v>786</v>
      </c>
      <c r="AQ212" s="2"/>
      <c r="AR212" s="2" t="s">
        <v>787</v>
      </c>
      <c r="AS212" s="2" t="s">
        <v>788</v>
      </c>
      <c r="AT212" s="2" t="s">
        <v>390</v>
      </c>
      <c r="AU212" s="2" t="n">
        <v>2015</v>
      </c>
      <c r="AV212" s="2" t="n">
        <v>34</v>
      </c>
      <c r="AW212" s="2"/>
      <c r="AX212" s="2"/>
      <c r="AY212" s="2"/>
      <c r="AZ212" s="2"/>
      <c r="BA212" s="2"/>
      <c r="BB212" s="2" t="n">
        <v>3</v>
      </c>
      <c r="BC212" s="2" t="n">
        <v>7</v>
      </c>
      <c r="BD212" s="2"/>
      <c r="BE212" s="2" t="s">
        <v>4288</v>
      </c>
      <c r="BF212" s="2" t="str">
        <f aca="false">HYPERLINK("http://dx.doi.org/10.1016/j.ijid.2015.03.003","http://dx.doi.org/10.1016/j.ijid.2015.03.003")</f>
        <v>http://dx.doi.org/10.1016/j.ijid.2015.03.003</v>
      </c>
      <c r="BG212" s="2"/>
      <c r="BH212" s="2"/>
      <c r="BI212" s="2" t="n">
        <v>5</v>
      </c>
      <c r="BJ212" s="2" t="s">
        <v>575</v>
      </c>
      <c r="BK212" s="2" t="s">
        <v>100</v>
      </c>
      <c r="BL212" s="2" t="s">
        <v>575</v>
      </c>
      <c r="BM212" s="2" t="s">
        <v>4289</v>
      </c>
      <c r="BN212" s="2" t="n">
        <v>25747778</v>
      </c>
      <c r="BO212" s="2" t="s">
        <v>103</v>
      </c>
      <c r="BP212" s="2"/>
      <c r="BQ212" s="2"/>
      <c r="BR212" s="2" t="s">
        <v>104</v>
      </c>
      <c r="BS212" s="2" t="s">
        <v>4290</v>
      </c>
      <c r="BT212" s="2" t="str">
        <f aca="false">HYPERLINK("https%3A%2F%2Fwww.webofscience.com%2Fwos%2Fwoscc%2Ffull-record%2FWOS:000355926800002","View Full Record in Web of Science")</f>
        <v>View Full Record in Web of Science</v>
      </c>
    </row>
    <row r="213" customFormat="false" ht="12.75" hidden="false" customHeight="false" outlineLevel="0" collapsed="false">
      <c r="A213" s="2" t="s">
        <v>72</v>
      </c>
      <c r="B213" s="2" t="s">
        <v>4291</v>
      </c>
      <c r="C213" s="2"/>
      <c r="D213" s="2"/>
      <c r="E213" s="2"/>
      <c r="F213" s="2" t="s">
        <v>4292</v>
      </c>
      <c r="G213" s="2"/>
      <c r="H213" s="2"/>
      <c r="I213" s="2" t="s">
        <v>4293</v>
      </c>
      <c r="J213" s="2" t="s">
        <v>1448</v>
      </c>
      <c r="K213" s="2"/>
      <c r="L213" s="2"/>
      <c r="M213" s="2" t="s">
        <v>77</v>
      </c>
      <c r="N213" s="2" t="s">
        <v>78</v>
      </c>
      <c r="O213" s="2"/>
      <c r="P213" s="2"/>
      <c r="Q213" s="2"/>
      <c r="R213" s="2"/>
      <c r="S213" s="2"/>
      <c r="T213" s="2" t="s">
        <v>4294</v>
      </c>
      <c r="U213" s="2" t="s">
        <v>4295</v>
      </c>
      <c r="V213" s="2" t="s">
        <v>4296</v>
      </c>
      <c r="W213" s="2" t="s">
        <v>4297</v>
      </c>
      <c r="X213" s="2" t="s">
        <v>4298</v>
      </c>
      <c r="Y213" s="2" t="s">
        <v>4299</v>
      </c>
      <c r="Z213" s="2" t="s">
        <v>4300</v>
      </c>
      <c r="AA213" s="2" t="s">
        <v>4301</v>
      </c>
      <c r="AB213" s="2" t="s">
        <v>4302</v>
      </c>
      <c r="AC213" s="2"/>
      <c r="AD213" s="2"/>
      <c r="AE213" s="2"/>
      <c r="AF213" s="2"/>
      <c r="AG213" s="2" t="n">
        <v>38</v>
      </c>
      <c r="AH213" s="2" t="n">
        <v>16</v>
      </c>
      <c r="AI213" s="2" t="n">
        <v>16</v>
      </c>
      <c r="AJ213" s="2" t="n">
        <v>0</v>
      </c>
      <c r="AK213" s="2" t="n">
        <v>15</v>
      </c>
      <c r="AL213" s="2" t="s">
        <v>1460</v>
      </c>
      <c r="AM213" s="2" t="s">
        <v>593</v>
      </c>
      <c r="AN213" s="2" t="s">
        <v>2088</v>
      </c>
      <c r="AO213" s="2" t="s">
        <v>1462</v>
      </c>
      <c r="AP213" s="2" t="s">
        <v>1463</v>
      </c>
      <c r="AQ213" s="2"/>
      <c r="AR213" s="2" t="s">
        <v>1464</v>
      </c>
      <c r="AS213" s="2" t="s">
        <v>1465</v>
      </c>
      <c r="AT213" s="2" t="s">
        <v>804</v>
      </c>
      <c r="AU213" s="2" t="n">
        <v>2015</v>
      </c>
      <c r="AV213" s="2" t="n">
        <v>83</v>
      </c>
      <c r="AW213" s="2" t="n">
        <v>3</v>
      </c>
      <c r="AX213" s="2"/>
      <c r="AY213" s="2"/>
      <c r="AZ213" s="2"/>
      <c r="BA213" s="2"/>
      <c r="BB213" s="2" t="n">
        <v>252</v>
      </c>
      <c r="BC213" s="2" t="n">
        <v>256</v>
      </c>
      <c r="BD213" s="2"/>
      <c r="BE213" s="2" t="s">
        <v>4303</v>
      </c>
      <c r="BF213" s="2" t="str">
        <f aca="false">HYPERLINK("http://dx.doi.org/10.1016/j.diagmicrobio.2015.07.010","http://dx.doi.org/10.1016/j.diagmicrobio.2015.07.010")</f>
        <v>http://dx.doi.org/10.1016/j.diagmicrobio.2015.07.010</v>
      </c>
      <c r="BG213" s="2"/>
      <c r="BH213" s="2"/>
      <c r="BI213" s="2" t="n">
        <v>5</v>
      </c>
      <c r="BJ213" s="2" t="s">
        <v>1467</v>
      </c>
      <c r="BK213" s="2" t="s">
        <v>100</v>
      </c>
      <c r="BL213" s="2" t="s">
        <v>1467</v>
      </c>
      <c r="BM213" s="2" t="s">
        <v>4304</v>
      </c>
      <c r="BN213" s="2" t="n">
        <v>26283523</v>
      </c>
      <c r="BO213" s="2" t="s">
        <v>1227</v>
      </c>
      <c r="BP213" s="2"/>
      <c r="BQ213" s="2"/>
      <c r="BR213" s="2" t="s">
        <v>104</v>
      </c>
      <c r="BS213" s="2" t="s">
        <v>4305</v>
      </c>
      <c r="BT213" s="2" t="str">
        <f aca="false">HYPERLINK("https%3A%2F%2Fwww.webofscience.com%2Fwos%2Fwoscc%2Ffull-record%2FWOS:000363363000011","View Full Record in Web of Science")</f>
        <v>View Full Record in Web of Science</v>
      </c>
    </row>
    <row r="214" customFormat="false" ht="12.75" hidden="false" customHeight="false" outlineLevel="0" collapsed="false">
      <c r="A214" s="2" t="s">
        <v>72</v>
      </c>
      <c r="B214" s="2" t="s">
        <v>4306</v>
      </c>
      <c r="C214" s="2"/>
      <c r="D214" s="2"/>
      <c r="E214" s="2"/>
      <c r="F214" s="2" t="s">
        <v>4307</v>
      </c>
      <c r="G214" s="2"/>
      <c r="H214" s="2"/>
      <c r="I214" s="2" t="s">
        <v>4308</v>
      </c>
      <c r="J214" s="2" t="s">
        <v>4309</v>
      </c>
      <c r="K214" s="2"/>
      <c r="L214" s="2"/>
      <c r="M214" s="2" t="s">
        <v>77</v>
      </c>
      <c r="N214" s="2" t="s">
        <v>78</v>
      </c>
      <c r="O214" s="2"/>
      <c r="P214" s="2"/>
      <c r="Q214" s="2"/>
      <c r="R214" s="2"/>
      <c r="S214" s="2"/>
      <c r="T214" s="2" t="s">
        <v>4310</v>
      </c>
      <c r="U214" s="2" t="s">
        <v>4311</v>
      </c>
      <c r="V214" s="2" t="s">
        <v>4312</v>
      </c>
      <c r="W214" s="2" t="s">
        <v>4313</v>
      </c>
      <c r="X214" s="2" t="s">
        <v>4314</v>
      </c>
      <c r="Y214" s="2" t="s">
        <v>4315</v>
      </c>
      <c r="Z214" s="2"/>
      <c r="AA214" s="2" t="s">
        <v>4316</v>
      </c>
      <c r="AB214" s="2"/>
      <c r="AC214" s="2" t="s">
        <v>4317</v>
      </c>
      <c r="AD214" s="2" t="s">
        <v>4317</v>
      </c>
      <c r="AE214" s="2" t="s">
        <v>4318</v>
      </c>
      <c r="AF214" s="2"/>
      <c r="AG214" s="2" t="n">
        <v>32</v>
      </c>
      <c r="AH214" s="2" t="n">
        <v>0</v>
      </c>
      <c r="AI214" s="2" t="n">
        <v>0</v>
      </c>
      <c r="AJ214" s="2" t="n">
        <v>0</v>
      </c>
      <c r="AK214" s="2" t="n">
        <v>0</v>
      </c>
      <c r="AL214" s="2" t="s">
        <v>2788</v>
      </c>
      <c r="AM214" s="2" t="s">
        <v>2789</v>
      </c>
      <c r="AN214" s="2" t="s">
        <v>2790</v>
      </c>
      <c r="AO214" s="2" t="s">
        <v>4319</v>
      </c>
      <c r="AP214" s="2" t="s">
        <v>4320</v>
      </c>
      <c r="AQ214" s="2"/>
      <c r="AR214" s="2" t="s">
        <v>4321</v>
      </c>
      <c r="AS214" s="2" t="s">
        <v>4322</v>
      </c>
      <c r="AT214" s="2" t="s">
        <v>1855</v>
      </c>
      <c r="AU214" s="2" t="n">
        <v>2024</v>
      </c>
      <c r="AV214" s="2" t="n">
        <v>56</v>
      </c>
      <c r="AW214" s="2" t="n">
        <v>12</v>
      </c>
      <c r="AX214" s="2"/>
      <c r="AY214" s="2"/>
      <c r="AZ214" s="2"/>
      <c r="BA214" s="2"/>
      <c r="BB214" s="2" t="n">
        <v>1031</v>
      </c>
      <c r="BC214" s="2" t="n">
        <v>1039</v>
      </c>
      <c r="BD214" s="2"/>
      <c r="BE214" s="2" t="s">
        <v>4323</v>
      </c>
      <c r="BF214" s="2" t="str">
        <f aca="false">HYPERLINK("http://dx.doi.org/10.1080/23744235.2024.2375592","http://dx.doi.org/10.1080/23744235.2024.2375592")</f>
        <v>http://dx.doi.org/10.1080/23744235.2024.2375592</v>
      </c>
      <c r="BG214" s="2"/>
      <c r="BH214" s="2" t="s">
        <v>4324</v>
      </c>
      <c r="BI214" s="2" t="n">
        <v>9</v>
      </c>
      <c r="BJ214" s="2" t="s">
        <v>575</v>
      </c>
      <c r="BK214" s="2" t="s">
        <v>100</v>
      </c>
      <c r="BL214" s="2" t="s">
        <v>575</v>
      </c>
      <c r="BM214" s="2" t="s">
        <v>4325</v>
      </c>
      <c r="BN214" s="2" t="n">
        <v>39042560</v>
      </c>
      <c r="BO214" s="2" t="s">
        <v>2278</v>
      </c>
      <c r="BP214" s="2"/>
      <c r="BQ214" s="2"/>
      <c r="BR214" s="2" t="s">
        <v>104</v>
      </c>
      <c r="BS214" s="2" t="s">
        <v>4326</v>
      </c>
      <c r="BT214" s="2" t="str">
        <f aca="false">HYPERLINK("https%3A%2F%2Fwww.webofscience.com%2Fwos%2Fwoscc%2Ffull-record%2FWOS:001274836900001","View Full Record in Web of Science")</f>
        <v>View Full Record in Web of Science</v>
      </c>
    </row>
    <row r="215" customFormat="false" ht="12.75" hidden="false" customHeight="false" outlineLevel="0" collapsed="false">
      <c r="A215" s="2" t="s">
        <v>72</v>
      </c>
      <c r="B215" s="2" t="s">
        <v>4327</v>
      </c>
      <c r="C215" s="2"/>
      <c r="D215" s="2"/>
      <c r="E215" s="2"/>
      <c r="F215" s="2" t="s">
        <v>4328</v>
      </c>
      <c r="G215" s="2"/>
      <c r="H215" s="2"/>
      <c r="I215" s="2" t="s">
        <v>4329</v>
      </c>
      <c r="J215" s="2" t="s">
        <v>2713</v>
      </c>
      <c r="K215" s="2"/>
      <c r="L215" s="2"/>
      <c r="M215" s="2" t="s">
        <v>77</v>
      </c>
      <c r="N215" s="2" t="s">
        <v>78</v>
      </c>
      <c r="O215" s="2"/>
      <c r="P215" s="2"/>
      <c r="Q215" s="2"/>
      <c r="R215" s="2"/>
      <c r="S215" s="2"/>
      <c r="T215" s="2" t="s">
        <v>4330</v>
      </c>
      <c r="U215" s="2" t="s">
        <v>4331</v>
      </c>
      <c r="V215" s="2" t="s">
        <v>4332</v>
      </c>
      <c r="W215" s="2" t="s">
        <v>4333</v>
      </c>
      <c r="X215" s="2" t="s">
        <v>4334</v>
      </c>
      <c r="Y215" s="2" t="s">
        <v>4335</v>
      </c>
      <c r="Z215" s="2" t="s">
        <v>4336</v>
      </c>
      <c r="AA215" s="2" t="s">
        <v>4337</v>
      </c>
      <c r="AB215" s="2" t="s">
        <v>4338</v>
      </c>
      <c r="AC215" s="2" t="s">
        <v>4339</v>
      </c>
      <c r="AD215" s="2" t="s">
        <v>4340</v>
      </c>
      <c r="AE215" s="2" t="s">
        <v>4341</v>
      </c>
      <c r="AF215" s="2"/>
      <c r="AG215" s="2" t="n">
        <v>46</v>
      </c>
      <c r="AH215" s="2" t="n">
        <v>24</v>
      </c>
      <c r="AI215" s="2" t="n">
        <v>26</v>
      </c>
      <c r="AJ215" s="2" t="n">
        <v>0</v>
      </c>
      <c r="AK215" s="2" t="n">
        <v>3</v>
      </c>
      <c r="AL215" s="2" t="s">
        <v>1460</v>
      </c>
      <c r="AM215" s="2" t="s">
        <v>593</v>
      </c>
      <c r="AN215" s="2" t="s">
        <v>1461</v>
      </c>
      <c r="AO215" s="2" t="s">
        <v>2726</v>
      </c>
      <c r="AP215" s="2" t="s">
        <v>2727</v>
      </c>
      <c r="AQ215" s="2"/>
      <c r="AR215" s="2" t="s">
        <v>2728</v>
      </c>
      <c r="AS215" s="2" t="s">
        <v>2729</v>
      </c>
      <c r="AT215" s="2" t="s">
        <v>804</v>
      </c>
      <c r="AU215" s="2" t="n">
        <v>2018</v>
      </c>
      <c r="AV215" s="2" t="n">
        <v>24</v>
      </c>
      <c r="AW215" s="2" t="n">
        <v>11</v>
      </c>
      <c r="AX215" s="2"/>
      <c r="AY215" s="2"/>
      <c r="AZ215" s="2"/>
      <c r="BA215" s="2"/>
      <c r="BB215" s="2" t="n">
        <v>2293</v>
      </c>
      <c r="BC215" s="2" t="n">
        <v>2301</v>
      </c>
      <c r="BD215" s="2"/>
      <c r="BE215" s="2" t="s">
        <v>4342</v>
      </c>
      <c r="BF215" s="2" t="str">
        <f aca="false">HYPERLINK("http://dx.doi.org/10.1016/j.bbmt.2018.05.016","http://dx.doi.org/10.1016/j.bbmt.2018.05.016")</f>
        <v>http://dx.doi.org/10.1016/j.bbmt.2018.05.016</v>
      </c>
      <c r="BG215" s="2"/>
      <c r="BH215" s="2"/>
      <c r="BI215" s="2" t="n">
        <v>9</v>
      </c>
      <c r="BJ215" s="2" t="s">
        <v>2731</v>
      </c>
      <c r="BK215" s="2" t="s">
        <v>100</v>
      </c>
      <c r="BL215" s="2" t="s">
        <v>2731</v>
      </c>
      <c r="BM215" s="2" t="s">
        <v>4343</v>
      </c>
      <c r="BN215" s="2" t="n">
        <v>29777867</v>
      </c>
      <c r="BO215" s="2" t="s">
        <v>3505</v>
      </c>
      <c r="BP215" s="2"/>
      <c r="BQ215" s="2"/>
      <c r="BR215" s="2" t="s">
        <v>104</v>
      </c>
      <c r="BS215" s="2" t="s">
        <v>4344</v>
      </c>
      <c r="BT215" s="2" t="str">
        <f aca="false">HYPERLINK("https%3A%2F%2Fwww.webofscience.com%2Fwos%2Fwoscc%2Ffull-record%2FWOS:000453638700019","View Full Record in Web of Science")</f>
        <v>View Full Record in Web of Science</v>
      </c>
    </row>
    <row r="216" customFormat="false" ht="12.75" hidden="false" customHeight="false" outlineLevel="0" collapsed="false">
      <c r="A216" s="2" t="s">
        <v>72</v>
      </c>
      <c r="B216" s="2" t="s">
        <v>4345</v>
      </c>
      <c r="C216" s="2"/>
      <c r="D216" s="2"/>
      <c r="E216" s="2"/>
      <c r="F216" s="2" t="s">
        <v>4346</v>
      </c>
      <c r="G216" s="2"/>
      <c r="H216" s="2"/>
      <c r="I216" s="2" t="s">
        <v>4347</v>
      </c>
      <c r="J216" s="2" t="s">
        <v>1886</v>
      </c>
      <c r="K216" s="2"/>
      <c r="L216" s="2"/>
      <c r="M216" s="2" t="s">
        <v>77</v>
      </c>
      <c r="N216" s="2" t="s">
        <v>78</v>
      </c>
      <c r="O216" s="2"/>
      <c r="P216" s="2"/>
      <c r="Q216" s="2"/>
      <c r="R216" s="2"/>
      <c r="S216" s="2"/>
      <c r="T216" s="2" t="s">
        <v>4348</v>
      </c>
      <c r="U216" s="2" t="s">
        <v>4349</v>
      </c>
      <c r="V216" s="2" t="s">
        <v>4350</v>
      </c>
      <c r="W216" s="2" t="s">
        <v>4351</v>
      </c>
      <c r="X216" s="2" t="s">
        <v>4352</v>
      </c>
      <c r="Y216" s="2" t="s">
        <v>4353</v>
      </c>
      <c r="Z216" s="2" t="s">
        <v>4354</v>
      </c>
      <c r="AA216" s="2" t="s">
        <v>4355</v>
      </c>
      <c r="AB216" s="2" t="s">
        <v>4356</v>
      </c>
      <c r="AC216" s="2" t="s">
        <v>4357</v>
      </c>
      <c r="AD216" s="2" t="s">
        <v>4358</v>
      </c>
      <c r="AE216" s="2" t="s">
        <v>4359</v>
      </c>
      <c r="AF216" s="2"/>
      <c r="AG216" s="2" t="n">
        <v>40</v>
      </c>
      <c r="AH216" s="2" t="n">
        <v>22</v>
      </c>
      <c r="AI216" s="2" t="n">
        <v>24</v>
      </c>
      <c r="AJ216" s="2" t="n">
        <v>0</v>
      </c>
      <c r="AK216" s="2" t="n">
        <v>9</v>
      </c>
      <c r="AL216" s="2" t="s">
        <v>1896</v>
      </c>
      <c r="AM216" s="2" t="s">
        <v>92</v>
      </c>
      <c r="AN216" s="2" t="s">
        <v>1897</v>
      </c>
      <c r="AO216" s="2" t="s">
        <v>1898</v>
      </c>
      <c r="AP216" s="2" t="s">
        <v>1899</v>
      </c>
      <c r="AQ216" s="2"/>
      <c r="AR216" s="2" t="s">
        <v>1886</v>
      </c>
      <c r="AS216" s="2" t="s">
        <v>1900</v>
      </c>
      <c r="AT216" s="2"/>
      <c r="AU216" s="2" t="n">
        <v>2015</v>
      </c>
      <c r="AV216" s="2" t="n">
        <v>58</v>
      </c>
      <c r="AW216" s="2" t="n">
        <v>1</v>
      </c>
      <c r="AX216" s="2"/>
      <c r="AY216" s="2"/>
      <c r="AZ216" s="2"/>
      <c r="BA216" s="2"/>
      <c r="BB216" s="2" t="n">
        <v>57</v>
      </c>
      <c r="BC216" s="2" t="n">
        <v>68</v>
      </c>
      <c r="BD216" s="2"/>
      <c r="BE216" s="2" t="s">
        <v>4360</v>
      </c>
      <c r="BF216" s="2" t="str">
        <f aca="false">HYPERLINK("http://dx.doi.org/10.1159/000369211","http://dx.doi.org/10.1159/000369211")</f>
        <v>http://dx.doi.org/10.1159/000369211</v>
      </c>
      <c r="BG216" s="2"/>
      <c r="BH216" s="2"/>
      <c r="BI216" s="2" t="n">
        <v>12</v>
      </c>
      <c r="BJ216" s="2" t="s">
        <v>163</v>
      </c>
      <c r="BK216" s="2" t="s">
        <v>100</v>
      </c>
      <c r="BL216" s="2" t="s">
        <v>163</v>
      </c>
      <c r="BM216" s="2" t="s">
        <v>4361</v>
      </c>
      <c r="BN216" s="2" t="n">
        <v>25890989</v>
      </c>
      <c r="BO216" s="2" t="s">
        <v>165</v>
      </c>
      <c r="BP216" s="2"/>
      <c r="BQ216" s="2"/>
      <c r="BR216" s="2" t="s">
        <v>104</v>
      </c>
      <c r="BS216" s="2" t="s">
        <v>4362</v>
      </c>
      <c r="BT216" s="2" t="str">
        <f aca="false">HYPERLINK("https%3A%2F%2Fwww.webofscience.com%2Fwos%2Fwoscc%2Ffull-record%2FWOS:000350267400009","View Full Record in Web of Science")</f>
        <v>View Full Record in Web of Science</v>
      </c>
    </row>
    <row r="217" customFormat="false" ht="12.75" hidden="false" customHeight="false" outlineLevel="0" collapsed="false">
      <c r="A217" s="2" t="s">
        <v>72</v>
      </c>
      <c r="B217" s="2" t="s">
        <v>4363</v>
      </c>
      <c r="C217" s="2"/>
      <c r="D217" s="2"/>
      <c r="E217" s="2"/>
      <c r="F217" s="2" t="s">
        <v>4364</v>
      </c>
      <c r="G217" s="2"/>
      <c r="H217" s="2"/>
      <c r="I217" s="2" t="s">
        <v>4365</v>
      </c>
      <c r="J217" s="2" t="s">
        <v>4366</v>
      </c>
      <c r="K217" s="2"/>
      <c r="L217" s="2"/>
      <c r="M217" s="2" t="s">
        <v>77</v>
      </c>
      <c r="N217" s="2" t="s">
        <v>78</v>
      </c>
      <c r="O217" s="2"/>
      <c r="P217" s="2"/>
      <c r="Q217" s="2"/>
      <c r="R217" s="2"/>
      <c r="S217" s="2"/>
      <c r="T217" s="2" t="s">
        <v>4367</v>
      </c>
      <c r="U217" s="2" t="s">
        <v>4368</v>
      </c>
      <c r="V217" s="2" t="s">
        <v>4369</v>
      </c>
      <c r="W217" s="2" t="s">
        <v>4370</v>
      </c>
      <c r="X217" s="2" t="s">
        <v>4371</v>
      </c>
      <c r="Y217" s="2" t="s">
        <v>4372</v>
      </c>
      <c r="Z217" s="2" t="s">
        <v>4373</v>
      </c>
      <c r="AA217" s="2" t="s">
        <v>4374</v>
      </c>
      <c r="AB217" s="2" t="s">
        <v>4375</v>
      </c>
      <c r="AC217" s="2"/>
      <c r="AD217" s="2"/>
      <c r="AE217" s="2"/>
      <c r="AF217" s="2"/>
      <c r="AG217" s="2" t="n">
        <v>33</v>
      </c>
      <c r="AH217" s="2" t="n">
        <v>3</v>
      </c>
      <c r="AI217" s="2" t="n">
        <v>3</v>
      </c>
      <c r="AJ217" s="2" t="n">
        <v>0</v>
      </c>
      <c r="AK217" s="2" t="n">
        <v>0</v>
      </c>
      <c r="AL217" s="2" t="s">
        <v>620</v>
      </c>
      <c r="AM217" s="2" t="s">
        <v>621</v>
      </c>
      <c r="AN217" s="2" t="s">
        <v>622</v>
      </c>
      <c r="AO217" s="2"/>
      <c r="AP217" s="2" t="s">
        <v>4376</v>
      </c>
      <c r="AQ217" s="2"/>
      <c r="AR217" s="2" t="s">
        <v>4377</v>
      </c>
      <c r="AS217" s="2" t="s">
        <v>4378</v>
      </c>
      <c r="AT217" s="2" t="s">
        <v>4379</v>
      </c>
      <c r="AU217" s="2" t="n">
        <v>2023</v>
      </c>
      <c r="AV217" s="2" t="n">
        <v>11</v>
      </c>
      <c r="AW217" s="2"/>
      <c r="AX217" s="2"/>
      <c r="AY217" s="2"/>
      <c r="AZ217" s="2"/>
      <c r="BA217" s="2"/>
      <c r="BB217" s="2"/>
      <c r="BC217" s="2"/>
      <c r="BD217" s="2" t="n">
        <v>1269805</v>
      </c>
      <c r="BE217" s="2" t="s">
        <v>4380</v>
      </c>
      <c r="BF217" s="2" t="str">
        <f aca="false">HYPERLINK("http://dx.doi.org/10.3389/fpubh.2023.1269805","http://dx.doi.org/10.3389/fpubh.2023.1269805")</f>
        <v>http://dx.doi.org/10.3389/fpubh.2023.1269805</v>
      </c>
      <c r="BG217" s="2"/>
      <c r="BH217" s="2"/>
      <c r="BI217" s="2" t="n">
        <v>8</v>
      </c>
      <c r="BJ217" s="2" t="s">
        <v>1353</v>
      </c>
      <c r="BK217" s="2" t="s">
        <v>1086</v>
      </c>
      <c r="BL217" s="2" t="s">
        <v>1353</v>
      </c>
      <c r="BM217" s="2" t="s">
        <v>4381</v>
      </c>
      <c r="BN217" s="2" t="n">
        <v>38074759</v>
      </c>
      <c r="BO217" s="2" t="s">
        <v>190</v>
      </c>
      <c r="BP217" s="2"/>
      <c r="BQ217" s="2"/>
      <c r="BR217" s="2" t="s">
        <v>104</v>
      </c>
      <c r="BS217" s="2" t="s">
        <v>4382</v>
      </c>
      <c r="BT217" s="2" t="str">
        <f aca="false">HYPERLINK("https%3A%2F%2Fwww.webofscience.com%2Fwos%2Fwoscc%2Ffull-record%2FWOS:001116883500001","View Full Record in Web of Science")</f>
        <v>View Full Record in Web of Science</v>
      </c>
    </row>
    <row r="218" customFormat="false" ht="12.75" hidden="false" customHeight="false" outlineLevel="0" collapsed="false">
      <c r="A218" s="2" t="s">
        <v>72</v>
      </c>
      <c r="B218" s="2" t="s">
        <v>4383</v>
      </c>
      <c r="C218" s="2"/>
      <c r="D218" s="2"/>
      <c r="E218" s="2"/>
      <c r="F218" s="2" t="s">
        <v>4384</v>
      </c>
      <c r="G218" s="2"/>
      <c r="H218" s="2"/>
      <c r="I218" s="2" t="s">
        <v>4385</v>
      </c>
      <c r="J218" s="2" t="s">
        <v>109</v>
      </c>
      <c r="K218" s="2"/>
      <c r="L218" s="2"/>
      <c r="M218" s="2" t="s">
        <v>77</v>
      </c>
      <c r="N218" s="2" t="s">
        <v>78</v>
      </c>
      <c r="O218" s="2"/>
      <c r="P218" s="2"/>
      <c r="Q218" s="2"/>
      <c r="R218" s="2"/>
      <c r="S218" s="2"/>
      <c r="T218" s="2" t="s">
        <v>4386</v>
      </c>
      <c r="U218" s="2"/>
      <c r="V218" s="2" t="s">
        <v>4387</v>
      </c>
      <c r="W218" s="2" t="s">
        <v>4388</v>
      </c>
      <c r="X218" s="2" t="s">
        <v>4389</v>
      </c>
      <c r="Y218" s="2" t="s">
        <v>4390</v>
      </c>
      <c r="Z218" s="2" t="s">
        <v>4391</v>
      </c>
      <c r="AA218" s="2"/>
      <c r="AB218" s="2"/>
      <c r="AC218" s="2"/>
      <c r="AD218" s="2"/>
      <c r="AE218" s="2"/>
      <c r="AF218" s="2"/>
      <c r="AG218" s="2" t="n">
        <v>18</v>
      </c>
      <c r="AH218" s="2" t="n">
        <v>2</v>
      </c>
      <c r="AI218" s="2" t="n">
        <v>2</v>
      </c>
      <c r="AJ218" s="2" t="n">
        <v>0</v>
      </c>
      <c r="AK218" s="2" t="n">
        <v>4</v>
      </c>
      <c r="AL218" s="2" t="s">
        <v>122</v>
      </c>
      <c r="AM218" s="2" t="s">
        <v>123</v>
      </c>
      <c r="AN218" s="2" t="s">
        <v>124</v>
      </c>
      <c r="AO218" s="2" t="s">
        <v>125</v>
      </c>
      <c r="AP218" s="2" t="s">
        <v>126</v>
      </c>
      <c r="AQ218" s="2"/>
      <c r="AR218" s="2" t="s">
        <v>127</v>
      </c>
      <c r="AS218" s="2" t="s">
        <v>128</v>
      </c>
      <c r="AT218" s="2" t="s">
        <v>486</v>
      </c>
      <c r="AU218" s="2" t="n">
        <v>2023</v>
      </c>
      <c r="AV218" s="2" t="n">
        <v>42</v>
      </c>
      <c r="AW218" s="2" t="n">
        <v>6</v>
      </c>
      <c r="AX218" s="2"/>
      <c r="AY218" s="2"/>
      <c r="AZ218" s="2"/>
      <c r="BA218" s="2"/>
      <c r="BB218" s="2" t="n">
        <v>468</v>
      </c>
      <c r="BC218" s="2" t="n">
        <v>472</v>
      </c>
      <c r="BD218" s="2"/>
      <c r="BE218" s="2" t="s">
        <v>4392</v>
      </c>
      <c r="BF218" s="2" t="str">
        <f aca="false">HYPERLINK("http://dx.doi.org/10.1097/INF.0000000000003889","http://dx.doi.org/10.1097/INF.0000000000003889")</f>
        <v>http://dx.doi.org/10.1097/INF.0000000000003889</v>
      </c>
      <c r="BG218" s="2"/>
      <c r="BH218" s="2"/>
      <c r="BI218" s="2" t="n">
        <v>5</v>
      </c>
      <c r="BJ218" s="2" t="s">
        <v>134</v>
      </c>
      <c r="BK218" s="2" t="s">
        <v>100</v>
      </c>
      <c r="BL218" s="2" t="s">
        <v>134</v>
      </c>
      <c r="BM218" s="2" t="s">
        <v>4393</v>
      </c>
      <c r="BN218" s="2" t="n">
        <v>37171979</v>
      </c>
      <c r="BO218" s="2"/>
      <c r="BP218" s="2"/>
      <c r="BQ218" s="2"/>
      <c r="BR218" s="2" t="s">
        <v>104</v>
      </c>
      <c r="BS218" s="2" t="s">
        <v>4394</v>
      </c>
      <c r="BT218" s="2" t="str">
        <f aca="false">HYPERLINK("https%3A%2F%2Fwww.webofscience.com%2Fwos%2Fwoscc%2Ffull-record%2FWOS:000991916200015","View Full Record in Web of Science")</f>
        <v>View Full Record in Web of Science</v>
      </c>
    </row>
    <row r="219" customFormat="false" ht="12.75" hidden="false" customHeight="false" outlineLevel="0" collapsed="false">
      <c r="A219" s="2" t="s">
        <v>72</v>
      </c>
      <c r="B219" s="2" t="s">
        <v>4395</v>
      </c>
      <c r="C219" s="2"/>
      <c r="D219" s="2"/>
      <c r="E219" s="2"/>
      <c r="F219" s="2" t="s">
        <v>4396</v>
      </c>
      <c r="G219" s="2"/>
      <c r="H219" s="2"/>
      <c r="I219" s="2" t="s">
        <v>4397</v>
      </c>
      <c r="J219" s="2" t="s">
        <v>370</v>
      </c>
      <c r="K219" s="2"/>
      <c r="L219" s="2"/>
      <c r="M219" s="2" t="s">
        <v>77</v>
      </c>
      <c r="N219" s="2" t="s">
        <v>78</v>
      </c>
      <c r="O219" s="2"/>
      <c r="P219" s="2"/>
      <c r="Q219" s="2"/>
      <c r="R219" s="2"/>
      <c r="S219" s="2"/>
      <c r="T219" s="2" t="s">
        <v>4398</v>
      </c>
      <c r="U219" s="2" t="s">
        <v>4399</v>
      </c>
      <c r="V219" s="2" t="s">
        <v>4400</v>
      </c>
      <c r="W219" s="2" t="s">
        <v>4401</v>
      </c>
      <c r="X219" s="2" t="s">
        <v>4402</v>
      </c>
      <c r="Y219" s="2" t="s">
        <v>4403</v>
      </c>
      <c r="Z219" s="2" t="s">
        <v>4404</v>
      </c>
      <c r="AA219" s="2" t="s">
        <v>4405</v>
      </c>
      <c r="AB219" s="2"/>
      <c r="AC219" s="2"/>
      <c r="AD219" s="2"/>
      <c r="AE219" s="2"/>
      <c r="AF219" s="2"/>
      <c r="AG219" s="2" t="n">
        <v>31</v>
      </c>
      <c r="AH219" s="2" t="n">
        <v>61</v>
      </c>
      <c r="AI219" s="2" t="n">
        <v>71</v>
      </c>
      <c r="AJ219" s="2" t="n">
        <v>1</v>
      </c>
      <c r="AK219" s="2" t="n">
        <v>8</v>
      </c>
      <c r="AL219" s="2" t="s">
        <v>549</v>
      </c>
      <c r="AM219" s="2" t="s">
        <v>384</v>
      </c>
      <c r="AN219" s="2" t="s">
        <v>550</v>
      </c>
      <c r="AO219" s="2" t="s">
        <v>386</v>
      </c>
      <c r="AP219" s="2" t="s">
        <v>387</v>
      </c>
      <c r="AQ219" s="2"/>
      <c r="AR219" s="2" t="s">
        <v>388</v>
      </c>
      <c r="AS219" s="2" t="s">
        <v>389</v>
      </c>
      <c r="AT219" s="2" t="s">
        <v>161</v>
      </c>
      <c r="AU219" s="2" t="n">
        <v>2011</v>
      </c>
      <c r="AV219" s="2" t="n">
        <v>50</v>
      </c>
      <c r="AW219" s="2" t="n">
        <v>1</v>
      </c>
      <c r="AX219" s="2"/>
      <c r="AY219" s="2"/>
      <c r="AZ219" s="2"/>
      <c r="BA219" s="2"/>
      <c r="BB219" s="2" t="n">
        <v>42</v>
      </c>
      <c r="BC219" s="2" t="n">
        <v>45</v>
      </c>
      <c r="BD219" s="2"/>
      <c r="BE219" s="2" t="s">
        <v>4406</v>
      </c>
      <c r="BF219" s="2" t="str">
        <f aca="false">HYPERLINK("http://dx.doi.org/10.1016/j.jcv.2010.09.022","http://dx.doi.org/10.1016/j.jcv.2010.09.022")</f>
        <v>http://dx.doi.org/10.1016/j.jcv.2010.09.022</v>
      </c>
      <c r="BG219" s="2"/>
      <c r="BH219" s="2"/>
      <c r="BI219" s="2" t="n">
        <v>4</v>
      </c>
      <c r="BJ219" s="2" t="s">
        <v>163</v>
      </c>
      <c r="BK219" s="2" t="s">
        <v>100</v>
      </c>
      <c r="BL219" s="2" t="s">
        <v>163</v>
      </c>
      <c r="BM219" s="2" t="s">
        <v>4407</v>
      </c>
      <c r="BN219" s="2" t="n">
        <v>21050809</v>
      </c>
      <c r="BO219" s="2" t="s">
        <v>1227</v>
      </c>
      <c r="BP219" s="2"/>
      <c r="BQ219" s="2"/>
      <c r="BR219" s="2" t="s">
        <v>104</v>
      </c>
      <c r="BS219" s="2" t="s">
        <v>4408</v>
      </c>
      <c r="BT219" s="2" t="str">
        <f aca="false">HYPERLINK("https%3A%2F%2Fwww.webofscience.com%2Fwos%2Fwoscc%2Ffull-record%2FWOS:000286094300009","View Full Record in Web of Science")</f>
        <v>View Full Record in Web of Science</v>
      </c>
    </row>
    <row r="220" customFormat="false" ht="12.75" hidden="false" customHeight="false" outlineLevel="0" collapsed="false">
      <c r="A220" s="2" t="s">
        <v>72</v>
      </c>
      <c r="B220" s="2" t="s">
        <v>4409</v>
      </c>
      <c r="C220" s="2"/>
      <c r="D220" s="2"/>
      <c r="E220" s="2"/>
      <c r="F220" s="2" t="s">
        <v>4410</v>
      </c>
      <c r="G220" s="2"/>
      <c r="H220" s="2"/>
      <c r="I220" s="2" t="s">
        <v>4411</v>
      </c>
      <c r="J220" s="2" t="s">
        <v>2222</v>
      </c>
      <c r="K220" s="2"/>
      <c r="L220" s="2"/>
      <c r="M220" s="2" t="s">
        <v>77</v>
      </c>
      <c r="N220" s="2" t="s">
        <v>78</v>
      </c>
      <c r="O220" s="2"/>
      <c r="P220" s="2"/>
      <c r="Q220" s="2"/>
      <c r="R220" s="2"/>
      <c r="S220" s="2"/>
      <c r="T220" s="2" t="s">
        <v>4412</v>
      </c>
      <c r="U220" s="2" t="s">
        <v>4413</v>
      </c>
      <c r="V220" s="2" t="s">
        <v>4414</v>
      </c>
      <c r="W220" s="2" t="s">
        <v>4415</v>
      </c>
      <c r="X220" s="2" t="s">
        <v>4416</v>
      </c>
      <c r="Y220" s="2" t="s">
        <v>4417</v>
      </c>
      <c r="Z220" s="2" t="s">
        <v>4418</v>
      </c>
      <c r="AA220" s="2" t="s">
        <v>4419</v>
      </c>
      <c r="AB220" s="2" t="s">
        <v>4420</v>
      </c>
      <c r="AC220" s="2"/>
      <c r="AD220" s="2"/>
      <c r="AE220" s="2"/>
      <c r="AF220" s="2"/>
      <c r="AG220" s="2" t="n">
        <v>35</v>
      </c>
      <c r="AH220" s="2" t="n">
        <v>59</v>
      </c>
      <c r="AI220" s="2" t="n">
        <v>64</v>
      </c>
      <c r="AJ220" s="2" t="n">
        <v>1</v>
      </c>
      <c r="AK220" s="2" t="n">
        <v>7</v>
      </c>
      <c r="AL220" s="2" t="s">
        <v>755</v>
      </c>
      <c r="AM220" s="2" t="s">
        <v>273</v>
      </c>
      <c r="AN220" s="2" t="s">
        <v>756</v>
      </c>
      <c r="AO220" s="2" t="s">
        <v>2234</v>
      </c>
      <c r="AP220" s="2" t="s">
        <v>2235</v>
      </c>
      <c r="AQ220" s="2"/>
      <c r="AR220" s="2" t="s">
        <v>2236</v>
      </c>
      <c r="AS220" s="2" t="s">
        <v>2237</v>
      </c>
      <c r="AT220" s="2" t="s">
        <v>161</v>
      </c>
      <c r="AU220" s="2" t="n">
        <v>2017</v>
      </c>
      <c r="AV220" s="2" t="n">
        <v>55</v>
      </c>
      <c r="AW220" s="2" t="n">
        <v>1</v>
      </c>
      <c r="AX220" s="2"/>
      <c r="AY220" s="2"/>
      <c r="AZ220" s="2"/>
      <c r="BA220" s="2"/>
      <c r="BB220" s="2" t="n">
        <v>79</v>
      </c>
      <c r="BC220" s="2" t="n">
        <v>89</v>
      </c>
      <c r="BD220" s="2"/>
      <c r="BE220" s="2" t="s">
        <v>4421</v>
      </c>
      <c r="BF220" s="2" t="str">
        <f aca="false">HYPERLINK("http://dx.doi.org/10.1128/JCM.01701-16","http://dx.doi.org/10.1128/JCM.01701-16")</f>
        <v>http://dx.doi.org/10.1128/JCM.01701-16</v>
      </c>
      <c r="BG220" s="2"/>
      <c r="BH220" s="2"/>
      <c r="BI220" s="2" t="n">
        <v>11</v>
      </c>
      <c r="BJ220" s="2" t="s">
        <v>211</v>
      </c>
      <c r="BK220" s="2" t="s">
        <v>100</v>
      </c>
      <c r="BL220" s="2" t="s">
        <v>211</v>
      </c>
      <c r="BM220" s="2" t="s">
        <v>4422</v>
      </c>
      <c r="BN220" s="2" t="n">
        <v>27558179</v>
      </c>
      <c r="BO220" s="2" t="s">
        <v>1267</v>
      </c>
      <c r="BP220" s="2"/>
      <c r="BQ220" s="2"/>
      <c r="BR220" s="2" t="s">
        <v>104</v>
      </c>
      <c r="BS220" s="2" t="s">
        <v>4423</v>
      </c>
      <c r="BT220" s="2" t="str">
        <f aca="false">HYPERLINK("https%3A%2F%2Fwww.webofscience.com%2Fwos%2Fwoscc%2Ffull-record%2FWOS:000391966600012","View Full Record in Web of Science")</f>
        <v>View Full Record in Web of Science</v>
      </c>
    </row>
    <row r="221" customFormat="false" ht="12.75" hidden="false" customHeight="false" outlineLevel="0" collapsed="false">
      <c r="A221" s="2" t="s">
        <v>72</v>
      </c>
      <c r="B221" s="2" t="s">
        <v>4424</v>
      </c>
      <c r="C221" s="2"/>
      <c r="D221" s="2"/>
      <c r="E221" s="2"/>
      <c r="F221" s="2" t="s">
        <v>4425</v>
      </c>
      <c r="G221" s="2"/>
      <c r="H221" s="2"/>
      <c r="I221" s="2" t="s">
        <v>4426</v>
      </c>
      <c r="J221" s="2" t="s">
        <v>2001</v>
      </c>
      <c r="K221" s="2"/>
      <c r="L221" s="2"/>
      <c r="M221" s="2" t="s">
        <v>77</v>
      </c>
      <c r="N221" s="2" t="s">
        <v>78</v>
      </c>
      <c r="O221" s="2"/>
      <c r="P221" s="2"/>
      <c r="Q221" s="2"/>
      <c r="R221" s="2"/>
      <c r="S221" s="2"/>
      <c r="T221" s="2" t="s">
        <v>4427</v>
      </c>
      <c r="U221" s="2" t="s">
        <v>4428</v>
      </c>
      <c r="V221" s="2" t="s">
        <v>4429</v>
      </c>
      <c r="W221" s="2" t="s">
        <v>4430</v>
      </c>
      <c r="X221" s="2" t="s">
        <v>4431</v>
      </c>
      <c r="Y221" s="2" t="s">
        <v>4432</v>
      </c>
      <c r="Z221" s="2" t="s">
        <v>4433</v>
      </c>
      <c r="AA221" s="2" t="s">
        <v>4434</v>
      </c>
      <c r="AB221" s="2" t="s">
        <v>4435</v>
      </c>
      <c r="AC221" s="2" t="s">
        <v>4436</v>
      </c>
      <c r="AD221" s="2" t="s">
        <v>4437</v>
      </c>
      <c r="AE221" s="2" t="s">
        <v>4438</v>
      </c>
      <c r="AF221" s="2"/>
      <c r="AG221" s="2" t="n">
        <v>66</v>
      </c>
      <c r="AH221" s="2" t="n">
        <v>10</v>
      </c>
      <c r="AI221" s="2" t="n">
        <v>12</v>
      </c>
      <c r="AJ221" s="2" t="n">
        <v>0</v>
      </c>
      <c r="AK221" s="2" t="n">
        <v>0</v>
      </c>
      <c r="AL221" s="2" t="s">
        <v>91</v>
      </c>
      <c r="AM221" s="2" t="s">
        <v>92</v>
      </c>
      <c r="AN221" s="2" t="s">
        <v>93</v>
      </c>
      <c r="AO221" s="2"/>
      <c r="AP221" s="2" t="s">
        <v>2013</v>
      </c>
      <c r="AQ221" s="2"/>
      <c r="AR221" s="2" t="s">
        <v>2001</v>
      </c>
      <c r="AS221" s="2" t="s">
        <v>2014</v>
      </c>
      <c r="AT221" s="2" t="s">
        <v>1041</v>
      </c>
      <c r="AU221" s="2" t="n">
        <v>2020</v>
      </c>
      <c r="AV221" s="2" t="n">
        <v>9</v>
      </c>
      <c r="AW221" s="2" t="n">
        <v>2</v>
      </c>
      <c r="AX221" s="2"/>
      <c r="AY221" s="2"/>
      <c r="AZ221" s="2"/>
      <c r="BA221" s="2"/>
      <c r="BB221" s="2"/>
      <c r="BC221" s="2"/>
      <c r="BD221" s="2" t="n">
        <v>109</v>
      </c>
      <c r="BE221" s="2" t="s">
        <v>4439</v>
      </c>
      <c r="BF221" s="2" t="str">
        <f aca="false">HYPERLINK("http://dx.doi.org/10.3390/pathogens9020109","http://dx.doi.org/10.3390/pathogens9020109")</f>
        <v>http://dx.doi.org/10.3390/pathogens9020109</v>
      </c>
      <c r="BG221" s="2"/>
      <c r="BH221" s="2"/>
      <c r="BI221" s="2" t="n">
        <v>8</v>
      </c>
      <c r="BJ221" s="2" t="s">
        <v>211</v>
      </c>
      <c r="BK221" s="2" t="s">
        <v>100</v>
      </c>
      <c r="BL221" s="2" t="s">
        <v>211</v>
      </c>
      <c r="BM221" s="2" t="s">
        <v>4440</v>
      </c>
      <c r="BN221" s="2" t="n">
        <v>32069879</v>
      </c>
      <c r="BO221" s="2" t="s">
        <v>103</v>
      </c>
      <c r="BP221" s="2"/>
      <c r="BQ221" s="2"/>
      <c r="BR221" s="2" t="s">
        <v>104</v>
      </c>
      <c r="BS221" s="2" t="s">
        <v>4441</v>
      </c>
      <c r="BT221" s="2" t="str">
        <f aca="false">HYPERLINK("https%3A%2F%2Fwww.webofscience.com%2Fwos%2Fwoscc%2Ffull-record%2FWOS:000519242900046","View Full Record in Web of Science")</f>
        <v>View Full Record in Web of Science</v>
      </c>
    </row>
    <row r="222" customFormat="false" ht="12.75" hidden="false" customHeight="false" outlineLevel="0" collapsed="false">
      <c r="A222" s="2" t="s">
        <v>72</v>
      </c>
      <c r="B222" s="2" t="s">
        <v>4442</v>
      </c>
      <c r="C222" s="2"/>
      <c r="D222" s="2"/>
      <c r="E222" s="2"/>
      <c r="F222" s="2" t="s">
        <v>4443</v>
      </c>
      <c r="G222" s="2"/>
      <c r="H222" s="2"/>
      <c r="I222" s="2" t="s">
        <v>4444</v>
      </c>
      <c r="J222" s="2" t="s">
        <v>2713</v>
      </c>
      <c r="K222" s="2"/>
      <c r="L222" s="2"/>
      <c r="M222" s="2" t="s">
        <v>77</v>
      </c>
      <c r="N222" s="2" t="s">
        <v>78</v>
      </c>
      <c r="O222" s="2"/>
      <c r="P222" s="2"/>
      <c r="Q222" s="2"/>
      <c r="R222" s="2"/>
      <c r="S222" s="2"/>
      <c r="T222" s="2" t="s">
        <v>4445</v>
      </c>
      <c r="U222" s="2" t="s">
        <v>4446</v>
      </c>
      <c r="V222" s="2" t="s">
        <v>4447</v>
      </c>
      <c r="W222" s="2" t="s">
        <v>4448</v>
      </c>
      <c r="X222" s="2" t="s">
        <v>4449</v>
      </c>
      <c r="Y222" s="2" t="s">
        <v>4450</v>
      </c>
      <c r="Z222" s="2" t="s">
        <v>4451</v>
      </c>
      <c r="AA222" s="2"/>
      <c r="AB222" s="2" t="s">
        <v>4452</v>
      </c>
      <c r="AC222" s="2"/>
      <c r="AD222" s="2"/>
      <c r="AE222" s="2"/>
      <c r="AF222" s="2"/>
      <c r="AG222" s="2" t="n">
        <v>48</v>
      </c>
      <c r="AH222" s="2" t="n">
        <v>50</v>
      </c>
      <c r="AI222" s="2" t="n">
        <v>49</v>
      </c>
      <c r="AJ222" s="2" t="n">
        <v>0</v>
      </c>
      <c r="AK222" s="2" t="n">
        <v>6</v>
      </c>
      <c r="AL222" s="2" t="s">
        <v>1460</v>
      </c>
      <c r="AM222" s="2" t="s">
        <v>593</v>
      </c>
      <c r="AN222" s="2" t="s">
        <v>2088</v>
      </c>
      <c r="AO222" s="2" t="s">
        <v>2726</v>
      </c>
      <c r="AP222" s="2" t="s">
        <v>2727</v>
      </c>
      <c r="AQ222" s="2"/>
      <c r="AR222" s="2" t="s">
        <v>2728</v>
      </c>
      <c r="AS222" s="2" t="s">
        <v>2729</v>
      </c>
      <c r="AT222" s="2" t="s">
        <v>336</v>
      </c>
      <c r="AU222" s="2" t="n">
        <v>2015</v>
      </c>
      <c r="AV222" s="2" t="n">
        <v>21</v>
      </c>
      <c r="AW222" s="2" t="n">
        <v>10</v>
      </c>
      <c r="AX222" s="2"/>
      <c r="AY222" s="2"/>
      <c r="AZ222" s="2"/>
      <c r="BA222" s="2"/>
      <c r="BB222" s="2" t="n">
        <v>1802</v>
      </c>
      <c r="BC222" s="2" t="n">
        <v>1807</v>
      </c>
      <c r="BD222" s="2"/>
      <c r="BE222" s="2" t="s">
        <v>4453</v>
      </c>
      <c r="BF222" s="2" t="str">
        <f aca="false">HYPERLINK("http://dx.doi.org/10.1016/j.bbmt.2015.06.015","http://dx.doi.org/10.1016/j.bbmt.2015.06.015")</f>
        <v>http://dx.doi.org/10.1016/j.bbmt.2015.06.015</v>
      </c>
      <c r="BG222" s="2"/>
      <c r="BH222" s="2"/>
      <c r="BI222" s="2" t="n">
        <v>6</v>
      </c>
      <c r="BJ222" s="2" t="s">
        <v>2731</v>
      </c>
      <c r="BK222" s="2" t="s">
        <v>100</v>
      </c>
      <c r="BL222" s="2" t="s">
        <v>2731</v>
      </c>
      <c r="BM222" s="2" t="s">
        <v>4454</v>
      </c>
      <c r="BN222" s="2" t="n">
        <v>26117558</v>
      </c>
      <c r="BO222" s="2" t="s">
        <v>284</v>
      </c>
      <c r="BP222" s="2"/>
      <c r="BQ222" s="2"/>
      <c r="BR222" s="2" t="s">
        <v>104</v>
      </c>
      <c r="BS222" s="2" t="s">
        <v>4455</v>
      </c>
      <c r="BT222" s="2" t="str">
        <f aca="false">HYPERLINK("https%3A%2F%2Fwww.webofscience.com%2Fwos%2Fwoscc%2Ffull-record%2FWOS:000361781100017","View Full Record in Web of Science")</f>
        <v>View Full Record in Web of Science</v>
      </c>
    </row>
    <row r="223" customFormat="false" ht="12.75" hidden="false" customHeight="false" outlineLevel="0" collapsed="false">
      <c r="A223" s="2" t="s">
        <v>72</v>
      </c>
      <c r="B223" s="2" t="s">
        <v>4456</v>
      </c>
      <c r="C223" s="2"/>
      <c r="D223" s="2"/>
      <c r="E223" s="2"/>
      <c r="F223" s="2" t="s">
        <v>4457</v>
      </c>
      <c r="G223" s="2"/>
      <c r="H223" s="2"/>
      <c r="I223" s="2" t="s">
        <v>4458</v>
      </c>
      <c r="J223" s="2" t="s">
        <v>949</v>
      </c>
      <c r="K223" s="2"/>
      <c r="L223" s="2"/>
      <c r="M223" s="2" t="s">
        <v>77</v>
      </c>
      <c r="N223" s="2" t="s">
        <v>78</v>
      </c>
      <c r="O223" s="2"/>
      <c r="P223" s="2"/>
      <c r="Q223" s="2"/>
      <c r="R223" s="2"/>
      <c r="S223" s="2"/>
      <c r="T223" s="2" t="s">
        <v>4459</v>
      </c>
      <c r="U223" s="2" t="s">
        <v>4460</v>
      </c>
      <c r="V223" s="2" t="s">
        <v>4461</v>
      </c>
      <c r="W223" s="2" t="s">
        <v>4462</v>
      </c>
      <c r="X223" s="2" t="s">
        <v>4463</v>
      </c>
      <c r="Y223" s="2" t="s">
        <v>4464</v>
      </c>
      <c r="Z223" s="2" t="s">
        <v>4465</v>
      </c>
      <c r="AA223" s="2"/>
      <c r="AB223" s="2"/>
      <c r="AC223" s="2"/>
      <c r="AD223" s="2"/>
      <c r="AE223" s="2"/>
      <c r="AF223" s="2"/>
      <c r="AG223" s="2" t="n">
        <v>149</v>
      </c>
      <c r="AH223" s="2" t="n">
        <v>52</v>
      </c>
      <c r="AI223" s="2" t="n">
        <v>59</v>
      </c>
      <c r="AJ223" s="2" t="n">
        <v>0</v>
      </c>
      <c r="AK223" s="2" t="n">
        <v>3</v>
      </c>
      <c r="AL223" s="2" t="s">
        <v>957</v>
      </c>
      <c r="AM223" s="2" t="s">
        <v>123</v>
      </c>
      <c r="AN223" s="2" t="s">
        <v>958</v>
      </c>
      <c r="AO223" s="2" t="s">
        <v>959</v>
      </c>
      <c r="AP223" s="2" t="s">
        <v>960</v>
      </c>
      <c r="AQ223" s="2"/>
      <c r="AR223" s="2" t="s">
        <v>961</v>
      </c>
      <c r="AS223" s="2" t="s">
        <v>962</v>
      </c>
      <c r="AT223" s="2" t="s">
        <v>486</v>
      </c>
      <c r="AU223" s="2" t="n">
        <v>2019</v>
      </c>
      <c r="AV223" s="2" t="n">
        <v>33</v>
      </c>
      <c r="AW223" s="2" t="n">
        <v>2</v>
      </c>
      <c r="AX223" s="2"/>
      <c r="AY223" s="2"/>
      <c r="AZ223" s="2"/>
      <c r="BA223" s="2"/>
      <c r="BB223" s="2" t="n">
        <v>523</v>
      </c>
      <c r="BC223" s="2" t="s">
        <v>986</v>
      </c>
      <c r="BD223" s="2"/>
      <c r="BE223" s="2" t="s">
        <v>4466</v>
      </c>
      <c r="BF223" s="2" t="str">
        <f aca="false">HYPERLINK("http://dx.doi.org/10.1016/j.idc.2019.02.004","http://dx.doi.org/10.1016/j.idc.2019.02.004")</f>
        <v>http://dx.doi.org/10.1016/j.idc.2019.02.004</v>
      </c>
      <c r="BG223" s="2"/>
      <c r="BH223" s="2"/>
      <c r="BI223" s="2" t="n">
        <v>23</v>
      </c>
      <c r="BJ223" s="2" t="s">
        <v>965</v>
      </c>
      <c r="BK223" s="2" t="s">
        <v>100</v>
      </c>
      <c r="BL223" s="2" t="s">
        <v>965</v>
      </c>
      <c r="BM223" s="2" t="s">
        <v>4467</v>
      </c>
      <c r="BN223" s="2" t="n">
        <v>30940462</v>
      </c>
      <c r="BO223" s="2" t="s">
        <v>165</v>
      </c>
      <c r="BP223" s="2"/>
      <c r="BQ223" s="2"/>
      <c r="BR223" s="2" t="s">
        <v>104</v>
      </c>
      <c r="BS223" s="2" t="s">
        <v>4468</v>
      </c>
      <c r="BT223" s="2" t="str">
        <f aca="false">HYPERLINK("https%3A%2F%2Fwww.webofscience.com%2Fwos%2Fwoscc%2Ffull-record%2FWOS:000468857000012","View Full Record in Web of Science")</f>
        <v>View Full Record in Web of Science</v>
      </c>
    </row>
    <row r="224" customFormat="false" ht="12.75" hidden="false" customHeight="false" outlineLevel="0" collapsed="false">
      <c r="A224" s="2" t="s">
        <v>72</v>
      </c>
      <c r="B224" s="2" t="s">
        <v>4469</v>
      </c>
      <c r="C224" s="2"/>
      <c r="D224" s="2"/>
      <c r="E224" s="2"/>
      <c r="F224" s="2" t="s">
        <v>4470</v>
      </c>
      <c r="G224" s="2"/>
      <c r="H224" s="2"/>
      <c r="I224" s="2" t="s">
        <v>4471</v>
      </c>
      <c r="J224" s="2" t="s">
        <v>2021</v>
      </c>
      <c r="K224" s="2"/>
      <c r="L224" s="2"/>
      <c r="M224" s="2" t="s">
        <v>77</v>
      </c>
      <c r="N224" s="2" t="s">
        <v>78</v>
      </c>
      <c r="O224" s="2"/>
      <c r="P224" s="2"/>
      <c r="Q224" s="2"/>
      <c r="R224" s="2"/>
      <c r="S224" s="2"/>
      <c r="T224" s="2" t="s">
        <v>4472</v>
      </c>
      <c r="U224" s="2" t="s">
        <v>4473</v>
      </c>
      <c r="V224" s="2" t="s">
        <v>4474</v>
      </c>
      <c r="W224" s="2" t="s">
        <v>4475</v>
      </c>
      <c r="X224" s="2" t="s">
        <v>4476</v>
      </c>
      <c r="Y224" s="2" t="s">
        <v>4477</v>
      </c>
      <c r="Z224" s="2" t="s">
        <v>4478</v>
      </c>
      <c r="AA224" s="2" t="s">
        <v>4479</v>
      </c>
      <c r="AB224" s="2"/>
      <c r="AC224" s="2" t="s">
        <v>4480</v>
      </c>
      <c r="AD224" s="2" t="s">
        <v>4481</v>
      </c>
      <c r="AE224" s="2" t="s">
        <v>4482</v>
      </c>
      <c r="AF224" s="2"/>
      <c r="AG224" s="2" t="n">
        <v>20</v>
      </c>
      <c r="AH224" s="2" t="n">
        <v>87</v>
      </c>
      <c r="AI224" s="2" t="n">
        <v>89</v>
      </c>
      <c r="AJ224" s="2" t="n">
        <v>0</v>
      </c>
      <c r="AK224" s="2" t="n">
        <v>2</v>
      </c>
      <c r="AL224" s="2" t="s">
        <v>527</v>
      </c>
      <c r="AM224" s="2" t="s">
        <v>528</v>
      </c>
      <c r="AN224" s="2" t="s">
        <v>529</v>
      </c>
      <c r="AO224" s="2" t="s">
        <v>2033</v>
      </c>
      <c r="AP224" s="2" t="s">
        <v>2034</v>
      </c>
      <c r="AQ224" s="2"/>
      <c r="AR224" s="2" t="s">
        <v>2035</v>
      </c>
      <c r="AS224" s="2" t="s">
        <v>2036</v>
      </c>
      <c r="AT224" s="2" t="s">
        <v>4483</v>
      </c>
      <c r="AU224" s="2" t="n">
        <v>2015</v>
      </c>
      <c r="AV224" s="2" t="n">
        <v>61</v>
      </c>
      <c r="AW224" s="2" t="n">
        <v>2</v>
      </c>
      <c r="AX224" s="2"/>
      <c r="AY224" s="2"/>
      <c r="AZ224" s="2"/>
      <c r="BA224" s="2"/>
      <c r="BB224" s="2" t="n">
        <v>192</v>
      </c>
      <c r="BC224" s="2" t="n">
        <v>202</v>
      </c>
      <c r="BD224" s="2"/>
      <c r="BE224" s="2" t="s">
        <v>4484</v>
      </c>
      <c r="BF224" s="2" t="str">
        <f aca="false">HYPERLINK("http://dx.doi.org/10.1093/cid/civ272","http://dx.doi.org/10.1093/cid/civ272")</f>
        <v>http://dx.doi.org/10.1093/cid/civ272</v>
      </c>
      <c r="BG224" s="2"/>
      <c r="BH224" s="2"/>
      <c r="BI224" s="2" t="n">
        <v>11</v>
      </c>
      <c r="BJ224" s="2" t="s">
        <v>536</v>
      </c>
      <c r="BK224" s="2" t="s">
        <v>100</v>
      </c>
      <c r="BL224" s="2" t="s">
        <v>536</v>
      </c>
      <c r="BM224" s="2" t="s">
        <v>4485</v>
      </c>
      <c r="BN224" s="2" t="n">
        <v>25847977</v>
      </c>
      <c r="BO224" s="2" t="s">
        <v>1267</v>
      </c>
      <c r="BP224" s="2"/>
      <c r="BQ224" s="2"/>
      <c r="BR224" s="2" t="s">
        <v>104</v>
      </c>
      <c r="BS224" s="2" t="s">
        <v>4486</v>
      </c>
      <c r="BT224" s="2" t="str">
        <f aca="false">HYPERLINK("https%3A%2F%2Fwww.webofscience.com%2Fwos%2Fwoscc%2Ffull-record%2FWOS:000359342500009","View Full Record in Web of Science")</f>
        <v>View Full Record in Web of Science</v>
      </c>
    </row>
    <row r="225" customFormat="false" ht="12.75" hidden="false" customHeight="false" outlineLevel="0" collapsed="false">
      <c r="A225" s="2" t="s">
        <v>72</v>
      </c>
      <c r="B225" s="2" t="s">
        <v>4487</v>
      </c>
      <c r="C225" s="2"/>
      <c r="D225" s="2"/>
      <c r="E225" s="2"/>
      <c r="F225" s="2" t="s">
        <v>4488</v>
      </c>
      <c r="G225" s="2"/>
      <c r="H225" s="2"/>
      <c r="I225" s="2" t="s">
        <v>4489</v>
      </c>
      <c r="J225" s="2" t="s">
        <v>141</v>
      </c>
      <c r="K225" s="2"/>
      <c r="L225" s="2"/>
      <c r="M225" s="2" t="s">
        <v>77</v>
      </c>
      <c r="N225" s="2" t="s">
        <v>78</v>
      </c>
      <c r="O225" s="2"/>
      <c r="P225" s="2"/>
      <c r="Q225" s="2"/>
      <c r="R225" s="2"/>
      <c r="S225" s="2"/>
      <c r="T225" s="2" t="s">
        <v>4490</v>
      </c>
      <c r="U225" s="2" t="s">
        <v>4491</v>
      </c>
      <c r="V225" s="2" t="s">
        <v>4492</v>
      </c>
      <c r="W225" s="2" t="s">
        <v>4493</v>
      </c>
      <c r="X225" s="2" t="s">
        <v>4494</v>
      </c>
      <c r="Y225" s="2" t="s">
        <v>4495</v>
      </c>
      <c r="Z225" s="2" t="s">
        <v>3893</v>
      </c>
      <c r="AA225" s="2" t="s">
        <v>3894</v>
      </c>
      <c r="AB225" s="2" t="s">
        <v>3895</v>
      </c>
      <c r="AC225" s="2" t="s">
        <v>4496</v>
      </c>
      <c r="AD225" s="2" t="s">
        <v>4496</v>
      </c>
      <c r="AE225" s="2" t="s">
        <v>4497</v>
      </c>
      <c r="AF225" s="2"/>
      <c r="AG225" s="2" t="n">
        <v>36</v>
      </c>
      <c r="AH225" s="2" t="n">
        <v>56</v>
      </c>
      <c r="AI225" s="2" t="n">
        <v>59</v>
      </c>
      <c r="AJ225" s="2" t="n">
        <v>0</v>
      </c>
      <c r="AK225" s="2" t="n">
        <v>2</v>
      </c>
      <c r="AL225" s="2" t="s">
        <v>3813</v>
      </c>
      <c r="AM225" s="2" t="s">
        <v>4498</v>
      </c>
      <c r="AN225" s="2" t="s">
        <v>4499</v>
      </c>
      <c r="AO225" s="2" t="s">
        <v>157</v>
      </c>
      <c r="AP225" s="2"/>
      <c r="AQ225" s="2"/>
      <c r="AR225" s="2" t="s">
        <v>159</v>
      </c>
      <c r="AS225" s="2" t="s">
        <v>160</v>
      </c>
      <c r="AT225" s="2" t="s">
        <v>185</v>
      </c>
      <c r="AU225" s="2" t="n">
        <v>2011</v>
      </c>
      <c r="AV225" s="2" t="n">
        <v>83</v>
      </c>
      <c r="AW225" s="2" t="n">
        <v>8</v>
      </c>
      <c r="AX225" s="2"/>
      <c r="AY225" s="2"/>
      <c r="AZ225" s="2"/>
      <c r="BA225" s="2"/>
      <c r="BB225" s="2" t="n">
        <v>1458</v>
      </c>
      <c r="BC225" s="2" t="n">
        <v>1468</v>
      </c>
      <c r="BD225" s="2"/>
      <c r="BE225" s="2" t="s">
        <v>4500</v>
      </c>
      <c r="BF225" s="2" t="str">
        <f aca="false">HYPERLINK("http://dx.doi.org/10.1002/jmv.22120","http://dx.doi.org/10.1002/jmv.22120")</f>
        <v>http://dx.doi.org/10.1002/jmv.22120</v>
      </c>
      <c r="BG225" s="2"/>
      <c r="BH225" s="2"/>
      <c r="BI225" s="2" t="n">
        <v>11</v>
      </c>
      <c r="BJ225" s="2" t="s">
        <v>163</v>
      </c>
      <c r="BK225" s="2" t="s">
        <v>100</v>
      </c>
      <c r="BL225" s="2" t="s">
        <v>163</v>
      </c>
      <c r="BM225" s="2" t="s">
        <v>3376</v>
      </c>
      <c r="BN225" s="2" t="n">
        <v>21678450</v>
      </c>
      <c r="BO225" s="2" t="s">
        <v>538</v>
      </c>
      <c r="BP225" s="2"/>
      <c r="BQ225" s="2"/>
      <c r="BR225" s="2" t="s">
        <v>104</v>
      </c>
      <c r="BS225" s="2" t="s">
        <v>4501</v>
      </c>
      <c r="BT225" s="2" t="str">
        <f aca="false">HYPERLINK("https%3A%2F%2Fwww.webofscience.com%2Fwos%2Fwoscc%2Ffull-record%2FWOS:000292061200027","View Full Record in Web of Science")</f>
        <v>View Full Record in Web of Science</v>
      </c>
    </row>
    <row r="226" customFormat="false" ht="12.75" hidden="false" customHeight="false" outlineLevel="0" collapsed="false">
      <c r="A226" s="2" t="s">
        <v>72</v>
      </c>
      <c r="B226" s="2" t="s">
        <v>4502</v>
      </c>
      <c r="C226" s="2"/>
      <c r="D226" s="2"/>
      <c r="E226" s="2"/>
      <c r="F226" s="2" t="s">
        <v>4503</v>
      </c>
      <c r="G226" s="2"/>
      <c r="H226" s="2"/>
      <c r="I226" s="2" t="s">
        <v>4504</v>
      </c>
      <c r="J226" s="2" t="s">
        <v>4505</v>
      </c>
      <c r="K226" s="2"/>
      <c r="L226" s="2"/>
      <c r="M226" s="2" t="s">
        <v>77</v>
      </c>
      <c r="N226" s="2" t="s">
        <v>78</v>
      </c>
      <c r="O226" s="2"/>
      <c r="P226" s="2"/>
      <c r="Q226" s="2"/>
      <c r="R226" s="2"/>
      <c r="S226" s="2"/>
      <c r="T226" s="2" t="s">
        <v>4506</v>
      </c>
      <c r="U226" s="2" t="s">
        <v>4507</v>
      </c>
      <c r="V226" s="2" t="s">
        <v>4508</v>
      </c>
      <c r="W226" s="2" t="s">
        <v>4509</v>
      </c>
      <c r="X226" s="2" t="s">
        <v>4510</v>
      </c>
      <c r="Y226" s="2" t="s">
        <v>4511</v>
      </c>
      <c r="Z226" s="2"/>
      <c r="AA226" s="2" t="s">
        <v>4512</v>
      </c>
      <c r="AB226" s="2" t="s">
        <v>4513</v>
      </c>
      <c r="AC226" s="2" t="s">
        <v>4514</v>
      </c>
      <c r="AD226" s="2" t="s">
        <v>4515</v>
      </c>
      <c r="AE226" s="2" t="s">
        <v>4516</v>
      </c>
      <c r="AF226" s="2"/>
      <c r="AG226" s="2" t="n">
        <v>71</v>
      </c>
      <c r="AH226" s="2" t="n">
        <v>41</v>
      </c>
      <c r="AI226" s="2" t="n">
        <v>44</v>
      </c>
      <c r="AJ226" s="2" t="n">
        <v>0</v>
      </c>
      <c r="AK226" s="2" t="n">
        <v>17</v>
      </c>
      <c r="AL226" s="2" t="s">
        <v>383</v>
      </c>
      <c r="AM226" s="2" t="s">
        <v>384</v>
      </c>
      <c r="AN226" s="2" t="s">
        <v>385</v>
      </c>
      <c r="AO226" s="2" t="s">
        <v>4517</v>
      </c>
      <c r="AP226" s="2" t="s">
        <v>4518</v>
      </c>
      <c r="AQ226" s="2"/>
      <c r="AR226" s="2" t="s">
        <v>4519</v>
      </c>
      <c r="AS226" s="2" t="s">
        <v>4520</v>
      </c>
      <c r="AT226" s="2" t="s">
        <v>1654</v>
      </c>
      <c r="AU226" s="2" t="n">
        <v>2010</v>
      </c>
      <c r="AV226" s="2" t="n">
        <v>73</v>
      </c>
      <c r="AW226" s="2" t="n">
        <v>9</v>
      </c>
      <c r="AX226" s="2"/>
      <c r="AY226" s="2"/>
      <c r="AZ226" s="2"/>
      <c r="BA226" s="2"/>
      <c r="BB226" s="2" t="n">
        <v>1680</v>
      </c>
      <c r="BC226" s="2" t="n">
        <v>1693</v>
      </c>
      <c r="BD226" s="2"/>
      <c r="BE226" s="2" t="s">
        <v>4521</v>
      </c>
      <c r="BF226" s="2" t="str">
        <f aca="false">HYPERLINK("http://dx.doi.org/10.1016/j.jprot.2010.04.008","http://dx.doi.org/10.1016/j.jprot.2010.04.008")</f>
        <v>http://dx.doi.org/10.1016/j.jprot.2010.04.008</v>
      </c>
      <c r="BG226" s="2"/>
      <c r="BH226" s="2"/>
      <c r="BI226" s="2" t="n">
        <v>14</v>
      </c>
      <c r="BJ226" s="2" t="s">
        <v>4522</v>
      </c>
      <c r="BK226" s="2" t="s">
        <v>100</v>
      </c>
      <c r="BL226" s="2" t="s">
        <v>4523</v>
      </c>
      <c r="BM226" s="2" t="s">
        <v>4524</v>
      </c>
      <c r="BN226" s="2" t="n">
        <v>20470912</v>
      </c>
      <c r="BO226" s="2"/>
      <c r="BP226" s="2"/>
      <c r="BQ226" s="2"/>
      <c r="BR226" s="2" t="s">
        <v>104</v>
      </c>
      <c r="BS226" s="2" t="s">
        <v>4525</v>
      </c>
      <c r="BT226" s="2" t="str">
        <f aca="false">HYPERLINK("https%3A%2F%2Fwww.webofscience.com%2Fwos%2Fwoscc%2Ffull-record%2FWOS:000280927500004","View Full Record in Web of Science")</f>
        <v>View Full Record in Web of Science</v>
      </c>
    </row>
    <row r="227" customFormat="false" ht="12.75" hidden="false" customHeight="false" outlineLevel="0" collapsed="false">
      <c r="A227" s="2" t="s">
        <v>72</v>
      </c>
      <c r="B227" s="2" t="s">
        <v>4526</v>
      </c>
      <c r="C227" s="2"/>
      <c r="D227" s="2"/>
      <c r="E227" s="2"/>
      <c r="F227" s="2" t="s">
        <v>4527</v>
      </c>
      <c r="G227" s="2"/>
      <c r="H227" s="2"/>
      <c r="I227" s="2" t="s">
        <v>4528</v>
      </c>
      <c r="J227" s="2" t="s">
        <v>141</v>
      </c>
      <c r="K227" s="2"/>
      <c r="L227" s="2"/>
      <c r="M227" s="2" t="s">
        <v>77</v>
      </c>
      <c r="N227" s="2" t="s">
        <v>78</v>
      </c>
      <c r="O227" s="2"/>
      <c r="P227" s="2"/>
      <c r="Q227" s="2"/>
      <c r="R227" s="2"/>
      <c r="S227" s="2"/>
      <c r="T227" s="2" t="s">
        <v>4529</v>
      </c>
      <c r="U227" s="2" t="s">
        <v>4530</v>
      </c>
      <c r="V227" s="2" t="s">
        <v>4531</v>
      </c>
      <c r="W227" s="2" t="s">
        <v>4532</v>
      </c>
      <c r="X227" s="2" t="s">
        <v>4533</v>
      </c>
      <c r="Y227" s="2" t="s">
        <v>4534</v>
      </c>
      <c r="Z227" s="2" t="s">
        <v>3189</v>
      </c>
      <c r="AA227" s="2" t="s">
        <v>4535</v>
      </c>
      <c r="AB227" s="2" t="s">
        <v>4536</v>
      </c>
      <c r="AC227" s="2"/>
      <c r="AD227" s="2"/>
      <c r="AE227" s="2"/>
      <c r="AF227" s="2"/>
      <c r="AG227" s="2" t="n">
        <v>30</v>
      </c>
      <c r="AH227" s="2" t="n">
        <v>16</v>
      </c>
      <c r="AI227" s="2" t="n">
        <v>18</v>
      </c>
      <c r="AJ227" s="2" t="n">
        <v>0</v>
      </c>
      <c r="AK227" s="2" t="n">
        <v>1</v>
      </c>
      <c r="AL227" s="2" t="s">
        <v>154</v>
      </c>
      <c r="AM227" s="2" t="s">
        <v>155</v>
      </c>
      <c r="AN227" s="2" t="s">
        <v>156</v>
      </c>
      <c r="AO227" s="2" t="s">
        <v>157</v>
      </c>
      <c r="AP227" s="2" t="s">
        <v>158</v>
      </c>
      <c r="AQ227" s="2"/>
      <c r="AR227" s="2" t="s">
        <v>159</v>
      </c>
      <c r="AS227" s="2" t="s">
        <v>160</v>
      </c>
      <c r="AT227" s="2" t="s">
        <v>336</v>
      </c>
      <c r="AU227" s="2" t="n">
        <v>2009</v>
      </c>
      <c r="AV227" s="2" t="n">
        <v>81</v>
      </c>
      <c r="AW227" s="2" t="n">
        <v>10</v>
      </c>
      <c r="AX227" s="2"/>
      <c r="AY227" s="2"/>
      <c r="AZ227" s="2"/>
      <c r="BA227" s="2"/>
      <c r="BB227" s="2" t="n">
        <v>1814</v>
      </c>
      <c r="BC227" s="2" t="n">
        <v>1818</v>
      </c>
      <c r="BD227" s="2"/>
      <c r="BE227" s="2" t="s">
        <v>4537</v>
      </c>
      <c r="BF227" s="2" t="str">
        <f aca="false">HYPERLINK("http://dx.doi.org/10.1002/jmv.21555","http://dx.doi.org/10.1002/jmv.21555")</f>
        <v>http://dx.doi.org/10.1002/jmv.21555</v>
      </c>
      <c r="BG227" s="2"/>
      <c r="BH227" s="2"/>
      <c r="BI227" s="2" t="n">
        <v>5</v>
      </c>
      <c r="BJ227" s="2" t="s">
        <v>163</v>
      </c>
      <c r="BK227" s="2" t="s">
        <v>100</v>
      </c>
      <c r="BL227" s="2" t="s">
        <v>163</v>
      </c>
      <c r="BM227" s="2" t="s">
        <v>4538</v>
      </c>
      <c r="BN227" s="2" t="n">
        <v>19697417</v>
      </c>
      <c r="BO227" s="2"/>
      <c r="BP227" s="2"/>
      <c r="BQ227" s="2"/>
      <c r="BR227" s="2" t="s">
        <v>104</v>
      </c>
      <c r="BS227" s="2" t="s">
        <v>4539</v>
      </c>
      <c r="BT227" s="2" t="str">
        <f aca="false">HYPERLINK("https%3A%2F%2Fwww.webofscience.com%2Fwos%2Fwoscc%2Ffull-record%2FWOS:000269395400018","View Full Record in Web of Science")</f>
        <v>View Full Record in Web of Science</v>
      </c>
    </row>
    <row r="228" customFormat="false" ht="12.75" hidden="false" customHeight="false" outlineLevel="0" collapsed="false">
      <c r="A228" s="2" t="s">
        <v>72</v>
      </c>
      <c r="B228" s="2" t="s">
        <v>4540</v>
      </c>
      <c r="C228" s="2"/>
      <c r="D228" s="2"/>
      <c r="E228" s="2"/>
      <c r="F228" s="2" t="s">
        <v>4541</v>
      </c>
      <c r="G228" s="2"/>
      <c r="H228" s="2"/>
      <c r="I228" s="2" t="s">
        <v>4542</v>
      </c>
      <c r="J228" s="2" t="s">
        <v>370</v>
      </c>
      <c r="K228" s="2"/>
      <c r="L228" s="2"/>
      <c r="M228" s="2" t="s">
        <v>77</v>
      </c>
      <c r="N228" s="2" t="s">
        <v>78</v>
      </c>
      <c r="O228" s="2"/>
      <c r="P228" s="2"/>
      <c r="Q228" s="2"/>
      <c r="R228" s="2"/>
      <c r="S228" s="2"/>
      <c r="T228" s="2" t="s">
        <v>4543</v>
      </c>
      <c r="U228" s="2" t="s">
        <v>4544</v>
      </c>
      <c r="V228" s="2" t="s">
        <v>4545</v>
      </c>
      <c r="W228" s="2" t="s">
        <v>4546</v>
      </c>
      <c r="X228" s="2" t="s">
        <v>4547</v>
      </c>
      <c r="Y228" s="2" t="s">
        <v>4548</v>
      </c>
      <c r="Z228" s="2" t="s">
        <v>4549</v>
      </c>
      <c r="AA228" s="2" t="s">
        <v>4550</v>
      </c>
      <c r="AB228" s="2" t="s">
        <v>4551</v>
      </c>
      <c r="AC228" s="2" t="s">
        <v>4552</v>
      </c>
      <c r="AD228" s="2" t="s">
        <v>4552</v>
      </c>
      <c r="AE228" s="2" t="s">
        <v>4553</v>
      </c>
      <c r="AF228" s="2"/>
      <c r="AG228" s="2" t="n">
        <v>14</v>
      </c>
      <c r="AH228" s="2" t="n">
        <v>17</v>
      </c>
      <c r="AI228" s="2" t="n">
        <v>20</v>
      </c>
      <c r="AJ228" s="2" t="n">
        <v>1</v>
      </c>
      <c r="AK228" s="2" t="n">
        <v>5</v>
      </c>
      <c r="AL228" s="2" t="s">
        <v>549</v>
      </c>
      <c r="AM228" s="2" t="s">
        <v>384</v>
      </c>
      <c r="AN228" s="2" t="s">
        <v>550</v>
      </c>
      <c r="AO228" s="2" t="s">
        <v>386</v>
      </c>
      <c r="AP228" s="2"/>
      <c r="AQ228" s="2"/>
      <c r="AR228" s="2" t="s">
        <v>388</v>
      </c>
      <c r="AS228" s="2" t="s">
        <v>389</v>
      </c>
      <c r="AT228" s="2" t="s">
        <v>336</v>
      </c>
      <c r="AU228" s="2" t="n">
        <v>2012</v>
      </c>
      <c r="AV228" s="2" t="n">
        <v>55</v>
      </c>
      <c r="AW228" s="2" t="n">
        <v>2</v>
      </c>
      <c r="AX228" s="2"/>
      <c r="AY228" s="2"/>
      <c r="AZ228" s="2"/>
      <c r="BA228" s="2"/>
      <c r="BB228" s="2" t="n">
        <v>168</v>
      </c>
      <c r="BC228" s="2" t="n">
        <v>172</v>
      </c>
      <c r="BD228" s="2"/>
      <c r="BE228" s="2" t="s">
        <v>4554</v>
      </c>
      <c r="BF228" s="2" t="str">
        <f aca="false">HYPERLINK("http://dx.doi.org/10.1016/j.jcv.2012.06.019","http://dx.doi.org/10.1016/j.jcv.2012.06.019")</f>
        <v>http://dx.doi.org/10.1016/j.jcv.2012.06.019</v>
      </c>
      <c r="BG228" s="2"/>
      <c r="BH228" s="2"/>
      <c r="BI228" s="2" t="n">
        <v>5</v>
      </c>
      <c r="BJ228" s="2" t="s">
        <v>163</v>
      </c>
      <c r="BK228" s="2" t="s">
        <v>100</v>
      </c>
      <c r="BL228" s="2" t="s">
        <v>163</v>
      </c>
      <c r="BM228" s="2" t="s">
        <v>4555</v>
      </c>
      <c r="BN228" s="2" t="n">
        <v>22832060</v>
      </c>
      <c r="BO228" s="2" t="s">
        <v>695</v>
      </c>
      <c r="BP228" s="2"/>
      <c r="BQ228" s="2"/>
      <c r="BR228" s="2" t="s">
        <v>104</v>
      </c>
      <c r="BS228" s="2" t="s">
        <v>4556</v>
      </c>
      <c r="BT228" s="2" t="str">
        <f aca="false">HYPERLINK("https%3A%2F%2Fwww.webofscience.com%2Fwos%2Fwoscc%2Ffull-record%2FWOS:000307997800014","View Full Record in Web of Science")</f>
        <v>View Full Record in Web of Science</v>
      </c>
    </row>
    <row r="229" customFormat="false" ht="12.75" hidden="false" customHeight="false" outlineLevel="0" collapsed="false">
      <c r="A229" s="2" t="s">
        <v>72</v>
      </c>
      <c r="B229" s="2" t="s">
        <v>4557</v>
      </c>
      <c r="C229" s="2"/>
      <c r="D229" s="2"/>
      <c r="E229" s="2"/>
      <c r="F229" s="2" t="s">
        <v>4558</v>
      </c>
      <c r="G229" s="2"/>
      <c r="H229" s="2"/>
      <c r="I229" s="2" t="s">
        <v>4559</v>
      </c>
      <c r="J229" s="2" t="s">
        <v>3741</v>
      </c>
      <c r="K229" s="2"/>
      <c r="L229" s="2"/>
      <c r="M229" s="2" t="s">
        <v>77</v>
      </c>
      <c r="N229" s="2" t="s">
        <v>78</v>
      </c>
      <c r="O229" s="2"/>
      <c r="P229" s="2"/>
      <c r="Q229" s="2"/>
      <c r="R229" s="2"/>
      <c r="S229" s="2"/>
      <c r="T229" s="2" t="s">
        <v>4560</v>
      </c>
      <c r="U229" s="2" t="s">
        <v>4561</v>
      </c>
      <c r="V229" s="2" t="s">
        <v>4562</v>
      </c>
      <c r="W229" s="2" t="s">
        <v>4563</v>
      </c>
      <c r="X229" s="2" t="s">
        <v>4564</v>
      </c>
      <c r="Y229" s="2" t="s">
        <v>4565</v>
      </c>
      <c r="Z229" s="2" t="s">
        <v>4566</v>
      </c>
      <c r="AA229" s="2" t="s">
        <v>4567</v>
      </c>
      <c r="AB229" s="2" t="s">
        <v>4568</v>
      </c>
      <c r="AC229" s="2"/>
      <c r="AD229" s="2"/>
      <c r="AE229" s="2"/>
      <c r="AF229" s="2"/>
      <c r="AG229" s="2" t="n">
        <v>22</v>
      </c>
      <c r="AH229" s="2" t="n">
        <v>7</v>
      </c>
      <c r="AI229" s="2" t="n">
        <v>7</v>
      </c>
      <c r="AJ229" s="2" t="n">
        <v>0</v>
      </c>
      <c r="AK229" s="2" t="n">
        <v>2</v>
      </c>
      <c r="AL229" s="2" t="s">
        <v>755</v>
      </c>
      <c r="AM229" s="2" t="s">
        <v>273</v>
      </c>
      <c r="AN229" s="2" t="s">
        <v>756</v>
      </c>
      <c r="AO229" s="2" t="s">
        <v>3753</v>
      </c>
      <c r="AP229" s="2"/>
      <c r="AQ229" s="2"/>
      <c r="AR229" s="2" t="s">
        <v>3754</v>
      </c>
      <c r="AS229" s="2" t="s">
        <v>3755</v>
      </c>
      <c r="AT229" s="2" t="s">
        <v>3673</v>
      </c>
      <c r="AU229" s="2" t="n">
        <v>2022</v>
      </c>
      <c r="AV229" s="2" t="n">
        <v>10</v>
      </c>
      <c r="AW229" s="2" t="n">
        <v>4</v>
      </c>
      <c r="AX229" s="2"/>
      <c r="AY229" s="2"/>
      <c r="AZ229" s="2"/>
      <c r="BA229" s="2"/>
      <c r="BB229" s="2"/>
      <c r="BC229" s="2"/>
      <c r="BD229" s="2"/>
      <c r="BE229" s="2" t="s">
        <v>4569</v>
      </c>
      <c r="BF229" s="2" t="str">
        <f aca="false">HYPERLINK("http://dx.doi.org/10.1128/spectrum.01248-22","http://dx.doi.org/10.1128/spectrum.01248-22")</f>
        <v>http://dx.doi.org/10.1128/spectrum.01248-22</v>
      </c>
      <c r="BG229" s="2"/>
      <c r="BH229" s="2" t="s">
        <v>2561</v>
      </c>
      <c r="BI229" s="2" t="n">
        <v>7</v>
      </c>
      <c r="BJ229" s="2" t="s">
        <v>211</v>
      </c>
      <c r="BK229" s="2" t="s">
        <v>100</v>
      </c>
      <c r="BL229" s="2" t="s">
        <v>211</v>
      </c>
      <c r="BM229" s="2" t="s">
        <v>4570</v>
      </c>
      <c r="BN229" s="2" t="n">
        <v>35766513</v>
      </c>
      <c r="BO229" s="2" t="s">
        <v>165</v>
      </c>
      <c r="BP229" s="2"/>
      <c r="BQ229" s="2"/>
      <c r="BR229" s="2" t="s">
        <v>104</v>
      </c>
      <c r="BS229" s="2" t="s">
        <v>4571</v>
      </c>
      <c r="BT229" s="2" t="str">
        <f aca="false">HYPERLINK("https%3A%2F%2Fwww.webofscience.com%2Fwos%2Fwoscc%2Ffull-record%2FWOS:000819225900002","View Full Record in Web of Science")</f>
        <v>View Full Record in Web of Science</v>
      </c>
    </row>
    <row r="230" customFormat="false" ht="12.75" hidden="false" customHeight="false" outlineLevel="0" collapsed="false">
      <c r="A230" s="2" t="s">
        <v>72</v>
      </c>
      <c r="B230" s="2" t="s">
        <v>4572</v>
      </c>
      <c r="C230" s="2"/>
      <c r="D230" s="2"/>
      <c r="E230" s="2"/>
      <c r="F230" s="2" t="s">
        <v>4573</v>
      </c>
      <c r="G230" s="2"/>
      <c r="H230" s="2"/>
      <c r="I230" s="2" t="s">
        <v>4574</v>
      </c>
      <c r="J230" s="2" t="s">
        <v>971</v>
      </c>
      <c r="K230" s="2"/>
      <c r="L230" s="2"/>
      <c r="M230" s="2" t="s">
        <v>77</v>
      </c>
      <c r="N230" s="2" t="s">
        <v>78</v>
      </c>
      <c r="O230" s="2"/>
      <c r="P230" s="2"/>
      <c r="Q230" s="2"/>
      <c r="R230" s="2"/>
      <c r="S230" s="2"/>
      <c r="T230" s="2" t="s">
        <v>4575</v>
      </c>
      <c r="U230" s="2" t="s">
        <v>4576</v>
      </c>
      <c r="V230" s="2" t="s">
        <v>4577</v>
      </c>
      <c r="W230" s="2" t="s">
        <v>4578</v>
      </c>
      <c r="X230" s="2" t="s">
        <v>1016</v>
      </c>
      <c r="Y230" s="2" t="s">
        <v>4579</v>
      </c>
      <c r="Z230" s="2" t="s">
        <v>1018</v>
      </c>
      <c r="AA230" s="2"/>
      <c r="AB230" s="2" t="s">
        <v>4580</v>
      </c>
      <c r="AC230" s="2"/>
      <c r="AD230" s="2"/>
      <c r="AE230" s="2"/>
      <c r="AF230" s="2"/>
      <c r="AG230" s="2" t="n">
        <v>27</v>
      </c>
      <c r="AH230" s="2" t="n">
        <v>4</v>
      </c>
      <c r="AI230" s="2" t="n">
        <v>5</v>
      </c>
      <c r="AJ230" s="2" t="n">
        <v>0</v>
      </c>
      <c r="AK230" s="2" t="n">
        <v>2</v>
      </c>
      <c r="AL230" s="2" t="s">
        <v>957</v>
      </c>
      <c r="AM230" s="2" t="s">
        <v>123</v>
      </c>
      <c r="AN230" s="2" t="s">
        <v>958</v>
      </c>
      <c r="AO230" s="2" t="s">
        <v>982</v>
      </c>
      <c r="AP230" s="2" t="s">
        <v>983</v>
      </c>
      <c r="AQ230" s="2"/>
      <c r="AR230" s="2" t="s">
        <v>984</v>
      </c>
      <c r="AS230" s="2" t="s">
        <v>985</v>
      </c>
      <c r="AT230" s="2" t="s">
        <v>97</v>
      </c>
      <c r="AU230" s="2" t="n">
        <v>2017</v>
      </c>
      <c r="AV230" s="2" t="n">
        <v>38</v>
      </c>
      <c r="AW230" s="2" t="n">
        <v>1</v>
      </c>
      <c r="AX230" s="2"/>
      <c r="AY230" s="2"/>
      <c r="AZ230" s="2"/>
      <c r="BA230" s="2"/>
      <c r="BB230" s="2" t="n">
        <v>37</v>
      </c>
      <c r="BC230" s="2" t="s">
        <v>986</v>
      </c>
      <c r="BD230" s="2"/>
      <c r="BE230" s="2" t="s">
        <v>4581</v>
      </c>
      <c r="BF230" s="2" t="str">
        <f aca="false">HYPERLINK("http://dx.doi.org/10.1016/j.ccm.2016.11.003","http://dx.doi.org/10.1016/j.ccm.2016.11.003")</f>
        <v>http://dx.doi.org/10.1016/j.ccm.2016.11.003</v>
      </c>
      <c r="BG230" s="2"/>
      <c r="BH230" s="2"/>
      <c r="BI230" s="2" t="n">
        <v>8</v>
      </c>
      <c r="BJ230" s="2" t="s">
        <v>338</v>
      </c>
      <c r="BK230" s="2" t="s">
        <v>100</v>
      </c>
      <c r="BL230" s="2" t="s">
        <v>338</v>
      </c>
      <c r="BM230" s="2" t="s">
        <v>988</v>
      </c>
      <c r="BN230" s="2" t="n">
        <v>28159160</v>
      </c>
      <c r="BO230" s="2" t="s">
        <v>1227</v>
      </c>
      <c r="BP230" s="2"/>
      <c r="BQ230" s="2"/>
      <c r="BR230" s="2" t="s">
        <v>104</v>
      </c>
      <c r="BS230" s="2" t="s">
        <v>4582</v>
      </c>
      <c r="BT230" s="2" t="str">
        <f aca="false">HYPERLINK("https%3A%2F%2Fwww.webofscience.com%2Fwos%2Fwoscc%2Ffull-record%2FWOS:000396387100006","View Full Record in Web of Science")</f>
        <v>View Full Record in Web of Science</v>
      </c>
    </row>
    <row r="231" customFormat="false" ht="12.75" hidden="false" customHeight="false" outlineLevel="0" collapsed="false">
      <c r="A231" s="2" t="s">
        <v>72</v>
      </c>
      <c r="B231" s="2" t="s">
        <v>4583</v>
      </c>
      <c r="C231" s="2"/>
      <c r="D231" s="2"/>
      <c r="E231" s="2"/>
      <c r="F231" s="2" t="s">
        <v>4584</v>
      </c>
      <c r="G231" s="2"/>
      <c r="H231" s="2"/>
      <c r="I231" s="2" t="s">
        <v>4585</v>
      </c>
      <c r="J231" s="2" t="s">
        <v>4586</v>
      </c>
      <c r="K231" s="2"/>
      <c r="L231" s="2"/>
      <c r="M231" s="2" t="s">
        <v>77</v>
      </c>
      <c r="N231" s="2" t="s">
        <v>78</v>
      </c>
      <c r="O231" s="2"/>
      <c r="P231" s="2"/>
      <c r="Q231" s="2"/>
      <c r="R231" s="2"/>
      <c r="S231" s="2"/>
      <c r="T231" s="2" t="s">
        <v>4587</v>
      </c>
      <c r="U231" s="2" t="s">
        <v>4588</v>
      </c>
      <c r="V231" s="2" t="s">
        <v>4589</v>
      </c>
      <c r="W231" s="2" t="s">
        <v>4590</v>
      </c>
      <c r="X231" s="2" t="s">
        <v>4591</v>
      </c>
      <c r="Y231" s="2" t="s">
        <v>4592</v>
      </c>
      <c r="Z231" s="2" t="s">
        <v>4593</v>
      </c>
      <c r="AA231" s="2" t="s">
        <v>4594</v>
      </c>
      <c r="AB231" s="2" t="s">
        <v>4595</v>
      </c>
      <c r="AC231" s="2" t="s">
        <v>4596</v>
      </c>
      <c r="AD231" s="2" t="s">
        <v>4596</v>
      </c>
      <c r="AE231" s="2" t="s">
        <v>4597</v>
      </c>
      <c r="AF231" s="2"/>
      <c r="AG231" s="2" t="n">
        <v>22</v>
      </c>
      <c r="AH231" s="2" t="n">
        <v>0</v>
      </c>
      <c r="AI231" s="2" t="n">
        <v>0</v>
      </c>
      <c r="AJ231" s="2" t="n">
        <v>0</v>
      </c>
      <c r="AK231" s="2" t="n">
        <v>0</v>
      </c>
      <c r="AL231" s="2" t="s">
        <v>4598</v>
      </c>
      <c r="AM231" s="2" t="s">
        <v>4599</v>
      </c>
      <c r="AN231" s="2" t="s">
        <v>4600</v>
      </c>
      <c r="AO231" s="2" t="s">
        <v>4601</v>
      </c>
      <c r="AP231" s="2" t="s">
        <v>4602</v>
      </c>
      <c r="AQ231" s="2"/>
      <c r="AR231" s="2" t="s">
        <v>4603</v>
      </c>
      <c r="AS231" s="2" t="s">
        <v>4604</v>
      </c>
      <c r="AT231" s="2"/>
      <c r="AU231" s="2" t="n">
        <v>2023</v>
      </c>
      <c r="AV231" s="2" t="n">
        <v>19</v>
      </c>
      <c r="AW231" s="2" t="n">
        <v>4</v>
      </c>
      <c r="AX231" s="2"/>
      <c r="AY231" s="2"/>
      <c r="AZ231" s="2"/>
      <c r="BA231" s="2"/>
      <c r="BB231" s="2" t="n">
        <v>301</v>
      </c>
      <c r="BC231" s="2" t="n">
        <v>308</v>
      </c>
      <c r="BD231" s="2"/>
      <c r="BE231" s="2" t="s">
        <v>4605</v>
      </c>
      <c r="BF231" s="2" t="str">
        <f aca="false">HYPERLINK("http://dx.doi.org/10.2174/011573398X259978230922090846","http://dx.doi.org/10.2174/011573398X259978230922090846")</f>
        <v>http://dx.doi.org/10.2174/011573398X259978230922090846</v>
      </c>
      <c r="BG231" s="2"/>
      <c r="BH231" s="2"/>
      <c r="BI231" s="2" t="n">
        <v>8</v>
      </c>
      <c r="BJ231" s="2" t="s">
        <v>338</v>
      </c>
      <c r="BK231" s="2" t="s">
        <v>339</v>
      </c>
      <c r="BL231" s="2" t="s">
        <v>338</v>
      </c>
      <c r="BM231" s="2" t="s">
        <v>4606</v>
      </c>
      <c r="BN231" s="2"/>
      <c r="BO231" s="2"/>
      <c r="BP231" s="2"/>
      <c r="BQ231" s="2"/>
      <c r="BR231" s="2" t="s">
        <v>104</v>
      </c>
      <c r="BS231" s="2" t="s">
        <v>4607</v>
      </c>
      <c r="BT231" s="2" t="str">
        <f aca="false">HYPERLINK("https%3A%2F%2Fwww.webofscience.com%2Fwos%2Fwoscc%2Ffull-record%2FWOS:001113741300011","View Full Record in Web of Science")</f>
        <v>View Full Record in Web of Science</v>
      </c>
    </row>
    <row r="232" customFormat="false" ht="12.75" hidden="false" customHeight="false" outlineLevel="0" collapsed="false">
      <c r="A232" s="2" t="s">
        <v>72</v>
      </c>
      <c r="B232" s="2" t="s">
        <v>4608</v>
      </c>
      <c r="C232" s="2"/>
      <c r="D232" s="2"/>
      <c r="E232" s="2"/>
      <c r="F232" s="2" t="s">
        <v>4609</v>
      </c>
      <c r="G232" s="2"/>
      <c r="H232" s="2"/>
      <c r="I232" s="2" t="s">
        <v>4610</v>
      </c>
      <c r="J232" s="2" t="s">
        <v>2095</v>
      </c>
      <c r="K232" s="2"/>
      <c r="L232" s="2"/>
      <c r="M232" s="2" t="s">
        <v>77</v>
      </c>
      <c r="N232" s="2" t="s">
        <v>78</v>
      </c>
      <c r="O232" s="2"/>
      <c r="P232" s="2"/>
      <c r="Q232" s="2"/>
      <c r="R232" s="2"/>
      <c r="S232" s="2"/>
      <c r="T232" s="2" t="s">
        <v>4611</v>
      </c>
      <c r="U232" s="2" t="s">
        <v>4612</v>
      </c>
      <c r="V232" s="2" t="s">
        <v>4613</v>
      </c>
      <c r="W232" s="2" t="s">
        <v>4614</v>
      </c>
      <c r="X232" s="2" t="s">
        <v>4615</v>
      </c>
      <c r="Y232" s="2" t="s">
        <v>4616</v>
      </c>
      <c r="Z232" s="2" t="s">
        <v>4617</v>
      </c>
      <c r="AA232" s="2" t="s">
        <v>4618</v>
      </c>
      <c r="AB232" s="2" t="s">
        <v>4619</v>
      </c>
      <c r="AC232" s="2"/>
      <c r="AD232" s="2"/>
      <c r="AE232" s="2"/>
      <c r="AF232" s="2"/>
      <c r="AG232" s="2" t="n">
        <v>38</v>
      </c>
      <c r="AH232" s="2" t="n">
        <v>22</v>
      </c>
      <c r="AI232" s="2" t="n">
        <v>22</v>
      </c>
      <c r="AJ232" s="2" t="n">
        <v>0</v>
      </c>
      <c r="AK232" s="2" t="n">
        <v>3</v>
      </c>
      <c r="AL232" s="2" t="s">
        <v>2105</v>
      </c>
      <c r="AM232" s="2" t="s">
        <v>303</v>
      </c>
      <c r="AN232" s="2" t="s">
        <v>2106</v>
      </c>
      <c r="AO232" s="2" t="s">
        <v>2107</v>
      </c>
      <c r="AP232" s="2" t="s">
        <v>2108</v>
      </c>
      <c r="AQ232" s="2"/>
      <c r="AR232" s="2" t="s">
        <v>2109</v>
      </c>
      <c r="AS232" s="2" t="s">
        <v>2110</v>
      </c>
      <c r="AT232" s="2" t="s">
        <v>362</v>
      </c>
      <c r="AU232" s="2" t="n">
        <v>2019</v>
      </c>
      <c r="AV232" s="2" t="n">
        <v>12</v>
      </c>
      <c r="AW232" s="2" t="n">
        <v>3</v>
      </c>
      <c r="AX232" s="2"/>
      <c r="AY232" s="2"/>
      <c r="AZ232" s="2"/>
      <c r="BA232" s="2"/>
      <c r="BB232" s="2" t="n">
        <v>357</v>
      </c>
      <c r="BC232" s="2" t="n">
        <v>363</v>
      </c>
      <c r="BD232" s="2"/>
      <c r="BE232" s="2" t="s">
        <v>4620</v>
      </c>
      <c r="BF232" s="2" t="str">
        <f aca="false">HYPERLINK("http://dx.doi.org/10.1016/j.jiph.2018.12.003","http://dx.doi.org/10.1016/j.jiph.2018.12.003")</f>
        <v>http://dx.doi.org/10.1016/j.jiph.2018.12.003</v>
      </c>
      <c r="BG232" s="2"/>
      <c r="BH232" s="2"/>
      <c r="BI232" s="2" t="n">
        <v>7</v>
      </c>
      <c r="BJ232" s="2" t="s">
        <v>2113</v>
      </c>
      <c r="BK232" s="2" t="s">
        <v>100</v>
      </c>
      <c r="BL232" s="2" t="s">
        <v>2113</v>
      </c>
      <c r="BM232" s="2" t="s">
        <v>4621</v>
      </c>
      <c r="BN232" s="2" t="n">
        <v>30573330</v>
      </c>
      <c r="BO232" s="2" t="s">
        <v>190</v>
      </c>
      <c r="BP232" s="2"/>
      <c r="BQ232" s="2"/>
      <c r="BR232" s="2" t="s">
        <v>104</v>
      </c>
      <c r="BS232" s="2" t="s">
        <v>4622</v>
      </c>
      <c r="BT232" s="2" t="str">
        <f aca="false">HYPERLINK("https%3A%2F%2Fwww.webofscience.com%2Fwos%2Fwoscc%2Ffull-record%2FWOS:000466944300011","View Full Record in Web of Science")</f>
        <v>View Full Record in Web of Science</v>
      </c>
    </row>
    <row r="233" customFormat="false" ht="12.75" hidden="false" customHeight="false" outlineLevel="0" collapsed="false">
      <c r="A233" s="2" t="s">
        <v>72</v>
      </c>
      <c r="B233" s="2" t="s">
        <v>4623</v>
      </c>
      <c r="C233" s="2"/>
      <c r="D233" s="2"/>
      <c r="E233" s="2"/>
      <c r="F233" s="2" t="s">
        <v>4624</v>
      </c>
      <c r="G233" s="2"/>
      <c r="H233" s="2"/>
      <c r="I233" s="2" t="s">
        <v>4625</v>
      </c>
      <c r="J233" s="2" t="s">
        <v>4626</v>
      </c>
      <c r="K233" s="2"/>
      <c r="L233" s="2"/>
      <c r="M233" s="2" t="s">
        <v>77</v>
      </c>
      <c r="N233" s="2" t="s">
        <v>78</v>
      </c>
      <c r="O233" s="2"/>
      <c r="P233" s="2"/>
      <c r="Q233" s="2"/>
      <c r="R233" s="2"/>
      <c r="S233" s="2"/>
      <c r="T233" s="2" t="s">
        <v>4627</v>
      </c>
      <c r="U233" s="2" t="s">
        <v>4628</v>
      </c>
      <c r="V233" s="2" t="s">
        <v>4629</v>
      </c>
      <c r="W233" s="2" t="s">
        <v>4630</v>
      </c>
      <c r="X233" s="2"/>
      <c r="Y233" s="2" t="s">
        <v>4631</v>
      </c>
      <c r="Z233" s="2" t="s">
        <v>4632</v>
      </c>
      <c r="AA233" s="2" t="s">
        <v>4633</v>
      </c>
      <c r="AB233" s="2"/>
      <c r="AC233" s="2"/>
      <c r="AD233" s="2"/>
      <c r="AE233" s="2" t="s">
        <v>4634</v>
      </c>
      <c r="AF233" s="2"/>
      <c r="AG233" s="2" t="n">
        <v>24</v>
      </c>
      <c r="AH233" s="2" t="n">
        <v>0</v>
      </c>
      <c r="AI233" s="2" t="n">
        <v>0</v>
      </c>
      <c r="AJ233" s="2" t="n">
        <v>0</v>
      </c>
      <c r="AK233" s="2" t="n">
        <v>0</v>
      </c>
      <c r="AL233" s="2" t="s">
        <v>4635</v>
      </c>
      <c r="AM233" s="2" t="s">
        <v>4636</v>
      </c>
      <c r="AN233" s="2" t="s">
        <v>4637</v>
      </c>
      <c r="AO233" s="2" t="s">
        <v>4638</v>
      </c>
      <c r="AP233" s="2"/>
      <c r="AQ233" s="2"/>
      <c r="AR233" s="2" t="s">
        <v>4639</v>
      </c>
      <c r="AS233" s="2" t="s">
        <v>4640</v>
      </c>
      <c r="AT233" s="2" t="s">
        <v>336</v>
      </c>
      <c r="AU233" s="2" t="n">
        <v>2024</v>
      </c>
      <c r="AV233" s="2" t="n">
        <v>74</v>
      </c>
      <c r="AW233" s="2" t="n">
        <v>10</v>
      </c>
      <c r="AX233" s="2"/>
      <c r="AY233" s="2"/>
      <c r="AZ233" s="2"/>
      <c r="BA233" s="2"/>
      <c r="BB233" s="2" t="n">
        <v>1801</v>
      </c>
      <c r="BC233" s="2" t="n">
        <v>1805</v>
      </c>
      <c r="BD233" s="2"/>
      <c r="BE233" s="2" t="s">
        <v>4641</v>
      </c>
      <c r="BF233" s="2" t="str">
        <f aca="false">HYPERLINK("http://dx.doi.org/10.47391/JPMA.10587","http://dx.doi.org/10.47391/JPMA.10587")</f>
        <v>http://dx.doi.org/10.47391/JPMA.10587</v>
      </c>
      <c r="BG233" s="2"/>
      <c r="BH233" s="2"/>
      <c r="BI233" s="2" t="n">
        <v>5</v>
      </c>
      <c r="BJ233" s="2" t="s">
        <v>4642</v>
      </c>
      <c r="BK233" s="2" t="s">
        <v>100</v>
      </c>
      <c r="BL233" s="2" t="s">
        <v>4643</v>
      </c>
      <c r="BM233" s="2" t="s">
        <v>4644</v>
      </c>
      <c r="BN233" s="2" t="n">
        <v>39407374</v>
      </c>
      <c r="BO233" s="2" t="s">
        <v>1355</v>
      </c>
      <c r="BP233" s="2"/>
      <c r="BQ233" s="2"/>
      <c r="BR233" s="2" t="s">
        <v>104</v>
      </c>
      <c r="BS233" s="2" t="s">
        <v>4645</v>
      </c>
      <c r="BT233" s="2" t="str">
        <f aca="false">HYPERLINK("https%3A%2F%2Fwww.webofscience.com%2Fwos%2Fwoscc%2Ffull-record%2FWOS:001322300600012","View Full Record in Web of Science")</f>
        <v>View Full Record in Web of Science</v>
      </c>
    </row>
    <row r="234" customFormat="false" ht="12.75" hidden="false" customHeight="false" outlineLevel="0" collapsed="false">
      <c r="A234" s="2" t="s">
        <v>72</v>
      </c>
      <c r="B234" s="2" t="s">
        <v>4646</v>
      </c>
      <c r="C234" s="2"/>
      <c r="D234" s="2"/>
      <c r="E234" s="2"/>
      <c r="F234" s="2" t="s">
        <v>4647</v>
      </c>
      <c r="G234" s="2"/>
      <c r="H234" s="2"/>
      <c r="I234" s="2" t="s">
        <v>4648</v>
      </c>
      <c r="J234" s="2" t="s">
        <v>4649</v>
      </c>
      <c r="K234" s="2"/>
      <c r="L234" s="2"/>
      <c r="M234" s="2" t="s">
        <v>77</v>
      </c>
      <c r="N234" s="2" t="s">
        <v>78</v>
      </c>
      <c r="O234" s="2"/>
      <c r="P234" s="2"/>
      <c r="Q234" s="2"/>
      <c r="R234" s="2"/>
      <c r="S234" s="2"/>
      <c r="T234" s="2" t="s">
        <v>4650</v>
      </c>
      <c r="U234" s="2" t="s">
        <v>4651</v>
      </c>
      <c r="V234" s="2" t="s">
        <v>4652</v>
      </c>
      <c r="W234" s="2" t="s">
        <v>4653</v>
      </c>
      <c r="X234" s="2" t="s">
        <v>4654</v>
      </c>
      <c r="Y234" s="2" t="s">
        <v>4655</v>
      </c>
      <c r="Z234" s="2" t="s">
        <v>4656</v>
      </c>
      <c r="AA234" s="2"/>
      <c r="AB234" s="2" t="s">
        <v>4657</v>
      </c>
      <c r="AC234" s="2"/>
      <c r="AD234" s="2"/>
      <c r="AE234" s="2"/>
      <c r="AF234" s="2"/>
      <c r="AG234" s="2" t="n">
        <v>10</v>
      </c>
      <c r="AH234" s="2" t="n">
        <v>5</v>
      </c>
      <c r="AI234" s="2" t="n">
        <v>5</v>
      </c>
      <c r="AJ234" s="2" t="n">
        <v>0</v>
      </c>
      <c r="AK234" s="2" t="n">
        <v>0</v>
      </c>
      <c r="AL234" s="2" t="s">
        <v>122</v>
      </c>
      <c r="AM234" s="2" t="s">
        <v>123</v>
      </c>
      <c r="AN234" s="2" t="s">
        <v>124</v>
      </c>
      <c r="AO234" s="2" t="s">
        <v>4658</v>
      </c>
      <c r="AP234" s="2" t="s">
        <v>4659</v>
      </c>
      <c r="AQ234" s="2"/>
      <c r="AR234" s="2" t="s">
        <v>4660</v>
      </c>
      <c r="AS234" s="2" t="s">
        <v>4661</v>
      </c>
      <c r="AT234" s="2" t="s">
        <v>129</v>
      </c>
      <c r="AU234" s="2" t="n">
        <v>2020</v>
      </c>
      <c r="AV234" s="2" t="n">
        <v>28</v>
      </c>
      <c r="AW234" s="2" t="n">
        <v>5</v>
      </c>
      <c r="AX234" s="2"/>
      <c r="AY234" s="2"/>
      <c r="AZ234" s="2"/>
      <c r="BA234" s="2"/>
      <c r="BB234" s="2" t="n">
        <v>277</v>
      </c>
      <c r="BC234" s="2" t="n">
        <v>280</v>
      </c>
      <c r="BD234" s="2"/>
      <c r="BE234" s="2" t="s">
        <v>4662</v>
      </c>
      <c r="BF234" s="2" t="str">
        <f aca="false">HYPERLINK("http://dx.doi.org/10.1097/IPC.0000000000000869","http://dx.doi.org/10.1097/IPC.0000000000000869")</f>
        <v>http://dx.doi.org/10.1097/IPC.0000000000000869</v>
      </c>
      <c r="BG234" s="2"/>
      <c r="BH234" s="2"/>
      <c r="BI234" s="2" t="n">
        <v>4</v>
      </c>
      <c r="BJ234" s="2" t="s">
        <v>965</v>
      </c>
      <c r="BK234" s="2" t="s">
        <v>339</v>
      </c>
      <c r="BL234" s="2" t="s">
        <v>965</v>
      </c>
      <c r="BM234" s="2" t="s">
        <v>4663</v>
      </c>
      <c r="BN234" s="2"/>
      <c r="BO234" s="2"/>
      <c r="BP234" s="2"/>
      <c r="BQ234" s="2"/>
      <c r="BR234" s="2" t="s">
        <v>104</v>
      </c>
      <c r="BS234" s="2" t="s">
        <v>4664</v>
      </c>
      <c r="BT234" s="2" t="str">
        <f aca="false">HYPERLINK("https%3A%2F%2Fwww.webofscience.com%2Fwos%2Fwoscc%2Ffull-record%2FWOS:000570072800009","View Full Record in Web of Science")</f>
        <v>View Full Record in Web of Science</v>
      </c>
    </row>
    <row r="235" customFormat="false" ht="12.75" hidden="false" customHeight="false" outlineLevel="0" collapsed="false">
      <c r="A235" s="2" t="s">
        <v>72</v>
      </c>
      <c r="B235" s="2" t="s">
        <v>4665</v>
      </c>
      <c r="C235" s="2"/>
      <c r="D235" s="2"/>
      <c r="E235" s="2"/>
      <c r="F235" s="2" t="s">
        <v>4665</v>
      </c>
      <c r="G235" s="2"/>
      <c r="H235" s="2"/>
      <c r="I235" s="2" t="s">
        <v>4666</v>
      </c>
      <c r="J235" s="2" t="s">
        <v>3719</v>
      </c>
      <c r="K235" s="2"/>
      <c r="L235" s="2"/>
      <c r="M235" s="2" t="s">
        <v>77</v>
      </c>
      <c r="N235" s="2" t="s">
        <v>78</v>
      </c>
      <c r="O235" s="2"/>
      <c r="P235" s="2"/>
      <c r="Q235" s="2"/>
      <c r="R235" s="2"/>
      <c r="S235" s="2"/>
      <c r="T235" s="2" t="s">
        <v>4667</v>
      </c>
      <c r="U235" s="2" t="s">
        <v>4668</v>
      </c>
      <c r="V235" s="2" t="s">
        <v>4669</v>
      </c>
      <c r="W235" s="2" t="s">
        <v>4670</v>
      </c>
      <c r="X235" s="2" t="s">
        <v>4671</v>
      </c>
      <c r="Y235" s="2" t="s">
        <v>4672</v>
      </c>
      <c r="Z235" s="2" t="s">
        <v>4673</v>
      </c>
      <c r="AA235" s="2" t="s">
        <v>4674</v>
      </c>
      <c r="AB235" s="2" t="s">
        <v>4675</v>
      </c>
      <c r="AC235" s="2" t="s">
        <v>4676</v>
      </c>
      <c r="AD235" s="2" t="s">
        <v>2416</v>
      </c>
      <c r="AE235" s="2"/>
      <c r="AF235" s="2"/>
      <c r="AG235" s="2" t="n">
        <v>44</v>
      </c>
      <c r="AH235" s="2" t="n">
        <v>131</v>
      </c>
      <c r="AI235" s="2" t="n">
        <v>138</v>
      </c>
      <c r="AJ235" s="2" t="n">
        <v>0</v>
      </c>
      <c r="AK235" s="2" t="n">
        <v>4</v>
      </c>
      <c r="AL235" s="2" t="s">
        <v>3584</v>
      </c>
      <c r="AM235" s="2" t="s">
        <v>303</v>
      </c>
      <c r="AN235" s="2" t="s">
        <v>3585</v>
      </c>
      <c r="AO235" s="2" t="s">
        <v>3732</v>
      </c>
      <c r="AP235" s="2" t="s">
        <v>4677</v>
      </c>
      <c r="AQ235" s="2"/>
      <c r="AR235" s="2" t="s">
        <v>3733</v>
      </c>
      <c r="AS235" s="2" t="s">
        <v>3734</v>
      </c>
      <c r="AT235" s="2" t="s">
        <v>390</v>
      </c>
      <c r="AU235" s="2" t="n">
        <v>2005</v>
      </c>
      <c r="AV235" s="2" t="n">
        <v>50</v>
      </c>
      <c r="AW235" s="2" t="n">
        <v>4</v>
      </c>
      <c r="AX235" s="2"/>
      <c r="AY235" s="2"/>
      <c r="AZ235" s="2"/>
      <c r="BA235" s="2"/>
      <c r="BB235" s="2" t="n">
        <v>322</v>
      </c>
      <c r="BC235" s="2" t="n">
        <v>330</v>
      </c>
      <c r="BD235" s="2"/>
      <c r="BE235" s="2" t="s">
        <v>4678</v>
      </c>
      <c r="BF235" s="2" t="str">
        <f aca="false">HYPERLINK("http://dx.doi.org/10.1016/j.jinf.2004.07.011","http://dx.doi.org/10.1016/j.jinf.2004.07.011")</f>
        <v>http://dx.doi.org/10.1016/j.jinf.2004.07.011</v>
      </c>
      <c r="BG235" s="2"/>
      <c r="BH235" s="2"/>
      <c r="BI235" s="2" t="n">
        <v>9</v>
      </c>
      <c r="BJ235" s="2" t="s">
        <v>575</v>
      </c>
      <c r="BK235" s="2" t="s">
        <v>100</v>
      </c>
      <c r="BL235" s="2" t="s">
        <v>575</v>
      </c>
      <c r="BM235" s="2" t="s">
        <v>4679</v>
      </c>
      <c r="BN235" s="2" t="n">
        <v>15845430</v>
      </c>
      <c r="BO235" s="2" t="s">
        <v>165</v>
      </c>
      <c r="BP235" s="2"/>
      <c r="BQ235" s="2"/>
      <c r="BR235" s="2" t="s">
        <v>104</v>
      </c>
      <c r="BS235" s="2" t="s">
        <v>4680</v>
      </c>
      <c r="BT235" s="2" t="str">
        <f aca="false">HYPERLINK("https%3A%2F%2Fwww.webofscience.com%2Fwos%2Fwoscc%2Ffull-record%2FWOS:000229062100006","View Full Record in Web of Science")</f>
        <v>View Full Record in Web of Science</v>
      </c>
    </row>
    <row r="236" customFormat="false" ht="12.75" hidden="false" customHeight="false" outlineLevel="0" collapsed="false">
      <c r="A236" s="2" t="s">
        <v>72</v>
      </c>
      <c r="B236" s="2" t="s">
        <v>4681</v>
      </c>
      <c r="C236" s="2"/>
      <c r="D236" s="2"/>
      <c r="E236" s="2"/>
      <c r="F236" s="2" t="s">
        <v>4682</v>
      </c>
      <c r="G236" s="2"/>
      <c r="H236" s="2"/>
      <c r="I236" s="2" t="s">
        <v>4683</v>
      </c>
      <c r="J236" s="2" t="s">
        <v>109</v>
      </c>
      <c r="K236" s="2"/>
      <c r="L236" s="2"/>
      <c r="M236" s="2" t="s">
        <v>77</v>
      </c>
      <c r="N236" s="2" t="s">
        <v>78</v>
      </c>
      <c r="O236" s="2"/>
      <c r="P236" s="2"/>
      <c r="Q236" s="2"/>
      <c r="R236" s="2"/>
      <c r="S236" s="2"/>
      <c r="T236" s="2" t="s">
        <v>4684</v>
      </c>
      <c r="U236" s="2" t="s">
        <v>4685</v>
      </c>
      <c r="V236" s="2" t="s">
        <v>4686</v>
      </c>
      <c r="W236" s="2" t="s">
        <v>4687</v>
      </c>
      <c r="X236" s="2" t="s">
        <v>4688</v>
      </c>
      <c r="Y236" s="2" t="s">
        <v>4689</v>
      </c>
      <c r="Z236" s="2" t="s">
        <v>4690</v>
      </c>
      <c r="AA236" s="2" t="s">
        <v>4691</v>
      </c>
      <c r="AB236" s="2" t="s">
        <v>4692</v>
      </c>
      <c r="AC236" s="2" t="s">
        <v>4693</v>
      </c>
      <c r="AD236" s="2" t="s">
        <v>4694</v>
      </c>
      <c r="AE236" s="2" t="s">
        <v>4695</v>
      </c>
      <c r="AF236" s="2"/>
      <c r="AG236" s="2" t="n">
        <v>30</v>
      </c>
      <c r="AH236" s="2" t="n">
        <v>40</v>
      </c>
      <c r="AI236" s="2" t="n">
        <v>40</v>
      </c>
      <c r="AJ236" s="2" t="n">
        <v>0</v>
      </c>
      <c r="AK236" s="2" t="n">
        <v>8</v>
      </c>
      <c r="AL236" s="2" t="s">
        <v>122</v>
      </c>
      <c r="AM236" s="2" t="s">
        <v>123</v>
      </c>
      <c r="AN236" s="2" t="s">
        <v>124</v>
      </c>
      <c r="AO236" s="2" t="s">
        <v>125</v>
      </c>
      <c r="AP236" s="2" t="s">
        <v>126</v>
      </c>
      <c r="AQ236" s="2"/>
      <c r="AR236" s="2" t="s">
        <v>127</v>
      </c>
      <c r="AS236" s="2" t="s">
        <v>128</v>
      </c>
      <c r="AT236" s="2" t="s">
        <v>129</v>
      </c>
      <c r="AU236" s="2" t="n">
        <v>2016</v>
      </c>
      <c r="AV236" s="2" t="n">
        <v>35</v>
      </c>
      <c r="AW236" s="2" t="n">
        <v>9</v>
      </c>
      <c r="AX236" s="2"/>
      <c r="AY236" s="2"/>
      <c r="AZ236" s="2"/>
      <c r="BA236" s="2"/>
      <c r="BB236" s="2" t="n">
        <v>949</v>
      </c>
      <c r="BC236" s="2" t="n">
        <v>954</v>
      </c>
      <c r="BD236" s="2"/>
      <c r="BE236" s="2" t="s">
        <v>4696</v>
      </c>
      <c r="BF236" s="2" t="str">
        <f aca="false">HYPERLINK("http://dx.doi.org/10.1097/INF.0000000000001209","http://dx.doi.org/10.1097/INF.0000000000001209")</f>
        <v>http://dx.doi.org/10.1097/INF.0000000000001209</v>
      </c>
      <c r="BG236" s="2"/>
      <c r="BH236" s="2"/>
      <c r="BI236" s="2" t="n">
        <v>6</v>
      </c>
      <c r="BJ236" s="2" t="s">
        <v>134</v>
      </c>
      <c r="BK236" s="2" t="s">
        <v>100</v>
      </c>
      <c r="BL236" s="2" t="s">
        <v>134</v>
      </c>
      <c r="BM236" s="2" t="s">
        <v>4697</v>
      </c>
      <c r="BN236" s="2" t="n">
        <v>27518750</v>
      </c>
      <c r="BO236" s="2"/>
      <c r="BP236" s="2"/>
      <c r="BQ236" s="2"/>
      <c r="BR236" s="2" t="s">
        <v>104</v>
      </c>
      <c r="BS236" s="2" t="s">
        <v>4698</v>
      </c>
      <c r="BT236" s="2" t="str">
        <f aca="false">HYPERLINK("https%3A%2F%2Fwww.webofscience.com%2Fwos%2Fwoscc%2Ffull-record%2FWOS:000382258800006","View Full Record in Web of Science")</f>
        <v>View Full Record in Web of Science</v>
      </c>
    </row>
    <row r="237" customFormat="false" ht="12.75" hidden="false" customHeight="false" outlineLevel="0" collapsed="false">
      <c r="A237" s="2" t="s">
        <v>72</v>
      </c>
      <c r="B237" s="2" t="s">
        <v>4699</v>
      </c>
      <c r="C237" s="2"/>
      <c r="D237" s="2"/>
      <c r="E237" s="2"/>
      <c r="F237" s="2" t="s">
        <v>4700</v>
      </c>
      <c r="G237" s="2"/>
      <c r="H237" s="2"/>
      <c r="I237" s="2" t="s">
        <v>4701</v>
      </c>
      <c r="J237" s="2" t="s">
        <v>4702</v>
      </c>
      <c r="K237" s="2"/>
      <c r="L237" s="2"/>
      <c r="M237" s="2" t="s">
        <v>77</v>
      </c>
      <c r="N237" s="2" t="s">
        <v>78</v>
      </c>
      <c r="O237" s="2"/>
      <c r="P237" s="2"/>
      <c r="Q237" s="2"/>
      <c r="R237" s="2"/>
      <c r="S237" s="2"/>
      <c r="T237" s="2" t="s">
        <v>4703</v>
      </c>
      <c r="U237" s="2" t="s">
        <v>4704</v>
      </c>
      <c r="V237" s="2" t="s">
        <v>4705</v>
      </c>
      <c r="W237" s="2" t="s">
        <v>4706</v>
      </c>
      <c r="X237" s="2" t="s">
        <v>4707</v>
      </c>
      <c r="Y237" s="2" t="s">
        <v>4708</v>
      </c>
      <c r="Z237" s="2" t="s">
        <v>749</v>
      </c>
      <c r="AA237" s="2" t="s">
        <v>4709</v>
      </c>
      <c r="AB237" s="2" t="s">
        <v>4710</v>
      </c>
      <c r="AC237" s="2" t="s">
        <v>4711</v>
      </c>
      <c r="AD237" s="2" t="s">
        <v>4712</v>
      </c>
      <c r="AE237" s="2" t="s">
        <v>4713</v>
      </c>
      <c r="AF237" s="2"/>
      <c r="AG237" s="2" t="n">
        <v>47</v>
      </c>
      <c r="AH237" s="2" t="n">
        <v>3</v>
      </c>
      <c r="AI237" s="2" t="n">
        <v>3</v>
      </c>
      <c r="AJ237" s="2" t="n">
        <v>0</v>
      </c>
      <c r="AK237" s="2" t="n">
        <v>1</v>
      </c>
      <c r="AL237" s="2" t="s">
        <v>302</v>
      </c>
      <c r="AM237" s="2" t="s">
        <v>303</v>
      </c>
      <c r="AN237" s="2" t="s">
        <v>304</v>
      </c>
      <c r="AO237" s="2" t="s">
        <v>4714</v>
      </c>
      <c r="AP237" s="2"/>
      <c r="AQ237" s="2"/>
      <c r="AR237" s="2" t="s">
        <v>4715</v>
      </c>
      <c r="AS237" s="2" t="s">
        <v>4716</v>
      </c>
      <c r="AT237" s="2" t="s">
        <v>534</v>
      </c>
      <c r="AU237" s="2" t="n">
        <v>2023</v>
      </c>
      <c r="AV237" s="2" t="n">
        <v>20</v>
      </c>
      <c r="AW237" s="2" t="n">
        <v>1</v>
      </c>
      <c r="AX237" s="2"/>
      <c r="AY237" s="2"/>
      <c r="AZ237" s="2"/>
      <c r="BA237" s="2"/>
      <c r="BB237" s="2"/>
      <c r="BC237" s="2"/>
      <c r="BD237" s="2" t="n">
        <v>40</v>
      </c>
      <c r="BE237" s="2" t="s">
        <v>4717</v>
      </c>
      <c r="BF237" s="2" t="str">
        <f aca="false">HYPERLINK("http://dx.doi.org/10.1186/s12979-023-00365-5","http://dx.doi.org/10.1186/s12979-023-00365-5")</f>
        <v>http://dx.doi.org/10.1186/s12979-023-00365-5</v>
      </c>
      <c r="BG237" s="2"/>
      <c r="BH237" s="2"/>
      <c r="BI237" s="2" t="n">
        <v>16</v>
      </c>
      <c r="BJ237" s="2" t="s">
        <v>4718</v>
      </c>
      <c r="BK237" s="2" t="s">
        <v>100</v>
      </c>
      <c r="BL237" s="2" t="s">
        <v>4718</v>
      </c>
      <c r="BM237" s="2" t="s">
        <v>4719</v>
      </c>
      <c r="BN237" s="2" t="n">
        <v>37528458</v>
      </c>
      <c r="BO237" s="2" t="s">
        <v>103</v>
      </c>
      <c r="BP237" s="2"/>
      <c r="BQ237" s="2"/>
      <c r="BR237" s="2" t="s">
        <v>104</v>
      </c>
      <c r="BS237" s="2" t="s">
        <v>4720</v>
      </c>
      <c r="BT237" s="2" t="str">
        <f aca="false">HYPERLINK("https%3A%2F%2Fwww.webofscience.com%2Fwos%2Fwoscc%2Ffull-record%2FWOS:001040771400001","View Full Record in Web of Science")</f>
        <v>View Full Record in Web of Science</v>
      </c>
    </row>
    <row r="238" customFormat="false" ht="12.75" hidden="false" customHeight="false" outlineLevel="0" collapsed="false">
      <c r="A238" s="2" t="s">
        <v>72</v>
      </c>
      <c r="B238" s="2" t="s">
        <v>4721</v>
      </c>
      <c r="C238" s="2"/>
      <c r="D238" s="2"/>
      <c r="E238" s="2"/>
      <c r="F238" s="2" t="s">
        <v>4722</v>
      </c>
      <c r="G238" s="2"/>
      <c r="H238" s="2"/>
      <c r="I238" s="2" t="s">
        <v>4723</v>
      </c>
      <c r="J238" s="2" t="s">
        <v>4724</v>
      </c>
      <c r="K238" s="2"/>
      <c r="L238" s="2"/>
      <c r="M238" s="2" t="s">
        <v>77</v>
      </c>
      <c r="N238" s="2" t="s">
        <v>78</v>
      </c>
      <c r="O238" s="2"/>
      <c r="P238" s="2"/>
      <c r="Q238" s="2"/>
      <c r="R238" s="2"/>
      <c r="S238" s="2"/>
      <c r="T238" s="2" t="s">
        <v>4725</v>
      </c>
      <c r="U238" s="2" t="s">
        <v>4726</v>
      </c>
      <c r="V238" s="2" t="s">
        <v>4727</v>
      </c>
      <c r="W238" s="2" t="s">
        <v>4728</v>
      </c>
      <c r="X238" s="2" t="s">
        <v>4729</v>
      </c>
      <c r="Y238" s="2" t="s">
        <v>4730</v>
      </c>
      <c r="Z238" s="2" t="s">
        <v>4731</v>
      </c>
      <c r="AA238" s="2" t="s">
        <v>4732</v>
      </c>
      <c r="AB238" s="2" t="s">
        <v>4733</v>
      </c>
      <c r="AC238" s="2" t="s">
        <v>4734</v>
      </c>
      <c r="AD238" s="2" t="s">
        <v>4735</v>
      </c>
      <c r="AE238" s="2" t="s">
        <v>4736</v>
      </c>
      <c r="AF238" s="2"/>
      <c r="AG238" s="2" t="n">
        <v>44</v>
      </c>
      <c r="AH238" s="2" t="n">
        <v>2</v>
      </c>
      <c r="AI238" s="2" t="n">
        <v>2</v>
      </c>
      <c r="AJ238" s="2" t="n">
        <v>1</v>
      </c>
      <c r="AK238" s="2" t="n">
        <v>3</v>
      </c>
      <c r="AL238" s="2" t="s">
        <v>620</v>
      </c>
      <c r="AM238" s="2" t="s">
        <v>621</v>
      </c>
      <c r="AN238" s="2" t="s">
        <v>622</v>
      </c>
      <c r="AO238" s="2" t="s">
        <v>4737</v>
      </c>
      <c r="AP238" s="2"/>
      <c r="AQ238" s="2"/>
      <c r="AR238" s="2" t="s">
        <v>4738</v>
      </c>
      <c r="AS238" s="2" t="s">
        <v>4739</v>
      </c>
      <c r="AT238" s="2" t="s">
        <v>4740</v>
      </c>
      <c r="AU238" s="2" t="n">
        <v>2024</v>
      </c>
      <c r="AV238" s="2" t="n">
        <v>13</v>
      </c>
      <c r="AW238" s="2"/>
      <c r="AX238" s="2"/>
      <c r="AY238" s="2"/>
      <c r="AZ238" s="2"/>
      <c r="BA238" s="2"/>
      <c r="BB238" s="2"/>
      <c r="BC238" s="2"/>
      <c r="BD238" s="2" t="n">
        <v>1351814</v>
      </c>
      <c r="BE238" s="2" t="s">
        <v>4741</v>
      </c>
      <c r="BF238" s="2" t="str">
        <f aca="false">HYPERLINK("http://dx.doi.org/10.3389/fcimb.2023.1351814","http://dx.doi.org/10.3389/fcimb.2023.1351814")</f>
        <v>http://dx.doi.org/10.3389/fcimb.2023.1351814</v>
      </c>
      <c r="BG238" s="2"/>
      <c r="BH238" s="2"/>
      <c r="BI238" s="2" t="n">
        <v>9</v>
      </c>
      <c r="BJ238" s="2" t="s">
        <v>2364</v>
      </c>
      <c r="BK238" s="2" t="s">
        <v>100</v>
      </c>
      <c r="BL238" s="2" t="s">
        <v>2364</v>
      </c>
      <c r="BM238" s="2" t="s">
        <v>4742</v>
      </c>
      <c r="BN238" s="2" t="n">
        <v>38304460</v>
      </c>
      <c r="BO238" s="2" t="s">
        <v>190</v>
      </c>
      <c r="BP238" s="2"/>
      <c r="BQ238" s="2"/>
      <c r="BR238" s="2" t="s">
        <v>104</v>
      </c>
      <c r="BS238" s="2" t="s">
        <v>4743</v>
      </c>
      <c r="BT238" s="2" t="str">
        <f aca="false">HYPERLINK("https%3A%2F%2Fwww.webofscience.com%2Fwos%2Fwoscc%2Ffull-record%2FWOS:001155159600001","View Full Record in Web of Science")</f>
        <v>View Full Record in Web of Science</v>
      </c>
    </row>
    <row r="239" customFormat="false" ht="12.75" hidden="false" customHeight="false" outlineLevel="0" collapsed="false">
      <c r="A239" s="2" t="s">
        <v>72</v>
      </c>
      <c r="B239" s="2" t="s">
        <v>4744</v>
      </c>
      <c r="C239" s="2"/>
      <c r="D239" s="2"/>
      <c r="E239" s="2"/>
      <c r="F239" s="2" t="s">
        <v>4745</v>
      </c>
      <c r="G239" s="2"/>
      <c r="H239" s="2"/>
      <c r="I239" s="2" t="s">
        <v>4746</v>
      </c>
      <c r="J239" s="2" t="s">
        <v>2021</v>
      </c>
      <c r="K239" s="2"/>
      <c r="L239" s="2"/>
      <c r="M239" s="2" t="s">
        <v>77</v>
      </c>
      <c r="N239" s="2" t="s">
        <v>78</v>
      </c>
      <c r="O239" s="2"/>
      <c r="P239" s="2"/>
      <c r="Q239" s="2"/>
      <c r="R239" s="2"/>
      <c r="S239" s="2"/>
      <c r="T239" s="2" t="s">
        <v>4747</v>
      </c>
      <c r="U239" s="2" t="s">
        <v>4748</v>
      </c>
      <c r="V239" s="2" t="s">
        <v>4749</v>
      </c>
      <c r="W239" s="2" t="s">
        <v>4750</v>
      </c>
      <c r="X239" s="2" t="s">
        <v>4751</v>
      </c>
      <c r="Y239" s="2" t="s">
        <v>4752</v>
      </c>
      <c r="Z239" s="2" t="s">
        <v>4753</v>
      </c>
      <c r="AA239" s="2" t="s">
        <v>4754</v>
      </c>
      <c r="AB239" s="2" t="s">
        <v>4755</v>
      </c>
      <c r="AC239" s="2"/>
      <c r="AD239" s="2"/>
      <c r="AE239" s="2"/>
      <c r="AF239" s="2"/>
      <c r="AG239" s="2" t="n">
        <v>40</v>
      </c>
      <c r="AH239" s="2" t="n">
        <v>11</v>
      </c>
      <c r="AI239" s="2" t="n">
        <v>11</v>
      </c>
      <c r="AJ239" s="2" t="n">
        <v>0</v>
      </c>
      <c r="AK239" s="2" t="n">
        <v>2</v>
      </c>
      <c r="AL239" s="2" t="s">
        <v>527</v>
      </c>
      <c r="AM239" s="2" t="s">
        <v>528</v>
      </c>
      <c r="AN239" s="2" t="s">
        <v>529</v>
      </c>
      <c r="AO239" s="2" t="s">
        <v>2033</v>
      </c>
      <c r="AP239" s="2" t="s">
        <v>2034</v>
      </c>
      <c r="AQ239" s="2"/>
      <c r="AR239" s="2" t="s">
        <v>2035</v>
      </c>
      <c r="AS239" s="2" t="s">
        <v>2036</v>
      </c>
      <c r="AT239" s="2" t="s">
        <v>4756</v>
      </c>
      <c r="AU239" s="2" t="n">
        <v>2018</v>
      </c>
      <c r="AV239" s="2" t="n">
        <v>67</v>
      </c>
      <c r="AW239" s="2" t="n">
        <v>10</v>
      </c>
      <c r="AX239" s="2"/>
      <c r="AY239" s="2"/>
      <c r="AZ239" s="2"/>
      <c r="BA239" s="2"/>
      <c r="BB239" s="2" t="n">
        <v>1603</v>
      </c>
      <c r="BC239" s="2" t="n">
        <v>1609</v>
      </c>
      <c r="BD239" s="2"/>
      <c r="BE239" s="2" t="s">
        <v>4757</v>
      </c>
      <c r="BF239" s="2" t="str">
        <f aca="false">HYPERLINK("http://dx.doi.org/10.1093/cid/ciy311","http://dx.doi.org/10.1093/cid/ciy311")</f>
        <v>http://dx.doi.org/10.1093/cid/ciy311</v>
      </c>
      <c r="BG239" s="2"/>
      <c r="BH239" s="2"/>
      <c r="BI239" s="2" t="n">
        <v>7</v>
      </c>
      <c r="BJ239" s="2" t="s">
        <v>536</v>
      </c>
      <c r="BK239" s="2" t="s">
        <v>100</v>
      </c>
      <c r="BL239" s="2" t="s">
        <v>536</v>
      </c>
      <c r="BM239" s="2" t="s">
        <v>4758</v>
      </c>
      <c r="BN239" s="2" t="n">
        <v>29659748</v>
      </c>
      <c r="BO239" s="2" t="s">
        <v>165</v>
      </c>
      <c r="BP239" s="2"/>
      <c r="BQ239" s="2"/>
      <c r="BR239" s="2" t="s">
        <v>104</v>
      </c>
      <c r="BS239" s="2" t="s">
        <v>4759</v>
      </c>
      <c r="BT239" s="2" t="str">
        <f aca="false">HYPERLINK("https%3A%2F%2Fwww.webofscience.com%2Fwos%2Fwoscc%2Ffull-record%2FWOS:000450051300017","View Full Record in Web of Science")</f>
        <v>View Full Record in Web of Science</v>
      </c>
    </row>
    <row r="240" customFormat="false" ht="12.75" hidden="false" customHeight="false" outlineLevel="0" collapsed="false">
      <c r="A240" s="2" t="s">
        <v>72</v>
      </c>
      <c r="B240" s="2" t="s">
        <v>4760</v>
      </c>
      <c r="C240" s="2"/>
      <c r="D240" s="2"/>
      <c r="E240" s="2"/>
      <c r="F240" s="2" t="s">
        <v>4761</v>
      </c>
      <c r="G240" s="2"/>
      <c r="H240" s="2"/>
      <c r="I240" s="2" t="s">
        <v>4762</v>
      </c>
      <c r="J240" s="2" t="s">
        <v>557</v>
      </c>
      <c r="K240" s="2"/>
      <c r="L240" s="2"/>
      <c r="M240" s="2" t="s">
        <v>77</v>
      </c>
      <c r="N240" s="2" t="s">
        <v>78</v>
      </c>
      <c r="O240" s="2"/>
      <c r="P240" s="2"/>
      <c r="Q240" s="2"/>
      <c r="R240" s="2"/>
      <c r="S240" s="2"/>
      <c r="T240" s="2" t="s">
        <v>4763</v>
      </c>
      <c r="U240" s="2" t="s">
        <v>4764</v>
      </c>
      <c r="V240" s="2" t="s">
        <v>4765</v>
      </c>
      <c r="W240" s="2" t="s">
        <v>4766</v>
      </c>
      <c r="X240" s="2" t="s">
        <v>4767</v>
      </c>
      <c r="Y240" s="2" t="s">
        <v>4768</v>
      </c>
      <c r="Z240" s="2" t="s">
        <v>4769</v>
      </c>
      <c r="AA240" s="2" t="s">
        <v>4770</v>
      </c>
      <c r="AB240" s="2" t="s">
        <v>4771</v>
      </c>
      <c r="AC240" s="2"/>
      <c r="AD240" s="2"/>
      <c r="AE240" s="2"/>
      <c r="AF240" s="2"/>
      <c r="AG240" s="2" t="n">
        <v>44</v>
      </c>
      <c r="AH240" s="2" t="n">
        <v>2</v>
      </c>
      <c r="AI240" s="2" t="n">
        <v>2</v>
      </c>
      <c r="AJ240" s="2" t="n">
        <v>0</v>
      </c>
      <c r="AK240" s="2" t="n">
        <v>1</v>
      </c>
      <c r="AL240" s="2" t="s">
        <v>302</v>
      </c>
      <c r="AM240" s="2" t="s">
        <v>303</v>
      </c>
      <c r="AN240" s="2" t="s">
        <v>304</v>
      </c>
      <c r="AO240" s="2"/>
      <c r="AP240" s="2" t="s">
        <v>570</v>
      </c>
      <c r="AQ240" s="2"/>
      <c r="AR240" s="2" t="s">
        <v>571</v>
      </c>
      <c r="AS240" s="2" t="s">
        <v>572</v>
      </c>
      <c r="AT240" s="2" t="s">
        <v>2795</v>
      </c>
      <c r="AU240" s="2" t="n">
        <v>2024</v>
      </c>
      <c r="AV240" s="2" t="n">
        <v>24</v>
      </c>
      <c r="AW240" s="2" t="n">
        <v>1</v>
      </c>
      <c r="AX240" s="2"/>
      <c r="AY240" s="2"/>
      <c r="AZ240" s="2"/>
      <c r="BA240" s="2"/>
      <c r="BB240" s="2"/>
      <c r="BC240" s="2"/>
      <c r="BD240" s="2" t="n">
        <v>38</v>
      </c>
      <c r="BE240" s="2" t="s">
        <v>4772</v>
      </c>
      <c r="BF240" s="2" t="str">
        <f aca="false">HYPERLINK("http://dx.doi.org/10.1186/s12879-023-08750-7","http://dx.doi.org/10.1186/s12879-023-08750-7")</f>
        <v>http://dx.doi.org/10.1186/s12879-023-08750-7</v>
      </c>
      <c r="BG240" s="2"/>
      <c r="BH240" s="2"/>
      <c r="BI240" s="2" t="n">
        <v>9</v>
      </c>
      <c r="BJ240" s="2" t="s">
        <v>575</v>
      </c>
      <c r="BK240" s="2" t="s">
        <v>100</v>
      </c>
      <c r="BL240" s="2" t="s">
        <v>575</v>
      </c>
      <c r="BM240" s="2" t="s">
        <v>4773</v>
      </c>
      <c r="BN240" s="2" t="n">
        <v>38166699</v>
      </c>
      <c r="BO240" s="2" t="s">
        <v>103</v>
      </c>
      <c r="BP240" s="2"/>
      <c r="BQ240" s="2"/>
      <c r="BR240" s="2" t="s">
        <v>104</v>
      </c>
      <c r="BS240" s="2" t="s">
        <v>4774</v>
      </c>
      <c r="BT240" s="2" t="str">
        <f aca="false">HYPERLINK("https%3A%2F%2Fwww.webofscience.com%2Fwos%2Fwoscc%2Ffull-record%2FWOS:001135345000020","View Full Record in Web of Science")</f>
        <v>View Full Record in Web of Science</v>
      </c>
    </row>
    <row r="241" customFormat="false" ht="12.75" hidden="false" customHeight="false" outlineLevel="0" collapsed="false">
      <c r="A241" s="2" t="s">
        <v>72</v>
      </c>
      <c r="B241" s="2" t="s">
        <v>4775</v>
      </c>
      <c r="C241" s="2"/>
      <c r="D241" s="2"/>
      <c r="E241" s="2"/>
      <c r="F241" s="2" t="s">
        <v>4776</v>
      </c>
      <c r="G241" s="2"/>
      <c r="H241" s="2"/>
      <c r="I241" s="2" t="s">
        <v>4777</v>
      </c>
      <c r="J241" s="2" t="s">
        <v>770</v>
      </c>
      <c r="K241" s="2"/>
      <c r="L241" s="2"/>
      <c r="M241" s="2" t="s">
        <v>77</v>
      </c>
      <c r="N241" s="2" t="s">
        <v>78</v>
      </c>
      <c r="O241" s="2"/>
      <c r="P241" s="2"/>
      <c r="Q241" s="2"/>
      <c r="R241" s="2"/>
      <c r="S241" s="2"/>
      <c r="T241" s="2" t="s">
        <v>4778</v>
      </c>
      <c r="U241" s="2" t="s">
        <v>4779</v>
      </c>
      <c r="V241" s="2" t="s">
        <v>4780</v>
      </c>
      <c r="W241" s="2" t="s">
        <v>4781</v>
      </c>
      <c r="X241" s="2" t="s">
        <v>4782</v>
      </c>
      <c r="Y241" s="2" t="s">
        <v>4783</v>
      </c>
      <c r="Z241" s="2" t="s">
        <v>4784</v>
      </c>
      <c r="AA241" s="2" t="s">
        <v>4785</v>
      </c>
      <c r="AB241" s="2" t="s">
        <v>4786</v>
      </c>
      <c r="AC241" s="2" t="s">
        <v>4787</v>
      </c>
      <c r="AD241" s="2" t="s">
        <v>4788</v>
      </c>
      <c r="AE241" s="2" t="s">
        <v>4789</v>
      </c>
      <c r="AF241" s="2"/>
      <c r="AG241" s="2" t="n">
        <v>44</v>
      </c>
      <c r="AH241" s="2" t="n">
        <v>56</v>
      </c>
      <c r="AI241" s="2" t="n">
        <v>64</v>
      </c>
      <c r="AJ241" s="2" t="n">
        <v>2</v>
      </c>
      <c r="AK241" s="2" t="n">
        <v>19</v>
      </c>
      <c r="AL241" s="2" t="s">
        <v>782</v>
      </c>
      <c r="AM241" s="2" t="s">
        <v>783</v>
      </c>
      <c r="AN241" s="2" t="s">
        <v>784</v>
      </c>
      <c r="AO241" s="2" t="s">
        <v>785</v>
      </c>
      <c r="AP241" s="2" t="s">
        <v>786</v>
      </c>
      <c r="AQ241" s="2"/>
      <c r="AR241" s="2" t="s">
        <v>787</v>
      </c>
      <c r="AS241" s="2" t="s">
        <v>788</v>
      </c>
      <c r="AT241" s="2" t="s">
        <v>185</v>
      </c>
      <c r="AU241" s="2" t="n">
        <v>2014</v>
      </c>
      <c r="AV241" s="2" t="n">
        <v>25</v>
      </c>
      <c r="AW241" s="2"/>
      <c r="AX241" s="2"/>
      <c r="AY241" s="2"/>
      <c r="AZ241" s="2"/>
      <c r="BA241" s="2"/>
      <c r="BB241" s="2" t="n">
        <v>159</v>
      </c>
      <c r="BC241" s="2" t="n">
        <v>164</v>
      </c>
      <c r="BD241" s="2"/>
      <c r="BE241" s="2" t="s">
        <v>4790</v>
      </c>
      <c r="BF241" s="2" t="str">
        <f aca="false">HYPERLINK("http://dx.doi.org/10.1016/j.ijid.2014.02.019","http://dx.doi.org/10.1016/j.ijid.2014.02.019")</f>
        <v>http://dx.doi.org/10.1016/j.ijid.2014.02.019</v>
      </c>
      <c r="BG241" s="2"/>
      <c r="BH241" s="2"/>
      <c r="BI241" s="2" t="n">
        <v>6</v>
      </c>
      <c r="BJ241" s="2" t="s">
        <v>575</v>
      </c>
      <c r="BK241" s="2" t="s">
        <v>100</v>
      </c>
      <c r="BL241" s="2" t="s">
        <v>575</v>
      </c>
      <c r="BM241" s="2" t="s">
        <v>4791</v>
      </c>
      <c r="BN241" s="2" t="n">
        <v>24927663</v>
      </c>
      <c r="BO241" s="2" t="s">
        <v>190</v>
      </c>
      <c r="BP241" s="2"/>
      <c r="BQ241" s="2"/>
      <c r="BR241" s="2" t="s">
        <v>104</v>
      </c>
      <c r="BS241" s="2" t="s">
        <v>4792</v>
      </c>
      <c r="BT241" s="2" t="str">
        <f aca="false">HYPERLINK("https%3A%2F%2Fwww.webofscience.com%2Fwos%2Fwoscc%2Ffull-record%2FWOS:000343815700032","View Full Record in Web of Science")</f>
        <v>View Full Record in Web of Science</v>
      </c>
    </row>
    <row r="242" customFormat="false" ht="12.75" hidden="false" customHeight="false" outlineLevel="0" collapsed="false">
      <c r="A242" s="2" t="s">
        <v>72</v>
      </c>
      <c r="B242" s="2" t="s">
        <v>4793</v>
      </c>
      <c r="C242" s="2"/>
      <c r="D242" s="2"/>
      <c r="E242" s="2"/>
      <c r="F242" s="2" t="s">
        <v>4794</v>
      </c>
      <c r="G242" s="2"/>
      <c r="H242" s="2"/>
      <c r="I242" s="2" t="s">
        <v>4795</v>
      </c>
      <c r="J242" s="2" t="s">
        <v>370</v>
      </c>
      <c r="K242" s="2"/>
      <c r="L242" s="2"/>
      <c r="M242" s="2" t="s">
        <v>77</v>
      </c>
      <c r="N242" s="2" t="s">
        <v>78</v>
      </c>
      <c r="O242" s="2"/>
      <c r="P242" s="2"/>
      <c r="Q242" s="2"/>
      <c r="R242" s="2"/>
      <c r="S242" s="2"/>
      <c r="T242" s="2" t="s">
        <v>4796</v>
      </c>
      <c r="U242" s="2" t="s">
        <v>4797</v>
      </c>
      <c r="V242" s="2" t="s">
        <v>4798</v>
      </c>
      <c r="W242" s="2" t="s">
        <v>4799</v>
      </c>
      <c r="X242" s="2" t="s">
        <v>4800</v>
      </c>
      <c r="Y242" s="2" t="s">
        <v>4801</v>
      </c>
      <c r="Z242" s="2" t="s">
        <v>4802</v>
      </c>
      <c r="AA242" s="2" t="s">
        <v>4803</v>
      </c>
      <c r="AB242" s="2" t="s">
        <v>4804</v>
      </c>
      <c r="AC242" s="2" t="s">
        <v>4805</v>
      </c>
      <c r="AD242" s="2" t="s">
        <v>4806</v>
      </c>
      <c r="AE242" s="2" t="s">
        <v>4807</v>
      </c>
      <c r="AF242" s="2"/>
      <c r="AG242" s="2" t="n">
        <v>41</v>
      </c>
      <c r="AH242" s="2" t="n">
        <v>34</v>
      </c>
      <c r="AI242" s="2" t="n">
        <v>36</v>
      </c>
      <c r="AJ242" s="2" t="n">
        <v>0</v>
      </c>
      <c r="AK242" s="2" t="n">
        <v>4</v>
      </c>
      <c r="AL242" s="2" t="s">
        <v>549</v>
      </c>
      <c r="AM242" s="2" t="s">
        <v>384</v>
      </c>
      <c r="AN242" s="2" t="s">
        <v>550</v>
      </c>
      <c r="AO242" s="2" t="s">
        <v>386</v>
      </c>
      <c r="AP242" s="2" t="s">
        <v>387</v>
      </c>
      <c r="AQ242" s="2"/>
      <c r="AR242" s="2" t="s">
        <v>388</v>
      </c>
      <c r="AS242" s="2" t="s">
        <v>389</v>
      </c>
      <c r="AT242" s="2" t="s">
        <v>129</v>
      </c>
      <c r="AU242" s="2" t="n">
        <v>2017</v>
      </c>
      <c r="AV242" s="2" t="n">
        <v>94</v>
      </c>
      <c r="AW242" s="2"/>
      <c r="AX242" s="2"/>
      <c r="AY242" s="2"/>
      <c r="AZ242" s="2"/>
      <c r="BA242" s="2"/>
      <c r="BB242" s="2" t="n">
        <v>72</v>
      </c>
      <c r="BC242" s="2" t="n">
        <v>78</v>
      </c>
      <c r="BD242" s="2"/>
      <c r="BE242" s="2" t="s">
        <v>4808</v>
      </c>
      <c r="BF242" s="2" t="str">
        <f aca="false">HYPERLINK("http://dx.doi.org/10.1016/j.jcv.2017.07.011","http://dx.doi.org/10.1016/j.jcv.2017.07.011")</f>
        <v>http://dx.doi.org/10.1016/j.jcv.2017.07.011</v>
      </c>
      <c r="BG242" s="2"/>
      <c r="BH242" s="2"/>
      <c r="BI242" s="2" t="n">
        <v>7</v>
      </c>
      <c r="BJ242" s="2" t="s">
        <v>163</v>
      </c>
      <c r="BK242" s="2" t="s">
        <v>100</v>
      </c>
      <c r="BL242" s="2" t="s">
        <v>163</v>
      </c>
      <c r="BM242" s="2" t="s">
        <v>3018</v>
      </c>
      <c r="BN242" s="2" t="n">
        <v>28772168</v>
      </c>
      <c r="BO242" s="2"/>
      <c r="BP242" s="2"/>
      <c r="BQ242" s="2"/>
      <c r="BR242" s="2" t="s">
        <v>104</v>
      </c>
      <c r="BS242" s="2" t="s">
        <v>4809</v>
      </c>
      <c r="BT242" s="2" t="str">
        <f aca="false">HYPERLINK("https%3A%2F%2Fwww.webofscience.com%2Fwos%2Fwoscc%2Ffull-record%2FWOS:000410608400013","View Full Record in Web of Science")</f>
        <v>View Full Record in Web of Science</v>
      </c>
    </row>
    <row r="243" customFormat="false" ht="12.75" hidden="false" customHeight="false" outlineLevel="0" collapsed="false">
      <c r="A243" s="2" t="s">
        <v>72</v>
      </c>
      <c r="B243" s="2" t="s">
        <v>4810</v>
      </c>
      <c r="C243" s="2"/>
      <c r="D243" s="2"/>
      <c r="E243" s="2"/>
      <c r="F243" s="2" t="s">
        <v>4811</v>
      </c>
      <c r="G243" s="2"/>
      <c r="H243" s="2"/>
      <c r="I243" s="2" t="s">
        <v>4812</v>
      </c>
      <c r="J243" s="2" t="s">
        <v>557</v>
      </c>
      <c r="K243" s="2"/>
      <c r="L243" s="2"/>
      <c r="M243" s="2" t="s">
        <v>77</v>
      </c>
      <c r="N243" s="2" t="s">
        <v>78</v>
      </c>
      <c r="O243" s="2"/>
      <c r="P243" s="2"/>
      <c r="Q243" s="2"/>
      <c r="R243" s="2"/>
      <c r="S243" s="2"/>
      <c r="T243" s="2" t="s">
        <v>4813</v>
      </c>
      <c r="U243" s="2" t="s">
        <v>4814</v>
      </c>
      <c r="V243" s="2" t="s">
        <v>4815</v>
      </c>
      <c r="W243" s="2" t="s">
        <v>4816</v>
      </c>
      <c r="X243" s="2" t="s">
        <v>4817</v>
      </c>
      <c r="Y243" s="2" t="s">
        <v>4818</v>
      </c>
      <c r="Z243" s="2" t="s">
        <v>4819</v>
      </c>
      <c r="AA243" s="2" t="s">
        <v>4820</v>
      </c>
      <c r="AB243" s="2" t="s">
        <v>4821</v>
      </c>
      <c r="AC243" s="2" t="s">
        <v>4822</v>
      </c>
      <c r="AD243" s="2" t="s">
        <v>4822</v>
      </c>
      <c r="AE243" s="2" t="s">
        <v>4823</v>
      </c>
      <c r="AF243" s="2"/>
      <c r="AG243" s="2" t="n">
        <v>34</v>
      </c>
      <c r="AH243" s="2" t="n">
        <v>50</v>
      </c>
      <c r="AI243" s="2" t="n">
        <v>54</v>
      </c>
      <c r="AJ243" s="2" t="n">
        <v>0</v>
      </c>
      <c r="AK243" s="2" t="n">
        <v>0</v>
      </c>
      <c r="AL243" s="2" t="s">
        <v>302</v>
      </c>
      <c r="AM243" s="2" t="s">
        <v>303</v>
      </c>
      <c r="AN243" s="2" t="s">
        <v>304</v>
      </c>
      <c r="AO243" s="2" t="s">
        <v>570</v>
      </c>
      <c r="AP243" s="2"/>
      <c r="AQ243" s="2"/>
      <c r="AR243" s="2" t="s">
        <v>571</v>
      </c>
      <c r="AS243" s="2" t="s">
        <v>572</v>
      </c>
      <c r="AT243" s="2" t="s">
        <v>4824</v>
      </c>
      <c r="AU243" s="2" t="n">
        <v>2013</v>
      </c>
      <c r="AV243" s="2" t="n">
        <v>13</v>
      </c>
      <c r="AW243" s="2"/>
      <c r="AX243" s="2"/>
      <c r="AY243" s="2"/>
      <c r="AZ243" s="2"/>
      <c r="BA243" s="2"/>
      <c r="BB243" s="2"/>
      <c r="BC243" s="2"/>
      <c r="BD243" s="2" t="n">
        <v>41</v>
      </c>
      <c r="BE243" s="2" t="s">
        <v>4825</v>
      </c>
      <c r="BF243" s="2" t="str">
        <f aca="false">HYPERLINK("http://dx.doi.org/10.1186/1471-2334-13-41","http://dx.doi.org/10.1186/1471-2334-13-41")</f>
        <v>http://dx.doi.org/10.1186/1471-2334-13-41</v>
      </c>
      <c r="BG243" s="2"/>
      <c r="BH243" s="2"/>
      <c r="BI243" s="2" t="n">
        <v>8</v>
      </c>
      <c r="BJ243" s="2" t="s">
        <v>575</v>
      </c>
      <c r="BK243" s="2" t="s">
        <v>100</v>
      </c>
      <c r="BL243" s="2" t="s">
        <v>575</v>
      </c>
      <c r="BM243" s="2" t="s">
        <v>4826</v>
      </c>
      <c r="BN243" s="2" t="n">
        <v>23351117</v>
      </c>
      <c r="BO243" s="2" t="s">
        <v>190</v>
      </c>
      <c r="BP243" s="2"/>
      <c r="BQ243" s="2"/>
      <c r="BR243" s="2" t="s">
        <v>104</v>
      </c>
      <c r="BS243" s="2" t="s">
        <v>4827</v>
      </c>
      <c r="BT243" s="2" t="str">
        <f aca="false">HYPERLINK("https%3A%2F%2Fwww.webofscience.com%2Fwos%2Fwoscc%2Ffull-record%2FWOS:000315900900001","View Full Record in Web of Science")</f>
        <v>View Full Record in Web of Science</v>
      </c>
    </row>
    <row r="244" customFormat="false" ht="12.75" hidden="false" customHeight="false" outlineLevel="0" collapsed="false">
      <c r="A244" s="2" t="s">
        <v>72</v>
      </c>
      <c r="B244" s="2" t="s">
        <v>4828</v>
      </c>
      <c r="C244" s="2"/>
      <c r="D244" s="2"/>
      <c r="E244" s="2"/>
      <c r="F244" s="2" t="s">
        <v>4829</v>
      </c>
      <c r="G244" s="2"/>
      <c r="H244" s="2"/>
      <c r="I244" s="2" t="s">
        <v>4830</v>
      </c>
      <c r="J244" s="2" t="s">
        <v>4831</v>
      </c>
      <c r="K244" s="2"/>
      <c r="L244" s="2"/>
      <c r="M244" s="2" t="s">
        <v>77</v>
      </c>
      <c r="N244" s="2" t="s">
        <v>78</v>
      </c>
      <c r="O244" s="2"/>
      <c r="P244" s="2"/>
      <c r="Q244" s="2"/>
      <c r="R244" s="2"/>
      <c r="S244" s="2"/>
      <c r="T244" s="2" t="s">
        <v>4832</v>
      </c>
      <c r="U244" s="2" t="s">
        <v>4833</v>
      </c>
      <c r="V244" s="2" t="s">
        <v>4834</v>
      </c>
      <c r="W244" s="2" t="s">
        <v>4835</v>
      </c>
      <c r="X244" s="2" t="s">
        <v>4836</v>
      </c>
      <c r="Y244" s="2" t="s">
        <v>4837</v>
      </c>
      <c r="Z244" s="2" t="s">
        <v>4838</v>
      </c>
      <c r="AA244" s="2" t="s">
        <v>4839</v>
      </c>
      <c r="AB244" s="2"/>
      <c r="AC244" s="2" t="s">
        <v>4840</v>
      </c>
      <c r="AD244" s="2" t="s">
        <v>4841</v>
      </c>
      <c r="AE244" s="2" t="s">
        <v>4842</v>
      </c>
      <c r="AF244" s="2"/>
      <c r="AG244" s="2" t="n">
        <v>33</v>
      </c>
      <c r="AH244" s="2" t="n">
        <v>2</v>
      </c>
      <c r="AI244" s="2" t="n">
        <v>2</v>
      </c>
      <c r="AJ244" s="2" t="n">
        <v>1</v>
      </c>
      <c r="AK244" s="2" t="n">
        <v>10</v>
      </c>
      <c r="AL244" s="2" t="s">
        <v>4843</v>
      </c>
      <c r="AM244" s="2" t="s">
        <v>4844</v>
      </c>
      <c r="AN244" s="2" t="s">
        <v>4845</v>
      </c>
      <c r="AO244" s="2" t="s">
        <v>4846</v>
      </c>
      <c r="AP244" s="2" t="s">
        <v>4847</v>
      </c>
      <c r="AQ244" s="2"/>
      <c r="AR244" s="2" t="s">
        <v>4848</v>
      </c>
      <c r="AS244" s="2" t="s">
        <v>4849</v>
      </c>
      <c r="AT244" s="2" t="s">
        <v>1041</v>
      </c>
      <c r="AU244" s="2" t="n">
        <v>2020</v>
      </c>
      <c r="AV244" s="2" t="n">
        <v>72</v>
      </c>
      <c r="AW244" s="2" t="n">
        <v>1</v>
      </c>
      <c r="AX244" s="2"/>
      <c r="AY244" s="2"/>
      <c r="AZ244" s="2"/>
      <c r="BA244" s="2"/>
      <c r="BB244" s="2" t="n">
        <v>45</v>
      </c>
      <c r="BC244" s="2" t="n">
        <v>54</v>
      </c>
      <c r="BD244" s="2"/>
      <c r="BE244" s="2" t="s">
        <v>4850</v>
      </c>
      <c r="BF244" s="2" t="str">
        <f aca="false">HYPERLINK("http://dx.doi.org/10.23736/S0026-4946.16.04322-X","http://dx.doi.org/10.23736/S0026-4946.16.04322-X")</f>
        <v>http://dx.doi.org/10.23736/S0026-4946.16.04322-X</v>
      </c>
      <c r="BG244" s="2"/>
      <c r="BH244" s="2"/>
      <c r="BI244" s="2" t="n">
        <v>10</v>
      </c>
      <c r="BJ244" s="2" t="s">
        <v>601</v>
      </c>
      <c r="BK244" s="2" t="s">
        <v>100</v>
      </c>
      <c r="BL244" s="2" t="s">
        <v>601</v>
      </c>
      <c r="BM244" s="2" t="s">
        <v>4851</v>
      </c>
      <c r="BN244" s="2" t="n">
        <v>27854115</v>
      </c>
      <c r="BO244" s="2"/>
      <c r="BP244" s="2"/>
      <c r="BQ244" s="2"/>
      <c r="BR244" s="2" t="s">
        <v>104</v>
      </c>
      <c r="BS244" s="2" t="s">
        <v>4852</v>
      </c>
      <c r="BT244" s="2" t="str">
        <f aca="false">HYPERLINK("https%3A%2F%2Fwww.webofscience.com%2Fwos%2Fwoscc%2Ffull-record%2FWOS:000546725600006","View Full Record in Web of Science")</f>
        <v>View Full Record in Web of Science</v>
      </c>
    </row>
    <row r="245" customFormat="false" ht="12.75" hidden="false" customHeight="false" outlineLevel="0" collapsed="false">
      <c r="A245" s="2" t="s">
        <v>72</v>
      </c>
      <c r="B245" s="2" t="s">
        <v>4853</v>
      </c>
      <c r="C245" s="2"/>
      <c r="D245" s="2"/>
      <c r="E245" s="2"/>
      <c r="F245" s="2" t="s">
        <v>4854</v>
      </c>
      <c r="G245" s="2"/>
      <c r="H245" s="2"/>
      <c r="I245" s="2" t="s">
        <v>4855</v>
      </c>
      <c r="J245" s="2" t="s">
        <v>4856</v>
      </c>
      <c r="K245" s="2"/>
      <c r="L245" s="2"/>
      <c r="M245" s="2" t="s">
        <v>77</v>
      </c>
      <c r="N245" s="2" t="s">
        <v>78</v>
      </c>
      <c r="O245" s="2"/>
      <c r="P245" s="2"/>
      <c r="Q245" s="2"/>
      <c r="R245" s="2"/>
      <c r="S245" s="2"/>
      <c r="T245" s="2" t="s">
        <v>4857</v>
      </c>
      <c r="U245" s="2" t="s">
        <v>4858</v>
      </c>
      <c r="V245" s="2" t="s">
        <v>4859</v>
      </c>
      <c r="W245" s="2" t="s">
        <v>4860</v>
      </c>
      <c r="X245" s="2" t="s">
        <v>4861</v>
      </c>
      <c r="Y245" s="2" t="s">
        <v>4862</v>
      </c>
      <c r="Z245" s="2" t="s">
        <v>4863</v>
      </c>
      <c r="AA245" s="2"/>
      <c r="AB245" s="2"/>
      <c r="AC245" s="2" t="s">
        <v>4864</v>
      </c>
      <c r="AD245" s="2" t="s">
        <v>4865</v>
      </c>
      <c r="AE245" s="2" t="s">
        <v>4866</v>
      </c>
      <c r="AF245" s="2"/>
      <c r="AG245" s="2" t="n">
        <v>30</v>
      </c>
      <c r="AH245" s="2" t="n">
        <v>14</v>
      </c>
      <c r="AI245" s="2" t="n">
        <v>15</v>
      </c>
      <c r="AJ245" s="2" t="n">
        <v>0</v>
      </c>
      <c r="AK245" s="2" t="n">
        <v>1</v>
      </c>
      <c r="AL245" s="2" t="s">
        <v>1896</v>
      </c>
      <c r="AM245" s="2" t="s">
        <v>92</v>
      </c>
      <c r="AN245" s="2" t="s">
        <v>1897</v>
      </c>
      <c r="AO245" s="2" t="s">
        <v>4867</v>
      </c>
      <c r="AP245" s="2" t="s">
        <v>4868</v>
      </c>
      <c r="AQ245" s="2"/>
      <c r="AR245" s="2" t="s">
        <v>4869</v>
      </c>
      <c r="AS245" s="2" t="s">
        <v>4870</v>
      </c>
      <c r="AT245" s="2"/>
      <c r="AU245" s="2" t="n">
        <v>2015</v>
      </c>
      <c r="AV245" s="2" t="n">
        <v>24</v>
      </c>
      <c r="AW245" s="2" t="n">
        <v>4</v>
      </c>
      <c r="AX245" s="2"/>
      <c r="AY245" s="2"/>
      <c r="AZ245" s="2"/>
      <c r="BA245" s="2"/>
      <c r="BB245" s="2" t="n">
        <v>382</v>
      </c>
      <c r="BC245" s="2" t="n">
        <v>387</v>
      </c>
      <c r="BD245" s="2"/>
      <c r="BE245" s="2" t="s">
        <v>4871</v>
      </c>
      <c r="BF245" s="2" t="str">
        <f aca="false">HYPERLINK("http://dx.doi.org/10.1159/000381422","http://dx.doi.org/10.1159/000381422")</f>
        <v>http://dx.doi.org/10.1159/000381422</v>
      </c>
      <c r="BG245" s="2"/>
      <c r="BH245" s="2"/>
      <c r="BI245" s="2" t="n">
        <v>6</v>
      </c>
      <c r="BJ245" s="2" t="s">
        <v>363</v>
      </c>
      <c r="BK245" s="2" t="s">
        <v>100</v>
      </c>
      <c r="BL245" s="2" t="s">
        <v>364</v>
      </c>
      <c r="BM245" s="2" t="s">
        <v>4872</v>
      </c>
      <c r="BN245" s="2" t="n">
        <v>25925246</v>
      </c>
      <c r="BO245" s="2" t="s">
        <v>103</v>
      </c>
      <c r="BP245" s="2"/>
      <c r="BQ245" s="2"/>
      <c r="BR245" s="2" t="s">
        <v>104</v>
      </c>
      <c r="BS245" s="2" t="s">
        <v>4873</v>
      </c>
      <c r="BT245" s="2" t="str">
        <f aca="false">HYPERLINK("https%3A%2F%2Fwww.webofscience.com%2Fwos%2Fwoscc%2Ffull-record%2FWOS:000356965800013","View Full Record in Web of Science")</f>
        <v>View Full Record in Web of Science</v>
      </c>
    </row>
    <row r="246" customFormat="false" ht="12.75" hidden="false" customHeight="false" outlineLevel="0" collapsed="false">
      <c r="A246" s="2" t="s">
        <v>72</v>
      </c>
      <c r="B246" s="2" t="s">
        <v>4874</v>
      </c>
      <c r="C246" s="2"/>
      <c r="D246" s="2"/>
      <c r="E246" s="2"/>
      <c r="F246" s="2" t="s">
        <v>4875</v>
      </c>
      <c r="G246" s="2"/>
      <c r="H246" s="2"/>
      <c r="I246" s="2" t="s">
        <v>4876</v>
      </c>
      <c r="J246" s="2" t="s">
        <v>2222</v>
      </c>
      <c r="K246" s="2"/>
      <c r="L246" s="2"/>
      <c r="M246" s="2" t="s">
        <v>77</v>
      </c>
      <c r="N246" s="2" t="s">
        <v>78</v>
      </c>
      <c r="O246" s="2"/>
      <c r="P246" s="2"/>
      <c r="Q246" s="2"/>
      <c r="R246" s="2"/>
      <c r="S246" s="2"/>
      <c r="T246" s="2" t="s">
        <v>4877</v>
      </c>
      <c r="U246" s="2" t="s">
        <v>4878</v>
      </c>
      <c r="V246" s="2" t="s">
        <v>4879</v>
      </c>
      <c r="W246" s="2" t="s">
        <v>4880</v>
      </c>
      <c r="X246" s="2" t="s">
        <v>4881</v>
      </c>
      <c r="Y246" s="2" t="s">
        <v>4882</v>
      </c>
      <c r="Z246" s="2" t="s">
        <v>4883</v>
      </c>
      <c r="AA246" s="2" t="s">
        <v>4567</v>
      </c>
      <c r="AB246" s="2" t="s">
        <v>4884</v>
      </c>
      <c r="AC246" s="2" t="s">
        <v>4885</v>
      </c>
      <c r="AD246" s="2" t="s">
        <v>4886</v>
      </c>
      <c r="AE246" s="2" t="s">
        <v>4887</v>
      </c>
      <c r="AF246" s="2"/>
      <c r="AG246" s="2" t="n">
        <v>27</v>
      </c>
      <c r="AH246" s="2" t="n">
        <v>75</v>
      </c>
      <c r="AI246" s="2" t="n">
        <v>75</v>
      </c>
      <c r="AJ246" s="2" t="n">
        <v>1</v>
      </c>
      <c r="AK246" s="2" t="n">
        <v>20</v>
      </c>
      <c r="AL246" s="2" t="s">
        <v>755</v>
      </c>
      <c r="AM246" s="2" t="s">
        <v>273</v>
      </c>
      <c r="AN246" s="2" t="s">
        <v>756</v>
      </c>
      <c r="AO246" s="2" t="s">
        <v>2234</v>
      </c>
      <c r="AP246" s="2" t="s">
        <v>2235</v>
      </c>
      <c r="AQ246" s="2"/>
      <c r="AR246" s="2" t="s">
        <v>2236</v>
      </c>
      <c r="AS246" s="2" t="s">
        <v>2237</v>
      </c>
      <c r="AT246" s="2" t="s">
        <v>1041</v>
      </c>
      <c r="AU246" s="2" t="n">
        <v>2018</v>
      </c>
      <c r="AV246" s="2" t="n">
        <v>56</v>
      </c>
      <c r="AW246" s="2" t="n">
        <v>2</v>
      </c>
      <c r="AX246" s="2"/>
      <c r="AY246" s="2"/>
      <c r="AZ246" s="2"/>
      <c r="BA246" s="2"/>
      <c r="BB246" s="2"/>
      <c r="BC246" s="2"/>
      <c r="BD246" s="2" t="s">
        <v>4888</v>
      </c>
      <c r="BE246" s="2" t="s">
        <v>4889</v>
      </c>
      <c r="BF246" s="2" t="str">
        <f aca="false">HYPERLINK("http://dx.doi.org/10.1128/JCM.01658-17","http://dx.doi.org/10.1128/JCM.01658-17")</f>
        <v>http://dx.doi.org/10.1128/JCM.01658-17</v>
      </c>
      <c r="BG246" s="2"/>
      <c r="BH246" s="2"/>
      <c r="BI246" s="2" t="n">
        <v>11</v>
      </c>
      <c r="BJ246" s="2" t="s">
        <v>211</v>
      </c>
      <c r="BK246" s="2" t="s">
        <v>100</v>
      </c>
      <c r="BL246" s="2" t="s">
        <v>211</v>
      </c>
      <c r="BM246" s="2" t="s">
        <v>4890</v>
      </c>
      <c r="BN246" s="2" t="n">
        <v>29212701</v>
      </c>
      <c r="BO246" s="2" t="s">
        <v>136</v>
      </c>
      <c r="BP246" s="2"/>
      <c r="BQ246" s="2"/>
      <c r="BR246" s="2" t="s">
        <v>104</v>
      </c>
      <c r="BS246" s="2" t="s">
        <v>4891</v>
      </c>
      <c r="BT246" s="2" t="str">
        <f aca="false">HYPERLINK("https%3A%2F%2Fwww.webofscience.com%2Fwos%2Fwoscc%2Ffull-record%2FWOS:000423163200028","View Full Record in Web of Science")</f>
        <v>View Full Record in Web of Science</v>
      </c>
    </row>
    <row r="247" customFormat="false" ht="12.75" hidden="false" customHeight="false" outlineLevel="0" collapsed="false">
      <c r="A247" s="2" t="s">
        <v>72</v>
      </c>
      <c r="B247" s="2" t="s">
        <v>4892</v>
      </c>
      <c r="C247" s="2"/>
      <c r="D247" s="2"/>
      <c r="E247" s="2"/>
      <c r="F247" s="2" t="s">
        <v>4893</v>
      </c>
      <c r="G247" s="2"/>
      <c r="H247" s="2"/>
      <c r="I247" s="2" t="s">
        <v>4894</v>
      </c>
      <c r="J247" s="2" t="s">
        <v>4895</v>
      </c>
      <c r="K247" s="2"/>
      <c r="L247" s="2"/>
      <c r="M247" s="2" t="s">
        <v>77</v>
      </c>
      <c r="N247" s="2" t="s">
        <v>78</v>
      </c>
      <c r="O247" s="2"/>
      <c r="P247" s="2"/>
      <c r="Q247" s="2"/>
      <c r="R247" s="2"/>
      <c r="S247" s="2"/>
      <c r="T247" s="2" t="s">
        <v>4896</v>
      </c>
      <c r="U247" s="2" t="s">
        <v>4897</v>
      </c>
      <c r="V247" s="2" t="s">
        <v>4898</v>
      </c>
      <c r="W247" s="2" t="s">
        <v>4899</v>
      </c>
      <c r="X247" s="2" t="s">
        <v>4900</v>
      </c>
      <c r="Y247" s="2" t="s">
        <v>4901</v>
      </c>
      <c r="Z247" s="2" t="s">
        <v>4902</v>
      </c>
      <c r="AA247" s="2" t="s">
        <v>4903</v>
      </c>
      <c r="AB247" s="2" t="s">
        <v>4904</v>
      </c>
      <c r="AC247" s="2"/>
      <c r="AD247" s="2"/>
      <c r="AE247" s="2"/>
      <c r="AF247" s="2"/>
      <c r="AG247" s="2" t="n">
        <v>24</v>
      </c>
      <c r="AH247" s="2" t="n">
        <v>3</v>
      </c>
      <c r="AI247" s="2" t="n">
        <v>5</v>
      </c>
      <c r="AJ247" s="2" t="n">
        <v>0</v>
      </c>
      <c r="AK247" s="2" t="n">
        <v>6</v>
      </c>
      <c r="AL247" s="2" t="s">
        <v>592</v>
      </c>
      <c r="AM247" s="2" t="s">
        <v>593</v>
      </c>
      <c r="AN247" s="2" t="s">
        <v>594</v>
      </c>
      <c r="AO247" s="2" t="s">
        <v>4905</v>
      </c>
      <c r="AP247" s="2" t="s">
        <v>4906</v>
      </c>
      <c r="AQ247" s="2"/>
      <c r="AR247" s="2" t="s">
        <v>4907</v>
      </c>
      <c r="AS247" s="2" t="s">
        <v>4908</v>
      </c>
      <c r="AT247" s="2" t="s">
        <v>185</v>
      </c>
      <c r="AU247" s="2" t="n">
        <v>2019</v>
      </c>
      <c r="AV247" s="2" t="n">
        <v>38</v>
      </c>
      <c r="AW247" s="2" t="n">
        <v>8</v>
      </c>
      <c r="AX247" s="2"/>
      <c r="AY247" s="2"/>
      <c r="AZ247" s="2"/>
      <c r="BA247" s="2"/>
      <c r="BB247" s="2" t="n">
        <v>1507</v>
      </c>
      <c r="BC247" s="2" t="n">
        <v>1514</v>
      </c>
      <c r="BD247" s="2"/>
      <c r="BE247" s="2" t="s">
        <v>4909</v>
      </c>
      <c r="BF247" s="2" t="str">
        <f aca="false">HYPERLINK("http://dx.doi.org/10.1007/s10096-019-03579-y","http://dx.doi.org/10.1007/s10096-019-03579-y")</f>
        <v>http://dx.doi.org/10.1007/s10096-019-03579-y</v>
      </c>
      <c r="BG247" s="2"/>
      <c r="BH247" s="2"/>
      <c r="BI247" s="2" t="n">
        <v>8</v>
      </c>
      <c r="BJ247" s="2" t="s">
        <v>1467</v>
      </c>
      <c r="BK247" s="2" t="s">
        <v>100</v>
      </c>
      <c r="BL247" s="2" t="s">
        <v>1467</v>
      </c>
      <c r="BM247" s="2" t="s">
        <v>4910</v>
      </c>
      <c r="BN247" s="2" t="n">
        <v>31111372</v>
      </c>
      <c r="BO247" s="2" t="s">
        <v>1267</v>
      </c>
      <c r="BP247" s="2"/>
      <c r="BQ247" s="2"/>
      <c r="BR247" s="2" t="s">
        <v>104</v>
      </c>
      <c r="BS247" s="2" t="s">
        <v>4911</v>
      </c>
      <c r="BT247" s="2" t="str">
        <f aca="false">HYPERLINK("https%3A%2F%2Fwww.webofscience.com%2Fwos%2Fwoscc%2Ffull-record%2FWOS:000476492200015","View Full Record in Web of Science")</f>
        <v>View Full Record in Web of Science</v>
      </c>
    </row>
    <row r="248" customFormat="false" ht="12.75" hidden="false" customHeight="false" outlineLevel="0" collapsed="false">
      <c r="A248" s="2" t="s">
        <v>72</v>
      </c>
      <c r="B248" s="2" t="s">
        <v>4912</v>
      </c>
      <c r="C248" s="2"/>
      <c r="D248" s="2"/>
      <c r="E248" s="2"/>
      <c r="F248" s="2" t="s">
        <v>4913</v>
      </c>
      <c r="G248" s="2"/>
      <c r="H248" s="2"/>
      <c r="I248" s="2" t="s">
        <v>4914</v>
      </c>
      <c r="J248" s="2" t="s">
        <v>1134</v>
      </c>
      <c r="K248" s="2"/>
      <c r="L248" s="2"/>
      <c r="M248" s="2" t="s">
        <v>77</v>
      </c>
      <c r="N248" s="2" t="s">
        <v>78</v>
      </c>
      <c r="O248" s="2"/>
      <c r="P248" s="2"/>
      <c r="Q248" s="2"/>
      <c r="R248" s="2"/>
      <c r="S248" s="2"/>
      <c r="T248" s="2" t="s">
        <v>4915</v>
      </c>
      <c r="U248" s="2" t="s">
        <v>4916</v>
      </c>
      <c r="V248" s="2" t="s">
        <v>4917</v>
      </c>
      <c r="W248" s="2" t="s">
        <v>4918</v>
      </c>
      <c r="X248" s="2" t="s">
        <v>4919</v>
      </c>
      <c r="Y248" s="2" t="s">
        <v>4920</v>
      </c>
      <c r="Z248" s="2" t="s">
        <v>4921</v>
      </c>
      <c r="AA248" s="2" t="s">
        <v>4922</v>
      </c>
      <c r="AB248" s="2" t="s">
        <v>4923</v>
      </c>
      <c r="AC248" s="2"/>
      <c r="AD248" s="2"/>
      <c r="AE248" s="2"/>
      <c r="AF248" s="2"/>
      <c r="AG248" s="2" t="n">
        <v>57</v>
      </c>
      <c r="AH248" s="2" t="n">
        <v>0</v>
      </c>
      <c r="AI248" s="2" t="n">
        <v>0</v>
      </c>
      <c r="AJ248" s="2" t="n">
        <v>0</v>
      </c>
      <c r="AK248" s="2" t="n">
        <v>2</v>
      </c>
      <c r="AL248" s="2" t="s">
        <v>302</v>
      </c>
      <c r="AM248" s="2" t="s">
        <v>303</v>
      </c>
      <c r="AN248" s="2" t="s">
        <v>304</v>
      </c>
      <c r="AO248" s="2"/>
      <c r="AP248" s="2" t="s">
        <v>1144</v>
      </c>
      <c r="AQ248" s="2"/>
      <c r="AR248" s="2" t="s">
        <v>1145</v>
      </c>
      <c r="AS248" s="2" t="s">
        <v>1146</v>
      </c>
      <c r="AT248" s="2" t="s">
        <v>4924</v>
      </c>
      <c r="AU248" s="2" t="n">
        <v>2023</v>
      </c>
      <c r="AV248" s="2" t="n">
        <v>23</v>
      </c>
      <c r="AW248" s="2" t="n">
        <v>1</v>
      </c>
      <c r="AX248" s="2"/>
      <c r="AY248" s="2"/>
      <c r="AZ248" s="2"/>
      <c r="BA248" s="2"/>
      <c r="BB248" s="2"/>
      <c r="BC248" s="2"/>
      <c r="BD248" s="2" t="n">
        <v>388</v>
      </c>
      <c r="BE248" s="2" t="s">
        <v>4925</v>
      </c>
      <c r="BF248" s="2" t="str">
        <f aca="false">HYPERLINK("http://dx.doi.org/10.1186/s12887-023-04208-6","http://dx.doi.org/10.1186/s12887-023-04208-6")</f>
        <v>http://dx.doi.org/10.1186/s12887-023-04208-6</v>
      </c>
      <c r="BG248" s="2"/>
      <c r="BH248" s="2"/>
      <c r="BI248" s="2" t="n">
        <v>9</v>
      </c>
      <c r="BJ248" s="2" t="s">
        <v>601</v>
      </c>
      <c r="BK248" s="2" t="s">
        <v>100</v>
      </c>
      <c r="BL248" s="2" t="s">
        <v>601</v>
      </c>
      <c r="BM248" s="2" t="s">
        <v>4926</v>
      </c>
      <c r="BN248" s="2" t="n">
        <v>37550689</v>
      </c>
      <c r="BO248" s="2" t="s">
        <v>103</v>
      </c>
      <c r="BP248" s="2"/>
      <c r="BQ248" s="2"/>
      <c r="BR248" s="2" t="s">
        <v>104</v>
      </c>
      <c r="BS248" s="2" t="s">
        <v>4927</v>
      </c>
      <c r="BT248" s="2" t="str">
        <f aca="false">HYPERLINK("https%3A%2F%2Fwww.webofscience.com%2Fwos%2Fwoscc%2Ffull-record%2FWOS:001044270700001","View Full Record in Web of Science")</f>
        <v>View Full Record in Web of Science</v>
      </c>
    </row>
    <row r="249" customFormat="false" ht="12.75" hidden="false" customHeight="false" outlineLevel="0" collapsed="false">
      <c r="A249" s="2" t="s">
        <v>72</v>
      </c>
      <c r="B249" s="2" t="s">
        <v>4928</v>
      </c>
      <c r="C249" s="2"/>
      <c r="D249" s="2"/>
      <c r="E249" s="2"/>
      <c r="F249" s="2" t="s">
        <v>4929</v>
      </c>
      <c r="G249" s="2"/>
      <c r="H249" s="2"/>
      <c r="I249" s="2" t="s">
        <v>4930</v>
      </c>
      <c r="J249" s="2" t="s">
        <v>493</v>
      </c>
      <c r="K249" s="2"/>
      <c r="L249" s="2"/>
      <c r="M249" s="2" t="s">
        <v>77</v>
      </c>
      <c r="N249" s="2" t="s">
        <v>78</v>
      </c>
      <c r="O249" s="2"/>
      <c r="P249" s="2"/>
      <c r="Q249" s="2"/>
      <c r="R249" s="2"/>
      <c r="S249" s="2"/>
      <c r="T249" s="2" t="s">
        <v>4931</v>
      </c>
      <c r="U249" s="2" t="s">
        <v>4932</v>
      </c>
      <c r="V249" s="2" t="s">
        <v>4933</v>
      </c>
      <c r="W249" s="2" t="s">
        <v>4934</v>
      </c>
      <c r="X249" s="2" t="s">
        <v>4935</v>
      </c>
      <c r="Y249" s="2" t="s">
        <v>4936</v>
      </c>
      <c r="Z249" s="2" t="s">
        <v>4937</v>
      </c>
      <c r="AA249" s="2" t="s">
        <v>4938</v>
      </c>
      <c r="AB249" s="2" t="s">
        <v>4939</v>
      </c>
      <c r="AC249" s="2"/>
      <c r="AD249" s="2"/>
      <c r="AE249" s="2"/>
      <c r="AF249" s="2"/>
      <c r="AG249" s="2" t="n">
        <v>45</v>
      </c>
      <c r="AH249" s="2" t="n">
        <v>2</v>
      </c>
      <c r="AI249" s="2" t="n">
        <v>2</v>
      </c>
      <c r="AJ249" s="2" t="n">
        <v>1</v>
      </c>
      <c r="AK249" s="2" t="n">
        <v>6</v>
      </c>
      <c r="AL249" s="2" t="s">
        <v>91</v>
      </c>
      <c r="AM249" s="2" t="s">
        <v>92</v>
      </c>
      <c r="AN249" s="2" t="s">
        <v>93</v>
      </c>
      <c r="AO249" s="2"/>
      <c r="AP249" s="2" t="s">
        <v>506</v>
      </c>
      <c r="AQ249" s="2"/>
      <c r="AR249" s="2" t="s">
        <v>493</v>
      </c>
      <c r="AS249" s="2" t="s">
        <v>507</v>
      </c>
      <c r="AT249" s="2" t="s">
        <v>486</v>
      </c>
      <c r="AU249" s="2" t="n">
        <v>2023</v>
      </c>
      <c r="AV249" s="2" t="n">
        <v>15</v>
      </c>
      <c r="AW249" s="2" t="n">
        <v>6</v>
      </c>
      <c r="AX249" s="2"/>
      <c r="AY249" s="2"/>
      <c r="AZ249" s="2"/>
      <c r="BA249" s="2"/>
      <c r="BB249" s="2"/>
      <c r="BC249" s="2"/>
      <c r="BD249" s="2" t="n">
        <v>1306</v>
      </c>
      <c r="BE249" s="2" t="s">
        <v>4940</v>
      </c>
      <c r="BF249" s="2" t="str">
        <f aca="false">HYPERLINK("http://dx.doi.org/10.3390/v15061306","http://dx.doi.org/10.3390/v15061306")</f>
        <v>http://dx.doi.org/10.3390/v15061306</v>
      </c>
      <c r="BG249" s="2"/>
      <c r="BH249" s="2"/>
      <c r="BI249" s="2" t="n">
        <v>10</v>
      </c>
      <c r="BJ249" s="2" t="s">
        <v>163</v>
      </c>
      <c r="BK249" s="2" t="s">
        <v>100</v>
      </c>
      <c r="BL249" s="2" t="s">
        <v>163</v>
      </c>
      <c r="BM249" s="2" t="s">
        <v>4941</v>
      </c>
      <c r="BN249" s="2" t="n">
        <v>37376604</v>
      </c>
      <c r="BO249" s="2" t="s">
        <v>103</v>
      </c>
      <c r="BP249" s="2"/>
      <c r="BQ249" s="2"/>
      <c r="BR249" s="2" t="s">
        <v>104</v>
      </c>
      <c r="BS249" s="2" t="s">
        <v>4942</v>
      </c>
      <c r="BT249" s="2" t="str">
        <f aca="false">HYPERLINK("https%3A%2F%2Fwww.webofscience.com%2Fwos%2Fwoscc%2Ffull-record%2FWOS:001015637000001","View Full Record in Web of Science")</f>
        <v>View Full Record in Web of Science</v>
      </c>
    </row>
    <row r="250" customFormat="false" ht="12.75" hidden="false" customHeight="false" outlineLevel="0" collapsed="false">
      <c r="A250" s="2" t="s">
        <v>72</v>
      </c>
      <c r="B250" s="2" t="s">
        <v>4943</v>
      </c>
      <c r="C250" s="2"/>
      <c r="D250" s="2"/>
      <c r="E250" s="2"/>
      <c r="F250" s="2" t="s">
        <v>4944</v>
      </c>
      <c r="G250" s="2"/>
      <c r="H250" s="2"/>
      <c r="I250" s="2" t="s">
        <v>4945</v>
      </c>
      <c r="J250" s="2" t="s">
        <v>2095</v>
      </c>
      <c r="K250" s="2"/>
      <c r="L250" s="2"/>
      <c r="M250" s="2" t="s">
        <v>77</v>
      </c>
      <c r="N250" s="2" t="s">
        <v>78</v>
      </c>
      <c r="O250" s="2"/>
      <c r="P250" s="2"/>
      <c r="Q250" s="2"/>
      <c r="R250" s="2"/>
      <c r="S250" s="2"/>
      <c r="T250" s="2" t="s">
        <v>4946</v>
      </c>
      <c r="U250" s="2" t="s">
        <v>4947</v>
      </c>
      <c r="V250" s="2" t="s">
        <v>4948</v>
      </c>
      <c r="W250" s="2" t="s">
        <v>4949</v>
      </c>
      <c r="X250" s="2"/>
      <c r="Y250" s="2" t="s">
        <v>4950</v>
      </c>
      <c r="Z250" s="2" t="s">
        <v>4951</v>
      </c>
      <c r="AA250" s="2" t="s">
        <v>4952</v>
      </c>
      <c r="AB250" s="2" t="s">
        <v>4953</v>
      </c>
      <c r="AC250" s="2"/>
      <c r="AD250" s="2"/>
      <c r="AE250" s="2"/>
      <c r="AF250" s="2"/>
      <c r="AG250" s="2" t="n">
        <v>29</v>
      </c>
      <c r="AH250" s="2" t="n">
        <v>0</v>
      </c>
      <c r="AI250" s="2" t="n">
        <v>0</v>
      </c>
      <c r="AJ250" s="2" t="n">
        <v>0</v>
      </c>
      <c r="AK250" s="2" t="n">
        <v>0</v>
      </c>
      <c r="AL250" s="2" t="s">
        <v>2105</v>
      </c>
      <c r="AM250" s="2" t="s">
        <v>303</v>
      </c>
      <c r="AN250" s="2" t="s">
        <v>2106</v>
      </c>
      <c r="AO250" s="2" t="s">
        <v>2107</v>
      </c>
      <c r="AP250" s="2" t="s">
        <v>2108</v>
      </c>
      <c r="AQ250" s="2"/>
      <c r="AR250" s="2" t="s">
        <v>2109</v>
      </c>
      <c r="AS250" s="2" t="s">
        <v>2110</v>
      </c>
      <c r="AT250" s="2" t="s">
        <v>446</v>
      </c>
      <c r="AU250" s="2" t="n">
        <v>2024</v>
      </c>
      <c r="AV250" s="2" t="n">
        <v>17</v>
      </c>
      <c r="AW250" s="2" t="n">
        <v>12</v>
      </c>
      <c r="AX250" s="2"/>
      <c r="AY250" s="2"/>
      <c r="AZ250" s="2"/>
      <c r="BA250" s="2"/>
      <c r="BB250" s="2"/>
      <c r="BC250" s="2"/>
      <c r="BD250" s="2" t="n">
        <v>102570</v>
      </c>
      <c r="BE250" s="2" t="s">
        <v>4954</v>
      </c>
      <c r="BF250" s="2" t="str">
        <f aca="false">HYPERLINK("http://dx.doi.org/10.1016/j.jiph.2024.102570","http://dx.doi.org/10.1016/j.jiph.2024.102570")</f>
        <v>http://dx.doi.org/10.1016/j.jiph.2024.102570</v>
      </c>
      <c r="BG250" s="2"/>
      <c r="BH250" s="2" t="s">
        <v>763</v>
      </c>
      <c r="BI250" s="2" t="n">
        <v>5</v>
      </c>
      <c r="BJ250" s="2" t="s">
        <v>2113</v>
      </c>
      <c r="BK250" s="2" t="s">
        <v>100</v>
      </c>
      <c r="BL250" s="2" t="s">
        <v>2113</v>
      </c>
      <c r="BM250" s="2" t="s">
        <v>4955</v>
      </c>
      <c r="BN250" s="2" t="n">
        <v>39481292</v>
      </c>
      <c r="BO250" s="2"/>
      <c r="BP250" s="2"/>
      <c r="BQ250" s="2"/>
      <c r="BR250" s="2" t="s">
        <v>104</v>
      </c>
      <c r="BS250" s="2" t="s">
        <v>4956</v>
      </c>
      <c r="BT250" s="2" t="str">
        <f aca="false">HYPERLINK("https%3A%2F%2Fwww.webofscience.com%2Fwos%2Fwoscc%2Ffull-record%2FWOS:001350732100001","View Full Record in Web of Science")</f>
        <v>View Full Record in Web of Science</v>
      </c>
    </row>
    <row r="251" customFormat="false" ht="12.75" hidden="false" customHeight="false" outlineLevel="0" collapsed="false">
      <c r="A251" s="2" t="s">
        <v>72</v>
      </c>
      <c r="B251" s="2" t="s">
        <v>4957</v>
      </c>
      <c r="C251" s="2"/>
      <c r="D251" s="2"/>
      <c r="E251" s="2"/>
      <c r="F251" s="2" t="s">
        <v>4958</v>
      </c>
      <c r="G251" s="2"/>
      <c r="H251" s="2"/>
      <c r="I251" s="2" t="s">
        <v>4959</v>
      </c>
      <c r="J251" s="2" t="s">
        <v>1290</v>
      </c>
      <c r="K251" s="2"/>
      <c r="L251" s="2"/>
      <c r="M251" s="2" t="s">
        <v>77</v>
      </c>
      <c r="N251" s="2" t="s">
        <v>78</v>
      </c>
      <c r="O251" s="2"/>
      <c r="P251" s="2"/>
      <c r="Q251" s="2"/>
      <c r="R251" s="2"/>
      <c r="S251" s="2"/>
      <c r="T251" s="2" t="s">
        <v>4960</v>
      </c>
      <c r="U251" s="2" t="s">
        <v>4961</v>
      </c>
      <c r="V251" s="2" t="s">
        <v>4962</v>
      </c>
      <c r="W251" s="2" t="s">
        <v>4963</v>
      </c>
      <c r="X251" s="2" t="s">
        <v>4964</v>
      </c>
      <c r="Y251" s="2" t="s">
        <v>4965</v>
      </c>
      <c r="Z251" s="2" t="s">
        <v>3402</v>
      </c>
      <c r="AA251" s="2" t="s">
        <v>4966</v>
      </c>
      <c r="AB251" s="2" t="s">
        <v>4967</v>
      </c>
      <c r="AC251" s="2" t="s">
        <v>4968</v>
      </c>
      <c r="AD251" s="2" t="s">
        <v>4969</v>
      </c>
      <c r="AE251" s="2" t="s">
        <v>4970</v>
      </c>
      <c r="AF251" s="2"/>
      <c r="AG251" s="2" t="n">
        <v>43</v>
      </c>
      <c r="AH251" s="2" t="n">
        <v>49</v>
      </c>
      <c r="AI251" s="2" t="n">
        <v>50</v>
      </c>
      <c r="AJ251" s="2" t="n">
        <v>0</v>
      </c>
      <c r="AK251" s="2" t="n">
        <v>4</v>
      </c>
      <c r="AL251" s="2" t="s">
        <v>154</v>
      </c>
      <c r="AM251" s="2" t="s">
        <v>155</v>
      </c>
      <c r="AN251" s="2" t="s">
        <v>156</v>
      </c>
      <c r="AO251" s="2" t="s">
        <v>1302</v>
      </c>
      <c r="AP251" s="2" t="s">
        <v>1303</v>
      </c>
      <c r="AQ251" s="2"/>
      <c r="AR251" s="2" t="s">
        <v>1304</v>
      </c>
      <c r="AS251" s="2" t="s">
        <v>1305</v>
      </c>
      <c r="AT251" s="2" t="s">
        <v>446</v>
      </c>
      <c r="AU251" s="2" t="n">
        <v>2016</v>
      </c>
      <c r="AV251" s="2" t="n">
        <v>51</v>
      </c>
      <c r="AW251" s="2" t="n">
        <v>12</v>
      </c>
      <c r="AX251" s="2"/>
      <c r="AY251" s="2"/>
      <c r="AZ251" s="2"/>
      <c r="BA251" s="2"/>
      <c r="BB251" s="2" t="n">
        <v>1336</v>
      </c>
      <c r="BC251" s="2" t="n">
        <v>1346</v>
      </c>
      <c r="BD251" s="2"/>
      <c r="BE251" s="2" t="s">
        <v>4971</v>
      </c>
      <c r="BF251" s="2" t="str">
        <f aca="false">HYPERLINK("http://dx.doi.org/10.1002/ppul.23480","http://dx.doi.org/10.1002/ppul.23480")</f>
        <v>http://dx.doi.org/10.1002/ppul.23480</v>
      </c>
      <c r="BG251" s="2"/>
      <c r="BH251" s="2"/>
      <c r="BI251" s="2" t="n">
        <v>11</v>
      </c>
      <c r="BJ251" s="2" t="s">
        <v>1307</v>
      </c>
      <c r="BK251" s="2" t="s">
        <v>100</v>
      </c>
      <c r="BL251" s="2" t="s">
        <v>1307</v>
      </c>
      <c r="BM251" s="2" t="s">
        <v>4972</v>
      </c>
      <c r="BN251" s="2" t="n">
        <v>27228308</v>
      </c>
      <c r="BO251" s="2"/>
      <c r="BP251" s="2"/>
      <c r="BQ251" s="2"/>
      <c r="BR251" s="2" t="s">
        <v>104</v>
      </c>
      <c r="BS251" s="2" t="s">
        <v>4973</v>
      </c>
      <c r="BT251" s="2" t="str">
        <f aca="false">HYPERLINK("https%3A%2F%2Fwww.webofscience.com%2Fwos%2Fwoscc%2Ffull-record%2FWOS:000388583200011","View Full Record in Web of Science")</f>
        <v>View Full Record in Web of Science</v>
      </c>
    </row>
    <row r="252" customFormat="false" ht="12.75" hidden="false" customHeight="false" outlineLevel="0" collapsed="false">
      <c r="A252" s="2" t="s">
        <v>72</v>
      </c>
      <c r="B252" s="2" t="s">
        <v>4974</v>
      </c>
      <c r="C252" s="2"/>
      <c r="D252" s="2"/>
      <c r="E252" s="2"/>
      <c r="F252" s="2" t="s">
        <v>4975</v>
      </c>
      <c r="G252" s="2"/>
      <c r="H252" s="2"/>
      <c r="I252" s="2" t="s">
        <v>4976</v>
      </c>
      <c r="J252" s="2" t="s">
        <v>4977</v>
      </c>
      <c r="K252" s="2"/>
      <c r="L252" s="2"/>
      <c r="M252" s="2" t="s">
        <v>77</v>
      </c>
      <c r="N252" s="2" t="s">
        <v>78</v>
      </c>
      <c r="O252" s="2"/>
      <c r="P252" s="2"/>
      <c r="Q252" s="2"/>
      <c r="R252" s="2"/>
      <c r="S252" s="2"/>
      <c r="T252" s="2" t="s">
        <v>4978</v>
      </c>
      <c r="U252" s="2" t="s">
        <v>4979</v>
      </c>
      <c r="V252" s="2" t="s">
        <v>4980</v>
      </c>
      <c r="W252" s="2" t="s">
        <v>4981</v>
      </c>
      <c r="X252" s="2" t="s">
        <v>4982</v>
      </c>
      <c r="Y252" s="2" t="s">
        <v>4983</v>
      </c>
      <c r="Z252" s="2" t="s">
        <v>4984</v>
      </c>
      <c r="AA252" s="2" t="s">
        <v>4985</v>
      </c>
      <c r="AB252" s="2" t="s">
        <v>4986</v>
      </c>
      <c r="AC252" s="2"/>
      <c r="AD252" s="2"/>
      <c r="AE252" s="2"/>
      <c r="AF252" s="2"/>
      <c r="AG252" s="2" t="n">
        <v>28</v>
      </c>
      <c r="AH252" s="2" t="n">
        <v>6</v>
      </c>
      <c r="AI252" s="2" t="n">
        <v>6</v>
      </c>
      <c r="AJ252" s="2" t="n">
        <v>0</v>
      </c>
      <c r="AK252" s="2" t="n">
        <v>0</v>
      </c>
      <c r="AL252" s="2" t="s">
        <v>4987</v>
      </c>
      <c r="AM252" s="2" t="s">
        <v>2438</v>
      </c>
      <c r="AN252" s="2" t="s">
        <v>4988</v>
      </c>
      <c r="AO252" s="2" t="s">
        <v>4989</v>
      </c>
      <c r="AP252" s="2" t="s">
        <v>4990</v>
      </c>
      <c r="AQ252" s="2"/>
      <c r="AR252" s="2" t="s">
        <v>4991</v>
      </c>
      <c r="AS252" s="2" t="s">
        <v>4992</v>
      </c>
      <c r="AT252" s="2" t="s">
        <v>692</v>
      </c>
      <c r="AU252" s="2" t="n">
        <v>2013</v>
      </c>
      <c r="AV252" s="2" t="n">
        <v>1</v>
      </c>
      <c r="AW252" s="2" t="n">
        <v>1</v>
      </c>
      <c r="AX252" s="2"/>
      <c r="AY252" s="2"/>
      <c r="AZ252" s="2"/>
      <c r="BA252" s="2"/>
      <c r="BB252" s="2" t="n">
        <v>14</v>
      </c>
      <c r="BC252" s="2" t="n">
        <v>17</v>
      </c>
      <c r="BD252" s="2"/>
      <c r="BE252" s="2" t="s">
        <v>4993</v>
      </c>
      <c r="BF252" s="2" t="str">
        <f aca="false">HYPERLINK("http://dx.doi.org/10.5812/pedinfect.5319","http://dx.doi.org/10.5812/pedinfect.5319")</f>
        <v>http://dx.doi.org/10.5812/pedinfect.5319</v>
      </c>
      <c r="BG252" s="2"/>
      <c r="BH252" s="2"/>
      <c r="BI252" s="2" t="n">
        <v>4</v>
      </c>
      <c r="BJ252" s="2" t="s">
        <v>601</v>
      </c>
      <c r="BK252" s="2" t="s">
        <v>339</v>
      </c>
      <c r="BL252" s="2" t="s">
        <v>601</v>
      </c>
      <c r="BM252" s="2" t="s">
        <v>4994</v>
      </c>
      <c r="BN252" s="2"/>
      <c r="BO252" s="2" t="s">
        <v>2278</v>
      </c>
      <c r="BP252" s="2"/>
      <c r="BQ252" s="2"/>
      <c r="BR252" s="2" t="s">
        <v>104</v>
      </c>
      <c r="BS252" s="2" t="s">
        <v>4995</v>
      </c>
      <c r="BT252" s="2" t="str">
        <f aca="false">HYPERLINK("https%3A%2F%2Fwww.webofscience.com%2Fwos%2Fwoscc%2Ffull-record%2FWOS:000215111500004","View Full Record in Web of Science")</f>
        <v>View Full Record in Web of Science</v>
      </c>
    </row>
    <row r="253" customFormat="false" ht="12.75" hidden="false" customHeight="false" outlineLevel="0" collapsed="false">
      <c r="A253" s="2" t="s">
        <v>72</v>
      </c>
      <c r="B253" s="2" t="s">
        <v>4996</v>
      </c>
      <c r="C253" s="2"/>
      <c r="D253" s="2"/>
      <c r="E253" s="2"/>
      <c r="F253" s="2" t="s">
        <v>4997</v>
      </c>
      <c r="G253" s="2"/>
      <c r="H253" s="2"/>
      <c r="I253" s="2" t="s">
        <v>4998</v>
      </c>
      <c r="J253" s="2" t="s">
        <v>557</v>
      </c>
      <c r="K253" s="2"/>
      <c r="L253" s="2"/>
      <c r="M253" s="2" t="s">
        <v>77</v>
      </c>
      <c r="N253" s="2" t="s">
        <v>78</v>
      </c>
      <c r="O253" s="2"/>
      <c r="P253" s="2"/>
      <c r="Q253" s="2"/>
      <c r="R253" s="2"/>
      <c r="S253" s="2"/>
      <c r="T253" s="2" t="s">
        <v>4999</v>
      </c>
      <c r="U253" s="2" t="s">
        <v>5000</v>
      </c>
      <c r="V253" s="2" t="s">
        <v>5001</v>
      </c>
      <c r="W253" s="2" t="s">
        <v>5002</v>
      </c>
      <c r="X253" s="2" t="s">
        <v>5003</v>
      </c>
      <c r="Y253" s="2" t="s">
        <v>5004</v>
      </c>
      <c r="Z253" s="2" t="s">
        <v>5005</v>
      </c>
      <c r="AA253" s="2" t="s">
        <v>5006</v>
      </c>
      <c r="AB253" s="2" t="s">
        <v>5007</v>
      </c>
      <c r="AC253" s="2" t="s">
        <v>5008</v>
      </c>
      <c r="AD253" s="2" t="s">
        <v>5009</v>
      </c>
      <c r="AE253" s="2" t="s">
        <v>5010</v>
      </c>
      <c r="AF253" s="2"/>
      <c r="AG253" s="2" t="n">
        <v>38</v>
      </c>
      <c r="AH253" s="2" t="n">
        <v>51</v>
      </c>
      <c r="AI253" s="2" t="n">
        <v>56</v>
      </c>
      <c r="AJ253" s="2" t="n">
        <v>0</v>
      </c>
      <c r="AK253" s="2" t="n">
        <v>6</v>
      </c>
      <c r="AL253" s="2" t="s">
        <v>302</v>
      </c>
      <c r="AM253" s="2" t="s">
        <v>303</v>
      </c>
      <c r="AN253" s="2" t="s">
        <v>304</v>
      </c>
      <c r="AO253" s="2"/>
      <c r="AP253" s="2" t="s">
        <v>570</v>
      </c>
      <c r="AQ253" s="2"/>
      <c r="AR253" s="2" t="s">
        <v>571</v>
      </c>
      <c r="AS253" s="2" t="s">
        <v>572</v>
      </c>
      <c r="AT253" s="2" t="s">
        <v>5011</v>
      </c>
      <c r="AU253" s="2" t="n">
        <v>2017</v>
      </c>
      <c r="AV253" s="2" t="n">
        <v>17</v>
      </c>
      <c r="AW253" s="2"/>
      <c r="AX253" s="2"/>
      <c r="AY253" s="2"/>
      <c r="AZ253" s="2"/>
      <c r="BA253" s="2"/>
      <c r="BB253" s="2"/>
      <c r="BC253" s="2"/>
      <c r="BD253" s="2" t="n">
        <v>62</v>
      </c>
      <c r="BE253" s="2" t="s">
        <v>5012</v>
      </c>
      <c r="BF253" s="2" t="str">
        <f aca="false">HYPERLINK("http://dx.doi.org/10.1186/s12879-016-2118-6","http://dx.doi.org/10.1186/s12879-016-2118-6")</f>
        <v>http://dx.doi.org/10.1186/s12879-016-2118-6</v>
      </c>
      <c r="BG253" s="2"/>
      <c r="BH253" s="2"/>
      <c r="BI253" s="2" t="n">
        <v>11</v>
      </c>
      <c r="BJ253" s="2" t="s">
        <v>575</v>
      </c>
      <c r="BK253" s="2" t="s">
        <v>100</v>
      </c>
      <c r="BL253" s="2" t="s">
        <v>575</v>
      </c>
      <c r="BM253" s="2" t="s">
        <v>5013</v>
      </c>
      <c r="BN253" s="2" t="n">
        <v>28077074</v>
      </c>
      <c r="BO253" s="2" t="s">
        <v>190</v>
      </c>
      <c r="BP253" s="2"/>
      <c r="BQ253" s="2"/>
      <c r="BR253" s="2" t="s">
        <v>104</v>
      </c>
      <c r="BS253" s="2" t="s">
        <v>5014</v>
      </c>
      <c r="BT253" s="2" t="str">
        <f aca="false">HYPERLINK("https%3A%2F%2Fwww.webofscience.com%2Fwos%2Fwoscc%2Ffull-record%2FWOS:000397345300004","View Full Record in Web of Science")</f>
        <v>View Full Record in Web of Science</v>
      </c>
    </row>
    <row r="254" customFormat="false" ht="12.75" hidden="false" customHeight="false" outlineLevel="0" collapsed="false">
      <c r="A254" s="2" t="s">
        <v>72</v>
      </c>
      <c r="B254" s="2" t="s">
        <v>5015</v>
      </c>
      <c r="C254" s="2"/>
      <c r="D254" s="2"/>
      <c r="E254" s="2"/>
      <c r="F254" s="2" t="s">
        <v>5016</v>
      </c>
      <c r="G254" s="2"/>
      <c r="H254" s="2"/>
      <c r="I254" s="2" t="s">
        <v>5017</v>
      </c>
      <c r="J254" s="2" t="s">
        <v>2863</v>
      </c>
      <c r="K254" s="2"/>
      <c r="L254" s="2"/>
      <c r="M254" s="2" t="s">
        <v>77</v>
      </c>
      <c r="N254" s="2" t="s">
        <v>78</v>
      </c>
      <c r="O254" s="2"/>
      <c r="P254" s="2"/>
      <c r="Q254" s="2"/>
      <c r="R254" s="2"/>
      <c r="S254" s="2"/>
      <c r="T254" s="2" t="s">
        <v>5018</v>
      </c>
      <c r="U254" s="2" t="s">
        <v>5019</v>
      </c>
      <c r="V254" s="2" t="s">
        <v>5020</v>
      </c>
      <c r="W254" s="2" t="s">
        <v>5021</v>
      </c>
      <c r="X254" s="2" t="s">
        <v>5022</v>
      </c>
      <c r="Y254" s="2" t="s">
        <v>5023</v>
      </c>
      <c r="Z254" s="2" t="s">
        <v>5024</v>
      </c>
      <c r="AA254" s="2" t="s">
        <v>4283</v>
      </c>
      <c r="AB254" s="2" t="s">
        <v>5025</v>
      </c>
      <c r="AC254" s="2"/>
      <c r="AD254" s="2"/>
      <c r="AE254" s="2"/>
      <c r="AF254" s="2"/>
      <c r="AG254" s="2" t="n">
        <v>30</v>
      </c>
      <c r="AH254" s="2" t="n">
        <v>17</v>
      </c>
      <c r="AI254" s="2" t="n">
        <v>24</v>
      </c>
      <c r="AJ254" s="2" t="n">
        <v>0</v>
      </c>
      <c r="AK254" s="2" t="n">
        <v>5</v>
      </c>
      <c r="AL254" s="2" t="s">
        <v>2875</v>
      </c>
      <c r="AM254" s="2" t="s">
        <v>2876</v>
      </c>
      <c r="AN254" s="2" t="s">
        <v>2877</v>
      </c>
      <c r="AO254" s="2" t="s">
        <v>2878</v>
      </c>
      <c r="AP254" s="2" t="s">
        <v>2879</v>
      </c>
      <c r="AQ254" s="2"/>
      <c r="AR254" s="2" t="s">
        <v>2880</v>
      </c>
      <c r="AS254" s="2" t="s">
        <v>2881</v>
      </c>
      <c r="AT254" s="2" t="s">
        <v>925</v>
      </c>
      <c r="AU254" s="2" t="n">
        <v>2014</v>
      </c>
      <c r="AV254" s="2" t="n">
        <v>90</v>
      </c>
      <c r="AW254" s="2" t="n">
        <v>1</v>
      </c>
      <c r="AX254" s="2"/>
      <c r="AY254" s="2"/>
      <c r="AZ254" s="2"/>
      <c r="BA254" s="2"/>
      <c r="BB254" s="2" t="n">
        <v>42</v>
      </c>
      <c r="BC254" s="2" t="n">
        <v>49</v>
      </c>
      <c r="BD254" s="2"/>
      <c r="BE254" s="2" t="s">
        <v>5026</v>
      </c>
      <c r="BF254" s="2" t="str">
        <f aca="false">HYPERLINK("http://dx.doi.org/10.1016/j.jped.2013.05.005","http://dx.doi.org/10.1016/j.jped.2013.05.005")</f>
        <v>http://dx.doi.org/10.1016/j.jped.2013.05.005</v>
      </c>
      <c r="BG254" s="2"/>
      <c r="BH254" s="2"/>
      <c r="BI254" s="2" t="n">
        <v>8</v>
      </c>
      <c r="BJ254" s="2" t="s">
        <v>601</v>
      </c>
      <c r="BK254" s="2" t="s">
        <v>100</v>
      </c>
      <c r="BL254" s="2" t="s">
        <v>601</v>
      </c>
      <c r="BM254" s="2" t="s">
        <v>5027</v>
      </c>
      <c r="BN254" s="2" t="n">
        <v>24148797</v>
      </c>
      <c r="BO254" s="2" t="s">
        <v>103</v>
      </c>
      <c r="BP254" s="2"/>
      <c r="BQ254" s="2"/>
      <c r="BR254" s="2" t="s">
        <v>104</v>
      </c>
      <c r="BS254" s="2" t="s">
        <v>5028</v>
      </c>
      <c r="BT254" s="2" t="str">
        <f aca="false">HYPERLINK("https%3A%2F%2Fwww.webofscience.com%2Fwos%2Fwoscc%2Ffull-record%2FWOS:000332904600008","View Full Record in Web of Science")</f>
        <v>View Full Record in Web of Science</v>
      </c>
    </row>
    <row r="255" customFormat="false" ht="12.75" hidden="false" customHeight="false" outlineLevel="0" collapsed="false">
      <c r="A255" s="2" t="s">
        <v>72</v>
      </c>
      <c r="B255" s="2" t="s">
        <v>5029</v>
      </c>
      <c r="C255" s="2"/>
      <c r="D255" s="2"/>
      <c r="E255" s="2"/>
      <c r="F255" s="2" t="s">
        <v>5030</v>
      </c>
      <c r="G255" s="2"/>
      <c r="H255" s="2"/>
      <c r="I255" s="2" t="s">
        <v>5031</v>
      </c>
      <c r="J255" s="2" t="s">
        <v>109</v>
      </c>
      <c r="K255" s="2"/>
      <c r="L255" s="2"/>
      <c r="M255" s="2" t="s">
        <v>77</v>
      </c>
      <c r="N255" s="2" t="s">
        <v>78</v>
      </c>
      <c r="O255" s="2"/>
      <c r="P255" s="2"/>
      <c r="Q255" s="2"/>
      <c r="R255" s="2"/>
      <c r="S255" s="2"/>
      <c r="T255" s="2" t="s">
        <v>5032</v>
      </c>
      <c r="U255" s="2" t="s">
        <v>5033</v>
      </c>
      <c r="V255" s="2" t="s">
        <v>5034</v>
      </c>
      <c r="W255" s="2" t="s">
        <v>5035</v>
      </c>
      <c r="X255" s="2"/>
      <c r="Y255" s="2" t="s">
        <v>5036</v>
      </c>
      <c r="Z255" s="2" t="s">
        <v>5037</v>
      </c>
      <c r="AA255" s="2"/>
      <c r="AB255" s="2" t="s">
        <v>5038</v>
      </c>
      <c r="AC255" s="2"/>
      <c r="AD255" s="2"/>
      <c r="AE255" s="2"/>
      <c r="AF255" s="2"/>
      <c r="AG255" s="2" t="n">
        <v>39</v>
      </c>
      <c r="AH255" s="2" t="n">
        <v>18</v>
      </c>
      <c r="AI255" s="2" t="n">
        <v>21</v>
      </c>
      <c r="AJ255" s="2" t="n">
        <v>0</v>
      </c>
      <c r="AK255" s="2" t="n">
        <v>9</v>
      </c>
      <c r="AL255" s="2" t="s">
        <v>122</v>
      </c>
      <c r="AM255" s="2" t="s">
        <v>123</v>
      </c>
      <c r="AN255" s="2" t="s">
        <v>839</v>
      </c>
      <c r="AO255" s="2" t="s">
        <v>125</v>
      </c>
      <c r="AP255" s="2" t="s">
        <v>126</v>
      </c>
      <c r="AQ255" s="2"/>
      <c r="AR255" s="2" t="s">
        <v>127</v>
      </c>
      <c r="AS255" s="2" t="s">
        <v>128</v>
      </c>
      <c r="AT255" s="2" t="s">
        <v>599</v>
      </c>
      <c r="AU255" s="2" t="n">
        <v>2014</v>
      </c>
      <c r="AV255" s="2" t="n">
        <v>33</v>
      </c>
      <c r="AW255" s="2" t="n">
        <v>7</v>
      </c>
      <c r="AX255" s="2"/>
      <c r="AY255" s="2"/>
      <c r="AZ255" s="2"/>
      <c r="BA255" s="2"/>
      <c r="BB255" s="2" t="n">
        <v>687</v>
      </c>
      <c r="BC255" s="2" t="n">
        <v>692</v>
      </c>
      <c r="BD255" s="2"/>
      <c r="BE255" s="2" t="s">
        <v>5039</v>
      </c>
      <c r="BF255" s="2" t="str">
        <f aca="false">HYPERLINK("http://dx.doi.org/10.1097/INF.0000000000000227","http://dx.doi.org/10.1097/INF.0000000000000227")</f>
        <v>http://dx.doi.org/10.1097/INF.0000000000000227</v>
      </c>
      <c r="BG255" s="2"/>
      <c r="BH255" s="2"/>
      <c r="BI255" s="2" t="n">
        <v>6</v>
      </c>
      <c r="BJ255" s="2" t="s">
        <v>134</v>
      </c>
      <c r="BK255" s="2" t="s">
        <v>100</v>
      </c>
      <c r="BL255" s="2" t="s">
        <v>134</v>
      </c>
      <c r="BM255" s="2" t="s">
        <v>5040</v>
      </c>
      <c r="BN255" s="2" t="n">
        <v>24378946</v>
      </c>
      <c r="BO255" s="2"/>
      <c r="BP255" s="2"/>
      <c r="BQ255" s="2"/>
      <c r="BR255" s="2" t="s">
        <v>104</v>
      </c>
      <c r="BS255" s="2" t="s">
        <v>5041</v>
      </c>
      <c r="BT255" s="2" t="str">
        <f aca="false">HYPERLINK("https%3A%2F%2Fwww.webofscience.com%2Fwos%2Fwoscc%2Ffull-record%2FWOS:000338127900007","View Full Record in Web of Science")</f>
        <v>View Full Record in Web of Science</v>
      </c>
    </row>
    <row r="256" customFormat="false" ht="12.75" hidden="false" customHeight="false" outlineLevel="0" collapsed="false">
      <c r="A256" s="2" t="s">
        <v>72</v>
      </c>
      <c r="B256" s="2" t="s">
        <v>5042</v>
      </c>
      <c r="C256" s="2"/>
      <c r="D256" s="2"/>
      <c r="E256" s="2"/>
      <c r="F256" s="2" t="s">
        <v>5043</v>
      </c>
      <c r="G256" s="2"/>
      <c r="H256" s="2"/>
      <c r="I256" s="2" t="s">
        <v>5044</v>
      </c>
      <c r="J256" s="2" t="s">
        <v>141</v>
      </c>
      <c r="K256" s="2"/>
      <c r="L256" s="2"/>
      <c r="M256" s="2" t="s">
        <v>77</v>
      </c>
      <c r="N256" s="2" t="s">
        <v>78</v>
      </c>
      <c r="O256" s="2"/>
      <c r="P256" s="2"/>
      <c r="Q256" s="2"/>
      <c r="R256" s="2"/>
      <c r="S256" s="2"/>
      <c r="T256" s="2" t="s">
        <v>5045</v>
      </c>
      <c r="U256" s="2" t="s">
        <v>5046</v>
      </c>
      <c r="V256" s="2" t="s">
        <v>5047</v>
      </c>
      <c r="W256" s="2" t="s">
        <v>5048</v>
      </c>
      <c r="X256" s="2" t="s">
        <v>2351</v>
      </c>
      <c r="Y256" s="2" t="s">
        <v>5049</v>
      </c>
      <c r="Z256" s="2" t="s">
        <v>5050</v>
      </c>
      <c r="AA256" s="2" t="s">
        <v>5051</v>
      </c>
      <c r="AB256" s="2" t="s">
        <v>5052</v>
      </c>
      <c r="AC256" s="2"/>
      <c r="AD256" s="2"/>
      <c r="AE256" s="2"/>
      <c r="AF256" s="2"/>
      <c r="AG256" s="2" t="n">
        <v>39</v>
      </c>
      <c r="AH256" s="2" t="n">
        <v>116</v>
      </c>
      <c r="AI256" s="2" t="n">
        <v>122</v>
      </c>
      <c r="AJ256" s="2" t="n">
        <v>0</v>
      </c>
      <c r="AK256" s="2" t="n">
        <v>7</v>
      </c>
      <c r="AL256" s="2" t="s">
        <v>154</v>
      </c>
      <c r="AM256" s="2" t="s">
        <v>155</v>
      </c>
      <c r="AN256" s="2" t="s">
        <v>156</v>
      </c>
      <c r="AO256" s="2" t="s">
        <v>157</v>
      </c>
      <c r="AP256" s="2" t="s">
        <v>158</v>
      </c>
      <c r="AQ256" s="2"/>
      <c r="AR256" s="2" t="s">
        <v>159</v>
      </c>
      <c r="AS256" s="2" t="s">
        <v>160</v>
      </c>
      <c r="AT256" s="2" t="s">
        <v>692</v>
      </c>
      <c r="AU256" s="2" t="n">
        <v>2007</v>
      </c>
      <c r="AV256" s="2" t="n">
        <v>79</v>
      </c>
      <c r="AW256" s="2" t="n">
        <v>4</v>
      </c>
      <c r="AX256" s="2"/>
      <c r="AY256" s="2"/>
      <c r="AZ256" s="2"/>
      <c r="BA256" s="2"/>
      <c r="BB256" s="2" t="n">
        <v>463</v>
      </c>
      <c r="BC256" s="2" t="n">
        <v>468</v>
      </c>
      <c r="BD256" s="2"/>
      <c r="BE256" s="2" t="s">
        <v>5053</v>
      </c>
      <c r="BF256" s="2" t="str">
        <f aca="false">HYPERLINK("http://dx.doi.org/10.1002/jmv.20832","http://dx.doi.org/10.1002/jmv.20832")</f>
        <v>http://dx.doi.org/10.1002/jmv.20832</v>
      </c>
      <c r="BG256" s="2"/>
      <c r="BH256" s="2"/>
      <c r="BI256" s="2" t="n">
        <v>6</v>
      </c>
      <c r="BJ256" s="2" t="s">
        <v>163</v>
      </c>
      <c r="BK256" s="2" t="s">
        <v>100</v>
      </c>
      <c r="BL256" s="2" t="s">
        <v>163</v>
      </c>
      <c r="BM256" s="2" t="s">
        <v>5054</v>
      </c>
      <c r="BN256" s="2" t="n">
        <v>17311326</v>
      </c>
      <c r="BO256" s="2" t="s">
        <v>538</v>
      </c>
      <c r="BP256" s="2"/>
      <c r="BQ256" s="2"/>
      <c r="BR256" s="2" t="s">
        <v>104</v>
      </c>
      <c r="BS256" s="2" t="s">
        <v>5055</v>
      </c>
      <c r="BT256" s="2" t="str">
        <f aca="false">HYPERLINK("https%3A%2F%2Fwww.webofscience.com%2Fwos%2Fwoscc%2Ffull-record%2FWOS:000244620000016","View Full Record in Web of Science")</f>
        <v>View Full Record in Web of Science</v>
      </c>
    </row>
    <row r="257" customFormat="false" ht="12.75" hidden="false" customHeight="false" outlineLevel="0" collapsed="false">
      <c r="A257" s="2" t="s">
        <v>72</v>
      </c>
      <c r="B257" s="2" t="s">
        <v>5056</v>
      </c>
      <c r="C257" s="2"/>
      <c r="D257" s="2"/>
      <c r="E257" s="2"/>
      <c r="F257" s="2" t="s">
        <v>5057</v>
      </c>
      <c r="G257" s="2"/>
      <c r="H257" s="2"/>
      <c r="I257" s="2" t="s">
        <v>5058</v>
      </c>
      <c r="J257" s="2" t="s">
        <v>889</v>
      </c>
      <c r="K257" s="2"/>
      <c r="L257" s="2"/>
      <c r="M257" s="2" t="s">
        <v>77</v>
      </c>
      <c r="N257" s="2" t="s">
        <v>78</v>
      </c>
      <c r="O257" s="2"/>
      <c r="P257" s="2"/>
      <c r="Q257" s="2"/>
      <c r="R257" s="2"/>
      <c r="S257" s="2"/>
      <c r="T257" s="2" t="s">
        <v>5059</v>
      </c>
      <c r="U257" s="2" t="s">
        <v>5060</v>
      </c>
      <c r="V257" s="2" t="s">
        <v>5061</v>
      </c>
      <c r="W257" s="2" t="s">
        <v>5062</v>
      </c>
      <c r="X257" s="2" t="s">
        <v>5063</v>
      </c>
      <c r="Y257" s="2" t="s">
        <v>5064</v>
      </c>
      <c r="Z257" s="2" t="s">
        <v>5065</v>
      </c>
      <c r="AA257" s="2" t="s">
        <v>5066</v>
      </c>
      <c r="AB257" s="2" t="s">
        <v>5067</v>
      </c>
      <c r="AC257" s="2" t="s">
        <v>5068</v>
      </c>
      <c r="AD257" s="2" t="s">
        <v>5068</v>
      </c>
      <c r="AE257" s="2" t="s">
        <v>5069</v>
      </c>
      <c r="AF257" s="2"/>
      <c r="AG257" s="2" t="n">
        <v>35</v>
      </c>
      <c r="AH257" s="2" t="n">
        <v>14</v>
      </c>
      <c r="AI257" s="2" t="n">
        <v>14</v>
      </c>
      <c r="AJ257" s="2" t="n">
        <v>0</v>
      </c>
      <c r="AK257" s="2" t="n">
        <v>0</v>
      </c>
      <c r="AL257" s="2" t="s">
        <v>5070</v>
      </c>
      <c r="AM257" s="2" t="s">
        <v>5071</v>
      </c>
      <c r="AN257" s="2" t="s">
        <v>5072</v>
      </c>
      <c r="AO257" s="2" t="s">
        <v>5073</v>
      </c>
      <c r="AP257" s="2" t="s">
        <v>5074</v>
      </c>
      <c r="AQ257" s="2"/>
      <c r="AR257" s="2" t="s">
        <v>889</v>
      </c>
      <c r="AS257" s="2" t="s">
        <v>5075</v>
      </c>
      <c r="AT257" s="2" t="s">
        <v>1041</v>
      </c>
      <c r="AU257" s="2" t="n">
        <v>2024</v>
      </c>
      <c r="AV257" s="2" t="n">
        <v>52</v>
      </c>
      <c r="AW257" s="2" t="n">
        <v>1</v>
      </c>
      <c r="AX257" s="2"/>
      <c r="AY257" s="2"/>
      <c r="AZ257" s="2"/>
      <c r="BA257" s="2"/>
      <c r="BB257" s="2" t="n">
        <v>209</v>
      </c>
      <c r="BC257" s="2" t="n">
        <v>218</v>
      </c>
      <c r="BD257" s="2"/>
      <c r="BE257" s="2" t="s">
        <v>5076</v>
      </c>
      <c r="BF257" s="2" t="str">
        <f aca="false">HYPERLINK("http://dx.doi.org/10.1007/s15010-023-02085-w","http://dx.doi.org/10.1007/s15010-023-02085-w")</f>
        <v>http://dx.doi.org/10.1007/s15010-023-02085-w</v>
      </c>
      <c r="BG257" s="2"/>
      <c r="BH257" s="2" t="s">
        <v>5077</v>
      </c>
      <c r="BI257" s="2" t="n">
        <v>10</v>
      </c>
      <c r="BJ257" s="2" t="s">
        <v>575</v>
      </c>
      <c r="BK257" s="2" t="s">
        <v>100</v>
      </c>
      <c r="BL257" s="2" t="s">
        <v>575</v>
      </c>
      <c r="BM257" s="2" t="s">
        <v>5078</v>
      </c>
      <c r="BN257" s="2" t="n">
        <v>37644253</v>
      </c>
      <c r="BO257" s="2" t="s">
        <v>136</v>
      </c>
      <c r="BP257" s="2"/>
      <c r="BQ257" s="2"/>
      <c r="BR257" s="2" t="s">
        <v>104</v>
      </c>
      <c r="BS257" s="2" t="s">
        <v>5079</v>
      </c>
      <c r="BT257" s="2" t="str">
        <f aca="false">HYPERLINK("https%3A%2F%2Fwww.webofscience.com%2Fwos%2Fwoscc%2Ffull-record%2FWOS:001063907700001","View Full Record in Web of Science")</f>
        <v>View Full Record in Web of Science</v>
      </c>
    </row>
    <row r="258" customFormat="false" ht="12.75" hidden="false" customHeight="false" outlineLevel="0" collapsed="false">
      <c r="A258" s="2" t="s">
        <v>72</v>
      </c>
      <c r="B258" s="2" t="s">
        <v>5080</v>
      </c>
      <c r="C258" s="2"/>
      <c r="D258" s="2"/>
      <c r="E258" s="2"/>
      <c r="F258" s="2" t="s">
        <v>5081</v>
      </c>
      <c r="G258" s="2"/>
      <c r="H258" s="2"/>
      <c r="I258" s="2" t="s">
        <v>5082</v>
      </c>
      <c r="J258" s="2" t="s">
        <v>141</v>
      </c>
      <c r="K258" s="2"/>
      <c r="L258" s="2"/>
      <c r="M258" s="2" t="s">
        <v>77</v>
      </c>
      <c r="N258" s="2" t="s">
        <v>78</v>
      </c>
      <c r="O258" s="2"/>
      <c r="P258" s="2"/>
      <c r="Q258" s="2"/>
      <c r="R258" s="2"/>
      <c r="S258" s="2"/>
      <c r="T258" s="2" t="s">
        <v>5083</v>
      </c>
      <c r="U258" s="2" t="s">
        <v>5084</v>
      </c>
      <c r="V258" s="2" t="s">
        <v>5085</v>
      </c>
      <c r="W258" s="2" t="s">
        <v>5086</v>
      </c>
      <c r="X258" s="2" t="s">
        <v>5087</v>
      </c>
      <c r="Y258" s="2" t="s">
        <v>5088</v>
      </c>
      <c r="Z258" s="2" t="s">
        <v>5089</v>
      </c>
      <c r="AA258" s="2" t="s">
        <v>5090</v>
      </c>
      <c r="AB258" s="2" t="s">
        <v>5091</v>
      </c>
      <c r="AC258" s="2" t="s">
        <v>5092</v>
      </c>
      <c r="AD258" s="2" t="s">
        <v>5093</v>
      </c>
      <c r="AE258" s="2" t="s">
        <v>5094</v>
      </c>
      <c r="AF258" s="2"/>
      <c r="AG258" s="2" t="n">
        <v>40</v>
      </c>
      <c r="AH258" s="2" t="n">
        <v>61</v>
      </c>
      <c r="AI258" s="2" t="n">
        <v>76</v>
      </c>
      <c r="AJ258" s="2" t="n">
        <v>0</v>
      </c>
      <c r="AK258" s="2" t="n">
        <v>9</v>
      </c>
      <c r="AL258" s="2" t="s">
        <v>154</v>
      </c>
      <c r="AM258" s="2" t="s">
        <v>155</v>
      </c>
      <c r="AN258" s="2" t="s">
        <v>156</v>
      </c>
      <c r="AO258" s="2" t="s">
        <v>157</v>
      </c>
      <c r="AP258" s="2" t="s">
        <v>158</v>
      </c>
      <c r="AQ258" s="2"/>
      <c r="AR258" s="2" t="s">
        <v>159</v>
      </c>
      <c r="AS258" s="2" t="s">
        <v>160</v>
      </c>
      <c r="AT258" s="2" t="s">
        <v>692</v>
      </c>
      <c r="AU258" s="2" t="n">
        <v>2009</v>
      </c>
      <c r="AV258" s="2" t="n">
        <v>81</v>
      </c>
      <c r="AW258" s="2" t="n">
        <v>4</v>
      </c>
      <c r="AX258" s="2"/>
      <c r="AY258" s="2"/>
      <c r="AZ258" s="2"/>
      <c r="BA258" s="2"/>
      <c r="BB258" s="2" t="n">
        <v>750</v>
      </c>
      <c r="BC258" s="2" t="n">
        <v>756</v>
      </c>
      <c r="BD258" s="2"/>
      <c r="BE258" s="2" t="s">
        <v>5095</v>
      </c>
      <c r="BF258" s="2" t="str">
        <f aca="false">HYPERLINK("http://dx.doi.org/10.1002/jmv.21457","http://dx.doi.org/10.1002/jmv.21457")</f>
        <v>http://dx.doi.org/10.1002/jmv.21457</v>
      </c>
      <c r="BG258" s="2"/>
      <c r="BH258" s="2"/>
      <c r="BI258" s="2" t="n">
        <v>7</v>
      </c>
      <c r="BJ258" s="2" t="s">
        <v>163</v>
      </c>
      <c r="BK258" s="2" t="s">
        <v>100</v>
      </c>
      <c r="BL258" s="2" t="s">
        <v>163</v>
      </c>
      <c r="BM258" s="2" t="s">
        <v>5096</v>
      </c>
      <c r="BN258" s="2" t="n">
        <v>19235872</v>
      </c>
      <c r="BO258" s="2" t="s">
        <v>165</v>
      </c>
      <c r="BP258" s="2"/>
      <c r="BQ258" s="2"/>
      <c r="BR258" s="2" t="s">
        <v>104</v>
      </c>
      <c r="BS258" s="2" t="s">
        <v>5097</v>
      </c>
      <c r="BT258" s="2" t="str">
        <f aca="false">HYPERLINK("https%3A%2F%2Fwww.webofscience.com%2Fwos%2Fwoscc%2Ffull-record%2FWOS:000263765900025","View Full Record in Web of Science")</f>
        <v>View Full Record in Web of Science</v>
      </c>
    </row>
    <row r="259" customFormat="false" ht="12.75" hidden="false" customHeight="false" outlineLevel="0" collapsed="false">
      <c r="A259" s="2" t="s">
        <v>72</v>
      </c>
      <c r="B259" s="2" t="s">
        <v>5098</v>
      </c>
      <c r="C259" s="2"/>
      <c r="D259" s="2"/>
      <c r="E259" s="2"/>
      <c r="F259" s="2" t="s">
        <v>5099</v>
      </c>
      <c r="G259" s="2"/>
      <c r="H259" s="2"/>
      <c r="I259" s="2" t="s">
        <v>5100</v>
      </c>
      <c r="J259" s="2" t="s">
        <v>109</v>
      </c>
      <c r="K259" s="2"/>
      <c r="L259" s="2"/>
      <c r="M259" s="2" t="s">
        <v>77</v>
      </c>
      <c r="N259" s="2" t="s">
        <v>78</v>
      </c>
      <c r="O259" s="2"/>
      <c r="P259" s="2"/>
      <c r="Q259" s="2"/>
      <c r="R259" s="2"/>
      <c r="S259" s="2"/>
      <c r="T259" s="2" t="s">
        <v>5101</v>
      </c>
      <c r="U259" s="2" t="s">
        <v>5102</v>
      </c>
      <c r="V259" s="2" t="s">
        <v>5103</v>
      </c>
      <c r="W259" s="2" t="s">
        <v>5104</v>
      </c>
      <c r="X259" s="2" t="s">
        <v>5105</v>
      </c>
      <c r="Y259" s="2" t="s">
        <v>5106</v>
      </c>
      <c r="Z259" s="2" t="s">
        <v>5107</v>
      </c>
      <c r="AA259" s="2" t="s">
        <v>5108</v>
      </c>
      <c r="AB259" s="2" t="s">
        <v>5109</v>
      </c>
      <c r="AC259" s="2" t="s">
        <v>5110</v>
      </c>
      <c r="AD259" s="2" t="s">
        <v>5111</v>
      </c>
      <c r="AE259" s="2" t="s">
        <v>5112</v>
      </c>
      <c r="AF259" s="2"/>
      <c r="AG259" s="2" t="n">
        <v>39</v>
      </c>
      <c r="AH259" s="2" t="n">
        <v>45</v>
      </c>
      <c r="AI259" s="2" t="n">
        <v>47</v>
      </c>
      <c r="AJ259" s="2" t="n">
        <v>0</v>
      </c>
      <c r="AK259" s="2" t="n">
        <v>11</v>
      </c>
      <c r="AL259" s="2" t="s">
        <v>122</v>
      </c>
      <c r="AM259" s="2" t="s">
        <v>123</v>
      </c>
      <c r="AN259" s="2" t="s">
        <v>839</v>
      </c>
      <c r="AO259" s="2" t="s">
        <v>125</v>
      </c>
      <c r="AP259" s="2"/>
      <c r="AQ259" s="2"/>
      <c r="AR259" s="2" t="s">
        <v>127</v>
      </c>
      <c r="AS259" s="2" t="s">
        <v>128</v>
      </c>
      <c r="AT259" s="2" t="s">
        <v>692</v>
      </c>
      <c r="AU259" s="2" t="n">
        <v>2013</v>
      </c>
      <c r="AV259" s="2" t="n">
        <v>32</v>
      </c>
      <c r="AW259" s="2" t="n">
        <v>4</v>
      </c>
      <c r="AX259" s="2"/>
      <c r="AY259" s="2"/>
      <c r="AZ259" s="2"/>
      <c r="BA259" s="2"/>
      <c r="BB259" s="2" t="n">
        <v>314</v>
      </c>
      <c r="BC259" s="2" t="n">
        <v>319</v>
      </c>
      <c r="BD259" s="2"/>
      <c r="BE259" s="2" t="s">
        <v>5113</v>
      </c>
      <c r="BF259" s="2" t="str">
        <f aca="false">HYPERLINK("http://dx.doi.org/10.1097/INF.0b013e31827d104e","http://dx.doi.org/10.1097/INF.0b013e31827d104e")</f>
        <v>http://dx.doi.org/10.1097/INF.0b013e31827d104e</v>
      </c>
      <c r="BG259" s="2"/>
      <c r="BH259" s="2"/>
      <c r="BI259" s="2" t="n">
        <v>6</v>
      </c>
      <c r="BJ259" s="2" t="s">
        <v>134</v>
      </c>
      <c r="BK259" s="2" t="s">
        <v>100</v>
      </c>
      <c r="BL259" s="2" t="s">
        <v>134</v>
      </c>
      <c r="BM259" s="2" t="s">
        <v>5114</v>
      </c>
      <c r="BN259" s="2" t="n">
        <v>23249910</v>
      </c>
      <c r="BO259" s="2" t="s">
        <v>695</v>
      </c>
      <c r="BP259" s="2"/>
      <c r="BQ259" s="2"/>
      <c r="BR259" s="2" t="s">
        <v>104</v>
      </c>
      <c r="BS259" s="2" t="s">
        <v>5115</v>
      </c>
      <c r="BT259" s="2" t="str">
        <f aca="false">HYPERLINK("https%3A%2F%2Fwww.webofscience.com%2Fwos%2Fwoscc%2Ffull-record%2FWOS:000316669200013","View Full Record in Web of Science")</f>
        <v>View Full Record in Web of Science</v>
      </c>
    </row>
    <row r="260" customFormat="false" ht="12.75" hidden="false" customHeight="false" outlineLevel="0" collapsed="false">
      <c r="A260" s="2" t="s">
        <v>72</v>
      </c>
      <c r="B260" s="2" t="s">
        <v>5116</v>
      </c>
      <c r="C260" s="2"/>
      <c r="D260" s="2"/>
      <c r="E260" s="2"/>
      <c r="F260" s="2" t="s">
        <v>5117</v>
      </c>
      <c r="G260" s="2"/>
      <c r="H260" s="2"/>
      <c r="I260" s="2" t="s">
        <v>5118</v>
      </c>
      <c r="J260" s="2" t="s">
        <v>4977</v>
      </c>
      <c r="K260" s="2"/>
      <c r="L260" s="2"/>
      <c r="M260" s="2" t="s">
        <v>77</v>
      </c>
      <c r="N260" s="2" t="s">
        <v>78</v>
      </c>
      <c r="O260" s="2"/>
      <c r="P260" s="2"/>
      <c r="Q260" s="2"/>
      <c r="R260" s="2"/>
      <c r="S260" s="2"/>
      <c r="T260" s="2" t="s">
        <v>5119</v>
      </c>
      <c r="U260" s="2" t="s">
        <v>5120</v>
      </c>
      <c r="V260" s="2" t="s">
        <v>5121</v>
      </c>
      <c r="W260" s="2" t="s">
        <v>5122</v>
      </c>
      <c r="X260" s="2" t="s">
        <v>5123</v>
      </c>
      <c r="Y260" s="2" t="s">
        <v>5124</v>
      </c>
      <c r="Z260" s="2" t="s">
        <v>5125</v>
      </c>
      <c r="AA260" s="2" t="s">
        <v>5126</v>
      </c>
      <c r="AB260" s="2" t="s">
        <v>5127</v>
      </c>
      <c r="AC260" s="2" t="s">
        <v>5128</v>
      </c>
      <c r="AD260" s="2" t="s">
        <v>5129</v>
      </c>
      <c r="AE260" s="2" t="s">
        <v>5130</v>
      </c>
      <c r="AF260" s="2"/>
      <c r="AG260" s="2" t="n">
        <v>29</v>
      </c>
      <c r="AH260" s="2" t="n">
        <v>2</v>
      </c>
      <c r="AI260" s="2" t="n">
        <v>3</v>
      </c>
      <c r="AJ260" s="2" t="n">
        <v>0</v>
      </c>
      <c r="AK260" s="2" t="n">
        <v>4</v>
      </c>
      <c r="AL260" s="2" t="s">
        <v>4987</v>
      </c>
      <c r="AM260" s="2" t="s">
        <v>2438</v>
      </c>
      <c r="AN260" s="2" t="s">
        <v>4988</v>
      </c>
      <c r="AO260" s="2" t="s">
        <v>4989</v>
      </c>
      <c r="AP260" s="2" t="s">
        <v>4990</v>
      </c>
      <c r="AQ260" s="2"/>
      <c r="AR260" s="2" t="s">
        <v>4991</v>
      </c>
      <c r="AS260" s="2" t="s">
        <v>4992</v>
      </c>
      <c r="AT260" s="2" t="s">
        <v>599</v>
      </c>
      <c r="AU260" s="2" t="n">
        <v>2018</v>
      </c>
      <c r="AV260" s="2" t="n">
        <v>6</v>
      </c>
      <c r="AW260" s="2" t="n">
        <v>3</v>
      </c>
      <c r="AX260" s="2"/>
      <c r="AY260" s="2"/>
      <c r="AZ260" s="2"/>
      <c r="BA260" s="2"/>
      <c r="BB260" s="2"/>
      <c r="BC260" s="2"/>
      <c r="BD260" s="2" t="s">
        <v>5131</v>
      </c>
      <c r="BE260" s="2" t="s">
        <v>5132</v>
      </c>
      <c r="BF260" s="2" t="str">
        <f aca="false">HYPERLINK("http://dx.doi.org/10.5812/pedinfect.12552","http://dx.doi.org/10.5812/pedinfect.12552")</f>
        <v>http://dx.doi.org/10.5812/pedinfect.12552</v>
      </c>
      <c r="BG260" s="2"/>
      <c r="BH260" s="2"/>
      <c r="BI260" s="2" t="n">
        <v>6</v>
      </c>
      <c r="BJ260" s="2" t="s">
        <v>601</v>
      </c>
      <c r="BK260" s="2" t="s">
        <v>339</v>
      </c>
      <c r="BL260" s="2" t="s">
        <v>601</v>
      </c>
      <c r="BM260" s="2" t="s">
        <v>5133</v>
      </c>
      <c r="BN260" s="2"/>
      <c r="BO260" s="2" t="s">
        <v>1355</v>
      </c>
      <c r="BP260" s="2"/>
      <c r="BQ260" s="2"/>
      <c r="BR260" s="2" t="s">
        <v>104</v>
      </c>
      <c r="BS260" s="2" t="s">
        <v>5134</v>
      </c>
      <c r="BT260" s="2" t="str">
        <f aca="false">HYPERLINK("https%3A%2F%2Fwww.webofscience.com%2Fwos%2Fwoscc%2Ffull-record%2FWOS:000438985000004","View Full Record in Web of Science")</f>
        <v>View Full Record in Web of Science</v>
      </c>
    </row>
    <row r="261" customFormat="false" ht="12.75" hidden="false" customHeight="false" outlineLevel="0" collapsed="false">
      <c r="A261" s="2" t="s">
        <v>72</v>
      </c>
      <c r="B261" s="2" t="s">
        <v>5135</v>
      </c>
      <c r="C261" s="2"/>
      <c r="D261" s="2"/>
      <c r="E261" s="2"/>
      <c r="F261" s="2" t="s">
        <v>5136</v>
      </c>
      <c r="G261" s="2"/>
      <c r="H261" s="2"/>
      <c r="I261" s="2" t="s">
        <v>5137</v>
      </c>
      <c r="J261" s="2" t="s">
        <v>770</v>
      </c>
      <c r="K261" s="2"/>
      <c r="L261" s="2"/>
      <c r="M261" s="2" t="s">
        <v>77</v>
      </c>
      <c r="N261" s="2" t="s">
        <v>78</v>
      </c>
      <c r="O261" s="2"/>
      <c r="P261" s="2"/>
      <c r="Q261" s="2"/>
      <c r="R261" s="2"/>
      <c r="S261" s="2"/>
      <c r="T261" s="2" t="s">
        <v>5138</v>
      </c>
      <c r="U261" s="2" t="s">
        <v>5139</v>
      </c>
      <c r="V261" s="2" t="s">
        <v>5140</v>
      </c>
      <c r="W261" s="2" t="s">
        <v>5141</v>
      </c>
      <c r="X261" s="2" t="s">
        <v>5142</v>
      </c>
      <c r="Y261" s="2" t="s">
        <v>5143</v>
      </c>
      <c r="Z261" s="2" t="s">
        <v>5144</v>
      </c>
      <c r="AA261" s="2"/>
      <c r="AB261" s="2" t="s">
        <v>5145</v>
      </c>
      <c r="AC261" s="2"/>
      <c r="AD261" s="2"/>
      <c r="AE261" s="2"/>
      <c r="AF261" s="2"/>
      <c r="AG261" s="2" t="n">
        <v>31</v>
      </c>
      <c r="AH261" s="2" t="n">
        <v>8</v>
      </c>
      <c r="AI261" s="2" t="n">
        <v>10</v>
      </c>
      <c r="AJ261" s="2" t="n">
        <v>0</v>
      </c>
      <c r="AK261" s="2" t="n">
        <v>2</v>
      </c>
      <c r="AL261" s="2" t="s">
        <v>782</v>
      </c>
      <c r="AM261" s="2" t="s">
        <v>783</v>
      </c>
      <c r="AN261" s="2" t="s">
        <v>784</v>
      </c>
      <c r="AO261" s="2" t="s">
        <v>785</v>
      </c>
      <c r="AP261" s="2" t="s">
        <v>786</v>
      </c>
      <c r="AQ261" s="2"/>
      <c r="AR261" s="2" t="s">
        <v>787</v>
      </c>
      <c r="AS261" s="2" t="s">
        <v>788</v>
      </c>
      <c r="AT261" s="2" t="s">
        <v>599</v>
      </c>
      <c r="AU261" s="2" t="n">
        <v>2022</v>
      </c>
      <c r="AV261" s="2" t="n">
        <v>120</v>
      </c>
      <c r="AW261" s="2"/>
      <c r="AX261" s="2"/>
      <c r="AY261" s="2"/>
      <c r="AZ261" s="2"/>
      <c r="BA261" s="2"/>
      <c r="BB261" s="2" t="n">
        <v>205</v>
      </c>
      <c r="BC261" s="2" t="n">
        <v>209</v>
      </c>
      <c r="BD261" s="2"/>
      <c r="BE261" s="2" t="s">
        <v>5146</v>
      </c>
      <c r="BF261" s="2" t="str">
        <f aca="false">HYPERLINK("http://dx.doi.org/10.1016/j.ijid.2022.04.037","http://dx.doi.org/10.1016/j.ijid.2022.04.037")</f>
        <v>http://dx.doi.org/10.1016/j.ijid.2022.04.037</v>
      </c>
      <c r="BG261" s="2"/>
      <c r="BH261" s="2" t="s">
        <v>1352</v>
      </c>
      <c r="BI261" s="2" t="n">
        <v>5</v>
      </c>
      <c r="BJ261" s="2" t="s">
        <v>575</v>
      </c>
      <c r="BK261" s="2" t="s">
        <v>100</v>
      </c>
      <c r="BL261" s="2" t="s">
        <v>575</v>
      </c>
      <c r="BM261" s="2" t="s">
        <v>5147</v>
      </c>
      <c r="BN261" s="2" t="n">
        <v>35472530</v>
      </c>
      <c r="BO261" s="2" t="s">
        <v>1355</v>
      </c>
      <c r="BP261" s="2"/>
      <c r="BQ261" s="2"/>
      <c r="BR261" s="2" t="s">
        <v>104</v>
      </c>
      <c r="BS261" s="2" t="s">
        <v>5148</v>
      </c>
      <c r="BT261" s="2" t="str">
        <f aca="false">HYPERLINK("https%3A%2F%2Fwww.webofscience.com%2Fwos%2Fwoscc%2Ffull-record%2FWOS:000812254300008","View Full Record in Web of Science")</f>
        <v>View Full Record in Web of Science</v>
      </c>
    </row>
    <row r="262" customFormat="false" ht="12.75" hidden="false" customHeight="false" outlineLevel="0" collapsed="false">
      <c r="A262" s="2" t="s">
        <v>72</v>
      </c>
      <c r="B262" s="2" t="s">
        <v>5149</v>
      </c>
      <c r="C262" s="2"/>
      <c r="D262" s="2"/>
      <c r="E262" s="2"/>
      <c r="F262" s="2" t="s">
        <v>5150</v>
      </c>
      <c r="G262" s="2"/>
      <c r="H262" s="2"/>
      <c r="I262" s="2" t="s">
        <v>5151</v>
      </c>
      <c r="J262" s="2" t="s">
        <v>5152</v>
      </c>
      <c r="K262" s="2"/>
      <c r="L262" s="2"/>
      <c r="M262" s="2" t="s">
        <v>77</v>
      </c>
      <c r="N262" s="2" t="s">
        <v>78</v>
      </c>
      <c r="O262" s="2"/>
      <c r="P262" s="2"/>
      <c r="Q262" s="2"/>
      <c r="R262" s="2"/>
      <c r="S262" s="2"/>
      <c r="T262" s="2" t="s">
        <v>5153</v>
      </c>
      <c r="U262" s="2" t="s">
        <v>5154</v>
      </c>
      <c r="V262" s="2" t="s">
        <v>5155</v>
      </c>
      <c r="W262" s="2" t="s">
        <v>5156</v>
      </c>
      <c r="X262" s="2" t="s">
        <v>5157</v>
      </c>
      <c r="Y262" s="2" t="s">
        <v>5158</v>
      </c>
      <c r="Z262" s="2" t="s">
        <v>5159</v>
      </c>
      <c r="AA262" s="2" t="s">
        <v>5160</v>
      </c>
      <c r="AB262" s="2" t="s">
        <v>5161</v>
      </c>
      <c r="AC262" s="2"/>
      <c r="AD262" s="2"/>
      <c r="AE262" s="2"/>
      <c r="AF262" s="2"/>
      <c r="AG262" s="2" t="n">
        <v>35</v>
      </c>
      <c r="AH262" s="2" t="n">
        <v>21</v>
      </c>
      <c r="AI262" s="2" t="n">
        <v>24</v>
      </c>
      <c r="AJ262" s="2" t="n">
        <v>0</v>
      </c>
      <c r="AK262" s="2" t="n">
        <v>3</v>
      </c>
      <c r="AL262" s="2" t="s">
        <v>5162</v>
      </c>
      <c r="AM262" s="2" t="s">
        <v>273</v>
      </c>
      <c r="AN262" s="2" t="s">
        <v>5163</v>
      </c>
      <c r="AO262" s="2" t="s">
        <v>5164</v>
      </c>
      <c r="AP262" s="2"/>
      <c r="AQ262" s="2"/>
      <c r="AR262" s="2" t="s">
        <v>5165</v>
      </c>
      <c r="AS262" s="2" t="s">
        <v>5166</v>
      </c>
      <c r="AT262" s="2" t="s">
        <v>185</v>
      </c>
      <c r="AU262" s="2" t="n">
        <v>2014</v>
      </c>
      <c r="AV262" s="2" t="n">
        <v>36</v>
      </c>
      <c r="AW262" s="2" t="n">
        <v>2</v>
      </c>
      <c r="AX262" s="2"/>
      <c r="AY262" s="2"/>
      <c r="AZ262" s="2"/>
      <c r="BA262" s="2"/>
      <c r="BB262" s="2" t="n">
        <v>101</v>
      </c>
      <c r="BC262" s="2" t="n">
        <v>109</v>
      </c>
      <c r="BD262" s="2"/>
      <c r="BE262" s="2"/>
      <c r="BF262" s="2"/>
      <c r="BG262" s="2"/>
      <c r="BH262" s="2"/>
      <c r="BI262" s="2" t="n">
        <v>9</v>
      </c>
      <c r="BJ262" s="2" t="s">
        <v>1353</v>
      </c>
      <c r="BK262" s="2" t="s">
        <v>5167</v>
      </c>
      <c r="BL262" s="2" t="s">
        <v>1353</v>
      </c>
      <c r="BM262" s="2" t="s">
        <v>5168</v>
      </c>
      <c r="BN262" s="2" t="n">
        <v>25345531</v>
      </c>
      <c r="BO262" s="2"/>
      <c r="BP262" s="2"/>
      <c r="BQ262" s="2"/>
      <c r="BR262" s="2" t="s">
        <v>104</v>
      </c>
      <c r="BS262" s="2" t="s">
        <v>5169</v>
      </c>
      <c r="BT262" s="2" t="str">
        <f aca="false">HYPERLINK("https%3A%2F%2Fwww.webofscience.com%2Fwos%2Fwoscc%2Ffull-record%2FWOS:000344473400005","View Full Record in Web of Science")</f>
        <v>View Full Record in Web of Science</v>
      </c>
    </row>
    <row r="263" customFormat="false" ht="12.75" hidden="false" customHeight="false" outlineLevel="0" collapsed="false">
      <c r="A263" s="2" t="s">
        <v>72</v>
      </c>
      <c r="B263" s="2" t="s">
        <v>5170</v>
      </c>
      <c r="C263" s="2"/>
      <c r="D263" s="2"/>
      <c r="E263" s="2"/>
      <c r="F263" s="2" t="s">
        <v>5171</v>
      </c>
      <c r="G263" s="2"/>
      <c r="H263" s="2"/>
      <c r="I263" s="2" t="s">
        <v>5172</v>
      </c>
      <c r="J263" s="2" t="s">
        <v>141</v>
      </c>
      <c r="K263" s="2"/>
      <c r="L263" s="2"/>
      <c r="M263" s="2" t="s">
        <v>77</v>
      </c>
      <c r="N263" s="2" t="s">
        <v>78</v>
      </c>
      <c r="O263" s="2"/>
      <c r="P263" s="2"/>
      <c r="Q263" s="2"/>
      <c r="R263" s="2"/>
      <c r="S263" s="2"/>
      <c r="T263" s="2" t="s">
        <v>5173</v>
      </c>
      <c r="U263" s="2" t="s">
        <v>5174</v>
      </c>
      <c r="V263" s="2" t="s">
        <v>5175</v>
      </c>
      <c r="W263" s="2" t="s">
        <v>5176</v>
      </c>
      <c r="X263" s="2" t="s">
        <v>5177</v>
      </c>
      <c r="Y263" s="2" t="s">
        <v>5178</v>
      </c>
      <c r="Z263" s="2" t="s">
        <v>5179</v>
      </c>
      <c r="AA263" s="2" t="s">
        <v>5180</v>
      </c>
      <c r="AB263" s="2" t="s">
        <v>5181</v>
      </c>
      <c r="AC263" s="2"/>
      <c r="AD263" s="2"/>
      <c r="AE263" s="2"/>
      <c r="AF263" s="2"/>
      <c r="AG263" s="2" t="n">
        <v>42</v>
      </c>
      <c r="AH263" s="2" t="n">
        <v>32</v>
      </c>
      <c r="AI263" s="2" t="n">
        <v>36</v>
      </c>
      <c r="AJ263" s="2" t="n">
        <v>0</v>
      </c>
      <c r="AK263" s="2" t="n">
        <v>7</v>
      </c>
      <c r="AL263" s="2" t="s">
        <v>154</v>
      </c>
      <c r="AM263" s="2" t="s">
        <v>155</v>
      </c>
      <c r="AN263" s="2" t="s">
        <v>156</v>
      </c>
      <c r="AO263" s="2" t="s">
        <v>157</v>
      </c>
      <c r="AP263" s="2" t="s">
        <v>158</v>
      </c>
      <c r="AQ263" s="2"/>
      <c r="AR263" s="2" t="s">
        <v>159</v>
      </c>
      <c r="AS263" s="2" t="s">
        <v>160</v>
      </c>
      <c r="AT263" s="2" t="s">
        <v>185</v>
      </c>
      <c r="AU263" s="2" t="n">
        <v>2012</v>
      </c>
      <c r="AV263" s="2" t="n">
        <v>84</v>
      </c>
      <c r="AW263" s="2" t="n">
        <v>8</v>
      </c>
      <c r="AX263" s="2"/>
      <c r="AY263" s="2"/>
      <c r="AZ263" s="2"/>
      <c r="BA263" s="2"/>
      <c r="BB263" s="2" t="n">
        <v>1323</v>
      </c>
      <c r="BC263" s="2" t="n">
        <v>1329</v>
      </c>
      <c r="BD263" s="2"/>
      <c r="BE263" s="2" t="s">
        <v>5182</v>
      </c>
      <c r="BF263" s="2" t="str">
        <f aca="false">HYPERLINK("http://dx.doi.org/10.1002/jmv.23330","http://dx.doi.org/10.1002/jmv.23330")</f>
        <v>http://dx.doi.org/10.1002/jmv.23330</v>
      </c>
      <c r="BG263" s="2"/>
      <c r="BH263" s="2"/>
      <c r="BI263" s="2" t="n">
        <v>7</v>
      </c>
      <c r="BJ263" s="2" t="s">
        <v>163</v>
      </c>
      <c r="BK263" s="2" t="s">
        <v>100</v>
      </c>
      <c r="BL263" s="2" t="s">
        <v>163</v>
      </c>
      <c r="BM263" s="2" t="s">
        <v>5183</v>
      </c>
      <c r="BN263" s="2" t="n">
        <v>22711362</v>
      </c>
      <c r="BO263" s="2" t="s">
        <v>165</v>
      </c>
      <c r="BP263" s="2"/>
      <c r="BQ263" s="2"/>
      <c r="BR263" s="2" t="s">
        <v>104</v>
      </c>
      <c r="BS263" s="2" t="s">
        <v>5184</v>
      </c>
      <c r="BT263" s="2" t="str">
        <f aca="false">HYPERLINK("https%3A%2F%2Fwww.webofscience.com%2Fwos%2Fwoscc%2Ffull-record%2FWOS:000305386800021","View Full Record in Web of Science")</f>
        <v>View Full Record in Web of Science</v>
      </c>
    </row>
    <row r="264" customFormat="false" ht="12.75" hidden="false" customHeight="false" outlineLevel="0" collapsed="false">
      <c r="A264" s="2" t="s">
        <v>72</v>
      </c>
      <c r="B264" s="2" t="s">
        <v>5185</v>
      </c>
      <c r="C264" s="2"/>
      <c r="D264" s="2"/>
      <c r="E264" s="2"/>
      <c r="F264" s="2" t="s">
        <v>5186</v>
      </c>
      <c r="G264" s="2"/>
      <c r="H264" s="2"/>
      <c r="I264" s="2" t="s">
        <v>5187</v>
      </c>
      <c r="J264" s="2" t="s">
        <v>141</v>
      </c>
      <c r="K264" s="2"/>
      <c r="L264" s="2"/>
      <c r="M264" s="2" t="s">
        <v>77</v>
      </c>
      <c r="N264" s="2" t="s">
        <v>78</v>
      </c>
      <c r="O264" s="2"/>
      <c r="P264" s="2"/>
      <c r="Q264" s="2"/>
      <c r="R264" s="2"/>
      <c r="S264" s="2"/>
      <c r="T264" s="2" t="s">
        <v>5188</v>
      </c>
      <c r="U264" s="2" t="s">
        <v>5189</v>
      </c>
      <c r="V264" s="2" t="s">
        <v>5190</v>
      </c>
      <c r="W264" s="2" t="s">
        <v>5191</v>
      </c>
      <c r="X264" s="2" t="s">
        <v>586</v>
      </c>
      <c r="Y264" s="2" t="s">
        <v>587</v>
      </c>
      <c r="Z264" s="2" t="s">
        <v>588</v>
      </c>
      <c r="AA264" s="2"/>
      <c r="AB264" s="2"/>
      <c r="AC264" s="2" t="s">
        <v>5192</v>
      </c>
      <c r="AD264" s="2" t="s">
        <v>5193</v>
      </c>
      <c r="AE264" s="2" t="s">
        <v>5194</v>
      </c>
      <c r="AF264" s="2"/>
      <c r="AG264" s="2" t="n">
        <v>30</v>
      </c>
      <c r="AH264" s="2" t="n">
        <v>12</v>
      </c>
      <c r="AI264" s="2" t="n">
        <v>16</v>
      </c>
      <c r="AJ264" s="2" t="n">
        <v>0</v>
      </c>
      <c r="AK264" s="2" t="n">
        <v>4</v>
      </c>
      <c r="AL264" s="2" t="s">
        <v>3813</v>
      </c>
      <c r="AM264" s="2" t="s">
        <v>155</v>
      </c>
      <c r="AN264" s="2" t="s">
        <v>156</v>
      </c>
      <c r="AO264" s="2" t="s">
        <v>157</v>
      </c>
      <c r="AP264" s="2" t="s">
        <v>158</v>
      </c>
      <c r="AQ264" s="2"/>
      <c r="AR264" s="2" t="s">
        <v>159</v>
      </c>
      <c r="AS264" s="2" t="s">
        <v>160</v>
      </c>
      <c r="AT264" s="2" t="s">
        <v>486</v>
      </c>
      <c r="AU264" s="2" t="n">
        <v>2016</v>
      </c>
      <c r="AV264" s="2" t="n">
        <v>88</v>
      </c>
      <c r="AW264" s="2" t="n">
        <v>6</v>
      </c>
      <c r="AX264" s="2"/>
      <c r="AY264" s="2"/>
      <c r="AZ264" s="2"/>
      <c r="BA264" s="2"/>
      <c r="BB264" s="2" t="n">
        <v>938</v>
      </c>
      <c r="BC264" s="2" t="n">
        <v>946</v>
      </c>
      <c r="BD264" s="2"/>
      <c r="BE264" s="2" t="s">
        <v>5195</v>
      </c>
      <c r="BF264" s="2" t="str">
        <f aca="false">HYPERLINK("http://dx.doi.org/10.1002/jmv.24434","http://dx.doi.org/10.1002/jmv.24434")</f>
        <v>http://dx.doi.org/10.1002/jmv.24434</v>
      </c>
      <c r="BG264" s="2"/>
      <c r="BH264" s="2"/>
      <c r="BI264" s="2" t="n">
        <v>9</v>
      </c>
      <c r="BJ264" s="2" t="s">
        <v>163</v>
      </c>
      <c r="BK264" s="2" t="s">
        <v>100</v>
      </c>
      <c r="BL264" s="2" t="s">
        <v>163</v>
      </c>
      <c r="BM264" s="2" t="s">
        <v>5196</v>
      </c>
      <c r="BN264" s="2" t="n">
        <v>26588816</v>
      </c>
      <c r="BO264" s="2"/>
      <c r="BP264" s="2"/>
      <c r="BQ264" s="2"/>
      <c r="BR264" s="2" t="s">
        <v>104</v>
      </c>
      <c r="BS264" s="2" t="s">
        <v>5197</v>
      </c>
      <c r="BT264" s="2" t="str">
        <f aca="false">HYPERLINK("https%3A%2F%2Fwww.webofscience.com%2Fwos%2Fwoscc%2Ffull-record%2FWOS:000373627000003","View Full Record in Web of Science")</f>
        <v>View Full Record in Web of Science</v>
      </c>
    </row>
    <row r="265" customFormat="false" ht="12.75" hidden="false" customHeight="false" outlineLevel="0" collapsed="false">
      <c r="A265" s="2" t="s">
        <v>72</v>
      </c>
      <c r="B265" s="2" t="s">
        <v>5198</v>
      </c>
      <c r="C265" s="2"/>
      <c r="D265" s="2"/>
      <c r="E265" s="2"/>
      <c r="F265" s="2" t="s">
        <v>5199</v>
      </c>
      <c r="G265" s="2"/>
      <c r="H265" s="2" t="s">
        <v>5200</v>
      </c>
      <c r="I265" s="2" t="s">
        <v>5201</v>
      </c>
      <c r="J265" s="2" t="s">
        <v>2021</v>
      </c>
      <c r="K265" s="2"/>
      <c r="L265" s="2"/>
      <c r="M265" s="2" t="s">
        <v>77</v>
      </c>
      <c r="N265" s="2" t="s">
        <v>78</v>
      </c>
      <c r="O265" s="2"/>
      <c r="P265" s="2"/>
      <c r="Q265" s="2"/>
      <c r="R265" s="2"/>
      <c r="S265" s="2"/>
      <c r="T265" s="2" t="s">
        <v>5202</v>
      </c>
      <c r="U265" s="2" t="s">
        <v>5203</v>
      </c>
      <c r="V265" s="2" t="s">
        <v>5204</v>
      </c>
      <c r="W265" s="2" t="s">
        <v>5205</v>
      </c>
      <c r="X265" s="2" t="s">
        <v>5206</v>
      </c>
      <c r="Y265" s="2" t="s">
        <v>5207</v>
      </c>
      <c r="Z265" s="2" t="s">
        <v>5208</v>
      </c>
      <c r="AA265" s="2" t="s">
        <v>5209</v>
      </c>
      <c r="AB265" s="2" t="s">
        <v>5210</v>
      </c>
      <c r="AC265" s="2" t="s">
        <v>5211</v>
      </c>
      <c r="AD265" s="2" t="s">
        <v>5212</v>
      </c>
      <c r="AE265" s="2"/>
      <c r="AF265" s="2"/>
      <c r="AG265" s="2" t="n">
        <v>50</v>
      </c>
      <c r="AH265" s="2" t="n">
        <v>45</v>
      </c>
      <c r="AI265" s="2" t="n">
        <v>51</v>
      </c>
      <c r="AJ265" s="2" t="n">
        <v>0</v>
      </c>
      <c r="AK265" s="2" t="n">
        <v>6</v>
      </c>
      <c r="AL265" s="2" t="s">
        <v>527</v>
      </c>
      <c r="AM265" s="2" t="s">
        <v>528</v>
      </c>
      <c r="AN265" s="2" t="s">
        <v>529</v>
      </c>
      <c r="AO265" s="2" t="s">
        <v>2033</v>
      </c>
      <c r="AP265" s="2" t="s">
        <v>2034</v>
      </c>
      <c r="AQ265" s="2"/>
      <c r="AR265" s="2" t="s">
        <v>2035</v>
      </c>
      <c r="AS265" s="2" t="s">
        <v>2036</v>
      </c>
      <c r="AT265" s="2" t="s">
        <v>1818</v>
      </c>
      <c r="AU265" s="2" t="n">
        <v>2017</v>
      </c>
      <c r="AV265" s="2" t="n">
        <v>64</v>
      </c>
      <c r="AW265" s="2" t="n">
        <v>4</v>
      </c>
      <c r="AX265" s="2"/>
      <c r="AY265" s="2"/>
      <c r="AZ265" s="2"/>
      <c r="BA265" s="2"/>
      <c r="BB265" s="2" t="n">
        <v>443</v>
      </c>
      <c r="BC265" s="2" t="n">
        <v>450</v>
      </c>
      <c r="BD265" s="2"/>
      <c r="BE265" s="2" t="s">
        <v>5213</v>
      </c>
      <c r="BF265" s="2" t="str">
        <f aca="false">HYPERLINK("http://dx.doi.org/10.1093/cid/ciw756","http://dx.doi.org/10.1093/cid/ciw756")</f>
        <v>http://dx.doi.org/10.1093/cid/ciw756</v>
      </c>
      <c r="BG265" s="2"/>
      <c r="BH265" s="2"/>
      <c r="BI265" s="2" t="n">
        <v>8</v>
      </c>
      <c r="BJ265" s="2" t="s">
        <v>536</v>
      </c>
      <c r="BK265" s="2" t="s">
        <v>100</v>
      </c>
      <c r="BL265" s="2" t="s">
        <v>536</v>
      </c>
      <c r="BM265" s="2" t="s">
        <v>5214</v>
      </c>
      <c r="BN265" s="2" t="n">
        <v>27927871</v>
      </c>
      <c r="BO265" s="2" t="s">
        <v>5215</v>
      </c>
      <c r="BP265" s="2"/>
      <c r="BQ265" s="2"/>
      <c r="BR265" s="2" t="s">
        <v>104</v>
      </c>
      <c r="BS265" s="2" t="s">
        <v>5216</v>
      </c>
      <c r="BT265" s="2" t="str">
        <f aca="false">HYPERLINK("https%3A%2F%2Fwww.webofscience.com%2Fwos%2Fwoscc%2Ffull-record%2FWOS:000397300900016","View Full Record in Web of Science")</f>
        <v>View Full Record in Web of Science</v>
      </c>
    </row>
    <row r="266" customFormat="false" ht="12.75" hidden="false" customHeight="false" outlineLevel="0" collapsed="false">
      <c r="A266" s="2" t="s">
        <v>72</v>
      </c>
      <c r="B266" s="2" t="s">
        <v>5217</v>
      </c>
      <c r="C266" s="2"/>
      <c r="D266" s="2"/>
      <c r="E266" s="2"/>
      <c r="F266" s="2" t="s">
        <v>5218</v>
      </c>
      <c r="G266" s="2"/>
      <c r="H266" s="2"/>
      <c r="I266" s="2" t="s">
        <v>5219</v>
      </c>
      <c r="J266" s="2" t="s">
        <v>4649</v>
      </c>
      <c r="K266" s="2"/>
      <c r="L266" s="2"/>
      <c r="M266" s="2" t="s">
        <v>77</v>
      </c>
      <c r="N266" s="2" t="s">
        <v>78</v>
      </c>
      <c r="O266" s="2"/>
      <c r="P266" s="2"/>
      <c r="Q266" s="2"/>
      <c r="R266" s="2"/>
      <c r="S266" s="2"/>
      <c r="T266" s="2" t="s">
        <v>5220</v>
      </c>
      <c r="U266" s="2" t="s">
        <v>5221</v>
      </c>
      <c r="V266" s="2" t="s">
        <v>5222</v>
      </c>
      <c r="W266" s="2" t="s">
        <v>5223</v>
      </c>
      <c r="X266" s="2" t="s">
        <v>5224</v>
      </c>
      <c r="Y266" s="2" t="s">
        <v>5225</v>
      </c>
      <c r="Z266" s="2" t="s">
        <v>5226</v>
      </c>
      <c r="AA266" s="2" t="s">
        <v>5227</v>
      </c>
      <c r="AB266" s="2" t="s">
        <v>5228</v>
      </c>
      <c r="AC266" s="2"/>
      <c r="AD266" s="2"/>
      <c r="AE266" s="2"/>
      <c r="AF266" s="2"/>
      <c r="AG266" s="2" t="n">
        <v>38</v>
      </c>
      <c r="AH266" s="2" t="n">
        <v>13</v>
      </c>
      <c r="AI266" s="2" t="n">
        <v>13</v>
      </c>
      <c r="AJ266" s="2" t="n">
        <v>0</v>
      </c>
      <c r="AK266" s="2" t="n">
        <v>6</v>
      </c>
      <c r="AL266" s="2" t="s">
        <v>122</v>
      </c>
      <c r="AM266" s="2" t="s">
        <v>123</v>
      </c>
      <c r="AN266" s="2" t="s">
        <v>124</v>
      </c>
      <c r="AO266" s="2" t="s">
        <v>4658</v>
      </c>
      <c r="AP266" s="2" t="s">
        <v>4659</v>
      </c>
      <c r="AQ266" s="2"/>
      <c r="AR266" s="2" t="s">
        <v>4660</v>
      </c>
      <c r="AS266" s="2" t="s">
        <v>4661</v>
      </c>
      <c r="AT266" s="2" t="s">
        <v>804</v>
      </c>
      <c r="AU266" s="2" t="n">
        <v>2016</v>
      </c>
      <c r="AV266" s="2" t="n">
        <v>24</v>
      </c>
      <c r="AW266" s="2" t="n">
        <v>6</v>
      </c>
      <c r="AX266" s="2"/>
      <c r="AY266" s="2"/>
      <c r="AZ266" s="2"/>
      <c r="BA266" s="2"/>
      <c r="BB266" s="2" t="n">
        <v>295</v>
      </c>
      <c r="BC266" s="2" t="n">
        <v>302</v>
      </c>
      <c r="BD266" s="2"/>
      <c r="BE266" s="2" t="s">
        <v>5229</v>
      </c>
      <c r="BF266" s="2" t="str">
        <f aca="false">HYPERLINK("http://dx.doi.org/10.1097/IPC.0000000000000455","http://dx.doi.org/10.1097/IPC.0000000000000455")</f>
        <v>http://dx.doi.org/10.1097/IPC.0000000000000455</v>
      </c>
      <c r="BG266" s="2"/>
      <c r="BH266" s="2"/>
      <c r="BI266" s="2" t="n">
        <v>8</v>
      </c>
      <c r="BJ266" s="2" t="s">
        <v>965</v>
      </c>
      <c r="BK266" s="2" t="s">
        <v>339</v>
      </c>
      <c r="BL266" s="2" t="s">
        <v>965</v>
      </c>
      <c r="BM266" s="2" t="s">
        <v>5230</v>
      </c>
      <c r="BN266" s="2"/>
      <c r="BO266" s="2"/>
      <c r="BP266" s="2"/>
      <c r="BQ266" s="2"/>
      <c r="BR266" s="2" t="s">
        <v>104</v>
      </c>
      <c r="BS266" s="2" t="s">
        <v>5231</v>
      </c>
      <c r="BT266" s="2" t="str">
        <f aca="false">HYPERLINK("https%3A%2F%2Fwww.webofscience.com%2Fwos%2Fwoscc%2Ffull-record%2FWOS:000387468200020","View Full Record in Web of Science")</f>
        <v>View Full Record in Web of Science</v>
      </c>
    </row>
    <row r="267" customFormat="false" ht="12.75" hidden="false" customHeight="false" outlineLevel="0" collapsed="false">
      <c r="A267" s="2" t="s">
        <v>72</v>
      </c>
      <c r="B267" s="2" t="s">
        <v>5232</v>
      </c>
      <c r="C267" s="2"/>
      <c r="D267" s="2"/>
      <c r="E267" s="2"/>
      <c r="F267" s="2" t="s">
        <v>5233</v>
      </c>
      <c r="G267" s="2"/>
      <c r="H267" s="2"/>
      <c r="I267" s="2" t="s">
        <v>5234</v>
      </c>
      <c r="J267" s="2" t="s">
        <v>2021</v>
      </c>
      <c r="K267" s="2"/>
      <c r="L267" s="2"/>
      <c r="M267" s="2" t="s">
        <v>77</v>
      </c>
      <c r="N267" s="2" t="s">
        <v>78</v>
      </c>
      <c r="O267" s="2"/>
      <c r="P267" s="2"/>
      <c r="Q267" s="2"/>
      <c r="R267" s="2"/>
      <c r="S267" s="2"/>
      <c r="T267" s="2" t="s">
        <v>5235</v>
      </c>
      <c r="U267" s="2" t="s">
        <v>5236</v>
      </c>
      <c r="V267" s="2" t="s">
        <v>5237</v>
      </c>
      <c r="W267" s="2" t="s">
        <v>5238</v>
      </c>
      <c r="X267" s="2" t="s">
        <v>5239</v>
      </c>
      <c r="Y267" s="2" t="s">
        <v>5240</v>
      </c>
      <c r="Z267" s="2" t="s">
        <v>5241</v>
      </c>
      <c r="AA267" s="2" t="s">
        <v>5242</v>
      </c>
      <c r="AB267" s="2" t="s">
        <v>5243</v>
      </c>
      <c r="AC267" s="2" t="s">
        <v>5244</v>
      </c>
      <c r="AD267" s="2" t="s">
        <v>5245</v>
      </c>
      <c r="AE267" s="2" t="s">
        <v>5246</v>
      </c>
      <c r="AF267" s="2"/>
      <c r="AG267" s="2" t="n">
        <v>35</v>
      </c>
      <c r="AH267" s="2" t="n">
        <v>50</v>
      </c>
      <c r="AI267" s="2" t="n">
        <v>54</v>
      </c>
      <c r="AJ267" s="2" t="n">
        <v>0</v>
      </c>
      <c r="AK267" s="2" t="n">
        <v>12</v>
      </c>
      <c r="AL267" s="2" t="s">
        <v>527</v>
      </c>
      <c r="AM267" s="2" t="s">
        <v>528</v>
      </c>
      <c r="AN267" s="2" t="s">
        <v>529</v>
      </c>
      <c r="AO267" s="2" t="s">
        <v>2033</v>
      </c>
      <c r="AP267" s="2" t="s">
        <v>2034</v>
      </c>
      <c r="AQ267" s="2"/>
      <c r="AR267" s="2" t="s">
        <v>2035</v>
      </c>
      <c r="AS267" s="2" t="s">
        <v>2036</v>
      </c>
      <c r="AT267" s="2" t="s">
        <v>5247</v>
      </c>
      <c r="AU267" s="2" t="n">
        <v>2017</v>
      </c>
      <c r="AV267" s="2" t="n">
        <v>65</v>
      </c>
      <c r="AW267" s="2" t="n">
        <v>6</v>
      </c>
      <c r="AX267" s="2"/>
      <c r="AY267" s="2"/>
      <c r="AZ267" s="2"/>
      <c r="BA267" s="2"/>
      <c r="BB267" s="2" t="n">
        <v>1020</v>
      </c>
      <c r="BC267" s="2" t="n">
        <v>1025</v>
      </c>
      <c r="BD267" s="2"/>
      <c r="BE267" s="2" t="s">
        <v>5248</v>
      </c>
      <c r="BF267" s="2" t="str">
        <f aca="false">HYPERLINK("http://dx.doi.org/10.1093/cid/cix432","http://dx.doi.org/10.1093/cid/cix432")</f>
        <v>http://dx.doi.org/10.1093/cid/cix432</v>
      </c>
      <c r="BG267" s="2"/>
      <c r="BH267" s="2"/>
      <c r="BI267" s="2" t="n">
        <v>6</v>
      </c>
      <c r="BJ267" s="2" t="s">
        <v>536</v>
      </c>
      <c r="BK267" s="2" t="s">
        <v>100</v>
      </c>
      <c r="BL267" s="2" t="s">
        <v>536</v>
      </c>
      <c r="BM267" s="2" t="s">
        <v>5249</v>
      </c>
      <c r="BN267" s="2" t="n">
        <v>28903503</v>
      </c>
      <c r="BO267" s="2" t="s">
        <v>284</v>
      </c>
      <c r="BP267" s="2"/>
      <c r="BQ267" s="2"/>
      <c r="BR267" s="2" t="s">
        <v>104</v>
      </c>
      <c r="BS267" s="2" t="s">
        <v>5250</v>
      </c>
      <c r="BT267" s="2" t="str">
        <f aca="false">HYPERLINK("https%3A%2F%2Fwww.webofscience.com%2Fwos%2Fwoscc%2Ffull-record%2FWOS:000408704100021","View Full Record in Web of Science")</f>
        <v>View Full Record in Web of Science</v>
      </c>
    </row>
    <row r="268" customFormat="false" ht="12.75" hidden="false" customHeight="false" outlineLevel="0" collapsed="false">
      <c r="A268" s="2" t="s">
        <v>72</v>
      </c>
      <c r="B268" s="2" t="s">
        <v>5251</v>
      </c>
      <c r="C268" s="2"/>
      <c r="D268" s="2"/>
      <c r="E268" s="2"/>
      <c r="F268" s="2" t="s">
        <v>5252</v>
      </c>
      <c r="G268" s="2"/>
      <c r="H268" s="2"/>
      <c r="I268" s="2" t="s">
        <v>5253</v>
      </c>
      <c r="J268" s="2" t="s">
        <v>3928</v>
      </c>
      <c r="K268" s="2"/>
      <c r="L268" s="2"/>
      <c r="M268" s="2" t="s">
        <v>77</v>
      </c>
      <c r="N268" s="2" t="s">
        <v>78</v>
      </c>
      <c r="O268" s="2"/>
      <c r="P268" s="2"/>
      <c r="Q268" s="2"/>
      <c r="R268" s="2"/>
      <c r="S268" s="2"/>
      <c r="T268" s="2" t="s">
        <v>5254</v>
      </c>
      <c r="U268" s="2" t="s">
        <v>5255</v>
      </c>
      <c r="V268" s="2" t="s">
        <v>5256</v>
      </c>
      <c r="W268" s="2" t="s">
        <v>5257</v>
      </c>
      <c r="X268" s="2" t="s">
        <v>5258</v>
      </c>
      <c r="Y268" s="2" t="s">
        <v>5259</v>
      </c>
      <c r="Z268" s="2" t="s">
        <v>5260</v>
      </c>
      <c r="AA268" s="2"/>
      <c r="AB268" s="2" t="s">
        <v>5261</v>
      </c>
      <c r="AC268" s="2"/>
      <c r="AD268" s="2"/>
      <c r="AE268" s="2"/>
      <c r="AF268" s="2"/>
      <c r="AG268" s="2" t="n">
        <v>73</v>
      </c>
      <c r="AH268" s="2" t="n">
        <v>23</v>
      </c>
      <c r="AI268" s="2" t="n">
        <v>25</v>
      </c>
      <c r="AJ268" s="2" t="n">
        <v>0</v>
      </c>
      <c r="AK268" s="2" t="n">
        <v>3</v>
      </c>
      <c r="AL268" s="2" t="s">
        <v>592</v>
      </c>
      <c r="AM268" s="2" t="s">
        <v>593</v>
      </c>
      <c r="AN268" s="2" t="s">
        <v>859</v>
      </c>
      <c r="AO268" s="2" t="s">
        <v>3936</v>
      </c>
      <c r="AP268" s="2" t="s">
        <v>3937</v>
      </c>
      <c r="AQ268" s="2"/>
      <c r="AR268" s="2" t="s">
        <v>3938</v>
      </c>
      <c r="AS268" s="2" t="s">
        <v>3939</v>
      </c>
      <c r="AT268" s="2" t="s">
        <v>599</v>
      </c>
      <c r="AU268" s="2" t="n">
        <v>2015</v>
      </c>
      <c r="AV268" s="2" t="n">
        <v>17</v>
      </c>
      <c r="AW268" s="2" t="n">
        <v>7</v>
      </c>
      <c r="AX268" s="2"/>
      <c r="AY268" s="2"/>
      <c r="AZ268" s="2"/>
      <c r="BA268" s="2"/>
      <c r="BB268" s="2"/>
      <c r="BC268" s="2"/>
      <c r="BD268" s="2" t="n">
        <v>38</v>
      </c>
      <c r="BE268" s="2" t="s">
        <v>5262</v>
      </c>
      <c r="BF268" s="2" t="str">
        <f aca="false">HYPERLINK("http://dx.doi.org/10.1007/s11908-015-0490-9","http://dx.doi.org/10.1007/s11908-015-0490-9")</f>
        <v>http://dx.doi.org/10.1007/s11908-015-0490-9</v>
      </c>
      <c r="BG268" s="2"/>
      <c r="BH268" s="2"/>
      <c r="BI268" s="2" t="n">
        <v>8</v>
      </c>
      <c r="BJ268" s="2" t="s">
        <v>575</v>
      </c>
      <c r="BK268" s="2" t="s">
        <v>100</v>
      </c>
      <c r="BL268" s="2" t="s">
        <v>575</v>
      </c>
      <c r="BM268" s="2" t="s">
        <v>5263</v>
      </c>
      <c r="BN268" s="2" t="n">
        <v>26068871</v>
      </c>
      <c r="BO268" s="2" t="s">
        <v>656</v>
      </c>
      <c r="BP268" s="2"/>
      <c r="BQ268" s="2"/>
      <c r="BR268" s="2" t="s">
        <v>104</v>
      </c>
      <c r="BS268" s="2" t="s">
        <v>5264</v>
      </c>
      <c r="BT268" s="2" t="str">
        <f aca="false">HYPERLINK("https%3A%2F%2Fwww.webofscience.com%2Fwos%2Fwoscc%2Ffull-record%2FWOS:000356540100002","View Full Record in Web of Science")</f>
        <v>View Full Record in Web of Science</v>
      </c>
    </row>
    <row r="269" customFormat="false" ht="12.75" hidden="false" customHeight="false" outlineLevel="0" collapsed="false">
      <c r="A269" s="2" t="s">
        <v>72</v>
      </c>
      <c r="B269" s="2" t="s">
        <v>5265</v>
      </c>
      <c r="C269" s="2"/>
      <c r="D269" s="2"/>
      <c r="E269" s="2"/>
      <c r="F269" s="2" t="s">
        <v>5266</v>
      </c>
      <c r="G269" s="2"/>
      <c r="H269" s="2"/>
      <c r="I269" s="2" t="s">
        <v>5267</v>
      </c>
      <c r="J269" s="2" t="s">
        <v>514</v>
      </c>
      <c r="K269" s="2"/>
      <c r="L269" s="2"/>
      <c r="M269" s="2" t="s">
        <v>77</v>
      </c>
      <c r="N269" s="2" t="s">
        <v>78</v>
      </c>
      <c r="O269" s="2"/>
      <c r="P269" s="2"/>
      <c r="Q269" s="2"/>
      <c r="R269" s="2"/>
      <c r="S269" s="2"/>
      <c r="T269" s="2" t="s">
        <v>5268</v>
      </c>
      <c r="U269" s="2" t="s">
        <v>5269</v>
      </c>
      <c r="V269" s="2" t="s">
        <v>5270</v>
      </c>
      <c r="W269" s="2" t="s">
        <v>5271</v>
      </c>
      <c r="X269" s="2" t="s">
        <v>5272</v>
      </c>
      <c r="Y269" s="2" t="s">
        <v>5273</v>
      </c>
      <c r="Z269" s="2" t="s">
        <v>5274</v>
      </c>
      <c r="AA269" s="2" t="s">
        <v>5275</v>
      </c>
      <c r="AB269" s="2" t="s">
        <v>5276</v>
      </c>
      <c r="AC269" s="2" t="s">
        <v>5277</v>
      </c>
      <c r="AD269" s="2" t="s">
        <v>5278</v>
      </c>
      <c r="AE269" s="2" t="s">
        <v>5279</v>
      </c>
      <c r="AF269" s="2"/>
      <c r="AG269" s="2" t="n">
        <v>178</v>
      </c>
      <c r="AH269" s="2" t="n">
        <v>95</v>
      </c>
      <c r="AI269" s="2" t="n">
        <v>97</v>
      </c>
      <c r="AJ269" s="2" t="n">
        <v>0</v>
      </c>
      <c r="AK269" s="2" t="n">
        <v>16</v>
      </c>
      <c r="AL269" s="2" t="s">
        <v>527</v>
      </c>
      <c r="AM269" s="2" t="s">
        <v>528</v>
      </c>
      <c r="AN269" s="2" t="s">
        <v>529</v>
      </c>
      <c r="AO269" s="2" t="s">
        <v>530</v>
      </c>
      <c r="AP269" s="2" t="s">
        <v>531</v>
      </c>
      <c r="AQ269" s="2"/>
      <c r="AR269" s="2" t="s">
        <v>532</v>
      </c>
      <c r="AS269" s="2" t="s">
        <v>533</v>
      </c>
      <c r="AT269" s="2" t="s">
        <v>4214</v>
      </c>
      <c r="AU269" s="2" t="n">
        <v>2015</v>
      </c>
      <c r="AV269" s="2" t="n">
        <v>211</v>
      </c>
      <c r="AW269" s="2"/>
      <c r="AX269" s="2"/>
      <c r="AY269" s="2" t="n">
        <v>1</v>
      </c>
      <c r="AZ269" s="2"/>
      <c r="BA269" s="2"/>
      <c r="BB269" s="2" t="s">
        <v>5280</v>
      </c>
      <c r="BC269" s="2" t="s">
        <v>5281</v>
      </c>
      <c r="BD269" s="2"/>
      <c r="BE269" s="2" t="s">
        <v>5282</v>
      </c>
      <c r="BF269" s="2" t="str">
        <f aca="false">HYPERLINK("http://dx.doi.org/10.1093/infdis/jiu828","http://dx.doi.org/10.1093/infdis/jiu828")</f>
        <v>http://dx.doi.org/10.1093/infdis/jiu828</v>
      </c>
      <c r="BG269" s="2"/>
      <c r="BH269" s="2"/>
      <c r="BI269" s="2" t="n">
        <v>20</v>
      </c>
      <c r="BJ269" s="2" t="s">
        <v>536</v>
      </c>
      <c r="BK269" s="2" t="s">
        <v>100</v>
      </c>
      <c r="BL269" s="2" t="s">
        <v>536</v>
      </c>
      <c r="BM269" s="2" t="s">
        <v>5283</v>
      </c>
      <c r="BN269" s="2" t="n">
        <v>25713060</v>
      </c>
      <c r="BO269" s="2" t="s">
        <v>1687</v>
      </c>
      <c r="BP269" s="2"/>
      <c r="BQ269" s="2"/>
      <c r="BR269" s="2" t="s">
        <v>104</v>
      </c>
      <c r="BS269" s="2" t="s">
        <v>5284</v>
      </c>
      <c r="BT269" s="2" t="str">
        <f aca="false">HYPERLINK("https%3A%2F%2Fwww.webofscience.com%2Fwos%2Fwoscc%2Ffull-record%2FWOS:000351632200001","View Full Record in Web of Science")</f>
        <v>View Full Record in Web of Science</v>
      </c>
    </row>
    <row r="270" customFormat="false" ht="12.75" hidden="false" customHeight="false" outlineLevel="0" collapsed="false">
      <c r="A270" s="2" t="s">
        <v>72</v>
      </c>
      <c r="B270" s="2" t="s">
        <v>5285</v>
      </c>
      <c r="C270" s="2"/>
      <c r="D270" s="2"/>
      <c r="E270" s="2"/>
      <c r="F270" s="2" t="s">
        <v>5286</v>
      </c>
      <c r="G270" s="2"/>
      <c r="H270" s="2"/>
      <c r="I270" s="2" t="s">
        <v>5287</v>
      </c>
      <c r="J270" s="2" t="s">
        <v>2222</v>
      </c>
      <c r="K270" s="2"/>
      <c r="L270" s="2"/>
      <c r="M270" s="2" t="s">
        <v>77</v>
      </c>
      <c r="N270" s="2" t="s">
        <v>78</v>
      </c>
      <c r="O270" s="2"/>
      <c r="P270" s="2"/>
      <c r="Q270" s="2"/>
      <c r="R270" s="2"/>
      <c r="S270" s="2"/>
      <c r="T270" s="2" t="s">
        <v>5288</v>
      </c>
      <c r="U270" s="2" t="s">
        <v>5289</v>
      </c>
      <c r="V270" s="2" t="s">
        <v>5290</v>
      </c>
      <c r="W270" s="2" t="s">
        <v>5291</v>
      </c>
      <c r="X270" s="2" t="s">
        <v>5292</v>
      </c>
      <c r="Y270" s="2" t="s">
        <v>5293</v>
      </c>
      <c r="Z270" s="2" t="s">
        <v>5294</v>
      </c>
      <c r="AA270" s="2"/>
      <c r="AB270" s="2" t="s">
        <v>5295</v>
      </c>
      <c r="AC270" s="2" t="s">
        <v>5296</v>
      </c>
      <c r="AD270" s="2" t="s">
        <v>5296</v>
      </c>
      <c r="AE270" s="2" t="s">
        <v>5297</v>
      </c>
      <c r="AF270" s="2"/>
      <c r="AG270" s="2" t="n">
        <v>37</v>
      </c>
      <c r="AH270" s="2" t="n">
        <v>2</v>
      </c>
      <c r="AI270" s="2" t="n">
        <v>2</v>
      </c>
      <c r="AJ270" s="2" t="n">
        <v>2</v>
      </c>
      <c r="AK270" s="2" t="n">
        <v>2</v>
      </c>
      <c r="AL270" s="2" t="s">
        <v>755</v>
      </c>
      <c r="AM270" s="2" t="s">
        <v>273</v>
      </c>
      <c r="AN270" s="2" t="s">
        <v>756</v>
      </c>
      <c r="AO270" s="2" t="s">
        <v>2234</v>
      </c>
      <c r="AP270" s="2" t="s">
        <v>2235</v>
      </c>
      <c r="AQ270" s="2"/>
      <c r="AR270" s="2" t="s">
        <v>2236</v>
      </c>
      <c r="AS270" s="2" t="s">
        <v>2237</v>
      </c>
      <c r="AT270" s="2" t="s">
        <v>573</v>
      </c>
      <c r="AU270" s="2" t="n">
        <v>2024</v>
      </c>
      <c r="AV270" s="2" t="n">
        <v>62</v>
      </c>
      <c r="AW270" s="2" t="n">
        <v>3</v>
      </c>
      <c r="AX270" s="2"/>
      <c r="AY270" s="2"/>
      <c r="AZ270" s="2"/>
      <c r="BA270" s="2"/>
      <c r="BB270" s="2"/>
      <c r="BC270" s="2"/>
      <c r="BD270" s="2"/>
      <c r="BE270" s="2" t="s">
        <v>5298</v>
      </c>
      <c r="BF270" s="2" t="str">
        <f aca="false">HYPERLINK("http://dx.doi.org/10.1128/jcm.01111-23","http://dx.doi.org/10.1128/jcm.01111-23")</f>
        <v>http://dx.doi.org/10.1128/jcm.01111-23</v>
      </c>
      <c r="BG270" s="2"/>
      <c r="BH270" s="2" t="s">
        <v>5299</v>
      </c>
      <c r="BI270" s="2" t="n">
        <v>14</v>
      </c>
      <c r="BJ270" s="2" t="s">
        <v>211</v>
      </c>
      <c r="BK270" s="2" t="s">
        <v>100</v>
      </c>
      <c r="BL270" s="2" t="s">
        <v>211</v>
      </c>
      <c r="BM270" s="2" t="s">
        <v>5300</v>
      </c>
      <c r="BN270" s="2" t="n">
        <v>38407068</v>
      </c>
      <c r="BO270" s="2" t="s">
        <v>165</v>
      </c>
      <c r="BP270" s="2"/>
      <c r="BQ270" s="2"/>
      <c r="BR270" s="2" t="s">
        <v>104</v>
      </c>
      <c r="BS270" s="2" t="s">
        <v>5301</v>
      </c>
      <c r="BT270" s="2" t="str">
        <f aca="false">HYPERLINK("https%3A%2F%2Fwww.webofscience.com%2Fwos%2Fwoscc%2Ffull-record%2FWOS:001176579200001","View Full Record in Web of Science")</f>
        <v>View Full Record in Web of Science</v>
      </c>
    </row>
    <row r="271" customFormat="false" ht="12.75" hidden="false" customHeight="false" outlineLevel="0" collapsed="false">
      <c r="A271" s="2" t="s">
        <v>72</v>
      </c>
      <c r="B271" s="2" t="s">
        <v>5302</v>
      </c>
      <c r="C271" s="2"/>
      <c r="D271" s="2"/>
      <c r="E271" s="2"/>
      <c r="F271" s="2" t="s">
        <v>5303</v>
      </c>
      <c r="G271" s="2"/>
      <c r="H271" s="2"/>
      <c r="I271" s="2" t="s">
        <v>5304</v>
      </c>
      <c r="J271" s="2" t="s">
        <v>5305</v>
      </c>
      <c r="K271" s="2"/>
      <c r="L271" s="2"/>
      <c r="M271" s="2" t="s">
        <v>77</v>
      </c>
      <c r="N271" s="2" t="s">
        <v>78</v>
      </c>
      <c r="O271" s="2"/>
      <c r="P271" s="2"/>
      <c r="Q271" s="2"/>
      <c r="R271" s="2"/>
      <c r="S271" s="2"/>
      <c r="T271" s="2" t="s">
        <v>5306</v>
      </c>
      <c r="U271" s="2" t="s">
        <v>5307</v>
      </c>
      <c r="V271" s="2" t="s">
        <v>5308</v>
      </c>
      <c r="W271" s="2" t="s">
        <v>5309</v>
      </c>
      <c r="X271" s="2" t="s">
        <v>5310</v>
      </c>
      <c r="Y271" s="2" t="s">
        <v>5311</v>
      </c>
      <c r="Z271" s="2" t="s">
        <v>5312</v>
      </c>
      <c r="AA271" s="2" t="s">
        <v>5313</v>
      </c>
      <c r="AB271" s="2" t="s">
        <v>5314</v>
      </c>
      <c r="AC271" s="2" t="s">
        <v>5315</v>
      </c>
      <c r="AD271" s="2" t="s">
        <v>5316</v>
      </c>
      <c r="AE271" s="2" t="s">
        <v>5317</v>
      </c>
      <c r="AF271" s="2"/>
      <c r="AG271" s="2" t="n">
        <v>31</v>
      </c>
      <c r="AH271" s="2" t="n">
        <v>2</v>
      </c>
      <c r="AI271" s="2" t="n">
        <v>2</v>
      </c>
      <c r="AJ271" s="2" t="n">
        <v>0</v>
      </c>
      <c r="AK271" s="2" t="n">
        <v>2</v>
      </c>
      <c r="AL271" s="2" t="s">
        <v>620</v>
      </c>
      <c r="AM271" s="2" t="s">
        <v>621</v>
      </c>
      <c r="AN271" s="2" t="s">
        <v>622</v>
      </c>
      <c r="AO271" s="2"/>
      <c r="AP271" s="2" t="s">
        <v>5318</v>
      </c>
      <c r="AQ271" s="2"/>
      <c r="AR271" s="2" t="s">
        <v>5319</v>
      </c>
      <c r="AS271" s="2" t="s">
        <v>5320</v>
      </c>
      <c r="AT271" s="2" t="s">
        <v>5321</v>
      </c>
      <c r="AU271" s="2" t="n">
        <v>2022</v>
      </c>
      <c r="AV271" s="2" t="n">
        <v>9</v>
      </c>
      <c r="AW271" s="2"/>
      <c r="AX271" s="2"/>
      <c r="AY271" s="2"/>
      <c r="AZ271" s="2"/>
      <c r="BA271" s="2"/>
      <c r="BB271" s="2"/>
      <c r="BC271" s="2"/>
      <c r="BD271" s="2" t="n">
        <v>866494</v>
      </c>
      <c r="BE271" s="2" t="s">
        <v>5322</v>
      </c>
      <c r="BF271" s="2" t="str">
        <f aca="false">HYPERLINK("http://dx.doi.org/10.3389/fmed.2022.866494","http://dx.doi.org/10.3389/fmed.2022.866494")</f>
        <v>http://dx.doi.org/10.3389/fmed.2022.866494</v>
      </c>
      <c r="BG271" s="2"/>
      <c r="BH271" s="2"/>
      <c r="BI271" s="2" t="n">
        <v>11</v>
      </c>
      <c r="BJ271" s="2" t="s">
        <v>363</v>
      </c>
      <c r="BK271" s="2" t="s">
        <v>100</v>
      </c>
      <c r="BL271" s="2" t="s">
        <v>364</v>
      </c>
      <c r="BM271" s="2" t="s">
        <v>5323</v>
      </c>
      <c r="BN271" s="2" t="n">
        <v>35572955</v>
      </c>
      <c r="BO271" s="2" t="s">
        <v>190</v>
      </c>
      <c r="BP271" s="2"/>
      <c r="BQ271" s="2"/>
      <c r="BR271" s="2" t="s">
        <v>104</v>
      </c>
      <c r="BS271" s="2" t="s">
        <v>5324</v>
      </c>
      <c r="BT271" s="2" t="str">
        <f aca="false">HYPERLINK("https%3A%2F%2Fwww.webofscience.com%2Fwos%2Fwoscc%2Ffull-record%2FWOS:000796381300001","View Full Record in Web of Science")</f>
        <v>View Full Record in Web of Science</v>
      </c>
    </row>
    <row r="272" customFormat="false" ht="12.75" hidden="false" customHeight="false" outlineLevel="0" collapsed="false">
      <c r="A272" s="2" t="s">
        <v>72</v>
      </c>
      <c r="B272" s="2" t="s">
        <v>5325</v>
      </c>
      <c r="C272" s="2"/>
      <c r="D272" s="2"/>
      <c r="E272" s="2"/>
      <c r="F272" s="2" t="s">
        <v>5326</v>
      </c>
      <c r="G272" s="2"/>
      <c r="H272" s="2"/>
      <c r="I272" s="2" t="s">
        <v>5327</v>
      </c>
      <c r="J272" s="2" t="s">
        <v>141</v>
      </c>
      <c r="K272" s="2"/>
      <c r="L272" s="2"/>
      <c r="M272" s="2" t="s">
        <v>77</v>
      </c>
      <c r="N272" s="2" t="s">
        <v>78</v>
      </c>
      <c r="O272" s="2"/>
      <c r="P272" s="2"/>
      <c r="Q272" s="2"/>
      <c r="R272" s="2"/>
      <c r="S272" s="2"/>
      <c r="T272" s="2" t="s">
        <v>5328</v>
      </c>
      <c r="U272" s="2" t="s">
        <v>5329</v>
      </c>
      <c r="V272" s="2" t="s">
        <v>5330</v>
      </c>
      <c r="W272" s="2" t="s">
        <v>5331</v>
      </c>
      <c r="X272" s="2" t="s">
        <v>5332</v>
      </c>
      <c r="Y272" s="2" t="s">
        <v>5333</v>
      </c>
      <c r="Z272" s="2" t="s">
        <v>5334</v>
      </c>
      <c r="AA272" s="2" t="s">
        <v>4210</v>
      </c>
      <c r="AB272" s="2"/>
      <c r="AC272" s="2"/>
      <c r="AD272" s="2"/>
      <c r="AE272" s="2"/>
      <c r="AF272" s="2"/>
      <c r="AG272" s="2" t="n">
        <v>38</v>
      </c>
      <c r="AH272" s="2" t="n">
        <v>159</v>
      </c>
      <c r="AI272" s="2" t="n">
        <v>171</v>
      </c>
      <c r="AJ272" s="2" t="n">
        <v>0</v>
      </c>
      <c r="AK272" s="2" t="n">
        <v>3</v>
      </c>
      <c r="AL272" s="2" t="s">
        <v>2746</v>
      </c>
      <c r="AM272" s="2" t="s">
        <v>155</v>
      </c>
      <c r="AN272" s="2" t="s">
        <v>2747</v>
      </c>
      <c r="AO272" s="2" t="s">
        <v>157</v>
      </c>
      <c r="AP272" s="2"/>
      <c r="AQ272" s="2"/>
      <c r="AR272" s="2" t="s">
        <v>159</v>
      </c>
      <c r="AS272" s="2" t="s">
        <v>160</v>
      </c>
      <c r="AT272" s="2" t="s">
        <v>599</v>
      </c>
      <c r="AU272" s="2" t="n">
        <v>2010</v>
      </c>
      <c r="AV272" s="2" t="n">
        <v>82</v>
      </c>
      <c r="AW272" s="2" t="n">
        <v>7</v>
      </c>
      <c r="AX272" s="2"/>
      <c r="AY272" s="2"/>
      <c r="AZ272" s="2"/>
      <c r="BA272" s="2"/>
      <c r="BB272" s="2" t="n">
        <v>1282</v>
      </c>
      <c r="BC272" s="2" t="n">
        <v>1290</v>
      </c>
      <c r="BD272" s="2"/>
      <c r="BE272" s="2" t="s">
        <v>5335</v>
      </c>
      <c r="BF272" s="2" t="str">
        <f aca="false">HYPERLINK("http://dx.doi.org/10.1002/jmv.21790","http://dx.doi.org/10.1002/jmv.21790")</f>
        <v>http://dx.doi.org/10.1002/jmv.21790</v>
      </c>
      <c r="BG272" s="2"/>
      <c r="BH272" s="2"/>
      <c r="BI272" s="2" t="n">
        <v>9</v>
      </c>
      <c r="BJ272" s="2" t="s">
        <v>163</v>
      </c>
      <c r="BK272" s="2" t="s">
        <v>100</v>
      </c>
      <c r="BL272" s="2" t="s">
        <v>163</v>
      </c>
      <c r="BM272" s="2" t="s">
        <v>5336</v>
      </c>
      <c r="BN272" s="2" t="n">
        <v>20513097</v>
      </c>
      <c r="BO272" s="2" t="s">
        <v>284</v>
      </c>
      <c r="BP272" s="2"/>
      <c r="BQ272" s="2"/>
      <c r="BR272" s="2" t="s">
        <v>104</v>
      </c>
      <c r="BS272" s="2" t="s">
        <v>5337</v>
      </c>
      <c r="BT272" s="2" t="str">
        <f aca="false">HYPERLINK("https%3A%2F%2Fwww.webofscience.com%2Fwos%2Fwoscc%2Ffull-record%2FWOS:000278173400027","View Full Record in Web of Science")</f>
        <v>View Full Record in Web of Science</v>
      </c>
    </row>
    <row r="273" customFormat="false" ht="12.75" hidden="false" customHeight="false" outlineLevel="0" collapsed="false">
      <c r="A273" s="2" t="s">
        <v>72</v>
      </c>
      <c r="B273" s="2" t="s">
        <v>5338</v>
      </c>
      <c r="C273" s="2"/>
      <c r="D273" s="2"/>
      <c r="E273" s="2"/>
      <c r="F273" s="2" t="s">
        <v>5339</v>
      </c>
      <c r="G273" s="2"/>
      <c r="H273" s="2"/>
      <c r="I273" s="2" t="s">
        <v>5340</v>
      </c>
      <c r="J273" s="2" t="s">
        <v>170</v>
      </c>
      <c r="K273" s="2"/>
      <c r="L273" s="2"/>
      <c r="M273" s="2" t="s">
        <v>77</v>
      </c>
      <c r="N273" s="2" t="s">
        <v>78</v>
      </c>
      <c r="O273" s="2"/>
      <c r="P273" s="2"/>
      <c r="Q273" s="2"/>
      <c r="R273" s="2"/>
      <c r="S273" s="2"/>
      <c r="T273" s="2" t="s">
        <v>5341</v>
      </c>
      <c r="U273" s="2" t="s">
        <v>5342</v>
      </c>
      <c r="V273" s="2" t="s">
        <v>5343</v>
      </c>
      <c r="W273" s="2" t="s">
        <v>5344</v>
      </c>
      <c r="X273" s="2" t="s">
        <v>5345</v>
      </c>
      <c r="Y273" s="2" t="s">
        <v>5346</v>
      </c>
      <c r="Z273" s="2" t="s">
        <v>5347</v>
      </c>
      <c r="AA273" s="2" t="s">
        <v>5348</v>
      </c>
      <c r="AB273" s="2" t="s">
        <v>5349</v>
      </c>
      <c r="AC273" s="2"/>
      <c r="AD273" s="2"/>
      <c r="AE273" s="2"/>
      <c r="AF273" s="2"/>
      <c r="AG273" s="2" t="n">
        <v>41</v>
      </c>
      <c r="AH273" s="2" t="n">
        <v>12</v>
      </c>
      <c r="AI273" s="2" t="n">
        <v>13</v>
      </c>
      <c r="AJ273" s="2" t="n">
        <v>0</v>
      </c>
      <c r="AK273" s="2" t="n">
        <v>5</v>
      </c>
      <c r="AL273" s="2" t="s">
        <v>91</v>
      </c>
      <c r="AM273" s="2" t="s">
        <v>92</v>
      </c>
      <c r="AN273" s="2" t="s">
        <v>93</v>
      </c>
      <c r="AO273" s="2"/>
      <c r="AP273" s="2" t="s">
        <v>182</v>
      </c>
      <c r="AQ273" s="2"/>
      <c r="AR273" s="2" t="s">
        <v>183</v>
      </c>
      <c r="AS273" s="2" t="s">
        <v>184</v>
      </c>
      <c r="AT273" s="2" t="s">
        <v>1041</v>
      </c>
      <c r="AU273" s="2" t="n">
        <v>2023</v>
      </c>
      <c r="AV273" s="2" t="n">
        <v>11</v>
      </c>
      <c r="AW273" s="2" t="n">
        <v>2</v>
      </c>
      <c r="AX273" s="2"/>
      <c r="AY273" s="2"/>
      <c r="AZ273" s="2"/>
      <c r="BA273" s="2"/>
      <c r="BB273" s="2"/>
      <c r="BC273" s="2"/>
      <c r="BD273" s="2" t="n">
        <v>412</v>
      </c>
      <c r="BE273" s="2" t="s">
        <v>5350</v>
      </c>
      <c r="BF273" s="2" t="str">
        <f aca="false">HYPERLINK("http://dx.doi.org/10.3390/vaccines11020412","http://dx.doi.org/10.3390/vaccines11020412")</f>
        <v>http://dx.doi.org/10.3390/vaccines11020412</v>
      </c>
      <c r="BG273" s="2"/>
      <c r="BH273" s="2"/>
      <c r="BI273" s="2" t="n">
        <v>14</v>
      </c>
      <c r="BJ273" s="2" t="s">
        <v>187</v>
      </c>
      <c r="BK273" s="2" t="s">
        <v>100</v>
      </c>
      <c r="BL273" s="2" t="s">
        <v>188</v>
      </c>
      <c r="BM273" s="2" t="s">
        <v>5351</v>
      </c>
      <c r="BN273" s="2" t="n">
        <v>36851289</v>
      </c>
      <c r="BO273" s="2" t="s">
        <v>190</v>
      </c>
      <c r="BP273" s="2"/>
      <c r="BQ273" s="2"/>
      <c r="BR273" s="2" t="s">
        <v>104</v>
      </c>
      <c r="BS273" s="2" t="s">
        <v>5352</v>
      </c>
      <c r="BT273" s="2" t="str">
        <f aca="false">HYPERLINK("https%3A%2F%2Fwww.webofscience.com%2Fwos%2Fwoscc%2Ffull-record%2FWOS:000941259900001","View Full Record in Web of Science")</f>
        <v>View Full Record in Web of Science</v>
      </c>
    </row>
    <row r="274" customFormat="false" ht="12.75" hidden="false" customHeight="false" outlineLevel="0" collapsed="false">
      <c r="A274" s="2" t="s">
        <v>72</v>
      </c>
      <c r="B274" s="2" t="s">
        <v>5353</v>
      </c>
      <c r="C274" s="2"/>
      <c r="D274" s="2"/>
      <c r="E274" s="2"/>
      <c r="F274" s="2" t="s">
        <v>5354</v>
      </c>
      <c r="G274" s="2"/>
      <c r="H274" s="2"/>
      <c r="I274" s="2" t="s">
        <v>5355</v>
      </c>
      <c r="J274" s="2" t="s">
        <v>109</v>
      </c>
      <c r="K274" s="2"/>
      <c r="L274" s="2"/>
      <c r="M274" s="2" t="s">
        <v>77</v>
      </c>
      <c r="N274" s="2" t="s">
        <v>78</v>
      </c>
      <c r="O274" s="2"/>
      <c r="P274" s="2"/>
      <c r="Q274" s="2"/>
      <c r="R274" s="2"/>
      <c r="S274" s="2"/>
      <c r="T274" s="2" t="s">
        <v>5356</v>
      </c>
      <c r="U274" s="2" t="s">
        <v>5357</v>
      </c>
      <c r="V274" s="2" t="s">
        <v>5358</v>
      </c>
      <c r="W274" s="2" t="s">
        <v>5359</v>
      </c>
      <c r="X274" s="2" t="s">
        <v>5360</v>
      </c>
      <c r="Y274" s="2" t="s">
        <v>5361</v>
      </c>
      <c r="Z274" s="2" t="s">
        <v>5362</v>
      </c>
      <c r="AA274" s="2" t="s">
        <v>5363</v>
      </c>
      <c r="AB274" s="2" t="s">
        <v>5364</v>
      </c>
      <c r="AC274" s="2" t="s">
        <v>5365</v>
      </c>
      <c r="AD274" s="2" t="s">
        <v>5366</v>
      </c>
      <c r="AE274" s="2" t="s">
        <v>5367</v>
      </c>
      <c r="AF274" s="2"/>
      <c r="AG274" s="2" t="n">
        <v>16</v>
      </c>
      <c r="AH274" s="2" t="n">
        <v>18</v>
      </c>
      <c r="AI274" s="2" t="n">
        <v>20</v>
      </c>
      <c r="AJ274" s="2" t="n">
        <v>0</v>
      </c>
      <c r="AK274" s="2" t="n">
        <v>2</v>
      </c>
      <c r="AL274" s="2" t="s">
        <v>122</v>
      </c>
      <c r="AM274" s="2" t="s">
        <v>123</v>
      </c>
      <c r="AN274" s="2" t="s">
        <v>124</v>
      </c>
      <c r="AO274" s="2" t="s">
        <v>125</v>
      </c>
      <c r="AP274" s="2" t="s">
        <v>126</v>
      </c>
      <c r="AQ274" s="2"/>
      <c r="AR274" s="2" t="s">
        <v>127</v>
      </c>
      <c r="AS274" s="2" t="s">
        <v>128</v>
      </c>
      <c r="AT274" s="2" t="s">
        <v>185</v>
      </c>
      <c r="AU274" s="2" t="n">
        <v>2019</v>
      </c>
      <c r="AV274" s="2" t="n">
        <v>38</v>
      </c>
      <c r="AW274" s="2" t="n">
        <v>8</v>
      </c>
      <c r="AX274" s="2"/>
      <c r="AY274" s="2"/>
      <c r="AZ274" s="2"/>
      <c r="BA274" s="2"/>
      <c r="BB274" s="2" t="s">
        <v>5368</v>
      </c>
      <c r="BC274" s="2" t="s">
        <v>5369</v>
      </c>
      <c r="BD274" s="2"/>
      <c r="BE274" s="2" t="s">
        <v>5370</v>
      </c>
      <c r="BF274" s="2" t="str">
        <f aca="false">HYPERLINK("http://dx.doi.org/10.1097/INF.0000000000002279","http://dx.doi.org/10.1097/INF.0000000000002279")</f>
        <v>http://dx.doi.org/10.1097/INF.0000000000002279</v>
      </c>
      <c r="BG274" s="2"/>
      <c r="BH274" s="2"/>
      <c r="BI274" s="2" t="n">
        <v>5</v>
      </c>
      <c r="BJ274" s="2" t="s">
        <v>134</v>
      </c>
      <c r="BK274" s="2" t="s">
        <v>100</v>
      </c>
      <c r="BL274" s="2" t="s">
        <v>134</v>
      </c>
      <c r="BM274" s="2" t="s">
        <v>5371</v>
      </c>
      <c r="BN274" s="2" t="n">
        <v>31306402</v>
      </c>
      <c r="BO274" s="2" t="s">
        <v>5372</v>
      </c>
      <c r="BP274" s="2"/>
      <c r="BQ274" s="2"/>
      <c r="BR274" s="2" t="s">
        <v>104</v>
      </c>
      <c r="BS274" s="2" t="s">
        <v>5373</v>
      </c>
      <c r="BT274" s="2" t="str">
        <f aca="false">HYPERLINK("https%3A%2F%2Fwww.webofscience.com%2Fwos%2Fwoscc%2Ffull-record%2FWOS:000480716200006","View Full Record in Web of Science")</f>
        <v>View Full Record in Web of Science</v>
      </c>
    </row>
    <row r="275" customFormat="false" ht="12.75" hidden="false" customHeight="false" outlineLevel="0" collapsed="false">
      <c r="A275" s="2" t="s">
        <v>72</v>
      </c>
      <c r="B275" s="2" t="s">
        <v>5374</v>
      </c>
      <c r="C275" s="2"/>
      <c r="D275" s="2"/>
      <c r="E275" s="2"/>
      <c r="F275" s="2" t="s">
        <v>5375</v>
      </c>
      <c r="G275" s="2"/>
      <c r="H275" s="2"/>
      <c r="I275" s="2" t="s">
        <v>5376</v>
      </c>
      <c r="J275" s="2" t="s">
        <v>5377</v>
      </c>
      <c r="K275" s="2"/>
      <c r="L275" s="2"/>
      <c r="M275" s="2" t="s">
        <v>77</v>
      </c>
      <c r="N275" s="2" t="s">
        <v>78</v>
      </c>
      <c r="O275" s="2"/>
      <c r="P275" s="2"/>
      <c r="Q275" s="2"/>
      <c r="R275" s="2"/>
      <c r="S275" s="2"/>
      <c r="T275" s="2" t="s">
        <v>5378</v>
      </c>
      <c r="U275" s="2" t="s">
        <v>5379</v>
      </c>
      <c r="V275" s="2" t="s">
        <v>5380</v>
      </c>
      <c r="W275" s="2" t="s">
        <v>5381</v>
      </c>
      <c r="X275" s="2" t="s">
        <v>5382</v>
      </c>
      <c r="Y275" s="2" t="s">
        <v>5383</v>
      </c>
      <c r="Z275" s="2" t="s">
        <v>5384</v>
      </c>
      <c r="AA275" s="2"/>
      <c r="AB275" s="2"/>
      <c r="AC275" s="2"/>
      <c r="AD275" s="2"/>
      <c r="AE275" s="2"/>
      <c r="AF275" s="2"/>
      <c r="AG275" s="2" t="n">
        <v>45</v>
      </c>
      <c r="AH275" s="2" t="n">
        <v>14</v>
      </c>
      <c r="AI275" s="2" t="n">
        <v>19</v>
      </c>
      <c r="AJ275" s="2" t="n">
        <v>1</v>
      </c>
      <c r="AK275" s="2" t="n">
        <v>37</v>
      </c>
      <c r="AL275" s="2" t="s">
        <v>5385</v>
      </c>
      <c r="AM275" s="2" t="s">
        <v>303</v>
      </c>
      <c r="AN275" s="2" t="s">
        <v>5386</v>
      </c>
      <c r="AO275" s="2" t="s">
        <v>5387</v>
      </c>
      <c r="AP275" s="2"/>
      <c r="AQ275" s="2"/>
      <c r="AR275" s="2" t="s">
        <v>5388</v>
      </c>
      <c r="AS275" s="2" t="s">
        <v>5389</v>
      </c>
      <c r="AT275" s="2" t="s">
        <v>486</v>
      </c>
      <c r="AU275" s="2" t="n">
        <v>2019</v>
      </c>
      <c r="AV275" s="2" t="n">
        <v>45</v>
      </c>
      <c r="AW275" s="2"/>
      <c r="AX275" s="2"/>
      <c r="AY275" s="2"/>
      <c r="AZ275" s="2"/>
      <c r="BA275" s="2"/>
      <c r="BB275" s="2" t="n">
        <v>8</v>
      </c>
      <c r="BC275" s="2" t="n">
        <v>13</v>
      </c>
      <c r="BD275" s="2"/>
      <c r="BE275" s="2" t="s">
        <v>5390</v>
      </c>
      <c r="BF275" s="2" t="str">
        <f aca="false">HYPERLINK("http://dx.doi.org/10.1016/j.mcp.2019.03.005","http://dx.doi.org/10.1016/j.mcp.2019.03.005")</f>
        <v>http://dx.doi.org/10.1016/j.mcp.2019.03.005</v>
      </c>
      <c r="BG275" s="2"/>
      <c r="BH275" s="2"/>
      <c r="BI275" s="2" t="n">
        <v>6</v>
      </c>
      <c r="BJ275" s="2" t="s">
        <v>5391</v>
      </c>
      <c r="BK275" s="2" t="s">
        <v>100</v>
      </c>
      <c r="BL275" s="2" t="s">
        <v>5392</v>
      </c>
      <c r="BM275" s="2" t="s">
        <v>5393</v>
      </c>
      <c r="BN275" s="2" t="n">
        <v>30922817</v>
      </c>
      <c r="BO275" s="2"/>
      <c r="BP275" s="2"/>
      <c r="BQ275" s="2"/>
      <c r="BR275" s="2" t="s">
        <v>104</v>
      </c>
      <c r="BS275" s="2" t="s">
        <v>5394</v>
      </c>
      <c r="BT275" s="2" t="str">
        <f aca="false">HYPERLINK("https%3A%2F%2Fwww.webofscience.com%2Fwos%2Fwoscc%2Ffull-record%2FWOS:000471982200002","View Full Record in Web of Science")</f>
        <v>View Full Record in Web of Science</v>
      </c>
    </row>
    <row r="276" customFormat="false" ht="12.75" hidden="false" customHeight="false" outlineLevel="0" collapsed="false">
      <c r="A276" s="2" t="s">
        <v>72</v>
      </c>
      <c r="B276" s="2" t="s">
        <v>5395</v>
      </c>
      <c r="C276" s="2"/>
      <c r="D276" s="2"/>
      <c r="E276" s="2"/>
      <c r="F276" s="2" t="s">
        <v>5396</v>
      </c>
      <c r="G276" s="2"/>
      <c r="H276" s="2"/>
      <c r="I276" s="2" t="s">
        <v>5397</v>
      </c>
      <c r="J276" s="2" t="s">
        <v>4895</v>
      </c>
      <c r="K276" s="2"/>
      <c r="L276" s="2"/>
      <c r="M276" s="2" t="s">
        <v>77</v>
      </c>
      <c r="N276" s="2" t="s">
        <v>78</v>
      </c>
      <c r="O276" s="2"/>
      <c r="P276" s="2"/>
      <c r="Q276" s="2"/>
      <c r="R276" s="2"/>
      <c r="S276" s="2"/>
      <c r="T276" s="2" t="s">
        <v>5398</v>
      </c>
      <c r="U276" s="2" t="s">
        <v>5399</v>
      </c>
      <c r="V276" s="2" t="s">
        <v>5400</v>
      </c>
      <c r="W276" s="2" t="s">
        <v>5401</v>
      </c>
      <c r="X276" s="2" t="s">
        <v>5402</v>
      </c>
      <c r="Y276" s="2" t="s">
        <v>5403</v>
      </c>
      <c r="Z276" s="2" t="s">
        <v>5404</v>
      </c>
      <c r="AA276" s="2" t="s">
        <v>5405</v>
      </c>
      <c r="AB276" s="2" t="s">
        <v>5406</v>
      </c>
      <c r="AC276" s="2"/>
      <c r="AD276" s="2"/>
      <c r="AE276" s="2"/>
      <c r="AF276" s="2"/>
      <c r="AG276" s="2" t="n">
        <v>53</v>
      </c>
      <c r="AH276" s="2" t="n">
        <v>21</v>
      </c>
      <c r="AI276" s="2" t="n">
        <v>31</v>
      </c>
      <c r="AJ276" s="2" t="n">
        <v>2</v>
      </c>
      <c r="AK276" s="2" t="n">
        <v>24</v>
      </c>
      <c r="AL276" s="2" t="s">
        <v>592</v>
      </c>
      <c r="AM276" s="2" t="s">
        <v>593</v>
      </c>
      <c r="AN276" s="2" t="s">
        <v>859</v>
      </c>
      <c r="AO276" s="2" t="s">
        <v>4905</v>
      </c>
      <c r="AP276" s="2" t="s">
        <v>4906</v>
      </c>
      <c r="AQ276" s="2"/>
      <c r="AR276" s="2" t="s">
        <v>4907</v>
      </c>
      <c r="AS276" s="2" t="s">
        <v>4908</v>
      </c>
      <c r="AT276" s="2" t="s">
        <v>446</v>
      </c>
      <c r="AU276" s="2" t="n">
        <v>2019</v>
      </c>
      <c r="AV276" s="2" t="n">
        <v>38</v>
      </c>
      <c r="AW276" s="2" t="n">
        <v>12</v>
      </c>
      <c r="AX276" s="2"/>
      <c r="AY276" s="2"/>
      <c r="AZ276" s="2"/>
      <c r="BA276" s="2"/>
      <c r="BB276" s="2" t="n">
        <v>2355</v>
      </c>
      <c r="BC276" s="2" t="n">
        <v>2364</v>
      </c>
      <c r="BD276" s="2"/>
      <c r="BE276" s="2" t="s">
        <v>5407</v>
      </c>
      <c r="BF276" s="2" t="str">
        <f aca="false">HYPERLINK("http://dx.doi.org/10.1007/s10096-019-03693-x","http://dx.doi.org/10.1007/s10096-019-03693-x")</f>
        <v>http://dx.doi.org/10.1007/s10096-019-03693-x</v>
      </c>
      <c r="BG276" s="2"/>
      <c r="BH276" s="2"/>
      <c r="BI276" s="2" t="n">
        <v>10</v>
      </c>
      <c r="BJ276" s="2" t="s">
        <v>1467</v>
      </c>
      <c r="BK276" s="2" t="s">
        <v>100</v>
      </c>
      <c r="BL276" s="2" t="s">
        <v>1467</v>
      </c>
      <c r="BM276" s="2" t="s">
        <v>5408</v>
      </c>
      <c r="BN276" s="2" t="n">
        <v>31489496</v>
      </c>
      <c r="BO276" s="2" t="s">
        <v>284</v>
      </c>
      <c r="BP276" s="2"/>
      <c r="BQ276" s="2"/>
      <c r="BR276" s="2" t="s">
        <v>104</v>
      </c>
      <c r="BS276" s="2" t="s">
        <v>5409</v>
      </c>
      <c r="BT276" s="2" t="str">
        <f aca="false">HYPERLINK("https%3A%2F%2Fwww.webofscience.com%2Fwos%2Fwoscc%2Ffull-record%2FWOS:000496660300021","View Full Record in Web of Science")</f>
        <v>View Full Record in Web of Science</v>
      </c>
    </row>
    <row r="277" customFormat="false" ht="12.75" hidden="false" customHeight="false" outlineLevel="0" collapsed="false">
      <c r="A277" s="2" t="s">
        <v>72</v>
      </c>
      <c r="B277" s="2" t="s">
        <v>5410</v>
      </c>
      <c r="C277" s="2"/>
      <c r="D277" s="2"/>
      <c r="E277" s="2"/>
      <c r="F277" s="2" t="s">
        <v>5411</v>
      </c>
      <c r="G277" s="2"/>
      <c r="H277" s="2"/>
      <c r="I277" s="2" t="s">
        <v>5412</v>
      </c>
      <c r="J277" s="2" t="s">
        <v>514</v>
      </c>
      <c r="K277" s="2"/>
      <c r="L277" s="2"/>
      <c r="M277" s="2" t="s">
        <v>77</v>
      </c>
      <c r="N277" s="2" t="s">
        <v>78</v>
      </c>
      <c r="O277" s="2"/>
      <c r="P277" s="2"/>
      <c r="Q277" s="2"/>
      <c r="R277" s="2"/>
      <c r="S277" s="2"/>
      <c r="T277" s="2" t="s">
        <v>5413</v>
      </c>
      <c r="U277" s="2" t="s">
        <v>5414</v>
      </c>
      <c r="V277" s="2" t="s">
        <v>5415</v>
      </c>
      <c r="W277" s="2" t="s">
        <v>5416</v>
      </c>
      <c r="X277" s="2" t="s">
        <v>5417</v>
      </c>
      <c r="Y277" s="2" t="s">
        <v>5418</v>
      </c>
      <c r="Z277" s="2" t="s">
        <v>5419</v>
      </c>
      <c r="AA277" s="2" t="s">
        <v>5420</v>
      </c>
      <c r="AB277" s="2" t="s">
        <v>5421</v>
      </c>
      <c r="AC277" s="2" t="s">
        <v>5422</v>
      </c>
      <c r="AD277" s="2" t="s">
        <v>5422</v>
      </c>
      <c r="AE277" s="2" t="s">
        <v>5423</v>
      </c>
      <c r="AF277" s="2"/>
      <c r="AG277" s="2" t="n">
        <v>23</v>
      </c>
      <c r="AH277" s="2" t="n">
        <v>59</v>
      </c>
      <c r="AI277" s="2" t="n">
        <v>61</v>
      </c>
      <c r="AJ277" s="2" t="n">
        <v>0</v>
      </c>
      <c r="AK277" s="2" t="n">
        <v>4</v>
      </c>
      <c r="AL277" s="2" t="s">
        <v>527</v>
      </c>
      <c r="AM277" s="2" t="s">
        <v>528</v>
      </c>
      <c r="AN277" s="2" t="s">
        <v>529</v>
      </c>
      <c r="AO277" s="2" t="s">
        <v>530</v>
      </c>
      <c r="AP277" s="2" t="s">
        <v>531</v>
      </c>
      <c r="AQ277" s="2"/>
      <c r="AR277" s="2" t="s">
        <v>532</v>
      </c>
      <c r="AS277" s="2" t="s">
        <v>533</v>
      </c>
      <c r="AT277" s="2" t="s">
        <v>2960</v>
      </c>
      <c r="AU277" s="2" t="n">
        <v>2020</v>
      </c>
      <c r="AV277" s="2" t="n">
        <v>222</v>
      </c>
      <c r="AW277" s="2" t="n">
        <v>8</v>
      </c>
      <c r="AX277" s="2"/>
      <c r="AY277" s="2"/>
      <c r="AZ277" s="2"/>
      <c r="BA277" s="2"/>
      <c r="BB277" s="2" t="n">
        <v>1298</v>
      </c>
      <c r="BC277" s="2" t="n">
        <v>1310</v>
      </c>
      <c r="BD277" s="2"/>
      <c r="BE277" s="2" t="s">
        <v>5424</v>
      </c>
      <c r="BF277" s="2" t="str">
        <f aca="false">HYPERLINK("http://dx.doi.org/10.1093/infdis/jiaa361","http://dx.doi.org/10.1093/infdis/jiaa361")</f>
        <v>http://dx.doi.org/10.1093/infdis/jiaa361</v>
      </c>
      <c r="BG277" s="2"/>
      <c r="BH277" s="2"/>
      <c r="BI277" s="2" t="n">
        <v>13</v>
      </c>
      <c r="BJ277" s="2" t="s">
        <v>536</v>
      </c>
      <c r="BK277" s="2" t="s">
        <v>100</v>
      </c>
      <c r="BL277" s="2" t="s">
        <v>536</v>
      </c>
      <c r="BM277" s="2" t="s">
        <v>5425</v>
      </c>
      <c r="BN277" s="2" t="n">
        <v>32591787</v>
      </c>
      <c r="BO277" s="2"/>
      <c r="BP277" s="2"/>
      <c r="BQ277" s="2"/>
      <c r="BR277" s="2" t="s">
        <v>104</v>
      </c>
      <c r="BS277" s="2" t="s">
        <v>5426</v>
      </c>
      <c r="BT277" s="2" t="str">
        <f aca="false">HYPERLINK("https%3A%2F%2Fwww.webofscience.com%2Fwos%2Fwoscc%2Ffull-record%2FWOS:000577175900011","View Full Record in Web of Science")</f>
        <v>View Full Record in Web of Science</v>
      </c>
    </row>
    <row r="278" customFormat="false" ht="12.75" hidden="false" customHeight="false" outlineLevel="0" collapsed="false">
      <c r="A278" s="2" t="s">
        <v>72</v>
      </c>
      <c r="B278" s="2" t="s">
        <v>5427</v>
      </c>
      <c r="C278" s="2"/>
      <c r="D278" s="2"/>
      <c r="E278" s="2"/>
      <c r="F278" s="2" t="s">
        <v>5428</v>
      </c>
      <c r="G278" s="2"/>
      <c r="H278" s="2"/>
      <c r="I278" s="2" t="s">
        <v>5429</v>
      </c>
      <c r="J278" s="2" t="s">
        <v>5430</v>
      </c>
      <c r="K278" s="2"/>
      <c r="L278" s="2"/>
      <c r="M278" s="2" t="s">
        <v>77</v>
      </c>
      <c r="N278" s="2" t="s">
        <v>78</v>
      </c>
      <c r="O278" s="2"/>
      <c r="P278" s="2"/>
      <c r="Q278" s="2"/>
      <c r="R278" s="2"/>
      <c r="S278" s="2"/>
      <c r="T278" s="2" t="s">
        <v>5431</v>
      </c>
      <c r="U278" s="2" t="s">
        <v>5432</v>
      </c>
      <c r="V278" s="2" t="s">
        <v>5433</v>
      </c>
      <c r="W278" s="2" t="s">
        <v>5434</v>
      </c>
      <c r="X278" s="2" t="s">
        <v>5435</v>
      </c>
      <c r="Y278" s="2" t="s">
        <v>5436</v>
      </c>
      <c r="Z278" s="2" t="s">
        <v>5437</v>
      </c>
      <c r="AA278" s="2" t="s">
        <v>5438</v>
      </c>
      <c r="AB278" s="2" t="s">
        <v>5439</v>
      </c>
      <c r="AC278" s="2" t="s">
        <v>5440</v>
      </c>
      <c r="AD278" s="2" t="s">
        <v>5441</v>
      </c>
      <c r="AE278" s="2" t="s">
        <v>5442</v>
      </c>
      <c r="AF278" s="2"/>
      <c r="AG278" s="2" t="n">
        <v>36</v>
      </c>
      <c r="AH278" s="2" t="n">
        <v>52</v>
      </c>
      <c r="AI278" s="2" t="n">
        <v>52</v>
      </c>
      <c r="AJ278" s="2" t="n">
        <v>2</v>
      </c>
      <c r="AK278" s="2" t="n">
        <v>6</v>
      </c>
      <c r="AL278" s="2" t="s">
        <v>5443</v>
      </c>
      <c r="AM278" s="2" t="s">
        <v>303</v>
      </c>
      <c r="AN278" s="2" t="s">
        <v>5444</v>
      </c>
      <c r="AO278" s="2" t="s">
        <v>5445</v>
      </c>
      <c r="AP278" s="2" t="s">
        <v>5446</v>
      </c>
      <c r="AQ278" s="2"/>
      <c r="AR278" s="2" t="s">
        <v>5447</v>
      </c>
      <c r="AS278" s="2" t="s">
        <v>5448</v>
      </c>
      <c r="AT278" s="2" t="s">
        <v>692</v>
      </c>
      <c r="AU278" s="2" t="n">
        <v>2023</v>
      </c>
      <c r="AV278" s="2" t="n">
        <v>12</v>
      </c>
      <c r="AW278" s="2" t="n">
        <v>4</v>
      </c>
      <c r="AX278" s="2"/>
      <c r="AY278" s="2"/>
      <c r="AZ278" s="2"/>
      <c r="BA278" s="2"/>
      <c r="BB278" s="2" t="n">
        <v>1137</v>
      </c>
      <c r="BC278" s="2" t="n">
        <v>1149</v>
      </c>
      <c r="BD278" s="2"/>
      <c r="BE278" s="2" t="s">
        <v>5449</v>
      </c>
      <c r="BF278" s="2" t="str">
        <f aca="false">HYPERLINK("http://dx.doi.org/10.1007/s40121-023-00792-3","http://dx.doi.org/10.1007/s40121-023-00792-3")</f>
        <v>http://dx.doi.org/10.1007/s40121-023-00792-3</v>
      </c>
      <c r="BG278" s="2"/>
      <c r="BH278" s="2" t="s">
        <v>5450</v>
      </c>
      <c r="BI278" s="2" t="n">
        <v>13</v>
      </c>
      <c r="BJ278" s="2" t="s">
        <v>575</v>
      </c>
      <c r="BK278" s="2" t="s">
        <v>100</v>
      </c>
      <c r="BL278" s="2" t="s">
        <v>575</v>
      </c>
      <c r="BM278" s="2" t="s">
        <v>5451</v>
      </c>
      <c r="BN278" s="2" t="n">
        <v>36941483</v>
      </c>
      <c r="BO278" s="2" t="s">
        <v>190</v>
      </c>
      <c r="BP278" s="2" t="s">
        <v>1921</v>
      </c>
      <c r="BQ278" s="2" t="s">
        <v>1922</v>
      </c>
      <c r="BR278" s="2" t="s">
        <v>104</v>
      </c>
      <c r="BS278" s="2" t="s">
        <v>5452</v>
      </c>
      <c r="BT278" s="2" t="str">
        <f aca="false">HYPERLINK("https%3A%2F%2Fwww.webofscience.com%2Fwos%2Fwoscc%2Ffull-record%2FWOS:000953638800001","View Full Record in Web of Science")</f>
        <v>View Full Record in Web of Science</v>
      </c>
    </row>
    <row r="279" customFormat="false" ht="12.75" hidden="false" customHeight="false" outlineLevel="0" collapsed="false">
      <c r="A279" s="2" t="s">
        <v>72</v>
      </c>
      <c r="B279" s="2" t="s">
        <v>5453</v>
      </c>
      <c r="C279" s="2"/>
      <c r="D279" s="2"/>
      <c r="E279" s="2"/>
      <c r="F279" s="2" t="s">
        <v>5454</v>
      </c>
      <c r="G279" s="2"/>
      <c r="H279" s="2"/>
      <c r="I279" s="2" t="s">
        <v>5455</v>
      </c>
      <c r="J279" s="2" t="s">
        <v>949</v>
      </c>
      <c r="K279" s="2"/>
      <c r="L279" s="2"/>
      <c r="M279" s="2" t="s">
        <v>77</v>
      </c>
      <c r="N279" s="2" t="s">
        <v>78</v>
      </c>
      <c r="O279" s="2"/>
      <c r="P279" s="2"/>
      <c r="Q279" s="2"/>
      <c r="R279" s="2"/>
      <c r="S279" s="2"/>
      <c r="T279" s="2" t="s">
        <v>5456</v>
      </c>
      <c r="U279" s="2" t="s">
        <v>5457</v>
      </c>
      <c r="V279" s="2" t="s">
        <v>5458</v>
      </c>
      <c r="W279" s="2" t="s">
        <v>5459</v>
      </c>
      <c r="X279" s="2" t="s">
        <v>5460</v>
      </c>
      <c r="Y279" s="2" t="s">
        <v>5461</v>
      </c>
      <c r="Z279" s="2" t="s">
        <v>5462</v>
      </c>
      <c r="AA279" s="2" t="s">
        <v>5463</v>
      </c>
      <c r="AB279" s="2"/>
      <c r="AC279" s="2" t="s">
        <v>5464</v>
      </c>
      <c r="AD279" s="2" t="s">
        <v>5465</v>
      </c>
      <c r="AE279" s="2" t="s">
        <v>5466</v>
      </c>
      <c r="AF279" s="2"/>
      <c r="AG279" s="2" t="n">
        <v>106</v>
      </c>
      <c r="AH279" s="2" t="n">
        <v>32</v>
      </c>
      <c r="AI279" s="2" t="n">
        <v>32</v>
      </c>
      <c r="AJ279" s="2" t="n">
        <v>0</v>
      </c>
      <c r="AK279" s="2" t="n">
        <v>10</v>
      </c>
      <c r="AL279" s="2" t="s">
        <v>957</v>
      </c>
      <c r="AM279" s="2" t="s">
        <v>123</v>
      </c>
      <c r="AN279" s="2" t="s">
        <v>958</v>
      </c>
      <c r="AO279" s="2" t="s">
        <v>959</v>
      </c>
      <c r="AP279" s="2" t="s">
        <v>960</v>
      </c>
      <c r="AQ279" s="2"/>
      <c r="AR279" s="2" t="s">
        <v>961</v>
      </c>
      <c r="AS279" s="2" t="s">
        <v>962</v>
      </c>
      <c r="AT279" s="2" t="s">
        <v>446</v>
      </c>
      <c r="AU279" s="2" t="n">
        <v>2017</v>
      </c>
      <c r="AV279" s="2" t="n">
        <v>31</v>
      </c>
      <c r="AW279" s="2" t="n">
        <v>4</v>
      </c>
      <c r="AX279" s="2"/>
      <c r="AY279" s="2"/>
      <c r="AZ279" s="2"/>
      <c r="BA279" s="2"/>
      <c r="BB279" s="2" t="n">
        <v>767</v>
      </c>
      <c r="BC279" s="2" t="s">
        <v>986</v>
      </c>
      <c r="BD279" s="2"/>
      <c r="BE279" s="2" t="s">
        <v>5467</v>
      </c>
      <c r="BF279" s="2" t="str">
        <f aca="false">HYPERLINK("http://dx.doi.org/10.1016/j.idc.2017.07.006","http://dx.doi.org/10.1016/j.idc.2017.07.006")</f>
        <v>http://dx.doi.org/10.1016/j.idc.2017.07.006</v>
      </c>
      <c r="BG279" s="2"/>
      <c r="BH279" s="2"/>
      <c r="BI279" s="2" t="n">
        <v>25</v>
      </c>
      <c r="BJ279" s="2" t="s">
        <v>965</v>
      </c>
      <c r="BK279" s="2" t="s">
        <v>1086</v>
      </c>
      <c r="BL279" s="2" t="s">
        <v>965</v>
      </c>
      <c r="BM279" s="2" t="s">
        <v>5468</v>
      </c>
      <c r="BN279" s="2" t="n">
        <v>29079159</v>
      </c>
      <c r="BO279" s="2" t="s">
        <v>1227</v>
      </c>
      <c r="BP279" s="2"/>
      <c r="BQ279" s="2"/>
      <c r="BR279" s="2" t="s">
        <v>104</v>
      </c>
      <c r="BS279" s="2" t="s">
        <v>5469</v>
      </c>
      <c r="BT279" s="2" t="str">
        <f aca="false">HYPERLINK("https%3A%2F%2Fwww.webofscience.com%2Fwos%2Fwoscc%2Ffull-record%2FWOS:000416200400013","View Full Record in Web of Science")</f>
        <v>View Full Record in Web of Science</v>
      </c>
    </row>
    <row r="280" customFormat="false" ht="12.75" hidden="false" customHeight="false" outlineLevel="0" collapsed="false">
      <c r="A280" s="2" t="s">
        <v>72</v>
      </c>
      <c r="B280" s="2" t="s">
        <v>5470</v>
      </c>
      <c r="C280" s="2"/>
      <c r="D280" s="2"/>
      <c r="E280" s="2"/>
      <c r="F280" s="2" t="s">
        <v>5471</v>
      </c>
      <c r="G280" s="2"/>
      <c r="H280" s="2"/>
      <c r="I280" s="2" t="s">
        <v>5472</v>
      </c>
      <c r="J280" s="2" t="s">
        <v>5473</v>
      </c>
      <c r="K280" s="2"/>
      <c r="L280" s="2"/>
      <c r="M280" s="2" t="s">
        <v>77</v>
      </c>
      <c r="N280" s="2" t="s">
        <v>78</v>
      </c>
      <c r="O280" s="2"/>
      <c r="P280" s="2"/>
      <c r="Q280" s="2"/>
      <c r="R280" s="2"/>
      <c r="S280" s="2"/>
      <c r="T280" s="2" t="s">
        <v>5474</v>
      </c>
      <c r="U280" s="2" t="s">
        <v>5475</v>
      </c>
      <c r="V280" s="2" t="s">
        <v>5476</v>
      </c>
      <c r="W280" s="2" t="s">
        <v>5477</v>
      </c>
      <c r="X280" s="2" t="s">
        <v>5478</v>
      </c>
      <c r="Y280" s="2" t="s">
        <v>5479</v>
      </c>
      <c r="Z280" s="2" t="s">
        <v>5480</v>
      </c>
      <c r="AA280" s="2" t="s">
        <v>5481</v>
      </c>
      <c r="AB280" s="2" t="s">
        <v>5482</v>
      </c>
      <c r="AC280" s="2"/>
      <c r="AD280" s="2"/>
      <c r="AE280" s="2"/>
      <c r="AF280" s="2"/>
      <c r="AG280" s="2" t="n">
        <v>57</v>
      </c>
      <c r="AH280" s="2" t="n">
        <v>20</v>
      </c>
      <c r="AI280" s="2" t="n">
        <v>20</v>
      </c>
      <c r="AJ280" s="2" t="n">
        <v>1</v>
      </c>
      <c r="AK280" s="2" t="n">
        <v>4</v>
      </c>
      <c r="AL280" s="2" t="s">
        <v>302</v>
      </c>
      <c r="AM280" s="2" t="s">
        <v>303</v>
      </c>
      <c r="AN280" s="2" t="s">
        <v>304</v>
      </c>
      <c r="AO280" s="2" t="s">
        <v>5483</v>
      </c>
      <c r="AP280" s="2"/>
      <c r="AQ280" s="2"/>
      <c r="AR280" s="2" t="s">
        <v>5484</v>
      </c>
      <c r="AS280" s="2" t="s">
        <v>5485</v>
      </c>
      <c r="AT280" s="2" t="s">
        <v>2296</v>
      </c>
      <c r="AU280" s="2" t="n">
        <v>2023</v>
      </c>
      <c r="AV280" s="2" t="n">
        <v>21</v>
      </c>
      <c r="AW280" s="2" t="n">
        <v>1</v>
      </c>
      <c r="AX280" s="2"/>
      <c r="AY280" s="2"/>
      <c r="AZ280" s="2"/>
      <c r="BA280" s="2"/>
      <c r="BB280" s="2"/>
      <c r="BC280" s="2"/>
      <c r="BD280" s="2" t="n">
        <v>224</v>
      </c>
      <c r="BE280" s="2" t="s">
        <v>5486</v>
      </c>
      <c r="BF280" s="2" t="str">
        <f aca="false">HYPERLINK("http://dx.doi.org/10.1186/s12916-023-02932-5","http://dx.doi.org/10.1186/s12916-023-02932-5")</f>
        <v>http://dx.doi.org/10.1186/s12916-023-02932-5</v>
      </c>
      <c r="BG280" s="2"/>
      <c r="BH280" s="2"/>
      <c r="BI280" s="2" t="n">
        <v>13</v>
      </c>
      <c r="BJ280" s="2" t="s">
        <v>363</v>
      </c>
      <c r="BK280" s="2" t="s">
        <v>100</v>
      </c>
      <c r="BL280" s="2" t="s">
        <v>364</v>
      </c>
      <c r="BM280" s="2" t="s">
        <v>5487</v>
      </c>
      <c r="BN280" s="2" t="n">
        <v>37365569</v>
      </c>
      <c r="BO280" s="2" t="s">
        <v>190</v>
      </c>
      <c r="BP280" s="2"/>
      <c r="BQ280" s="2"/>
      <c r="BR280" s="2" t="s">
        <v>104</v>
      </c>
      <c r="BS280" s="2" t="s">
        <v>5488</v>
      </c>
      <c r="BT280" s="2" t="str">
        <f aca="false">HYPERLINK("https%3A%2F%2Fwww.webofscience.com%2Fwos%2Fwoscc%2Ffull-record%2FWOS:001021638200004","View Full Record in Web of Science")</f>
        <v>View Full Record in Web of Science</v>
      </c>
    </row>
    <row r="281" customFormat="false" ht="12.75" hidden="false" customHeight="false" outlineLevel="0" collapsed="false">
      <c r="A281" s="2" t="s">
        <v>72</v>
      </c>
      <c r="B281" s="2" t="s">
        <v>5489</v>
      </c>
      <c r="C281" s="2"/>
      <c r="D281" s="2"/>
      <c r="E281" s="2"/>
      <c r="F281" s="2" t="s">
        <v>5490</v>
      </c>
      <c r="G281" s="2"/>
      <c r="H281" s="2"/>
      <c r="I281" s="2" t="s">
        <v>5491</v>
      </c>
      <c r="J281" s="2" t="s">
        <v>2547</v>
      </c>
      <c r="K281" s="2"/>
      <c r="L281" s="2"/>
      <c r="M281" s="2" t="s">
        <v>77</v>
      </c>
      <c r="N281" s="2" t="s">
        <v>78</v>
      </c>
      <c r="O281" s="2"/>
      <c r="P281" s="2"/>
      <c r="Q281" s="2"/>
      <c r="R281" s="2"/>
      <c r="S281" s="2"/>
      <c r="T281" s="2" t="s">
        <v>5492</v>
      </c>
      <c r="U281" s="2" t="s">
        <v>5493</v>
      </c>
      <c r="V281" s="2" t="s">
        <v>5494</v>
      </c>
      <c r="W281" s="2" t="s">
        <v>5495</v>
      </c>
      <c r="X281" s="2" t="s">
        <v>5496</v>
      </c>
      <c r="Y281" s="2" t="s">
        <v>5497</v>
      </c>
      <c r="Z281" s="2" t="s">
        <v>1617</v>
      </c>
      <c r="AA281" s="2" t="s">
        <v>5498</v>
      </c>
      <c r="AB281" s="2" t="s">
        <v>5499</v>
      </c>
      <c r="AC281" s="2" t="s">
        <v>5500</v>
      </c>
      <c r="AD281" s="2" t="s">
        <v>5501</v>
      </c>
      <c r="AE281" s="2" t="s">
        <v>5502</v>
      </c>
      <c r="AF281" s="2"/>
      <c r="AG281" s="2" t="n">
        <v>61</v>
      </c>
      <c r="AH281" s="2" t="n">
        <v>20</v>
      </c>
      <c r="AI281" s="2" t="n">
        <v>21</v>
      </c>
      <c r="AJ281" s="2" t="n">
        <v>0</v>
      </c>
      <c r="AK281" s="2" t="n">
        <v>6</v>
      </c>
      <c r="AL281" s="2" t="s">
        <v>782</v>
      </c>
      <c r="AM281" s="2" t="s">
        <v>783</v>
      </c>
      <c r="AN281" s="2" t="s">
        <v>784</v>
      </c>
      <c r="AO281" s="2" t="s">
        <v>2556</v>
      </c>
      <c r="AP281" s="2" t="s">
        <v>2557</v>
      </c>
      <c r="AQ281" s="2"/>
      <c r="AR281" s="2" t="s">
        <v>2547</v>
      </c>
      <c r="AS281" s="2" t="s">
        <v>2558</v>
      </c>
      <c r="AT281" s="2" t="s">
        <v>5503</v>
      </c>
      <c r="AU281" s="2" t="n">
        <v>2016</v>
      </c>
      <c r="AV281" s="2" t="n">
        <v>34</v>
      </c>
      <c r="AW281" s="2" t="n">
        <v>7</v>
      </c>
      <c r="AX281" s="2"/>
      <c r="AY281" s="2"/>
      <c r="AZ281" s="2"/>
      <c r="BA281" s="2"/>
      <c r="BB281" s="2" t="n">
        <v>950</v>
      </c>
      <c r="BC281" s="2" t="n">
        <v>956</v>
      </c>
      <c r="BD281" s="2"/>
      <c r="BE281" s="2" t="s">
        <v>5504</v>
      </c>
      <c r="BF281" s="2" t="str">
        <f aca="false">HYPERLINK("http://dx.doi.org/10.1016/j.vaccine.2015.12.045","http://dx.doi.org/10.1016/j.vaccine.2015.12.045")</f>
        <v>http://dx.doi.org/10.1016/j.vaccine.2015.12.045</v>
      </c>
      <c r="BG281" s="2"/>
      <c r="BH281" s="2"/>
      <c r="BI281" s="2" t="n">
        <v>7</v>
      </c>
      <c r="BJ281" s="2" t="s">
        <v>187</v>
      </c>
      <c r="BK281" s="2" t="s">
        <v>100</v>
      </c>
      <c r="BL281" s="2" t="s">
        <v>188</v>
      </c>
      <c r="BM281" s="2" t="s">
        <v>5505</v>
      </c>
      <c r="BN281" s="2" t="n">
        <v>26772634</v>
      </c>
      <c r="BO281" s="2" t="s">
        <v>5506</v>
      </c>
      <c r="BP281" s="2"/>
      <c r="BQ281" s="2"/>
      <c r="BR281" s="2" t="s">
        <v>104</v>
      </c>
      <c r="BS281" s="2" t="s">
        <v>5507</v>
      </c>
      <c r="BT281" s="2" t="str">
        <f aca="false">HYPERLINK("https%3A%2F%2Fwww.webofscience.com%2Fwos%2Fwoscc%2Ffull-record%2FWOS:000370087500011","View Full Record in Web of Science")</f>
        <v>View Full Record in Web of Science</v>
      </c>
    </row>
    <row r="282" customFormat="false" ht="12.75" hidden="false" customHeight="false" outlineLevel="0" collapsed="false">
      <c r="A282" s="2" t="s">
        <v>72</v>
      </c>
      <c r="B282" s="2" t="s">
        <v>5508</v>
      </c>
      <c r="C282" s="2"/>
      <c r="D282" s="2"/>
      <c r="E282" s="2"/>
      <c r="F282" s="2" t="s">
        <v>5509</v>
      </c>
      <c r="G282" s="2"/>
      <c r="H282" s="2"/>
      <c r="I282" s="2" t="s">
        <v>5510</v>
      </c>
      <c r="J282" s="2" t="s">
        <v>5511</v>
      </c>
      <c r="K282" s="2"/>
      <c r="L282" s="2"/>
      <c r="M282" s="2" t="s">
        <v>77</v>
      </c>
      <c r="N282" s="2" t="s">
        <v>78</v>
      </c>
      <c r="O282" s="2"/>
      <c r="P282" s="2"/>
      <c r="Q282" s="2"/>
      <c r="R282" s="2"/>
      <c r="S282" s="2"/>
      <c r="T282" s="2" t="s">
        <v>5512</v>
      </c>
      <c r="U282" s="2" t="s">
        <v>5513</v>
      </c>
      <c r="V282" s="2" t="s">
        <v>5514</v>
      </c>
      <c r="W282" s="2" t="s">
        <v>5515</v>
      </c>
      <c r="X282" s="2" t="s">
        <v>5516</v>
      </c>
      <c r="Y282" s="2" t="s">
        <v>5517</v>
      </c>
      <c r="Z282" s="2" t="s">
        <v>5518</v>
      </c>
      <c r="AA282" s="2" t="s">
        <v>5519</v>
      </c>
      <c r="AB282" s="2" t="s">
        <v>4435</v>
      </c>
      <c r="AC282" s="2" t="s">
        <v>5520</v>
      </c>
      <c r="AD282" s="2" t="s">
        <v>5521</v>
      </c>
      <c r="AE282" s="2" t="s">
        <v>5522</v>
      </c>
      <c r="AF282" s="2"/>
      <c r="AG282" s="2" t="n">
        <v>101</v>
      </c>
      <c r="AH282" s="2" t="n">
        <v>13</v>
      </c>
      <c r="AI282" s="2" t="n">
        <v>14</v>
      </c>
      <c r="AJ282" s="2" t="n">
        <v>0</v>
      </c>
      <c r="AK282" s="2" t="n">
        <v>5</v>
      </c>
      <c r="AL282" s="2" t="s">
        <v>5523</v>
      </c>
      <c r="AM282" s="2" t="s">
        <v>5524</v>
      </c>
      <c r="AN282" s="2" t="s">
        <v>5525</v>
      </c>
      <c r="AO282" s="2" t="s">
        <v>5526</v>
      </c>
      <c r="AP282" s="2" t="s">
        <v>5527</v>
      </c>
      <c r="AQ282" s="2"/>
      <c r="AR282" s="2" t="s">
        <v>5528</v>
      </c>
      <c r="AS282" s="2" t="s">
        <v>5529</v>
      </c>
      <c r="AT282" s="2" t="s">
        <v>97</v>
      </c>
      <c r="AU282" s="2" t="n">
        <v>2018</v>
      </c>
      <c r="AV282" s="2" t="n">
        <v>31</v>
      </c>
      <c r="AW282" s="2" t="n">
        <v>2</v>
      </c>
      <c r="AX282" s="2"/>
      <c r="AY282" s="2"/>
      <c r="AZ282" s="2"/>
      <c r="BA282" s="2"/>
      <c r="BB282" s="2" t="n">
        <v>133</v>
      </c>
      <c r="BC282" s="2" t="n">
        <v>141</v>
      </c>
      <c r="BD282" s="2"/>
      <c r="BE282" s="2" t="s">
        <v>5530</v>
      </c>
      <c r="BF282" s="2" t="str">
        <f aca="false">HYPERLINK("http://dx.doi.org/10.1089/vim.2017.0137","http://dx.doi.org/10.1089/vim.2017.0137")</f>
        <v>http://dx.doi.org/10.1089/vim.2017.0137</v>
      </c>
      <c r="BG282" s="2"/>
      <c r="BH282" s="2"/>
      <c r="BI282" s="2" t="n">
        <v>9</v>
      </c>
      <c r="BJ282" s="2" t="s">
        <v>5531</v>
      </c>
      <c r="BK282" s="2" t="s">
        <v>100</v>
      </c>
      <c r="BL282" s="2" t="s">
        <v>5531</v>
      </c>
      <c r="BM282" s="2" t="s">
        <v>5532</v>
      </c>
      <c r="BN282" s="2" t="n">
        <v>29323621</v>
      </c>
      <c r="BO282" s="2" t="s">
        <v>165</v>
      </c>
      <c r="BP282" s="2"/>
      <c r="BQ282" s="2"/>
      <c r="BR282" s="2" t="s">
        <v>104</v>
      </c>
      <c r="BS282" s="2" t="s">
        <v>5533</v>
      </c>
      <c r="BT282" s="2" t="str">
        <f aca="false">HYPERLINK("https%3A%2F%2Fwww.webofscience.com%2Fwos%2Fwoscc%2Ffull-record%2FWOS:000430070600010","View Full Record in Web of Science")</f>
        <v>View Full Record in Web of Science</v>
      </c>
    </row>
    <row r="283" customFormat="false" ht="12.75" hidden="false" customHeight="false" outlineLevel="0" collapsed="false">
      <c r="A283" s="2" t="s">
        <v>72</v>
      </c>
      <c r="B283" s="2" t="s">
        <v>5534</v>
      </c>
      <c r="C283" s="2"/>
      <c r="D283" s="2"/>
      <c r="E283" s="2"/>
      <c r="F283" s="2" t="s">
        <v>5535</v>
      </c>
      <c r="G283" s="2"/>
      <c r="H283" s="2"/>
      <c r="I283" s="2" t="s">
        <v>5536</v>
      </c>
      <c r="J283" s="2" t="s">
        <v>5537</v>
      </c>
      <c r="K283" s="2"/>
      <c r="L283" s="2"/>
      <c r="M283" s="2" t="s">
        <v>77</v>
      </c>
      <c r="N283" s="2" t="s">
        <v>78</v>
      </c>
      <c r="O283" s="2"/>
      <c r="P283" s="2"/>
      <c r="Q283" s="2"/>
      <c r="R283" s="2"/>
      <c r="S283" s="2"/>
      <c r="T283" s="2" t="s">
        <v>5538</v>
      </c>
      <c r="U283" s="2" t="s">
        <v>5539</v>
      </c>
      <c r="V283" s="2" t="s">
        <v>5540</v>
      </c>
      <c r="W283" s="2" t="s">
        <v>5541</v>
      </c>
      <c r="X283" s="2" t="s">
        <v>5542</v>
      </c>
      <c r="Y283" s="2" t="s">
        <v>5543</v>
      </c>
      <c r="Z283" s="2" t="s">
        <v>5544</v>
      </c>
      <c r="AA283" s="2" t="s">
        <v>5545</v>
      </c>
      <c r="AB283" s="2" t="s">
        <v>5546</v>
      </c>
      <c r="AC283" s="2" t="s">
        <v>5547</v>
      </c>
      <c r="AD283" s="2" t="s">
        <v>5547</v>
      </c>
      <c r="AE283" s="2" t="s">
        <v>5548</v>
      </c>
      <c r="AF283" s="2"/>
      <c r="AG283" s="2" t="n">
        <v>93</v>
      </c>
      <c r="AH283" s="2" t="n">
        <v>11</v>
      </c>
      <c r="AI283" s="2" t="n">
        <v>12</v>
      </c>
      <c r="AJ283" s="2" t="n">
        <v>0</v>
      </c>
      <c r="AK283" s="2" t="n">
        <v>7</v>
      </c>
      <c r="AL283" s="2" t="s">
        <v>5070</v>
      </c>
      <c r="AM283" s="2" t="s">
        <v>5071</v>
      </c>
      <c r="AN283" s="2" t="s">
        <v>5072</v>
      </c>
      <c r="AO283" s="2" t="s">
        <v>5549</v>
      </c>
      <c r="AP283" s="2" t="s">
        <v>5550</v>
      </c>
      <c r="AQ283" s="2"/>
      <c r="AR283" s="2" t="s">
        <v>5551</v>
      </c>
      <c r="AS283" s="2" t="s">
        <v>5552</v>
      </c>
      <c r="AT283" s="2" t="s">
        <v>599</v>
      </c>
      <c r="AU283" s="2" t="n">
        <v>2019</v>
      </c>
      <c r="AV283" s="2" t="n">
        <v>79</v>
      </c>
      <c r="AW283" s="2" t="n">
        <v>2</v>
      </c>
      <c r="AX283" s="2"/>
      <c r="AY283" s="2"/>
      <c r="AZ283" s="2"/>
      <c r="BA283" s="2"/>
      <c r="BB283" s="2" t="n">
        <v>467</v>
      </c>
      <c r="BC283" s="2" t="n">
        <v>483</v>
      </c>
      <c r="BD283" s="2"/>
      <c r="BE283" s="2" t="s">
        <v>5553</v>
      </c>
      <c r="BF283" s="2" t="str">
        <f aca="false">HYPERLINK("http://dx.doi.org/10.1007/s00285-019-01364-1","http://dx.doi.org/10.1007/s00285-019-01364-1")</f>
        <v>http://dx.doi.org/10.1007/s00285-019-01364-1</v>
      </c>
      <c r="BG283" s="2"/>
      <c r="BH283" s="2"/>
      <c r="BI283" s="2" t="n">
        <v>17</v>
      </c>
      <c r="BJ283" s="2" t="s">
        <v>5554</v>
      </c>
      <c r="BK283" s="2" t="s">
        <v>100</v>
      </c>
      <c r="BL283" s="2" t="s">
        <v>5555</v>
      </c>
      <c r="BM283" s="2" t="s">
        <v>5556</v>
      </c>
      <c r="BN283" s="2" t="n">
        <v>31011792</v>
      </c>
      <c r="BO283" s="2"/>
      <c r="BP283" s="2"/>
      <c r="BQ283" s="2"/>
      <c r="BR283" s="2" t="s">
        <v>104</v>
      </c>
      <c r="BS283" s="2" t="s">
        <v>5557</v>
      </c>
      <c r="BT283" s="2" t="str">
        <f aca="false">HYPERLINK("https%3A%2F%2Fwww.webofscience.com%2Fwos%2Fwoscc%2Ffull-record%2FWOS:000476518700002","View Full Record in Web of Science")</f>
        <v>View Full Record in Web of Science</v>
      </c>
    </row>
    <row r="284" customFormat="false" ht="12.75" hidden="false" customHeight="false" outlineLevel="0" collapsed="false">
      <c r="A284" s="2" t="s">
        <v>72</v>
      </c>
      <c r="B284" s="2" t="s">
        <v>5558</v>
      </c>
      <c r="C284" s="2"/>
      <c r="D284" s="2"/>
      <c r="E284" s="2"/>
      <c r="F284" s="2" t="s">
        <v>5559</v>
      </c>
      <c r="G284" s="2"/>
      <c r="H284" s="2"/>
      <c r="I284" s="2" t="s">
        <v>5560</v>
      </c>
      <c r="J284" s="2" t="s">
        <v>370</v>
      </c>
      <c r="K284" s="2"/>
      <c r="L284" s="2"/>
      <c r="M284" s="2" t="s">
        <v>77</v>
      </c>
      <c r="N284" s="2" t="s">
        <v>78</v>
      </c>
      <c r="O284" s="2"/>
      <c r="P284" s="2"/>
      <c r="Q284" s="2"/>
      <c r="R284" s="2"/>
      <c r="S284" s="2"/>
      <c r="T284" s="2" t="s">
        <v>5561</v>
      </c>
      <c r="U284" s="2" t="s">
        <v>5562</v>
      </c>
      <c r="V284" s="2" t="s">
        <v>5563</v>
      </c>
      <c r="W284" s="2" t="s">
        <v>5564</v>
      </c>
      <c r="X284" s="2" t="s">
        <v>3705</v>
      </c>
      <c r="Y284" s="2" t="s">
        <v>5565</v>
      </c>
      <c r="Z284" s="2" t="s">
        <v>5566</v>
      </c>
      <c r="AA284" s="2" t="s">
        <v>5567</v>
      </c>
      <c r="AB284" s="2" t="s">
        <v>5568</v>
      </c>
      <c r="AC284" s="2"/>
      <c r="AD284" s="2"/>
      <c r="AE284" s="2"/>
      <c r="AF284" s="2"/>
      <c r="AG284" s="2" t="n">
        <v>19</v>
      </c>
      <c r="AH284" s="2" t="n">
        <v>42</v>
      </c>
      <c r="AI284" s="2" t="n">
        <v>46</v>
      </c>
      <c r="AJ284" s="2" t="n">
        <v>0</v>
      </c>
      <c r="AK284" s="2" t="n">
        <v>1</v>
      </c>
      <c r="AL284" s="2" t="s">
        <v>549</v>
      </c>
      <c r="AM284" s="2" t="s">
        <v>384</v>
      </c>
      <c r="AN284" s="2" t="s">
        <v>550</v>
      </c>
      <c r="AO284" s="2" t="s">
        <v>386</v>
      </c>
      <c r="AP284" s="2"/>
      <c r="AQ284" s="2"/>
      <c r="AR284" s="2" t="s">
        <v>388</v>
      </c>
      <c r="AS284" s="2" t="s">
        <v>389</v>
      </c>
      <c r="AT284" s="2" t="s">
        <v>161</v>
      </c>
      <c r="AU284" s="2" t="n">
        <v>2008</v>
      </c>
      <c r="AV284" s="2" t="n">
        <v>41</v>
      </c>
      <c r="AW284" s="2" t="n">
        <v>1</v>
      </c>
      <c r="AX284" s="2"/>
      <c r="AY284" s="2"/>
      <c r="AZ284" s="2"/>
      <c r="BA284" s="2"/>
      <c r="BB284" s="2" t="n">
        <v>49</v>
      </c>
      <c r="BC284" s="2" t="n">
        <v>52</v>
      </c>
      <c r="BD284" s="2"/>
      <c r="BE284" s="2" t="s">
        <v>5569</v>
      </c>
      <c r="BF284" s="2" t="str">
        <f aca="false">HYPERLINK("http://dx.doi.org/10.1016/j.jcv.2007.10.018","http://dx.doi.org/10.1016/j.jcv.2007.10.018")</f>
        <v>http://dx.doi.org/10.1016/j.jcv.2007.10.018</v>
      </c>
      <c r="BG284" s="2"/>
      <c r="BH284" s="2"/>
      <c r="BI284" s="2" t="n">
        <v>4</v>
      </c>
      <c r="BJ284" s="2" t="s">
        <v>163</v>
      </c>
      <c r="BK284" s="2" t="s">
        <v>100</v>
      </c>
      <c r="BL284" s="2" t="s">
        <v>163</v>
      </c>
      <c r="BM284" s="2" t="s">
        <v>5570</v>
      </c>
      <c r="BN284" s="2" t="n">
        <v>18082444</v>
      </c>
      <c r="BO284" s="2"/>
      <c r="BP284" s="2"/>
      <c r="BQ284" s="2"/>
      <c r="BR284" s="2" t="s">
        <v>104</v>
      </c>
      <c r="BS284" s="2" t="s">
        <v>5571</v>
      </c>
      <c r="BT284" s="2" t="str">
        <f aca="false">HYPERLINK("https%3A%2F%2Fwww.webofscience.com%2Fwos%2Fwoscc%2Ffull-record%2FWOS:000253060400011","View Full Record in Web of Science")</f>
        <v>View Full Record in Web of Science</v>
      </c>
    </row>
    <row r="285" customFormat="false" ht="12.75" hidden="false" customHeight="false" outlineLevel="0" collapsed="false">
      <c r="A285" s="2" t="s">
        <v>72</v>
      </c>
      <c r="B285" s="2" t="s">
        <v>5572</v>
      </c>
      <c r="C285" s="2"/>
      <c r="D285" s="2"/>
      <c r="E285" s="2"/>
      <c r="F285" s="2" t="s">
        <v>5573</v>
      </c>
      <c r="G285" s="2"/>
      <c r="H285" s="2"/>
      <c r="I285" s="2" t="s">
        <v>5574</v>
      </c>
      <c r="J285" s="2" t="s">
        <v>5575</v>
      </c>
      <c r="K285" s="2"/>
      <c r="L285" s="2"/>
      <c r="M285" s="2" t="s">
        <v>77</v>
      </c>
      <c r="N285" s="2" t="s">
        <v>78</v>
      </c>
      <c r="O285" s="2"/>
      <c r="P285" s="2"/>
      <c r="Q285" s="2"/>
      <c r="R285" s="2"/>
      <c r="S285" s="2"/>
      <c r="T285" s="2" t="s">
        <v>5576</v>
      </c>
      <c r="U285" s="2" t="s">
        <v>5577</v>
      </c>
      <c r="V285" s="2" t="s">
        <v>5578</v>
      </c>
      <c r="W285" s="2" t="s">
        <v>5579</v>
      </c>
      <c r="X285" s="2" t="s">
        <v>5580</v>
      </c>
      <c r="Y285" s="2" t="s">
        <v>5581</v>
      </c>
      <c r="Z285" s="2" t="s">
        <v>5582</v>
      </c>
      <c r="AA285" s="2" t="s">
        <v>5583</v>
      </c>
      <c r="AB285" s="2" t="s">
        <v>5584</v>
      </c>
      <c r="AC285" s="2" t="s">
        <v>5585</v>
      </c>
      <c r="AD285" s="2" t="s">
        <v>5586</v>
      </c>
      <c r="AE285" s="2" t="s">
        <v>5587</v>
      </c>
      <c r="AF285" s="2"/>
      <c r="AG285" s="2" t="n">
        <v>49</v>
      </c>
      <c r="AH285" s="2" t="n">
        <v>24</v>
      </c>
      <c r="AI285" s="2" t="n">
        <v>28</v>
      </c>
      <c r="AJ285" s="2" t="n">
        <v>2</v>
      </c>
      <c r="AK285" s="2" t="n">
        <v>9</v>
      </c>
      <c r="AL285" s="2" t="s">
        <v>5588</v>
      </c>
      <c r="AM285" s="2" t="s">
        <v>5589</v>
      </c>
      <c r="AN285" s="2" t="s">
        <v>5590</v>
      </c>
      <c r="AO285" s="2" t="s">
        <v>5591</v>
      </c>
      <c r="AP285" s="2"/>
      <c r="AQ285" s="2"/>
      <c r="AR285" s="2" t="s">
        <v>5575</v>
      </c>
      <c r="AS285" s="2" t="s">
        <v>163</v>
      </c>
      <c r="AT285" s="2" t="s">
        <v>692</v>
      </c>
      <c r="AU285" s="2" t="n">
        <v>2017</v>
      </c>
      <c r="AV285" s="2" t="n">
        <v>504</v>
      </c>
      <c r="AW285" s="2"/>
      <c r="AX285" s="2"/>
      <c r="AY285" s="2"/>
      <c r="AZ285" s="2"/>
      <c r="BA285" s="2"/>
      <c r="BB285" s="2" t="n">
        <v>63</v>
      </c>
      <c r="BC285" s="2" t="n">
        <v>72</v>
      </c>
      <c r="BD285" s="2"/>
      <c r="BE285" s="2" t="s">
        <v>5592</v>
      </c>
      <c r="BF285" s="2" t="str">
        <f aca="false">HYPERLINK("http://dx.doi.org/10.1016/j.virol.2017.01.017","http://dx.doi.org/10.1016/j.virol.2017.01.017")</f>
        <v>http://dx.doi.org/10.1016/j.virol.2017.01.017</v>
      </c>
      <c r="BG285" s="2"/>
      <c r="BH285" s="2"/>
      <c r="BI285" s="2" t="n">
        <v>10</v>
      </c>
      <c r="BJ285" s="2" t="s">
        <v>163</v>
      </c>
      <c r="BK285" s="2" t="s">
        <v>100</v>
      </c>
      <c r="BL285" s="2" t="s">
        <v>163</v>
      </c>
      <c r="BM285" s="2" t="s">
        <v>5593</v>
      </c>
      <c r="BN285" s="2" t="n">
        <v>28157546</v>
      </c>
      <c r="BO285" s="2" t="s">
        <v>695</v>
      </c>
      <c r="BP285" s="2"/>
      <c r="BQ285" s="2"/>
      <c r="BR285" s="2" t="s">
        <v>104</v>
      </c>
      <c r="BS285" s="2" t="s">
        <v>5594</v>
      </c>
      <c r="BT285" s="2" t="str">
        <f aca="false">HYPERLINK("https%3A%2F%2Fwww.webofscience.com%2Fwos%2Fwoscc%2Ffull-record%2FWOS:000396381700007","View Full Record in Web of Science")</f>
        <v>View Full Record in Web of Science</v>
      </c>
    </row>
    <row r="286" customFormat="false" ht="12.75" hidden="false" customHeight="false" outlineLevel="0" collapsed="false">
      <c r="A286" s="2" t="s">
        <v>72</v>
      </c>
      <c r="B286" s="2" t="s">
        <v>5595</v>
      </c>
      <c r="C286" s="2"/>
      <c r="D286" s="2"/>
      <c r="E286" s="2"/>
      <c r="F286" s="2" t="s">
        <v>5596</v>
      </c>
      <c r="G286" s="2"/>
      <c r="H286" s="2"/>
      <c r="I286" s="2" t="s">
        <v>5597</v>
      </c>
      <c r="J286" s="2" t="s">
        <v>742</v>
      </c>
      <c r="K286" s="2"/>
      <c r="L286" s="2"/>
      <c r="M286" s="2" t="s">
        <v>77</v>
      </c>
      <c r="N286" s="2" t="s">
        <v>78</v>
      </c>
      <c r="O286" s="2"/>
      <c r="P286" s="2"/>
      <c r="Q286" s="2"/>
      <c r="R286" s="2"/>
      <c r="S286" s="2"/>
      <c r="T286" s="2" t="s">
        <v>5598</v>
      </c>
      <c r="U286" s="2" t="s">
        <v>5599</v>
      </c>
      <c r="V286" s="2" t="s">
        <v>5600</v>
      </c>
      <c r="W286" s="2" t="s">
        <v>5601</v>
      </c>
      <c r="X286" s="2" t="s">
        <v>5602</v>
      </c>
      <c r="Y286" s="2" t="s">
        <v>5603</v>
      </c>
      <c r="Z286" s="2" t="s">
        <v>5604</v>
      </c>
      <c r="AA286" s="2" t="s">
        <v>5605</v>
      </c>
      <c r="AB286" s="2" t="s">
        <v>5606</v>
      </c>
      <c r="AC286" s="2" t="s">
        <v>5607</v>
      </c>
      <c r="AD286" s="2" t="s">
        <v>1621</v>
      </c>
      <c r="AE286" s="2" t="s">
        <v>5608</v>
      </c>
      <c r="AF286" s="2"/>
      <c r="AG286" s="2" t="n">
        <v>29</v>
      </c>
      <c r="AH286" s="2" t="n">
        <v>6</v>
      </c>
      <c r="AI286" s="2" t="n">
        <v>7</v>
      </c>
      <c r="AJ286" s="2" t="n">
        <v>1</v>
      </c>
      <c r="AK286" s="2" t="n">
        <v>1</v>
      </c>
      <c r="AL286" s="2" t="s">
        <v>755</v>
      </c>
      <c r="AM286" s="2" t="s">
        <v>273</v>
      </c>
      <c r="AN286" s="2" t="s">
        <v>756</v>
      </c>
      <c r="AO286" s="2" t="s">
        <v>757</v>
      </c>
      <c r="AP286" s="2" t="s">
        <v>758</v>
      </c>
      <c r="AQ286" s="2"/>
      <c r="AR286" s="2" t="s">
        <v>759</v>
      </c>
      <c r="AS286" s="2" t="s">
        <v>760</v>
      </c>
      <c r="AT286" s="2" t="s">
        <v>804</v>
      </c>
      <c r="AU286" s="2" t="n">
        <v>2019</v>
      </c>
      <c r="AV286" s="2" t="n">
        <v>93</v>
      </c>
      <c r="AW286" s="2" t="n">
        <v>22</v>
      </c>
      <c r="AX286" s="2"/>
      <c r="AY286" s="2"/>
      <c r="AZ286" s="2"/>
      <c r="BA286" s="2"/>
      <c r="BB286" s="2"/>
      <c r="BC286" s="2"/>
      <c r="BD286" s="2" t="s">
        <v>5609</v>
      </c>
      <c r="BE286" s="2" t="s">
        <v>5610</v>
      </c>
      <c r="BF286" s="2" t="str">
        <f aca="false">HYPERLINK("http://dx.doi.org/10.1128/JVI.01216-19","http://dx.doi.org/10.1128/JVI.01216-19")</f>
        <v>http://dx.doi.org/10.1128/JVI.01216-19</v>
      </c>
      <c r="BG286" s="2"/>
      <c r="BH286" s="2"/>
      <c r="BI286" s="2" t="n">
        <v>24</v>
      </c>
      <c r="BJ286" s="2" t="s">
        <v>163</v>
      </c>
      <c r="BK286" s="2" t="s">
        <v>100</v>
      </c>
      <c r="BL286" s="2" t="s">
        <v>163</v>
      </c>
      <c r="BM286" s="2" t="s">
        <v>5611</v>
      </c>
      <c r="BN286" s="2" t="n">
        <v>31484754</v>
      </c>
      <c r="BO286" s="2" t="s">
        <v>1267</v>
      </c>
      <c r="BP286" s="2"/>
      <c r="BQ286" s="2"/>
      <c r="BR286" s="2" t="s">
        <v>104</v>
      </c>
      <c r="BS286" s="2" t="s">
        <v>5612</v>
      </c>
      <c r="BT286" s="2" t="str">
        <f aca="false">HYPERLINK("https%3A%2F%2Fwww.webofscience.com%2Fwos%2Fwoscc%2Ffull-record%2FWOS:000493714000024","View Full Record in Web of Science")</f>
        <v>View Full Record in Web of Science</v>
      </c>
    </row>
    <row r="287" customFormat="false" ht="12.75" hidden="false" customHeight="false" outlineLevel="0" collapsed="false">
      <c r="A287" s="2" t="s">
        <v>72</v>
      </c>
      <c r="B287" s="2" t="s">
        <v>5613</v>
      </c>
      <c r="C287" s="2"/>
      <c r="D287" s="2"/>
      <c r="E287" s="2"/>
      <c r="F287" s="2" t="s">
        <v>5614</v>
      </c>
      <c r="G287" s="2"/>
      <c r="H287" s="2"/>
      <c r="I287" s="2" t="s">
        <v>5615</v>
      </c>
      <c r="J287" s="2" t="s">
        <v>5616</v>
      </c>
      <c r="K287" s="2"/>
      <c r="L287" s="2"/>
      <c r="M287" s="2" t="s">
        <v>77</v>
      </c>
      <c r="N287" s="2" t="s">
        <v>78</v>
      </c>
      <c r="O287" s="2"/>
      <c r="P287" s="2"/>
      <c r="Q287" s="2"/>
      <c r="R287" s="2"/>
      <c r="S287" s="2"/>
      <c r="T287" s="2" t="s">
        <v>5617</v>
      </c>
      <c r="U287" s="2" t="s">
        <v>5618</v>
      </c>
      <c r="V287" s="2" t="s">
        <v>5619</v>
      </c>
      <c r="W287" s="2" t="s">
        <v>5620</v>
      </c>
      <c r="X287" s="2" t="s">
        <v>5621</v>
      </c>
      <c r="Y287" s="2" t="s">
        <v>5622</v>
      </c>
      <c r="Z287" s="2" t="s">
        <v>5623</v>
      </c>
      <c r="AA287" s="2" t="s">
        <v>5624</v>
      </c>
      <c r="AB287" s="2" t="s">
        <v>5625</v>
      </c>
      <c r="AC287" s="2"/>
      <c r="AD287" s="2"/>
      <c r="AE287" s="2"/>
      <c r="AF287" s="2"/>
      <c r="AG287" s="2" t="n">
        <v>26</v>
      </c>
      <c r="AH287" s="2" t="n">
        <v>7</v>
      </c>
      <c r="AI287" s="2" t="n">
        <v>7</v>
      </c>
      <c r="AJ287" s="2" t="n">
        <v>0</v>
      </c>
      <c r="AK287" s="2" t="n">
        <v>1</v>
      </c>
      <c r="AL287" s="2" t="s">
        <v>3584</v>
      </c>
      <c r="AM287" s="2" t="s">
        <v>303</v>
      </c>
      <c r="AN287" s="2" t="s">
        <v>3585</v>
      </c>
      <c r="AO287" s="2" t="s">
        <v>5626</v>
      </c>
      <c r="AP287" s="2" t="s">
        <v>5627</v>
      </c>
      <c r="AQ287" s="2"/>
      <c r="AR287" s="2" t="s">
        <v>5628</v>
      </c>
      <c r="AS287" s="2" t="s">
        <v>5629</v>
      </c>
      <c r="AT287" s="2" t="s">
        <v>804</v>
      </c>
      <c r="AU287" s="2" t="n">
        <v>2023</v>
      </c>
      <c r="AV287" s="2" t="n">
        <v>218</v>
      </c>
      <c r="AW287" s="2"/>
      <c r="AX287" s="2"/>
      <c r="AY287" s="2"/>
      <c r="AZ287" s="2"/>
      <c r="BA287" s="2"/>
      <c r="BB287" s="2"/>
      <c r="BC287" s="2"/>
      <c r="BD287" s="2" t="n">
        <v>107404</v>
      </c>
      <c r="BE287" s="2" t="s">
        <v>5630</v>
      </c>
      <c r="BF287" s="2" t="str">
        <f aca="false">HYPERLINK("http://dx.doi.org/10.1016/j.rmed.2023.107404","http://dx.doi.org/10.1016/j.rmed.2023.107404")</f>
        <v>http://dx.doi.org/10.1016/j.rmed.2023.107404</v>
      </c>
      <c r="BG287" s="2"/>
      <c r="BH287" s="2" t="s">
        <v>5631</v>
      </c>
      <c r="BI287" s="2" t="n">
        <v>7</v>
      </c>
      <c r="BJ287" s="2" t="s">
        <v>5632</v>
      </c>
      <c r="BK287" s="2" t="s">
        <v>100</v>
      </c>
      <c r="BL287" s="2" t="s">
        <v>5633</v>
      </c>
      <c r="BM287" s="2" t="s">
        <v>5634</v>
      </c>
      <c r="BN287" s="2" t="n">
        <v>37683776</v>
      </c>
      <c r="BO287" s="2"/>
      <c r="BP287" s="2"/>
      <c r="BQ287" s="2"/>
      <c r="BR287" s="2" t="s">
        <v>104</v>
      </c>
      <c r="BS287" s="2" t="s">
        <v>5635</v>
      </c>
      <c r="BT287" s="2" t="str">
        <f aca="false">HYPERLINK("https%3A%2F%2Fwww.webofscience.com%2Fwos%2Fwoscc%2Ffull-record%2FWOS:001189241200001","View Full Record in Web of Science")</f>
        <v>View Full Record in Web of Science</v>
      </c>
    </row>
    <row r="288" customFormat="false" ht="12.75" hidden="false" customHeight="false" outlineLevel="0" collapsed="false">
      <c r="A288" s="2" t="s">
        <v>72</v>
      </c>
      <c r="B288" s="2" t="s">
        <v>5636</v>
      </c>
      <c r="C288" s="2"/>
      <c r="D288" s="2"/>
      <c r="E288" s="2"/>
      <c r="F288" s="2" t="s">
        <v>5637</v>
      </c>
      <c r="G288" s="2"/>
      <c r="H288" s="2"/>
      <c r="I288" s="2" t="s">
        <v>5638</v>
      </c>
      <c r="J288" s="2" t="s">
        <v>109</v>
      </c>
      <c r="K288" s="2"/>
      <c r="L288" s="2"/>
      <c r="M288" s="2" t="s">
        <v>77</v>
      </c>
      <c r="N288" s="2" t="s">
        <v>78</v>
      </c>
      <c r="O288" s="2"/>
      <c r="P288" s="2"/>
      <c r="Q288" s="2"/>
      <c r="R288" s="2"/>
      <c r="S288" s="2"/>
      <c r="T288" s="2" t="s">
        <v>5639</v>
      </c>
      <c r="U288" s="2" t="s">
        <v>5640</v>
      </c>
      <c r="V288" s="2" t="s">
        <v>5641</v>
      </c>
      <c r="W288" s="2" t="s">
        <v>5642</v>
      </c>
      <c r="X288" s="2" t="s">
        <v>5643</v>
      </c>
      <c r="Y288" s="2" t="s">
        <v>5644</v>
      </c>
      <c r="Z288" s="2" t="s">
        <v>5645</v>
      </c>
      <c r="AA288" s="2" t="s">
        <v>5646</v>
      </c>
      <c r="AB288" s="2"/>
      <c r="AC288" s="2"/>
      <c r="AD288" s="2"/>
      <c r="AE288" s="2"/>
      <c r="AF288" s="2"/>
      <c r="AG288" s="2" t="n">
        <v>18</v>
      </c>
      <c r="AH288" s="2" t="n">
        <v>10</v>
      </c>
      <c r="AI288" s="2" t="n">
        <v>10</v>
      </c>
      <c r="AJ288" s="2" t="n">
        <v>0</v>
      </c>
      <c r="AK288" s="2" t="n">
        <v>2</v>
      </c>
      <c r="AL288" s="2" t="s">
        <v>122</v>
      </c>
      <c r="AM288" s="2" t="s">
        <v>123</v>
      </c>
      <c r="AN288" s="2" t="s">
        <v>839</v>
      </c>
      <c r="AO288" s="2" t="s">
        <v>125</v>
      </c>
      <c r="AP288" s="2"/>
      <c r="AQ288" s="2"/>
      <c r="AR288" s="2" t="s">
        <v>127</v>
      </c>
      <c r="AS288" s="2" t="s">
        <v>128</v>
      </c>
      <c r="AT288" s="2" t="s">
        <v>129</v>
      </c>
      <c r="AU288" s="2" t="n">
        <v>2011</v>
      </c>
      <c r="AV288" s="2" t="n">
        <v>30</v>
      </c>
      <c r="AW288" s="2" t="n">
        <v>9</v>
      </c>
      <c r="AX288" s="2"/>
      <c r="AY288" s="2"/>
      <c r="AZ288" s="2"/>
      <c r="BA288" s="2"/>
      <c r="BB288" s="2" t="n">
        <v>797</v>
      </c>
      <c r="BC288" s="2" t="n">
        <v>799</v>
      </c>
      <c r="BD288" s="2"/>
      <c r="BE288" s="2" t="s">
        <v>5647</v>
      </c>
      <c r="BF288" s="2" t="str">
        <f aca="false">HYPERLINK("http://dx.doi.org/10.1097/INF.0b013e318215cf3e","http://dx.doi.org/10.1097/INF.0b013e318215cf3e")</f>
        <v>http://dx.doi.org/10.1097/INF.0b013e318215cf3e</v>
      </c>
      <c r="BG288" s="2"/>
      <c r="BH288" s="2"/>
      <c r="BI288" s="2" t="n">
        <v>3</v>
      </c>
      <c r="BJ288" s="2" t="s">
        <v>134</v>
      </c>
      <c r="BK288" s="2" t="s">
        <v>100</v>
      </c>
      <c r="BL288" s="2" t="s">
        <v>134</v>
      </c>
      <c r="BM288" s="2" t="s">
        <v>5648</v>
      </c>
      <c r="BN288" s="2" t="n">
        <v>21386747</v>
      </c>
      <c r="BO288" s="2" t="s">
        <v>656</v>
      </c>
      <c r="BP288" s="2"/>
      <c r="BQ288" s="2"/>
      <c r="BR288" s="2" t="s">
        <v>104</v>
      </c>
      <c r="BS288" s="2" t="s">
        <v>5649</v>
      </c>
      <c r="BT288" s="2" t="str">
        <f aca="false">HYPERLINK("https%3A%2F%2Fwww.webofscience.com%2Fwos%2Fwoscc%2Ffull-record%2FWOS:000294044400020","View Full Record in Web of Science")</f>
        <v>View Full Record in Web of Science</v>
      </c>
    </row>
    <row r="289" customFormat="false" ht="12.75" hidden="false" customHeight="false" outlineLevel="0" collapsed="false">
      <c r="A289" s="2" t="s">
        <v>72</v>
      </c>
      <c r="B289" s="2" t="s">
        <v>5650</v>
      </c>
      <c r="C289" s="2"/>
      <c r="D289" s="2"/>
      <c r="E289" s="2"/>
      <c r="F289" s="2" t="s">
        <v>5651</v>
      </c>
      <c r="G289" s="2"/>
      <c r="H289" s="2"/>
      <c r="I289" s="2" t="s">
        <v>5652</v>
      </c>
      <c r="J289" s="2" t="s">
        <v>5653</v>
      </c>
      <c r="K289" s="2"/>
      <c r="L289" s="2"/>
      <c r="M289" s="2" t="s">
        <v>77</v>
      </c>
      <c r="N289" s="2" t="s">
        <v>78</v>
      </c>
      <c r="O289" s="2"/>
      <c r="P289" s="2"/>
      <c r="Q289" s="2"/>
      <c r="R289" s="2"/>
      <c r="S289" s="2"/>
      <c r="T289" s="2" t="s">
        <v>5654</v>
      </c>
      <c r="U289" s="2" t="s">
        <v>5655</v>
      </c>
      <c r="V289" s="2" t="s">
        <v>5656</v>
      </c>
      <c r="W289" s="2" t="s">
        <v>5657</v>
      </c>
      <c r="X289" s="2" t="s">
        <v>5658</v>
      </c>
      <c r="Y289" s="2" t="s">
        <v>5659</v>
      </c>
      <c r="Z289" s="2" t="s">
        <v>5660</v>
      </c>
      <c r="AA289" s="2" t="s">
        <v>5661</v>
      </c>
      <c r="AB289" s="2"/>
      <c r="AC289" s="2"/>
      <c r="AD289" s="2"/>
      <c r="AE289" s="2"/>
      <c r="AF289" s="2"/>
      <c r="AG289" s="2" t="n">
        <v>20</v>
      </c>
      <c r="AH289" s="2" t="n">
        <v>4</v>
      </c>
      <c r="AI289" s="2" t="n">
        <v>4</v>
      </c>
      <c r="AJ289" s="2" t="n">
        <v>7</v>
      </c>
      <c r="AK289" s="2" t="n">
        <v>14</v>
      </c>
      <c r="AL289" s="2" t="s">
        <v>4987</v>
      </c>
      <c r="AM289" s="2" t="s">
        <v>2438</v>
      </c>
      <c r="AN289" s="2" t="s">
        <v>4988</v>
      </c>
      <c r="AO289" s="2" t="s">
        <v>5662</v>
      </c>
      <c r="AP289" s="2" t="s">
        <v>5663</v>
      </c>
      <c r="AQ289" s="2"/>
      <c r="AR289" s="2" t="s">
        <v>5664</v>
      </c>
      <c r="AS289" s="2" t="s">
        <v>5665</v>
      </c>
      <c r="AT289" s="2" t="s">
        <v>692</v>
      </c>
      <c r="AU289" s="2" t="n">
        <v>2018</v>
      </c>
      <c r="AV289" s="2" t="n">
        <v>28</v>
      </c>
      <c r="AW289" s="2" t="n">
        <v>2</v>
      </c>
      <c r="AX289" s="2"/>
      <c r="AY289" s="2"/>
      <c r="AZ289" s="2"/>
      <c r="BA289" s="2"/>
      <c r="BB289" s="2"/>
      <c r="BC289" s="2"/>
      <c r="BD289" s="2" t="s">
        <v>5666</v>
      </c>
      <c r="BE289" s="2" t="s">
        <v>5667</v>
      </c>
      <c r="BF289" s="2" t="str">
        <f aca="false">HYPERLINK("http://dx.doi.org/10.5812/ijp.61034","http://dx.doi.org/10.5812/ijp.61034")</f>
        <v>http://dx.doi.org/10.5812/ijp.61034</v>
      </c>
      <c r="BG289" s="2"/>
      <c r="BH289" s="2"/>
      <c r="BI289" s="2" t="n">
        <v>6</v>
      </c>
      <c r="BJ289" s="2" t="s">
        <v>601</v>
      </c>
      <c r="BK289" s="2" t="s">
        <v>100</v>
      </c>
      <c r="BL289" s="2" t="s">
        <v>601</v>
      </c>
      <c r="BM289" s="2" t="s">
        <v>5668</v>
      </c>
      <c r="BN289" s="2"/>
      <c r="BO289" s="2" t="s">
        <v>1355</v>
      </c>
      <c r="BP289" s="2"/>
      <c r="BQ289" s="2"/>
      <c r="BR289" s="2" t="s">
        <v>104</v>
      </c>
      <c r="BS289" s="2" t="s">
        <v>5669</v>
      </c>
      <c r="BT289" s="2" t="str">
        <f aca="false">HYPERLINK("https%3A%2F%2Fwww.webofscience.com%2Fwos%2Fwoscc%2Ffull-record%2FWOS:000435200100004","View Full Record in Web of Science")</f>
        <v>View Full Record in Web of Science</v>
      </c>
    </row>
    <row r="290" customFormat="false" ht="12.75" hidden="false" customHeight="false" outlineLevel="0" collapsed="false">
      <c r="A290" s="2" t="s">
        <v>72</v>
      </c>
      <c r="B290" s="2" t="s">
        <v>5670</v>
      </c>
      <c r="C290" s="2"/>
      <c r="D290" s="2"/>
      <c r="E290" s="2"/>
      <c r="F290" s="2" t="s">
        <v>5671</v>
      </c>
      <c r="G290" s="2"/>
      <c r="H290" s="2"/>
      <c r="I290" s="2" t="s">
        <v>5672</v>
      </c>
      <c r="J290" s="2" t="s">
        <v>2547</v>
      </c>
      <c r="K290" s="2"/>
      <c r="L290" s="2"/>
      <c r="M290" s="2" t="s">
        <v>77</v>
      </c>
      <c r="N290" s="2" t="s">
        <v>78</v>
      </c>
      <c r="O290" s="2"/>
      <c r="P290" s="2"/>
      <c r="Q290" s="2"/>
      <c r="R290" s="2"/>
      <c r="S290" s="2"/>
      <c r="T290" s="2" t="s">
        <v>5673</v>
      </c>
      <c r="U290" s="2" t="s">
        <v>5674</v>
      </c>
      <c r="V290" s="2" t="s">
        <v>5675</v>
      </c>
      <c r="W290" s="2" t="s">
        <v>5676</v>
      </c>
      <c r="X290" s="2" t="s">
        <v>5677</v>
      </c>
      <c r="Y290" s="2" t="s">
        <v>5678</v>
      </c>
      <c r="Z290" s="2" t="s">
        <v>5679</v>
      </c>
      <c r="AA290" s="2" t="s">
        <v>5680</v>
      </c>
      <c r="AB290" s="2" t="s">
        <v>5681</v>
      </c>
      <c r="AC290" s="2" t="s">
        <v>5682</v>
      </c>
      <c r="AD290" s="2" t="s">
        <v>5683</v>
      </c>
      <c r="AE290" s="2" t="s">
        <v>5684</v>
      </c>
      <c r="AF290" s="2"/>
      <c r="AG290" s="2" t="n">
        <v>47</v>
      </c>
      <c r="AH290" s="2" t="n">
        <v>22</v>
      </c>
      <c r="AI290" s="2" t="n">
        <v>25</v>
      </c>
      <c r="AJ290" s="2" t="n">
        <v>0</v>
      </c>
      <c r="AK290" s="2" t="n">
        <v>6</v>
      </c>
      <c r="AL290" s="2" t="s">
        <v>782</v>
      </c>
      <c r="AM290" s="2" t="s">
        <v>783</v>
      </c>
      <c r="AN290" s="2" t="s">
        <v>784</v>
      </c>
      <c r="AO290" s="2" t="s">
        <v>2556</v>
      </c>
      <c r="AP290" s="2" t="s">
        <v>2557</v>
      </c>
      <c r="AQ290" s="2"/>
      <c r="AR290" s="2" t="s">
        <v>2547</v>
      </c>
      <c r="AS290" s="2" t="s">
        <v>2558</v>
      </c>
      <c r="AT290" s="2" t="s">
        <v>5685</v>
      </c>
      <c r="AU290" s="2" t="n">
        <v>2018</v>
      </c>
      <c r="AV290" s="2" t="n">
        <v>36</v>
      </c>
      <c r="AW290" s="2" t="n">
        <v>41</v>
      </c>
      <c r="AX290" s="2"/>
      <c r="AY290" s="2"/>
      <c r="AZ290" s="2"/>
      <c r="BA290" s="2"/>
      <c r="BB290" s="2" t="n">
        <v>6183</v>
      </c>
      <c r="BC290" s="2" t="n">
        <v>6190</v>
      </c>
      <c r="BD290" s="2"/>
      <c r="BE290" s="2" t="s">
        <v>5686</v>
      </c>
      <c r="BF290" s="2" t="str">
        <f aca="false">HYPERLINK("http://dx.doi.org/10.1016/j.vaccine.2018.08.056","http://dx.doi.org/10.1016/j.vaccine.2018.08.056")</f>
        <v>http://dx.doi.org/10.1016/j.vaccine.2018.08.056</v>
      </c>
      <c r="BG290" s="2"/>
      <c r="BH290" s="2"/>
      <c r="BI290" s="2" t="n">
        <v>8</v>
      </c>
      <c r="BJ290" s="2" t="s">
        <v>187</v>
      </c>
      <c r="BK290" s="2" t="s">
        <v>100</v>
      </c>
      <c r="BL290" s="2" t="s">
        <v>188</v>
      </c>
      <c r="BM290" s="2" t="s">
        <v>5687</v>
      </c>
      <c r="BN290" s="2" t="n">
        <v>30177258</v>
      </c>
      <c r="BO290" s="2" t="s">
        <v>765</v>
      </c>
      <c r="BP290" s="2"/>
      <c r="BQ290" s="2"/>
      <c r="BR290" s="2" t="s">
        <v>104</v>
      </c>
      <c r="BS290" s="2" t="s">
        <v>5688</v>
      </c>
      <c r="BT290" s="2" t="str">
        <f aca="false">HYPERLINK("https%3A%2F%2Fwww.webofscience.com%2Fwos%2Fwoscc%2Ffull-record%2FWOS:000447096400020","View Full Record in Web of Science")</f>
        <v>View Full Record in Web of Science</v>
      </c>
    </row>
    <row r="291" customFormat="false" ht="12.75" hidden="false" customHeight="false" outlineLevel="0" collapsed="false">
      <c r="A291" s="2" t="s">
        <v>72</v>
      </c>
      <c r="B291" s="2" t="s">
        <v>5689</v>
      </c>
      <c r="C291" s="2"/>
      <c r="D291" s="2"/>
      <c r="E291" s="2"/>
      <c r="F291" s="2" t="s">
        <v>5690</v>
      </c>
      <c r="G291" s="2"/>
      <c r="H291" s="2"/>
      <c r="I291" s="2" t="s">
        <v>5691</v>
      </c>
      <c r="J291" s="2" t="s">
        <v>170</v>
      </c>
      <c r="K291" s="2"/>
      <c r="L291" s="2"/>
      <c r="M291" s="2" t="s">
        <v>77</v>
      </c>
      <c r="N291" s="2" t="s">
        <v>78</v>
      </c>
      <c r="O291" s="2"/>
      <c r="P291" s="2"/>
      <c r="Q291" s="2"/>
      <c r="R291" s="2"/>
      <c r="S291" s="2"/>
      <c r="T291" s="2" t="s">
        <v>5692</v>
      </c>
      <c r="U291" s="2" t="s">
        <v>5693</v>
      </c>
      <c r="V291" s="2" t="s">
        <v>5694</v>
      </c>
      <c r="W291" s="2" t="s">
        <v>5695</v>
      </c>
      <c r="X291" s="2" t="s">
        <v>5696</v>
      </c>
      <c r="Y291" s="2" t="s">
        <v>5697</v>
      </c>
      <c r="Z291" s="2" t="s">
        <v>5698</v>
      </c>
      <c r="AA291" s="2"/>
      <c r="AB291" s="2" t="s">
        <v>5699</v>
      </c>
      <c r="AC291" s="2"/>
      <c r="AD291" s="2"/>
      <c r="AE291" s="2"/>
      <c r="AF291" s="2"/>
      <c r="AG291" s="2" t="n">
        <v>34</v>
      </c>
      <c r="AH291" s="2" t="n">
        <v>4</v>
      </c>
      <c r="AI291" s="2" t="n">
        <v>4</v>
      </c>
      <c r="AJ291" s="2" t="n">
        <v>0</v>
      </c>
      <c r="AK291" s="2" t="n">
        <v>3</v>
      </c>
      <c r="AL291" s="2" t="s">
        <v>91</v>
      </c>
      <c r="AM291" s="2" t="s">
        <v>92</v>
      </c>
      <c r="AN291" s="2" t="s">
        <v>93</v>
      </c>
      <c r="AO291" s="2"/>
      <c r="AP291" s="2" t="s">
        <v>182</v>
      </c>
      <c r="AQ291" s="2"/>
      <c r="AR291" s="2" t="s">
        <v>183</v>
      </c>
      <c r="AS291" s="2" t="s">
        <v>184</v>
      </c>
      <c r="AT291" s="2" t="s">
        <v>3408</v>
      </c>
      <c r="AU291" s="2" t="n">
        <v>2019</v>
      </c>
      <c r="AV291" s="2" t="n">
        <v>7</v>
      </c>
      <c r="AW291" s="2" t="n">
        <v>1</v>
      </c>
      <c r="AX291" s="2"/>
      <c r="AY291" s="2"/>
      <c r="AZ291" s="2"/>
      <c r="BA291" s="2"/>
      <c r="BB291" s="2"/>
      <c r="BC291" s="2"/>
      <c r="BD291" s="2" t="n">
        <v>16</v>
      </c>
      <c r="BE291" s="2" t="s">
        <v>5700</v>
      </c>
      <c r="BF291" s="2" t="str">
        <f aca="false">HYPERLINK("http://dx.doi.org/10.3390/vaccines7010016","http://dx.doi.org/10.3390/vaccines7010016")</f>
        <v>http://dx.doi.org/10.3390/vaccines7010016</v>
      </c>
      <c r="BG291" s="2"/>
      <c r="BH291" s="2"/>
      <c r="BI291" s="2" t="n">
        <v>15</v>
      </c>
      <c r="BJ291" s="2" t="s">
        <v>187</v>
      </c>
      <c r="BK291" s="2" t="s">
        <v>100</v>
      </c>
      <c r="BL291" s="2" t="s">
        <v>188</v>
      </c>
      <c r="BM291" s="2" t="s">
        <v>5701</v>
      </c>
      <c r="BN291" s="2" t="n">
        <v>30717190</v>
      </c>
      <c r="BO291" s="2" t="s">
        <v>5702</v>
      </c>
      <c r="BP291" s="2"/>
      <c r="BQ291" s="2"/>
      <c r="BR291" s="2" t="s">
        <v>104</v>
      </c>
      <c r="BS291" s="2" t="s">
        <v>5703</v>
      </c>
      <c r="BT291" s="2" t="str">
        <f aca="false">HYPERLINK("https%3A%2F%2Fwww.webofscience.com%2Fwos%2Fwoscc%2Ffull-record%2FWOS:000464099200001","View Full Record in Web of Science")</f>
        <v>View Full Record in Web of Science</v>
      </c>
    </row>
    <row r="292" customFormat="false" ht="12.75" hidden="false" customHeight="false" outlineLevel="0" collapsed="false">
      <c r="A292" s="2" t="s">
        <v>72</v>
      </c>
      <c r="B292" s="2" t="s">
        <v>5704</v>
      </c>
      <c r="C292" s="2"/>
      <c r="D292" s="2"/>
      <c r="E292" s="2"/>
      <c r="F292" s="2" t="s">
        <v>5705</v>
      </c>
      <c r="G292" s="2"/>
      <c r="H292" s="2"/>
      <c r="I292" s="2" t="s">
        <v>5706</v>
      </c>
      <c r="J292" s="2" t="s">
        <v>1448</v>
      </c>
      <c r="K292" s="2"/>
      <c r="L292" s="2"/>
      <c r="M292" s="2" t="s">
        <v>77</v>
      </c>
      <c r="N292" s="2" t="s">
        <v>78</v>
      </c>
      <c r="O292" s="2"/>
      <c r="P292" s="2"/>
      <c r="Q292" s="2"/>
      <c r="R292" s="2"/>
      <c r="S292" s="2"/>
      <c r="T292" s="2" t="s">
        <v>5707</v>
      </c>
      <c r="U292" s="2" t="s">
        <v>5708</v>
      </c>
      <c r="V292" s="2" t="s">
        <v>5709</v>
      </c>
      <c r="W292" s="2" t="s">
        <v>5710</v>
      </c>
      <c r="X292" s="2" t="s">
        <v>5711</v>
      </c>
      <c r="Y292" s="2" t="s">
        <v>5712</v>
      </c>
      <c r="Z292" s="2" t="s">
        <v>5713</v>
      </c>
      <c r="AA292" s="2" t="s">
        <v>4210</v>
      </c>
      <c r="AB292" s="2"/>
      <c r="AC292" s="2"/>
      <c r="AD292" s="2"/>
      <c r="AE292" s="2"/>
      <c r="AF292" s="2"/>
      <c r="AG292" s="2" t="n">
        <v>28</v>
      </c>
      <c r="AH292" s="2" t="n">
        <v>60</v>
      </c>
      <c r="AI292" s="2" t="n">
        <v>69</v>
      </c>
      <c r="AJ292" s="2" t="n">
        <v>0</v>
      </c>
      <c r="AK292" s="2" t="n">
        <v>3</v>
      </c>
      <c r="AL292" s="2" t="s">
        <v>1460</v>
      </c>
      <c r="AM292" s="2" t="s">
        <v>593</v>
      </c>
      <c r="AN292" s="2" t="s">
        <v>1461</v>
      </c>
      <c r="AO292" s="2" t="s">
        <v>1462</v>
      </c>
      <c r="AP292" s="2" t="s">
        <v>1463</v>
      </c>
      <c r="AQ292" s="2"/>
      <c r="AR292" s="2" t="s">
        <v>1464</v>
      </c>
      <c r="AS292" s="2" t="s">
        <v>1465</v>
      </c>
      <c r="AT292" s="2" t="s">
        <v>446</v>
      </c>
      <c r="AU292" s="2" t="n">
        <v>2008</v>
      </c>
      <c r="AV292" s="2" t="n">
        <v>62</v>
      </c>
      <c r="AW292" s="2" t="n">
        <v>4</v>
      </c>
      <c r="AX292" s="2"/>
      <c r="AY292" s="2"/>
      <c r="AZ292" s="2"/>
      <c r="BA292" s="2"/>
      <c r="BB292" s="2" t="n">
        <v>382</v>
      </c>
      <c r="BC292" s="2" t="n">
        <v>388</v>
      </c>
      <c r="BD292" s="2"/>
      <c r="BE292" s="2" t="s">
        <v>5714</v>
      </c>
      <c r="BF292" s="2" t="str">
        <f aca="false">HYPERLINK("http://dx.doi.org/10.1016/j.diagmicrobio.2008.08.002","http://dx.doi.org/10.1016/j.diagmicrobio.2008.08.002")</f>
        <v>http://dx.doi.org/10.1016/j.diagmicrobio.2008.08.002</v>
      </c>
      <c r="BG292" s="2"/>
      <c r="BH292" s="2"/>
      <c r="BI292" s="2" t="n">
        <v>7</v>
      </c>
      <c r="BJ292" s="2" t="s">
        <v>1467</v>
      </c>
      <c r="BK292" s="2" t="s">
        <v>100</v>
      </c>
      <c r="BL292" s="2" t="s">
        <v>1467</v>
      </c>
      <c r="BM292" s="2" t="s">
        <v>5715</v>
      </c>
      <c r="BN292" s="2" t="n">
        <v>18842376</v>
      </c>
      <c r="BO292" s="2" t="s">
        <v>1227</v>
      </c>
      <c r="BP292" s="2"/>
      <c r="BQ292" s="2"/>
      <c r="BR292" s="2" t="s">
        <v>104</v>
      </c>
      <c r="BS292" s="2" t="s">
        <v>5716</v>
      </c>
      <c r="BT292" s="2" t="str">
        <f aca="false">HYPERLINK("https%3A%2F%2Fwww.webofscience.com%2Fwos%2Fwoscc%2Ffull-record%2FWOS:000261554100005","View Full Record in Web of Science")</f>
        <v>View Full Record in Web of Science</v>
      </c>
    </row>
    <row r="293" customFormat="false" ht="12.75" hidden="false" customHeight="false" outlineLevel="0" collapsed="false">
      <c r="A293" s="2" t="s">
        <v>72</v>
      </c>
      <c r="B293" s="2" t="s">
        <v>5717</v>
      </c>
      <c r="C293" s="2"/>
      <c r="D293" s="2"/>
      <c r="E293" s="2"/>
      <c r="F293" s="2" t="s">
        <v>5718</v>
      </c>
      <c r="G293" s="2"/>
      <c r="H293" s="2"/>
      <c r="I293" s="2" t="s">
        <v>5719</v>
      </c>
      <c r="J293" s="2" t="s">
        <v>2547</v>
      </c>
      <c r="K293" s="2"/>
      <c r="L293" s="2"/>
      <c r="M293" s="2" t="s">
        <v>77</v>
      </c>
      <c r="N293" s="2" t="s">
        <v>78</v>
      </c>
      <c r="O293" s="2"/>
      <c r="P293" s="2"/>
      <c r="Q293" s="2"/>
      <c r="R293" s="2"/>
      <c r="S293" s="2"/>
      <c r="T293" s="2" t="s">
        <v>5720</v>
      </c>
      <c r="U293" s="2" t="s">
        <v>5721</v>
      </c>
      <c r="V293" s="2" t="s">
        <v>5722</v>
      </c>
      <c r="W293" s="2" t="s">
        <v>5723</v>
      </c>
      <c r="X293" s="2" t="s">
        <v>5724</v>
      </c>
      <c r="Y293" s="2" t="s">
        <v>5725</v>
      </c>
      <c r="Z293" s="2" t="s">
        <v>5726</v>
      </c>
      <c r="AA293" s="2" t="s">
        <v>5727</v>
      </c>
      <c r="AB293" s="2" t="s">
        <v>5728</v>
      </c>
      <c r="AC293" s="2" t="s">
        <v>5729</v>
      </c>
      <c r="AD293" s="2" t="s">
        <v>5730</v>
      </c>
      <c r="AE293" s="2" t="s">
        <v>5731</v>
      </c>
      <c r="AF293" s="2"/>
      <c r="AG293" s="2" t="n">
        <v>43</v>
      </c>
      <c r="AH293" s="2" t="n">
        <v>1</v>
      </c>
      <c r="AI293" s="2" t="n">
        <v>1</v>
      </c>
      <c r="AJ293" s="2" t="n">
        <v>4</v>
      </c>
      <c r="AK293" s="2" t="n">
        <v>4</v>
      </c>
      <c r="AL293" s="2" t="s">
        <v>782</v>
      </c>
      <c r="AM293" s="2" t="s">
        <v>2193</v>
      </c>
      <c r="AN293" s="2" t="s">
        <v>2194</v>
      </c>
      <c r="AO293" s="2" t="s">
        <v>2556</v>
      </c>
      <c r="AP293" s="2" t="s">
        <v>2557</v>
      </c>
      <c r="AQ293" s="2"/>
      <c r="AR293" s="2" t="s">
        <v>2547</v>
      </c>
      <c r="AS293" s="2" t="s">
        <v>2558</v>
      </c>
      <c r="AT293" s="2" t="s">
        <v>5732</v>
      </c>
      <c r="AU293" s="2" t="n">
        <v>2024</v>
      </c>
      <c r="AV293" s="2" t="n">
        <v>42</v>
      </c>
      <c r="AW293" s="2" t="n">
        <v>15</v>
      </c>
      <c r="AX293" s="2"/>
      <c r="AY293" s="2"/>
      <c r="AZ293" s="2"/>
      <c r="BA293" s="2"/>
      <c r="BB293" s="2" t="n">
        <v>3474</v>
      </c>
      <c r="BC293" s="2" t="n">
        <v>3485</v>
      </c>
      <c r="BD293" s="2"/>
      <c r="BE293" s="2" t="s">
        <v>5733</v>
      </c>
      <c r="BF293" s="2" t="str">
        <f aca="false">HYPERLINK("http://dx.doi.org/10.1016/j.vaccine.2024.04.048","http://dx.doi.org/10.1016/j.vaccine.2024.04.048")</f>
        <v>http://dx.doi.org/10.1016/j.vaccine.2024.04.048</v>
      </c>
      <c r="BG293" s="2"/>
      <c r="BH293" s="2" t="s">
        <v>2310</v>
      </c>
      <c r="BI293" s="2" t="n">
        <v>12</v>
      </c>
      <c r="BJ293" s="2" t="s">
        <v>187</v>
      </c>
      <c r="BK293" s="2" t="s">
        <v>100</v>
      </c>
      <c r="BL293" s="2" t="s">
        <v>188</v>
      </c>
      <c r="BM293" s="2" t="s">
        <v>5734</v>
      </c>
      <c r="BN293" s="2" t="n">
        <v>38641492</v>
      </c>
      <c r="BO293" s="2" t="s">
        <v>2278</v>
      </c>
      <c r="BP293" s="2"/>
      <c r="BQ293" s="2"/>
      <c r="BR293" s="2" t="s">
        <v>104</v>
      </c>
      <c r="BS293" s="2" t="s">
        <v>5735</v>
      </c>
      <c r="BT293" s="2" t="str">
        <f aca="false">HYPERLINK("https%3A%2F%2Fwww.webofscience.com%2Fwos%2Fwoscc%2Ffull-record%2FWOS:001283537000001","View Full Record in Web of Science")</f>
        <v>View Full Record in Web of Science</v>
      </c>
    </row>
    <row r="294" customFormat="false" ht="12.75" hidden="false" customHeight="false" outlineLevel="0" collapsed="false">
      <c r="A294" s="2" t="s">
        <v>72</v>
      </c>
      <c r="B294" s="2" t="s">
        <v>5736</v>
      </c>
      <c r="C294" s="2"/>
      <c r="D294" s="2"/>
      <c r="E294" s="2"/>
      <c r="F294" s="2" t="s">
        <v>5737</v>
      </c>
      <c r="G294" s="2"/>
      <c r="H294" s="2"/>
      <c r="I294" s="2" t="s">
        <v>5738</v>
      </c>
      <c r="J294" s="2" t="s">
        <v>5739</v>
      </c>
      <c r="K294" s="2"/>
      <c r="L294" s="2"/>
      <c r="M294" s="2" t="s">
        <v>77</v>
      </c>
      <c r="N294" s="2" t="s">
        <v>78</v>
      </c>
      <c r="O294" s="2"/>
      <c r="P294" s="2"/>
      <c r="Q294" s="2"/>
      <c r="R294" s="2"/>
      <c r="S294" s="2"/>
      <c r="T294" s="2" t="s">
        <v>5740</v>
      </c>
      <c r="U294" s="2" t="s">
        <v>5741</v>
      </c>
      <c r="V294" s="2" t="s">
        <v>5742</v>
      </c>
      <c r="W294" s="2" t="s">
        <v>5743</v>
      </c>
      <c r="X294" s="2" t="s">
        <v>5744</v>
      </c>
      <c r="Y294" s="2" t="s">
        <v>5745</v>
      </c>
      <c r="Z294" s="2" t="s">
        <v>5746</v>
      </c>
      <c r="AA294" s="2" t="s">
        <v>5747</v>
      </c>
      <c r="AB294" s="2" t="s">
        <v>5748</v>
      </c>
      <c r="AC294" s="2" t="s">
        <v>5749</v>
      </c>
      <c r="AD294" s="2" t="s">
        <v>5750</v>
      </c>
      <c r="AE294" s="2" t="s">
        <v>5751</v>
      </c>
      <c r="AF294" s="2"/>
      <c r="AG294" s="2" t="n">
        <v>40</v>
      </c>
      <c r="AH294" s="2" t="n">
        <v>7</v>
      </c>
      <c r="AI294" s="2" t="n">
        <v>8</v>
      </c>
      <c r="AJ294" s="2" t="n">
        <v>0</v>
      </c>
      <c r="AK294" s="2" t="n">
        <v>4</v>
      </c>
      <c r="AL294" s="2" t="s">
        <v>5752</v>
      </c>
      <c r="AM294" s="2" t="s">
        <v>5753</v>
      </c>
      <c r="AN294" s="2" t="s">
        <v>5754</v>
      </c>
      <c r="AO294" s="2" t="s">
        <v>5755</v>
      </c>
      <c r="AP294" s="2" t="s">
        <v>5756</v>
      </c>
      <c r="AQ294" s="2"/>
      <c r="AR294" s="2" t="s">
        <v>5757</v>
      </c>
      <c r="AS294" s="2" t="s">
        <v>5758</v>
      </c>
      <c r="AT294" s="2" t="s">
        <v>336</v>
      </c>
      <c r="AU294" s="2" t="n">
        <v>2023</v>
      </c>
      <c r="AV294" s="2" t="n">
        <v>23</v>
      </c>
      <c r="AW294" s="2" t="n">
        <v>6</v>
      </c>
      <c r="AX294" s="2"/>
      <c r="AY294" s="2"/>
      <c r="AZ294" s="2"/>
      <c r="BA294" s="2"/>
      <c r="BB294" s="2" t="n">
        <v>2725</v>
      </c>
      <c r="BC294" s="2" t="n">
        <v>2737</v>
      </c>
      <c r="BD294" s="2"/>
      <c r="BE294" s="2" t="s">
        <v>5759</v>
      </c>
      <c r="BF294" s="2" t="str">
        <f aca="false">HYPERLINK("http://dx.doi.org/10.1007/s10238-022-00973-3","http://dx.doi.org/10.1007/s10238-022-00973-3")</f>
        <v>http://dx.doi.org/10.1007/s10238-022-00973-3</v>
      </c>
      <c r="BG294" s="2"/>
      <c r="BH294" s="2" t="s">
        <v>5760</v>
      </c>
      <c r="BI294" s="2" t="n">
        <v>13</v>
      </c>
      <c r="BJ294" s="2" t="s">
        <v>5761</v>
      </c>
      <c r="BK294" s="2" t="s">
        <v>100</v>
      </c>
      <c r="BL294" s="2" t="s">
        <v>5762</v>
      </c>
      <c r="BM294" s="2" t="s">
        <v>5763</v>
      </c>
      <c r="BN294" s="2" t="n">
        <v>36522554</v>
      </c>
      <c r="BO294" s="2" t="s">
        <v>1267</v>
      </c>
      <c r="BP294" s="2"/>
      <c r="BQ294" s="2"/>
      <c r="BR294" s="2" t="s">
        <v>104</v>
      </c>
      <c r="BS294" s="2" t="s">
        <v>5764</v>
      </c>
      <c r="BT294" s="2" t="str">
        <f aca="false">HYPERLINK("https%3A%2F%2Fwww.webofscience.com%2Fwos%2Fwoscc%2Ffull-record%2FWOS:000899467700001","View Full Record in Web of Science")</f>
        <v>View Full Record in Web of Science</v>
      </c>
    </row>
    <row r="295" customFormat="false" ht="12.75" hidden="false" customHeight="false" outlineLevel="0" collapsed="false">
      <c r="A295" s="2" t="s">
        <v>72</v>
      </c>
      <c r="B295" s="2" t="s">
        <v>5765</v>
      </c>
      <c r="C295" s="2"/>
      <c r="D295" s="2"/>
      <c r="E295" s="2"/>
      <c r="F295" s="2" t="s">
        <v>5766</v>
      </c>
      <c r="G295" s="2"/>
      <c r="H295" s="2"/>
      <c r="I295" s="2" t="s">
        <v>5767</v>
      </c>
      <c r="J295" s="2" t="s">
        <v>607</v>
      </c>
      <c r="K295" s="2"/>
      <c r="L295" s="2"/>
      <c r="M295" s="2" t="s">
        <v>77</v>
      </c>
      <c r="N295" s="2" t="s">
        <v>78</v>
      </c>
      <c r="O295" s="2"/>
      <c r="P295" s="2"/>
      <c r="Q295" s="2"/>
      <c r="R295" s="2"/>
      <c r="S295" s="2"/>
      <c r="T295" s="2" t="s">
        <v>5768</v>
      </c>
      <c r="U295" s="2" t="s">
        <v>5769</v>
      </c>
      <c r="V295" s="2" t="s">
        <v>5770</v>
      </c>
      <c r="W295" s="2" t="s">
        <v>5771</v>
      </c>
      <c r="X295" s="2" t="s">
        <v>5772</v>
      </c>
      <c r="Y295" s="2" t="s">
        <v>5773</v>
      </c>
      <c r="Z295" s="2" t="s">
        <v>5774</v>
      </c>
      <c r="AA295" s="2" t="s">
        <v>2617</v>
      </c>
      <c r="AB295" s="2"/>
      <c r="AC295" s="2" t="s">
        <v>5775</v>
      </c>
      <c r="AD295" s="2" t="s">
        <v>5776</v>
      </c>
      <c r="AE295" s="2" t="s">
        <v>5777</v>
      </c>
      <c r="AF295" s="2"/>
      <c r="AG295" s="2" t="n">
        <v>50</v>
      </c>
      <c r="AH295" s="2" t="n">
        <v>28</v>
      </c>
      <c r="AI295" s="2" t="n">
        <v>28</v>
      </c>
      <c r="AJ295" s="2" t="n">
        <v>0</v>
      </c>
      <c r="AK295" s="2" t="n">
        <v>2</v>
      </c>
      <c r="AL295" s="2" t="s">
        <v>620</v>
      </c>
      <c r="AM295" s="2" t="s">
        <v>621</v>
      </c>
      <c r="AN295" s="2" t="s">
        <v>622</v>
      </c>
      <c r="AO295" s="2" t="s">
        <v>623</v>
      </c>
      <c r="AP295" s="2"/>
      <c r="AQ295" s="2"/>
      <c r="AR295" s="2" t="s">
        <v>624</v>
      </c>
      <c r="AS295" s="2" t="s">
        <v>625</v>
      </c>
      <c r="AT295" s="2" t="s">
        <v>5778</v>
      </c>
      <c r="AU295" s="2" t="n">
        <v>2018</v>
      </c>
      <c r="AV295" s="2" t="n">
        <v>9</v>
      </c>
      <c r="AW295" s="2"/>
      <c r="AX295" s="2"/>
      <c r="AY295" s="2"/>
      <c r="AZ295" s="2"/>
      <c r="BA295" s="2"/>
      <c r="BB295" s="2"/>
      <c r="BC295" s="2"/>
      <c r="BD295" s="2" t="n">
        <v>854</v>
      </c>
      <c r="BE295" s="2" t="s">
        <v>5779</v>
      </c>
      <c r="BF295" s="2" t="str">
        <f aca="false">HYPERLINK("http://dx.doi.org/10.3389/fimmu.2018.00854","http://dx.doi.org/10.3389/fimmu.2018.00854")</f>
        <v>http://dx.doi.org/10.3389/fimmu.2018.00854</v>
      </c>
      <c r="BG295" s="2"/>
      <c r="BH295" s="2"/>
      <c r="BI295" s="2" t="n">
        <v>14</v>
      </c>
      <c r="BJ295" s="2" t="s">
        <v>628</v>
      </c>
      <c r="BK295" s="2" t="s">
        <v>100</v>
      </c>
      <c r="BL295" s="2" t="s">
        <v>628</v>
      </c>
      <c r="BM295" s="2" t="s">
        <v>5780</v>
      </c>
      <c r="BN295" s="2" t="n">
        <v>29740449</v>
      </c>
      <c r="BO295" s="2" t="s">
        <v>190</v>
      </c>
      <c r="BP295" s="2"/>
      <c r="BQ295" s="2"/>
      <c r="BR295" s="2" t="s">
        <v>104</v>
      </c>
      <c r="BS295" s="2" t="s">
        <v>5781</v>
      </c>
      <c r="BT295" s="2" t="str">
        <f aca="false">HYPERLINK("https%3A%2F%2Fwww.webofscience.com%2Fwos%2Fwoscc%2Ffull-record%2FWOS:000430569500001","View Full Record in Web of Science")</f>
        <v>View Full Record in Web of Science</v>
      </c>
    </row>
    <row r="296" customFormat="false" ht="12.75" hidden="false" customHeight="false" outlineLevel="0" collapsed="false">
      <c r="A296" s="2" t="s">
        <v>72</v>
      </c>
      <c r="B296" s="2" t="s">
        <v>5782</v>
      </c>
      <c r="C296" s="2"/>
      <c r="D296" s="2"/>
      <c r="E296" s="2"/>
      <c r="F296" s="2" t="s">
        <v>5783</v>
      </c>
      <c r="G296" s="2"/>
      <c r="H296" s="2"/>
      <c r="I296" s="2" t="s">
        <v>5784</v>
      </c>
      <c r="J296" s="2" t="s">
        <v>5785</v>
      </c>
      <c r="K296" s="2"/>
      <c r="L296" s="2"/>
      <c r="M296" s="2" t="s">
        <v>77</v>
      </c>
      <c r="N296" s="2" t="s">
        <v>78</v>
      </c>
      <c r="O296" s="2"/>
      <c r="P296" s="2"/>
      <c r="Q296" s="2"/>
      <c r="R296" s="2"/>
      <c r="S296" s="2"/>
      <c r="T296" s="2" t="s">
        <v>5786</v>
      </c>
      <c r="U296" s="2" t="s">
        <v>5787</v>
      </c>
      <c r="V296" s="2" t="s">
        <v>5788</v>
      </c>
      <c r="W296" s="2" t="s">
        <v>5789</v>
      </c>
      <c r="X296" s="2" t="s">
        <v>5790</v>
      </c>
      <c r="Y296" s="2" t="s">
        <v>5791</v>
      </c>
      <c r="Z296" s="2" t="s">
        <v>5792</v>
      </c>
      <c r="AA296" s="2" t="s">
        <v>5793</v>
      </c>
      <c r="AB296" s="2" t="s">
        <v>5794</v>
      </c>
      <c r="AC296" s="2" t="s">
        <v>5795</v>
      </c>
      <c r="AD296" s="2" t="s">
        <v>5795</v>
      </c>
      <c r="AE296" s="2" t="s">
        <v>5796</v>
      </c>
      <c r="AF296" s="2"/>
      <c r="AG296" s="2" t="n">
        <v>58</v>
      </c>
      <c r="AH296" s="2" t="n">
        <v>21</v>
      </c>
      <c r="AI296" s="2" t="n">
        <v>27</v>
      </c>
      <c r="AJ296" s="2" t="n">
        <v>1</v>
      </c>
      <c r="AK296" s="2" t="n">
        <v>3</v>
      </c>
      <c r="AL296" s="2" t="s">
        <v>2533</v>
      </c>
      <c r="AM296" s="2" t="s">
        <v>123</v>
      </c>
      <c r="AN296" s="2" t="s">
        <v>2534</v>
      </c>
      <c r="AO296" s="2" t="s">
        <v>5797</v>
      </c>
      <c r="AP296" s="2" t="s">
        <v>5798</v>
      </c>
      <c r="AQ296" s="2"/>
      <c r="AR296" s="2" t="s">
        <v>5799</v>
      </c>
      <c r="AS296" s="2" t="s">
        <v>5800</v>
      </c>
      <c r="AT296" s="2" t="s">
        <v>5801</v>
      </c>
      <c r="AU296" s="2" t="n">
        <v>2019</v>
      </c>
      <c r="AV296" s="2" t="n">
        <v>11</v>
      </c>
      <c r="AW296" s="2" t="n">
        <v>8</v>
      </c>
      <c r="AX296" s="2"/>
      <c r="AY296" s="2"/>
      <c r="AZ296" s="2"/>
      <c r="BA296" s="2"/>
      <c r="BB296" s="2" t="n">
        <v>1415</v>
      </c>
      <c r="BC296" s="2" t="n">
        <v>1427</v>
      </c>
      <c r="BD296" s="2"/>
      <c r="BE296" s="2" t="s">
        <v>5802</v>
      </c>
      <c r="BF296" s="2" t="str">
        <f aca="false">HYPERLINK("http://dx.doi.org/10.1080/19420862.2019.1654304","http://dx.doi.org/10.1080/19420862.2019.1654304")</f>
        <v>http://dx.doi.org/10.1080/19420862.2019.1654304</v>
      </c>
      <c r="BG296" s="2"/>
      <c r="BH296" s="2" t="s">
        <v>5803</v>
      </c>
      <c r="BI296" s="2" t="n">
        <v>13</v>
      </c>
      <c r="BJ296" s="2" t="s">
        <v>5761</v>
      </c>
      <c r="BK296" s="2" t="s">
        <v>100</v>
      </c>
      <c r="BL296" s="2" t="s">
        <v>5762</v>
      </c>
      <c r="BM296" s="2" t="s">
        <v>5804</v>
      </c>
      <c r="BN296" s="2" t="n">
        <v>31402751</v>
      </c>
      <c r="BO296" s="2" t="s">
        <v>103</v>
      </c>
      <c r="BP296" s="2"/>
      <c r="BQ296" s="2"/>
      <c r="BR296" s="2" t="s">
        <v>104</v>
      </c>
      <c r="BS296" s="2" t="s">
        <v>5805</v>
      </c>
      <c r="BT296" s="2" t="str">
        <f aca="false">HYPERLINK("https%3A%2F%2Fwww.webofscience.com%2Fwos%2Fwoscc%2Ffull-record%2FWOS:000483293700001","View Full Record in Web of Science")</f>
        <v>View Full Record in Web of Science</v>
      </c>
    </row>
    <row r="297" customFormat="false" ht="12.75" hidden="false" customHeight="false" outlineLevel="0" collapsed="false">
      <c r="A297" s="2" t="s">
        <v>72</v>
      </c>
      <c r="B297" s="2" t="s">
        <v>5806</v>
      </c>
      <c r="C297" s="2"/>
      <c r="D297" s="2"/>
      <c r="E297" s="2"/>
      <c r="F297" s="2" t="s">
        <v>5807</v>
      </c>
      <c r="G297" s="2"/>
      <c r="H297" s="2"/>
      <c r="I297" s="2" t="s">
        <v>5808</v>
      </c>
      <c r="J297" s="2" t="s">
        <v>109</v>
      </c>
      <c r="K297" s="2"/>
      <c r="L297" s="2"/>
      <c r="M297" s="2" t="s">
        <v>77</v>
      </c>
      <c r="N297" s="2" t="s">
        <v>78</v>
      </c>
      <c r="O297" s="2"/>
      <c r="P297" s="2"/>
      <c r="Q297" s="2"/>
      <c r="R297" s="2"/>
      <c r="S297" s="2"/>
      <c r="T297" s="2" t="s">
        <v>5809</v>
      </c>
      <c r="U297" s="2" t="s">
        <v>5810</v>
      </c>
      <c r="V297" s="2" t="s">
        <v>5811</v>
      </c>
      <c r="W297" s="2" t="s">
        <v>5812</v>
      </c>
      <c r="X297" s="2" t="s">
        <v>5813</v>
      </c>
      <c r="Y297" s="2" t="s">
        <v>5814</v>
      </c>
      <c r="Z297" s="2" t="s">
        <v>5815</v>
      </c>
      <c r="AA297" s="2" t="s">
        <v>5816</v>
      </c>
      <c r="AB297" s="2" t="s">
        <v>5817</v>
      </c>
      <c r="AC297" s="2"/>
      <c r="AD297" s="2"/>
      <c r="AE297" s="2"/>
      <c r="AF297" s="2"/>
      <c r="AG297" s="2" t="n">
        <v>32</v>
      </c>
      <c r="AH297" s="2" t="n">
        <v>35</v>
      </c>
      <c r="AI297" s="2" t="n">
        <v>37</v>
      </c>
      <c r="AJ297" s="2" t="n">
        <v>0</v>
      </c>
      <c r="AK297" s="2" t="n">
        <v>2</v>
      </c>
      <c r="AL297" s="2" t="s">
        <v>122</v>
      </c>
      <c r="AM297" s="2" t="s">
        <v>123</v>
      </c>
      <c r="AN297" s="2" t="s">
        <v>839</v>
      </c>
      <c r="AO297" s="2" t="s">
        <v>125</v>
      </c>
      <c r="AP297" s="2"/>
      <c r="AQ297" s="2"/>
      <c r="AR297" s="2" t="s">
        <v>127</v>
      </c>
      <c r="AS297" s="2" t="s">
        <v>128</v>
      </c>
      <c r="AT297" s="2" t="s">
        <v>804</v>
      </c>
      <c r="AU297" s="2" t="n">
        <v>2007</v>
      </c>
      <c r="AV297" s="2" t="n">
        <v>26</v>
      </c>
      <c r="AW297" s="2" t="n">
        <v>11</v>
      </c>
      <c r="AX297" s="2"/>
      <c r="AY297" s="2"/>
      <c r="AZ297" s="2"/>
      <c r="BA297" s="2"/>
      <c r="BB297" s="2" t="n">
        <v>1019</v>
      </c>
      <c r="BC297" s="2" t="n">
        <v>1024</v>
      </c>
      <c r="BD297" s="2"/>
      <c r="BE297" s="2" t="s">
        <v>5818</v>
      </c>
      <c r="BF297" s="2" t="str">
        <f aca="false">HYPERLINK("http://dx.doi.org/10.1097/INF.0b013e318126bbb9","http://dx.doi.org/10.1097/INF.0b013e318126bbb9")</f>
        <v>http://dx.doi.org/10.1097/INF.0b013e318126bbb9</v>
      </c>
      <c r="BG297" s="2"/>
      <c r="BH297" s="2"/>
      <c r="BI297" s="2" t="n">
        <v>6</v>
      </c>
      <c r="BJ297" s="2" t="s">
        <v>134</v>
      </c>
      <c r="BK297" s="2" t="s">
        <v>100</v>
      </c>
      <c r="BL297" s="2" t="s">
        <v>134</v>
      </c>
      <c r="BM297" s="2" t="s">
        <v>2900</v>
      </c>
      <c r="BN297" s="2" t="n">
        <v>17984809</v>
      </c>
      <c r="BO297" s="2"/>
      <c r="BP297" s="2"/>
      <c r="BQ297" s="2"/>
      <c r="BR297" s="2" t="s">
        <v>104</v>
      </c>
      <c r="BS297" s="2" t="s">
        <v>5819</v>
      </c>
      <c r="BT297" s="2" t="str">
        <f aca="false">HYPERLINK("https%3A%2F%2Fwww.webofscience.com%2Fwos%2Fwoscc%2Ffull-record%2FWOS:000250818300008","View Full Record in Web of Science")</f>
        <v>View Full Record in Web of Science</v>
      </c>
    </row>
    <row r="298" customFormat="false" ht="12.75" hidden="false" customHeight="false" outlineLevel="0" collapsed="false">
      <c r="A298" s="2" t="s">
        <v>72</v>
      </c>
      <c r="B298" s="2" t="s">
        <v>5820</v>
      </c>
      <c r="C298" s="2"/>
      <c r="D298" s="2"/>
      <c r="E298" s="2"/>
      <c r="F298" s="2" t="s">
        <v>5821</v>
      </c>
      <c r="G298" s="2"/>
      <c r="H298" s="2"/>
      <c r="I298" s="2" t="s">
        <v>5822</v>
      </c>
      <c r="J298" s="2" t="s">
        <v>1290</v>
      </c>
      <c r="K298" s="2"/>
      <c r="L298" s="2"/>
      <c r="M298" s="2" t="s">
        <v>77</v>
      </c>
      <c r="N298" s="2" t="s">
        <v>78</v>
      </c>
      <c r="O298" s="2"/>
      <c r="P298" s="2"/>
      <c r="Q298" s="2"/>
      <c r="R298" s="2"/>
      <c r="S298" s="2"/>
      <c r="T298" s="2" t="s">
        <v>5823</v>
      </c>
      <c r="U298" s="2" t="s">
        <v>5824</v>
      </c>
      <c r="V298" s="2" t="s">
        <v>5825</v>
      </c>
      <c r="W298" s="2" t="s">
        <v>5826</v>
      </c>
      <c r="X298" s="2" t="s">
        <v>5827</v>
      </c>
      <c r="Y298" s="2" t="s">
        <v>5828</v>
      </c>
      <c r="Z298" s="2" t="s">
        <v>5829</v>
      </c>
      <c r="AA298" s="2" t="s">
        <v>5830</v>
      </c>
      <c r="AB298" s="2" t="s">
        <v>5831</v>
      </c>
      <c r="AC298" s="2"/>
      <c r="AD298" s="2"/>
      <c r="AE298" s="2"/>
      <c r="AF298" s="2"/>
      <c r="AG298" s="2" t="n">
        <v>17</v>
      </c>
      <c r="AH298" s="2" t="n">
        <v>47</v>
      </c>
      <c r="AI298" s="2" t="n">
        <v>51</v>
      </c>
      <c r="AJ298" s="2" t="n">
        <v>0</v>
      </c>
      <c r="AK298" s="2" t="n">
        <v>3</v>
      </c>
      <c r="AL298" s="2" t="s">
        <v>154</v>
      </c>
      <c r="AM298" s="2" t="s">
        <v>155</v>
      </c>
      <c r="AN298" s="2" t="s">
        <v>156</v>
      </c>
      <c r="AO298" s="2" t="s">
        <v>1302</v>
      </c>
      <c r="AP298" s="2" t="s">
        <v>1303</v>
      </c>
      <c r="AQ298" s="2"/>
      <c r="AR298" s="2" t="s">
        <v>1304</v>
      </c>
      <c r="AS298" s="2" t="s">
        <v>1305</v>
      </c>
      <c r="AT298" s="2" t="s">
        <v>129</v>
      </c>
      <c r="AU298" s="2" t="n">
        <v>2006</v>
      </c>
      <c r="AV298" s="2" t="n">
        <v>41</v>
      </c>
      <c r="AW298" s="2" t="n">
        <v>9</v>
      </c>
      <c r="AX298" s="2"/>
      <c r="AY298" s="2"/>
      <c r="AZ298" s="2"/>
      <c r="BA298" s="2"/>
      <c r="BB298" s="2" t="n">
        <v>872</v>
      </c>
      <c r="BC298" s="2" t="n">
        <v>874</v>
      </c>
      <c r="BD298" s="2"/>
      <c r="BE298" s="2" t="s">
        <v>5832</v>
      </c>
      <c r="BF298" s="2" t="str">
        <f aca="false">HYPERLINK("http://dx.doi.org/10.1002/ppul.20459","http://dx.doi.org/10.1002/ppul.20459")</f>
        <v>http://dx.doi.org/10.1002/ppul.20459</v>
      </c>
      <c r="BG298" s="2"/>
      <c r="BH298" s="2"/>
      <c r="BI298" s="2" t="n">
        <v>3</v>
      </c>
      <c r="BJ298" s="2" t="s">
        <v>1307</v>
      </c>
      <c r="BK298" s="2" t="s">
        <v>100</v>
      </c>
      <c r="BL298" s="2" t="s">
        <v>1307</v>
      </c>
      <c r="BM298" s="2" t="s">
        <v>5833</v>
      </c>
      <c r="BN298" s="2" t="n">
        <v>16850438</v>
      </c>
      <c r="BO298" s="2"/>
      <c r="BP298" s="2"/>
      <c r="BQ298" s="2"/>
      <c r="BR298" s="2" t="s">
        <v>104</v>
      </c>
      <c r="BS298" s="2" t="s">
        <v>5834</v>
      </c>
      <c r="BT298" s="2" t="str">
        <f aca="false">HYPERLINK("https%3A%2F%2Fwww.webofscience.com%2Fwos%2Fwoscc%2Ffull-record%2FWOS:000240035300010","View Full Record in Web of Science")</f>
        <v>View Full Record in Web of Science</v>
      </c>
    </row>
    <row r="299" customFormat="false" ht="12.75" hidden="false" customHeight="false" outlineLevel="0" collapsed="false">
      <c r="A299" s="2" t="s">
        <v>72</v>
      </c>
      <c r="B299" s="2" t="s">
        <v>5835</v>
      </c>
      <c r="C299" s="2"/>
      <c r="D299" s="2"/>
      <c r="E299" s="2"/>
      <c r="F299" s="2" t="s">
        <v>5836</v>
      </c>
      <c r="G299" s="2"/>
      <c r="H299" s="2"/>
      <c r="I299" s="2" t="s">
        <v>5837</v>
      </c>
      <c r="J299" s="2" t="s">
        <v>141</v>
      </c>
      <c r="K299" s="2"/>
      <c r="L299" s="2"/>
      <c r="M299" s="2" t="s">
        <v>77</v>
      </c>
      <c r="N299" s="2" t="s">
        <v>78</v>
      </c>
      <c r="O299" s="2"/>
      <c r="P299" s="2"/>
      <c r="Q299" s="2"/>
      <c r="R299" s="2"/>
      <c r="S299" s="2"/>
      <c r="T299" s="2" t="s">
        <v>5838</v>
      </c>
      <c r="U299" s="2" t="s">
        <v>5839</v>
      </c>
      <c r="V299" s="2" t="s">
        <v>5840</v>
      </c>
      <c r="W299" s="2" t="s">
        <v>5841</v>
      </c>
      <c r="X299" s="2" t="s">
        <v>5842</v>
      </c>
      <c r="Y299" s="2" t="s">
        <v>5843</v>
      </c>
      <c r="Z299" s="2" t="s">
        <v>5844</v>
      </c>
      <c r="AA299" s="2"/>
      <c r="AB299" s="2"/>
      <c r="AC299" s="2" t="s">
        <v>5845</v>
      </c>
      <c r="AD299" s="2" t="s">
        <v>5846</v>
      </c>
      <c r="AE299" s="2" t="s">
        <v>5847</v>
      </c>
      <c r="AF299" s="2"/>
      <c r="AG299" s="2" t="n">
        <v>40</v>
      </c>
      <c r="AH299" s="2" t="n">
        <v>33</v>
      </c>
      <c r="AI299" s="2" t="n">
        <v>40</v>
      </c>
      <c r="AJ299" s="2" t="n">
        <v>0</v>
      </c>
      <c r="AK299" s="2" t="n">
        <v>17</v>
      </c>
      <c r="AL299" s="2" t="s">
        <v>154</v>
      </c>
      <c r="AM299" s="2" t="s">
        <v>155</v>
      </c>
      <c r="AN299" s="2" t="s">
        <v>156</v>
      </c>
      <c r="AO299" s="2" t="s">
        <v>157</v>
      </c>
      <c r="AP299" s="2" t="s">
        <v>158</v>
      </c>
      <c r="AQ299" s="2"/>
      <c r="AR299" s="2" t="s">
        <v>159</v>
      </c>
      <c r="AS299" s="2" t="s">
        <v>160</v>
      </c>
      <c r="AT299" s="2" t="s">
        <v>692</v>
      </c>
      <c r="AU299" s="2" t="n">
        <v>2017</v>
      </c>
      <c r="AV299" s="2" t="n">
        <v>89</v>
      </c>
      <c r="AW299" s="2" t="n">
        <v>4</v>
      </c>
      <c r="AX299" s="2"/>
      <c r="AY299" s="2"/>
      <c r="AZ299" s="2"/>
      <c r="BA299" s="2"/>
      <c r="BB299" s="2" t="n">
        <v>589</v>
      </c>
      <c r="BC299" s="2" t="n">
        <v>597</v>
      </c>
      <c r="BD299" s="2"/>
      <c r="BE299" s="2" t="s">
        <v>5848</v>
      </c>
      <c r="BF299" s="2" t="str">
        <f aca="false">HYPERLINK("http://dx.doi.org/10.1002/jmv.24687","http://dx.doi.org/10.1002/jmv.24687")</f>
        <v>http://dx.doi.org/10.1002/jmv.24687</v>
      </c>
      <c r="BG299" s="2"/>
      <c r="BH299" s="2"/>
      <c r="BI299" s="2" t="n">
        <v>9</v>
      </c>
      <c r="BJ299" s="2" t="s">
        <v>163</v>
      </c>
      <c r="BK299" s="2" t="s">
        <v>100</v>
      </c>
      <c r="BL299" s="2" t="s">
        <v>163</v>
      </c>
      <c r="BM299" s="2" t="s">
        <v>5849</v>
      </c>
      <c r="BN299" s="2" t="n">
        <v>27632796</v>
      </c>
      <c r="BO299" s="2" t="s">
        <v>165</v>
      </c>
      <c r="BP299" s="2"/>
      <c r="BQ299" s="2"/>
      <c r="BR299" s="2" t="s">
        <v>104</v>
      </c>
      <c r="BS299" s="2" t="s">
        <v>5850</v>
      </c>
      <c r="BT299" s="2" t="str">
        <f aca="false">HYPERLINK("https%3A%2F%2Fwww.webofscience.com%2Fwos%2Fwoscc%2Ffull-record%2FWOS:000393895000004","View Full Record in Web of Science")</f>
        <v>View Full Record in Web of Science</v>
      </c>
    </row>
    <row r="300" customFormat="false" ht="12.75" hidden="false" customHeight="false" outlineLevel="0" collapsed="false">
      <c r="A300" s="2" t="s">
        <v>72</v>
      </c>
      <c r="B300" s="2" t="s">
        <v>5851</v>
      </c>
      <c r="C300" s="2"/>
      <c r="D300" s="2"/>
      <c r="E300" s="2"/>
      <c r="F300" s="2" t="s">
        <v>5852</v>
      </c>
      <c r="G300" s="2"/>
      <c r="H300" s="2"/>
      <c r="I300" s="2" t="s">
        <v>5853</v>
      </c>
      <c r="J300" s="2" t="s">
        <v>4977</v>
      </c>
      <c r="K300" s="2"/>
      <c r="L300" s="2"/>
      <c r="M300" s="2" t="s">
        <v>77</v>
      </c>
      <c r="N300" s="2" t="s">
        <v>78</v>
      </c>
      <c r="O300" s="2"/>
      <c r="P300" s="2"/>
      <c r="Q300" s="2"/>
      <c r="R300" s="2"/>
      <c r="S300" s="2"/>
      <c r="T300" s="2" t="s">
        <v>5854</v>
      </c>
      <c r="U300" s="2" t="s">
        <v>5855</v>
      </c>
      <c r="V300" s="2" t="s">
        <v>5856</v>
      </c>
      <c r="W300" s="2" t="s">
        <v>5857</v>
      </c>
      <c r="X300" s="2" t="s">
        <v>5858</v>
      </c>
      <c r="Y300" s="2" t="s">
        <v>5859</v>
      </c>
      <c r="Z300" s="2" t="s">
        <v>5860</v>
      </c>
      <c r="AA300" s="2" t="s">
        <v>5861</v>
      </c>
      <c r="AB300" s="2" t="s">
        <v>5862</v>
      </c>
      <c r="AC300" s="2" t="s">
        <v>5863</v>
      </c>
      <c r="AD300" s="2" t="s">
        <v>5864</v>
      </c>
      <c r="AE300" s="2" t="s">
        <v>5865</v>
      </c>
      <c r="AF300" s="2"/>
      <c r="AG300" s="2" t="n">
        <v>34</v>
      </c>
      <c r="AH300" s="2" t="n">
        <v>11</v>
      </c>
      <c r="AI300" s="2" t="n">
        <v>11</v>
      </c>
      <c r="AJ300" s="2" t="n">
        <v>0</v>
      </c>
      <c r="AK300" s="2" t="n">
        <v>1</v>
      </c>
      <c r="AL300" s="2" t="s">
        <v>4987</v>
      </c>
      <c r="AM300" s="2" t="s">
        <v>2438</v>
      </c>
      <c r="AN300" s="2" t="s">
        <v>4988</v>
      </c>
      <c r="AO300" s="2" t="s">
        <v>4989</v>
      </c>
      <c r="AP300" s="2" t="s">
        <v>4990</v>
      </c>
      <c r="AQ300" s="2"/>
      <c r="AR300" s="2" t="s">
        <v>4991</v>
      </c>
      <c r="AS300" s="2" t="s">
        <v>4992</v>
      </c>
      <c r="AT300" s="2" t="s">
        <v>599</v>
      </c>
      <c r="AU300" s="2" t="n">
        <v>2015</v>
      </c>
      <c r="AV300" s="2" t="n">
        <v>3</v>
      </c>
      <c r="AW300" s="2" t="n">
        <v>3</v>
      </c>
      <c r="AX300" s="2"/>
      <c r="AY300" s="2"/>
      <c r="AZ300" s="2"/>
      <c r="BA300" s="2"/>
      <c r="BB300" s="2"/>
      <c r="BC300" s="2"/>
      <c r="BD300" s="2" t="s">
        <v>5866</v>
      </c>
      <c r="BE300" s="2" t="s">
        <v>5867</v>
      </c>
      <c r="BF300" s="2" t="str">
        <f aca="false">HYPERLINK("http://dx.doi.org/10.5812/pedinfect.21581v2","http://dx.doi.org/10.5812/pedinfect.21581v2")</f>
        <v>http://dx.doi.org/10.5812/pedinfect.21581v2</v>
      </c>
      <c r="BG300" s="2"/>
      <c r="BH300" s="2"/>
      <c r="BI300" s="2" t="n">
        <v>5</v>
      </c>
      <c r="BJ300" s="2" t="s">
        <v>601</v>
      </c>
      <c r="BK300" s="2" t="s">
        <v>339</v>
      </c>
      <c r="BL300" s="2" t="s">
        <v>601</v>
      </c>
      <c r="BM300" s="2" t="s">
        <v>5868</v>
      </c>
      <c r="BN300" s="2"/>
      <c r="BO300" s="2" t="s">
        <v>2278</v>
      </c>
      <c r="BP300" s="2"/>
      <c r="BQ300" s="2"/>
      <c r="BR300" s="2" t="s">
        <v>104</v>
      </c>
      <c r="BS300" s="2" t="s">
        <v>5869</v>
      </c>
      <c r="BT300" s="2" t="str">
        <f aca="false">HYPERLINK("https%3A%2F%2Fwww.webofscience.com%2Fwos%2Fwoscc%2Ffull-record%2FWOS:000362588200005","View Full Record in Web of Science")</f>
        <v>View Full Record in Web of Science</v>
      </c>
    </row>
    <row r="301" customFormat="false" ht="12.75" hidden="false" customHeight="false" outlineLevel="0" collapsed="false">
      <c r="A301" s="2" t="s">
        <v>72</v>
      </c>
      <c r="B301" s="2" t="s">
        <v>5870</v>
      </c>
      <c r="C301" s="2"/>
      <c r="D301" s="2"/>
      <c r="E301" s="2"/>
      <c r="F301" s="2" t="s">
        <v>5871</v>
      </c>
      <c r="G301" s="2"/>
      <c r="H301" s="2"/>
      <c r="I301" s="2" t="s">
        <v>5872</v>
      </c>
      <c r="J301" s="2" t="s">
        <v>4724</v>
      </c>
      <c r="K301" s="2"/>
      <c r="L301" s="2"/>
      <c r="M301" s="2" t="s">
        <v>77</v>
      </c>
      <c r="N301" s="2" t="s">
        <v>78</v>
      </c>
      <c r="O301" s="2"/>
      <c r="P301" s="2"/>
      <c r="Q301" s="2"/>
      <c r="R301" s="2"/>
      <c r="S301" s="2"/>
      <c r="T301" s="2" t="s">
        <v>5873</v>
      </c>
      <c r="U301" s="2" t="s">
        <v>5874</v>
      </c>
      <c r="V301" s="2" t="s">
        <v>5875</v>
      </c>
      <c r="W301" s="2" t="s">
        <v>5876</v>
      </c>
      <c r="X301" s="2" t="s">
        <v>5877</v>
      </c>
      <c r="Y301" s="2" t="s">
        <v>5878</v>
      </c>
      <c r="Z301" s="2" t="s">
        <v>5879</v>
      </c>
      <c r="AA301" s="2" t="s">
        <v>5880</v>
      </c>
      <c r="AB301" s="2"/>
      <c r="AC301" s="2" t="s">
        <v>5881</v>
      </c>
      <c r="AD301" s="2" t="s">
        <v>5882</v>
      </c>
      <c r="AE301" s="2" t="s">
        <v>5883</v>
      </c>
      <c r="AF301" s="2"/>
      <c r="AG301" s="2" t="n">
        <v>31</v>
      </c>
      <c r="AH301" s="2" t="n">
        <v>0</v>
      </c>
      <c r="AI301" s="2" t="n">
        <v>0</v>
      </c>
      <c r="AJ301" s="2" t="n">
        <v>1</v>
      </c>
      <c r="AK301" s="2" t="n">
        <v>1</v>
      </c>
      <c r="AL301" s="2" t="s">
        <v>620</v>
      </c>
      <c r="AM301" s="2" t="s">
        <v>621</v>
      </c>
      <c r="AN301" s="2" t="s">
        <v>622</v>
      </c>
      <c r="AO301" s="2" t="s">
        <v>4737</v>
      </c>
      <c r="AP301" s="2"/>
      <c r="AQ301" s="2"/>
      <c r="AR301" s="2" t="s">
        <v>4738</v>
      </c>
      <c r="AS301" s="2" t="s">
        <v>4739</v>
      </c>
      <c r="AT301" s="2" t="s">
        <v>5884</v>
      </c>
      <c r="AU301" s="2" t="n">
        <v>2024</v>
      </c>
      <c r="AV301" s="2" t="n">
        <v>14</v>
      </c>
      <c r="AW301" s="2"/>
      <c r="AX301" s="2"/>
      <c r="AY301" s="2"/>
      <c r="AZ301" s="2"/>
      <c r="BA301" s="2"/>
      <c r="BB301" s="2"/>
      <c r="BC301" s="2"/>
      <c r="BD301" s="2" t="n">
        <v>1435294</v>
      </c>
      <c r="BE301" s="2" t="s">
        <v>5885</v>
      </c>
      <c r="BF301" s="2" t="str">
        <f aca="false">HYPERLINK("http://dx.doi.org/10.3389/fcimb.2024.1435294","http://dx.doi.org/10.3389/fcimb.2024.1435294")</f>
        <v>http://dx.doi.org/10.3389/fcimb.2024.1435294</v>
      </c>
      <c r="BG301" s="2"/>
      <c r="BH301" s="2"/>
      <c r="BI301" s="2" t="n">
        <v>11</v>
      </c>
      <c r="BJ301" s="2" t="s">
        <v>2364</v>
      </c>
      <c r="BK301" s="2" t="s">
        <v>100</v>
      </c>
      <c r="BL301" s="2" t="s">
        <v>2364</v>
      </c>
      <c r="BM301" s="2" t="s">
        <v>5886</v>
      </c>
      <c r="BN301" s="2" t="n">
        <v>39286815</v>
      </c>
      <c r="BO301" s="2" t="s">
        <v>1355</v>
      </c>
      <c r="BP301" s="2"/>
      <c r="BQ301" s="2"/>
      <c r="BR301" s="2" t="s">
        <v>104</v>
      </c>
      <c r="BS301" s="2" t="s">
        <v>5887</v>
      </c>
      <c r="BT301" s="2" t="str">
        <f aca="false">HYPERLINK("https%3A%2F%2Fwww.webofscience.com%2Fwos%2Fwoscc%2Ffull-record%2FWOS:001313827300001","View Full Record in Web of Science")</f>
        <v>View Full Record in Web of Science</v>
      </c>
    </row>
    <row r="302" customFormat="false" ht="12.75" hidden="false" customHeight="false" outlineLevel="0" collapsed="false">
      <c r="A302" s="2" t="s">
        <v>72</v>
      </c>
      <c r="B302" s="2" t="s">
        <v>5888</v>
      </c>
      <c r="C302" s="2"/>
      <c r="D302" s="2"/>
      <c r="E302" s="2"/>
      <c r="F302" s="2" t="s">
        <v>5889</v>
      </c>
      <c r="G302" s="2"/>
      <c r="H302" s="2"/>
      <c r="I302" s="2" t="s">
        <v>5890</v>
      </c>
      <c r="J302" s="2" t="s">
        <v>742</v>
      </c>
      <c r="K302" s="2"/>
      <c r="L302" s="2"/>
      <c r="M302" s="2" t="s">
        <v>77</v>
      </c>
      <c r="N302" s="2" t="s">
        <v>78</v>
      </c>
      <c r="O302" s="2"/>
      <c r="P302" s="2"/>
      <c r="Q302" s="2"/>
      <c r="R302" s="2"/>
      <c r="S302" s="2"/>
      <c r="T302" s="2" t="s">
        <v>5891</v>
      </c>
      <c r="U302" s="2" t="s">
        <v>5892</v>
      </c>
      <c r="V302" s="2" t="s">
        <v>5893</v>
      </c>
      <c r="W302" s="2" t="s">
        <v>5894</v>
      </c>
      <c r="X302" s="2" t="s">
        <v>5895</v>
      </c>
      <c r="Y302" s="2" t="s">
        <v>5896</v>
      </c>
      <c r="Z302" s="2"/>
      <c r="AA302" s="2" t="s">
        <v>5897</v>
      </c>
      <c r="AB302" s="2" t="s">
        <v>5898</v>
      </c>
      <c r="AC302" s="2" t="s">
        <v>5899</v>
      </c>
      <c r="AD302" s="2" t="s">
        <v>5900</v>
      </c>
      <c r="AE302" s="2" t="s">
        <v>5901</v>
      </c>
      <c r="AF302" s="2"/>
      <c r="AG302" s="2" t="n">
        <v>62</v>
      </c>
      <c r="AH302" s="2" t="n">
        <v>0</v>
      </c>
      <c r="AI302" s="2" t="n">
        <v>0</v>
      </c>
      <c r="AJ302" s="2" t="n">
        <v>1</v>
      </c>
      <c r="AK302" s="2" t="n">
        <v>1</v>
      </c>
      <c r="AL302" s="2" t="s">
        <v>755</v>
      </c>
      <c r="AM302" s="2" t="s">
        <v>273</v>
      </c>
      <c r="AN302" s="2" t="s">
        <v>756</v>
      </c>
      <c r="AO302" s="2" t="s">
        <v>757</v>
      </c>
      <c r="AP302" s="2" t="s">
        <v>758</v>
      </c>
      <c r="AQ302" s="2"/>
      <c r="AR302" s="2" t="s">
        <v>759</v>
      </c>
      <c r="AS302" s="2" t="s">
        <v>760</v>
      </c>
      <c r="AT302" s="2" t="s">
        <v>5902</v>
      </c>
      <c r="AU302" s="2" t="n">
        <v>2024</v>
      </c>
      <c r="AV302" s="2" t="n">
        <v>98</v>
      </c>
      <c r="AW302" s="2" t="n">
        <v>8</v>
      </c>
      <c r="AX302" s="2"/>
      <c r="AY302" s="2"/>
      <c r="AZ302" s="2"/>
      <c r="BA302" s="2"/>
      <c r="BB302" s="2"/>
      <c r="BC302" s="2"/>
      <c r="BD302" s="2"/>
      <c r="BE302" s="2" t="s">
        <v>5903</v>
      </c>
      <c r="BF302" s="2" t="str">
        <f aca="false">HYPERLINK("http://dx.doi.org/10.1128/jvi.00990-24","http://dx.doi.org/10.1128/jvi.00990-24")</f>
        <v>http://dx.doi.org/10.1128/jvi.00990-24</v>
      </c>
      <c r="BG302" s="2"/>
      <c r="BH302" s="2" t="s">
        <v>4324</v>
      </c>
      <c r="BI302" s="2" t="n">
        <v>16</v>
      </c>
      <c r="BJ302" s="2" t="s">
        <v>163</v>
      </c>
      <c r="BK302" s="2" t="s">
        <v>100</v>
      </c>
      <c r="BL302" s="2" t="s">
        <v>163</v>
      </c>
      <c r="BM302" s="2" t="s">
        <v>5904</v>
      </c>
      <c r="BN302" s="2" t="n">
        <v>39007617</v>
      </c>
      <c r="BO302" s="2" t="s">
        <v>5905</v>
      </c>
      <c r="BP302" s="2"/>
      <c r="BQ302" s="2"/>
      <c r="BR302" s="2" t="s">
        <v>104</v>
      </c>
      <c r="BS302" s="2" t="s">
        <v>5906</v>
      </c>
      <c r="BT302" s="2" t="str">
        <f aca="false">HYPERLINK("https%3A%2F%2Fwww.webofscience.com%2Fwos%2Fwoscc%2Ffull-record%2FWOS:001272404900001","View Full Record in Web of Science")</f>
        <v>View Full Record in Web of Science</v>
      </c>
    </row>
    <row r="303" customFormat="false" ht="12.75" hidden="false" customHeight="false" outlineLevel="0" collapsed="false">
      <c r="A303" s="2" t="s">
        <v>72</v>
      </c>
      <c r="B303" s="2" t="s">
        <v>5907</v>
      </c>
      <c r="C303" s="2"/>
      <c r="D303" s="2"/>
      <c r="E303" s="2"/>
      <c r="F303" s="2" t="s">
        <v>5908</v>
      </c>
      <c r="G303" s="2"/>
      <c r="H303" s="2"/>
      <c r="I303" s="2" t="s">
        <v>5909</v>
      </c>
      <c r="J303" s="2" t="s">
        <v>2547</v>
      </c>
      <c r="K303" s="2"/>
      <c r="L303" s="2"/>
      <c r="M303" s="2" t="s">
        <v>77</v>
      </c>
      <c r="N303" s="2" t="s">
        <v>78</v>
      </c>
      <c r="O303" s="2"/>
      <c r="P303" s="2"/>
      <c r="Q303" s="2"/>
      <c r="R303" s="2"/>
      <c r="S303" s="2"/>
      <c r="T303" s="2" t="s">
        <v>5910</v>
      </c>
      <c r="U303" s="2" t="s">
        <v>5911</v>
      </c>
      <c r="V303" s="2" t="s">
        <v>5912</v>
      </c>
      <c r="W303" s="2" t="s">
        <v>5913</v>
      </c>
      <c r="X303" s="2" t="s">
        <v>5914</v>
      </c>
      <c r="Y303" s="2" t="s">
        <v>5915</v>
      </c>
      <c r="Z303" s="2" t="s">
        <v>5916</v>
      </c>
      <c r="AA303" s="2" t="s">
        <v>5917</v>
      </c>
      <c r="AB303" s="2" t="s">
        <v>5918</v>
      </c>
      <c r="AC303" s="2" t="s">
        <v>5919</v>
      </c>
      <c r="AD303" s="2" t="s">
        <v>5920</v>
      </c>
      <c r="AE303" s="2" t="s">
        <v>5921</v>
      </c>
      <c r="AF303" s="2"/>
      <c r="AG303" s="2" t="n">
        <v>62</v>
      </c>
      <c r="AH303" s="2" t="n">
        <v>36</v>
      </c>
      <c r="AI303" s="2" t="n">
        <v>44</v>
      </c>
      <c r="AJ303" s="2" t="n">
        <v>0</v>
      </c>
      <c r="AK303" s="2" t="n">
        <v>3</v>
      </c>
      <c r="AL303" s="2" t="s">
        <v>782</v>
      </c>
      <c r="AM303" s="2" t="s">
        <v>2193</v>
      </c>
      <c r="AN303" s="2" t="s">
        <v>2194</v>
      </c>
      <c r="AO303" s="2" t="s">
        <v>2556</v>
      </c>
      <c r="AP303" s="2" t="s">
        <v>2557</v>
      </c>
      <c r="AQ303" s="2"/>
      <c r="AR303" s="2" t="s">
        <v>2547</v>
      </c>
      <c r="AS303" s="2" t="s">
        <v>2558</v>
      </c>
      <c r="AT303" s="2" t="s">
        <v>5922</v>
      </c>
      <c r="AU303" s="2" t="n">
        <v>2018</v>
      </c>
      <c r="AV303" s="2" t="n">
        <v>36</v>
      </c>
      <c r="AW303" s="2" t="n">
        <v>45</v>
      </c>
      <c r="AX303" s="2"/>
      <c r="AY303" s="2"/>
      <c r="AZ303" s="2"/>
      <c r="BA303" s="2"/>
      <c r="BB303" s="2" t="n">
        <v>6660</v>
      </c>
      <c r="BC303" s="2" t="n">
        <v>6673</v>
      </c>
      <c r="BD303" s="2"/>
      <c r="BE303" s="2" t="s">
        <v>5923</v>
      </c>
      <c r="BF303" s="2" t="str">
        <f aca="false">HYPERLINK("http://dx.doi.org/10.1016/j.vaccine.2018.09.056","http://dx.doi.org/10.1016/j.vaccine.2018.09.056")</f>
        <v>http://dx.doi.org/10.1016/j.vaccine.2018.09.056</v>
      </c>
      <c r="BG303" s="2"/>
      <c r="BH303" s="2"/>
      <c r="BI303" s="2" t="n">
        <v>14</v>
      </c>
      <c r="BJ303" s="2" t="s">
        <v>187</v>
      </c>
      <c r="BK303" s="2" t="s">
        <v>100</v>
      </c>
      <c r="BL303" s="2" t="s">
        <v>188</v>
      </c>
      <c r="BM303" s="2" t="s">
        <v>5924</v>
      </c>
      <c r="BN303" s="2" t="n">
        <v>30292456</v>
      </c>
      <c r="BO303" s="2" t="s">
        <v>136</v>
      </c>
      <c r="BP303" s="2"/>
      <c r="BQ303" s="2"/>
      <c r="BR303" s="2" t="s">
        <v>104</v>
      </c>
      <c r="BS303" s="2" t="s">
        <v>5925</v>
      </c>
      <c r="BT303" s="2" t="str">
        <f aca="false">HYPERLINK("https%3A%2F%2Fwww.webofscience.com%2Fwos%2Fwoscc%2Ffull-record%2FWOS:000449444100013","View Full Record in Web of Science")</f>
        <v>View Full Record in Web of Science</v>
      </c>
    </row>
    <row r="304" customFormat="false" ht="12.75" hidden="false" customHeight="false" outlineLevel="0" collapsed="false">
      <c r="A304" s="2" t="s">
        <v>72</v>
      </c>
      <c r="B304" s="2" t="s">
        <v>5926</v>
      </c>
      <c r="C304" s="2"/>
      <c r="D304" s="2"/>
      <c r="E304" s="2"/>
      <c r="F304" s="2" t="s">
        <v>5927</v>
      </c>
      <c r="G304" s="2"/>
      <c r="H304" s="2"/>
      <c r="I304" s="2" t="s">
        <v>5928</v>
      </c>
      <c r="J304" s="2" t="s">
        <v>5929</v>
      </c>
      <c r="K304" s="2"/>
      <c r="L304" s="2"/>
      <c r="M304" s="2" t="s">
        <v>77</v>
      </c>
      <c r="N304" s="2" t="s">
        <v>78</v>
      </c>
      <c r="O304" s="2"/>
      <c r="P304" s="2"/>
      <c r="Q304" s="2"/>
      <c r="R304" s="2"/>
      <c r="S304" s="2"/>
      <c r="T304" s="2" t="s">
        <v>5930</v>
      </c>
      <c r="U304" s="2" t="s">
        <v>5931</v>
      </c>
      <c r="V304" s="2" t="s">
        <v>5932</v>
      </c>
      <c r="W304" s="2" t="s">
        <v>5933</v>
      </c>
      <c r="X304" s="2" t="s">
        <v>5934</v>
      </c>
      <c r="Y304" s="2" t="s">
        <v>5935</v>
      </c>
      <c r="Z304" s="2" t="s">
        <v>5936</v>
      </c>
      <c r="AA304" s="2" t="s">
        <v>5937</v>
      </c>
      <c r="AB304" s="2"/>
      <c r="AC304" s="2" t="s">
        <v>5938</v>
      </c>
      <c r="AD304" s="2" t="s">
        <v>5938</v>
      </c>
      <c r="AE304" s="2" t="s">
        <v>5939</v>
      </c>
      <c r="AF304" s="2"/>
      <c r="AG304" s="2" t="n">
        <v>48</v>
      </c>
      <c r="AH304" s="2" t="n">
        <v>0</v>
      </c>
      <c r="AI304" s="2" t="n">
        <v>0</v>
      </c>
      <c r="AJ304" s="2" t="n">
        <v>0</v>
      </c>
      <c r="AK304" s="2" t="n">
        <v>0</v>
      </c>
      <c r="AL304" s="2" t="s">
        <v>5940</v>
      </c>
      <c r="AM304" s="2" t="s">
        <v>5941</v>
      </c>
      <c r="AN304" s="2" t="s">
        <v>5942</v>
      </c>
      <c r="AO304" s="2"/>
      <c r="AP304" s="2" t="s">
        <v>5943</v>
      </c>
      <c r="AQ304" s="2"/>
      <c r="AR304" s="2" t="s">
        <v>5944</v>
      </c>
      <c r="AS304" s="2" t="s">
        <v>5945</v>
      </c>
      <c r="AT304" s="2"/>
      <c r="AU304" s="2" t="n">
        <v>2024</v>
      </c>
      <c r="AV304" s="2" t="n">
        <v>9</v>
      </c>
      <c r="AW304" s="2" t="n">
        <v>2</v>
      </c>
      <c r="AX304" s="2"/>
      <c r="AY304" s="2"/>
      <c r="AZ304" s="2"/>
      <c r="BA304" s="2"/>
      <c r="BB304" s="2"/>
      <c r="BC304" s="2"/>
      <c r="BD304" s="2" t="n">
        <v>1</v>
      </c>
      <c r="BE304" s="2" t="s">
        <v>5946</v>
      </c>
      <c r="BF304" s="2" t="str">
        <f aca="false">HYPERLINK("http://dx.doi.org/10.23889/ijpds.v6i1.2376","http://dx.doi.org/10.23889/ijpds.v6i1.2376")</f>
        <v>http://dx.doi.org/10.23889/ijpds.v6i1.2376</v>
      </c>
      <c r="BG304" s="2"/>
      <c r="BH304" s="2"/>
      <c r="BI304" s="2" t="n">
        <v>13</v>
      </c>
      <c r="BJ304" s="2" t="s">
        <v>5947</v>
      </c>
      <c r="BK304" s="2" t="s">
        <v>339</v>
      </c>
      <c r="BL304" s="2" t="s">
        <v>5948</v>
      </c>
      <c r="BM304" s="2" t="s">
        <v>5949</v>
      </c>
      <c r="BN304" s="2"/>
      <c r="BO304" s="2"/>
      <c r="BP304" s="2"/>
      <c r="BQ304" s="2"/>
      <c r="BR304" s="2" t="s">
        <v>104</v>
      </c>
      <c r="BS304" s="2" t="s">
        <v>5950</v>
      </c>
      <c r="BT304" s="2" t="str">
        <f aca="false">HYPERLINK("https%3A%2F%2Fwww.webofscience.com%2Fwos%2Fwoscc%2Ffull-record%2FWOS:001350690000001","View Full Record in Web of Science")</f>
        <v>View Full Record in Web of Science</v>
      </c>
    </row>
    <row r="305" customFormat="false" ht="12.75" hidden="false" customHeight="false" outlineLevel="0" collapsed="false">
      <c r="A305" s="2" t="s">
        <v>72</v>
      </c>
      <c r="B305" s="2" t="s">
        <v>5951</v>
      </c>
      <c r="C305" s="2"/>
      <c r="D305" s="2"/>
      <c r="E305" s="2"/>
      <c r="F305" s="2" t="s">
        <v>5952</v>
      </c>
      <c r="G305" s="2"/>
      <c r="H305" s="2"/>
      <c r="I305" s="2" t="s">
        <v>5953</v>
      </c>
      <c r="J305" s="2" t="s">
        <v>514</v>
      </c>
      <c r="K305" s="2"/>
      <c r="L305" s="2"/>
      <c r="M305" s="2" t="s">
        <v>77</v>
      </c>
      <c r="N305" s="2" t="s">
        <v>78</v>
      </c>
      <c r="O305" s="2"/>
      <c r="P305" s="2"/>
      <c r="Q305" s="2"/>
      <c r="R305" s="2"/>
      <c r="S305" s="2"/>
      <c r="T305" s="2" t="s">
        <v>5954</v>
      </c>
      <c r="U305" s="2" t="s">
        <v>5955</v>
      </c>
      <c r="V305" s="2" t="s">
        <v>5956</v>
      </c>
      <c r="W305" s="2" t="s">
        <v>5957</v>
      </c>
      <c r="X305" s="2" t="s">
        <v>5958</v>
      </c>
      <c r="Y305" s="2" t="s">
        <v>5959</v>
      </c>
      <c r="Z305" s="2" t="s">
        <v>5960</v>
      </c>
      <c r="AA305" s="2" t="s">
        <v>5961</v>
      </c>
      <c r="AB305" s="2" t="s">
        <v>5962</v>
      </c>
      <c r="AC305" s="2" t="s">
        <v>5963</v>
      </c>
      <c r="AD305" s="2" t="s">
        <v>5964</v>
      </c>
      <c r="AE305" s="2" t="s">
        <v>5965</v>
      </c>
      <c r="AF305" s="2"/>
      <c r="AG305" s="2" t="n">
        <v>22</v>
      </c>
      <c r="AH305" s="2" t="n">
        <v>185</v>
      </c>
      <c r="AI305" s="2" t="n">
        <v>199</v>
      </c>
      <c r="AJ305" s="2" t="n">
        <v>0</v>
      </c>
      <c r="AK305" s="2" t="n">
        <v>22</v>
      </c>
      <c r="AL305" s="2" t="s">
        <v>527</v>
      </c>
      <c r="AM305" s="2" t="s">
        <v>528</v>
      </c>
      <c r="AN305" s="2" t="s">
        <v>529</v>
      </c>
      <c r="AO305" s="2" t="s">
        <v>530</v>
      </c>
      <c r="AP305" s="2" t="s">
        <v>531</v>
      </c>
      <c r="AQ305" s="2"/>
      <c r="AR305" s="2" t="s">
        <v>532</v>
      </c>
      <c r="AS305" s="2" t="s">
        <v>533</v>
      </c>
      <c r="AT305" s="2" t="s">
        <v>2037</v>
      </c>
      <c r="AU305" s="2" t="n">
        <v>2014</v>
      </c>
      <c r="AV305" s="2" t="n">
        <v>209</v>
      </c>
      <c r="AW305" s="2" t="n">
        <v>12</v>
      </c>
      <c r="AX305" s="2"/>
      <c r="AY305" s="2"/>
      <c r="AZ305" s="2"/>
      <c r="BA305" s="2"/>
      <c r="BB305" s="2" t="n">
        <v>1873</v>
      </c>
      <c r="BC305" s="2" t="n">
        <v>1881</v>
      </c>
      <c r="BD305" s="2"/>
      <c r="BE305" s="2" t="s">
        <v>5966</v>
      </c>
      <c r="BF305" s="2" t="str">
        <f aca="false">HYPERLINK("http://dx.doi.org/10.1093/infdis/jit839","http://dx.doi.org/10.1093/infdis/jit839")</f>
        <v>http://dx.doi.org/10.1093/infdis/jit839</v>
      </c>
      <c r="BG305" s="2"/>
      <c r="BH305" s="2"/>
      <c r="BI305" s="2" t="n">
        <v>9</v>
      </c>
      <c r="BJ305" s="2" t="s">
        <v>536</v>
      </c>
      <c r="BK305" s="2" t="s">
        <v>100</v>
      </c>
      <c r="BL305" s="2" t="s">
        <v>536</v>
      </c>
      <c r="BM305" s="2" t="s">
        <v>5967</v>
      </c>
      <c r="BN305" s="2" t="n">
        <v>24482398</v>
      </c>
      <c r="BO305" s="2" t="s">
        <v>3775</v>
      </c>
      <c r="BP305" s="2"/>
      <c r="BQ305" s="2"/>
      <c r="BR305" s="2" t="s">
        <v>104</v>
      </c>
      <c r="BS305" s="2" t="s">
        <v>5968</v>
      </c>
      <c r="BT305" s="2" t="str">
        <f aca="false">HYPERLINK("https%3A%2F%2Fwww.webofscience.com%2Fwos%2Fwoscc%2Ffull-record%2FWOS:000337063100004","View Full Record in Web of Science")</f>
        <v>View Full Record in Web of Science</v>
      </c>
    </row>
    <row r="306" customFormat="false" ht="12.75" hidden="false" customHeight="false" outlineLevel="0" collapsed="false">
      <c r="A306" s="2" t="s">
        <v>72</v>
      </c>
      <c r="B306" s="2" t="s">
        <v>5969</v>
      </c>
      <c r="C306" s="2"/>
      <c r="D306" s="2"/>
      <c r="E306" s="2"/>
      <c r="F306" s="2" t="s">
        <v>5970</v>
      </c>
      <c r="G306" s="2"/>
      <c r="H306" s="2"/>
      <c r="I306" s="2" t="s">
        <v>5971</v>
      </c>
      <c r="J306" s="2" t="s">
        <v>1232</v>
      </c>
      <c r="K306" s="2"/>
      <c r="L306" s="2"/>
      <c r="M306" s="2" t="s">
        <v>77</v>
      </c>
      <c r="N306" s="2" t="s">
        <v>78</v>
      </c>
      <c r="O306" s="2"/>
      <c r="P306" s="2"/>
      <c r="Q306" s="2"/>
      <c r="R306" s="2"/>
      <c r="S306" s="2"/>
      <c r="T306" s="2" t="s">
        <v>5972</v>
      </c>
      <c r="U306" s="2" t="s">
        <v>5973</v>
      </c>
      <c r="V306" s="2" t="s">
        <v>5974</v>
      </c>
      <c r="W306" s="2" t="s">
        <v>5975</v>
      </c>
      <c r="X306" s="2" t="s">
        <v>5976</v>
      </c>
      <c r="Y306" s="2" t="s">
        <v>5977</v>
      </c>
      <c r="Z306" s="2" t="s">
        <v>5978</v>
      </c>
      <c r="AA306" s="2"/>
      <c r="AB306" s="2"/>
      <c r="AC306" s="2"/>
      <c r="AD306" s="2"/>
      <c r="AE306" s="2"/>
      <c r="AF306" s="2"/>
      <c r="AG306" s="2" t="n">
        <v>20</v>
      </c>
      <c r="AH306" s="2" t="n">
        <v>0</v>
      </c>
      <c r="AI306" s="2" t="n">
        <v>0</v>
      </c>
      <c r="AJ306" s="2" t="n">
        <v>0</v>
      </c>
      <c r="AK306" s="2" t="n">
        <v>0</v>
      </c>
      <c r="AL306" s="2" t="s">
        <v>1242</v>
      </c>
      <c r="AM306" s="2" t="s">
        <v>303</v>
      </c>
      <c r="AN306" s="2" t="s">
        <v>467</v>
      </c>
      <c r="AO306" s="2"/>
      <c r="AP306" s="2" t="s">
        <v>1243</v>
      </c>
      <c r="AQ306" s="2"/>
      <c r="AR306" s="2" t="s">
        <v>1244</v>
      </c>
      <c r="AS306" s="2" t="s">
        <v>1245</v>
      </c>
      <c r="AT306" s="2" t="s">
        <v>5979</v>
      </c>
      <c r="AU306" s="2" t="n">
        <v>2024</v>
      </c>
      <c r="AV306" s="2" t="n">
        <v>16</v>
      </c>
      <c r="AW306" s="2" t="n">
        <v>5</v>
      </c>
      <c r="AX306" s="2"/>
      <c r="AY306" s="2"/>
      <c r="AZ306" s="2"/>
      <c r="BA306" s="2"/>
      <c r="BB306" s="2"/>
      <c r="BC306" s="2"/>
      <c r="BD306" s="2" t="s">
        <v>5980</v>
      </c>
      <c r="BE306" s="2" t="s">
        <v>5981</v>
      </c>
      <c r="BF306" s="2" t="str">
        <f aca="false">HYPERLINK("http://dx.doi.org/10.7759/cureus.60261","http://dx.doi.org/10.7759/cureus.60261")</f>
        <v>http://dx.doi.org/10.7759/cureus.60261</v>
      </c>
      <c r="BG306" s="2"/>
      <c r="BH306" s="2"/>
      <c r="BI306" s="2" t="n">
        <v>5</v>
      </c>
      <c r="BJ306" s="2" t="s">
        <v>363</v>
      </c>
      <c r="BK306" s="2" t="s">
        <v>339</v>
      </c>
      <c r="BL306" s="2" t="s">
        <v>364</v>
      </c>
      <c r="BM306" s="2" t="s">
        <v>5982</v>
      </c>
      <c r="BN306" s="2" t="n">
        <v>38872674</v>
      </c>
      <c r="BO306" s="2" t="s">
        <v>190</v>
      </c>
      <c r="BP306" s="2"/>
      <c r="BQ306" s="2"/>
      <c r="BR306" s="2" t="s">
        <v>104</v>
      </c>
      <c r="BS306" s="2" t="s">
        <v>5983</v>
      </c>
      <c r="BT306" s="2" t="str">
        <f aca="false">HYPERLINK("https%3A%2F%2Fwww.webofscience.com%2Fwos%2Fwoscc%2Ffull-record%2FWOS:001243715600024","View Full Record in Web of Science")</f>
        <v>View Full Record in Web of Science</v>
      </c>
    </row>
    <row r="307" customFormat="false" ht="12.75" hidden="false" customHeight="false" outlineLevel="0" collapsed="false">
      <c r="A307" s="2" t="s">
        <v>72</v>
      </c>
      <c r="B307" s="2" t="s">
        <v>5984</v>
      </c>
      <c r="C307" s="2"/>
      <c r="D307" s="2"/>
      <c r="E307" s="2"/>
      <c r="F307" s="2" t="s">
        <v>5985</v>
      </c>
      <c r="G307" s="2"/>
      <c r="H307" s="2"/>
      <c r="I307" s="2" t="s">
        <v>5986</v>
      </c>
      <c r="J307" s="2" t="s">
        <v>370</v>
      </c>
      <c r="K307" s="2"/>
      <c r="L307" s="2"/>
      <c r="M307" s="2" t="s">
        <v>77</v>
      </c>
      <c r="N307" s="2" t="s">
        <v>78</v>
      </c>
      <c r="O307" s="2"/>
      <c r="P307" s="2"/>
      <c r="Q307" s="2"/>
      <c r="R307" s="2"/>
      <c r="S307" s="2"/>
      <c r="T307" s="2" t="s">
        <v>5987</v>
      </c>
      <c r="U307" s="2" t="s">
        <v>5988</v>
      </c>
      <c r="V307" s="2" t="s">
        <v>5989</v>
      </c>
      <c r="W307" s="2" t="s">
        <v>5990</v>
      </c>
      <c r="X307" s="2" t="s">
        <v>5991</v>
      </c>
      <c r="Y307" s="2" t="s">
        <v>5992</v>
      </c>
      <c r="Z307" s="2" t="s">
        <v>5993</v>
      </c>
      <c r="AA307" s="2" t="s">
        <v>5994</v>
      </c>
      <c r="AB307" s="2" t="s">
        <v>5995</v>
      </c>
      <c r="AC307" s="2" t="s">
        <v>5996</v>
      </c>
      <c r="AD307" s="2" t="s">
        <v>5997</v>
      </c>
      <c r="AE307" s="2" t="s">
        <v>5998</v>
      </c>
      <c r="AF307" s="2"/>
      <c r="AG307" s="2" t="n">
        <v>41</v>
      </c>
      <c r="AH307" s="2" t="n">
        <v>31</v>
      </c>
      <c r="AI307" s="2" t="n">
        <v>34</v>
      </c>
      <c r="AJ307" s="2" t="n">
        <v>0</v>
      </c>
      <c r="AK307" s="2" t="n">
        <v>16</v>
      </c>
      <c r="AL307" s="2" t="s">
        <v>549</v>
      </c>
      <c r="AM307" s="2" t="s">
        <v>384</v>
      </c>
      <c r="AN307" s="2" t="s">
        <v>550</v>
      </c>
      <c r="AO307" s="2" t="s">
        <v>386</v>
      </c>
      <c r="AP307" s="2" t="s">
        <v>387</v>
      </c>
      <c r="AQ307" s="2"/>
      <c r="AR307" s="2" t="s">
        <v>388</v>
      </c>
      <c r="AS307" s="2" t="s">
        <v>389</v>
      </c>
      <c r="AT307" s="2" t="s">
        <v>185</v>
      </c>
      <c r="AU307" s="2" t="n">
        <v>2013</v>
      </c>
      <c r="AV307" s="2" t="n">
        <v>57</v>
      </c>
      <c r="AW307" s="2" t="n">
        <v>4</v>
      </c>
      <c r="AX307" s="2"/>
      <c r="AY307" s="2"/>
      <c r="AZ307" s="2"/>
      <c r="BA307" s="2"/>
      <c r="BB307" s="2" t="n">
        <v>343</v>
      </c>
      <c r="BC307" s="2" t="n">
        <v>350</v>
      </c>
      <c r="BD307" s="2"/>
      <c r="BE307" s="2" t="s">
        <v>5999</v>
      </c>
      <c r="BF307" s="2" t="str">
        <f aca="false">HYPERLINK("http://dx.doi.org/10.1016/j.jcv.2013.04.011","http://dx.doi.org/10.1016/j.jcv.2013.04.011")</f>
        <v>http://dx.doi.org/10.1016/j.jcv.2013.04.011</v>
      </c>
      <c r="BG307" s="2"/>
      <c r="BH307" s="2"/>
      <c r="BI307" s="2" t="n">
        <v>8</v>
      </c>
      <c r="BJ307" s="2" t="s">
        <v>163</v>
      </c>
      <c r="BK307" s="2" t="s">
        <v>100</v>
      </c>
      <c r="BL307" s="2" t="s">
        <v>163</v>
      </c>
      <c r="BM307" s="2" t="s">
        <v>6000</v>
      </c>
      <c r="BN307" s="2" t="n">
        <v>23684816</v>
      </c>
      <c r="BO307" s="2" t="s">
        <v>695</v>
      </c>
      <c r="BP307" s="2"/>
      <c r="BQ307" s="2"/>
      <c r="BR307" s="2" t="s">
        <v>104</v>
      </c>
      <c r="BS307" s="2" t="s">
        <v>6001</v>
      </c>
      <c r="BT307" s="2" t="str">
        <f aca="false">HYPERLINK("https%3A%2F%2Fwww.webofscience.com%2Fwos%2Fwoscc%2Ffull-record%2FWOS:000320593800010","View Full Record in Web of Science")</f>
        <v>View Full Record in Web of Science</v>
      </c>
    </row>
    <row r="308" customFormat="false" ht="12.75" hidden="false" customHeight="false" outlineLevel="0" collapsed="false">
      <c r="A308" s="2" t="s">
        <v>72</v>
      </c>
      <c r="B308" s="2" t="s">
        <v>6002</v>
      </c>
      <c r="C308" s="2"/>
      <c r="D308" s="2"/>
      <c r="E308" s="2"/>
      <c r="F308" s="2" t="s">
        <v>6003</v>
      </c>
      <c r="G308" s="2"/>
      <c r="H308" s="2"/>
      <c r="I308" s="2" t="s">
        <v>6004</v>
      </c>
      <c r="J308" s="2" t="s">
        <v>109</v>
      </c>
      <c r="K308" s="2"/>
      <c r="L308" s="2"/>
      <c r="M308" s="2" t="s">
        <v>77</v>
      </c>
      <c r="N308" s="2" t="s">
        <v>78</v>
      </c>
      <c r="O308" s="2"/>
      <c r="P308" s="2"/>
      <c r="Q308" s="2"/>
      <c r="R308" s="2"/>
      <c r="S308" s="2"/>
      <c r="T308" s="2" t="s">
        <v>6005</v>
      </c>
      <c r="U308" s="2" t="s">
        <v>6006</v>
      </c>
      <c r="V308" s="2" t="s">
        <v>6007</v>
      </c>
      <c r="W308" s="2" t="s">
        <v>6008</v>
      </c>
      <c r="X308" s="2" t="s">
        <v>6009</v>
      </c>
      <c r="Y308" s="2" t="s">
        <v>6010</v>
      </c>
      <c r="Z308" s="2" t="s">
        <v>6011</v>
      </c>
      <c r="AA308" s="2" t="s">
        <v>6012</v>
      </c>
      <c r="AB308" s="2" t="s">
        <v>6013</v>
      </c>
      <c r="AC308" s="2"/>
      <c r="AD308" s="2"/>
      <c r="AE308" s="2"/>
      <c r="AF308" s="2"/>
      <c r="AG308" s="2" t="n">
        <v>16</v>
      </c>
      <c r="AH308" s="2" t="n">
        <v>9</v>
      </c>
      <c r="AI308" s="2" t="n">
        <v>10</v>
      </c>
      <c r="AJ308" s="2" t="n">
        <v>0</v>
      </c>
      <c r="AK308" s="2" t="n">
        <v>5</v>
      </c>
      <c r="AL308" s="2" t="s">
        <v>122</v>
      </c>
      <c r="AM308" s="2" t="s">
        <v>123</v>
      </c>
      <c r="AN308" s="2" t="s">
        <v>124</v>
      </c>
      <c r="AO308" s="2" t="s">
        <v>125</v>
      </c>
      <c r="AP308" s="2" t="s">
        <v>126</v>
      </c>
      <c r="AQ308" s="2"/>
      <c r="AR308" s="2" t="s">
        <v>127</v>
      </c>
      <c r="AS308" s="2" t="s">
        <v>128</v>
      </c>
      <c r="AT308" s="2" t="s">
        <v>185</v>
      </c>
      <c r="AU308" s="2" t="n">
        <v>2014</v>
      </c>
      <c r="AV308" s="2" t="n">
        <v>33</v>
      </c>
      <c r="AW308" s="2" t="n">
        <v>8</v>
      </c>
      <c r="AX308" s="2"/>
      <c r="AY308" s="2"/>
      <c r="AZ308" s="2"/>
      <c r="BA308" s="2"/>
      <c r="BB308" s="2" t="n">
        <v>880</v>
      </c>
      <c r="BC308" s="2" t="n">
        <v>881</v>
      </c>
      <c r="BD308" s="2"/>
      <c r="BE308" s="2" t="s">
        <v>6014</v>
      </c>
      <c r="BF308" s="2" t="str">
        <f aca="false">HYPERLINK("http://dx.doi.org/10.1097/INF.0000000000000311","http://dx.doi.org/10.1097/INF.0000000000000311")</f>
        <v>http://dx.doi.org/10.1097/INF.0000000000000311</v>
      </c>
      <c r="BG308" s="2"/>
      <c r="BH308" s="2"/>
      <c r="BI308" s="2" t="n">
        <v>2</v>
      </c>
      <c r="BJ308" s="2" t="s">
        <v>134</v>
      </c>
      <c r="BK308" s="2" t="s">
        <v>100</v>
      </c>
      <c r="BL308" s="2" t="s">
        <v>134</v>
      </c>
      <c r="BM308" s="2" t="s">
        <v>6015</v>
      </c>
      <c r="BN308" s="2" t="n">
        <v>25222310</v>
      </c>
      <c r="BO308" s="2" t="s">
        <v>656</v>
      </c>
      <c r="BP308" s="2"/>
      <c r="BQ308" s="2"/>
      <c r="BR308" s="2" t="s">
        <v>104</v>
      </c>
      <c r="BS308" s="2" t="s">
        <v>6016</v>
      </c>
      <c r="BT308" s="2" t="str">
        <f aca="false">HYPERLINK("https%3A%2F%2Fwww.webofscience.com%2Fwos%2Fwoscc%2Ffull-record%2FWOS:000339275500024","View Full Record in Web of Science")</f>
        <v>View Full Record in Web of Science</v>
      </c>
    </row>
    <row r="309" customFormat="false" ht="12.75" hidden="false" customHeight="false" outlineLevel="0" collapsed="false">
      <c r="A309" s="2" t="s">
        <v>72</v>
      </c>
      <c r="B309" s="2" t="s">
        <v>6017</v>
      </c>
      <c r="C309" s="2"/>
      <c r="D309" s="2"/>
      <c r="E309" s="2"/>
      <c r="F309" s="2" t="s">
        <v>6018</v>
      </c>
      <c r="G309" s="2"/>
      <c r="H309" s="2"/>
      <c r="I309" s="2" t="s">
        <v>6019</v>
      </c>
      <c r="J309" s="2" t="s">
        <v>6020</v>
      </c>
      <c r="K309" s="2"/>
      <c r="L309" s="2"/>
      <c r="M309" s="2" t="s">
        <v>77</v>
      </c>
      <c r="N309" s="2" t="s">
        <v>78</v>
      </c>
      <c r="O309" s="2"/>
      <c r="P309" s="2"/>
      <c r="Q309" s="2"/>
      <c r="R309" s="2"/>
      <c r="S309" s="2"/>
      <c r="T309" s="2" t="s">
        <v>6021</v>
      </c>
      <c r="U309" s="2" t="s">
        <v>6022</v>
      </c>
      <c r="V309" s="2" t="s">
        <v>6023</v>
      </c>
      <c r="W309" s="2" t="s">
        <v>6024</v>
      </c>
      <c r="X309" s="2" t="s">
        <v>6025</v>
      </c>
      <c r="Y309" s="2" t="s">
        <v>6026</v>
      </c>
      <c r="Z309" s="2" t="s">
        <v>6027</v>
      </c>
      <c r="AA309" s="2" t="s">
        <v>6028</v>
      </c>
      <c r="AB309" s="2" t="s">
        <v>6029</v>
      </c>
      <c r="AC309" s="2"/>
      <c r="AD309" s="2"/>
      <c r="AE309" s="2"/>
      <c r="AF309" s="2"/>
      <c r="AG309" s="2" t="n">
        <v>27</v>
      </c>
      <c r="AH309" s="2" t="n">
        <v>14</v>
      </c>
      <c r="AI309" s="2" t="n">
        <v>16</v>
      </c>
      <c r="AJ309" s="2" t="n">
        <v>0</v>
      </c>
      <c r="AK309" s="2" t="n">
        <v>6</v>
      </c>
      <c r="AL309" s="2" t="s">
        <v>1460</v>
      </c>
      <c r="AM309" s="2" t="s">
        <v>593</v>
      </c>
      <c r="AN309" s="2" t="s">
        <v>2088</v>
      </c>
      <c r="AO309" s="2" t="s">
        <v>6030</v>
      </c>
      <c r="AP309" s="2" t="s">
        <v>6031</v>
      </c>
      <c r="AQ309" s="2"/>
      <c r="AR309" s="2" t="s">
        <v>6032</v>
      </c>
      <c r="AS309" s="2" t="s">
        <v>6033</v>
      </c>
      <c r="AT309" s="2" t="s">
        <v>185</v>
      </c>
      <c r="AU309" s="2" t="n">
        <v>2019</v>
      </c>
      <c r="AV309" s="2" t="n">
        <v>50</v>
      </c>
      <c r="AW309" s="2" t="n">
        <v>6</v>
      </c>
      <c r="AX309" s="2"/>
      <c r="AY309" s="2"/>
      <c r="AZ309" s="2"/>
      <c r="BA309" s="2"/>
      <c r="BB309" s="2" t="n">
        <v>377</v>
      </c>
      <c r="BC309" s="2" t="n">
        <v>383</v>
      </c>
      <c r="BD309" s="2"/>
      <c r="BE309" s="2" t="s">
        <v>6034</v>
      </c>
      <c r="BF309" s="2" t="str">
        <f aca="false">HYPERLINK("http://dx.doi.org/10.1016/j.arcmed.2019.10.005","http://dx.doi.org/10.1016/j.arcmed.2019.10.005")</f>
        <v>http://dx.doi.org/10.1016/j.arcmed.2019.10.005</v>
      </c>
      <c r="BG309" s="2"/>
      <c r="BH309" s="2"/>
      <c r="BI309" s="2" t="n">
        <v>7</v>
      </c>
      <c r="BJ309" s="2" t="s">
        <v>5761</v>
      </c>
      <c r="BK309" s="2" t="s">
        <v>100</v>
      </c>
      <c r="BL309" s="2" t="s">
        <v>5762</v>
      </c>
      <c r="BM309" s="2" t="s">
        <v>6035</v>
      </c>
      <c r="BN309" s="2" t="n">
        <v>31678896</v>
      </c>
      <c r="BO309" s="2"/>
      <c r="BP309" s="2"/>
      <c r="BQ309" s="2"/>
      <c r="BR309" s="2" t="s">
        <v>104</v>
      </c>
      <c r="BS309" s="2" t="s">
        <v>6036</v>
      </c>
      <c r="BT309" s="2" t="str">
        <f aca="false">HYPERLINK("https%3A%2F%2Fwww.webofscience.com%2Fwos%2Fwoscc%2Ffull-record%2FWOS:000501390800007","View Full Record in Web of Science")</f>
        <v>View Full Record in Web of Science</v>
      </c>
    </row>
    <row r="310" customFormat="false" ht="12.75" hidden="false" customHeight="false" outlineLevel="0" collapsed="false">
      <c r="A310" s="2" t="s">
        <v>72</v>
      </c>
      <c r="B310" s="2" t="s">
        <v>6037</v>
      </c>
      <c r="C310" s="2"/>
      <c r="D310" s="2"/>
      <c r="E310" s="2"/>
      <c r="F310" s="2" t="s">
        <v>6037</v>
      </c>
      <c r="G310" s="2"/>
      <c r="H310" s="2"/>
      <c r="I310" s="2" t="s">
        <v>6038</v>
      </c>
      <c r="J310" s="2" t="s">
        <v>2406</v>
      </c>
      <c r="K310" s="2"/>
      <c r="L310" s="2"/>
      <c r="M310" s="2" t="s">
        <v>77</v>
      </c>
      <c r="N310" s="2" t="s">
        <v>78</v>
      </c>
      <c r="O310" s="2"/>
      <c r="P310" s="2"/>
      <c r="Q310" s="2"/>
      <c r="R310" s="2"/>
      <c r="S310" s="2"/>
      <c r="T310" s="2" t="s">
        <v>6039</v>
      </c>
      <c r="U310" s="2" t="s">
        <v>6040</v>
      </c>
      <c r="V310" s="2" t="s">
        <v>6041</v>
      </c>
      <c r="W310" s="2" t="s">
        <v>6042</v>
      </c>
      <c r="X310" s="2" t="s">
        <v>6043</v>
      </c>
      <c r="Y310" s="2" t="s">
        <v>6044</v>
      </c>
      <c r="Z310" s="2"/>
      <c r="AA310" s="2"/>
      <c r="AB310" s="2"/>
      <c r="AC310" s="2"/>
      <c r="AD310" s="2"/>
      <c r="AE310" s="2"/>
      <c r="AF310" s="2"/>
      <c r="AG310" s="2" t="n">
        <v>23</v>
      </c>
      <c r="AH310" s="2" t="n">
        <v>95</v>
      </c>
      <c r="AI310" s="2" t="n">
        <v>109</v>
      </c>
      <c r="AJ310" s="2" t="n">
        <v>1</v>
      </c>
      <c r="AK310" s="2" t="n">
        <v>11</v>
      </c>
      <c r="AL310" s="2" t="s">
        <v>549</v>
      </c>
      <c r="AM310" s="2" t="s">
        <v>384</v>
      </c>
      <c r="AN310" s="2" t="s">
        <v>550</v>
      </c>
      <c r="AO310" s="2" t="s">
        <v>2417</v>
      </c>
      <c r="AP310" s="2"/>
      <c r="AQ310" s="2"/>
      <c r="AR310" s="2" t="s">
        <v>2418</v>
      </c>
      <c r="AS310" s="2" t="s">
        <v>2419</v>
      </c>
      <c r="AT310" s="2" t="s">
        <v>804</v>
      </c>
      <c r="AU310" s="2" t="n">
        <v>2003</v>
      </c>
      <c r="AV310" s="2" t="n">
        <v>60</v>
      </c>
      <c r="AW310" s="2" t="n">
        <v>3</v>
      </c>
      <c r="AX310" s="2"/>
      <c r="AY310" s="2"/>
      <c r="AZ310" s="2"/>
      <c r="BA310" s="2"/>
      <c r="BB310" s="2" t="n">
        <v>209</v>
      </c>
      <c r="BC310" s="2" t="n">
        <v>219</v>
      </c>
      <c r="BD310" s="2"/>
      <c r="BE310" s="2" t="s">
        <v>6045</v>
      </c>
      <c r="BF310" s="2" t="str">
        <f aca="false">HYPERLINK("http://dx.doi.org/10.1016/j.antiviral.2003.07.004","http://dx.doi.org/10.1016/j.antiviral.2003.07.004")</f>
        <v>http://dx.doi.org/10.1016/j.antiviral.2003.07.004</v>
      </c>
      <c r="BG310" s="2"/>
      <c r="BH310" s="2"/>
      <c r="BI310" s="2" t="n">
        <v>11</v>
      </c>
      <c r="BJ310" s="2" t="s">
        <v>2421</v>
      </c>
      <c r="BK310" s="2" t="s">
        <v>100</v>
      </c>
      <c r="BL310" s="2" t="s">
        <v>2421</v>
      </c>
      <c r="BM310" s="2" t="s">
        <v>6046</v>
      </c>
      <c r="BN310" s="2" t="n">
        <v>14638397</v>
      </c>
      <c r="BO310" s="2"/>
      <c r="BP310" s="2"/>
      <c r="BQ310" s="2"/>
      <c r="BR310" s="2" t="s">
        <v>104</v>
      </c>
      <c r="BS310" s="2" t="s">
        <v>6047</v>
      </c>
      <c r="BT310" s="2" t="str">
        <f aca="false">HYPERLINK("https%3A%2F%2Fwww.webofscience.com%2Fwos%2Fwoscc%2Ffull-record%2FWOS:000187066200006","View Full Record in Web of Science")</f>
        <v>View Full Record in Web of Science</v>
      </c>
    </row>
    <row r="311" customFormat="false" ht="12.75" hidden="false" customHeight="false" outlineLevel="0" collapsed="false">
      <c r="A311" s="2" t="s">
        <v>72</v>
      </c>
      <c r="B311" s="2" t="s">
        <v>6048</v>
      </c>
      <c r="C311" s="2"/>
      <c r="D311" s="2"/>
      <c r="E311" s="2"/>
      <c r="F311" s="2" t="s">
        <v>6049</v>
      </c>
      <c r="G311" s="2"/>
      <c r="H311" s="2"/>
      <c r="I311" s="2" t="s">
        <v>6050</v>
      </c>
      <c r="J311" s="2" t="s">
        <v>6051</v>
      </c>
      <c r="K311" s="2"/>
      <c r="L311" s="2"/>
      <c r="M311" s="2" t="s">
        <v>77</v>
      </c>
      <c r="N311" s="2" t="s">
        <v>78</v>
      </c>
      <c r="O311" s="2"/>
      <c r="P311" s="2"/>
      <c r="Q311" s="2"/>
      <c r="R311" s="2"/>
      <c r="S311" s="2"/>
      <c r="T311" s="2" t="s">
        <v>6052</v>
      </c>
      <c r="U311" s="2" t="s">
        <v>6053</v>
      </c>
      <c r="V311" s="2" t="s">
        <v>6054</v>
      </c>
      <c r="W311" s="2" t="s">
        <v>6055</v>
      </c>
      <c r="X311" s="2" t="s">
        <v>6056</v>
      </c>
      <c r="Y311" s="2" t="s">
        <v>6057</v>
      </c>
      <c r="Z311" s="2" t="s">
        <v>6058</v>
      </c>
      <c r="AA311" s="2" t="s">
        <v>6059</v>
      </c>
      <c r="AB311" s="2" t="s">
        <v>6060</v>
      </c>
      <c r="AC311" s="2" t="s">
        <v>6061</v>
      </c>
      <c r="AD311" s="2" t="s">
        <v>5776</v>
      </c>
      <c r="AE311" s="2" t="s">
        <v>6062</v>
      </c>
      <c r="AF311" s="2"/>
      <c r="AG311" s="2" t="n">
        <v>44</v>
      </c>
      <c r="AH311" s="2" t="n">
        <v>43</v>
      </c>
      <c r="AI311" s="2" t="n">
        <v>49</v>
      </c>
      <c r="AJ311" s="2" t="n">
        <v>0</v>
      </c>
      <c r="AK311" s="2" t="n">
        <v>5</v>
      </c>
      <c r="AL311" s="2" t="s">
        <v>2954</v>
      </c>
      <c r="AM311" s="2" t="s">
        <v>593</v>
      </c>
      <c r="AN311" s="2" t="s">
        <v>6063</v>
      </c>
      <c r="AO311" s="2" t="s">
        <v>6064</v>
      </c>
      <c r="AP311" s="2"/>
      <c r="AQ311" s="2"/>
      <c r="AR311" s="2" t="s">
        <v>6065</v>
      </c>
      <c r="AS311" s="2" t="s">
        <v>6066</v>
      </c>
      <c r="AT311" s="2" t="s">
        <v>185</v>
      </c>
      <c r="AU311" s="2" t="n">
        <v>2009</v>
      </c>
      <c r="AV311" s="2" t="n">
        <v>41</v>
      </c>
      <c r="AW311" s="2" t="n">
        <v>2</v>
      </c>
      <c r="AX311" s="2"/>
      <c r="AY311" s="2"/>
      <c r="AZ311" s="2"/>
      <c r="BA311" s="2"/>
      <c r="BB311" s="2" t="n">
        <v>189</v>
      </c>
      <c r="BC311" s="2" t="n">
        <v>198</v>
      </c>
      <c r="BD311" s="2"/>
      <c r="BE311" s="2" t="s">
        <v>6067</v>
      </c>
      <c r="BF311" s="2" t="str">
        <f aca="false">HYPERLINK("http://dx.doi.org/10.1165/rcmb.2008-0131OC","http://dx.doi.org/10.1165/rcmb.2008-0131OC")</f>
        <v>http://dx.doi.org/10.1165/rcmb.2008-0131OC</v>
      </c>
      <c r="BG311" s="2"/>
      <c r="BH311" s="2"/>
      <c r="BI311" s="2" t="n">
        <v>10</v>
      </c>
      <c r="BJ311" s="2" t="s">
        <v>6068</v>
      </c>
      <c r="BK311" s="2" t="s">
        <v>100</v>
      </c>
      <c r="BL311" s="2" t="s">
        <v>6068</v>
      </c>
      <c r="BM311" s="2" t="s">
        <v>6069</v>
      </c>
      <c r="BN311" s="2" t="n">
        <v>19131644</v>
      </c>
      <c r="BO311" s="2" t="s">
        <v>165</v>
      </c>
      <c r="BP311" s="2"/>
      <c r="BQ311" s="2"/>
      <c r="BR311" s="2" t="s">
        <v>104</v>
      </c>
      <c r="BS311" s="2" t="s">
        <v>6070</v>
      </c>
      <c r="BT311" s="2" t="str">
        <f aca="false">HYPERLINK("https%3A%2F%2Fwww.webofscience.com%2Fwos%2Fwoscc%2Ffull-record%2FWOS:000268609500010","View Full Record in Web of Science")</f>
        <v>View Full Record in Web of Science</v>
      </c>
    </row>
    <row r="312" customFormat="false" ht="12.75" hidden="false" customHeight="false" outlineLevel="0" collapsed="false">
      <c r="A312" s="2" t="s">
        <v>72</v>
      </c>
      <c r="B312" s="2" t="s">
        <v>6071</v>
      </c>
      <c r="C312" s="2"/>
      <c r="D312" s="2"/>
      <c r="E312" s="2"/>
      <c r="F312" s="2" t="s">
        <v>6072</v>
      </c>
      <c r="G312" s="2"/>
      <c r="H312" s="2"/>
      <c r="I312" s="2" t="s">
        <v>6073</v>
      </c>
      <c r="J312" s="2" t="s">
        <v>2547</v>
      </c>
      <c r="K312" s="2"/>
      <c r="L312" s="2"/>
      <c r="M312" s="2" t="s">
        <v>77</v>
      </c>
      <c r="N312" s="2" t="s">
        <v>78</v>
      </c>
      <c r="O312" s="2"/>
      <c r="P312" s="2"/>
      <c r="Q312" s="2"/>
      <c r="R312" s="2"/>
      <c r="S312" s="2"/>
      <c r="T312" s="2" t="s">
        <v>6074</v>
      </c>
      <c r="U312" s="2" t="s">
        <v>6075</v>
      </c>
      <c r="V312" s="2" t="s">
        <v>6076</v>
      </c>
      <c r="W312" s="2" t="s">
        <v>6077</v>
      </c>
      <c r="X312" s="2" t="s">
        <v>6078</v>
      </c>
      <c r="Y312" s="2" t="s">
        <v>6079</v>
      </c>
      <c r="Z312" s="2" t="s">
        <v>6080</v>
      </c>
      <c r="AA312" s="2" t="s">
        <v>6081</v>
      </c>
      <c r="AB312" s="2" t="s">
        <v>6082</v>
      </c>
      <c r="AC312" s="2" t="s">
        <v>6083</v>
      </c>
      <c r="AD312" s="2" t="s">
        <v>6084</v>
      </c>
      <c r="AE312" s="2" t="s">
        <v>6085</v>
      </c>
      <c r="AF312" s="2"/>
      <c r="AG312" s="2" t="n">
        <v>66</v>
      </c>
      <c r="AH312" s="2" t="n">
        <v>50</v>
      </c>
      <c r="AI312" s="2" t="n">
        <v>52</v>
      </c>
      <c r="AJ312" s="2" t="n">
        <v>0</v>
      </c>
      <c r="AK312" s="2" t="n">
        <v>5</v>
      </c>
      <c r="AL312" s="2" t="s">
        <v>782</v>
      </c>
      <c r="AM312" s="2" t="s">
        <v>783</v>
      </c>
      <c r="AN312" s="2" t="s">
        <v>784</v>
      </c>
      <c r="AO312" s="2" t="s">
        <v>2556</v>
      </c>
      <c r="AP312" s="2" t="s">
        <v>2557</v>
      </c>
      <c r="AQ312" s="2"/>
      <c r="AR312" s="2" t="s">
        <v>2547</v>
      </c>
      <c r="AS312" s="2" t="s">
        <v>2558</v>
      </c>
      <c r="AT312" s="2" t="s">
        <v>6086</v>
      </c>
      <c r="AU312" s="2" t="n">
        <v>2015</v>
      </c>
      <c r="AV312" s="2" t="n">
        <v>33</v>
      </c>
      <c r="AW312" s="2" t="n">
        <v>47</v>
      </c>
      <c r="AX312" s="2"/>
      <c r="AY312" s="2"/>
      <c r="AZ312" s="2" t="s">
        <v>1627</v>
      </c>
      <c r="BA312" s="2"/>
      <c r="BB312" s="2" t="n">
        <v>6479</v>
      </c>
      <c r="BC312" s="2" t="n">
        <v>6487</v>
      </c>
      <c r="BD312" s="2"/>
      <c r="BE312" s="2" t="s">
        <v>6087</v>
      </c>
      <c r="BF312" s="2" t="str">
        <f aca="false">HYPERLINK("http://dx.doi.org/10.1016/j.vaccine.2015.08.048","http://dx.doi.org/10.1016/j.vaccine.2015.08.048")</f>
        <v>http://dx.doi.org/10.1016/j.vaccine.2015.08.048</v>
      </c>
      <c r="BG312" s="2"/>
      <c r="BH312" s="2"/>
      <c r="BI312" s="2" t="n">
        <v>9</v>
      </c>
      <c r="BJ312" s="2" t="s">
        <v>187</v>
      </c>
      <c r="BK312" s="2" t="s">
        <v>100</v>
      </c>
      <c r="BL312" s="2" t="s">
        <v>188</v>
      </c>
      <c r="BM312" s="2" t="s">
        <v>6088</v>
      </c>
      <c r="BN312" s="2" t="n">
        <v>26314623</v>
      </c>
      <c r="BO312" s="2" t="s">
        <v>284</v>
      </c>
      <c r="BP312" s="2"/>
      <c r="BQ312" s="2"/>
      <c r="BR312" s="2" t="s">
        <v>104</v>
      </c>
      <c r="BS312" s="2" t="s">
        <v>6089</v>
      </c>
      <c r="BT312" s="2" t="str">
        <f aca="false">HYPERLINK("https%3A%2F%2Fwww.webofscience.com%2Fwos%2Fwoscc%2Ffull-record%2FWOS:000367489300019","View Full Record in Web of Science")</f>
        <v>View Full Record in Web of Science</v>
      </c>
    </row>
    <row r="313" customFormat="false" ht="12.75" hidden="false" customHeight="false" outlineLevel="0" collapsed="false">
      <c r="A313" s="2" t="s">
        <v>72</v>
      </c>
      <c r="B313" s="2" t="s">
        <v>6090</v>
      </c>
      <c r="C313" s="2"/>
      <c r="D313" s="2"/>
      <c r="E313" s="2"/>
      <c r="F313" s="2" t="s">
        <v>6091</v>
      </c>
      <c r="G313" s="2"/>
      <c r="H313" s="2"/>
      <c r="I313" s="2" t="s">
        <v>6092</v>
      </c>
      <c r="J313" s="2" t="s">
        <v>2021</v>
      </c>
      <c r="K313" s="2"/>
      <c r="L313" s="2"/>
      <c r="M313" s="2" t="s">
        <v>77</v>
      </c>
      <c r="N313" s="2" t="s">
        <v>78</v>
      </c>
      <c r="O313" s="2"/>
      <c r="P313" s="2"/>
      <c r="Q313" s="2"/>
      <c r="R313" s="2"/>
      <c r="S313" s="2"/>
      <c r="T313" s="2" t="s">
        <v>6093</v>
      </c>
      <c r="U313" s="2" t="s">
        <v>6094</v>
      </c>
      <c r="V313" s="2" t="s">
        <v>6095</v>
      </c>
      <c r="W313" s="2" t="s">
        <v>6096</v>
      </c>
      <c r="X313" s="2" t="s">
        <v>6097</v>
      </c>
      <c r="Y313" s="2" t="s">
        <v>6098</v>
      </c>
      <c r="Z313" s="2" t="s">
        <v>6099</v>
      </c>
      <c r="AA313" s="2" t="s">
        <v>6100</v>
      </c>
      <c r="AB313" s="2" t="s">
        <v>6101</v>
      </c>
      <c r="AC313" s="2" t="s">
        <v>6102</v>
      </c>
      <c r="AD313" s="2" t="s">
        <v>6103</v>
      </c>
      <c r="AE313" s="2" t="s">
        <v>6104</v>
      </c>
      <c r="AF313" s="2"/>
      <c r="AG313" s="2" t="n">
        <v>22</v>
      </c>
      <c r="AH313" s="2" t="n">
        <v>71</v>
      </c>
      <c r="AI313" s="2" t="n">
        <v>74</v>
      </c>
      <c r="AJ313" s="2" t="n">
        <v>0</v>
      </c>
      <c r="AK313" s="2" t="n">
        <v>2</v>
      </c>
      <c r="AL313" s="2" t="s">
        <v>527</v>
      </c>
      <c r="AM313" s="2" t="s">
        <v>528</v>
      </c>
      <c r="AN313" s="2" t="s">
        <v>529</v>
      </c>
      <c r="AO313" s="2" t="s">
        <v>2033</v>
      </c>
      <c r="AP313" s="2" t="s">
        <v>2034</v>
      </c>
      <c r="AQ313" s="2"/>
      <c r="AR313" s="2" t="s">
        <v>2035</v>
      </c>
      <c r="AS313" s="2" t="s">
        <v>2036</v>
      </c>
      <c r="AT313" s="2" t="s">
        <v>3408</v>
      </c>
      <c r="AU313" s="2" t="n">
        <v>2014</v>
      </c>
      <c r="AV313" s="2" t="n">
        <v>58</v>
      </c>
      <c r="AW313" s="2" t="n">
        <v>3</v>
      </c>
      <c r="AX313" s="2"/>
      <c r="AY313" s="2"/>
      <c r="AZ313" s="2"/>
      <c r="BA313" s="2"/>
      <c r="BB313" s="2" t="n">
        <v>342</v>
      </c>
      <c r="BC313" s="2" t="n">
        <v>349</v>
      </c>
      <c r="BD313" s="2"/>
      <c r="BE313" s="2" t="s">
        <v>6105</v>
      </c>
      <c r="BF313" s="2" t="str">
        <f aca="false">HYPERLINK("http://dx.doi.org/10.1093/cid/cit767","http://dx.doi.org/10.1093/cid/cit767")</f>
        <v>http://dx.doi.org/10.1093/cid/cit767</v>
      </c>
      <c r="BG313" s="2"/>
      <c r="BH313" s="2"/>
      <c r="BI313" s="2" t="n">
        <v>8</v>
      </c>
      <c r="BJ313" s="2" t="s">
        <v>536</v>
      </c>
      <c r="BK313" s="2" t="s">
        <v>100</v>
      </c>
      <c r="BL313" s="2" t="s">
        <v>536</v>
      </c>
      <c r="BM313" s="2" t="s">
        <v>6106</v>
      </c>
      <c r="BN313" s="2" t="n">
        <v>24265361</v>
      </c>
      <c r="BO313" s="2" t="s">
        <v>538</v>
      </c>
      <c r="BP313" s="2"/>
      <c r="BQ313" s="2"/>
      <c r="BR313" s="2" t="s">
        <v>104</v>
      </c>
      <c r="BS313" s="2" t="s">
        <v>6107</v>
      </c>
      <c r="BT313" s="2" t="str">
        <f aca="false">HYPERLINK("https%3A%2F%2Fwww.webofscience.com%2Fwos%2Fwoscc%2Ffull-record%2FWOS:000330435900007","View Full Record in Web of Science")</f>
        <v>View Full Record in Web of Science</v>
      </c>
    </row>
    <row r="314" customFormat="false" ht="12.75" hidden="false" customHeight="false" outlineLevel="0" collapsed="false">
      <c r="A314" s="2" t="s">
        <v>72</v>
      </c>
      <c r="B314" s="2" t="s">
        <v>6108</v>
      </c>
      <c r="C314" s="2"/>
      <c r="D314" s="2"/>
      <c r="E314" s="2"/>
      <c r="F314" s="2" t="s">
        <v>6109</v>
      </c>
      <c r="G314" s="2"/>
      <c r="H314" s="2"/>
      <c r="I314" s="2" t="s">
        <v>6110</v>
      </c>
      <c r="J314" s="2" t="s">
        <v>3719</v>
      </c>
      <c r="K314" s="2"/>
      <c r="L314" s="2"/>
      <c r="M314" s="2" t="s">
        <v>77</v>
      </c>
      <c r="N314" s="2" t="s">
        <v>78</v>
      </c>
      <c r="O314" s="2"/>
      <c r="P314" s="2"/>
      <c r="Q314" s="2"/>
      <c r="R314" s="2"/>
      <c r="S314" s="2"/>
      <c r="T314" s="2" t="s">
        <v>6111</v>
      </c>
      <c r="U314" s="2" t="s">
        <v>6112</v>
      </c>
      <c r="V314" s="2" t="s">
        <v>6113</v>
      </c>
      <c r="W314" s="2" t="s">
        <v>6114</v>
      </c>
      <c r="X314" s="2" t="s">
        <v>6115</v>
      </c>
      <c r="Y314" s="2" t="s">
        <v>6116</v>
      </c>
      <c r="Z314" s="2" t="s">
        <v>6117</v>
      </c>
      <c r="AA314" s="2" t="s">
        <v>6118</v>
      </c>
      <c r="AB314" s="2" t="s">
        <v>6119</v>
      </c>
      <c r="AC314" s="2"/>
      <c r="AD314" s="2"/>
      <c r="AE314" s="2"/>
      <c r="AF314" s="2"/>
      <c r="AG314" s="2" t="n">
        <v>30</v>
      </c>
      <c r="AH314" s="2" t="n">
        <v>32</v>
      </c>
      <c r="AI314" s="2" t="n">
        <v>42</v>
      </c>
      <c r="AJ314" s="2" t="n">
        <v>0</v>
      </c>
      <c r="AK314" s="2" t="n">
        <v>18</v>
      </c>
      <c r="AL314" s="2" t="s">
        <v>3584</v>
      </c>
      <c r="AM314" s="2" t="s">
        <v>303</v>
      </c>
      <c r="AN314" s="2" t="s">
        <v>3585</v>
      </c>
      <c r="AO314" s="2" t="s">
        <v>3732</v>
      </c>
      <c r="AP314" s="2" t="s">
        <v>4677</v>
      </c>
      <c r="AQ314" s="2"/>
      <c r="AR314" s="2" t="s">
        <v>3733</v>
      </c>
      <c r="AS314" s="2" t="s">
        <v>3734</v>
      </c>
      <c r="AT314" s="2" t="s">
        <v>161</v>
      </c>
      <c r="AU314" s="2" t="n">
        <v>2014</v>
      </c>
      <c r="AV314" s="2" t="n">
        <v>68</v>
      </c>
      <c r="AW314" s="2"/>
      <c r="AX314" s="2"/>
      <c r="AY314" s="2" t="n">
        <v>1</v>
      </c>
      <c r="AZ314" s="2"/>
      <c r="BA314" s="2"/>
      <c r="BB314" s="2" t="s">
        <v>6120</v>
      </c>
      <c r="BC314" s="2" t="s">
        <v>6121</v>
      </c>
      <c r="BD314" s="2"/>
      <c r="BE314" s="2" t="s">
        <v>6122</v>
      </c>
      <c r="BF314" s="2" t="str">
        <f aca="false">HYPERLINK("http://dx.doi.org/10.1016/j.jinf.2013.09.021","http://dx.doi.org/10.1016/j.jinf.2013.09.021")</f>
        <v>http://dx.doi.org/10.1016/j.jinf.2013.09.021</v>
      </c>
      <c r="BG314" s="2"/>
      <c r="BH314" s="2"/>
      <c r="BI314" s="2" t="n">
        <v>4</v>
      </c>
      <c r="BJ314" s="2" t="s">
        <v>575</v>
      </c>
      <c r="BK314" s="2" t="s">
        <v>100</v>
      </c>
      <c r="BL314" s="2" t="s">
        <v>575</v>
      </c>
      <c r="BM314" s="2" t="s">
        <v>6123</v>
      </c>
      <c r="BN314" s="2" t="n">
        <v>24171820</v>
      </c>
      <c r="BO314" s="2"/>
      <c r="BP314" s="2"/>
      <c r="BQ314" s="2"/>
      <c r="BR314" s="2" t="s">
        <v>104</v>
      </c>
      <c r="BS314" s="2" t="s">
        <v>6124</v>
      </c>
      <c r="BT314" s="2" t="str">
        <f aca="false">HYPERLINK("https%3A%2F%2Fwww.webofscience.com%2Fwos%2Fwoscc%2Ffull-record%2FWOS:000329222500016","View Full Record in Web of Science")</f>
        <v>View Full Record in Web of Science</v>
      </c>
    </row>
    <row r="315" customFormat="false" ht="12.75" hidden="false" customHeight="false" outlineLevel="0" collapsed="false">
      <c r="A315" s="2" t="s">
        <v>72</v>
      </c>
      <c r="B315" s="2" t="s">
        <v>6125</v>
      </c>
      <c r="C315" s="2"/>
      <c r="D315" s="2"/>
      <c r="E315" s="2"/>
      <c r="F315" s="2" t="s">
        <v>6126</v>
      </c>
      <c r="G315" s="2"/>
      <c r="H315" s="2"/>
      <c r="I315" s="2" t="s">
        <v>6127</v>
      </c>
      <c r="J315" s="2" t="s">
        <v>4586</v>
      </c>
      <c r="K315" s="2"/>
      <c r="L315" s="2"/>
      <c r="M315" s="2" t="s">
        <v>77</v>
      </c>
      <c r="N315" s="2" t="s">
        <v>78</v>
      </c>
      <c r="O315" s="2"/>
      <c r="P315" s="2"/>
      <c r="Q315" s="2"/>
      <c r="R315" s="2"/>
      <c r="S315" s="2"/>
      <c r="T315" s="2" t="s">
        <v>6128</v>
      </c>
      <c r="U315" s="2" t="s">
        <v>6129</v>
      </c>
      <c r="V315" s="2" t="s">
        <v>6130</v>
      </c>
      <c r="W315" s="2" t="s">
        <v>6131</v>
      </c>
      <c r="X315" s="2" t="s">
        <v>6132</v>
      </c>
      <c r="Y315" s="2" t="s">
        <v>6133</v>
      </c>
      <c r="Z315" s="2" t="s">
        <v>6134</v>
      </c>
      <c r="AA315" s="2" t="s">
        <v>6135</v>
      </c>
      <c r="AB315" s="2" t="s">
        <v>6136</v>
      </c>
      <c r="AC315" s="2"/>
      <c r="AD315" s="2"/>
      <c r="AE315" s="2"/>
      <c r="AF315" s="2"/>
      <c r="AG315" s="2" t="n">
        <v>131</v>
      </c>
      <c r="AH315" s="2" t="n">
        <v>2</v>
      </c>
      <c r="AI315" s="2" t="n">
        <v>2</v>
      </c>
      <c r="AJ315" s="2" t="n">
        <v>0</v>
      </c>
      <c r="AK315" s="2" t="n">
        <v>1</v>
      </c>
      <c r="AL315" s="2" t="s">
        <v>4598</v>
      </c>
      <c r="AM315" s="2" t="s">
        <v>4599</v>
      </c>
      <c r="AN315" s="2" t="s">
        <v>4600</v>
      </c>
      <c r="AO315" s="2" t="s">
        <v>4601</v>
      </c>
      <c r="AP315" s="2" t="s">
        <v>4602</v>
      </c>
      <c r="AQ315" s="2"/>
      <c r="AR315" s="2" t="s">
        <v>4603</v>
      </c>
      <c r="AS315" s="2" t="s">
        <v>4604</v>
      </c>
      <c r="AT315" s="2"/>
      <c r="AU315" s="2" t="n">
        <v>2011</v>
      </c>
      <c r="AV315" s="2" t="n">
        <v>7</v>
      </c>
      <c r="AW315" s="2" t="n">
        <v>3</v>
      </c>
      <c r="AX315" s="2"/>
      <c r="AY315" s="2"/>
      <c r="AZ315" s="2"/>
      <c r="BA315" s="2"/>
      <c r="BB315" s="2" t="n">
        <v>187</v>
      </c>
      <c r="BC315" s="2" t="n">
        <v>195</v>
      </c>
      <c r="BD315" s="2"/>
      <c r="BE315" s="2" t="s">
        <v>6137</v>
      </c>
      <c r="BF315" s="2" t="str">
        <f aca="false">HYPERLINK("http://dx.doi.org/10.2174/157339811795589513","http://dx.doi.org/10.2174/157339811795589513")</f>
        <v>http://dx.doi.org/10.2174/157339811795589513</v>
      </c>
      <c r="BG315" s="2"/>
      <c r="BH315" s="2"/>
      <c r="BI315" s="2" t="n">
        <v>9</v>
      </c>
      <c r="BJ315" s="2" t="s">
        <v>338</v>
      </c>
      <c r="BK315" s="2" t="s">
        <v>339</v>
      </c>
      <c r="BL315" s="2" t="s">
        <v>338</v>
      </c>
      <c r="BM315" s="2" t="s">
        <v>6138</v>
      </c>
      <c r="BN315" s="2"/>
      <c r="BO315" s="2"/>
      <c r="BP315" s="2"/>
      <c r="BQ315" s="2"/>
      <c r="BR315" s="2" t="s">
        <v>104</v>
      </c>
      <c r="BS315" s="2" t="s">
        <v>6139</v>
      </c>
      <c r="BT315" s="2" t="str">
        <f aca="false">HYPERLINK("https%3A%2F%2Fwww.webofscience.com%2Fwos%2Fwoscc%2Ffull-record%2FWOS:000212667400009","View Full Record in Web of Science")</f>
        <v>View Full Record in Web of Science</v>
      </c>
    </row>
    <row r="316" customFormat="false" ht="12.75" hidden="false" customHeight="false" outlineLevel="0" collapsed="false">
      <c r="A316" s="2" t="s">
        <v>72</v>
      </c>
      <c r="B316" s="2" t="s">
        <v>6140</v>
      </c>
      <c r="C316" s="2"/>
      <c r="D316" s="2"/>
      <c r="E316" s="2"/>
      <c r="F316" s="2" t="s">
        <v>6141</v>
      </c>
      <c r="G316" s="2"/>
      <c r="H316" s="2" t="s">
        <v>6142</v>
      </c>
      <c r="I316" s="2" t="s">
        <v>6143</v>
      </c>
      <c r="J316" s="2" t="s">
        <v>1765</v>
      </c>
      <c r="K316" s="2"/>
      <c r="L316" s="2"/>
      <c r="M316" s="2" t="s">
        <v>77</v>
      </c>
      <c r="N316" s="2" t="s">
        <v>78</v>
      </c>
      <c r="O316" s="2"/>
      <c r="P316" s="2"/>
      <c r="Q316" s="2"/>
      <c r="R316" s="2"/>
      <c r="S316" s="2"/>
      <c r="T316" s="2" t="s">
        <v>6144</v>
      </c>
      <c r="U316" s="2" t="s">
        <v>6145</v>
      </c>
      <c r="V316" s="2" t="s">
        <v>6146</v>
      </c>
      <c r="W316" s="2" t="s">
        <v>6147</v>
      </c>
      <c r="X316" s="2" t="s">
        <v>6148</v>
      </c>
      <c r="Y316" s="2" t="s">
        <v>6149</v>
      </c>
      <c r="Z316" s="2" t="s">
        <v>6150</v>
      </c>
      <c r="AA316" s="2" t="s">
        <v>6151</v>
      </c>
      <c r="AB316" s="2" t="s">
        <v>6152</v>
      </c>
      <c r="AC316" s="2"/>
      <c r="AD316" s="2"/>
      <c r="AE316" s="2"/>
      <c r="AF316" s="2"/>
      <c r="AG316" s="2" t="n">
        <v>51</v>
      </c>
      <c r="AH316" s="2" t="n">
        <v>8</v>
      </c>
      <c r="AI316" s="2" t="n">
        <v>8</v>
      </c>
      <c r="AJ316" s="2" t="n">
        <v>0</v>
      </c>
      <c r="AK316" s="2" t="n">
        <v>2</v>
      </c>
      <c r="AL316" s="2" t="s">
        <v>620</v>
      </c>
      <c r="AM316" s="2" t="s">
        <v>621</v>
      </c>
      <c r="AN316" s="2" t="s">
        <v>622</v>
      </c>
      <c r="AO316" s="2" t="s">
        <v>1778</v>
      </c>
      <c r="AP316" s="2"/>
      <c r="AQ316" s="2"/>
      <c r="AR316" s="2" t="s">
        <v>1779</v>
      </c>
      <c r="AS316" s="2" t="s">
        <v>1780</v>
      </c>
      <c r="AT316" s="2" t="s">
        <v>6153</v>
      </c>
      <c r="AU316" s="2" t="n">
        <v>2022</v>
      </c>
      <c r="AV316" s="2" t="n">
        <v>10</v>
      </c>
      <c r="AW316" s="2"/>
      <c r="AX316" s="2"/>
      <c r="AY316" s="2"/>
      <c r="AZ316" s="2"/>
      <c r="BA316" s="2"/>
      <c r="BB316" s="2"/>
      <c r="BC316" s="2"/>
      <c r="BD316" s="2" t="n">
        <v>1004739</v>
      </c>
      <c r="BE316" s="2" t="s">
        <v>6154</v>
      </c>
      <c r="BF316" s="2" t="str">
        <f aca="false">HYPERLINK("http://dx.doi.org/10.3389/fped.2022.1004739","http://dx.doi.org/10.3389/fped.2022.1004739")</f>
        <v>http://dx.doi.org/10.3389/fped.2022.1004739</v>
      </c>
      <c r="BG316" s="2"/>
      <c r="BH316" s="2"/>
      <c r="BI316" s="2" t="n">
        <v>11</v>
      </c>
      <c r="BJ316" s="2" t="s">
        <v>601</v>
      </c>
      <c r="BK316" s="2" t="s">
        <v>100</v>
      </c>
      <c r="BL316" s="2" t="s">
        <v>601</v>
      </c>
      <c r="BM316" s="2" t="s">
        <v>6155</v>
      </c>
      <c r="BN316" s="2" t="n">
        <v>36110112</v>
      </c>
      <c r="BO316" s="2" t="s">
        <v>103</v>
      </c>
      <c r="BP316" s="2"/>
      <c r="BQ316" s="2"/>
      <c r="BR316" s="2" t="s">
        <v>104</v>
      </c>
      <c r="BS316" s="2" t="s">
        <v>6156</v>
      </c>
      <c r="BT316" s="2" t="str">
        <f aca="false">HYPERLINK("https%3A%2F%2Fwww.webofscience.com%2Fwos%2Fwoscc%2Ffull-record%2FWOS:000853269100001","View Full Record in Web of Science")</f>
        <v>View Full Record in Web of Science</v>
      </c>
    </row>
    <row r="317" customFormat="false" ht="12.75" hidden="false" customHeight="false" outlineLevel="0" collapsed="false">
      <c r="A317" s="2" t="s">
        <v>72</v>
      </c>
      <c r="B317" s="2" t="s">
        <v>6157</v>
      </c>
      <c r="C317" s="2"/>
      <c r="D317" s="2"/>
      <c r="E317" s="2"/>
      <c r="F317" s="2" t="s">
        <v>6158</v>
      </c>
      <c r="G317" s="2"/>
      <c r="H317" s="2"/>
      <c r="I317" s="2" t="s">
        <v>6159</v>
      </c>
      <c r="J317" s="2" t="s">
        <v>2547</v>
      </c>
      <c r="K317" s="2"/>
      <c r="L317" s="2"/>
      <c r="M317" s="2" t="s">
        <v>77</v>
      </c>
      <c r="N317" s="2" t="s">
        <v>78</v>
      </c>
      <c r="O317" s="2"/>
      <c r="P317" s="2"/>
      <c r="Q317" s="2"/>
      <c r="R317" s="2"/>
      <c r="S317" s="2"/>
      <c r="T317" s="2" t="s">
        <v>6160</v>
      </c>
      <c r="U317" s="2" t="s">
        <v>6161</v>
      </c>
      <c r="V317" s="2" t="s">
        <v>6162</v>
      </c>
      <c r="W317" s="2" t="s">
        <v>6163</v>
      </c>
      <c r="X317" s="2" t="s">
        <v>6097</v>
      </c>
      <c r="Y317" s="2" t="s">
        <v>6164</v>
      </c>
      <c r="Z317" s="2" t="s">
        <v>6165</v>
      </c>
      <c r="AA317" s="2"/>
      <c r="AB317" s="2" t="s">
        <v>6166</v>
      </c>
      <c r="AC317" s="2"/>
      <c r="AD317" s="2"/>
      <c r="AE317" s="2"/>
      <c r="AF317" s="2"/>
      <c r="AG317" s="2" t="n">
        <v>22</v>
      </c>
      <c r="AH317" s="2" t="n">
        <v>9</v>
      </c>
      <c r="AI317" s="2" t="n">
        <v>12</v>
      </c>
      <c r="AJ317" s="2" t="n">
        <v>0</v>
      </c>
      <c r="AK317" s="2" t="n">
        <v>7</v>
      </c>
      <c r="AL317" s="2" t="s">
        <v>782</v>
      </c>
      <c r="AM317" s="2" t="s">
        <v>783</v>
      </c>
      <c r="AN317" s="2" t="s">
        <v>784</v>
      </c>
      <c r="AO317" s="2" t="s">
        <v>2556</v>
      </c>
      <c r="AP317" s="2"/>
      <c r="AQ317" s="2"/>
      <c r="AR317" s="2" t="s">
        <v>2547</v>
      </c>
      <c r="AS317" s="2" t="s">
        <v>2558</v>
      </c>
      <c r="AT317" s="2" t="s">
        <v>6167</v>
      </c>
      <c r="AU317" s="2" t="n">
        <v>2013</v>
      </c>
      <c r="AV317" s="2" t="n">
        <v>31</v>
      </c>
      <c r="AW317" s="2" t="n">
        <v>36</v>
      </c>
      <c r="AX317" s="2"/>
      <c r="AY317" s="2"/>
      <c r="AZ317" s="2"/>
      <c r="BA317" s="2"/>
      <c r="BB317" s="2" t="n">
        <v>3756</v>
      </c>
      <c r="BC317" s="2" t="n">
        <v>3762</v>
      </c>
      <c r="BD317" s="2"/>
      <c r="BE317" s="2" t="s">
        <v>6168</v>
      </c>
      <c r="BF317" s="2" t="str">
        <f aca="false">HYPERLINK("http://dx.doi.org/10.1016/j.vaccine.2013.04.015","http://dx.doi.org/10.1016/j.vaccine.2013.04.015")</f>
        <v>http://dx.doi.org/10.1016/j.vaccine.2013.04.015</v>
      </c>
      <c r="BG317" s="2"/>
      <c r="BH317" s="2"/>
      <c r="BI317" s="2" t="n">
        <v>7</v>
      </c>
      <c r="BJ317" s="2" t="s">
        <v>187</v>
      </c>
      <c r="BK317" s="2" t="s">
        <v>100</v>
      </c>
      <c r="BL317" s="2" t="s">
        <v>188</v>
      </c>
      <c r="BM317" s="2" t="s">
        <v>6169</v>
      </c>
      <c r="BN317" s="2" t="n">
        <v>23623857</v>
      </c>
      <c r="BO317" s="2" t="s">
        <v>2278</v>
      </c>
      <c r="BP317" s="2"/>
      <c r="BQ317" s="2"/>
      <c r="BR317" s="2" t="s">
        <v>104</v>
      </c>
      <c r="BS317" s="2" t="s">
        <v>6170</v>
      </c>
      <c r="BT317" s="2" t="str">
        <f aca="false">HYPERLINK("https%3A%2F%2Fwww.webofscience.com%2Fwos%2Fwoscc%2Ffull-record%2FWOS:000323407900020","View Full Record in Web of Science")</f>
        <v>View Full Record in Web of Science</v>
      </c>
    </row>
    <row r="318" customFormat="false" ht="12.75" hidden="false" customHeight="false" outlineLevel="0" collapsed="false">
      <c r="A318" s="2" t="s">
        <v>72</v>
      </c>
      <c r="B318" s="2" t="s">
        <v>6171</v>
      </c>
      <c r="C318" s="2"/>
      <c r="D318" s="2"/>
      <c r="E318" s="2"/>
      <c r="F318" s="2" t="s">
        <v>6172</v>
      </c>
      <c r="G318" s="2"/>
      <c r="H318" s="2"/>
      <c r="I318" s="2" t="s">
        <v>6173</v>
      </c>
      <c r="J318" s="2" t="s">
        <v>1692</v>
      </c>
      <c r="K318" s="2"/>
      <c r="L318" s="2"/>
      <c r="M318" s="2" t="s">
        <v>77</v>
      </c>
      <c r="N318" s="2" t="s">
        <v>78</v>
      </c>
      <c r="O318" s="2"/>
      <c r="P318" s="2"/>
      <c r="Q318" s="2"/>
      <c r="R318" s="2"/>
      <c r="S318" s="2"/>
      <c r="T318" s="2" t="s">
        <v>6174</v>
      </c>
      <c r="U318" s="2" t="s">
        <v>6175</v>
      </c>
      <c r="V318" s="2" t="s">
        <v>6176</v>
      </c>
      <c r="W318" s="2" t="s">
        <v>6177</v>
      </c>
      <c r="X318" s="2" t="s">
        <v>6178</v>
      </c>
      <c r="Y318" s="2" t="s">
        <v>6179</v>
      </c>
      <c r="Z318" s="2" t="s">
        <v>6180</v>
      </c>
      <c r="AA318" s="2" t="s">
        <v>6181</v>
      </c>
      <c r="AB318" s="2" t="s">
        <v>6182</v>
      </c>
      <c r="AC318" s="2" t="s">
        <v>6183</v>
      </c>
      <c r="AD318" s="2" t="s">
        <v>6184</v>
      </c>
      <c r="AE318" s="2" t="s">
        <v>6185</v>
      </c>
      <c r="AF318" s="2"/>
      <c r="AG318" s="2" t="n">
        <v>44</v>
      </c>
      <c r="AH318" s="2" t="n">
        <v>1</v>
      </c>
      <c r="AI318" s="2" t="n">
        <v>1</v>
      </c>
      <c r="AJ318" s="2" t="n">
        <v>0</v>
      </c>
      <c r="AK318" s="2" t="n">
        <v>0</v>
      </c>
      <c r="AL318" s="2" t="s">
        <v>1704</v>
      </c>
      <c r="AM318" s="2" t="s">
        <v>1705</v>
      </c>
      <c r="AN318" s="2" t="s">
        <v>1706</v>
      </c>
      <c r="AO318" s="2"/>
      <c r="AP318" s="2" t="s">
        <v>1707</v>
      </c>
      <c r="AQ318" s="2"/>
      <c r="AR318" s="2" t="s">
        <v>1692</v>
      </c>
      <c r="AS318" s="2" t="s">
        <v>1708</v>
      </c>
      <c r="AT318" s="2" t="s">
        <v>336</v>
      </c>
      <c r="AU318" s="2" t="n">
        <v>2022</v>
      </c>
      <c r="AV318" s="2" t="n">
        <v>8</v>
      </c>
      <c r="AW318" s="2" t="n">
        <v>10</v>
      </c>
      <c r="AX318" s="2"/>
      <c r="AY318" s="2"/>
      <c r="AZ318" s="2"/>
      <c r="BA318" s="2"/>
      <c r="BB318" s="2"/>
      <c r="BC318" s="2"/>
      <c r="BD318" s="2" t="s">
        <v>6186</v>
      </c>
      <c r="BE318" s="2" t="s">
        <v>6187</v>
      </c>
      <c r="BF318" s="2" t="str">
        <f aca="false">HYPERLINK("http://dx.doi.org/10.1016/j.heliyon.2022.e11043","http://dx.doi.org/10.1016/j.heliyon.2022.e11043")</f>
        <v>http://dx.doi.org/10.1016/j.heliyon.2022.e11043</v>
      </c>
      <c r="BG318" s="2"/>
      <c r="BH318" s="2" t="s">
        <v>2884</v>
      </c>
      <c r="BI318" s="2" t="n">
        <v>13</v>
      </c>
      <c r="BJ318" s="2" t="s">
        <v>1658</v>
      </c>
      <c r="BK318" s="2" t="s">
        <v>100</v>
      </c>
      <c r="BL318" s="2" t="s">
        <v>1659</v>
      </c>
      <c r="BM318" s="2" t="s">
        <v>6188</v>
      </c>
      <c r="BN318" s="2" t="n">
        <v>36247113</v>
      </c>
      <c r="BO318" s="2" t="s">
        <v>103</v>
      </c>
      <c r="BP318" s="2"/>
      <c r="BQ318" s="2"/>
      <c r="BR318" s="2" t="s">
        <v>104</v>
      </c>
      <c r="BS318" s="2" t="s">
        <v>6189</v>
      </c>
      <c r="BT318" s="2" t="str">
        <f aca="false">HYPERLINK("https%3A%2F%2Fwww.webofscience.com%2Fwos%2Fwoscc%2Ffull-record%2FWOS:000910527200021","View Full Record in Web of Science")</f>
        <v>View Full Record in Web of Science</v>
      </c>
    </row>
    <row r="319" customFormat="false" ht="12.75" hidden="false" customHeight="false" outlineLevel="0" collapsed="false">
      <c r="A319" s="2" t="s">
        <v>72</v>
      </c>
      <c r="B319" s="2" t="s">
        <v>6190</v>
      </c>
      <c r="C319" s="2"/>
      <c r="D319" s="2"/>
      <c r="E319" s="2"/>
      <c r="F319" s="2" t="s">
        <v>6191</v>
      </c>
      <c r="G319" s="2"/>
      <c r="H319" s="2"/>
      <c r="I319" s="2" t="s">
        <v>6192</v>
      </c>
      <c r="J319" s="2" t="s">
        <v>493</v>
      </c>
      <c r="K319" s="2"/>
      <c r="L319" s="2"/>
      <c r="M319" s="2" t="s">
        <v>77</v>
      </c>
      <c r="N319" s="2" t="s">
        <v>78</v>
      </c>
      <c r="O319" s="2"/>
      <c r="P319" s="2"/>
      <c r="Q319" s="2"/>
      <c r="R319" s="2"/>
      <c r="S319" s="2"/>
      <c r="T319" s="2" t="s">
        <v>6193</v>
      </c>
      <c r="U319" s="2" t="s">
        <v>6194</v>
      </c>
      <c r="V319" s="2" t="s">
        <v>6195</v>
      </c>
      <c r="W319" s="2" t="s">
        <v>6196</v>
      </c>
      <c r="X319" s="2" t="s">
        <v>6197</v>
      </c>
      <c r="Y319" s="2" t="s">
        <v>6198</v>
      </c>
      <c r="Z319" s="2" t="s">
        <v>6199</v>
      </c>
      <c r="AA319" s="2"/>
      <c r="AB319" s="2" t="s">
        <v>6200</v>
      </c>
      <c r="AC319" s="2"/>
      <c r="AD319" s="2"/>
      <c r="AE319" s="2"/>
      <c r="AF319" s="2"/>
      <c r="AG319" s="2" t="n">
        <v>46</v>
      </c>
      <c r="AH319" s="2" t="n">
        <v>50</v>
      </c>
      <c r="AI319" s="2" t="n">
        <v>51</v>
      </c>
      <c r="AJ319" s="2" t="n">
        <v>4</v>
      </c>
      <c r="AK319" s="2" t="n">
        <v>14</v>
      </c>
      <c r="AL319" s="2" t="s">
        <v>6201</v>
      </c>
      <c r="AM319" s="2" t="s">
        <v>92</v>
      </c>
      <c r="AN319" s="2" t="s">
        <v>6202</v>
      </c>
      <c r="AO319" s="2" t="s">
        <v>506</v>
      </c>
      <c r="AP319" s="2"/>
      <c r="AQ319" s="2"/>
      <c r="AR319" s="2" t="s">
        <v>493</v>
      </c>
      <c r="AS319" s="2" t="s">
        <v>507</v>
      </c>
      <c r="AT319" s="2" t="s">
        <v>486</v>
      </c>
      <c r="AU319" s="2" t="n">
        <v>2009</v>
      </c>
      <c r="AV319" s="2" t="n">
        <v>1</v>
      </c>
      <c r="AW319" s="2" t="n">
        <v>1</v>
      </c>
      <c r="AX319" s="2"/>
      <c r="AY319" s="2"/>
      <c r="AZ319" s="2"/>
      <c r="BA319" s="2"/>
      <c r="BB319" s="2" t="n">
        <v>42</v>
      </c>
      <c r="BC319" s="2" t="n">
        <v>56</v>
      </c>
      <c r="BD319" s="2"/>
      <c r="BE319" s="2" t="s">
        <v>6203</v>
      </c>
      <c r="BF319" s="2" t="str">
        <f aca="false">HYPERLINK("http://dx.doi.org/10.3390/v1010042","http://dx.doi.org/10.3390/v1010042")</f>
        <v>http://dx.doi.org/10.3390/v1010042</v>
      </c>
      <c r="BG319" s="2"/>
      <c r="BH319" s="2"/>
      <c r="BI319" s="2" t="n">
        <v>15</v>
      </c>
      <c r="BJ319" s="2" t="s">
        <v>163</v>
      </c>
      <c r="BK319" s="2" t="s">
        <v>100</v>
      </c>
      <c r="BL319" s="2" t="s">
        <v>163</v>
      </c>
      <c r="BM319" s="2" t="s">
        <v>6204</v>
      </c>
      <c r="BN319" s="2" t="n">
        <v>21994537</v>
      </c>
      <c r="BO319" s="2" t="s">
        <v>341</v>
      </c>
      <c r="BP319" s="2"/>
      <c r="BQ319" s="2"/>
      <c r="BR319" s="2" t="s">
        <v>104</v>
      </c>
      <c r="BS319" s="2" t="s">
        <v>6205</v>
      </c>
      <c r="BT319" s="2" t="str">
        <f aca="false">HYPERLINK("https%3A%2F%2Fwww.webofscience.com%2Fwos%2Fwoscc%2Ffull-record%2FWOS:000280336800005","View Full Record in Web of Science")</f>
        <v>View Full Record in Web of Science</v>
      </c>
    </row>
    <row r="320" customFormat="false" ht="12.75" hidden="false" customHeight="false" outlineLevel="0" collapsed="false">
      <c r="A320" s="2" t="s">
        <v>72</v>
      </c>
      <c r="B320" s="2" t="s">
        <v>6206</v>
      </c>
      <c r="C320" s="2"/>
      <c r="D320" s="2"/>
      <c r="E320" s="2"/>
      <c r="F320" s="2" t="s">
        <v>6207</v>
      </c>
      <c r="G320" s="2"/>
      <c r="H320" s="2"/>
      <c r="I320" s="2" t="s">
        <v>6208</v>
      </c>
      <c r="J320" s="2" t="s">
        <v>3741</v>
      </c>
      <c r="K320" s="2"/>
      <c r="L320" s="2"/>
      <c r="M320" s="2" t="s">
        <v>77</v>
      </c>
      <c r="N320" s="2" t="s">
        <v>78</v>
      </c>
      <c r="O320" s="2"/>
      <c r="P320" s="2"/>
      <c r="Q320" s="2"/>
      <c r="R320" s="2"/>
      <c r="S320" s="2"/>
      <c r="T320" s="2" t="s">
        <v>6209</v>
      </c>
      <c r="U320" s="2" t="s">
        <v>6210</v>
      </c>
      <c r="V320" s="2" t="s">
        <v>6211</v>
      </c>
      <c r="W320" s="2" t="s">
        <v>6212</v>
      </c>
      <c r="X320" s="2" t="s">
        <v>6213</v>
      </c>
      <c r="Y320" s="2" t="s">
        <v>6214</v>
      </c>
      <c r="Z320" s="2" t="s">
        <v>6215</v>
      </c>
      <c r="AA320" s="2" t="s">
        <v>4567</v>
      </c>
      <c r="AB320" s="2"/>
      <c r="AC320" s="2" t="s">
        <v>6216</v>
      </c>
      <c r="AD320" s="2" t="s">
        <v>6216</v>
      </c>
      <c r="AE320" s="2" t="s">
        <v>6217</v>
      </c>
      <c r="AF320" s="2"/>
      <c r="AG320" s="2" t="n">
        <v>24</v>
      </c>
      <c r="AH320" s="2" t="n">
        <v>1</v>
      </c>
      <c r="AI320" s="2" t="n">
        <v>1</v>
      </c>
      <c r="AJ320" s="2" t="n">
        <v>1</v>
      </c>
      <c r="AK320" s="2" t="n">
        <v>4</v>
      </c>
      <c r="AL320" s="2" t="s">
        <v>755</v>
      </c>
      <c r="AM320" s="2" t="s">
        <v>273</v>
      </c>
      <c r="AN320" s="2" t="s">
        <v>756</v>
      </c>
      <c r="AO320" s="2" t="s">
        <v>3753</v>
      </c>
      <c r="AP320" s="2"/>
      <c r="AQ320" s="2"/>
      <c r="AR320" s="2" t="s">
        <v>3754</v>
      </c>
      <c r="AS320" s="2" t="s">
        <v>3755</v>
      </c>
      <c r="AT320" s="2" t="s">
        <v>486</v>
      </c>
      <c r="AU320" s="2" t="n">
        <v>2023</v>
      </c>
      <c r="AV320" s="2" t="n">
        <v>11</v>
      </c>
      <c r="AW320" s="2" t="n">
        <v>3</v>
      </c>
      <c r="AX320" s="2"/>
      <c r="AY320" s="2"/>
      <c r="AZ320" s="2"/>
      <c r="BA320" s="2"/>
      <c r="BB320" s="2"/>
      <c r="BC320" s="2"/>
      <c r="BD320" s="2"/>
      <c r="BE320" s="2" t="s">
        <v>6218</v>
      </c>
      <c r="BF320" s="2" t="str">
        <f aca="false">HYPERLINK("http://dx.doi.org/10.1128/spectrum.04044-22","http://dx.doi.org/10.1128/spectrum.04044-22")</f>
        <v>http://dx.doi.org/10.1128/spectrum.04044-22</v>
      </c>
      <c r="BG320" s="2"/>
      <c r="BH320" s="2" t="s">
        <v>6219</v>
      </c>
      <c r="BI320" s="2" t="n">
        <v>11</v>
      </c>
      <c r="BJ320" s="2" t="s">
        <v>211</v>
      </c>
      <c r="BK320" s="2" t="s">
        <v>100</v>
      </c>
      <c r="BL320" s="2" t="s">
        <v>211</v>
      </c>
      <c r="BM320" s="2" t="s">
        <v>6220</v>
      </c>
      <c r="BN320" s="2" t="n">
        <v>37039708</v>
      </c>
      <c r="BO320" s="2" t="s">
        <v>103</v>
      </c>
      <c r="BP320" s="2"/>
      <c r="BQ320" s="2"/>
      <c r="BR320" s="2" t="s">
        <v>104</v>
      </c>
      <c r="BS320" s="2" t="s">
        <v>6221</v>
      </c>
      <c r="BT320" s="2" t="str">
        <f aca="false">HYPERLINK("https%3A%2F%2Fwww.webofscience.com%2Fwos%2Fwoscc%2Ffull-record%2FWOS:000969394500001","View Full Record in Web of Science")</f>
        <v>View Full Record in Web of Science</v>
      </c>
    </row>
    <row r="321" customFormat="false" ht="12.75" hidden="false" customHeight="false" outlineLevel="0" collapsed="false">
      <c r="A321" s="2" t="s">
        <v>72</v>
      </c>
      <c r="B321" s="2" t="s">
        <v>6222</v>
      </c>
      <c r="C321" s="2"/>
      <c r="D321" s="2"/>
      <c r="E321" s="2"/>
      <c r="F321" s="2" t="s">
        <v>6223</v>
      </c>
      <c r="G321" s="2"/>
      <c r="H321" s="2"/>
      <c r="I321" s="2" t="s">
        <v>6224</v>
      </c>
      <c r="J321" s="2" t="s">
        <v>6225</v>
      </c>
      <c r="K321" s="2"/>
      <c r="L321" s="2"/>
      <c r="M321" s="2" t="s">
        <v>77</v>
      </c>
      <c r="N321" s="2" t="s">
        <v>78</v>
      </c>
      <c r="O321" s="2"/>
      <c r="P321" s="2"/>
      <c r="Q321" s="2"/>
      <c r="R321" s="2"/>
      <c r="S321" s="2"/>
      <c r="T321" s="2" t="s">
        <v>6226</v>
      </c>
      <c r="U321" s="2" t="s">
        <v>6227</v>
      </c>
      <c r="V321" s="2" t="s">
        <v>6228</v>
      </c>
      <c r="W321" s="2" t="s">
        <v>6229</v>
      </c>
      <c r="X321" s="2" t="s">
        <v>6230</v>
      </c>
      <c r="Y321" s="2" t="s">
        <v>6231</v>
      </c>
      <c r="Z321" s="2" t="s">
        <v>6232</v>
      </c>
      <c r="AA321" s="2" t="s">
        <v>6233</v>
      </c>
      <c r="AB321" s="2" t="s">
        <v>6234</v>
      </c>
      <c r="AC321" s="2" t="s">
        <v>6235</v>
      </c>
      <c r="AD321" s="2" t="s">
        <v>6236</v>
      </c>
      <c r="AE321" s="2" t="s">
        <v>6237</v>
      </c>
      <c r="AF321" s="2"/>
      <c r="AG321" s="2" t="n">
        <v>28</v>
      </c>
      <c r="AH321" s="2" t="n">
        <v>10</v>
      </c>
      <c r="AI321" s="2" t="n">
        <v>10</v>
      </c>
      <c r="AJ321" s="2" t="n">
        <v>10</v>
      </c>
      <c r="AK321" s="2" t="n">
        <v>40</v>
      </c>
      <c r="AL321" s="2" t="s">
        <v>91</v>
      </c>
      <c r="AM321" s="2" t="s">
        <v>92</v>
      </c>
      <c r="AN321" s="2" t="s">
        <v>93</v>
      </c>
      <c r="AO321" s="2"/>
      <c r="AP321" s="2" t="s">
        <v>6238</v>
      </c>
      <c r="AQ321" s="2"/>
      <c r="AR321" s="2" t="s">
        <v>6239</v>
      </c>
      <c r="AS321" s="2" t="s">
        <v>6240</v>
      </c>
      <c r="AT321" s="2" t="s">
        <v>336</v>
      </c>
      <c r="AU321" s="2" t="n">
        <v>2022</v>
      </c>
      <c r="AV321" s="2" t="n">
        <v>13</v>
      </c>
      <c r="AW321" s="2" t="n">
        <v>10</v>
      </c>
      <c r="AX321" s="2"/>
      <c r="AY321" s="2"/>
      <c r="AZ321" s="2"/>
      <c r="BA321" s="2"/>
      <c r="BB321" s="2"/>
      <c r="BC321" s="2"/>
      <c r="BD321" s="2" t="n">
        <v>1650</v>
      </c>
      <c r="BE321" s="2" t="s">
        <v>6241</v>
      </c>
      <c r="BF321" s="2" t="str">
        <f aca="false">HYPERLINK("http://dx.doi.org/10.3390/mi13101650","http://dx.doi.org/10.3390/mi13101650")</f>
        <v>http://dx.doi.org/10.3390/mi13101650</v>
      </c>
      <c r="BG321" s="2"/>
      <c r="BH321" s="2"/>
      <c r="BI321" s="2" t="n">
        <v>13</v>
      </c>
      <c r="BJ321" s="2" t="s">
        <v>6242</v>
      </c>
      <c r="BK321" s="2" t="s">
        <v>100</v>
      </c>
      <c r="BL321" s="2" t="s">
        <v>6243</v>
      </c>
      <c r="BM321" s="2" t="s">
        <v>6244</v>
      </c>
      <c r="BN321" s="2" t="n">
        <v>36296002</v>
      </c>
      <c r="BO321" s="2" t="s">
        <v>103</v>
      </c>
      <c r="BP321" s="2"/>
      <c r="BQ321" s="2"/>
      <c r="BR321" s="2" t="s">
        <v>104</v>
      </c>
      <c r="BS321" s="2" t="s">
        <v>6245</v>
      </c>
      <c r="BT321" s="2" t="str">
        <f aca="false">HYPERLINK("https%3A%2F%2Fwww.webofscience.com%2Fwos%2Fwoscc%2Ffull-record%2FWOS:000873269000001","View Full Record in Web of Science")</f>
        <v>View Full Record in Web of Science</v>
      </c>
    </row>
    <row r="322" customFormat="false" ht="12.75" hidden="false" customHeight="false" outlineLevel="0" collapsed="false">
      <c r="A322" s="2" t="s">
        <v>72</v>
      </c>
      <c r="B322" s="2" t="s">
        <v>6246</v>
      </c>
      <c r="C322" s="2"/>
      <c r="D322" s="2"/>
      <c r="E322" s="2"/>
      <c r="F322" s="2" t="s">
        <v>6247</v>
      </c>
      <c r="G322" s="2"/>
      <c r="H322" s="2"/>
      <c r="I322" s="2" t="s">
        <v>6248</v>
      </c>
      <c r="J322" s="2" t="s">
        <v>1448</v>
      </c>
      <c r="K322" s="2"/>
      <c r="L322" s="2"/>
      <c r="M322" s="2" t="s">
        <v>77</v>
      </c>
      <c r="N322" s="2" t="s">
        <v>78</v>
      </c>
      <c r="O322" s="2"/>
      <c r="P322" s="2"/>
      <c r="Q322" s="2"/>
      <c r="R322" s="2"/>
      <c r="S322" s="2"/>
      <c r="T322" s="2" t="s">
        <v>6249</v>
      </c>
      <c r="U322" s="2" t="s">
        <v>6250</v>
      </c>
      <c r="V322" s="2" t="s">
        <v>6251</v>
      </c>
      <c r="W322" s="2" t="s">
        <v>6252</v>
      </c>
      <c r="X322" s="2" t="s">
        <v>6253</v>
      </c>
      <c r="Y322" s="2" t="s">
        <v>6254</v>
      </c>
      <c r="Z322" s="2" t="s">
        <v>6255</v>
      </c>
      <c r="AA322" s="2" t="s">
        <v>6256</v>
      </c>
      <c r="AB322" s="2" t="s">
        <v>6257</v>
      </c>
      <c r="AC322" s="2" t="s">
        <v>6258</v>
      </c>
      <c r="AD322" s="2" t="s">
        <v>6259</v>
      </c>
      <c r="AE322" s="2" t="s">
        <v>6260</v>
      </c>
      <c r="AF322" s="2"/>
      <c r="AG322" s="2" t="n">
        <v>23</v>
      </c>
      <c r="AH322" s="2" t="n">
        <v>3</v>
      </c>
      <c r="AI322" s="2" t="n">
        <v>3</v>
      </c>
      <c r="AJ322" s="2" t="n">
        <v>3</v>
      </c>
      <c r="AK322" s="2" t="n">
        <v>11</v>
      </c>
      <c r="AL322" s="2" t="s">
        <v>1460</v>
      </c>
      <c r="AM322" s="2" t="s">
        <v>593</v>
      </c>
      <c r="AN322" s="2" t="s">
        <v>2088</v>
      </c>
      <c r="AO322" s="2" t="s">
        <v>1462</v>
      </c>
      <c r="AP322" s="2" t="s">
        <v>1463</v>
      </c>
      <c r="AQ322" s="2"/>
      <c r="AR322" s="2" t="s">
        <v>1464</v>
      </c>
      <c r="AS322" s="2" t="s">
        <v>1465</v>
      </c>
      <c r="AT322" s="2" t="s">
        <v>446</v>
      </c>
      <c r="AU322" s="2" t="n">
        <v>2022</v>
      </c>
      <c r="AV322" s="2" t="n">
        <v>104</v>
      </c>
      <c r="AW322" s="2" t="n">
        <v>4</v>
      </c>
      <c r="AX322" s="2"/>
      <c r="AY322" s="2"/>
      <c r="AZ322" s="2"/>
      <c r="BA322" s="2"/>
      <c r="BB322" s="2"/>
      <c r="BC322" s="2"/>
      <c r="BD322" s="2" t="n">
        <v>115801</v>
      </c>
      <c r="BE322" s="2" t="s">
        <v>6261</v>
      </c>
      <c r="BF322" s="2" t="str">
        <f aca="false">HYPERLINK("http://dx.doi.org/10.1016/j.diagmicrobio.2022.115801","http://dx.doi.org/10.1016/j.diagmicrobio.2022.115801")</f>
        <v>http://dx.doi.org/10.1016/j.diagmicrobio.2022.115801</v>
      </c>
      <c r="BG322" s="2"/>
      <c r="BH322" s="2" t="s">
        <v>6262</v>
      </c>
      <c r="BI322" s="2" t="n">
        <v>6</v>
      </c>
      <c r="BJ322" s="2" t="s">
        <v>1467</v>
      </c>
      <c r="BK322" s="2" t="s">
        <v>100</v>
      </c>
      <c r="BL322" s="2" t="s">
        <v>1467</v>
      </c>
      <c r="BM322" s="2" t="s">
        <v>6263</v>
      </c>
      <c r="BN322" s="2" t="n">
        <v>36130430</v>
      </c>
      <c r="BO322" s="2"/>
      <c r="BP322" s="2"/>
      <c r="BQ322" s="2"/>
      <c r="BR322" s="2" t="s">
        <v>104</v>
      </c>
      <c r="BS322" s="2" t="s">
        <v>6264</v>
      </c>
      <c r="BT322" s="2" t="str">
        <f aca="false">HYPERLINK("https%3A%2F%2Fwww.webofscience.com%2Fwos%2Fwoscc%2Ffull-record%2FWOS:000862264700009","View Full Record in Web of Science")</f>
        <v>View Full Record in Web of Science</v>
      </c>
    </row>
    <row r="323" customFormat="false" ht="12.75" hidden="false" customHeight="false" outlineLevel="0" collapsed="false">
      <c r="A323" s="2" t="s">
        <v>72</v>
      </c>
      <c r="B323" s="2" t="s">
        <v>6265</v>
      </c>
      <c r="C323" s="2"/>
      <c r="D323" s="2"/>
      <c r="E323" s="2"/>
      <c r="F323" s="2" t="s">
        <v>6266</v>
      </c>
      <c r="G323" s="2"/>
      <c r="H323" s="2"/>
      <c r="I323" s="2" t="s">
        <v>6267</v>
      </c>
      <c r="J323" s="2" t="s">
        <v>6268</v>
      </c>
      <c r="K323" s="2"/>
      <c r="L323" s="2"/>
      <c r="M323" s="2" t="s">
        <v>77</v>
      </c>
      <c r="N323" s="2" t="s">
        <v>78</v>
      </c>
      <c r="O323" s="2"/>
      <c r="P323" s="2"/>
      <c r="Q323" s="2"/>
      <c r="R323" s="2"/>
      <c r="S323" s="2"/>
      <c r="T323" s="2" t="s">
        <v>6269</v>
      </c>
      <c r="U323" s="2" t="s">
        <v>6270</v>
      </c>
      <c r="V323" s="2" t="s">
        <v>6271</v>
      </c>
      <c r="W323" s="2" t="s">
        <v>6272</v>
      </c>
      <c r="X323" s="2" t="s">
        <v>6273</v>
      </c>
      <c r="Y323" s="2" t="s">
        <v>6274</v>
      </c>
      <c r="Z323" s="2" t="s">
        <v>6275</v>
      </c>
      <c r="AA323" s="2"/>
      <c r="AB323" s="2" t="s">
        <v>6276</v>
      </c>
      <c r="AC323" s="2"/>
      <c r="AD323" s="2"/>
      <c r="AE323" s="2"/>
      <c r="AF323" s="2"/>
      <c r="AG323" s="2" t="n">
        <v>17</v>
      </c>
      <c r="AH323" s="2" t="n">
        <v>5</v>
      </c>
      <c r="AI323" s="2" t="n">
        <v>5</v>
      </c>
      <c r="AJ323" s="2" t="n">
        <v>0</v>
      </c>
      <c r="AK323" s="2" t="n">
        <v>9</v>
      </c>
      <c r="AL323" s="2" t="s">
        <v>2788</v>
      </c>
      <c r="AM323" s="2" t="s">
        <v>2789</v>
      </c>
      <c r="AN323" s="2" t="s">
        <v>2790</v>
      </c>
      <c r="AO323" s="2" t="s">
        <v>6277</v>
      </c>
      <c r="AP323" s="2" t="s">
        <v>6278</v>
      </c>
      <c r="AQ323" s="2"/>
      <c r="AR323" s="2" t="s">
        <v>6279</v>
      </c>
      <c r="AS323" s="2" t="s">
        <v>6280</v>
      </c>
      <c r="AT323" s="2" t="s">
        <v>6281</v>
      </c>
      <c r="AU323" s="2" t="n">
        <v>2019</v>
      </c>
      <c r="AV323" s="2" t="n">
        <v>74</v>
      </c>
      <c r="AW323" s="2" t="n">
        <v>6</v>
      </c>
      <c r="AX323" s="2"/>
      <c r="AY323" s="2"/>
      <c r="AZ323" s="2"/>
      <c r="BA323" s="2"/>
      <c r="BB323" s="2" t="n">
        <v>379</v>
      </c>
      <c r="BC323" s="2" t="n">
        <v>385</v>
      </c>
      <c r="BD323" s="2"/>
      <c r="BE323" s="2" t="s">
        <v>6282</v>
      </c>
      <c r="BF323" s="2" t="str">
        <f aca="false">HYPERLINK("http://dx.doi.org/10.1080/17843286.2018.1531605","http://dx.doi.org/10.1080/17843286.2018.1531605")</f>
        <v>http://dx.doi.org/10.1080/17843286.2018.1531605</v>
      </c>
      <c r="BG323" s="2"/>
      <c r="BH323" s="2"/>
      <c r="BI323" s="2" t="n">
        <v>7</v>
      </c>
      <c r="BJ323" s="2" t="s">
        <v>363</v>
      </c>
      <c r="BK323" s="2" t="s">
        <v>100</v>
      </c>
      <c r="BL323" s="2" t="s">
        <v>364</v>
      </c>
      <c r="BM323" s="2" t="s">
        <v>6283</v>
      </c>
      <c r="BN323" s="2" t="n">
        <v>30307378</v>
      </c>
      <c r="BO323" s="2"/>
      <c r="BP323" s="2"/>
      <c r="BQ323" s="2"/>
      <c r="BR323" s="2" t="s">
        <v>104</v>
      </c>
      <c r="BS323" s="2" t="s">
        <v>6284</v>
      </c>
      <c r="BT323" s="2" t="str">
        <f aca="false">HYPERLINK("https%3A%2F%2Fwww.webofscience.com%2Fwos%2Fwoscc%2Ffull-record%2FWOS:000492852100001","View Full Record in Web of Science")</f>
        <v>View Full Record in Web of Science</v>
      </c>
    </row>
    <row r="324" customFormat="false" ht="12.75" hidden="false" customHeight="false" outlineLevel="0" collapsed="false">
      <c r="A324" s="2" t="s">
        <v>72</v>
      </c>
      <c r="B324" s="2" t="s">
        <v>6285</v>
      </c>
      <c r="C324" s="2"/>
      <c r="D324" s="2"/>
      <c r="E324" s="2"/>
      <c r="F324" s="2" t="s">
        <v>6286</v>
      </c>
      <c r="G324" s="2"/>
      <c r="H324" s="2"/>
      <c r="I324" s="2" t="s">
        <v>6287</v>
      </c>
      <c r="J324" s="2" t="s">
        <v>6288</v>
      </c>
      <c r="K324" s="2"/>
      <c r="L324" s="2"/>
      <c r="M324" s="2" t="s">
        <v>77</v>
      </c>
      <c r="N324" s="2" t="s">
        <v>78</v>
      </c>
      <c r="O324" s="2"/>
      <c r="P324" s="2"/>
      <c r="Q324" s="2"/>
      <c r="R324" s="2"/>
      <c r="S324" s="2"/>
      <c r="T324" s="2" t="s">
        <v>6289</v>
      </c>
      <c r="U324" s="2" t="s">
        <v>6290</v>
      </c>
      <c r="V324" s="2" t="s">
        <v>6291</v>
      </c>
      <c r="W324" s="2" t="s">
        <v>6292</v>
      </c>
      <c r="X324" s="2" t="s">
        <v>6293</v>
      </c>
      <c r="Y324" s="2" t="s">
        <v>6294</v>
      </c>
      <c r="Z324" s="2" t="s">
        <v>6295</v>
      </c>
      <c r="AA324" s="2" t="s">
        <v>6296</v>
      </c>
      <c r="AB324" s="2" t="s">
        <v>6297</v>
      </c>
      <c r="AC324" s="2"/>
      <c r="AD324" s="2"/>
      <c r="AE324" s="2"/>
      <c r="AF324" s="2"/>
      <c r="AG324" s="2" t="n">
        <v>33</v>
      </c>
      <c r="AH324" s="2" t="n">
        <v>7</v>
      </c>
      <c r="AI324" s="2" t="n">
        <v>8</v>
      </c>
      <c r="AJ324" s="2" t="n">
        <v>0</v>
      </c>
      <c r="AK324" s="2" t="n">
        <v>0</v>
      </c>
      <c r="AL324" s="2" t="s">
        <v>302</v>
      </c>
      <c r="AM324" s="2" t="s">
        <v>303</v>
      </c>
      <c r="AN324" s="2" t="s">
        <v>304</v>
      </c>
      <c r="AO324" s="2" t="s">
        <v>6298</v>
      </c>
      <c r="AP324" s="2"/>
      <c r="AQ324" s="2"/>
      <c r="AR324" s="2" t="s">
        <v>6288</v>
      </c>
      <c r="AS324" s="2" t="s">
        <v>6299</v>
      </c>
      <c r="AT324" s="2"/>
      <c r="AU324" s="2" t="n">
        <v>2012</v>
      </c>
      <c r="AV324" s="2" t="n">
        <v>1</v>
      </c>
      <c r="AW324" s="2"/>
      <c r="AX324" s="2"/>
      <c r="AY324" s="2"/>
      <c r="AZ324" s="2"/>
      <c r="BA324" s="2"/>
      <c r="BB324" s="2" t="n">
        <v>11</v>
      </c>
      <c r="BC324" s="2" t="n">
        <v>19</v>
      </c>
      <c r="BD324" s="2"/>
      <c r="BE324" s="2" t="s">
        <v>6300</v>
      </c>
      <c r="BF324" s="2" t="str">
        <f aca="false">HYPERLINK("http://dx.doi.org/10.15172/pneu.2012.1/228","http://dx.doi.org/10.15172/pneu.2012.1/228")</f>
        <v>http://dx.doi.org/10.15172/pneu.2012.1/228</v>
      </c>
      <c r="BG324" s="2"/>
      <c r="BH324" s="2"/>
      <c r="BI324" s="2" t="n">
        <v>9</v>
      </c>
      <c r="BJ324" s="2" t="s">
        <v>338</v>
      </c>
      <c r="BK324" s="2" t="s">
        <v>339</v>
      </c>
      <c r="BL324" s="2" t="s">
        <v>338</v>
      </c>
      <c r="BM324" s="2" t="s">
        <v>6301</v>
      </c>
      <c r="BN324" s="2" t="n">
        <v>31463179</v>
      </c>
      <c r="BO324" s="2" t="s">
        <v>190</v>
      </c>
      <c r="BP324" s="2"/>
      <c r="BQ324" s="2"/>
      <c r="BR324" s="2" t="s">
        <v>104</v>
      </c>
      <c r="BS324" s="2" t="s">
        <v>6302</v>
      </c>
      <c r="BT324" s="2" t="str">
        <f aca="false">HYPERLINK("https%3A%2F%2Fwww.webofscience.com%2Fwos%2Fwoscc%2Ffull-record%2FWOS:000214791300004","View Full Record in Web of Science")</f>
        <v>View Full Record in Web of Science</v>
      </c>
    </row>
    <row r="325" customFormat="false" ht="12.75" hidden="false" customHeight="false" outlineLevel="0" collapsed="false">
      <c r="A325" s="2" t="s">
        <v>72</v>
      </c>
      <c r="B325" s="2" t="s">
        <v>6303</v>
      </c>
      <c r="C325" s="2"/>
      <c r="D325" s="2"/>
      <c r="E325" s="2"/>
      <c r="F325" s="2" t="s">
        <v>6304</v>
      </c>
      <c r="G325" s="2"/>
      <c r="H325" s="2"/>
      <c r="I325" s="2" t="s">
        <v>6305</v>
      </c>
      <c r="J325" s="2" t="s">
        <v>398</v>
      </c>
      <c r="K325" s="2"/>
      <c r="L325" s="2"/>
      <c r="M325" s="2" t="s">
        <v>77</v>
      </c>
      <c r="N325" s="2" t="s">
        <v>78</v>
      </c>
      <c r="O325" s="2"/>
      <c r="P325" s="2"/>
      <c r="Q325" s="2"/>
      <c r="R325" s="2"/>
      <c r="S325" s="2"/>
      <c r="T325" s="2" t="s">
        <v>6306</v>
      </c>
      <c r="U325" s="2"/>
      <c r="V325" s="2" t="s">
        <v>6307</v>
      </c>
      <c r="W325" s="2" t="s">
        <v>6308</v>
      </c>
      <c r="X325" s="2" t="s">
        <v>6309</v>
      </c>
      <c r="Y325" s="2" t="s">
        <v>6310</v>
      </c>
      <c r="Z325" s="2" t="s">
        <v>5815</v>
      </c>
      <c r="AA325" s="2"/>
      <c r="AB325" s="2"/>
      <c r="AC325" s="2" t="s">
        <v>6311</v>
      </c>
      <c r="AD325" s="2" t="s">
        <v>6312</v>
      </c>
      <c r="AE325" s="2" t="s">
        <v>6313</v>
      </c>
      <c r="AF325" s="2"/>
      <c r="AG325" s="2" t="n">
        <v>31</v>
      </c>
      <c r="AH325" s="2" t="n">
        <v>4</v>
      </c>
      <c r="AI325" s="2" t="n">
        <v>4</v>
      </c>
      <c r="AJ325" s="2" t="n">
        <v>0</v>
      </c>
      <c r="AK325" s="2" t="n">
        <v>0</v>
      </c>
      <c r="AL325" s="2" t="s">
        <v>408</v>
      </c>
      <c r="AM325" s="2" t="s">
        <v>409</v>
      </c>
      <c r="AN325" s="2" t="s">
        <v>410</v>
      </c>
      <c r="AO325" s="2" t="s">
        <v>411</v>
      </c>
      <c r="AP325" s="2" t="s">
        <v>412</v>
      </c>
      <c r="AQ325" s="2"/>
      <c r="AR325" s="2" t="s">
        <v>6314</v>
      </c>
      <c r="AS325" s="2" t="s">
        <v>414</v>
      </c>
      <c r="AT325" s="2"/>
      <c r="AU325" s="2" t="n">
        <v>2006</v>
      </c>
      <c r="AV325" s="2" t="n">
        <v>1</v>
      </c>
      <c r="AW325" s="2" t="n">
        <v>4</v>
      </c>
      <c r="AX325" s="2"/>
      <c r="AY325" s="2"/>
      <c r="AZ325" s="2"/>
      <c r="BA325" s="2"/>
      <c r="BB325" s="2" t="n">
        <v>205</v>
      </c>
      <c r="BC325" s="2" t="n">
        <v>211</v>
      </c>
      <c r="BD325" s="2"/>
      <c r="BE325" s="2"/>
      <c r="BF325" s="2"/>
      <c r="BG325" s="2"/>
      <c r="BH325" s="2"/>
      <c r="BI325" s="2" t="n">
        <v>7</v>
      </c>
      <c r="BJ325" s="2" t="s">
        <v>417</v>
      </c>
      <c r="BK325" s="2" t="s">
        <v>339</v>
      </c>
      <c r="BL325" s="2" t="s">
        <v>417</v>
      </c>
      <c r="BM325" s="2" t="s">
        <v>6315</v>
      </c>
      <c r="BN325" s="2"/>
      <c r="BO325" s="2"/>
      <c r="BP325" s="2"/>
      <c r="BQ325" s="2"/>
      <c r="BR325" s="2" t="s">
        <v>104</v>
      </c>
      <c r="BS325" s="2" t="s">
        <v>6316</v>
      </c>
      <c r="BT325" s="2" t="str">
        <f aca="false">HYPERLINK("https%3A%2F%2Fwww.webofscience.com%2Fwos%2Fwoscc%2Ffull-record%2FWOS:000214665800004","View Full Record in Web of Science")</f>
        <v>View Full Record in Web of Science</v>
      </c>
    </row>
    <row r="326" customFormat="false" ht="12.75" hidden="false" customHeight="false" outlineLevel="0" collapsed="false">
      <c r="A326" s="2" t="s">
        <v>72</v>
      </c>
      <c r="B326" s="2" t="s">
        <v>6317</v>
      </c>
      <c r="C326" s="2"/>
      <c r="D326" s="2"/>
      <c r="E326" s="2"/>
      <c r="F326" s="2" t="s">
        <v>6318</v>
      </c>
      <c r="G326" s="2"/>
      <c r="H326" s="2"/>
      <c r="I326" s="2" t="s">
        <v>6319</v>
      </c>
      <c r="J326" s="2" t="s">
        <v>3657</v>
      </c>
      <c r="K326" s="2"/>
      <c r="L326" s="2"/>
      <c r="M326" s="2" t="s">
        <v>77</v>
      </c>
      <c r="N326" s="2" t="s">
        <v>78</v>
      </c>
      <c r="O326" s="2"/>
      <c r="P326" s="2"/>
      <c r="Q326" s="2"/>
      <c r="R326" s="2"/>
      <c r="S326" s="2"/>
      <c r="T326" s="2" t="s">
        <v>6320</v>
      </c>
      <c r="U326" s="2" t="s">
        <v>6321</v>
      </c>
      <c r="V326" s="2" t="s">
        <v>6322</v>
      </c>
      <c r="W326" s="2" t="s">
        <v>6323</v>
      </c>
      <c r="X326" s="2" t="s">
        <v>6324</v>
      </c>
      <c r="Y326" s="2" t="s">
        <v>6325</v>
      </c>
      <c r="Z326" s="2" t="s">
        <v>6326</v>
      </c>
      <c r="AA326" s="2" t="s">
        <v>6327</v>
      </c>
      <c r="AB326" s="2" t="s">
        <v>6328</v>
      </c>
      <c r="AC326" s="2"/>
      <c r="AD326" s="2"/>
      <c r="AE326" s="2"/>
      <c r="AF326" s="2"/>
      <c r="AG326" s="2" t="n">
        <v>41</v>
      </c>
      <c r="AH326" s="2" t="n">
        <v>9</v>
      </c>
      <c r="AI326" s="2" t="n">
        <v>9</v>
      </c>
      <c r="AJ326" s="2" t="n">
        <v>2</v>
      </c>
      <c r="AK326" s="2" t="n">
        <v>9</v>
      </c>
      <c r="AL326" s="2" t="s">
        <v>3667</v>
      </c>
      <c r="AM326" s="2" t="s">
        <v>3668</v>
      </c>
      <c r="AN326" s="2" t="s">
        <v>3669</v>
      </c>
      <c r="AO326" s="2" t="s">
        <v>3670</v>
      </c>
      <c r="AP326" s="2"/>
      <c r="AQ326" s="2"/>
      <c r="AR326" s="2" t="s">
        <v>3671</v>
      </c>
      <c r="AS326" s="2" t="s">
        <v>3672</v>
      </c>
      <c r="AT326" s="2" t="s">
        <v>2882</v>
      </c>
      <c r="AU326" s="2" t="n">
        <v>2018</v>
      </c>
      <c r="AV326" s="2" t="n">
        <v>60</v>
      </c>
      <c r="AW326" s="2" t="n">
        <v>6</v>
      </c>
      <c r="AX326" s="2"/>
      <c r="AY326" s="2"/>
      <c r="AZ326" s="2"/>
      <c r="BA326" s="2"/>
      <c r="BB326" s="2" t="n">
        <v>642</v>
      </c>
      <c r="BC326" s="2" t="n">
        <v>652</v>
      </c>
      <c r="BD326" s="2"/>
      <c r="BE326" s="2" t="s">
        <v>6329</v>
      </c>
      <c r="BF326" s="2" t="str">
        <f aca="false">HYPERLINK("http://dx.doi.org/10.24953/turkjped.2018.06.004","http://dx.doi.org/10.24953/turkjped.2018.06.004")</f>
        <v>http://dx.doi.org/10.24953/turkjped.2018.06.004</v>
      </c>
      <c r="BG326" s="2"/>
      <c r="BH326" s="2"/>
      <c r="BI326" s="2" t="n">
        <v>11</v>
      </c>
      <c r="BJ326" s="2" t="s">
        <v>601</v>
      </c>
      <c r="BK326" s="2" t="s">
        <v>100</v>
      </c>
      <c r="BL326" s="2" t="s">
        <v>601</v>
      </c>
      <c r="BM326" s="2" t="s">
        <v>6330</v>
      </c>
      <c r="BN326" s="2" t="n">
        <v>31365200</v>
      </c>
      <c r="BO326" s="2" t="s">
        <v>656</v>
      </c>
      <c r="BP326" s="2"/>
      <c r="BQ326" s="2"/>
      <c r="BR326" s="2" t="s">
        <v>104</v>
      </c>
      <c r="BS326" s="2" t="s">
        <v>6331</v>
      </c>
      <c r="BT326" s="2" t="str">
        <f aca="false">HYPERLINK("https%3A%2F%2Fwww.webofscience.com%2Fwos%2Fwoscc%2Ffull-record%2FWOS:000476883700004","View Full Record in Web of Science")</f>
        <v>View Full Record in Web of Science</v>
      </c>
    </row>
    <row r="327" customFormat="false" ht="12.75" hidden="false" customHeight="false" outlineLevel="0" collapsed="false">
      <c r="A327" s="2" t="s">
        <v>72</v>
      </c>
      <c r="B327" s="2" t="s">
        <v>6332</v>
      </c>
      <c r="C327" s="2"/>
      <c r="D327" s="2"/>
      <c r="E327" s="2"/>
      <c r="F327" s="2" t="s">
        <v>6333</v>
      </c>
      <c r="G327" s="2"/>
      <c r="H327" s="2"/>
      <c r="I327" s="2" t="s">
        <v>6334</v>
      </c>
      <c r="J327" s="2" t="s">
        <v>3182</v>
      </c>
      <c r="K327" s="2"/>
      <c r="L327" s="2"/>
      <c r="M327" s="2" t="s">
        <v>77</v>
      </c>
      <c r="N327" s="2" t="s">
        <v>78</v>
      </c>
      <c r="O327" s="2"/>
      <c r="P327" s="2"/>
      <c r="Q327" s="2"/>
      <c r="R327" s="2"/>
      <c r="S327" s="2"/>
      <c r="T327" s="2" t="s">
        <v>6335</v>
      </c>
      <c r="U327" s="2" t="s">
        <v>6336</v>
      </c>
      <c r="V327" s="2" t="s">
        <v>6337</v>
      </c>
      <c r="W327" s="2" t="s">
        <v>6338</v>
      </c>
      <c r="X327" s="2" t="s">
        <v>6339</v>
      </c>
      <c r="Y327" s="2" t="s">
        <v>6340</v>
      </c>
      <c r="Z327" s="2" t="s">
        <v>6341</v>
      </c>
      <c r="AA327" s="2" t="s">
        <v>6342</v>
      </c>
      <c r="AB327" s="2" t="s">
        <v>6343</v>
      </c>
      <c r="AC327" s="2" t="s">
        <v>6344</v>
      </c>
      <c r="AD327" s="2" t="s">
        <v>6345</v>
      </c>
      <c r="AE327" s="2" t="s">
        <v>6346</v>
      </c>
      <c r="AF327" s="2"/>
      <c r="AG327" s="2" t="n">
        <v>35</v>
      </c>
      <c r="AH327" s="2" t="n">
        <v>16</v>
      </c>
      <c r="AI327" s="2" t="n">
        <v>18</v>
      </c>
      <c r="AJ327" s="2" t="n">
        <v>0</v>
      </c>
      <c r="AK327" s="2" t="n">
        <v>7</v>
      </c>
      <c r="AL327" s="2" t="s">
        <v>3192</v>
      </c>
      <c r="AM327" s="2" t="s">
        <v>2876</v>
      </c>
      <c r="AN327" s="2" t="s">
        <v>3193</v>
      </c>
      <c r="AO327" s="2" t="s">
        <v>3194</v>
      </c>
      <c r="AP327" s="2" t="s">
        <v>3195</v>
      </c>
      <c r="AQ327" s="2"/>
      <c r="AR327" s="2" t="s">
        <v>3196</v>
      </c>
      <c r="AS327" s="2" t="s">
        <v>3197</v>
      </c>
      <c r="AT327" s="2" t="s">
        <v>129</v>
      </c>
      <c r="AU327" s="2" t="n">
        <v>2014</v>
      </c>
      <c r="AV327" s="2" t="n">
        <v>109</v>
      </c>
      <c r="AW327" s="2" t="n">
        <v>6</v>
      </c>
      <c r="AX327" s="2"/>
      <c r="AY327" s="2"/>
      <c r="AZ327" s="2"/>
      <c r="BA327" s="2"/>
      <c r="BB327" s="2" t="n">
        <v>716</v>
      </c>
      <c r="BC327" s="2" t="n">
        <v>721</v>
      </c>
      <c r="BD327" s="2"/>
      <c r="BE327" s="2" t="s">
        <v>6347</v>
      </c>
      <c r="BF327" s="2" t="str">
        <f aca="false">HYPERLINK("http://dx.doi.org/10.1590/0074-0276140046","http://dx.doi.org/10.1590/0074-0276140046")</f>
        <v>http://dx.doi.org/10.1590/0074-0276140046</v>
      </c>
      <c r="BG327" s="2"/>
      <c r="BH327" s="2"/>
      <c r="BI327" s="2" t="n">
        <v>6</v>
      </c>
      <c r="BJ327" s="2" t="s">
        <v>3199</v>
      </c>
      <c r="BK327" s="2" t="s">
        <v>100</v>
      </c>
      <c r="BL327" s="2" t="s">
        <v>3199</v>
      </c>
      <c r="BM327" s="2" t="s">
        <v>6348</v>
      </c>
      <c r="BN327" s="2" t="n">
        <v>25317699</v>
      </c>
      <c r="BO327" s="2" t="s">
        <v>6349</v>
      </c>
      <c r="BP327" s="2"/>
      <c r="BQ327" s="2"/>
      <c r="BR327" s="2" t="s">
        <v>104</v>
      </c>
      <c r="BS327" s="2" t="s">
        <v>6350</v>
      </c>
      <c r="BT327" s="2" t="str">
        <f aca="false">HYPERLINK("https%3A%2F%2Fwww.webofscience.com%2Fwos%2Fwoscc%2Ffull-record%2FWOS:000343604100003","View Full Record in Web of Science")</f>
        <v>View Full Record in Web of Science</v>
      </c>
    </row>
    <row r="328" customFormat="false" ht="12.75" hidden="false" customHeight="false" outlineLevel="0" collapsed="false">
      <c r="A328" s="2" t="s">
        <v>72</v>
      </c>
      <c r="B328" s="2" t="s">
        <v>6351</v>
      </c>
      <c r="C328" s="2"/>
      <c r="D328" s="2"/>
      <c r="E328" s="2"/>
      <c r="F328" s="2" t="s">
        <v>6352</v>
      </c>
      <c r="G328" s="2"/>
      <c r="H328" s="2"/>
      <c r="I328" s="2" t="s">
        <v>6353</v>
      </c>
      <c r="J328" s="2" t="s">
        <v>6354</v>
      </c>
      <c r="K328" s="2"/>
      <c r="L328" s="2"/>
      <c r="M328" s="2" t="s">
        <v>77</v>
      </c>
      <c r="N328" s="2" t="s">
        <v>78</v>
      </c>
      <c r="O328" s="2"/>
      <c r="P328" s="2"/>
      <c r="Q328" s="2"/>
      <c r="R328" s="2"/>
      <c r="S328" s="2"/>
      <c r="T328" s="2" t="s">
        <v>6355</v>
      </c>
      <c r="U328" s="2" t="s">
        <v>6356</v>
      </c>
      <c r="V328" s="2" t="s">
        <v>6357</v>
      </c>
      <c r="W328" s="2" t="s">
        <v>6358</v>
      </c>
      <c r="X328" s="2" t="s">
        <v>6359</v>
      </c>
      <c r="Y328" s="2" t="s">
        <v>6360</v>
      </c>
      <c r="Z328" s="2" t="s">
        <v>6361</v>
      </c>
      <c r="AA328" s="2" t="s">
        <v>6362</v>
      </c>
      <c r="AB328" s="2" t="s">
        <v>6363</v>
      </c>
      <c r="AC328" s="2" t="s">
        <v>6364</v>
      </c>
      <c r="AD328" s="2" t="s">
        <v>6365</v>
      </c>
      <c r="AE328" s="2" t="s">
        <v>6366</v>
      </c>
      <c r="AF328" s="2"/>
      <c r="AG328" s="2" t="n">
        <v>26</v>
      </c>
      <c r="AH328" s="2" t="n">
        <v>29</v>
      </c>
      <c r="AI328" s="2" t="n">
        <v>33</v>
      </c>
      <c r="AJ328" s="2" t="n">
        <v>0</v>
      </c>
      <c r="AK328" s="2" t="n">
        <v>5</v>
      </c>
      <c r="AL328" s="2" t="s">
        <v>1565</v>
      </c>
      <c r="AM328" s="2" t="s">
        <v>1566</v>
      </c>
      <c r="AN328" s="2" t="s">
        <v>1567</v>
      </c>
      <c r="AO328" s="2" t="s">
        <v>6367</v>
      </c>
      <c r="AP328" s="2" t="s">
        <v>6368</v>
      </c>
      <c r="AQ328" s="2"/>
      <c r="AR328" s="2" t="s">
        <v>6369</v>
      </c>
      <c r="AS328" s="2" t="s">
        <v>6370</v>
      </c>
      <c r="AT328" s="2" t="s">
        <v>486</v>
      </c>
      <c r="AU328" s="2" t="n">
        <v>2011</v>
      </c>
      <c r="AV328" s="2" t="n">
        <v>50</v>
      </c>
      <c r="AW328" s="2" t="n">
        <v>6</v>
      </c>
      <c r="AX328" s="2"/>
      <c r="AY328" s="2"/>
      <c r="AZ328" s="2"/>
      <c r="BA328" s="2"/>
      <c r="BB328" s="2" t="n">
        <v>513</v>
      </c>
      <c r="BC328" s="2" t="n">
        <v>517</v>
      </c>
      <c r="BD328" s="2"/>
      <c r="BE328" s="2" t="s">
        <v>6371</v>
      </c>
      <c r="BF328" s="2" t="str">
        <f aca="false">HYPERLINK("http://dx.doi.org/10.1177/0009922810394834","http://dx.doi.org/10.1177/0009922810394834")</f>
        <v>http://dx.doi.org/10.1177/0009922810394834</v>
      </c>
      <c r="BG328" s="2"/>
      <c r="BH328" s="2"/>
      <c r="BI328" s="2" t="n">
        <v>5</v>
      </c>
      <c r="BJ328" s="2" t="s">
        <v>601</v>
      </c>
      <c r="BK328" s="2" t="s">
        <v>100</v>
      </c>
      <c r="BL328" s="2" t="s">
        <v>601</v>
      </c>
      <c r="BM328" s="2" t="s">
        <v>6372</v>
      </c>
      <c r="BN328" s="2" t="n">
        <v>21262758</v>
      </c>
      <c r="BO328" s="2" t="s">
        <v>695</v>
      </c>
      <c r="BP328" s="2"/>
      <c r="BQ328" s="2"/>
      <c r="BR328" s="2" t="s">
        <v>104</v>
      </c>
      <c r="BS328" s="2" t="s">
        <v>6373</v>
      </c>
      <c r="BT328" s="2" t="str">
        <f aca="false">HYPERLINK("https%3A%2F%2Fwww.webofscience.com%2Fwos%2Fwoscc%2Ffull-record%2FWOS:000290585800006","View Full Record in Web of Science")</f>
        <v>View Full Record in Web of Science</v>
      </c>
    </row>
    <row r="329" customFormat="false" ht="12.75" hidden="false" customHeight="false" outlineLevel="0" collapsed="false">
      <c r="A329" s="2" t="s">
        <v>72</v>
      </c>
      <c r="B329" s="2" t="s">
        <v>6374</v>
      </c>
      <c r="C329" s="2"/>
      <c r="D329" s="2"/>
      <c r="E329" s="2"/>
      <c r="F329" s="2" t="s">
        <v>6375</v>
      </c>
      <c r="G329" s="2"/>
      <c r="H329" s="2"/>
      <c r="I329" s="2" t="s">
        <v>6376</v>
      </c>
      <c r="J329" s="2" t="s">
        <v>3719</v>
      </c>
      <c r="K329" s="2"/>
      <c r="L329" s="2"/>
      <c r="M329" s="2" t="s">
        <v>77</v>
      </c>
      <c r="N329" s="2" t="s">
        <v>78</v>
      </c>
      <c r="O329" s="2"/>
      <c r="P329" s="2"/>
      <c r="Q329" s="2"/>
      <c r="R329" s="2"/>
      <c r="S329" s="2"/>
      <c r="T329" s="2" t="s">
        <v>6377</v>
      </c>
      <c r="U329" s="2" t="s">
        <v>6378</v>
      </c>
      <c r="V329" s="2" t="s">
        <v>6379</v>
      </c>
      <c r="W329" s="2" t="s">
        <v>6380</v>
      </c>
      <c r="X329" s="2" t="s">
        <v>6381</v>
      </c>
      <c r="Y329" s="2" t="s">
        <v>6382</v>
      </c>
      <c r="Z329" s="2" t="s">
        <v>6383</v>
      </c>
      <c r="AA329" s="2" t="s">
        <v>6384</v>
      </c>
      <c r="AB329" s="2" t="s">
        <v>6385</v>
      </c>
      <c r="AC329" s="2" t="s">
        <v>6386</v>
      </c>
      <c r="AD329" s="2" t="s">
        <v>6387</v>
      </c>
      <c r="AE329" s="2" t="s">
        <v>6388</v>
      </c>
      <c r="AF329" s="2"/>
      <c r="AG329" s="2" t="n">
        <v>41</v>
      </c>
      <c r="AH329" s="2" t="n">
        <v>26</v>
      </c>
      <c r="AI329" s="2" t="n">
        <v>30</v>
      </c>
      <c r="AJ329" s="2" t="n">
        <v>1</v>
      </c>
      <c r="AK329" s="2" t="n">
        <v>11</v>
      </c>
      <c r="AL329" s="2" t="s">
        <v>3584</v>
      </c>
      <c r="AM329" s="2" t="s">
        <v>303</v>
      </c>
      <c r="AN329" s="2" t="s">
        <v>3585</v>
      </c>
      <c r="AO329" s="2" t="s">
        <v>3732</v>
      </c>
      <c r="AP329" s="2" t="s">
        <v>4677</v>
      </c>
      <c r="AQ329" s="2"/>
      <c r="AR329" s="2" t="s">
        <v>3733</v>
      </c>
      <c r="AS329" s="2" t="s">
        <v>3734</v>
      </c>
      <c r="AT329" s="2" t="s">
        <v>97</v>
      </c>
      <c r="AU329" s="2" t="n">
        <v>2014</v>
      </c>
      <c r="AV329" s="2" t="n">
        <v>68</v>
      </c>
      <c r="AW329" s="2" t="n">
        <v>3</v>
      </c>
      <c r="AX329" s="2"/>
      <c r="AY329" s="2"/>
      <c r="AZ329" s="2"/>
      <c r="BA329" s="2"/>
      <c r="BB329" s="2" t="n">
        <v>281</v>
      </c>
      <c r="BC329" s="2" t="n">
        <v>289</v>
      </c>
      <c r="BD329" s="2"/>
      <c r="BE329" s="2" t="s">
        <v>6389</v>
      </c>
      <c r="BF329" s="2" t="str">
        <f aca="false">HYPERLINK("http://dx.doi.org/10.1016/j.jinf.2013.11.005","http://dx.doi.org/10.1016/j.jinf.2013.11.005")</f>
        <v>http://dx.doi.org/10.1016/j.jinf.2013.11.005</v>
      </c>
      <c r="BG329" s="2"/>
      <c r="BH329" s="2"/>
      <c r="BI329" s="2" t="n">
        <v>9</v>
      </c>
      <c r="BJ329" s="2" t="s">
        <v>575</v>
      </c>
      <c r="BK329" s="2" t="s">
        <v>100</v>
      </c>
      <c r="BL329" s="2" t="s">
        <v>575</v>
      </c>
      <c r="BM329" s="2" t="s">
        <v>6390</v>
      </c>
      <c r="BN329" s="2" t="n">
        <v>24269675</v>
      </c>
      <c r="BO329" s="2" t="s">
        <v>284</v>
      </c>
      <c r="BP329" s="2"/>
      <c r="BQ329" s="2"/>
      <c r="BR329" s="2" t="s">
        <v>104</v>
      </c>
      <c r="BS329" s="2" t="s">
        <v>6391</v>
      </c>
      <c r="BT329" s="2" t="str">
        <f aca="false">HYPERLINK("https%3A%2F%2Fwww.webofscience.com%2Fwos%2Fwoscc%2Ffull-record%2FWOS:000331712100010","View Full Record in Web of Science")</f>
        <v>View Full Record in Web of Science</v>
      </c>
    </row>
    <row r="330" customFormat="false" ht="12.75" hidden="false" customHeight="false" outlineLevel="0" collapsed="false">
      <c r="A330" s="2" t="s">
        <v>72</v>
      </c>
      <c r="B330" s="2" t="s">
        <v>6392</v>
      </c>
      <c r="C330" s="2"/>
      <c r="D330" s="2"/>
      <c r="E330" s="2"/>
      <c r="F330" s="2" t="s">
        <v>6393</v>
      </c>
      <c r="G330" s="2"/>
      <c r="H330" s="2"/>
      <c r="I330" s="2" t="s">
        <v>6394</v>
      </c>
      <c r="J330" s="2" t="s">
        <v>6395</v>
      </c>
      <c r="K330" s="2"/>
      <c r="L330" s="2"/>
      <c r="M330" s="2" t="s">
        <v>77</v>
      </c>
      <c r="N330" s="2" t="s">
        <v>78</v>
      </c>
      <c r="O330" s="2"/>
      <c r="P330" s="2"/>
      <c r="Q330" s="2"/>
      <c r="R330" s="2"/>
      <c r="S330" s="2"/>
      <c r="T330" s="2" t="s">
        <v>6396</v>
      </c>
      <c r="U330" s="2" t="s">
        <v>6397</v>
      </c>
      <c r="V330" s="2" t="s">
        <v>6398</v>
      </c>
      <c r="W330" s="2" t="s">
        <v>6399</v>
      </c>
      <c r="X330" s="2" t="s">
        <v>6400</v>
      </c>
      <c r="Y330" s="2" t="s">
        <v>6401</v>
      </c>
      <c r="Z330" s="2" t="s">
        <v>6402</v>
      </c>
      <c r="AA330" s="2" t="s">
        <v>6403</v>
      </c>
      <c r="AB330" s="2" t="s">
        <v>6404</v>
      </c>
      <c r="AC330" s="2"/>
      <c r="AD330" s="2"/>
      <c r="AE330" s="2"/>
      <c r="AF330" s="2"/>
      <c r="AG330" s="2" t="n">
        <v>106</v>
      </c>
      <c r="AH330" s="2" t="n">
        <v>2</v>
      </c>
      <c r="AI330" s="2" t="n">
        <v>2</v>
      </c>
      <c r="AJ330" s="2" t="n">
        <v>0</v>
      </c>
      <c r="AK330" s="2" t="n">
        <v>0</v>
      </c>
      <c r="AL330" s="2" t="s">
        <v>6405</v>
      </c>
      <c r="AM330" s="2" t="s">
        <v>6406</v>
      </c>
      <c r="AN330" s="2" t="s">
        <v>6407</v>
      </c>
      <c r="AO330" s="2" t="s">
        <v>6408</v>
      </c>
      <c r="AP330" s="2"/>
      <c r="AQ330" s="2"/>
      <c r="AR330" s="2" t="s">
        <v>6409</v>
      </c>
      <c r="AS330" s="2" t="s">
        <v>6410</v>
      </c>
      <c r="AT330" s="2" t="s">
        <v>6411</v>
      </c>
      <c r="AU330" s="2" t="n">
        <v>2024</v>
      </c>
      <c r="AV330" s="2" t="n">
        <v>14</v>
      </c>
      <c r="AW330" s="2" t="n">
        <v>1</v>
      </c>
      <c r="AX330" s="2"/>
      <c r="AY330" s="2"/>
      <c r="AZ330" s="2"/>
      <c r="BA330" s="2"/>
      <c r="BB330" s="2"/>
      <c r="BC330" s="2"/>
      <c r="BD330" s="2" t="n">
        <v>10431</v>
      </c>
      <c r="BE330" s="2" t="s">
        <v>6412</v>
      </c>
      <c r="BF330" s="2" t="str">
        <f aca="false">HYPERLINK("http://dx.doi.org/10.1038/s41598-024-61236-7","http://dx.doi.org/10.1038/s41598-024-61236-7")</f>
        <v>http://dx.doi.org/10.1038/s41598-024-61236-7</v>
      </c>
      <c r="BG330" s="2"/>
      <c r="BH330" s="2"/>
      <c r="BI330" s="2" t="n">
        <v>14</v>
      </c>
      <c r="BJ330" s="2" t="s">
        <v>1658</v>
      </c>
      <c r="BK330" s="2" t="s">
        <v>100</v>
      </c>
      <c r="BL330" s="2" t="s">
        <v>1659</v>
      </c>
      <c r="BM330" s="2" t="s">
        <v>6413</v>
      </c>
      <c r="BN330" s="2" t="n">
        <v>38714841</v>
      </c>
      <c r="BO330" s="2" t="s">
        <v>1355</v>
      </c>
      <c r="BP330" s="2"/>
      <c r="BQ330" s="2"/>
      <c r="BR330" s="2" t="s">
        <v>104</v>
      </c>
      <c r="BS330" s="2" t="s">
        <v>6414</v>
      </c>
      <c r="BT330" s="2" t="str">
        <f aca="false">HYPERLINK("https%3A%2F%2Fwww.webofscience.com%2Fwos%2Fwoscc%2Ffull-record%2FWOS:001215817800065","View Full Record in Web of Science")</f>
        <v>View Full Record in Web of Science</v>
      </c>
    </row>
    <row r="331" customFormat="false" ht="12.75" hidden="false" customHeight="false" outlineLevel="0" collapsed="false">
      <c r="A331" s="2" t="s">
        <v>72</v>
      </c>
      <c r="B331" s="2" t="s">
        <v>6415</v>
      </c>
      <c r="C331" s="2"/>
      <c r="D331" s="2"/>
      <c r="E331" s="2"/>
      <c r="F331" s="2" t="s">
        <v>6416</v>
      </c>
      <c r="G331" s="2"/>
      <c r="H331" s="2"/>
      <c r="I331" s="2" t="s">
        <v>6417</v>
      </c>
      <c r="J331" s="2" t="s">
        <v>370</v>
      </c>
      <c r="K331" s="2"/>
      <c r="L331" s="2"/>
      <c r="M331" s="2" t="s">
        <v>77</v>
      </c>
      <c r="N331" s="2" t="s">
        <v>78</v>
      </c>
      <c r="O331" s="2"/>
      <c r="P331" s="2"/>
      <c r="Q331" s="2"/>
      <c r="R331" s="2"/>
      <c r="S331" s="2"/>
      <c r="T331" s="2" t="s">
        <v>6418</v>
      </c>
      <c r="U331" s="2" t="s">
        <v>6419</v>
      </c>
      <c r="V331" s="2" t="s">
        <v>6420</v>
      </c>
      <c r="W331" s="2" t="s">
        <v>6421</v>
      </c>
      <c r="X331" s="2" t="s">
        <v>6422</v>
      </c>
      <c r="Y331" s="2" t="s">
        <v>6423</v>
      </c>
      <c r="Z331" s="2" t="s">
        <v>6424</v>
      </c>
      <c r="AA331" s="2" t="s">
        <v>4210</v>
      </c>
      <c r="AB331" s="2"/>
      <c r="AC331" s="2" t="s">
        <v>6425</v>
      </c>
      <c r="AD331" s="2" t="s">
        <v>6426</v>
      </c>
      <c r="AE331" s="2" t="s">
        <v>6427</v>
      </c>
      <c r="AF331" s="2"/>
      <c r="AG331" s="2" t="n">
        <v>24</v>
      </c>
      <c r="AH331" s="2" t="n">
        <v>94</v>
      </c>
      <c r="AI331" s="2" t="n">
        <v>104</v>
      </c>
      <c r="AJ331" s="2" t="n">
        <v>1</v>
      </c>
      <c r="AK331" s="2" t="n">
        <v>7</v>
      </c>
      <c r="AL331" s="2" t="s">
        <v>383</v>
      </c>
      <c r="AM331" s="2" t="s">
        <v>384</v>
      </c>
      <c r="AN331" s="2" t="s">
        <v>385</v>
      </c>
      <c r="AO331" s="2" t="s">
        <v>386</v>
      </c>
      <c r="AP331" s="2" t="s">
        <v>387</v>
      </c>
      <c r="AQ331" s="2"/>
      <c r="AR331" s="2" t="s">
        <v>388</v>
      </c>
      <c r="AS331" s="2" t="s">
        <v>389</v>
      </c>
      <c r="AT331" s="2" t="s">
        <v>129</v>
      </c>
      <c r="AU331" s="2" t="n">
        <v>2010</v>
      </c>
      <c r="AV331" s="2" t="n">
        <v>49</v>
      </c>
      <c r="AW331" s="2" t="n">
        <v>1</v>
      </c>
      <c r="AX331" s="2"/>
      <c r="AY331" s="2"/>
      <c r="AZ331" s="2"/>
      <c r="BA331" s="2"/>
      <c r="BB331" s="2" t="n">
        <v>16</v>
      </c>
      <c r="BC331" s="2" t="n">
        <v>20</v>
      </c>
      <c r="BD331" s="2"/>
      <c r="BE331" s="2" t="s">
        <v>6428</v>
      </c>
      <c r="BF331" s="2" t="str">
        <f aca="false">HYPERLINK("http://dx.doi.org/10.1016/j.jcv.2010.06.013","http://dx.doi.org/10.1016/j.jcv.2010.06.013")</f>
        <v>http://dx.doi.org/10.1016/j.jcv.2010.06.013</v>
      </c>
      <c r="BG331" s="2"/>
      <c r="BH331" s="2"/>
      <c r="BI331" s="2" t="n">
        <v>5</v>
      </c>
      <c r="BJ331" s="2" t="s">
        <v>163</v>
      </c>
      <c r="BK331" s="2" t="s">
        <v>100</v>
      </c>
      <c r="BL331" s="2" t="s">
        <v>163</v>
      </c>
      <c r="BM331" s="2" t="s">
        <v>6429</v>
      </c>
      <c r="BN331" s="2" t="n">
        <v>20650679</v>
      </c>
      <c r="BO331" s="2" t="s">
        <v>1227</v>
      </c>
      <c r="BP331" s="2"/>
      <c r="BQ331" s="2"/>
      <c r="BR331" s="2" t="s">
        <v>104</v>
      </c>
      <c r="BS331" s="2" t="s">
        <v>6430</v>
      </c>
      <c r="BT331" s="2" t="str">
        <f aca="false">HYPERLINK("https%3A%2F%2Fwww.webofscience.com%2Fwos%2Fwoscc%2Ffull-record%2FWOS:000280893900004","View Full Record in Web of Science")</f>
        <v>View Full Record in Web of Science</v>
      </c>
    </row>
    <row r="332" customFormat="false" ht="12.75" hidden="false" customHeight="false" outlineLevel="0" collapsed="false">
      <c r="A332" s="2" t="s">
        <v>72</v>
      </c>
      <c r="B332" s="2" t="s">
        <v>6431</v>
      </c>
      <c r="C332" s="2"/>
      <c r="D332" s="2"/>
      <c r="E332" s="2"/>
      <c r="F332" s="2" t="s">
        <v>6432</v>
      </c>
      <c r="G332" s="2"/>
      <c r="H332" s="2"/>
      <c r="I332" s="2" t="s">
        <v>6433</v>
      </c>
      <c r="J332" s="2" t="s">
        <v>2754</v>
      </c>
      <c r="K332" s="2"/>
      <c r="L332" s="2"/>
      <c r="M332" s="2" t="s">
        <v>77</v>
      </c>
      <c r="N332" s="2" t="s">
        <v>78</v>
      </c>
      <c r="O332" s="2"/>
      <c r="P332" s="2"/>
      <c r="Q332" s="2"/>
      <c r="R332" s="2"/>
      <c r="S332" s="2"/>
      <c r="T332" s="2" t="s">
        <v>6434</v>
      </c>
      <c r="U332" s="2" t="s">
        <v>6435</v>
      </c>
      <c r="V332" s="2" t="s">
        <v>6436</v>
      </c>
      <c r="W332" s="2" t="s">
        <v>6437</v>
      </c>
      <c r="X332" s="2" t="s">
        <v>6438</v>
      </c>
      <c r="Y332" s="2" t="s">
        <v>6439</v>
      </c>
      <c r="Z332" s="2" t="s">
        <v>6440</v>
      </c>
      <c r="AA332" s="2" t="s">
        <v>6441</v>
      </c>
      <c r="AB332" s="2" t="s">
        <v>6442</v>
      </c>
      <c r="AC332" s="2" t="s">
        <v>6443</v>
      </c>
      <c r="AD332" s="2" t="s">
        <v>6444</v>
      </c>
      <c r="AE332" s="2" t="s">
        <v>6445</v>
      </c>
      <c r="AF332" s="2"/>
      <c r="AG332" s="2" t="n">
        <v>36</v>
      </c>
      <c r="AH332" s="2" t="n">
        <v>14</v>
      </c>
      <c r="AI332" s="2" t="n">
        <v>15</v>
      </c>
      <c r="AJ332" s="2" t="n">
        <v>0</v>
      </c>
      <c r="AK332" s="2" t="n">
        <v>4</v>
      </c>
      <c r="AL332" s="2" t="s">
        <v>2763</v>
      </c>
      <c r="AM332" s="2" t="s">
        <v>2764</v>
      </c>
      <c r="AN332" s="2" t="s">
        <v>2765</v>
      </c>
      <c r="AO332" s="2" t="s">
        <v>2766</v>
      </c>
      <c r="AP332" s="2" t="s">
        <v>2767</v>
      </c>
      <c r="AQ332" s="2"/>
      <c r="AR332" s="2" t="s">
        <v>2768</v>
      </c>
      <c r="AS332" s="2" t="s">
        <v>2769</v>
      </c>
      <c r="AT332" s="2" t="s">
        <v>925</v>
      </c>
      <c r="AU332" s="2" t="n">
        <v>2015</v>
      </c>
      <c r="AV332" s="2" t="n">
        <v>19</v>
      </c>
      <c r="AW332" s="2" t="n">
        <v>1</v>
      </c>
      <c r="AX332" s="2"/>
      <c r="AY332" s="2"/>
      <c r="AZ332" s="2"/>
      <c r="BA332" s="2"/>
      <c r="BB332" s="2" t="n">
        <v>30</v>
      </c>
      <c r="BC332" s="2" t="n">
        <v>35</v>
      </c>
      <c r="BD332" s="2"/>
      <c r="BE332" s="2" t="s">
        <v>6446</v>
      </c>
      <c r="BF332" s="2" t="str">
        <f aca="false">HYPERLINK("http://dx.doi.org/10.1016/j.bjid.2014.08.005","http://dx.doi.org/10.1016/j.bjid.2014.08.005")</f>
        <v>http://dx.doi.org/10.1016/j.bjid.2014.08.005</v>
      </c>
      <c r="BG332" s="2"/>
      <c r="BH332" s="2"/>
      <c r="BI332" s="2" t="n">
        <v>6</v>
      </c>
      <c r="BJ332" s="2" t="s">
        <v>575</v>
      </c>
      <c r="BK332" s="2" t="s">
        <v>100</v>
      </c>
      <c r="BL332" s="2" t="s">
        <v>575</v>
      </c>
      <c r="BM332" s="2" t="s">
        <v>6447</v>
      </c>
      <c r="BN332" s="2" t="n">
        <v>25307684</v>
      </c>
      <c r="BO332" s="2" t="s">
        <v>103</v>
      </c>
      <c r="BP332" s="2"/>
      <c r="BQ332" s="2"/>
      <c r="BR332" s="2" t="s">
        <v>104</v>
      </c>
      <c r="BS332" s="2" t="s">
        <v>6448</v>
      </c>
      <c r="BT332" s="2" t="str">
        <f aca="false">HYPERLINK("https%3A%2F%2Fwww.webofscience.com%2Fwos%2Fwoscc%2Ffull-record%2FWOS:000352168700005","View Full Record in Web of Science")</f>
        <v>View Full Record in Web of Science</v>
      </c>
    </row>
    <row r="333" customFormat="false" ht="12.75" hidden="false" customHeight="false" outlineLevel="0" collapsed="false">
      <c r="A333" s="2" t="s">
        <v>72</v>
      </c>
      <c r="B333" s="2" t="s">
        <v>6449</v>
      </c>
      <c r="C333" s="2"/>
      <c r="D333" s="2"/>
      <c r="E333" s="2"/>
      <c r="F333" s="2" t="s">
        <v>6450</v>
      </c>
      <c r="G333" s="2"/>
      <c r="H333" s="2"/>
      <c r="I333" s="2" t="s">
        <v>6451</v>
      </c>
      <c r="J333" s="2" t="s">
        <v>6452</v>
      </c>
      <c r="K333" s="2"/>
      <c r="L333" s="2"/>
      <c r="M333" s="2" t="s">
        <v>77</v>
      </c>
      <c r="N333" s="2" t="s">
        <v>78</v>
      </c>
      <c r="O333" s="2"/>
      <c r="P333" s="2"/>
      <c r="Q333" s="2"/>
      <c r="R333" s="2"/>
      <c r="S333" s="2"/>
      <c r="T333" s="2" t="s">
        <v>6453</v>
      </c>
      <c r="U333" s="2" t="s">
        <v>6454</v>
      </c>
      <c r="V333" s="2" t="s">
        <v>6455</v>
      </c>
      <c r="W333" s="2" t="s">
        <v>6456</v>
      </c>
      <c r="X333" s="2" t="s">
        <v>6457</v>
      </c>
      <c r="Y333" s="2" t="s">
        <v>6458</v>
      </c>
      <c r="Z333" s="2" t="s">
        <v>6459</v>
      </c>
      <c r="AA333" s="2" t="s">
        <v>6460</v>
      </c>
      <c r="AB333" s="2" t="s">
        <v>6461</v>
      </c>
      <c r="AC333" s="2" t="s">
        <v>6462</v>
      </c>
      <c r="AD333" s="2" t="s">
        <v>6463</v>
      </c>
      <c r="AE333" s="2" t="s">
        <v>6464</v>
      </c>
      <c r="AF333" s="2"/>
      <c r="AG333" s="2" t="n">
        <v>62</v>
      </c>
      <c r="AH333" s="2" t="n">
        <v>10</v>
      </c>
      <c r="AI333" s="2" t="n">
        <v>12</v>
      </c>
      <c r="AJ333" s="2" t="n">
        <v>0</v>
      </c>
      <c r="AK333" s="2" t="n">
        <v>2</v>
      </c>
      <c r="AL333" s="2" t="s">
        <v>6465</v>
      </c>
      <c r="AM333" s="2" t="s">
        <v>6466</v>
      </c>
      <c r="AN333" s="2" t="s">
        <v>6467</v>
      </c>
      <c r="AO333" s="2" t="s">
        <v>6468</v>
      </c>
      <c r="AP333" s="2" t="s">
        <v>6469</v>
      </c>
      <c r="AQ333" s="2"/>
      <c r="AR333" s="2" t="s">
        <v>6470</v>
      </c>
      <c r="AS333" s="2" t="s">
        <v>6471</v>
      </c>
      <c r="AT333" s="2" t="s">
        <v>252</v>
      </c>
      <c r="AU333" s="2" t="n">
        <v>2012</v>
      </c>
      <c r="AV333" s="2" t="n">
        <v>54</v>
      </c>
      <c r="AW333" s="2" t="n">
        <v>5</v>
      </c>
      <c r="AX333" s="2"/>
      <c r="AY333" s="2"/>
      <c r="AZ333" s="2"/>
      <c r="BA333" s="2"/>
      <c r="BB333" s="2" t="n">
        <v>249</v>
      </c>
      <c r="BC333" s="2" t="n">
        <v>255</v>
      </c>
      <c r="BD333" s="2"/>
      <c r="BE333" s="2" t="s">
        <v>6472</v>
      </c>
      <c r="BF333" s="2" t="str">
        <f aca="false">HYPERLINK("http://dx.doi.org/10.1590/S0036-46652012000500003","http://dx.doi.org/10.1590/S0036-46652012000500003")</f>
        <v>http://dx.doi.org/10.1590/S0036-46652012000500003</v>
      </c>
      <c r="BG333" s="2"/>
      <c r="BH333" s="2"/>
      <c r="BI333" s="2" t="n">
        <v>7</v>
      </c>
      <c r="BJ333" s="2" t="s">
        <v>6473</v>
      </c>
      <c r="BK333" s="2" t="s">
        <v>100</v>
      </c>
      <c r="BL333" s="2" t="s">
        <v>6473</v>
      </c>
      <c r="BM333" s="2" t="s">
        <v>6474</v>
      </c>
      <c r="BN333" s="2" t="n">
        <v>22983287</v>
      </c>
      <c r="BO333" s="2" t="s">
        <v>3201</v>
      </c>
      <c r="BP333" s="2"/>
      <c r="BQ333" s="2"/>
      <c r="BR333" s="2" t="s">
        <v>104</v>
      </c>
      <c r="BS333" s="2" t="s">
        <v>6475</v>
      </c>
      <c r="BT333" s="2" t="str">
        <f aca="false">HYPERLINK("https%3A%2F%2Fwww.webofscience.com%2Fwos%2Fwoscc%2Ffull-record%2FWOS:000308756300003","View Full Record in Web of Science")</f>
        <v>View Full Record in Web of Science</v>
      </c>
    </row>
    <row r="334" customFormat="false" ht="12.75" hidden="false" customHeight="false" outlineLevel="0" collapsed="false">
      <c r="A334" s="2" t="s">
        <v>72</v>
      </c>
      <c r="B334" s="2" t="s">
        <v>6476</v>
      </c>
      <c r="C334" s="2"/>
      <c r="D334" s="2"/>
      <c r="E334" s="2"/>
      <c r="F334" s="2" t="s">
        <v>6477</v>
      </c>
      <c r="G334" s="2"/>
      <c r="H334" s="2"/>
      <c r="I334" s="2" t="s">
        <v>6478</v>
      </c>
      <c r="J334" s="2" t="s">
        <v>1232</v>
      </c>
      <c r="K334" s="2"/>
      <c r="L334" s="2"/>
      <c r="M334" s="2" t="s">
        <v>77</v>
      </c>
      <c r="N334" s="2" t="s">
        <v>78</v>
      </c>
      <c r="O334" s="2"/>
      <c r="P334" s="2"/>
      <c r="Q334" s="2"/>
      <c r="R334" s="2"/>
      <c r="S334" s="2"/>
      <c r="T334" s="2" t="s">
        <v>6479</v>
      </c>
      <c r="U334" s="2" t="s">
        <v>6480</v>
      </c>
      <c r="V334" s="2" t="s">
        <v>6481</v>
      </c>
      <c r="W334" s="2" t="s">
        <v>6482</v>
      </c>
      <c r="X334" s="2" t="s">
        <v>6483</v>
      </c>
      <c r="Y334" s="2" t="s">
        <v>6484</v>
      </c>
      <c r="Z334" s="2" t="s">
        <v>6485</v>
      </c>
      <c r="AA334" s="2"/>
      <c r="AB334" s="2"/>
      <c r="AC334" s="2" t="s">
        <v>6486</v>
      </c>
      <c r="AD334" s="2" t="s">
        <v>6486</v>
      </c>
      <c r="AE334" s="2" t="s">
        <v>6487</v>
      </c>
      <c r="AF334" s="2"/>
      <c r="AG334" s="2" t="n">
        <v>28</v>
      </c>
      <c r="AH334" s="2" t="n">
        <v>1</v>
      </c>
      <c r="AI334" s="2" t="n">
        <v>1</v>
      </c>
      <c r="AJ334" s="2" t="n">
        <v>0</v>
      </c>
      <c r="AK334" s="2" t="n">
        <v>0</v>
      </c>
      <c r="AL334" s="2" t="s">
        <v>1242</v>
      </c>
      <c r="AM334" s="2" t="s">
        <v>303</v>
      </c>
      <c r="AN334" s="2" t="s">
        <v>467</v>
      </c>
      <c r="AO334" s="2"/>
      <c r="AP334" s="2" t="s">
        <v>1243</v>
      </c>
      <c r="AQ334" s="2"/>
      <c r="AR334" s="2" t="s">
        <v>1244</v>
      </c>
      <c r="AS334" s="2" t="s">
        <v>1245</v>
      </c>
      <c r="AT334" s="2" t="s">
        <v>6488</v>
      </c>
      <c r="AU334" s="2" t="n">
        <v>2023</v>
      </c>
      <c r="AV334" s="2" t="n">
        <v>15</v>
      </c>
      <c r="AW334" s="2" t="n">
        <v>1</v>
      </c>
      <c r="AX334" s="2"/>
      <c r="AY334" s="2"/>
      <c r="AZ334" s="2"/>
      <c r="BA334" s="2"/>
      <c r="BB334" s="2"/>
      <c r="BC334" s="2"/>
      <c r="BD334" s="2" t="s">
        <v>6489</v>
      </c>
      <c r="BE334" s="2" t="s">
        <v>6490</v>
      </c>
      <c r="BF334" s="2" t="str">
        <f aca="false">HYPERLINK("http://dx.doi.org/10.7759/cureus.33314","http://dx.doi.org/10.7759/cureus.33314")</f>
        <v>http://dx.doi.org/10.7759/cureus.33314</v>
      </c>
      <c r="BG334" s="2"/>
      <c r="BH334" s="2"/>
      <c r="BI334" s="2" t="n">
        <v>6</v>
      </c>
      <c r="BJ334" s="2" t="s">
        <v>363</v>
      </c>
      <c r="BK334" s="2" t="s">
        <v>339</v>
      </c>
      <c r="BL334" s="2" t="s">
        <v>364</v>
      </c>
      <c r="BM334" s="2" t="s">
        <v>6491</v>
      </c>
      <c r="BN334" s="2" t="n">
        <v>36741670</v>
      </c>
      <c r="BO334" s="2" t="s">
        <v>190</v>
      </c>
      <c r="BP334" s="2"/>
      <c r="BQ334" s="2"/>
      <c r="BR334" s="2" t="s">
        <v>104</v>
      </c>
      <c r="BS334" s="2" t="s">
        <v>6492</v>
      </c>
      <c r="BT334" s="2" t="str">
        <f aca="false">HYPERLINK("https%3A%2F%2Fwww.webofscience.com%2Fwos%2Fwoscc%2Ffull-record%2FWOS:001119651800017","View Full Record in Web of Science")</f>
        <v>View Full Record in Web of Science</v>
      </c>
    </row>
    <row r="335" customFormat="false" ht="12.75" hidden="false" customHeight="false" outlineLevel="0" collapsed="false">
      <c r="A335" s="2" t="s">
        <v>72</v>
      </c>
      <c r="B335" s="2" t="s">
        <v>6493</v>
      </c>
      <c r="C335" s="2"/>
      <c r="D335" s="2"/>
      <c r="E335" s="2"/>
      <c r="F335" s="2" t="s">
        <v>6494</v>
      </c>
      <c r="G335" s="2"/>
      <c r="H335" s="2"/>
      <c r="I335" s="2" t="s">
        <v>6495</v>
      </c>
      <c r="J335" s="2" t="s">
        <v>1886</v>
      </c>
      <c r="K335" s="2"/>
      <c r="L335" s="2"/>
      <c r="M335" s="2" t="s">
        <v>77</v>
      </c>
      <c r="N335" s="2" t="s">
        <v>78</v>
      </c>
      <c r="O335" s="2"/>
      <c r="P335" s="2"/>
      <c r="Q335" s="2"/>
      <c r="R335" s="2"/>
      <c r="S335" s="2"/>
      <c r="T335" s="2" t="s">
        <v>6496</v>
      </c>
      <c r="U335" s="2" t="s">
        <v>6497</v>
      </c>
      <c r="V335" s="2" t="s">
        <v>6498</v>
      </c>
      <c r="W335" s="2" t="s">
        <v>6499</v>
      </c>
      <c r="X335" s="2" t="s">
        <v>6500</v>
      </c>
      <c r="Y335" s="2" t="s">
        <v>6501</v>
      </c>
      <c r="Z335" s="2" t="s">
        <v>6502</v>
      </c>
      <c r="AA335" s="2" t="s">
        <v>6503</v>
      </c>
      <c r="AB335" s="2" t="s">
        <v>6504</v>
      </c>
      <c r="AC335" s="2" t="s">
        <v>6505</v>
      </c>
      <c r="AD335" s="2" t="s">
        <v>6506</v>
      </c>
      <c r="AE335" s="2" t="s">
        <v>6507</v>
      </c>
      <c r="AF335" s="2"/>
      <c r="AG335" s="2" t="n">
        <v>44</v>
      </c>
      <c r="AH335" s="2" t="n">
        <v>3</v>
      </c>
      <c r="AI335" s="2" t="n">
        <v>3</v>
      </c>
      <c r="AJ335" s="2" t="n">
        <v>0</v>
      </c>
      <c r="AK335" s="2" t="n">
        <v>3</v>
      </c>
      <c r="AL335" s="2" t="s">
        <v>1896</v>
      </c>
      <c r="AM335" s="2" t="s">
        <v>92</v>
      </c>
      <c r="AN335" s="2" t="s">
        <v>1897</v>
      </c>
      <c r="AO335" s="2" t="s">
        <v>1898</v>
      </c>
      <c r="AP335" s="2" t="s">
        <v>1899</v>
      </c>
      <c r="AQ335" s="2"/>
      <c r="AR335" s="2" t="s">
        <v>1886</v>
      </c>
      <c r="AS335" s="2" t="s">
        <v>1900</v>
      </c>
      <c r="AT335" s="2" t="s">
        <v>336</v>
      </c>
      <c r="AU335" s="2" t="n">
        <v>2021</v>
      </c>
      <c r="AV335" s="2" t="n">
        <v>64</v>
      </c>
      <c r="AW335" s="2" t="n">
        <v>4</v>
      </c>
      <c r="AX335" s="2"/>
      <c r="AY335" s="2"/>
      <c r="AZ335" s="2"/>
      <c r="BA335" s="2"/>
      <c r="BB335" s="2" t="n">
        <v>194</v>
      </c>
      <c r="BC335" s="2" t="n">
        <v>202</v>
      </c>
      <c r="BD335" s="2"/>
      <c r="BE335" s="2" t="s">
        <v>6508</v>
      </c>
      <c r="BF335" s="2" t="str">
        <f aca="false">HYPERLINK("http://dx.doi.org/10.1159/000516821","http://dx.doi.org/10.1159/000516821")</f>
        <v>http://dx.doi.org/10.1159/000516821</v>
      </c>
      <c r="BG335" s="2"/>
      <c r="BH335" s="2" t="s">
        <v>1857</v>
      </c>
      <c r="BI335" s="2" t="n">
        <v>9</v>
      </c>
      <c r="BJ335" s="2" t="s">
        <v>163</v>
      </c>
      <c r="BK335" s="2" t="s">
        <v>100</v>
      </c>
      <c r="BL335" s="2" t="s">
        <v>163</v>
      </c>
      <c r="BM335" s="2" t="s">
        <v>6509</v>
      </c>
      <c r="BN335" s="2" t="n">
        <v>34304230</v>
      </c>
      <c r="BO335" s="2" t="s">
        <v>190</v>
      </c>
      <c r="BP335" s="2"/>
      <c r="BQ335" s="2"/>
      <c r="BR335" s="2" t="s">
        <v>104</v>
      </c>
      <c r="BS335" s="2" t="s">
        <v>6510</v>
      </c>
      <c r="BT335" s="2" t="str">
        <f aca="false">HYPERLINK("https%3A%2F%2Fwww.webofscience.com%2Fwos%2Fwoscc%2Ffull-record%2FWOS:000678757300001","View Full Record in Web of Science")</f>
        <v>View Full Record in Web of Science</v>
      </c>
    </row>
    <row r="336" customFormat="false" ht="12.75" hidden="false" customHeight="false" outlineLevel="0" collapsed="false">
      <c r="A336" s="2" t="s">
        <v>72</v>
      </c>
      <c r="B336" s="2" t="s">
        <v>6511</v>
      </c>
      <c r="C336" s="2"/>
      <c r="D336" s="2"/>
      <c r="E336" s="2"/>
      <c r="F336" s="2" t="s">
        <v>6512</v>
      </c>
      <c r="G336" s="2"/>
      <c r="H336" s="2"/>
      <c r="I336" s="2" t="s">
        <v>6513</v>
      </c>
      <c r="J336" s="2" t="s">
        <v>6514</v>
      </c>
      <c r="K336" s="2"/>
      <c r="L336" s="2"/>
      <c r="M336" s="2" t="s">
        <v>77</v>
      </c>
      <c r="N336" s="2" t="s">
        <v>78</v>
      </c>
      <c r="O336" s="2"/>
      <c r="P336" s="2"/>
      <c r="Q336" s="2"/>
      <c r="R336" s="2"/>
      <c r="S336" s="2"/>
      <c r="T336" s="2" t="s">
        <v>6515</v>
      </c>
      <c r="U336" s="2" t="s">
        <v>6516</v>
      </c>
      <c r="V336" s="2" t="s">
        <v>6517</v>
      </c>
      <c r="W336" s="2" t="s">
        <v>6518</v>
      </c>
      <c r="X336" s="2" t="s">
        <v>6519</v>
      </c>
      <c r="Y336" s="2" t="s">
        <v>6520</v>
      </c>
      <c r="Z336" s="2" t="s">
        <v>6521</v>
      </c>
      <c r="AA336" s="2"/>
      <c r="AB336" s="2" t="s">
        <v>6522</v>
      </c>
      <c r="AC336" s="2"/>
      <c r="AD336" s="2"/>
      <c r="AE336" s="2"/>
      <c r="AF336" s="2"/>
      <c r="AG336" s="2" t="n">
        <v>19</v>
      </c>
      <c r="AH336" s="2" t="n">
        <v>1</v>
      </c>
      <c r="AI336" s="2" t="n">
        <v>1</v>
      </c>
      <c r="AJ336" s="2" t="n">
        <v>1</v>
      </c>
      <c r="AK336" s="2" t="n">
        <v>6</v>
      </c>
      <c r="AL336" s="2" t="s">
        <v>919</v>
      </c>
      <c r="AM336" s="2" t="s">
        <v>593</v>
      </c>
      <c r="AN336" s="2" t="s">
        <v>920</v>
      </c>
      <c r="AO336" s="2" t="s">
        <v>6523</v>
      </c>
      <c r="AP336" s="2" t="s">
        <v>6524</v>
      </c>
      <c r="AQ336" s="2"/>
      <c r="AR336" s="2" t="s">
        <v>6525</v>
      </c>
      <c r="AS336" s="2" t="s">
        <v>6526</v>
      </c>
      <c r="AT336" s="2" t="s">
        <v>692</v>
      </c>
      <c r="AU336" s="2" t="n">
        <v>2023</v>
      </c>
      <c r="AV336" s="2" t="n">
        <v>51</v>
      </c>
      <c r="AW336" s="2" t="n">
        <v>4</v>
      </c>
      <c r="AX336" s="2"/>
      <c r="AY336" s="2"/>
      <c r="AZ336" s="2"/>
      <c r="BA336" s="2"/>
      <c r="BB336" s="2" t="n">
        <v>420</v>
      </c>
      <c r="BC336" s="2" t="n">
        <v>425</v>
      </c>
      <c r="BD336" s="2"/>
      <c r="BE336" s="2" t="s">
        <v>6527</v>
      </c>
      <c r="BF336" s="2" t="str">
        <f aca="false">HYPERLINK("http://dx.doi.org/10.1016/j.ajic.2022.07.016","http://dx.doi.org/10.1016/j.ajic.2022.07.016")</f>
        <v>http://dx.doi.org/10.1016/j.ajic.2022.07.016</v>
      </c>
      <c r="BG336" s="2"/>
      <c r="BH336" s="2" t="s">
        <v>5450</v>
      </c>
      <c r="BI336" s="2" t="n">
        <v>6</v>
      </c>
      <c r="BJ336" s="2" t="s">
        <v>2113</v>
      </c>
      <c r="BK336" s="2" t="s">
        <v>100</v>
      </c>
      <c r="BL336" s="2" t="s">
        <v>2113</v>
      </c>
      <c r="BM336" s="2" t="s">
        <v>6528</v>
      </c>
      <c r="BN336" s="2" t="n">
        <v>36031037</v>
      </c>
      <c r="BO336" s="2"/>
      <c r="BP336" s="2"/>
      <c r="BQ336" s="2"/>
      <c r="BR336" s="2" t="s">
        <v>104</v>
      </c>
      <c r="BS336" s="2" t="s">
        <v>6529</v>
      </c>
      <c r="BT336" s="2" t="str">
        <f aca="false">HYPERLINK("https%3A%2F%2Fwww.webofscience.com%2Fwos%2Fwoscc%2Ffull-record%2FWOS:000994295000001","View Full Record in Web of Science")</f>
        <v>View Full Record in Web of Science</v>
      </c>
    </row>
    <row r="337" customFormat="false" ht="12.75" hidden="false" customHeight="false" outlineLevel="0" collapsed="false">
      <c r="A337" s="2" t="s">
        <v>72</v>
      </c>
      <c r="B337" s="2" t="s">
        <v>6530</v>
      </c>
      <c r="C337" s="2"/>
      <c r="D337" s="2"/>
      <c r="E337" s="2"/>
      <c r="F337" s="2" t="s">
        <v>6531</v>
      </c>
      <c r="G337" s="2"/>
      <c r="H337" s="2"/>
      <c r="I337" s="2" t="s">
        <v>6532</v>
      </c>
      <c r="J337" s="2" t="s">
        <v>4895</v>
      </c>
      <c r="K337" s="2"/>
      <c r="L337" s="2"/>
      <c r="M337" s="2" t="s">
        <v>77</v>
      </c>
      <c r="N337" s="2" t="s">
        <v>78</v>
      </c>
      <c r="O337" s="2"/>
      <c r="P337" s="2"/>
      <c r="Q337" s="2"/>
      <c r="R337" s="2"/>
      <c r="S337" s="2"/>
      <c r="T337" s="2" t="s">
        <v>6533</v>
      </c>
      <c r="U337" s="2" t="s">
        <v>6534</v>
      </c>
      <c r="V337" s="2" t="s">
        <v>6535</v>
      </c>
      <c r="W337" s="2" t="s">
        <v>6536</v>
      </c>
      <c r="X337" s="2" t="s">
        <v>6537</v>
      </c>
      <c r="Y337" s="2" t="s">
        <v>6538</v>
      </c>
      <c r="Z337" s="2" t="s">
        <v>6539</v>
      </c>
      <c r="AA337" s="2" t="s">
        <v>6540</v>
      </c>
      <c r="AB337" s="2" t="s">
        <v>6541</v>
      </c>
      <c r="AC337" s="2"/>
      <c r="AD337" s="2"/>
      <c r="AE337" s="2"/>
      <c r="AF337" s="2"/>
      <c r="AG337" s="2" t="n">
        <v>74</v>
      </c>
      <c r="AH337" s="2" t="n">
        <v>9</v>
      </c>
      <c r="AI337" s="2" t="n">
        <v>10</v>
      </c>
      <c r="AJ337" s="2" t="n">
        <v>0</v>
      </c>
      <c r="AK337" s="2" t="n">
        <v>0</v>
      </c>
      <c r="AL337" s="2" t="s">
        <v>592</v>
      </c>
      <c r="AM337" s="2" t="s">
        <v>593</v>
      </c>
      <c r="AN337" s="2" t="s">
        <v>859</v>
      </c>
      <c r="AO337" s="2" t="s">
        <v>4905</v>
      </c>
      <c r="AP337" s="2" t="s">
        <v>4906</v>
      </c>
      <c r="AQ337" s="2"/>
      <c r="AR337" s="2" t="s">
        <v>4907</v>
      </c>
      <c r="AS337" s="2" t="s">
        <v>4908</v>
      </c>
      <c r="AT337" s="2" t="s">
        <v>185</v>
      </c>
      <c r="AU337" s="2" t="n">
        <v>2020</v>
      </c>
      <c r="AV337" s="2" t="n">
        <v>39</v>
      </c>
      <c r="AW337" s="2" t="n">
        <v>8</v>
      </c>
      <c r="AX337" s="2"/>
      <c r="AY337" s="2"/>
      <c r="AZ337" s="2"/>
      <c r="BA337" s="2"/>
      <c r="BB337" s="2" t="n">
        <v>1581</v>
      </c>
      <c r="BC337" s="2" t="n">
        <v>1592</v>
      </c>
      <c r="BD337" s="2"/>
      <c r="BE337" s="2" t="s">
        <v>6542</v>
      </c>
      <c r="BF337" s="2" t="str">
        <f aca="false">HYPERLINK("http://dx.doi.org/10.1007/s10096-020-03878-9","http://dx.doi.org/10.1007/s10096-020-03878-9")</f>
        <v>http://dx.doi.org/10.1007/s10096-020-03878-9</v>
      </c>
      <c r="BG337" s="2"/>
      <c r="BH337" s="2" t="s">
        <v>6543</v>
      </c>
      <c r="BI337" s="2" t="n">
        <v>12</v>
      </c>
      <c r="BJ337" s="2" t="s">
        <v>1467</v>
      </c>
      <c r="BK337" s="2" t="s">
        <v>100</v>
      </c>
      <c r="BL337" s="2" t="s">
        <v>1467</v>
      </c>
      <c r="BM337" s="2" t="s">
        <v>6544</v>
      </c>
      <c r="BN337" s="2" t="n">
        <v>32462500</v>
      </c>
      <c r="BO337" s="2" t="s">
        <v>284</v>
      </c>
      <c r="BP337" s="2"/>
      <c r="BQ337" s="2"/>
      <c r="BR337" s="2" t="s">
        <v>104</v>
      </c>
      <c r="BS337" s="2" t="s">
        <v>6545</v>
      </c>
      <c r="BT337" s="2" t="str">
        <f aca="false">HYPERLINK("https%3A%2F%2Fwww.webofscience.com%2Fwos%2Fwoscc%2Ffull-record%2FWOS:000535873200001","View Full Record in Web of Science")</f>
        <v>View Full Record in Web of Science</v>
      </c>
    </row>
    <row r="338" customFormat="false" ht="12.75" hidden="false" customHeight="false" outlineLevel="0" collapsed="false">
      <c r="A338" s="2" t="s">
        <v>72</v>
      </c>
      <c r="B338" s="2" t="s">
        <v>6546</v>
      </c>
      <c r="C338" s="2"/>
      <c r="D338" s="2"/>
      <c r="E338" s="2"/>
      <c r="F338" s="2" t="s">
        <v>6547</v>
      </c>
      <c r="G338" s="2"/>
      <c r="H338" s="2"/>
      <c r="I338" s="2" t="s">
        <v>6548</v>
      </c>
      <c r="J338" s="2" t="s">
        <v>6549</v>
      </c>
      <c r="K338" s="2"/>
      <c r="L338" s="2"/>
      <c r="M338" s="2" t="s">
        <v>77</v>
      </c>
      <c r="N338" s="2" t="s">
        <v>78</v>
      </c>
      <c r="O338" s="2"/>
      <c r="P338" s="2"/>
      <c r="Q338" s="2"/>
      <c r="R338" s="2"/>
      <c r="S338" s="2"/>
      <c r="T338" s="2" t="s">
        <v>6550</v>
      </c>
      <c r="U338" s="2" t="s">
        <v>6551</v>
      </c>
      <c r="V338" s="2" t="s">
        <v>6552</v>
      </c>
      <c r="W338" s="2" t="s">
        <v>6553</v>
      </c>
      <c r="X338" s="2" t="s">
        <v>6554</v>
      </c>
      <c r="Y338" s="2" t="s">
        <v>6555</v>
      </c>
      <c r="Z338" s="2" t="s">
        <v>6556</v>
      </c>
      <c r="AA338" s="2" t="s">
        <v>750</v>
      </c>
      <c r="AB338" s="2" t="s">
        <v>6557</v>
      </c>
      <c r="AC338" s="2" t="s">
        <v>6558</v>
      </c>
      <c r="AD338" s="2" t="s">
        <v>6559</v>
      </c>
      <c r="AE338" s="2" t="s">
        <v>6560</v>
      </c>
      <c r="AF338" s="2"/>
      <c r="AG338" s="2" t="n">
        <v>25</v>
      </c>
      <c r="AH338" s="2" t="n">
        <v>1</v>
      </c>
      <c r="AI338" s="2" t="n">
        <v>1</v>
      </c>
      <c r="AJ338" s="2" t="n">
        <v>0</v>
      </c>
      <c r="AK338" s="2" t="n">
        <v>3</v>
      </c>
      <c r="AL338" s="2" t="s">
        <v>755</v>
      </c>
      <c r="AM338" s="2" t="s">
        <v>273</v>
      </c>
      <c r="AN338" s="2" t="s">
        <v>756</v>
      </c>
      <c r="AO338" s="2"/>
      <c r="AP338" s="2" t="s">
        <v>6561</v>
      </c>
      <c r="AQ338" s="2"/>
      <c r="AR338" s="2" t="s">
        <v>6549</v>
      </c>
      <c r="AS338" s="2" t="s">
        <v>6562</v>
      </c>
      <c r="AT338" s="2" t="s">
        <v>6563</v>
      </c>
      <c r="AU338" s="2" t="n">
        <v>2024</v>
      </c>
      <c r="AV338" s="2" t="n">
        <v>9</v>
      </c>
      <c r="AW338" s="2" t="n">
        <v>1</v>
      </c>
      <c r="AX338" s="2"/>
      <c r="AY338" s="2"/>
      <c r="AZ338" s="2"/>
      <c r="BA338" s="2"/>
      <c r="BB338" s="2"/>
      <c r="BC338" s="2"/>
      <c r="BD338" s="2"/>
      <c r="BE338" s="2" t="s">
        <v>6564</v>
      </c>
      <c r="BF338" s="2" t="str">
        <f aca="false">HYPERLINK("http://dx.doi.org/10.1128/msphere.00570-23","http://dx.doi.org/10.1128/msphere.00570-23")</f>
        <v>http://dx.doi.org/10.1128/msphere.00570-23</v>
      </c>
      <c r="BG338" s="2"/>
      <c r="BH338" s="2" t="s">
        <v>964</v>
      </c>
      <c r="BI338" s="2" t="n">
        <v>7</v>
      </c>
      <c r="BJ338" s="2" t="s">
        <v>211</v>
      </c>
      <c r="BK338" s="2" t="s">
        <v>100</v>
      </c>
      <c r="BL338" s="2" t="s">
        <v>211</v>
      </c>
      <c r="BM338" s="2" t="s">
        <v>6565</v>
      </c>
      <c r="BN338" s="2" t="n">
        <v>38197640</v>
      </c>
      <c r="BO338" s="2" t="s">
        <v>103</v>
      </c>
      <c r="BP338" s="2"/>
      <c r="BQ338" s="2"/>
      <c r="BR338" s="2" t="s">
        <v>104</v>
      </c>
      <c r="BS338" s="2" t="s">
        <v>6566</v>
      </c>
      <c r="BT338" s="2" t="str">
        <f aca="false">HYPERLINK("https%3A%2F%2Fwww.webofscience.com%2Fwos%2Fwoscc%2Ffull-record%2FWOS:001139901500001","View Full Record in Web of Science")</f>
        <v>View Full Record in Web of Science</v>
      </c>
    </row>
    <row r="339" customFormat="false" ht="12.75" hidden="false" customHeight="false" outlineLevel="0" collapsed="false">
      <c r="A339" s="2" t="s">
        <v>72</v>
      </c>
      <c r="B339" s="2" t="s">
        <v>6567</v>
      </c>
      <c r="C339" s="2"/>
      <c r="D339" s="2"/>
      <c r="E339" s="2"/>
      <c r="F339" s="2" t="s">
        <v>6568</v>
      </c>
      <c r="G339" s="2"/>
      <c r="H339" s="2"/>
      <c r="I339" s="2" t="s">
        <v>6569</v>
      </c>
      <c r="J339" s="2" t="s">
        <v>6570</v>
      </c>
      <c r="K339" s="2"/>
      <c r="L339" s="2"/>
      <c r="M339" s="2" t="s">
        <v>77</v>
      </c>
      <c r="N339" s="2" t="s">
        <v>78</v>
      </c>
      <c r="O339" s="2"/>
      <c r="P339" s="2"/>
      <c r="Q339" s="2"/>
      <c r="R339" s="2"/>
      <c r="S339" s="2"/>
      <c r="T339" s="2" t="s">
        <v>6571</v>
      </c>
      <c r="U339" s="2" t="s">
        <v>6572</v>
      </c>
      <c r="V339" s="2" t="s">
        <v>6573</v>
      </c>
      <c r="W339" s="2" t="s">
        <v>6574</v>
      </c>
      <c r="X339" s="2" t="s">
        <v>6575</v>
      </c>
      <c r="Y339" s="2" t="s">
        <v>6576</v>
      </c>
      <c r="Z339" s="2" t="s">
        <v>6577</v>
      </c>
      <c r="AA339" s="2"/>
      <c r="AB339" s="2"/>
      <c r="AC339" s="2"/>
      <c r="AD339" s="2"/>
      <c r="AE339" s="2"/>
      <c r="AF339" s="2"/>
      <c r="AG339" s="2" t="n">
        <v>20</v>
      </c>
      <c r="AH339" s="2" t="n">
        <v>6</v>
      </c>
      <c r="AI339" s="2" t="n">
        <v>7</v>
      </c>
      <c r="AJ339" s="2" t="n">
        <v>0</v>
      </c>
      <c r="AK339" s="2" t="n">
        <v>8</v>
      </c>
      <c r="AL339" s="2" t="s">
        <v>6578</v>
      </c>
      <c r="AM339" s="2" t="s">
        <v>6579</v>
      </c>
      <c r="AN339" s="2" t="s">
        <v>6580</v>
      </c>
      <c r="AO339" s="2" t="s">
        <v>6581</v>
      </c>
      <c r="AP339" s="2"/>
      <c r="AQ339" s="2"/>
      <c r="AR339" s="2" t="s">
        <v>6582</v>
      </c>
      <c r="AS339" s="2" t="s">
        <v>6583</v>
      </c>
      <c r="AT339" s="2" t="s">
        <v>692</v>
      </c>
      <c r="AU339" s="2" t="n">
        <v>2015</v>
      </c>
      <c r="AV339" s="2" t="n">
        <v>63</v>
      </c>
      <c r="AW339" s="2" t="n">
        <v>2</v>
      </c>
      <c r="AX339" s="2"/>
      <c r="AY339" s="2"/>
      <c r="AZ339" s="2"/>
      <c r="BA339" s="2"/>
      <c r="BB339" s="2" t="n">
        <v>69</v>
      </c>
      <c r="BC339" s="2" t="n">
        <v>73</v>
      </c>
      <c r="BD339" s="2"/>
      <c r="BE339" s="2" t="s">
        <v>6584</v>
      </c>
      <c r="BF339" s="2" t="str">
        <f aca="false">HYPERLINK("http://dx.doi.org/10.1016/j.patbio.2014.12.003","http://dx.doi.org/10.1016/j.patbio.2014.12.003")</f>
        <v>http://dx.doi.org/10.1016/j.patbio.2014.12.003</v>
      </c>
      <c r="BG339" s="2"/>
      <c r="BH339" s="2"/>
      <c r="BI339" s="2" t="n">
        <v>5</v>
      </c>
      <c r="BJ339" s="2" t="s">
        <v>6585</v>
      </c>
      <c r="BK339" s="2" t="s">
        <v>100</v>
      </c>
      <c r="BL339" s="2" t="s">
        <v>6585</v>
      </c>
      <c r="BM339" s="2" t="s">
        <v>6586</v>
      </c>
      <c r="BN339" s="2" t="n">
        <v>25596173</v>
      </c>
      <c r="BO339" s="2" t="s">
        <v>1089</v>
      </c>
      <c r="BP339" s="2"/>
      <c r="BQ339" s="2"/>
      <c r="BR339" s="2" t="s">
        <v>104</v>
      </c>
      <c r="BS339" s="2" t="s">
        <v>6587</v>
      </c>
      <c r="BT339" s="2" t="str">
        <f aca="false">HYPERLINK("https%3A%2F%2Fwww.webofscience.com%2Fwos%2Fwoscc%2Ffull-record%2FWOS:000354144500002","View Full Record in Web of Science")</f>
        <v>View Full Record in Web of Science</v>
      </c>
    </row>
    <row r="340" customFormat="false" ht="12.75" hidden="false" customHeight="false" outlineLevel="0" collapsed="false">
      <c r="A340" s="2" t="s">
        <v>72</v>
      </c>
      <c r="B340" s="2" t="s">
        <v>6588</v>
      </c>
      <c r="C340" s="2"/>
      <c r="D340" s="2"/>
      <c r="E340" s="2"/>
      <c r="F340" s="2" t="s">
        <v>6589</v>
      </c>
      <c r="G340" s="2"/>
      <c r="H340" s="2"/>
      <c r="I340" s="2" t="s">
        <v>6590</v>
      </c>
      <c r="J340" s="2" t="s">
        <v>109</v>
      </c>
      <c r="K340" s="2"/>
      <c r="L340" s="2"/>
      <c r="M340" s="2" t="s">
        <v>77</v>
      </c>
      <c r="N340" s="2" t="s">
        <v>78</v>
      </c>
      <c r="O340" s="2"/>
      <c r="P340" s="2"/>
      <c r="Q340" s="2"/>
      <c r="R340" s="2"/>
      <c r="S340" s="2"/>
      <c r="T340" s="2" t="s">
        <v>6591</v>
      </c>
      <c r="U340" s="2" t="s">
        <v>6592</v>
      </c>
      <c r="V340" s="2" t="s">
        <v>6593</v>
      </c>
      <c r="W340" s="2" t="s">
        <v>6594</v>
      </c>
      <c r="X340" s="2" t="s">
        <v>6595</v>
      </c>
      <c r="Y340" s="2" t="s">
        <v>6596</v>
      </c>
      <c r="Z340" s="2" t="s">
        <v>6597</v>
      </c>
      <c r="AA340" s="2" t="s">
        <v>6598</v>
      </c>
      <c r="AB340" s="2" t="s">
        <v>6599</v>
      </c>
      <c r="AC340" s="2" t="s">
        <v>6600</v>
      </c>
      <c r="AD340" s="2" t="s">
        <v>6601</v>
      </c>
      <c r="AE340" s="2" t="s">
        <v>6602</v>
      </c>
      <c r="AF340" s="2"/>
      <c r="AG340" s="2" t="n">
        <v>52</v>
      </c>
      <c r="AH340" s="2" t="n">
        <v>26</v>
      </c>
      <c r="AI340" s="2" t="n">
        <v>27</v>
      </c>
      <c r="AJ340" s="2" t="n">
        <v>0</v>
      </c>
      <c r="AK340" s="2" t="n">
        <v>4</v>
      </c>
      <c r="AL340" s="2" t="s">
        <v>122</v>
      </c>
      <c r="AM340" s="2" t="s">
        <v>123</v>
      </c>
      <c r="AN340" s="2" t="s">
        <v>839</v>
      </c>
      <c r="AO340" s="2" t="s">
        <v>125</v>
      </c>
      <c r="AP340" s="2" t="s">
        <v>126</v>
      </c>
      <c r="AQ340" s="2"/>
      <c r="AR340" s="2" t="s">
        <v>127</v>
      </c>
      <c r="AS340" s="2" t="s">
        <v>128</v>
      </c>
      <c r="AT340" s="2" t="s">
        <v>185</v>
      </c>
      <c r="AU340" s="2" t="n">
        <v>2013</v>
      </c>
      <c r="AV340" s="2" t="n">
        <v>32</v>
      </c>
      <c r="AW340" s="2" t="n">
        <v>8</v>
      </c>
      <c r="AX340" s="2"/>
      <c r="AY340" s="2"/>
      <c r="AZ340" s="2"/>
      <c r="BA340" s="2"/>
      <c r="BB340" s="2" t="n">
        <v>827</v>
      </c>
      <c r="BC340" s="2" t="n">
        <v>833</v>
      </c>
      <c r="BD340" s="2"/>
      <c r="BE340" s="2" t="s">
        <v>6603</v>
      </c>
      <c r="BF340" s="2" t="str">
        <f aca="false">HYPERLINK("http://dx.doi.org/10.1097/INF.0b013e318290620e","http://dx.doi.org/10.1097/INF.0b013e318290620e")</f>
        <v>http://dx.doi.org/10.1097/INF.0b013e318290620e</v>
      </c>
      <c r="BG340" s="2"/>
      <c r="BH340" s="2"/>
      <c r="BI340" s="2" t="n">
        <v>7</v>
      </c>
      <c r="BJ340" s="2" t="s">
        <v>134</v>
      </c>
      <c r="BK340" s="2" t="s">
        <v>100</v>
      </c>
      <c r="BL340" s="2" t="s">
        <v>134</v>
      </c>
      <c r="BM340" s="2" t="s">
        <v>6604</v>
      </c>
      <c r="BN340" s="2" t="n">
        <v>23584579</v>
      </c>
      <c r="BO340" s="2"/>
      <c r="BP340" s="2"/>
      <c r="BQ340" s="2"/>
      <c r="BR340" s="2" t="s">
        <v>104</v>
      </c>
      <c r="BS340" s="2" t="s">
        <v>6605</v>
      </c>
      <c r="BT340" s="2" t="str">
        <f aca="false">HYPERLINK("https%3A%2F%2Fwww.webofscience.com%2Fwos%2Fwoscc%2Ffull-record%2FWOS:000330524100010","View Full Record in Web of Science")</f>
        <v>View Full Record in Web of Science</v>
      </c>
    </row>
    <row r="341" customFormat="false" ht="12.75" hidden="false" customHeight="false" outlineLevel="0" collapsed="false">
      <c r="A341" s="2" t="s">
        <v>72</v>
      </c>
      <c r="B341" s="2" t="s">
        <v>6606</v>
      </c>
      <c r="C341" s="2"/>
      <c r="D341" s="2"/>
      <c r="E341" s="2"/>
      <c r="F341" s="2" t="s">
        <v>6607</v>
      </c>
      <c r="G341" s="2"/>
      <c r="H341" s="2"/>
      <c r="I341" s="2" t="s">
        <v>6608</v>
      </c>
      <c r="J341" s="2" t="s">
        <v>742</v>
      </c>
      <c r="K341" s="2"/>
      <c r="L341" s="2"/>
      <c r="M341" s="2" t="s">
        <v>77</v>
      </c>
      <c r="N341" s="2" t="s">
        <v>78</v>
      </c>
      <c r="O341" s="2"/>
      <c r="P341" s="2"/>
      <c r="Q341" s="2"/>
      <c r="R341" s="2"/>
      <c r="S341" s="2"/>
      <c r="T341" s="2" t="s">
        <v>6609</v>
      </c>
      <c r="U341" s="2" t="s">
        <v>6610</v>
      </c>
      <c r="V341" s="2" t="s">
        <v>6611</v>
      </c>
      <c r="W341" s="2" t="s">
        <v>6612</v>
      </c>
      <c r="X341" s="2" t="s">
        <v>6613</v>
      </c>
      <c r="Y341" s="2" t="s">
        <v>6614</v>
      </c>
      <c r="Z341" s="2" t="s">
        <v>6615</v>
      </c>
      <c r="AA341" s="2" t="s">
        <v>6616</v>
      </c>
      <c r="AB341" s="2" t="s">
        <v>6617</v>
      </c>
      <c r="AC341" s="2" t="s">
        <v>6618</v>
      </c>
      <c r="AD341" s="2" t="s">
        <v>6618</v>
      </c>
      <c r="AE341" s="2" t="s">
        <v>6619</v>
      </c>
      <c r="AF341" s="2"/>
      <c r="AG341" s="2" t="n">
        <v>69</v>
      </c>
      <c r="AH341" s="2" t="n">
        <v>46</v>
      </c>
      <c r="AI341" s="2" t="n">
        <v>55</v>
      </c>
      <c r="AJ341" s="2" t="n">
        <v>0</v>
      </c>
      <c r="AK341" s="2" t="n">
        <v>15</v>
      </c>
      <c r="AL341" s="2" t="s">
        <v>755</v>
      </c>
      <c r="AM341" s="2" t="s">
        <v>273</v>
      </c>
      <c r="AN341" s="2" t="s">
        <v>756</v>
      </c>
      <c r="AO341" s="2" t="s">
        <v>757</v>
      </c>
      <c r="AP341" s="2" t="s">
        <v>758</v>
      </c>
      <c r="AQ341" s="2"/>
      <c r="AR341" s="2" t="s">
        <v>759</v>
      </c>
      <c r="AS341" s="2" t="s">
        <v>760</v>
      </c>
      <c r="AT341" s="2" t="s">
        <v>185</v>
      </c>
      <c r="AU341" s="2" t="n">
        <v>2018</v>
      </c>
      <c r="AV341" s="2" t="n">
        <v>92</v>
      </c>
      <c r="AW341" s="2" t="n">
        <v>15</v>
      </c>
      <c r="AX341" s="2"/>
      <c r="AY341" s="2"/>
      <c r="AZ341" s="2"/>
      <c r="BA341" s="2"/>
      <c r="BB341" s="2"/>
      <c r="BC341" s="2"/>
      <c r="BD341" s="2" t="s">
        <v>6620</v>
      </c>
      <c r="BE341" s="2" t="s">
        <v>6621</v>
      </c>
      <c r="BF341" s="2" t="str">
        <f aca="false">HYPERLINK("http://dx.doi.org/10.1128/JVI.02202-17","http://dx.doi.org/10.1128/JVI.02202-17")</f>
        <v>http://dx.doi.org/10.1128/JVI.02202-17</v>
      </c>
      <c r="BG341" s="2"/>
      <c r="BH341" s="2"/>
      <c r="BI341" s="2" t="n">
        <v>21</v>
      </c>
      <c r="BJ341" s="2" t="s">
        <v>163</v>
      </c>
      <c r="BK341" s="2" t="s">
        <v>100</v>
      </c>
      <c r="BL341" s="2" t="s">
        <v>163</v>
      </c>
      <c r="BM341" s="2" t="s">
        <v>6622</v>
      </c>
      <c r="BN341" s="2" t="n">
        <v>29769339</v>
      </c>
      <c r="BO341" s="2" t="s">
        <v>1267</v>
      </c>
      <c r="BP341" s="2"/>
      <c r="BQ341" s="2"/>
      <c r="BR341" s="2" t="s">
        <v>104</v>
      </c>
      <c r="BS341" s="2" t="s">
        <v>6623</v>
      </c>
      <c r="BT341" s="2" t="str">
        <f aca="false">HYPERLINK("https%3A%2F%2Fwww.webofscience.com%2Fwos%2Fwoscc%2Ffull-record%2FWOS:000438967900040","View Full Record in Web of Science")</f>
        <v>View Full Record in Web of Science</v>
      </c>
    </row>
    <row r="342" customFormat="false" ht="12.75" hidden="false" customHeight="false" outlineLevel="0" collapsed="false">
      <c r="A342" s="2" t="s">
        <v>72</v>
      </c>
      <c r="B342" s="2" t="s">
        <v>6624</v>
      </c>
      <c r="C342" s="2"/>
      <c r="D342" s="2"/>
      <c r="E342" s="2"/>
      <c r="F342" s="2" t="s">
        <v>6625</v>
      </c>
      <c r="G342" s="2"/>
      <c r="H342" s="2"/>
      <c r="I342" s="2" t="s">
        <v>6626</v>
      </c>
      <c r="J342" s="2" t="s">
        <v>1232</v>
      </c>
      <c r="K342" s="2"/>
      <c r="L342" s="2"/>
      <c r="M342" s="2" t="s">
        <v>77</v>
      </c>
      <c r="N342" s="2" t="s">
        <v>78</v>
      </c>
      <c r="O342" s="2"/>
      <c r="P342" s="2"/>
      <c r="Q342" s="2"/>
      <c r="R342" s="2"/>
      <c r="S342" s="2"/>
      <c r="T342" s="2" t="s">
        <v>6627</v>
      </c>
      <c r="U342" s="2" t="s">
        <v>6628</v>
      </c>
      <c r="V342" s="2" t="s">
        <v>6629</v>
      </c>
      <c r="W342" s="2" t="s">
        <v>6630</v>
      </c>
      <c r="X342" s="2" t="s">
        <v>6631</v>
      </c>
      <c r="Y342" s="2" t="s">
        <v>6632</v>
      </c>
      <c r="Z342" s="2" t="s">
        <v>6633</v>
      </c>
      <c r="AA342" s="2"/>
      <c r="AB342" s="2"/>
      <c r="AC342" s="2"/>
      <c r="AD342" s="2"/>
      <c r="AE342" s="2" t="s">
        <v>6634</v>
      </c>
      <c r="AF342" s="2"/>
      <c r="AG342" s="2" t="n">
        <v>28</v>
      </c>
      <c r="AH342" s="2" t="n">
        <v>0</v>
      </c>
      <c r="AI342" s="2" t="n">
        <v>0</v>
      </c>
      <c r="AJ342" s="2" t="n">
        <v>0</v>
      </c>
      <c r="AK342" s="2" t="n">
        <v>0</v>
      </c>
      <c r="AL342" s="2" t="s">
        <v>1242</v>
      </c>
      <c r="AM342" s="2" t="s">
        <v>303</v>
      </c>
      <c r="AN342" s="2" t="s">
        <v>467</v>
      </c>
      <c r="AO342" s="2"/>
      <c r="AP342" s="2" t="s">
        <v>1243</v>
      </c>
      <c r="AQ342" s="2"/>
      <c r="AR342" s="2" t="s">
        <v>1244</v>
      </c>
      <c r="AS342" s="2" t="s">
        <v>1245</v>
      </c>
      <c r="AT342" s="2" t="s">
        <v>6635</v>
      </c>
      <c r="AU342" s="2" t="n">
        <v>2024</v>
      </c>
      <c r="AV342" s="2" t="n">
        <v>16</v>
      </c>
      <c r="AW342" s="2" t="n">
        <v>7</v>
      </c>
      <c r="AX342" s="2"/>
      <c r="AY342" s="2"/>
      <c r="AZ342" s="2"/>
      <c r="BA342" s="2"/>
      <c r="BB342" s="2"/>
      <c r="BC342" s="2"/>
      <c r="BD342" s="2" t="s">
        <v>6636</v>
      </c>
      <c r="BE342" s="2" t="s">
        <v>6637</v>
      </c>
      <c r="BF342" s="2" t="str">
        <f aca="false">HYPERLINK("http://dx.doi.org/10.7759/cureus.65779","http://dx.doi.org/10.7759/cureus.65779")</f>
        <v>http://dx.doi.org/10.7759/cureus.65779</v>
      </c>
      <c r="BG342" s="2"/>
      <c r="BH342" s="2"/>
      <c r="BI342" s="2" t="n">
        <v>10</v>
      </c>
      <c r="BJ342" s="2" t="s">
        <v>363</v>
      </c>
      <c r="BK342" s="2" t="s">
        <v>339</v>
      </c>
      <c r="BL342" s="2" t="s">
        <v>364</v>
      </c>
      <c r="BM342" s="2" t="s">
        <v>6638</v>
      </c>
      <c r="BN342" s="2" t="n">
        <v>39211664</v>
      </c>
      <c r="BO342" s="2" t="s">
        <v>103</v>
      </c>
      <c r="BP342" s="2"/>
      <c r="BQ342" s="2"/>
      <c r="BR342" s="2" t="s">
        <v>104</v>
      </c>
      <c r="BS342" s="2" t="s">
        <v>6639</v>
      </c>
      <c r="BT342" s="2" t="str">
        <f aca="false">HYPERLINK("https%3A%2F%2Fwww.webofscience.com%2Fwos%2Fwoscc%2Ffull-record%2FWOS:001283058000020","View Full Record in Web of Science")</f>
        <v>View Full Record in Web of Science</v>
      </c>
    </row>
    <row r="343" customFormat="false" ht="12.75" hidden="false" customHeight="false" outlineLevel="0" collapsed="false">
      <c r="A343" s="2" t="s">
        <v>72</v>
      </c>
      <c r="B343" s="2" t="s">
        <v>6640</v>
      </c>
      <c r="C343" s="2"/>
      <c r="D343" s="2"/>
      <c r="E343" s="2"/>
      <c r="F343" s="2" t="s">
        <v>6641</v>
      </c>
      <c r="G343" s="2"/>
      <c r="H343" s="2"/>
      <c r="I343" s="2" t="s">
        <v>6642</v>
      </c>
      <c r="J343" s="2" t="s">
        <v>6643</v>
      </c>
      <c r="K343" s="2"/>
      <c r="L343" s="2"/>
      <c r="M343" s="2" t="s">
        <v>77</v>
      </c>
      <c r="N343" s="2" t="s">
        <v>78</v>
      </c>
      <c r="O343" s="2"/>
      <c r="P343" s="2"/>
      <c r="Q343" s="2"/>
      <c r="R343" s="2"/>
      <c r="S343" s="2"/>
      <c r="T343" s="2" t="s">
        <v>6644</v>
      </c>
      <c r="U343" s="2" t="s">
        <v>6645</v>
      </c>
      <c r="V343" s="2" t="s">
        <v>6646</v>
      </c>
      <c r="W343" s="2" t="s">
        <v>6647</v>
      </c>
      <c r="X343" s="2" t="s">
        <v>6648</v>
      </c>
      <c r="Y343" s="2" t="s">
        <v>6649</v>
      </c>
      <c r="Z343" s="2" t="s">
        <v>6650</v>
      </c>
      <c r="AA343" s="2" t="s">
        <v>6651</v>
      </c>
      <c r="AB343" s="2" t="s">
        <v>6652</v>
      </c>
      <c r="AC343" s="2" t="s">
        <v>6653</v>
      </c>
      <c r="AD343" s="2" t="s">
        <v>6654</v>
      </c>
      <c r="AE343" s="2" t="s">
        <v>6655</v>
      </c>
      <c r="AF343" s="2"/>
      <c r="AG343" s="2" t="n">
        <v>54</v>
      </c>
      <c r="AH343" s="2" t="n">
        <v>37</v>
      </c>
      <c r="AI343" s="2" t="n">
        <v>42</v>
      </c>
      <c r="AJ343" s="2" t="n">
        <v>0</v>
      </c>
      <c r="AK343" s="2" t="n">
        <v>23</v>
      </c>
      <c r="AL343" s="2" t="s">
        <v>592</v>
      </c>
      <c r="AM343" s="2" t="s">
        <v>593</v>
      </c>
      <c r="AN343" s="2" t="s">
        <v>859</v>
      </c>
      <c r="AO343" s="2" t="s">
        <v>6656</v>
      </c>
      <c r="AP343" s="2" t="s">
        <v>6657</v>
      </c>
      <c r="AQ343" s="2"/>
      <c r="AR343" s="2" t="s">
        <v>6643</v>
      </c>
      <c r="AS343" s="2" t="s">
        <v>6658</v>
      </c>
      <c r="AT343" s="2" t="s">
        <v>129</v>
      </c>
      <c r="AU343" s="2" t="n">
        <v>2016</v>
      </c>
      <c r="AV343" s="2" t="n">
        <v>13</v>
      </c>
      <c r="AW343" s="2" t="n">
        <v>3</v>
      </c>
      <c r="AX343" s="2"/>
      <c r="AY343" s="2"/>
      <c r="AZ343" s="2"/>
      <c r="BA343" s="2"/>
      <c r="BB343" s="2" t="n">
        <v>499</v>
      </c>
      <c r="BC343" s="2" t="n">
        <v>510</v>
      </c>
      <c r="BD343" s="2"/>
      <c r="BE343" s="2" t="s">
        <v>6659</v>
      </c>
      <c r="BF343" s="2" t="str">
        <f aca="false">HYPERLINK("http://dx.doi.org/10.1007/s10393-016-1144-6","http://dx.doi.org/10.1007/s10393-016-1144-6")</f>
        <v>http://dx.doi.org/10.1007/s10393-016-1144-6</v>
      </c>
      <c r="BG343" s="2"/>
      <c r="BH343" s="2"/>
      <c r="BI343" s="2" t="n">
        <v>12</v>
      </c>
      <c r="BJ343" s="2" t="s">
        <v>6660</v>
      </c>
      <c r="BK343" s="2" t="s">
        <v>100</v>
      </c>
      <c r="BL343" s="2" t="s">
        <v>6661</v>
      </c>
      <c r="BM343" s="2" t="s">
        <v>6662</v>
      </c>
      <c r="BN343" s="2" t="n">
        <v>27436109</v>
      </c>
      <c r="BO343" s="2" t="s">
        <v>165</v>
      </c>
      <c r="BP343" s="2"/>
      <c r="BQ343" s="2"/>
      <c r="BR343" s="2" t="s">
        <v>104</v>
      </c>
      <c r="BS343" s="2" t="s">
        <v>6663</v>
      </c>
      <c r="BT343" s="2" t="str">
        <f aca="false">HYPERLINK("https%3A%2F%2Fwww.webofscience.com%2Fwos%2Fwoscc%2Ffull-record%2FWOS:000386363400009","View Full Record in Web of Science")</f>
        <v>View Full Record in Web of Science</v>
      </c>
    </row>
    <row r="344" customFormat="false" ht="12.75" hidden="false" customHeight="false" outlineLevel="0" collapsed="false">
      <c r="A344" s="2" t="s">
        <v>72</v>
      </c>
      <c r="B344" s="2" t="s">
        <v>6664</v>
      </c>
      <c r="C344" s="2"/>
      <c r="D344" s="2"/>
      <c r="E344" s="2"/>
      <c r="F344" s="2" t="s">
        <v>6665</v>
      </c>
      <c r="G344" s="2"/>
      <c r="H344" s="2"/>
      <c r="I344" s="2" t="s">
        <v>6666</v>
      </c>
      <c r="J344" s="2" t="s">
        <v>6643</v>
      </c>
      <c r="K344" s="2"/>
      <c r="L344" s="2"/>
      <c r="M344" s="2" t="s">
        <v>77</v>
      </c>
      <c r="N344" s="2" t="s">
        <v>78</v>
      </c>
      <c r="O344" s="2"/>
      <c r="P344" s="2"/>
      <c r="Q344" s="2"/>
      <c r="R344" s="2"/>
      <c r="S344" s="2"/>
      <c r="T344" s="2" t="s">
        <v>6667</v>
      </c>
      <c r="U344" s="2" t="s">
        <v>6668</v>
      </c>
      <c r="V344" s="2" t="s">
        <v>6669</v>
      </c>
      <c r="W344" s="2" t="s">
        <v>6670</v>
      </c>
      <c r="X344" s="2" t="s">
        <v>6671</v>
      </c>
      <c r="Y344" s="2" t="s">
        <v>6672</v>
      </c>
      <c r="Z344" s="2" t="s">
        <v>6650</v>
      </c>
      <c r="AA344" s="2" t="s">
        <v>6673</v>
      </c>
      <c r="AB344" s="2"/>
      <c r="AC344" s="2" t="s">
        <v>6674</v>
      </c>
      <c r="AD344" s="2" t="s">
        <v>6675</v>
      </c>
      <c r="AE344" s="2" t="s">
        <v>6676</v>
      </c>
      <c r="AF344" s="2"/>
      <c r="AG344" s="2" t="n">
        <v>46</v>
      </c>
      <c r="AH344" s="2" t="n">
        <v>51</v>
      </c>
      <c r="AI344" s="2" t="n">
        <v>56</v>
      </c>
      <c r="AJ344" s="2" t="n">
        <v>0</v>
      </c>
      <c r="AK344" s="2" t="n">
        <v>16</v>
      </c>
      <c r="AL344" s="2" t="s">
        <v>592</v>
      </c>
      <c r="AM344" s="2" t="s">
        <v>593</v>
      </c>
      <c r="AN344" s="2" t="s">
        <v>594</v>
      </c>
      <c r="AO344" s="2" t="s">
        <v>6656</v>
      </c>
      <c r="AP344" s="2" t="s">
        <v>6657</v>
      </c>
      <c r="AQ344" s="2"/>
      <c r="AR344" s="2" t="s">
        <v>6643</v>
      </c>
      <c r="AS344" s="2" t="s">
        <v>6658</v>
      </c>
      <c r="AT344" s="2" t="s">
        <v>129</v>
      </c>
      <c r="AU344" s="2" t="n">
        <v>2010</v>
      </c>
      <c r="AV344" s="2" t="n">
        <v>7</v>
      </c>
      <c r="AW344" s="2" t="n">
        <v>3</v>
      </c>
      <c r="AX344" s="2"/>
      <c r="AY344" s="2"/>
      <c r="AZ344" s="2"/>
      <c r="BA344" s="2"/>
      <c r="BB344" s="2" t="n">
        <v>332</v>
      </c>
      <c r="BC344" s="2" t="n">
        <v>341</v>
      </c>
      <c r="BD344" s="2"/>
      <c r="BE344" s="2" t="s">
        <v>6677</v>
      </c>
      <c r="BF344" s="2" t="str">
        <f aca="false">HYPERLINK("http://dx.doi.org/10.1007/s10393-010-0340-z","http://dx.doi.org/10.1007/s10393-010-0340-z")</f>
        <v>http://dx.doi.org/10.1007/s10393-010-0340-z</v>
      </c>
      <c r="BG344" s="2"/>
      <c r="BH344" s="2"/>
      <c r="BI344" s="2" t="n">
        <v>10</v>
      </c>
      <c r="BJ344" s="2" t="s">
        <v>6660</v>
      </c>
      <c r="BK344" s="2" t="s">
        <v>100</v>
      </c>
      <c r="BL344" s="2" t="s">
        <v>6661</v>
      </c>
      <c r="BM344" s="2" t="s">
        <v>6678</v>
      </c>
      <c r="BN344" s="2" t="n">
        <v>20865440</v>
      </c>
      <c r="BO344" s="2"/>
      <c r="BP344" s="2"/>
      <c r="BQ344" s="2"/>
      <c r="BR344" s="2" t="s">
        <v>104</v>
      </c>
      <c r="BS344" s="2" t="s">
        <v>6679</v>
      </c>
      <c r="BT344" s="2" t="str">
        <f aca="false">HYPERLINK("https%3A%2F%2Fwww.webofscience.com%2Fwos%2Fwoscc%2Ffull-record%2FWOS:000289685500007","View Full Record in Web of Science")</f>
        <v>View Full Record in Web of Science</v>
      </c>
    </row>
    <row r="345" customFormat="false" ht="12.75" hidden="false" customHeight="false" outlineLevel="0" collapsed="false">
      <c r="A345" s="2" t="s">
        <v>72</v>
      </c>
      <c r="B345" s="2" t="s">
        <v>6680</v>
      </c>
      <c r="C345" s="2"/>
      <c r="D345" s="2"/>
      <c r="E345" s="2"/>
      <c r="F345" s="2" t="s">
        <v>6681</v>
      </c>
      <c r="G345" s="2"/>
      <c r="H345" s="2"/>
      <c r="I345" s="2" t="s">
        <v>6682</v>
      </c>
      <c r="J345" s="2" t="s">
        <v>6683</v>
      </c>
      <c r="K345" s="2"/>
      <c r="L345" s="2"/>
      <c r="M345" s="2" t="s">
        <v>77</v>
      </c>
      <c r="N345" s="2" t="s">
        <v>78</v>
      </c>
      <c r="O345" s="2"/>
      <c r="P345" s="2"/>
      <c r="Q345" s="2"/>
      <c r="R345" s="2"/>
      <c r="S345" s="2"/>
      <c r="T345" s="2" t="s">
        <v>6684</v>
      </c>
      <c r="U345" s="2" t="s">
        <v>6685</v>
      </c>
      <c r="V345" s="2" t="s">
        <v>6686</v>
      </c>
      <c r="W345" s="2" t="s">
        <v>6687</v>
      </c>
      <c r="X345" s="2" t="s">
        <v>6688</v>
      </c>
      <c r="Y345" s="2" t="s">
        <v>6689</v>
      </c>
      <c r="Z345" s="2" t="s">
        <v>6690</v>
      </c>
      <c r="AA345" s="2"/>
      <c r="AB345" s="2"/>
      <c r="AC345" s="2" t="s">
        <v>6691</v>
      </c>
      <c r="AD345" s="2" t="s">
        <v>6692</v>
      </c>
      <c r="AE345" s="2" t="s">
        <v>6693</v>
      </c>
      <c r="AF345" s="2"/>
      <c r="AG345" s="2" t="n">
        <v>22</v>
      </c>
      <c r="AH345" s="2" t="n">
        <v>2</v>
      </c>
      <c r="AI345" s="2" t="n">
        <v>2</v>
      </c>
      <c r="AJ345" s="2" t="n">
        <v>0</v>
      </c>
      <c r="AK345" s="2" t="n">
        <v>1</v>
      </c>
      <c r="AL345" s="2" t="s">
        <v>302</v>
      </c>
      <c r="AM345" s="2" t="s">
        <v>303</v>
      </c>
      <c r="AN345" s="2" t="s">
        <v>304</v>
      </c>
      <c r="AO345" s="2" t="s">
        <v>6694</v>
      </c>
      <c r="AP345" s="2" t="s">
        <v>6695</v>
      </c>
      <c r="AQ345" s="2"/>
      <c r="AR345" s="2" t="s">
        <v>6696</v>
      </c>
      <c r="AS345" s="2" t="s">
        <v>6697</v>
      </c>
      <c r="AT345" s="2" t="s">
        <v>6698</v>
      </c>
      <c r="AU345" s="2" t="n">
        <v>2017</v>
      </c>
      <c r="AV345" s="2" t="n">
        <v>4</v>
      </c>
      <c r="AW345" s="2"/>
      <c r="AX345" s="2"/>
      <c r="AY345" s="2"/>
      <c r="AZ345" s="2"/>
      <c r="BA345" s="2"/>
      <c r="BB345" s="2"/>
      <c r="BC345" s="2"/>
      <c r="BD345" s="2" t="n">
        <v>10</v>
      </c>
      <c r="BE345" s="2" t="s">
        <v>6699</v>
      </c>
      <c r="BF345" s="2" t="str">
        <f aca="false">HYPERLINK("http://dx.doi.org/10.1186/s40779-017-0120-y","http://dx.doi.org/10.1186/s40779-017-0120-y")</f>
        <v>http://dx.doi.org/10.1186/s40779-017-0120-y</v>
      </c>
      <c r="BG345" s="2"/>
      <c r="BH345" s="2"/>
      <c r="BI345" s="2" t="n">
        <v>7</v>
      </c>
      <c r="BJ345" s="2" t="s">
        <v>363</v>
      </c>
      <c r="BK345" s="2" t="s">
        <v>100</v>
      </c>
      <c r="BL345" s="2" t="s">
        <v>364</v>
      </c>
      <c r="BM345" s="2" t="s">
        <v>6700</v>
      </c>
      <c r="BN345" s="2" t="n">
        <v>28373908</v>
      </c>
      <c r="BO345" s="2" t="s">
        <v>103</v>
      </c>
      <c r="BP345" s="2"/>
      <c r="BQ345" s="2"/>
      <c r="BR345" s="2" t="s">
        <v>104</v>
      </c>
      <c r="BS345" s="2" t="s">
        <v>6701</v>
      </c>
      <c r="BT345" s="2" t="str">
        <f aca="false">HYPERLINK("https%3A%2F%2Fwww.webofscience.com%2Fwos%2Fwoscc%2Ffull-record%2FWOS:000397909300001","View Full Record in Web of Science")</f>
        <v>View Full Record in Web of Science</v>
      </c>
    </row>
    <row r="346" customFormat="false" ht="12.75" hidden="false" customHeight="false" outlineLevel="0" collapsed="false">
      <c r="A346" s="2" t="s">
        <v>72</v>
      </c>
      <c r="B346" s="2" t="s">
        <v>6702</v>
      </c>
      <c r="C346" s="2"/>
      <c r="D346" s="2"/>
      <c r="E346" s="2"/>
      <c r="F346" s="2" t="s">
        <v>6702</v>
      </c>
      <c r="G346" s="2"/>
      <c r="H346" s="2"/>
      <c r="I346" s="2" t="s">
        <v>6703</v>
      </c>
      <c r="J346" s="2" t="s">
        <v>717</v>
      </c>
      <c r="K346" s="2"/>
      <c r="L346" s="2"/>
      <c r="M346" s="2" t="s">
        <v>77</v>
      </c>
      <c r="N346" s="2" t="s">
        <v>78</v>
      </c>
      <c r="O346" s="2"/>
      <c r="P346" s="2"/>
      <c r="Q346" s="2"/>
      <c r="R346" s="2"/>
      <c r="S346" s="2"/>
      <c r="T346" s="2" t="s">
        <v>6704</v>
      </c>
      <c r="U346" s="2" t="s">
        <v>6705</v>
      </c>
      <c r="V346" s="2" t="s">
        <v>6706</v>
      </c>
      <c r="W346" s="2" t="s">
        <v>6707</v>
      </c>
      <c r="X346" s="2" t="s">
        <v>6708</v>
      </c>
      <c r="Y346" s="2" t="s">
        <v>6709</v>
      </c>
      <c r="Z346" s="2" t="s">
        <v>6710</v>
      </c>
      <c r="AA346" s="2" t="s">
        <v>6711</v>
      </c>
      <c r="AB346" s="2" t="s">
        <v>6712</v>
      </c>
      <c r="AC346" s="2"/>
      <c r="AD346" s="2"/>
      <c r="AE346" s="2"/>
      <c r="AF346" s="2"/>
      <c r="AG346" s="2" t="n">
        <v>19</v>
      </c>
      <c r="AH346" s="2" t="n">
        <v>70</v>
      </c>
      <c r="AI346" s="2" t="n">
        <v>76</v>
      </c>
      <c r="AJ346" s="2" t="n">
        <v>1</v>
      </c>
      <c r="AK346" s="2" t="n">
        <v>20</v>
      </c>
      <c r="AL346" s="2" t="s">
        <v>549</v>
      </c>
      <c r="AM346" s="2" t="s">
        <v>384</v>
      </c>
      <c r="AN346" s="2" t="s">
        <v>550</v>
      </c>
      <c r="AO346" s="2" t="s">
        <v>729</v>
      </c>
      <c r="AP346" s="2" t="s">
        <v>730</v>
      </c>
      <c r="AQ346" s="2"/>
      <c r="AR346" s="2" t="s">
        <v>731</v>
      </c>
      <c r="AS346" s="2" t="s">
        <v>732</v>
      </c>
      <c r="AT346" s="2" t="s">
        <v>129</v>
      </c>
      <c r="AU346" s="2" t="n">
        <v>2005</v>
      </c>
      <c r="AV346" s="2" t="n">
        <v>128</v>
      </c>
      <c r="AW346" s="2" t="s">
        <v>1407</v>
      </c>
      <c r="AX346" s="2"/>
      <c r="AY346" s="2"/>
      <c r="AZ346" s="2"/>
      <c r="BA346" s="2"/>
      <c r="BB346" s="2" t="n">
        <v>192</v>
      </c>
      <c r="BC346" s="2" t="n">
        <v>197</v>
      </c>
      <c r="BD346" s="2"/>
      <c r="BE346" s="2" t="s">
        <v>6713</v>
      </c>
      <c r="BF346" s="2" t="str">
        <f aca="false">HYPERLINK("http://dx.doi.org/10.1016/j.jviromet.2005.05.005","http://dx.doi.org/10.1016/j.jviromet.2005.05.005")</f>
        <v>http://dx.doi.org/10.1016/j.jviromet.2005.05.005</v>
      </c>
      <c r="BG346" s="2"/>
      <c r="BH346" s="2"/>
      <c r="BI346" s="2" t="n">
        <v>6</v>
      </c>
      <c r="BJ346" s="2" t="s">
        <v>735</v>
      </c>
      <c r="BK346" s="2" t="s">
        <v>100</v>
      </c>
      <c r="BL346" s="2" t="s">
        <v>736</v>
      </c>
      <c r="BM346" s="2" t="s">
        <v>6714</v>
      </c>
      <c r="BN346" s="2" t="n">
        <v>15955576</v>
      </c>
      <c r="BO346" s="2"/>
      <c r="BP346" s="2"/>
      <c r="BQ346" s="2"/>
      <c r="BR346" s="2" t="s">
        <v>104</v>
      </c>
      <c r="BS346" s="2" t="s">
        <v>6715</v>
      </c>
      <c r="BT346" s="2" t="str">
        <f aca="false">HYPERLINK("https%3A%2F%2Fwww.webofscience.com%2Fwos%2Fwoscc%2Ffull-record%2FWOS:000231055200027","View Full Record in Web of Science")</f>
        <v>View Full Record in Web of Science</v>
      </c>
    </row>
    <row r="347" customFormat="false" ht="12.75" hidden="false" customHeight="false" outlineLevel="0" collapsed="false">
      <c r="A347" s="2" t="s">
        <v>72</v>
      </c>
      <c r="B347" s="2" t="s">
        <v>6716</v>
      </c>
      <c r="C347" s="2"/>
      <c r="D347" s="2"/>
      <c r="E347" s="2"/>
      <c r="F347" s="2" t="s">
        <v>6717</v>
      </c>
      <c r="G347" s="2"/>
      <c r="H347" s="2"/>
      <c r="I347" s="2" t="s">
        <v>6718</v>
      </c>
      <c r="J347" s="2" t="s">
        <v>1636</v>
      </c>
      <c r="K347" s="2"/>
      <c r="L347" s="2"/>
      <c r="M347" s="2" t="s">
        <v>77</v>
      </c>
      <c r="N347" s="2" t="s">
        <v>78</v>
      </c>
      <c r="O347" s="2"/>
      <c r="P347" s="2"/>
      <c r="Q347" s="2"/>
      <c r="R347" s="2"/>
      <c r="S347" s="2"/>
      <c r="T347" s="2" t="s">
        <v>6719</v>
      </c>
      <c r="U347" s="2" t="s">
        <v>6720</v>
      </c>
      <c r="V347" s="2" t="s">
        <v>6721</v>
      </c>
      <c r="W347" s="2" t="s">
        <v>6722</v>
      </c>
      <c r="X347" s="2" t="s">
        <v>2825</v>
      </c>
      <c r="Y347" s="2" t="s">
        <v>6723</v>
      </c>
      <c r="Z347" s="2" t="s">
        <v>6724</v>
      </c>
      <c r="AA347" s="2" t="s">
        <v>750</v>
      </c>
      <c r="AB347" s="2" t="s">
        <v>2851</v>
      </c>
      <c r="AC347" s="2" t="s">
        <v>6725</v>
      </c>
      <c r="AD347" s="2" t="s">
        <v>6726</v>
      </c>
      <c r="AE347" s="2" t="s">
        <v>6727</v>
      </c>
      <c r="AF347" s="2"/>
      <c r="AG347" s="2" t="n">
        <v>61</v>
      </c>
      <c r="AH347" s="2" t="n">
        <v>77</v>
      </c>
      <c r="AI347" s="2" t="n">
        <v>91</v>
      </c>
      <c r="AJ347" s="2" t="n">
        <v>0</v>
      </c>
      <c r="AK347" s="2" t="n">
        <v>2</v>
      </c>
      <c r="AL347" s="2" t="s">
        <v>1649</v>
      </c>
      <c r="AM347" s="2" t="s">
        <v>273</v>
      </c>
      <c r="AN347" s="2" t="s">
        <v>1650</v>
      </c>
      <c r="AO347" s="2" t="s">
        <v>1651</v>
      </c>
      <c r="AP347" s="2"/>
      <c r="AQ347" s="2"/>
      <c r="AR347" s="2" t="s">
        <v>1652</v>
      </c>
      <c r="AS347" s="2" t="s">
        <v>1653</v>
      </c>
      <c r="AT347" s="2" t="s">
        <v>6728</v>
      </c>
      <c r="AU347" s="2" t="n">
        <v>2009</v>
      </c>
      <c r="AV347" s="2" t="n">
        <v>106</v>
      </c>
      <c r="AW347" s="2" t="n">
        <v>5</v>
      </c>
      <c r="AX347" s="2"/>
      <c r="AY347" s="2"/>
      <c r="AZ347" s="2"/>
      <c r="BA347" s="2"/>
      <c r="BB347" s="2" t="n">
        <v>1566</v>
      </c>
      <c r="BC347" s="2" t="n">
        <v>1571</v>
      </c>
      <c r="BD347" s="2"/>
      <c r="BE347" s="2" t="s">
        <v>6729</v>
      </c>
      <c r="BF347" s="2" t="str">
        <f aca="false">HYPERLINK("http://dx.doi.org/10.1073/pnas.0801433106","http://dx.doi.org/10.1073/pnas.0801433106")</f>
        <v>http://dx.doi.org/10.1073/pnas.0801433106</v>
      </c>
      <c r="BG347" s="2"/>
      <c r="BH347" s="2"/>
      <c r="BI347" s="2" t="n">
        <v>6</v>
      </c>
      <c r="BJ347" s="2" t="s">
        <v>1658</v>
      </c>
      <c r="BK347" s="2" t="s">
        <v>100</v>
      </c>
      <c r="BL347" s="2" t="s">
        <v>1659</v>
      </c>
      <c r="BM347" s="2" t="s">
        <v>6730</v>
      </c>
      <c r="BN347" s="2" t="n">
        <v>19164533</v>
      </c>
      <c r="BO347" s="2" t="s">
        <v>165</v>
      </c>
      <c r="BP347" s="2"/>
      <c r="BQ347" s="2"/>
      <c r="BR347" s="2" t="s">
        <v>104</v>
      </c>
      <c r="BS347" s="2" t="s">
        <v>6731</v>
      </c>
      <c r="BT347" s="2" t="str">
        <f aca="false">HYPERLINK("https%3A%2F%2Fwww.webofscience.com%2Fwos%2Fwoscc%2Ffull-record%2FWOS:000263074600051","View Full Record in Web of Science")</f>
        <v>View Full Record in Web of Science</v>
      </c>
    </row>
    <row r="348" customFormat="false" ht="12.75" hidden="false" customHeight="false" outlineLevel="0" collapsed="false">
      <c r="A348" s="2" t="s">
        <v>72</v>
      </c>
      <c r="B348" s="2" t="s">
        <v>6732</v>
      </c>
      <c r="C348" s="2"/>
      <c r="D348" s="2"/>
      <c r="E348" s="2"/>
      <c r="F348" s="2" t="s">
        <v>6733</v>
      </c>
      <c r="G348" s="2"/>
      <c r="H348" s="2"/>
      <c r="I348" s="2" t="s">
        <v>6734</v>
      </c>
      <c r="J348" s="2" t="s">
        <v>717</v>
      </c>
      <c r="K348" s="2"/>
      <c r="L348" s="2"/>
      <c r="M348" s="2" t="s">
        <v>77</v>
      </c>
      <c r="N348" s="2" t="s">
        <v>78</v>
      </c>
      <c r="O348" s="2"/>
      <c r="P348" s="2"/>
      <c r="Q348" s="2"/>
      <c r="R348" s="2"/>
      <c r="S348" s="2"/>
      <c r="T348" s="2" t="s">
        <v>6735</v>
      </c>
      <c r="U348" s="2" t="s">
        <v>6736</v>
      </c>
      <c r="V348" s="2" t="s">
        <v>6737</v>
      </c>
      <c r="W348" s="2" t="s">
        <v>6738</v>
      </c>
      <c r="X348" s="2" t="s">
        <v>6739</v>
      </c>
      <c r="Y348" s="2" t="s">
        <v>6740</v>
      </c>
      <c r="Z348" s="2" t="s">
        <v>6741</v>
      </c>
      <c r="AA348" s="2" t="s">
        <v>6742</v>
      </c>
      <c r="AB348" s="2" t="s">
        <v>6743</v>
      </c>
      <c r="AC348" s="2"/>
      <c r="AD348" s="2"/>
      <c r="AE348" s="2"/>
      <c r="AF348" s="2"/>
      <c r="AG348" s="2" t="n">
        <v>25</v>
      </c>
      <c r="AH348" s="2" t="n">
        <v>57</v>
      </c>
      <c r="AI348" s="2" t="n">
        <v>63</v>
      </c>
      <c r="AJ348" s="2" t="n">
        <v>0</v>
      </c>
      <c r="AK348" s="2" t="n">
        <v>9</v>
      </c>
      <c r="AL348" s="2" t="s">
        <v>383</v>
      </c>
      <c r="AM348" s="2" t="s">
        <v>384</v>
      </c>
      <c r="AN348" s="2" t="s">
        <v>385</v>
      </c>
      <c r="AO348" s="2" t="s">
        <v>729</v>
      </c>
      <c r="AP348" s="2" t="s">
        <v>730</v>
      </c>
      <c r="AQ348" s="2"/>
      <c r="AR348" s="2" t="s">
        <v>731</v>
      </c>
      <c r="AS348" s="2" t="s">
        <v>732</v>
      </c>
      <c r="AT348" s="2" t="s">
        <v>390</v>
      </c>
      <c r="AU348" s="2" t="n">
        <v>2007</v>
      </c>
      <c r="AV348" s="2" t="n">
        <v>141</v>
      </c>
      <c r="AW348" s="2" t="n">
        <v>2</v>
      </c>
      <c r="AX348" s="2"/>
      <c r="AY348" s="2"/>
      <c r="AZ348" s="2"/>
      <c r="BA348" s="2"/>
      <c r="BB348" s="2" t="n">
        <v>205</v>
      </c>
      <c r="BC348" s="2" t="n">
        <v>211</v>
      </c>
      <c r="BD348" s="2"/>
      <c r="BE348" s="2" t="s">
        <v>6744</v>
      </c>
      <c r="BF348" s="2" t="str">
        <f aca="false">HYPERLINK("http://dx.doi.org/10.1016/j.jviromet.2006.12.007","http://dx.doi.org/10.1016/j.jviromet.2006.12.007")</f>
        <v>http://dx.doi.org/10.1016/j.jviromet.2006.12.007</v>
      </c>
      <c r="BG348" s="2"/>
      <c r="BH348" s="2"/>
      <c r="BI348" s="2" t="n">
        <v>7</v>
      </c>
      <c r="BJ348" s="2" t="s">
        <v>735</v>
      </c>
      <c r="BK348" s="2" t="s">
        <v>100</v>
      </c>
      <c r="BL348" s="2" t="s">
        <v>736</v>
      </c>
      <c r="BM348" s="2" t="s">
        <v>6745</v>
      </c>
      <c r="BN348" s="2" t="n">
        <v>17218020</v>
      </c>
      <c r="BO348" s="2"/>
      <c r="BP348" s="2"/>
      <c r="BQ348" s="2"/>
      <c r="BR348" s="2" t="s">
        <v>104</v>
      </c>
      <c r="BS348" s="2" t="s">
        <v>6746</v>
      </c>
      <c r="BT348" s="2" t="str">
        <f aca="false">HYPERLINK("https%3A%2F%2Fwww.webofscience.com%2Fwos%2Fwoscc%2Ffull-record%2FWOS:000246083200012","View Full Record in Web of Science")</f>
        <v>View Full Record in Web of Science</v>
      </c>
    </row>
    <row r="349" customFormat="false" ht="12.75" hidden="false" customHeight="false" outlineLevel="0" collapsed="false">
      <c r="A349" s="2" t="s">
        <v>72</v>
      </c>
      <c r="B349" s="2" t="s">
        <v>6747</v>
      </c>
      <c r="C349" s="2"/>
      <c r="D349" s="2"/>
      <c r="E349" s="2"/>
      <c r="F349" s="2" t="s">
        <v>6747</v>
      </c>
      <c r="G349" s="2"/>
      <c r="H349" s="2"/>
      <c r="I349" s="2" t="s">
        <v>6748</v>
      </c>
      <c r="J349" s="2" t="s">
        <v>370</v>
      </c>
      <c r="K349" s="2"/>
      <c r="L349" s="2"/>
      <c r="M349" s="2" t="s">
        <v>77</v>
      </c>
      <c r="N349" s="2" t="s">
        <v>78</v>
      </c>
      <c r="O349" s="2"/>
      <c r="P349" s="2"/>
      <c r="Q349" s="2"/>
      <c r="R349" s="2"/>
      <c r="S349" s="2"/>
      <c r="T349" s="2" t="s">
        <v>6749</v>
      </c>
      <c r="U349" s="2" t="s">
        <v>6750</v>
      </c>
      <c r="V349" s="2" t="s">
        <v>6751</v>
      </c>
      <c r="W349" s="2" t="s">
        <v>6752</v>
      </c>
      <c r="X349" s="2" t="s">
        <v>6753</v>
      </c>
      <c r="Y349" s="2" t="s">
        <v>6754</v>
      </c>
      <c r="Z349" s="2" t="s">
        <v>6755</v>
      </c>
      <c r="AA349" s="2"/>
      <c r="AB349" s="2" t="s">
        <v>6756</v>
      </c>
      <c r="AC349" s="2"/>
      <c r="AD349" s="2"/>
      <c r="AE349" s="2"/>
      <c r="AF349" s="2"/>
      <c r="AG349" s="2" t="n">
        <v>21</v>
      </c>
      <c r="AH349" s="2" t="n">
        <v>108</v>
      </c>
      <c r="AI349" s="2" t="n">
        <v>122</v>
      </c>
      <c r="AJ349" s="2" t="n">
        <v>0</v>
      </c>
      <c r="AK349" s="2" t="n">
        <v>1</v>
      </c>
      <c r="AL349" s="2" t="s">
        <v>383</v>
      </c>
      <c r="AM349" s="2" t="s">
        <v>384</v>
      </c>
      <c r="AN349" s="2" t="s">
        <v>385</v>
      </c>
      <c r="AO349" s="2" t="s">
        <v>386</v>
      </c>
      <c r="AP349" s="2" t="s">
        <v>387</v>
      </c>
      <c r="AQ349" s="2"/>
      <c r="AR349" s="2" t="s">
        <v>388</v>
      </c>
      <c r="AS349" s="2" t="s">
        <v>389</v>
      </c>
      <c r="AT349" s="2" t="s">
        <v>185</v>
      </c>
      <c r="AU349" s="2" t="n">
        <v>2005</v>
      </c>
      <c r="AV349" s="2" t="n">
        <v>33</v>
      </c>
      <c r="AW349" s="2" t="n">
        <v>4</v>
      </c>
      <c r="AX349" s="2"/>
      <c r="AY349" s="2"/>
      <c r="AZ349" s="2"/>
      <c r="BA349" s="2"/>
      <c r="BB349" s="2" t="n">
        <v>306</v>
      </c>
      <c r="BC349" s="2" t="n">
        <v>311</v>
      </c>
      <c r="BD349" s="2"/>
      <c r="BE349" s="2" t="s">
        <v>6757</v>
      </c>
      <c r="BF349" s="2" t="str">
        <f aca="false">HYPERLINK("http://dx.doi.org/10.1016/j.jcv.2004.08.021","http://dx.doi.org/10.1016/j.jcv.2004.08.021")</f>
        <v>http://dx.doi.org/10.1016/j.jcv.2004.08.021</v>
      </c>
      <c r="BG349" s="2"/>
      <c r="BH349" s="2"/>
      <c r="BI349" s="2" t="n">
        <v>6</v>
      </c>
      <c r="BJ349" s="2" t="s">
        <v>163</v>
      </c>
      <c r="BK349" s="2" t="s">
        <v>100</v>
      </c>
      <c r="BL349" s="2" t="s">
        <v>163</v>
      </c>
      <c r="BM349" s="2" t="s">
        <v>6758</v>
      </c>
      <c r="BN349" s="2" t="n">
        <v>15994117</v>
      </c>
      <c r="BO349" s="2" t="s">
        <v>1227</v>
      </c>
      <c r="BP349" s="2"/>
      <c r="BQ349" s="2"/>
      <c r="BR349" s="2" t="s">
        <v>104</v>
      </c>
      <c r="BS349" s="2" t="s">
        <v>6759</v>
      </c>
      <c r="BT349" s="2" t="str">
        <f aca="false">HYPERLINK("https%3A%2F%2Fwww.webofscience.com%2Fwos%2Fwoscc%2Ffull-record%2FWOS:000231136100008","View Full Record in Web of Science")</f>
        <v>View Full Record in Web of Science</v>
      </c>
    </row>
    <row r="350" customFormat="false" ht="12.75" hidden="false" customHeight="false" outlineLevel="0" collapsed="false">
      <c r="A350" s="2" t="s">
        <v>72</v>
      </c>
      <c r="B350" s="2" t="s">
        <v>6760</v>
      </c>
      <c r="C350" s="2"/>
      <c r="D350" s="2"/>
      <c r="E350" s="2"/>
      <c r="F350" s="2" t="s">
        <v>6761</v>
      </c>
      <c r="G350" s="2"/>
      <c r="H350" s="2"/>
      <c r="I350" s="2" t="s">
        <v>6762</v>
      </c>
      <c r="J350" s="2" t="s">
        <v>6763</v>
      </c>
      <c r="K350" s="2"/>
      <c r="L350" s="2"/>
      <c r="M350" s="2" t="s">
        <v>77</v>
      </c>
      <c r="N350" s="2" t="s">
        <v>78</v>
      </c>
      <c r="O350" s="2"/>
      <c r="P350" s="2"/>
      <c r="Q350" s="2"/>
      <c r="R350" s="2"/>
      <c r="S350" s="2"/>
      <c r="T350" s="2" t="s">
        <v>6764</v>
      </c>
      <c r="U350" s="2" t="s">
        <v>6765</v>
      </c>
      <c r="V350" s="2" t="s">
        <v>6766</v>
      </c>
      <c r="W350" s="2" t="s">
        <v>6767</v>
      </c>
      <c r="X350" s="2" t="s">
        <v>6768</v>
      </c>
      <c r="Y350" s="2" t="s">
        <v>6769</v>
      </c>
      <c r="Z350" s="2" t="s">
        <v>6770</v>
      </c>
      <c r="AA350" s="2" t="s">
        <v>6771</v>
      </c>
      <c r="AB350" s="2" t="s">
        <v>6772</v>
      </c>
      <c r="AC350" s="2"/>
      <c r="AD350" s="2"/>
      <c r="AE350" s="2"/>
      <c r="AF350" s="2"/>
      <c r="AG350" s="2" t="n">
        <v>34</v>
      </c>
      <c r="AH350" s="2" t="n">
        <v>0</v>
      </c>
      <c r="AI350" s="2" t="n">
        <v>0</v>
      </c>
      <c r="AJ350" s="2" t="n">
        <v>0</v>
      </c>
      <c r="AK350" s="2" t="n">
        <v>4</v>
      </c>
      <c r="AL350" s="2" t="s">
        <v>6773</v>
      </c>
      <c r="AM350" s="2" t="s">
        <v>6774</v>
      </c>
      <c r="AN350" s="2" t="s">
        <v>6775</v>
      </c>
      <c r="AO350" s="2" t="s">
        <v>6776</v>
      </c>
      <c r="AP350" s="2"/>
      <c r="AQ350" s="2"/>
      <c r="AR350" s="2" t="s">
        <v>6777</v>
      </c>
      <c r="AS350" s="2" t="s">
        <v>6778</v>
      </c>
      <c r="AT350" s="2" t="s">
        <v>390</v>
      </c>
      <c r="AU350" s="2" t="n">
        <v>2019</v>
      </c>
      <c r="AV350" s="2" t="n">
        <v>10</v>
      </c>
      <c r="AW350" s="2" t="n">
        <v>5</v>
      </c>
      <c r="AX350" s="2"/>
      <c r="AY350" s="2"/>
      <c r="AZ350" s="2"/>
      <c r="BA350" s="2"/>
      <c r="BB350" s="2" t="n">
        <v>2189</v>
      </c>
      <c r="BC350" s="2" t="n">
        <v>2199</v>
      </c>
      <c r="BD350" s="2"/>
      <c r="BE350" s="2" t="s">
        <v>6779</v>
      </c>
      <c r="BF350" s="2" t="str">
        <f aca="false">HYPERLINK("http://dx.doi.org/10.13040/IJPSR.0975-8232.10(5).2189-99","http://dx.doi.org/10.13040/IJPSR.0975-8232.10(5).2189-99")</f>
        <v>http://dx.doi.org/10.13040/IJPSR.0975-8232.10(5).2189-99</v>
      </c>
      <c r="BG350" s="2"/>
      <c r="BH350" s="2"/>
      <c r="BI350" s="2" t="n">
        <v>11</v>
      </c>
      <c r="BJ350" s="2" t="s">
        <v>101</v>
      </c>
      <c r="BK350" s="2" t="s">
        <v>339</v>
      </c>
      <c r="BL350" s="2" t="s">
        <v>101</v>
      </c>
      <c r="BM350" s="2" t="s">
        <v>6780</v>
      </c>
      <c r="BN350" s="2"/>
      <c r="BO350" s="2" t="s">
        <v>1355</v>
      </c>
      <c r="BP350" s="2"/>
      <c r="BQ350" s="2"/>
      <c r="BR350" s="2" t="s">
        <v>104</v>
      </c>
      <c r="BS350" s="2" t="s">
        <v>6781</v>
      </c>
      <c r="BT350" s="2" t="str">
        <f aca="false">HYPERLINK("https%3A%2F%2Fwww.webofscience.com%2Fwos%2Fwoscc%2Ffull-record%2FWOS:000466511600011","View Full Record in Web of Science")</f>
        <v>View Full Record in Web of Science</v>
      </c>
    </row>
    <row r="351" customFormat="false" ht="12.75" hidden="false" customHeight="false" outlineLevel="0" collapsed="false">
      <c r="A351" s="2" t="s">
        <v>72</v>
      </c>
      <c r="B351" s="2" t="s">
        <v>6782</v>
      </c>
      <c r="C351" s="2"/>
      <c r="D351" s="2"/>
      <c r="E351" s="2"/>
      <c r="F351" s="2" t="s">
        <v>6783</v>
      </c>
      <c r="G351" s="2"/>
      <c r="H351" s="2"/>
      <c r="I351" s="2" t="s">
        <v>6784</v>
      </c>
      <c r="J351" s="2" t="s">
        <v>6785</v>
      </c>
      <c r="K351" s="2"/>
      <c r="L351" s="2"/>
      <c r="M351" s="2" t="s">
        <v>77</v>
      </c>
      <c r="N351" s="2" t="s">
        <v>78</v>
      </c>
      <c r="O351" s="2"/>
      <c r="P351" s="2"/>
      <c r="Q351" s="2"/>
      <c r="R351" s="2"/>
      <c r="S351" s="2"/>
      <c r="T351" s="2" t="s">
        <v>6786</v>
      </c>
      <c r="U351" s="2" t="s">
        <v>6787</v>
      </c>
      <c r="V351" s="2" t="s">
        <v>6788</v>
      </c>
      <c r="W351" s="2" t="s">
        <v>6789</v>
      </c>
      <c r="X351" s="2" t="s">
        <v>6790</v>
      </c>
      <c r="Y351" s="2" t="s">
        <v>6791</v>
      </c>
      <c r="Z351" s="2" t="s">
        <v>6792</v>
      </c>
      <c r="AA351" s="2" t="s">
        <v>5006</v>
      </c>
      <c r="AB351" s="2" t="s">
        <v>6793</v>
      </c>
      <c r="AC351" s="2"/>
      <c r="AD351" s="2"/>
      <c r="AE351" s="2"/>
      <c r="AF351" s="2"/>
      <c r="AG351" s="2" t="n">
        <v>94</v>
      </c>
      <c r="AH351" s="2" t="n">
        <v>14</v>
      </c>
      <c r="AI351" s="2" t="n">
        <v>16</v>
      </c>
      <c r="AJ351" s="2" t="n">
        <v>0</v>
      </c>
      <c r="AK351" s="2" t="n">
        <v>8</v>
      </c>
      <c r="AL351" s="2" t="s">
        <v>782</v>
      </c>
      <c r="AM351" s="2" t="s">
        <v>783</v>
      </c>
      <c r="AN351" s="2" t="s">
        <v>784</v>
      </c>
      <c r="AO351" s="2" t="s">
        <v>6794</v>
      </c>
      <c r="AP351" s="2" t="s">
        <v>6795</v>
      </c>
      <c r="AQ351" s="2"/>
      <c r="AR351" s="2" t="s">
        <v>6796</v>
      </c>
      <c r="AS351" s="2" t="s">
        <v>6797</v>
      </c>
      <c r="AT351" s="2" t="s">
        <v>161</v>
      </c>
      <c r="AU351" s="2" t="n">
        <v>2015</v>
      </c>
      <c r="AV351" s="2" t="n">
        <v>16</v>
      </c>
      <c r="AW351" s="2" t="n">
        <v>1</v>
      </c>
      <c r="AX351" s="2"/>
      <c r="AY351" s="2"/>
      <c r="AZ351" s="2"/>
      <c r="BA351" s="2"/>
      <c r="BB351" s="2" t="n">
        <v>43</v>
      </c>
      <c r="BC351" s="2" t="n">
        <v>48</v>
      </c>
      <c r="BD351" s="2"/>
      <c r="BE351" s="2" t="s">
        <v>6798</v>
      </c>
      <c r="BF351" s="2" t="str">
        <f aca="false">HYPERLINK("http://dx.doi.org/10.1016/j.prrv.2014.07.002","http://dx.doi.org/10.1016/j.prrv.2014.07.002")</f>
        <v>http://dx.doi.org/10.1016/j.prrv.2014.07.002</v>
      </c>
      <c r="BG351" s="2"/>
      <c r="BH351" s="2"/>
      <c r="BI351" s="2" t="n">
        <v>6</v>
      </c>
      <c r="BJ351" s="2" t="s">
        <v>1307</v>
      </c>
      <c r="BK351" s="2" t="s">
        <v>100</v>
      </c>
      <c r="BL351" s="2" t="s">
        <v>1307</v>
      </c>
      <c r="BM351" s="2" t="s">
        <v>6799</v>
      </c>
      <c r="BN351" s="2" t="n">
        <v>25164571</v>
      </c>
      <c r="BO351" s="2" t="s">
        <v>165</v>
      </c>
      <c r="BP351" s="2"/>
      <c r="BQ351" s="2"/>
      <c r="BR351" s="2" t="s">
        <v>104</v>
      </c>
      <c r="BS351" s="2" t="s">
        <v>6800</v>
      </c>
      <c r="BT351" s="2" t="str">
        <f aca="false">HYPERLINK("https%3A%2F%2Fwww.webofscience.com%2Fwos%2Fwoscc%2Ffull-record%2FWOS:000348622200008","View Full Record in Web of Science")</f>
        <v>View Full Record in Web of Science</v>
      </c>
    </row>
    <row r="352" customFormat="false" ht="12.75" hidden="false" customHeight="false" outlineLevel="0" collapsed="false">
      <c r="A352" s="2" t="s">
        <v>72</v>
      </c>
      <c r="B352" s="2" t="s">
        <v>6801</v>
      </c>
      <c r="C352" s="2"/>
      <c r="D352" s="2"/>
      <c r="E352" s="2"/>
      <c r="F352" s="2" t="s">
        <v>6802</v>
      </c>
      <c r="G352" s="2"/>
      <c r="H352" s="2"/>
      <c r="I352" s="2" t="s">
        <v>6803</v>
      </c>
      <c r="J352" s="2" t="s">
        <v>1448</v>
      </c>
      <c r="K352" s="2"/>
      <c r="L352" s="2"/>
      <c r="M352" s="2" t="s">
        <v>77</v>
      </c>
      <c r="N352" s="2" t="s">
        <v>78</v>
      </c>
      <c r="O352" s="2"/>
      <c r="P352" s="2"/>
      <c r="Q352" s="2"/>
      <c r="R352" s="2"/>
      <c r="S352" s="2"/>
      <c r="T352" s="2" t="s">
        <v>6804</v>
      </c>
      <c r="U352" s="2" t="s">
        <v>6805</v>
      </c>
      <c r="V352" s="2" t="s">
        <v>6806</v>
      </c>
      <c r="W352" s="2" t="s">
        <v>6807</v>
      </c>
      <c r="X352" s="2" t="s">
        <v>6808</v>
      </c>
      <c r="Y352" s="2" t="s">
        <v>6809</v>
      </c>
      <c r="Z352" s="2" t="s">
        <v>6810</v>
      </c>
      <c r="AA352" s="2" t="s">
        <v>6811</v>
      </c>
      <c r="AB352" s="2" t="s">
        <v>6812</v>
      </c>
      <c r="AC352" s="2" t="s">
        <v>6813</v>
      </c>
      <c r="AD352" s="2" t="s">
        <v>6814</v>
      </c>
      <c r="AE352" s="2" t="s">
        <v>6815</v>
      </c>
      <c r="AF352" s="2"/>
      <c r="AG352" s="2" t="n">
        <v>26</v>
      </c>
      <c r="AH352" s="2" t="n">
        <v>4</v>
      </c>
      <c r="AI352" s="2" t="n">
        <v>6</v>
      </c>
      <c r="AJ352" s="2" t="n">
        <v>0</v>
      </c>
      <c r="AK352" s="2" t="n">
        <v>8</v>
      </c>
      <c r="AL352" s="2" t="s">
        <v>1460</v>
      </c>
      <c r="AM352" s="2" t="s">
        <v>593</v>
      </c>
      <c r="AN352" s="2" t="s">
        <v>1461</v>
      </c>
      <c r="AO352" s="2" t="s">
        <v>1462</v>
      </c>
      <c r="AP352" s="2" t="s">
        <v>1463</v>
      </c>
      <c r="AQ352" s="2"/>
      <c r="AR352" s="2" t="s">
        <v>1464</v>
      </c>
      <c r="AS352" s="2" t="s">
        <v>1465</v>
      </c>
      <c r="AT352" s="2" t="s">
        <v>486</v>
      </c>
      <c r="AU352" s="2" t="n">
        <v>2014</v>
      </c>
      <c r="AV352" s="2" t="n">
        <v>79</v>
      </c>
      <c r="AW352" s="2" t="n">
        <v>2</v>
      </c>
      <c r="AX352" s="2"/>
      <c r="AY352" s="2"/>
      <c r="AZ352" s="2"/>
      <c r="BA352" s="2"/>
      <c r="BB352" s="2" t="n">
        <v>190</v>
      </c>
      <c r="BC352" s="2" t="n">
        <v>193</v>
      </c>
      <c r="BD352" s="2"/>
      <c r="BE352" s="2" t="s">
        <v>6816</v>
      </c>
      <c r="BF352" s="2" t="str">
        <f aca="false">HYPERLINK("http://dx.doi.org/10.1016/j.diagmicrobio.2014.02.005","http://dx.doi.org/10.1016/j.diagmicrobio.2014.02.005")</f>
        <v>http://dx.doi.org/10.1016/j.diagmicrobio.2014.02.005</v>
      </c>
      <c r="BG352" s="2"/>
      <c r="BH352" s="2"/>
      <c r="BI352" s="2" t="n">
        <v>4</v>
      </c>
      <c r="BJ352" s="2" t="s">
        <v>1467</v>
      </c>
      <c r="BK352" s="2" t="s">
        <v>100</v>
      </c>
      <c r="BL352" s="2" t="s">
        <v>1467</v>
      </c>
      <c r="BM352" s="2" t="s">
        <v>6817</v>
      </c>
      <c r="BN352" s="2" t="n">
        <v>24661686</v>
      </c>
      <c r="BO352" s="2" t="s">
        <v>1227</v>
      </c>
      <c r="BP352" s="2"/>
      <c r="BQ352" s="2"/>
      <c r="BR352" s="2" t="s">
        <v>104</v>
      </c>
      <c r="BS352" s="2" t="s">
        <v>6818</v>
      </c>
      <c r="BT352" s="2" t="str">
        <f aca="false">HYPERLINK("https%3A%2F%2Fwww.webofscience.com%2Fwos%2Fwoscc%2Ffull-record%2FWOS:000336638200016","View Full Record in Web of Science")</f>
        <v>View Full Record in Web of Science</v>
      </c>
    </row>
    <row r="353" customFormat="false" ht="12.75" hidden="false" customHeight="false" outlineLevel="0" collapsed="false">
      <c r="A353" s="2" t="s">
        <v>72</v>
      </c>
      <c r="B353" s="2" t="s">
        <v>6819</v>
      </c>
      <c r="C353" s="2"/>
      <c r="D353" s="2"/>
      <c r="E353" s="2"/>
      <c r="F353" s="2" t="s">
        <v>6820</v>
      </c>
      <c r="G353" s="2"/>
      <c r="H353" s="2"/>
      <c r="I353" s="2" t="s">
        <v>6821</v>
      </c>
      <c r="J353" s="2" t="s">
        <v>6822</v>
      </c>
      <c r="K353" s="2"/>
      <c r="L353" s="2"/>
      <c r="M353" s="2" t="s">
        <v>77</v>
      </c>
      <c r="N353" s="2" t="s">
        <v>78</v>
      </c>
      <c r="O353" s="2"/>
      <c r="P353" s="2"/>
      <c r="Q353" s="2"/>
      <c r="R353" s="2"/>
      <c r="S353" s="2"/>
      <c r="T353" s="2" t="s">
        <v>6823</v>
      </c>
      <c r="U353" s="2" t="s">
        <v>6824</v>
      </c>
      <c r="V353" s="2" t="s">
        <v>6825</v>
      </c>
      <c r="W353" s="2" t="s">
        <v>6826</v>
      </c>
      <c r="X353" s="2" t="s">
        <v>6827</v>
      </c>
      <c r="Y353" s="2" t="s">
        <v>6828</v>
      </c>
      <c r="Z353" s="2" t="s">
        <v>6829</v>
      </c>
      <c r="AA353" s="2"/>
      <c r="AB353" s="2"/>
      <c r="AC353" s="2" t="s">
        <v>6830</v>
      </c>
      <c r="AD353" s="2" t="s">
        <v>6831</v>
      </c>
      <c r="AE353" s="2" t="s">
        <v>6832</v>
      </c>
      <c r="AF353" s="2"/>
      <c r="AG353" s="2" t="n">
        <v>12</v>
      </c>
      <c r="AH353" s="2" t="n">
        <v>5</v>
      </c>
      <c r="AI353" s="2" t="n">
        <v>5</v>
      </c>
      <c r="AJ353" s="2" t="n">
        <v>0</v>
      </c>
      <c r="AK353" s="2" t="n">
        <v>2</v>
      </c>
      <c r="AL353" s="2" t="s">
        <v>6833</v>
      </c>
      <c r="AM353" s="2" t="s">
        <v>593</v>
      </c>
      <c r="AN353" s="2" t="s">
        <v>6834</v>
      </c>
      <c r="AO353" s="2" t="s">
        <v>6835</v>
      </c>
      <c r="AP353" s="2" t="s">
        <v>6836</v>
      </c>
      <c r="AQ353" s="2"/>
      <c r="AR353" s="2" t="s">
        <v>6837</v>
      </c>
      <c r="AS353" s="2" t="s">
        <v>6838</v>
      </c>
      <c r="AT353" s="2" t="s">
        <v>1041</v>
      </c>
      <c r="AU353" s="2" t="n">
        <v>2014</v>
      </c>
      <c r="AV353" s="2" t="n">
        <v>142</v>
      </c>
      <c r="AW353" s="2" t="n">
        <v>2</v>
      </c>
      <c r="AX353" s="2"/>
      <c r="AY353" s="2"/>
      <c r="AZ353" s="2"/>
      <c r="BA353" s="2"/>
      <c r="BB353" s="2" t="n">
        <v>424</v>
      </c>
      <c r="BC353" s="2" t="n">
        <v>427</v>
      </c>
      <c r="BD353" s="2"/>
      <c r="BE353" s="2" t="s">
        <v>6839</v>
      </c>
      <c r="BF353" s="2" t="str">
        <f aca="false">HYPERLINK("http://dx.doi.org/10.1017/S0950268813001246","http://dx.doi.org/10.1017/S0950268813001246")</f>
        <v>http://dx.doi.org/10.1017/S0950268813001246</v>
      </c>
      <c r="BG353" s="2"/>
      <c r="BH353" s="2"/>
      <c r="BI353" s="2" t="n">
        <v>4</v>
      </c>
      <c r="BJ353" s="2" t="s">
        <v>2113</v>
      </c>
      <c r="BK353" s="2" t="s">
        <v>100</v>
      </c>
      <c r="BL353" s="2" t="s">
        <v>2113</v>
      </c>
      <c r="BM353" s="2" t="s">
        <v>6840</v>
      </c>
      <c r="BN353" s="2" t="n">
        <v>23702099</v>
      </c>
      <c r="BO353" s="2" t="s">
        <v>1267</v>
      </c>
      <c r="BP353" s="2"/>
      <c r="BQ353" s="2"/>
      <c r="BR353" s="2" t="s">
        <v>104</v>
      </c>
      <c r="BS353" s="2" t="s">
        <v>6841</v>
      </c>
      <c r="BT353" s="2" t="str">
        <f aca="false">HYPERLINK("https%3A%2F%2Fwww.webofscience.com%2Fwos%2Fwoscc%2Ffull-record%2FWOS:000332524300024","View Full Record in Web of Science")</f>
        <v>View Full Record in Web of Science</v>
      </c>
    </row>
    <row r="354" customFormat="false" ht="12.75" hidden="false" customHeight="false" outlineLevel="0" collapsed="false">
      <c r="A354" s="2" t="s">
        <v>72</v>
      </c>
      <c r="B354" s="2" t="s">
        <v>6842</v>
      </c>
      <c r="C354" s="2"/>
      <c r="D354" s="2"/>
      <c r="E354" s="2"/>
      <c r="F354" s="2" t="s">
        <v>6843</v>
      </c>
      <c r="G354" s="2"/>
      <c r="H354" s="2"/>
      <c r="I354" s="2" t="s">
        <v>6844</v>
      </c>
      <c r="J354" s="2" t="s">
        <v>6845</v>
      </c>
      <c r="K354" s="2"/>
      <c r="L354" s="2"/>
      <c r="M354" s="2" t="s">
        <v>77</v>
      </c>
      <c r="N354" s="2" t="s">
        <v>78</v>
      </c>
      <c r="O354" s="2"/>
      <c r="P354" s="2"/>
      <c r="Q354" s="2"/>
      <c r="R354" s="2"/>
      <c r="S354" s="2"/>
      <c r="T354" s="2" t="s">
        <v>6846</v>
      </c>
      <c r="U354" s="2" t="s">
        <v>6847</v>
      </c>
      <c r="V354" s="2" t="s">
        <v>6848</v>
      </c>
      <c r="W354" s="2" t="s">
        <v>6849</v>
      </c>
      <c r="X354" s="2" t="s">
        <v>1501</v>
      </c>
      <c r="Y354" s="2" t="s">
        <v>6850</v>
      </c>
      <c r="Z354" s="2" t="s">
        <v>6851</v>
      </c>
      <c r="AA354" s="2" t="s">
        <v>6852</v>
      </c>
      <c r="AB354" s="2"/>
      <c r="AC354" s="2" t="s">
        <v>6853</v>
      </c>
      <c r="AD354" s="2" t="s">
        <v>6854</v>
      </c>
      <c r="AE354" s="2" t="s">
        <v>6855</v>
      </c>
      <c r="AF354" s="2"/>
      <c r="AG354" s="2" t="n">
        <v>24</v>
      </c>
      <c r="AH354" s="2" t="n">
        <v>14</v>
      </c>
      <c r="AI354" s="2" t="n">
        <v>15</v>
      </c>
      <c r="AJ354" s="2" t="n">
        <v>0</v>
      </c>
      <c r="AK354" s="2" t="n">
        <v>11</v>
      </c>
      <c r="AL354" s="2" t="s">
        <v>6833</v>
      </c>
      <c r="AM354" s="2" t="s">
        <v>1705</v>
      </c>
      <c r="AN354" s="2" t="s">
        <v>6856</v>
      </c>
      <c r="AO354" s="2" t="s">
        <v>6835</v>
      </c>
      <c r="AP354" s="2" t="s">
        <v>6836</v>
      </c>
      <c r="AQ354" s="2"/>
      <c r="AR354" s="2" t="s">
        <v>6837</v>
      </c>
      <c r="AS354" s="2" t="s">
        <v>6838</v>
      </c>
      <c r="AT354" s="2" t="s">
        <v>161</v>
      </c>
      <c r="AU354" s="2" t="n">
        <v>2016</v>
      </c>
      <c r="AV354" s="2" t="n">
        <v>144</v>
      </c>
      <c r="AW354" s="2" t="n">
        <v>2</v>
      </c>
      <c r="AX354" s="2"/>
      <c r="AY354" s="2"/>
      <c r="AZ354" s="2"/>
      <c r="BA354" s="2"/>
      <c r="BB354" s="2" t="n">
        <v>325</v>
      </c>
      <c r="BC354" s="2" t="n">
        <v>332</v>
      </c>
      <c r="BD354" s="2"/>
      <c r="BE354" s="2" t="s">
        <v>6857</v>
      </c>
      <c r="BF354" s="2" t="str">
        <f aca="false">HYPERLINK("http://dx.doi.org/10.1017/S0950268815001478","http://dx.doi.org/10.1017/S0950268815001478")</f>
        <v>http://dx.doi.org/10.1017/S0950268815001478</v>
      </c>
      <c r="BG354" s="2"/>
      <c r="BH354" s="2"/>
      <c r="BI354" s="2" t="n">
        <v>8</v>
      </c>
      <c r="BJ354" s="2" t="s">
        <v>2113</v>
      </c>
      <c r="BK354" s="2" t="s">
        <v>100</v>
      </c>
      <c r="BL354" s="2" t="s">
        <v>2113</v>
      </c>
      <c r="BM354" s="2" t="s">
        <v>6858</v>
      </c>
      <c r="BN354" s="2" t="n">
        <v>26135239</v>
      </c>
      <c r="BO354" s="2" t="s">
        <v>656</v>
      </c>
      <c r="BP354" s="2"/>
      <c r="BQ354" s="2"/>
      <c r="BR354" s="2" t="s">
        <v>104</v>
      </c>
      <c r="BS354" s="2" t="s">
        <v>6859</v>
      </c>
      <c r="BT354" s="2" t="str">
        <f aca="false">HYPERLINK("https%3A%2F%2Fwww.webofscience.com%2Fwos%2Fwoscc%2Ffull-record%2FWOS:000368638100014","View Full Record in Web of Science")</f>
        <v>View Full Record in Web of Science</v>
      </c>
    </row>
    <row r="355" customFormat="false" ht="12.75" hidden="false" customHeight="false" outlineLevel="0" collapsed="false">
      <c r="A355" s="2" t="s">
        <v>72</v>
      </c>
      <c r="B355" s="2" t="s">
        <v>6860</v>
      </c>
      <c r="C355" s="2"/>
      <c r="D355" s="2"/>
      <c r="E355" s="2"/>
      <c r="F355" s="2" t="s">
        <v>6861</v>
      </c>
      <c r="G355" s="2"/>
      <c r="H355" s="2"/>
      <c r="I355" s="2" t="s">
        <v>6862</v>
      </c>
      <c r="J355" s="2" t="s">
        <v>6863</v>
      </c>
      <c r="K355" s="2"/>
      <c r="L355" s="2"/>
      <c r="M355" s="2" t="s">
        <v>77</v>
      </c>
      <c r="N355" s="2" t="s">
        <v>78</v>
      </c>
      <c r="O355" s="2"/>
      <c r="P355" s="2"/>
      <c r="Q355" s="2"/>
      <c r="R355" s="2"/>
      <c r="S355" s="2"/>
      <c r="T355" s="2" t="s">
        <v>6864</v>
      </c>
      <c r="U355" s="2" t="s">
        <v>6865</v>
      </c>
      <c r="V355" s="2" t="s">
        <v>6866</v>
      </c>
      <c r="W355" s="2" t="s">
        <v>6867</v>
      </c>
      <c r="X355" s="2" t="s">
        <v>6868</v>
      </c>
      <c r="Y355" s="2" t="s">
        <v>6869</v>
      </c>
      <c r="Z355" s="2" t="s">
        <v>6870</v>
      </c>
      <c r="AA355" s="2" t="s">
        <v>6871</v>
      </c>
      <c r="AB355" s="2" t="s">
        <v>6872</v>
      </c>
      <c r="AC355" s="2" t="s">
        <v>6873</v>
      </c>
      <c r="AD355" s="2" t="s">
        <v>6874</v>
      </c>
      <c r="AE355" s="2" t="s">
        <v>6875</v>
      </c>
      <c r="AF355" s="2"/>
      <c r="AG355" s="2" t="n">
        <v>42</v>
      </c>
      <c r="AH355" s="2" t="n">
        <v>20</v>
      </c>
      <c r="AI355" s="2" t="n">
        <v>20</v>
      </c>
      <c r="AJ355" s="2" t="n">
        <v>0</v>
      </c>
      <c r="AK355" s="2" t="n">
        <v>3</v>
      </c>
      <c r="AL355" s="2" t="s">
        <v>6876</v>
      </c>
      <c r="AM355" s="2" t="s">
        <v>6877</v>
      </c>
      <c r="AN355" s="2" t="s">
        <v>6878</v>
      </c>
      <c r="AO355" s="2" t="s">
        <v>6879</v>
      </c>
      <c r="AP355" s="2" t="s">
        <v>6880</v>
      </c>
      <c r="AQ355" s="2"/>
      <c r="AR355" s="2" t="s">
        <v>6881</v>
      </c>
      <c r="AS355" s="2" t="s">
        <v>6882</v>
      </c>
      <c r="AT355" s="2" t="s">
        <v>6883</v>
      </c>
      <c r="AU355" s="2" t="n">
        <v>2019</v>
      </c>
      <c r="AV355" s="2" t="n">
        <v>294</v>
      </c>
      <c r="AW355" s="2" t="n">
        <v>10</v>
      </c>
      <c r="AX355" s="2"/>
      <c r="AY355" s="2"/>
      <c r="AZ355" s="2"/>
      <c r="BA355" s="2"/>
      <c r="BB355" s="2" t="n">
        <v>3647</v>
      </c>
      <c r="BC355" s="2" t="n">
        <v>3660</v>
      </c>
      <c r="BD355" s="2"/>
      <c r="BE355" s="2" t="s">
        <v>6884</v>
      </c>
      <c r="BF355" s="2" t="str">
        <f aca="false">HYPERLINK("http://dx.doi.org/10.1074/jbc.RA118.006453","http://dx.doi.org/10.1074/jbc.RA118.006453")</f>
        <v>http://dx.doi.org/10.1074/jbc.RA118.006453</v>
      </c>
      <c r="BG355" s="2"/>
      <c r="BH355" s="2"/>
      <c r="BI355" s="2" t="n">
        <v>14</v>
      </c>
      <c r="BJ355" s="2" t="s">
        <v>4523</v>
      </c>
      <c r="BK355" s="2" t="s">
        <v>100</v>
      </c>
      <c r="BL355" s="2" t="s">
        <v>4523</v>
      </c>
      <c r="BM355" s="2" t="s">
        <v>6885</v>
      </c>
      <c r="BN355" s="2" t="n">
        <v>30626736</v>
      </c>
      <c r="BO355" s="2" t="s">
        <v>6886</v>
      </c>
      <c r="BP355" s="2"/>
      <c r="BQ355" s="2"/>
      <c r="BR355" s="2" t="s">
        <v>104</v>
      </c>
      <c r="BS355" s="2" t="s">
        <v>6887</v>
      </c>
      <c r="BT355" s="2" t="str">
        <f aca="false">HYPERLINK("https%3A%2F%2Fwww.webofscience.com%2Fwos%2Fwoscc%2Ffull-record%2FWOS:000461853900027","View Full Record in Web of Science")</f>
        <v>View Full Record in Web of Science</v>
      </c>
    </row>
    <row r="356" customFormat="false" ht="12.75" hidden="false" customHeight="false" outlineLevel="0" collapsed="false">
      <c r="A356" s="2" t="s">
        <v>72</v>
      </c>
      <c r="B356" s="2" t="s">
        <v>6888</v>
      </c>
      <c r="C356" s="2"/>
      <c r="D356" s="2"/>
      <c r="E356" s="2"/>
      <c r="F356" s="2" t="s">
        <v>6889</v>
      </c>
      <c r="G356" s="2"/>
      <c r="H356" s="2"/>
      <c r="I356" s="2" t="s">
        <v>6890</v>
      </c>
      <c r="J356" s="2" t="s">
        <v>6891</v>
      </c>
      <c r="K356" s="2"/>
      <c r="L356" s="2"/>
      <c r="M356" s="2" t="s">
        <v>77</v>
      </c>
      <c r="N356" s="2" t="s">
        <v>78</v>
      </c>
      <c r="O356" s="2"/>
      <c r="P356" s="2"/>
      <c r="Q356" s="2"/>
      <c r="R356" s="2"/>
      <c r="S356" s="2"/>
      <c r="T356" s="2" t="s">
        <v>6892</v>
      </c>
      <c r="U356" s="2" t="s">
        <v>6893</v>
      </c>
      <c r="V356" s="2" t="s">
        <v>6894</v>
      </c>
      <c r="W356" s="2" t="s">
        <v>6895</v>
      </c>
      <c r="X356" s="2" t="s">
        <v>6896</v>
      </c>
      <c r="Y356" s="2" t="s">
        <v>6897</v>
      </c>
      <c r="Z356" s="2" t="s">
        <v>6898</v>
      </c>
      <c r="AA356" s="2" t="s">
        <v>6899</v>
      </c>
      <c r="AB356" s="2" t="s">
        <v>6900</v>
      </c>
      <c r="AC356" s="2" t="s">
        <v>6901</v>
      </c>
      <c r="AD356" s="2" t="s">
        <v>6902</v>
      </c>
      <c r="AE356" s="2" t="s">
        <v>6903</v>
      </c>
      <c r="AF356" s="2"/>
      <c r="AG356" s="2" t="n">
        <v>205</v>
      </c>
      <c r="AH356" s="2" t="n">
        <v>20</v>
      </c>
      <c r="AI356" s="2" t="n">
        <v>22</v>
      </c>
      <c r="AJ356" s="2" t="n">
        <v>0</v>
      </c>
      <c r="AK356" s="2" t="n">
        <v>37</v>
      </c>
      <c r="AL356" s="2" t="s">
        <v>4598</v>
      </c>
      <c r="AM356" s="2" t="s">
        <v>4599</v>
      </c>
      <c r="AN356" s="2" t="s">
        <v>4600</v>
      </c>
      <c r="AO356" s="2" t="s">
        <v>6904</v>
      </c>
      <c r="AP356" s="2" t="s">
        <v>6905</v>
      </c>
      <c r="AQ356" s="2"/>
      <c r="AR356" s="2" t="s">
        <v>6906</v>
      </c>
      <c r="AS356" s="2" t="s">
        <v>6907</v>
      </c>
      <c r="AT356" s="2" t="s">
        <v>1041</v>
      </c>
      <c r="AU356" s="2" t="n">
        <v>2013</v>
      </c>
      <c r="AV356" s="2" t="n">
        <v>19</v>
      </c>
      <c r="AW356" s="2" t="n">
        <v>6</v>
      </c>
      <c r="AX356" s="2"/>
      <c r="AY356" s="2"/>
      <c r="AZ356" s="2"/>
      <c r="BA356" s="2"/>
      <c r="BB356" s="2" t="n">
        <v>1090</v>
      </c>
      <c r="BC356" s="2" t="n">
        <v>1113</v>
      </c>
      <c r="BD356" s="2"/>
      <c r="BE356" s="2"/>
      <c r="BF356" s="2"/>
      <c r="BG356" s="2"/>
      <c r="BH356" s="2"/>
      <c r="BI356" s="2" t="n">
        <v>24</v>
      </c>
      <c r="BJ356" s="2" t="s">
        <v>101</v>
      </c>
      <c r="BK356" s="2" t="s">
        <v>100</v>
      </c>
      <c r="BL356" s="2" t="s">
        <v>101</v>
      </c>
      <c r="BM356" s="2" t="s">
        <v>6908</v>
      </c>
      <c r="BN356" s="2" t="n">
        <v>23016681</v>
      </c>
      <c r="BO356" s="2"/>
      <c r="BP356" s="2"/>
      <c r="BQ356" s="2"/>
      <c r="BR356" s="2" t="s">
        <v>104</v>
      </c>
      <c r="BS356" s="2" t="s">
        <v>6909</v>
      </c>
      <c r="BT356" s="2" t="str">
        <f aca="false">HYPERLINK("https%3A%2F%2Fwww.webofscience.com%2Fwos%2Fwoscc%2Ffull-record%2FWOS:000316450700011","View Full Record in Web of Science")</f>
        <v>View Full Record in Web of Science</v>
      </c>
    </row>
    <row r="357" customFormat="false" ht="12.75" hidden="false" customHeight="false" outlineLevel="0" collapsed="false">
      <c r="A357" s="2" t="s">
        <v>72</v>
      </c>
      <c r="B357" s="2" t="s">
        <v>6910</v>
      </c>
      <c r="C357" s="2"/>
      <c r="D357" s="2"/>
      <c r="E357" s="2"/>
      <c r="F357" s="2" t="s">
        <v>6911</v>
      </c>
      <c r="G357" s="2"/>
      <c r="H357" s="2"/>
      <c r="I357" s="2" t="s">
        <v>6912</v>
      </c>
      <c r="J357" s="2" t="s">
        <v>3719</v>
      </c>
      <c r="K357" s="2"/>
      <c r="L357" s="2"/>
      <c r="M357" s="2" t="s">
        <v>77</v>
      </c>
      <c r="N357" s="2" t="s">
        <v>78</v>
      </c>
      <c r="O357" s="2"/>
      <c r="P357" s="2"/>
      <c r="Q357" s="2"/>
      <c r="R357" s="2"/>
      <c r="S357" s="2"/>
      <c r="T357" s="2" t="s">
        <v>6913</v>
      </c>
      <c r="U357" s="2" t="s">
        <v>6914</v>
      </c>
      <c r="V357" s="2" t="s">
        <v>6915</v>
      </c>
      <c r="W357" s="2" t="s">
        <v>6916</v>
      </c>
      <c r="X357" s="2" t="s">
        <v>6917</v>
      </c>
      <c r="Y357" s="2" t="s">
        <v>6918</v>
      </c>
      <c r="Z357" s="2" t="s">
        <v>2252</v>
      </c>
      <c r="AA357" s="2" t="s">
        <v>6919</v>
      </c>
      <c r="AB357" s="2" t="s">
        <v>6920</v>
      </c>
      <c r="AC357" s="2"/>
      <c r="AD357" s="2"/>
      <c r="AE357" s="2"/>
      <c r="AF357" s="2"/>
      <c r="AG357" s="2" t="n">
        <v>42</v>
      </c>
      <c r="AH357" s="2" t="n">
        <v>7</v>
      </c>
      <c r="AI357" s="2" t="n">
        <v>7</v>
      </c>
      <c r="AJ357" s="2" t="n">
        <v>0</v>
      </c>
      <c r="AK357" s="2" t="n">
        <v>2</v>
      </c>
      <c r="AL357" s="2" t="s">
        <v>3584</v>
      </c>
      <c r="AM357" s="2" t="s">
        <v>303</v>
      </c>
      <c r="AN357" s="2" t="s">
        <v>3585</v>
      </c>
      <c r="AO357" s="2" t="s">
        <v>3732</v>
      </c>
      <c r="AP357" s="2" t="s">
        <v>4677</v>
      </c>
      <c r="AQ357" s="2"/>
      <c r="AR357" s="2" t="s">
        <v>3733</v>
      </c>
      <c r="AS357" s="2" t="s">
        <v>3734</v>
      </c>
      <c r="AT357" s="2" t="s">
        <v>97</v>
      </c>
      <c r="AU357" s="2" t="n">
        <v>2020</v>
      </c>
      <c r="AV357" s="2" t="n">
        <v>80</v>
      </c>
      <c r="AW357" s="2" t="n">
        <v>3</v>
      </c>
      <c r="AX357" s="2"/>
      <c r="AY357" s="2"/>
      <c r="AZ357" s="2"/>
      <c r="BA357" s="2"/>
      <c r="BB357" s="2" t="n">
        <v>333</v>
      </c>
      <c r="BC357" s="2" t="n">
        <v>341</v>
      </c>
      <c r="BD357" s="2"/>
      <c r="BE357" s="2" t="s">
        <v>6921</v>
      </c>
      <c r="BF357" s="2" t="str">
        <f aca="false">HYPERLINK("http://dx.doi.org/10.1016/j.jinf.2019.12.022","http://dx.doi.org/10.1016/j.jinf.2019.12.022")</f>
        <v>http://dx.doi.org/10.1016/j.jinf.2019.12.022</v>
      </c>
      <c r="BG357" s="2"/>
      <c r="BH357" s="2"/>
      <c r="BI357" s="2" t="n">
        <v>9</v>
      </c>
      <c r="BJ357" s="2" t="s">
        <v>575</v>
      </c>
      <c r="BK357" s="2" t="s">
        <v>100</v>
      </c>
      <c r="BL357" s="2" t="s">
        <v>575</v>
      </c>
      <c r="BM357" s="2" t="s">
        <v>6922</v>
      </c>
      <c r="BN357" s="2" t="n">
        <v>31972212</v>
      </c>
      <c r="BO357" s="2" t="s">
        <v>136</v>
      </c>
      <c r="BP357" s="2"/>
      <c r="BQ357" s="2"/>
      <c r="BR357" s="2" t="s">
        <v>104</v>
      </c>
      <c r="BS357" s="2" t="s">
        <v>6923</v>
      </c>
      <c r="BT357" s="2" t="str">
        <f aca="false">HYPERLINK("https%3A%2F%2Fwww.webofscience.com%2Fwos%2Fwoscc%2Ffull-record%2FWOS:000516606700012","View Full Record in Web of Science")</f>
        <v>View Full Record in Web of Science</v>
      </c>
    </row>
    <row r="358" customFormat="false" ht="12.75" hidden="false" customHeight="false" outlineLevel="0" collapsed="false">
      <c r="A358" s="2" t="s">
        <v>72</v>
      </c>
      <c r="B358" s="2" t="s">
        <v>6924</v>
      </c>
      <c r="C358" s="2"/>
      <c r="D358" s="2"/>
      <c r="E358" s="2"/>
      <c r="F358" s="2" t="s">
        <v>6925</v>
      </c>
      <c r="G358" s="2"/>
      <c r="H358" s="2"/>
      <c r="I358" s="2" t="s">
        <v>6926</v>
      </c>
      <c r="J358" s="2" t="s">
        <v>607</v>
      </c>
      <c r="K358" s="2"/>
      <c r="L358" s="2"/>
      <c r="M358" s="2" t="s">
        <v>77</v>
      </c>
      <c r="N358" s="2" t="s">
        <v>78</v>
      </c>
      <c r="O358" s="2"/>
      <c r="P358" s="2"/>
      <c r="Q358" s="2"/>
      <c r="R358" s="2"/>
      <c r="S358" s="2"/>
      <c r="T358" s="2" t="s">
        <v>6927</v>
      </c>
      <c r="U358" s="2" t="s">
        <v>6928</v>
      </c>
      <c r="V358" s="2" t="s">
        <v>6929</v>
      </c>
      <c r="W358" s="2" t="s">
        <v>6930</v>
      </c>
      <c r="X358" s="2" t="s">
        <v>6931</v>
      </c>
      <c r="Y358" s="2" t="s">
        <v>6932</v>
      </c>
      <c r="Z358" s="2" t="s">
        <v>6933</v>
      </c>
      <c r="AA358" s="2" t="s">
        <v>6934</v>
      </c>
      <c r="AB358" s="2" t="s">
        <v>6935</v>
      </c>
      <c r="AC358" s="2" t="s">
        <v>6936</v>
      </c>
      <c r="AD358" s="2" t="s">
        <v>6937</v>
      </c>
      <c r="AE358" s="2"/>
      <c r="AF358" s="2"/>
      <c r="AG358" s="2" t="n">
        <v>33</v>
      </c>
      <c r="AH358" s="2" t="n">
        <v>3</v>
      </c>
      <c r="AI358" s="2" t="n">
        <v>3</v>
      </c>
      <c r="AJ358" s="2" t="n">
        <v>0</v>
      </c>
      <c r="AK358" s="2" t="n">
        <v>4</v>
      </c>
      <c r="AL358" s="2" t="s">
        <v>620</v>
      </c>
      <c r="AM358" s="2" t="s">
        <v>621</v>
      </c>
      <c r="AN358" s="2" t="s">
        <v>622</v>
      </c>
      <c r="AO358" s="2" t="s">
        <v>623</v>
      </c>
      <c r="AP358" s="2"/>
      <c r="AQ358" s="2"/>
      <c r="AR358" s="2" t="s">
        <v>624</v>
      </c>
      <c r="AS358" s="2" t="s">
        <v>625</v>
      </c>
      <c r="AT358" s="2" t="s">
        <v>6086</v>
      </c>
      <c r="AU358" s="2" t="n">
        <v>2021</v>
      </c>
      <c r="AV358" s="2" t="n">
        <v>12</v>
      </c>
      <c r="AW358" s="2"/>
      <c r="AX358" s="2"/>
      <c r="AY358" s="2"/>
      <c r="AZ358" s="2"/>
      <c r="BA358" s="2"/>
      <c r="BB358" s="2"/>
      <c r="BC358" s="2"/>
      <c r="BD358" s="2" t="n">
        <v>767666</v>
      </c>
      <c r="BE358" s="2" t="s">
        <v>6938</v>
      </c>
      <c r="BF358" s="2" t="str">
        <f aca="false">HYPERLINK("http://dx.doi.org/10.3389/fimmu.2021.767666","http://dx.doi.org/10.3389/fimmu.2021.767666")</f>
        <v>http://dx.doi.org/10.3389/fimmu.2021.767666</v>
      </c>
      <c r="BG358" s="2"/>
      <c r="BH358" s="2"/>
      <c r="BI358" s="2" t="n">
        <v>12</v>
      </c>
      <c r="BJ358" s="2" t="s">
        <v>628</v>
      </c>
      <c r="BK358" s="2" t="s">
        <v>100</v>
      </c>
      <c r="BL358" s="2" t="s">
        <v>628</v>
      </c>
      <c r="BM358" s="2" t="s">
        <v>6939</v>
      </c>
      <c r="BN358" s="2" t="n">
        <v>34899719</v>
      </c>
      <c r="BO358" s="2" t="s">
        <v>103</v>
      </c>
      <c r="BP358" s="2"/>
      <c r="BQ358" s="2"/>
      <c r="BR358" s="2" t="s">
        <v>104</v>
      </c>
      <c r="BS358" s="2" t="s">
        <v>6940</v>
      </c>
      <c r="BT358" s="2" t="str">
        <f aca="false">HYPERLINK("https%3A%2F%2Fwww.webofscience.com%2Fwos%2Fwoscc%2Ffull-record%2FWOS:000728788700001","View Full Record in Web of Science")</f>
        <v>View Full Record in Web of Science</v>
      </c>
    </row>
    <row r="359" customFormat="false" ht="12.75" hidden="false" customHeight="false" outlineLevel="0" collapsed="false">
      <c r="A359" s="2" t="s">
        <v>72</v>
      </c>
      <c r="B359" s="2" t="s">
        <v>6941</v>
      </c>
      <c r="C359" s="2"/>
      <c r="D359" s="2"/>
      <c r="E359" s="2"/>
      <c r="F359" s="2" t="s">
        <v>6942</v>
      </c>
      <c r="G359" s="2"/>
      <c r="H359" s="2"/>
      <c r="I359" s="2" t="s">
        <v>6943</v>
      </c>
      <c r="J359" s="2" t="s">
        <v>2021</v>
      </c>
      <c r="K359" s="2"/>
      <c r="L359" s="2"/>
      <c r="M359" s="2" t="s">
        <v>77</v>
      </c>
      <c r="N359" s="2" t="s">
        <v>78</v>
      </c>
      <c r="O359" s="2"/>
      <c r="P359" s="2"/>
      <c r="Q359" s="2"/>
      <c r="R359" s="2"/>
      <c r="S359" s="2"/>
      <c r="T359" s="2" t="s">
        <v>6944</v>
      </c>
      <c r="U359" s="2" t="s">
        <v>6945</v>
      </c>
      <c r="V359" s="2" t="s">
        <v>6946</v>
      </c>
      <c r="W359" s="2" t="s">
        <v>6947</v>
      </c>
      <c r="X359" s="2" t="s">
        <v>6948</v>
      </c>
      <c r="Y359" s="2" t="s">
        <v>6949</v>
      </c>
      <c r="Z359" s="2" t="s">
        <v>6950</v>
      </c>
      <c r="AA359" s="2"/>
      <c r="AB359" s="2"/>
      <c r="AC359" s="2"/>
      <c r="AD359" s="2"/>
      <c r="AE359" s="2"/>
      <c r="AF359" s="2"/>
      <c r="AG359" s="2" t="n">
        <v>27</v>
      </c>
      <c r="AH359" s="2" t="n">
        <v>31</v>
      </c>
      <c r="AI359" s="2" t="n">
        <v>31</v>
      </c>
      <c r="AJ359" s="2" t="n">
        <v>1</v>
      </c>
      <c r="AK359" s="2" t="n">
        <v>2</v>
      </c>
      <c r="AL359" s="2" t="s">
        <v>527</v>
      </c>
      <c r="AM359" s="2" t="s">
        <v>528</v>
      </c>
      <c r="AN359" s="2" t="s">
        <v>529</v>
      </c>
      <c r="AO359" s="2" t="s">
        <v>2033</v>
      </c>
      <c r="AP359" s="2" t="s">
        <v>2034</v>
      </c>
      <c r="AQ359" s="2"/>
      <c r="AR359" s="2" t="s">
        <v>2035</v>
      </c>
      <c r="AS359" s="2" t="s">
        <v>2036</v>
      </c>
      <c r="AT359" s="2" t="s">
        <v>5685</v>
      </c>
      <c r="AU359" s="2" t="n">
        <v>2020</v>
      </c>
      <c r="AV359" s="2" t="n">
        <v>71</v>
      </c>
      <c r="AW359" s="2" t="n">
        <v>7</v>
      </c>
      <c r="AX359" s="2"/>
      <c r="AY359" s="2"/>
      <c r="AZ359" s="2"/>
      <c r="BA359" s="2"/>
      <c r="BB359" s="2" t="n">
        <v>1684</v>
      </c>
      <c r="BC359" s="2" t="n">
        <v>1689</v>
      </c>
      <c r="BD359" s="2"/>
      <c r="BE359" s="2" t="s">
        <v>6951</v>
      </c>
      <c r="BF359" s="2" t="str">
        <f aca="false">HYPERLINK("http://dx.doi.org/10.1093/cid/ciz1042","http://dx.doi.org/10.1093/cid/ciz1042")</f>
        <v>http://dx.doi.org/10.1093/cid/ciz1042</v>
      </c>
      <c r="BG359" s="2"/>
      <c r="BH359" s="2"/>
      <c r="BI359" s="2" t="n">
        <v>6</v>
      </c>
      <c r="BJ359" s="2" t="s">
        <v>536</v>
      </c>
      <c r="BK359" s="2" t="s">
        <v>100</v>
      </c>
      <c r="BL359" s="2" t="s">
        <v>536</v>
      </c>
      <c r="BM359" s="2" t="s">
        <v>6952</v>
      </c>
      <c r="BN359" s="2" t="n">
        <v>31637442</v>
      </c>
      <c r="BO359" s="2" t="s">
        <v>538</v>
      </c>
      <c r="BP359" s="2"/>
      <c r="BQ359" s="2"/>
      <c r="BR359" s="2" t="s">
        <v>104</v>
      </c>
      <c r="BS359" s="2" t="s">
        <v>6953</v>
      </c>
      <c r="BT359" s="2" t="str">
        <f aca="false">HYPERLINK("https%3A%2F%2Fwww.webofscience.com%2Fwos%2Fwoscc%2Ffull-record%2FWOS:000593002000038","View Full Record in Web of Science")</f>
        <v>View Full Record in Web of Science</v>
      </c>
    </row>
    <row r="360" customFormat="false" ht="12.75" hidden="false" customHeight="false" outlineLevel="0" collapsed="false">
      <c r="A360" s="2" t="s">
        <v>72</v>
      </c>
      <c r="B360" s="2" t="s">
        <v>6954</v>
      </c>
      <c r="C360" s="2"/>
      <c r="D360" s="2"/>
      <c r="E360" s="2"/>
      <c r="F360" s="2" t="s">
        <v>6955</v>
      </c>
      <c r="G360" s="2"/>
      <c r="H360" s="2"/>
      <c r="I360" s="2" t="s">
        <v>6956</v>
      </c>
      <c r="J360" s="2" t="s">
        <v>2547</v>
      </c>
      <c r="K360" s="2"/>
      <c r="L360" s="2"/>
      <c r="M360" s="2" t="s">
        <v>77</v>
      </c>
      <c r="N360" s="2" t="s">
        <v>78</v>
      </c>
      <c r="O360" s="2"/>
      <c r="P360" s="2"/>
      <c r="Q360" s="2"/>
      <c r="R360" s="2"/>
      <c r="S360" s="2"/>
      <c r="T360" s="2" t="s">
        <v>6957</v>
      </c>
      <c r="U360" s="2" t="s">
        <v>6958</v>
      </c>
      <c r="V360" s="2" t="s">
        <v>6959</v>
      </c>
      <c r="W360" s="2" t="s">
        <v>6960</v>
      </c>
      <c r="X360" s="2" t="s">
        <v>6961</v>
      </c>
      <c r="Y360" s="2" t="s">
        <v>6962</v>
      </c>
      <c r="Z360" s="2" t="s">
        <v>6963</v>
      </c>
      <c r="AA360" s="2" t="s">
        <v>6964</v>
      </c>
      <c r="AB360" s="2" t="s">
        <v>6965</v>
      </c>
      <c r="AC360" s="2" t="s">
        <v>6966</v>
      </c>
      <c r="AD360" s="2" t="s">
        <v>6966</v>
      </c>
      <c r="AE360" s="2" t="s">
        <v>6967</v>
      </c>
      <c r="AF360" s="2"/>
      <c r="AG360" s="2" t="n">
        <v>40</v>
      </c>
      <c r="AH360" s="2" t="n">
        <v>61</v>
      </c>
      <c r="AI360" s="2" t="n">
        <v>68</v>
      </c>
      <c r="AJ360" s="2" t="n">
        <v>0</v>
      </c>
      <c r="AK360" s="2" t="n">
        <v>8</v>
      </c>
      <c r="AL360" s="2" t="s">
        <v>782</v>
      </c>
      <c r="AM360" s="2" t="s">
        <v>783</v>
      </c>
      <c r="AN360" s="2" t="s">
        <v>784</v>
      </c>
      <c r="AO360" s="2" t="s">
        <v>2556</v>
      </c>
      <c r="AP360" s="2" t="s">
        <v>2557</v>
      </c>
      <c r="AQ360" s="2"/>
      <c r="AR360" s="2" t="s">
        <v>2547</v>
      </c>
      <c r="AS360" s="2" t="s">
        <v>2558</v>
      </c>
      <c r="AT360" s="2" t="s">
        <v>6968</v>
      </c>
      <c r="AU360" s="2" t="n">
        <v>2009</v>
      </c>
      <c r="AV360" s="2" t="n">
        <v>27</v>
      </c>
      <c r="AW360" s="2" t="n">
        <v>7</v>
      </c>
      <c r="AX360" s="2"/>
      <c r="AY360" s="2"/>
      <c r="AZ360" s="2"/>
      <c r="BA360" s="2"/>
      <c r="BB360" s="2" t="n">
        <v>1073</v>
      </c>
      <c r="BC360" s="2" t="n">
        <v>1079</v>
      </c>
      <c r="BD360" s="2"/>
      <c r="BE360" s="2" t="s">
        <v>6969</v>
      </c>
      <c r="BF360" s="2" t="str">
        <f aca="false">HYPERLINK("http://dx.doi.org/10.1016/j.vaccine.2008.11.114","http://dx.doi.org/10.1016/j.vaccine.2008.11.114")</f>
        <v>http://dx.doi.org/10.1016/j.vaccine.2008.11.114</v>
      </c>
      <c r="BG360" s="2"/>
      <c r="BH360" s="2"/>
      <c r="BI360" s="2" t="n">
        <v>7</v>
      </c>
      <c r="BJ360" s="2" t="s">
        <v>187</v>
      </c>
      <c r="BK360" s="2" t="s">
        <v>100</v>
      </c>
      <c r="BL360" s="2" t="s">
        <v>188</v>
      </c>
      <c r="BM360" s="2" t="s">
        <v>6970</v>
      </c>
      <c r="BN360" s="2" t="n">
        <v>19114073</v>
      </c>
      <c r="BO360" s="2"/>
      <c r="BP360" s="2"/>
      <c r="BQ360" s="2"/>
      <c r="BR360" s="2" t="s">
        <v>104</v>
      </c>
      <c r="BS360" s="2" t="s">
        <v>6971</v>
      </c>
      <c r="BT360" s="2" t="str">
        <f aca="false">HYPERLINK("https%3A%2F%2Fwww.webofscience.com%2Fwos%2Fwoscc%2Ffull-record%2FWOS:000263712100017","View Full Record in Web of Science")</f>
        <v>View Full Record in Web of Science</v>
      </c>
    </row>
    <row r="361" customFormat="false" ht="12.75" hidden="false" customHeight="false" outlineLevel="0" collapsed="false">
      <c r="A361" s="2" t="s">
        <v>72</v>
      </c>
      <c r="B361" s="2" t="s">
        <v>6972</v>
      </c>
      <c r="C361" s="2"/>
      <c r="D361" s="2"/>
      <c r="E361" s="2"/>
      <c r="F361" s="2" t="s">
        <v>6973</v>
      </c>
      <c r="G361" s="2"/>
      <c r="H361" s="2"/>
      <c r="I361" s="2" t="s">
        <v>6974</v>
      </c>
      <c r="J361" s="2" t="s">
        <v>493</v>
      </c>
      <c r="K361" s="2"/>
      <c r="L361" s="2"/>
      <c r="M361" s="2" t="s">
        <v>77</v>
      </c>
      <c r="N361" s="2" t="s">
        <v>78</v>
      </c>
      <c r="O361" s="2"/>
      <c r="P361" s="2"/>
      <c r="Q361" s="2"/>
      <c r="R361" s="2"/>
      <c r="S361" s="2"/>
      <c r="T361" s="2" t="s">
        <v>6975</v>
      </c>
      <c r="U361" s="2" t="s">
        <v>6976</v>
      </c>
      <c r="V361" s="2" t="s">
        <v>6977</v>
      </c>
      <c r="W361" s="2" t="s">
        <v>6978</v>
      </c>
      <c r="X361" s="2" t="s">
        <v>6979</v>
      </c>
      <c r="Y361" s="2" t="s">
        <v>6980</v>
      </c>
      <c r="Z361" s="2" t="s">
        <v>6981</v>
      </c>
      <c r="AA361" s="2" t="s">
        <v>6982</v>
      </c>
      <c r="AB361" s="2" t="s">
        <v>6983</v>
      </c>
      <c r="AC361" s="2" t="s">
        <v>6984</v>
      </c>
      <c r="AD361" s="2" t="s">
        <v>6984</v>
      </c>
      <c r="AE361" s="2" t="s">
        <v>6985</v>
      </c>
      <c r="AF361" s="2"/>
      <c r="AG361" s="2" t="n">
        <v>55</v>
      </c>
      <c r="AH361" s="2" t="n">
        <v>0</v>
      </c>
      <c r="AI361" s="2" t="n">
        <v>0</v>
      </c>
      <c r="AJ361" s="2" t="n">
        <v>1</v>
      </c>
      <c r="AK361" s="2" t="n">
        <v>1</v>
      </c>
      <c r="AL361" s="2" t="s">
        <v>91</v>
      </c>
      <c r="AM361" s="2" t="s">
        <v>92</v>
      </c>
      <c r="AN361" s="2" t="s">
        <v>93</v>
      </c>
      <c r="AO361" s="2"/>
      <c r="AP361" s="2" t="s">
        <v>506</v>
      </c>
      <c r="AQ361" s="2"/>
      <c r="AR361" s="2" t="s">
        <v>493</v>
      </c>
      <c r="AS361" s="2" t="s">
        <v>507</v>
      </c>
      <c r="AT361" s="2" t="s">
        <v>599</v>
      </c>
      <c r="AU361" s="2" t="n">
        <v>2024</v>
      </c>
      <c r="AV361" s="2" t="n">
        <v>16</v>
      </c>
      <c r="AW361" s="2" t="n">
        <v>7</v>
      </c>
      <c r="AX361" s="2"/>
      <c r="AY361" s="2"/>
      <c r="AZ361" s="2"/>
      <c r="BA361" s="2"/>
      <c r="BB361" s="2"/>
      <c r="BC361" s="2"/>
      <c r="BD361" s="2" t="n">
        <v>1087</v>
      </c>
      <c r="BE361" s="2" t="s">
        <v>6986</v>
      </c>
      <c r="BF361" s="2" t="str">
        <f aca="false">HYPERLINK("http://dx.doi.org/10.3390/v16071087","http://dx.doi.org/10.3390/v16071087")</f>
        <v>http://dx.doi.org/10.3390/v16071087</v>
      </c>
      <c r="BG361" s="2"/>
      <c r="BH361" s="2"/>
      <c r="BI361" s="2" t="n">
        <v>12</v>
      </c>
      <c r="BJ361" s="2" t="s">
        <v>163</v>
      </c>
      <c r="BK361" s="2" t="s">
        <v>100</v>
      </c>
      <c r="BL361" s="2" t="s">
        <v>163</v>
      </c>
      <c r="BM361" s="2" t="s">
        <v>6987</v>
      </c>
      <c r="BN361" s="2" t="n">
        <v>39066249</v>
      </c>
      <c r="BO361" s="2" t="s">
        <v>190</v>
      </c>
      <c r="BP361" s="2"/>
      <c r="BQ361" s="2"/>
      <c r="BR361" s="2" t="s">
        <v>104</v>
      </c>
      <c r="BS361" s="2" t="s">
        <v>6988</v>
      </c>
      <c r="BT361" s="2" t="str">
        <f aca="false">HYPERLINK("https%3A%2F%2Fwww.webofscience.com%2Fwos%2Fwoscc%2Ffull-record%2FWOS:001277643900001","View Full Record in Web of Science")</f>
        <v>View Full Record in Web of Science</v>
      </c>
    </row>
    <row r="362" customFormat="false" ht="12.75" hidden="false" customHeight="false" outlineLevel="0" collapsed="false">
      <c r="A362" s="2" t="s">
        <v>72</v>
      </c>
      <c r="B362" s="2" t="s">
        <v>6989</v>
      </c>
      <c r="C362" s="2"/>
      <c r="D362" s="2"/>
      <c r="E362" s="2"/>
      <c r="F362" s="2" t="s">
        <v>6990</v>
      </c>
      <c r="G362" s="2"/>
      <c r="H362" s="2"/>
      <c r="I362" s="2" t="s">
        <v>6991</v>
      </c>
      <c r="J362" s="2" t="s">
        <v>1232</v>
      </c>
      <c r="K362" s="2"/>
      <c r="L362" s="2"/>
      <c r="M362" s="2" t="s">
        <v>77</v>
      </c>
      <c r="N362" s="2" t="s">
        <v>78</v>
      </c>
      <c r="O362" s="2"/>
      <c r="P362" s="2"/>
      <c r="Q362" s="2"/>
      <c r="R362" s="2"/>
      <c r="S362" s="2"/>
      <c r="T362" s="2" t="s">
        <v>6992</v>
      </c>
      <c r="U362" s="2" t="s">
        <v>6993</v>
      </c>
      <c r="V362" s="2" t="s">
        <v>6994</v>
      </c>
      <c r="W362" s="2" t="s">
        <v>6995</v>
      </c>
      <c r="X362" s="2" t="s">
        <v>6996</v>
      </c>
      <c r="Y362" s="2" t="s">
        <v>6997</v>
      </c>
      <c r="Z362" s="2" t="s">
        <v>6998</v>
      </c>
      <c r="AA362" s="2" t="s">
        <v>6999</v>
      </c>
      <c r="AB362" s="2"/>
      <c r="AC362" s="2" t="s">
        <v>7000</v>
      </c>
      <c r="AD362" s="2" t="s">
        <v>7000</v>
      </c>
      <c r="AE362" s="2" t="s">
        <v>7001</v>
      </c>
      <c r="AF362" s="2"/>
      <c r="AG362" s="2" t="n">
        <v>22</v>
      </c>
      <c r="AH362" s="2" t="n">
        <v>0</v>
      </c>
      <c r="AI362" s="2" t="n">
        <v>0</v>
      </c>
      <c r="AJ362" s="2" t="n">
        <v>0</v>
      </c>
      <c r="AK362" s="2" t="n">
        <v>0</v>
      </c>
      <c r="AL362" s="2" t="s">
        <v>1242</v>
      </c>
      <c r="AM362" s="2" t="s">
        <v>303</v>
      </c>
      <c r="AN362" s="2" t="s">
        <v>467</v>
      </c>
      <c r="AO362" s="2"/>
      <c r="AP362" s="2" t="s">
        <v>1243</v>
      </c>
      <c r="AQ362" s="2"/>
      <c r="AR362" s="2" t="s">
        <v>1244</v>
      </c>
      <c r="AS362" s="2" t="s">
        <v>1245</v>
      </c>
      <c r="AT362" s="2" t="s">
        <v>7002</v>
      </c>
      <c r="AU362" s="2" t="n">
        <v>2024</v>
      </c>
      <c r="AV362" s="2" t="n">
        <v>16</v>
      </c>
      <c r="AW362" s="2" t="n">
        <v>8</v>
      </c>
      <c r="AX362" s="2"/>
      <c r="AY362" s="2"/>
      <c r="AZ362" s="2"/>
      <c r="BA362" s="2"/>
      <c r="BB362" s="2"/>
      <c r="BC362" s="2"/>
      <c r="BD362" s="2" t="s">
        <v>7003</v>
      </c>
      <c r="BE362" s="2" t="s">
        <v>7004</v>
      </c>
      <c r="BF362" s="2" t="str">
        <f aca="false">HYPERLINK("http://dx.doi.org/10.7759/cureus.66897","http://dx.doi.org/10.7759/cureus.66897")</f>
        <v>http://dx.doi.org/10.7759/cureus.66897</v>
      </c>
      <c r="BG362" s="2"/>
      <c r="BH362" s="2"/>
      <c r="BI362" s="2" t="n">
        <v>8</v>
      </c>
      <c r="BJ362" s="2" t="s">
        <v>363</v>
      </c>
      <c r="BK362" s="2" t="s">
        <v>339</v>
      </c>
      <c r="BL362" s="2" t="s">
        <v>364</v>
      </c>
      <c r="BM362" s="2" t="s">
        <v>7005</v>
      </c>
      <c r="BN362" s="2" t="n">
        <v>39280569</v>
      </c>
      <c r="BO362" s="2" t="s">
        <v>190</v>
      </c>
      <c r="BP362" s="2"/>
      <c r="BQ362" s="2"/>
      <c r="BR362" s="2" t="s">
        <v>104</v>
      </c>
      <c r="BS362" s="2" t="s">
        <v>7006</v>
      </c>
      <c r="BT362" s="2" t="str">
        <f aca="false">HYPERLINK("https%3A%2F%2Fwww.webofscience.com%2Fwos%2Fwoscc%2Ffull-record%2FWOS:001295554800009","View Full Record in Web of Science")</f>
        <v>View Full Record in Web of Science</v>
      </c>
    </row>
    <row r="363" customFormat="false" ht="12.75" hidden="false" customHeight="false" outlineLevel="0" collapsed="false">
      <c r="A363" s="2" t="s">
        <v>72</v>
      </c>
      <c r="B363" s="2" t="s">
        <v>7007</v>
      </c>
      <c r="C363" s="2"/>
      <c r="D363" s="2"/>
      <c r="E363" s="2"/>
      <c r="F363" s="2" t="s">
        <v>7008</v>
      </c>
      <c r="G363" s="2"/>
      <c r="H363" s="2"/>
      <c r="I363" s="2" t="s">
        <v>7009</v>
      </c>
      <c r="J363" s="2" t="s">
        <v>109</v>
      </c>
      <c r="K363" s="2"/>
      <c r="L363" s="2"/>
      <c r="M363" s="2" t="s">
        <v>77</v>
      </c>
      <c r="N363" s="2" t="s">
        <v>78</v>
      </c>
      <c r="O363" s="2"/>
      <c r="P363" s="2"/>
      <c r="Q363" s="2"/>
      <c r="R363" s="2"/>
      <c r="S363" s="2"/>
      <c r="T363" s="2" t="s">
        <v>7010</v>
      </c>
      <c r="U363" s="2" t="s">
        <v>7011</v>
      </c>
      <c r="V363" s="2" t="s">
        <v>7012</v>
      </c>
      <c r="W363" s="2" t="s">
        <v>7013</v>
      </c>
      <c r="X363" s="2" t="s">
        <v>3027</v>
      </c>
      <c r="Y363" s="2" t="s">
        <v>7014</v>
      </c>
      <c r="Z363" s="2" t="s">
        <v>7015</v>
      </c>
      <c r="AA363" s="2" t="s">
        <v>7016</v>
      </c>
      <c r="AB363" s="2" t="s">
        <v>7017</v>
      </c>
      <c r="AC363" s="2" t="s">
        <v>7018</v>
      </c>
      <c r="AD363" s="2" t="s">
        <v>7019</v>
      </c>
      <c r="AE363" s="2" t="s">
        <v>7020</v>
      </c>
      <c r="AF363" s="2"/>
      <c r="AG363" s="2" t="n">
        <v>36</v>
      </c>
      <c r="AH363" s="2" t="n">
        <v>21</v>
      </c>
      <c r="AI363" s="2" t="n">
        <v>22</v>
      </c>
      <c r="AJ363" s="2" t="n">
        <v>0</v>
      </c>
      <c r="AK363" s="2" t="n">
        <v>3</v>
      </c>
      <c r="AL363" s="2" t="s">
        <v>122</v>
      </c>
      <c r="AM363" s="2" t="s">
        <v>123</v>
      </c>
      <c r="AN363" s="2" t="s">
        <v>124</v>
      </c>
      <c r="AO363" s="2" t="s">
        <v>125</v>
      </c>
      <c r="AP363" s="2" t="s">
        <v>126</v>
      </c>
      <c r="AQ363" s="2"/>
      <c r="AR363" s="2" t="s">
        <v>127</v>
      </c>
      <c r="AS363" s="2" t="s">
        <v>128</v>
      </c>
      <c r="AT363" s="2" t="s">
        <v>599</v>
      </c>
      <c r="AU363" s="2" t="n">
        <v>2015</v>
      </c>
      <c r="AV363" s="2" t="n">
        <v>34</v>
      </c>
      <c r="AW363" s="2" t="n">
        <v>7</v>
      </c>
      <c r="AX363" s="2"/>
      <c r="AY363" s="2"/>
      <c r="AZ363" s="2"/>
      <c r="BA363" s="2"/>
      <c r="BB363" s="2" t="n">
        <v>693</v>
      </c>
      <c r="BC363" s="2" t="n">
        <v>699</v>
      </c>
      <c r="BD363" s="2"/>
      <c r="BE363" s="2" t="s">
        <v>7021</v>
      </c>
      <c r="BF363" s="2" t="str">
        <f aca="false">HYPERLINK("http://dx.doi.org/10.1097/INF.0000000000000718","http://dx.doi.org/10.1097/INF.0000000000000718")</f>
        <v>http://dx.doi.org/10.1097/INF.0000000000000718</v>
      </c>
      <c r="BG363" s="2"/>
      <c r="BH363" s="2"/>
      <c r="BI363" s="2" t="n">
        <v>7</v>
      </c>
      <c r="BJ363" s="2" t="s">
        <v>134</v>
      </c>
      <c r="BK363" s="2" t="s">
        <v>100</v>
      </c>
      <c r="BL363" s="2" t="s">
        <v>134</v>
      </c>
      <c r="BM363" s="2" t="s">
        <v>7022</v>
      </c>
      <c r="BN363" s="2" t="n">
        <v>25923427</v>
      </c>
      <c r="BO363" s="2"/>
      <c r="BP363" s="2"/>
      <c r="BQ363" s="2"/>
      <c r="BR363" s="2" t="s">
        <v>104</v>
      </c>
      <c r="BS363" s="2" t="s">
        <v>7023</v>
      </c>
      <c r="BT363" s="2" t="str">
        <f aca="false">HYPERLINK("https%3A%2F%2Fwww.webofscience.com%2Fwos%2Fwoscc%2Ffull-record%2FWOS:000369586900006","View Full Record in Web of Science")</f>
        <v>View Full Record in Web of Science</v>
      </c>
    </row>
    <row r="364" customFormat="false" ht="12.75" hidden="false" customHeight="false" outlineLevel="0" collapsed="false">
      <c r="A364" s="2" t="s">
        <v>72</v>
      </c>
      <c r="B364" s="2" t="s">
        <v>7024</v>
      </c>
      <c r="C364" s="2"/>
      <c r="D364" s="2"/>
      <c r="E364" s="2"/>
      <c r="F364" s="2" t="s">
        <v>7025</v>
      </c>
      <c r="G364" s="2"/>
      <c r="H364" s="2"/>
      <c r="I364" s="2" t="s">
        <v>7026</v>
      </c>
      <c r="J364" s="2" t="s">
        <v>4000</v>
      </c>
      <c r="K364" s="2"/>
      <c r="L364" s="2"/>
      <c r="M364" s="2" t="s">
        <v>77</v>
      </c>
      <c r="N364" s="2" t="s">
        <v>78</v>
      </c>
      <c r="O364" s="2"/>
      <c r="P364" s="2"/>
      <c r="Q364" s="2"/>
      <c r="R364" s="2"/>
      <c r="S364" s="2"/>
      <c r="T364" s="2" t="s">
        <v>7027</v>
      </c>
      <c r="U364" s="2" t="s">
        <v>7028</v>
      </c>
      <c r="V364" s="2" t="s">
        <v>7029</v>
      </c>
      <c r="W364" s="2" t="s">
        <v>7030</v>
      </c>
      <c r="X364" s="2" t="s">
        <v>7031</v>
      </c>
      <c r="Y364" s="2" t="s">
        <v>7032</v>
      </c>
      <c r="Z364" s="2" t="s">
        <v>7033</v>
      </c>
      <c r="AA364" s="2" t="s">
        <v>7034</v>
      </c>
      <c r="AB364" s="2" t="s">
        <v>7035</v>
      </c>
      <c r="AC364" s="2"/>
      <c r="AD364" s="2"/>
      <c r="AE364" s="2"/>
      <c r="AF364" s="2"/>
      <c r="AG364" s="2" t="n">
        <v>27</v>
      </c>
      <c r="AH364" s="2" t="n">
        <v>6</v>
      </c>
      <c r="AI364" s="2" t="n">
        <v>6</v>
      </c>
      <c r="AJ364" s="2" t="n">
        <v>0</v>
      </c>
      <c r="AK364" s="2" t="n">
        <v>3</v>
      </c>
      <c r="AL364" s="2" t="s">
        <v>6201</v>
      </c>
      <c r="AM364" s="2" t="s">
        <v>92</v>
      </c>
      <c r="AN364" s="2" t="s">
        <v>93</v>
      </c>
      <c r="AO364" s="2" t="s">
        <v>4012</v>
      </c>
      <c r="AP364" s="2"/>
      <c r="AQ364" s="2"/>
      <c r="AR364" s="2" t="s">
        <v>4000</v>
      </c>
      <c r="AS364" s="2" t="s">
        <v>4013</v>
      </c>
      <c r="AT364" s="2" t="s">
        <v>446</v>
      </c>
      <c r="AU364" s="2" t="n">
        <v>2016</v>
      </c>
      <c r="AV364" s="2" t="n">
        <v>3</v>
      </c>
      <c r="AW364" s="2" t="n">
        <v>4</v>
      </c>
      <c r="AX364" s="2"/>
      <c r="AY364" s="2"/>
      <c r="AZ364" s="2"/>
      <c r="BA364" s="2"/>
      <c r="BB364" s="2"/>
      <c r="BC364" s="2"/>
      <c r="BD364" s="2" t="n">
        <v>19</v>
      </c>
      <c r="BE364" s="2" t="s">
        <v>7036</v>
      </c>
      <c r="BF364" s="2" t="str">
        <f aca="false">HYPERLINK("http://dx.doi.org/10.3390/children3040019","http://dx.doi.org/10.3390/children3040019")</f>
        <v>http://dx.doi.org/10.3390/children3040019</v>
      </c>
      <c r="BG364" s="2"/>
      <c r="BH364" s="2"/>
      <c r="BI364" s="2" t="n">
        <v>9</v>
      </c>
      <c r="BJ364" s="2" t="s">
        <v>601</v>
      </c>
      <c r="BK364" s="2" t="s">
        <v>339</v>
      </c>
      <c r="BL364" s="2" t="s">
        <v>601</v>
      </c>
      <c r="BM364" s="2" t="s">
        <v>7037</v>
      </c>
      <c r="BN364" s="2"/>
      <c r="BO364" s="2" t="s">
        <v>5702</v>
      </c>
      <c r="BP364" s="2"/>
      <c r="BQ364" s="2"/>
      <c r="BR364" s="2" t="s">
        <v>104</v>
      </c>
      <c r="BS364" s="2" t="s">
        <v>7038</v>
      </c>
      <c r="BT364" s="2" t="str">
        <f aca="false">HYPERLINK("https%3A%2F%2Fwww.webofscience.com%2Fwos%2Fwoscc%2Ffull-record%2FWOS:000388120700003","View Full Record in Web of Science")</f>
        <v>View Full Record in Web of Science</v>
      </c>
    </row>
    <row r="365" customFormat="false" ht="12.75" hidden="false" customHeight="false" outlineLevel="0" collapsed="false">
      <c r="A365" s="2" t="s">
        <v>72</v>
      </c>
      <c r="B365" s="2" t="s">
        <v>7039</v>
      </c>
      <c r="C365" s="2"/>
      <c r="D365" s="2"/>
      <c r="E365" s="2"/>
      <c r="F365" s="2" t="s">
        <v>7040</v>
      </c>
      <c r="G365" s="2"/>
      <c r="H365" s="2"/>
      <c r="I365" s="2" t="s">
        <v>7041</v>
      </c>
      <c r="J365" s="2" t="s">
        <v>514</v>
      </c>
      <c r="K365" s="2"/>
      <c r="L365" s="2"/>
      <c r="M365" s="2" t="s">
        <v>77</v>
      </c>
      <c r="N365" s="2" t="s">
        <v>78</v>
      </c>
      <c r="O365" s="2"/>
      <c r="P365" s="2"/>
      <c r="Q365" s="2"/>
      <c r="R365" s="2"/>
      <c r="S365" s="2"/>
      <c r="T365" s="2" t="s">
        <v>7042</v>
      </c>
      <c r="U365" s="2" t="s">
        <v>7043</v>
      </c>
      <c r="V365" s="2" t="s">
        <v>7044</v>
      </c>
      <c r="W365" s="2" t="s">
        <v>7045</v>
      </c>
      <c r="X365" s="2" t="s">
        <v>7046</v>
      </c>
      <c r="Y365" s="2" t="s">
        <v>7047</v>
      </c>
      <c r="Z365" s="2" t="s">
        <v>7048</v>
      </c>
      <c r="AA365" s="2" t="s">
        <v>7049</v>
      </c>
      <c r="AB365" s="2" t="s">
        <v>7050</v>
      </c>
      <c r="AC365" s="2" t="s">
        <v>7051</v>
      </c>
      <c r="AD365" s="2" t="s">
        <v>7052</v>
      </c>
      <c r="AE365" s="2" t="s">
        <v>7053</v>
      </c>
      <c r="AF365" s="2"/>
      <c r="AG365" s="2" t="n">
        <v>49</v>
      </c>
      <c r="AH365" s="2" t="n">
        <v>11</v>
      </c>
      <c r="AI365" s="2" t="n">
        <v>12</v>
      </c>
      <c r="AJ365" s="2" t="n">
        <v>2</v>
      </c>
      <c r="AK365" s="2" t="n">
        <v>5</v>
      </c>
      <c r="AL365" s="2" t="s">
        <v>527</v>
      </c>
      <c r="AM365" s="2" t="s">
        <v>528</v>
      </c>
      <c r="AN365" s="2" t="s">
        <v>529</v>
      </c>
      <c r="AO365" s="2" t="s">
        <v>530</v>
      </c>
      <c r="AP365" s="2" t="s">
        <v>531</v>
      </c>
      <c r="AQ365" s="2"/>
      <c r="AR365" s="2" t="s">
        <v>532</v>
      </c>
      <c r="AS365" s="2" t="s">
        <v>533</v>
      </c>
      <c r="AT365" s="2" t="s">
        <v>5685</v>
      </c>
      <c r="AU365" s="2" t="n">
        <v>2020</v>
      </c>
      <c r="AV365" s="2" t="n">
        <v>222</v>
      </c>
      <c r="AW365" s="2" t="n">
        <v>7</v>
      </c>
      <c r="AX365" s="2"/>
      <c r="AY365" s="2"/>
      <c r="AZ365" s="2"/>
      <c r="BA365" s="2"/>
      <c r="BB365" s="2" t="n">
        <v>1129</v>
      </c>
      <c r="BC365" s="2" t="n">
        <v>1137</v>
      </c>
      <c r="BD365" s="2"/>
      <c r="BE365" s="2" t="s">
        <v>7054</v>
      </c>
      <c r="BF365" s="2" t="str">
        <f aca="false">HYPERLINK("http://dx.doi.org/10.1093/infdis/jiaa046","http://dx.doi.org/10.1093/infdis/jiaa046")</f>
        <v>http://dx.doi.org/10.1093/infdis/jiaa046</v>
      </c>
      <c r="BG365" s="2"/>
      <c r="BH365" s="2"/>
      <c r="BI365" s="2" t="n">
        <v>9</v>
      </c>
      <c r="BJ365" s="2" t="s">
        <v>536</v>
      </c>
      <c r="BK365" s="2" t="s">
        <v>100</v>
      </c>
      <c r="BL365" s="2" t="s">
        <v>536</v>
      </c>
      <c r="BM365" s="2" t="s">
        <v>7055</v>
      </c>
      <c r="BN365" s="2" t="n">
        <v>32006428</v>
      </c>
      <c r="BO365" s="2" t="s">
        <v>136</v>
      </c>
      <c r="BP365" s="2"/>
      <c r="BQ365" s="2"/>
      <c r="BR365" s="2" t="s">
        <v>104</v>
      </c>
      <c r="BS365" s="2" t="s">
        <v>7056</v>
      </c>
      <c r="BT365" s="2" t="str">
        <f aca="false">HYPERLINK("https%3A%2F%2Fwww.webofscience.com%2Fwos%2Fwoscc%2Ffull-record%2FWOS:000577175500012","View Full Record in Web of Science")</f>
        <v>View Full Record in Web of Science</v>
      </c>
    </row>
    <row r="366" customFormat="false" ht="12.75" hidden="false" customHeight="false" outlineLevel="0" collapsed="false">
      <c r="A366" s="2" t="s">
        <v>72</v>
      </c>
      <c r="B366" s="2" t="s">
        <v>7057</v>
      </c>
      <c r="C366" s="2"/>
      <c r="D366" s="2"/>
      <c r="E366" s="2"/>
      <c r="F366" s="2" t="s">
        <v>7058</v>
      </c>
      <c r="G366" s="2"/>
      <c r="H366" s="2"/>
      <c r="I366" s="2" t="s">
        <v>7059</v>
      </c>
      <c r="J366" s="2" t="s">
        <v>7060</v>
      </c>
      <c r="K366" s="2"/>
      <c r="L366" s="2"/>
      <c r="M366" s="2" t="s">
        <v>77</v>
      </c>
      <c r="N366" s="2" t="s">
        <v>78</v>
      </c>
      <c r="O366" s="2"/>
      <c r="P366" s="2"/>
      <c r="Q366" s="2"/>
      <c r="R366" s="2"/>
      <c r="S366" s="2"/>
      <c r="T366" s="2" t="s">
        <v>7061</v>
      </c>
      <c r="U366" s="2" t="s">
        <v>7062</v>
      </c>
      <c r="V366" s="2" t="s">
        <v>7063</v>
      </c>
      <c r="W366" s="2" t="s">
        <v>7064</v>
      </c>
      <c r="X366" s="2" t="s">
        <v>7065</v>
      </c>
      <c r="Y366" s="2" t="s">
        <v>7066</v>
      </c>
      <c r="Z366" s="2" t="s">
        <v>7067</v>
      </c>
      <c r="AA366" s="2" t="s">
        <v>7068</v>
      </c>
      <c r="AB366" s="2" t="s">
        <v>7069</v>
      </c>
      <c r="AC366" s="2" t="s">
        <v>7070</v>
      </c>
      <c r="AD366" s="2" t="s">
        <v>7071</v>
      </c>
      <c r="AE366" s="2" t="s">
        <v>7072</v>
      </c>
      <c r="AF366" s="2"/>
      <c r="AG366" s="2" t="n">
        <v>49</v>
      </c>
      <c r="AH366" s="2" t="n">
        <v>66</v>
      </c>
      <c r="AI366" s="2" t="n">
        <v>74</v>
      </c>
      <c r="AJ366" s="2" t="n">
        <v>0</v>
      </c>
      <c r="AK366" s="2" t="n">
        <v>6</v>
      </c>
      <c r="AL366" s="2" t="s">
        <v>7073</v>
      </c>
      <c r="AM366" s="2" t="s">
        <v>7074</v>
      </c>
      <c r="AN366" s="2" t="s">
        <v>7075</v>
      </c>
      <c r="AO366" s="2" t="s">
        <v>7076</v>
      </c>
      <c r="AP366" s="2"/>
      <c r="AQ366" s="2"/>
      <c r="AR366" s="2" t="s">
        <v>7060</v>
      </c>
      <c r="AS366" s="2" t="s">
        <v>601</v>
      </c>
      <c r="AT366" s="2" t="s">
        <v>161</v>
      </c>
      <c r="AU366" s="2" t="n">
        <v>2012</v>
      </c>
      <c r="AV366" s="2" t="n">
        <v>129</v>
      </c>
      <c r="AW366" s="2" t="n">
        <v>1</v>
      </c>
      <c r="AX366" s="2"/>
      <c r="AY366" s="2"/>
      <c r="AZ366" s="2"/>
      <c r="BA366" s="2"/>
      <c r="BB366" s="2" t="s">
        <v>7077</v>
      </c>
      <c r="BC366" s="2" t="s">
        <v>7078</v>
      </c>
      <c r="BD366" s="2"/>
      <c r="BE366" s="2" t="s">
        <v>7079</v>
      </c>
      <c r="BF366" s="2" t="str">
        <f aca="false">HYPERLINK("http://dx.doi.org/10.1542/peds.2011-0583","http://dx.doi.org/10.1542/peds.2011-0583")</f>
        <v>http://dx.doi.org/10.1542/peds.2011-0583</v>
      </c>
      <c r="BG366" s="2"/>
      <c r="BH366" s="2"/>
      <c r="BI366" s="2" t="n">
        <v>8</v>
      </c>
      <c r="BJ366" s="2" t="s">
        <v>601</v>
      </c>
      <c r="BK366" s="2" t="s">
        <v>100</v>
      </c>
      <c r="BL366" s="2" t="s">
        <v>601</v>
      </c>
      <c r="BM366" s="2" t="s">
        <v>7080</v>
      </c>
      <c r="BN366" s="2" t="n">
        <v>22201153</v>
      </c>
      <c r="BO366" s="2" t="s">
        <v>165</v>
      </c>
      <c r="BP366" s="2"/>
      <c r="BQ366" s="2"/>
      <c r="BR366" s="2" t="s">
        <v>104</v>
      </c>
      <c r="BS366" s="2" t="s">
        <v>7081</v>
      </c>
      <c r="BT366" s="2" t="str">
        <f aca="false">HYPERLINK("https%3A%2F%2Fwww.webofscience.com%2Fwos%2Fwoscc%2Ffull-record%2FWOS:000298644800009","View Full Record in Web of Science")</f>
        <v>View Full Record in Web of Science</v>
      </c>
    </row>
    <row r="367" customFormat="false" ht="12.75" hidden="false" customHeight="false" outlineLevel="0" collapsed="false">
      <c r="A367" s="2" t="s">
        <v>72</v>
      </c>
      <c r="B367" s="2" t="s">
        <v>7082</v>
      </c>
      <c r="C367" s="2"/>
      <c r="D367" s="2"/>
      <c r="E367" s="2"/>
      <c r="F367" s="2" t="s">
        <v>7083</v>
      </c>
      <c r="G367" s="2"/>
      <c r="H367" s="2"/>
      <c r="I367" s="2" t="s">
        <v>7084</v>
      </c>
      <c r="J367" s="2" t="s">
        <v>607</v>
      </c>
      <c r="K367" s="2"/>
      <c r="L367" s="2"/>
      <c r="M367" s="2" t="s">
        <v>77</v>
      </c>
      <c r="N367" s="2" t="s">
        <v>78</v>
      </c>
      <c r="O367" s="2"/>
      <c r="P367" s="2"/>
      <c r="Q367" s="2"/>
      <c r="R367" s="2"/>
      <c r="S367" s="2"/>
      <c r="T367" s="2" t="s">
        <v>7085</v>
      </c>
      <c r="U367" s="2" t="s">
        <v>7086</v>
      </c>
      <c r="V367" s="2" t="s">
        <v>7087</v>
      </c>
      <c r="W367" s="2" t="s">
        <v>7088</v>
      </c>
      <c r="X367" s="2" t="s">
        <v>7089</v>
      </c>
      <c r="Y367" s="2" t="s">
        <v>6932</v>
      </c>
      <c r="Z367" s="2" t="s">
        <v>7090</v>
      </c>
      <c r="AA367" s="2" t="s">
        <v>7091</v>
      </c>
      <c r="AB367" s="2"/>
      <c r="AC367" s="2" t="s">
        <v>7092</v>
      </c>
      <c r="AD367" s="2" t="s">
        <v>7093</v>
      </c>
      <c r="AE367" s="2" t="s">
        <v>7094</v>
      </c>
      <c r="AF367" s="2"/>
      <c r="AG367" s="2" t="n">
        <v>70</v>
      </c>
      <c r="AH367" s="2" t="n">
        <v>11</v>
      </c>
      <c r="AI367" s="2" t="n">
        <v>13</v>
      </c>
      <c r="AJ367" s="2" t="n">
        <v>0</v>
      </c>
      <c r="AK367" s="2" t="n">
        <v>11</v>
      </c>
      <c r="AL367" s="2" t="s">
        <v>620</v>
      </c>
      <c r="AM367" s="2" t="s">
        <v>621</v>
      </c>
      <c r="AN367" s="2" t="s">
        <v>622</v>
      </c>
      <c r="AO367" s="2" t="s">
        <v>623</v>
      </c>
      <c r="AP367" s="2"/>
      <c r="AQ367" s="2"/>
      <c r="AR367" s="2" t="s">
        <v>624</v>
      </c>
      <c r="AS367" s="2" t="s">
        <v>625</v>
      </c>
      <c r="AT367" s="2" t="s">
        <v>7095</v>
      </c>
      <c r="AU367" s="2" t="n">
        <v>2020</v>
      </c>
      <c r="AV367" s="2" t="n">
        <v>11</v>
      </c>
      <c r="AW367" s="2"/>
      <c r="AX367" s="2"/>
      <c r="AY367" s="2"/>
      <c r="AZ367" s="2"/>
      <c r="BA367" s="2"/>
      <c r="BB367" s="2"/>
      <c r="BC367" s="2"/>
      <c r="BD367" s="2" t="n">
        <v>432</v>
      </c>
      <c r="BE367" s="2" t="s">
        <v>7096</v>
      </c>
      <c r="BF367" s="2" t="str">
        <f aca="false">HYPERLINK("http://dx.doi.org/10.3389/fimmu.2020.00432","http://dx.doi.org/10.3389/fimmu.2020.00432")</f>
        <v>http://dx.doi.org/10.3389/fimmu.2020.00432</v>
      </c>
      <c r="BG367" s="2"/>
      <c r="BH367" s="2"/>
      <c r="BI367" s="2" t="n">
        <v>19</v>
      </c>
      <c r="BJ367" s="2" t="s">
        <v>628</v>
      </c>
      <c r="BK367" s="2" t="s">
        <v>100</v>
      </c>
      <c r="BL367" s="2" t="s">
        <v>628</v>
      </c>
      <c r="BM367" s="2" t="s">
        <v>7097</v>
      </c>
      <c r="BN367" s="2" t="n">
        <v>32218789</v>
      </c>
      <c r="BO367" s="2" t="s">
        <v>103</v>
      </c>
      <c r="BP367" s="2"/>
      <c r="BQ367" s="2"/>
      <c r="BR367" s="2" t="s">
        <v>104</v>
      </c>
      <c r="BS367" s="2" t="s">
        <v>7098</v>
      </c>
      <c r="BT367" s="2" t="str">
        <f aca="false">HYPERLINK("https%3A%2F%2Fwww.webofscience.com%2Fwos%2Fwoscc%2Ffull-record%2FWOS:000526847000001","View Full Record in Web of Science")</f>
        <v>View Full Record in Web of Science</v>
      </c>
    </row>
    <row r="368" customFormat="false" ht="12.75" hidden="false" customHeight="false" outlineLevel="0" collapsed="false">
      <c r="A368" s="2" t="s">
        <v>72</v>
      </c>
      <c r="B368" s="2" t="s">
        <v>7099</v>
      </c>
      <c r="C368" s="2"/>
      <c r="D368" s="2"/>
      <c r="E368" s="2"/>
      <c r="F368" s="2" t="s">
        <v>7100</v>
      </c>
      <c r="G368" s="2"/>
      <c r="H368" s="2"/>
      <c r="I368" s="2" t="s">
        <v>7101</v>
      </c>
      <c r="J368" s="2" t="s">
        <v>7102</v>
      </c>
      <c r="K368" s="2"/>
      <c r="L368" s="2"/>
      <c r="M368" s="2" t="s">
        <v>77</v>
      </c>
      <c r="N368" s="2" t="s">
        <v>78</v>
      </c>
      <c r="O368" s="2"/>
      <c r="P368" s="2"/>
      <c r="Q368" s="2"/>
      <c r="R368" s="2"/>
      <c r="S368" s="2"/>
      <c r="T368" s="2" t="s">
        <v>7103</v>
      </c>
      <c r="U368" s="2" t="s">
        <v>7104</v>
      </c>
      <c r="V368" s="2" t="s">
        <v>7105</v>
      </c>
      <c r="W368" s="2" t="s">
        <v>7106</v>
      </c>
      <c r="X368" s="2" t="s">
        <v>7107</v>
      </c>
      <c r="Y368" s="2" t="s">
        <v>7108</v>
      </c>
      <c r="Z368" s="2" t="s">
        <v>7109</v>
      </c>
      <c r="AA368" s="2"/>
      <c r="AB368" s="2" t="s">
        <v>7110</v>
      </c>
      <c r="AC368" s="2" t="s">
        <v>7111</v>
      </c>
      <c r="AD368" s="2" t="s">
        <v>7112</v>
      </c>
      <c r="AE368" s="2" t="s">
        <v>7113</v>
      </c>
      <c r="AF368" s="2"/>
      <c r="AG368" s="2" t="n">
        <v>50</v>
      </c>
      <c r="AH368" s="2" t="n">
        <v>1</v>
      </c>
      <c r="AI368" s="2" t="n">
        <v>1</v>
      </c>
      <c r="AJ368" s="2" t="n">
        <v>0</v>
      </c>
      <c r="AK368" s="2" t="n">
        <v>4</v>
      </c>
      <c r="AL368" s="2" t="s">
        <v>755</v>
      </c>
      <c r="AM368" s="2" t="s">
        <v>273</v>
      </c>
      <c r="AN368" s="2" t="s">
        <v>756</v>
      </c>
      <c r="AO368" s="2" t="s">
        <v>7114</v>
      </c>
      <c r="AP368" s="2"/>
      <c r="AQ368" s="2"/>
      <c r="AR368" s="2" t="s">
        <v>7102</v>
      </c>
      <c r="AS368" s="2" t="s">
        <v>7115</v>
      </c>
      <c r="AT368" s="2" t="s">
        <v>336</v>
      </c>
      <c r="AU368" s="2" t="n">
        <v>2023</v>
      </c>
      <c r="AV368" s="2" t="n">
        <v>14</v>
      </c>
      <c r="AW368" s="2" t="n">
        <v>5</v>
      </c>
      <c r="AX368" s="2"/>
      <c r="AY368" s="2"/>
      <c r="AZ368" s="2"/>
      <c r="BA368" s="2"/>
      <c r="BB368" s="2"/>
      <c r="BC368" s="2"/>
      <c r="BD368" s="2"/>
      <c r="BE368" s="2" t="s">
        <v>7116</v>
      </c>
      <c r="BF368" s="2" t="str">
        <f aca="false">HYPERLINK("http://dx.doi.org/10.1128/mbio.01589-23","http://dx.doi.org/10.1128/mbio.01589-23")</f>
        <v>http://dx.doi.org/10.1128/mbio.01589-23</v>
      </c>
      <c r="BG368" s="2"/>
      <c r="BH368" s="2"/>
      <c r="BI368" s="2" t="n">
        <v>18</v>
      </c>
      <c r="BJ368" s="2" t="s">
        <v>211</v>
      </c>
      <c r="BK368" s="2" t="s">
        <v>100</v>
      </c>
      <c r="BL368" s="2" t="s">
        <v>211</v>
      </c>
      <c r="BM368" s="2" t="s">
        <v>7117</v>
      </c>
      <c r="BN368" s="2" t="n">
        <v>37681946</v>
      </c>
      <c r="BO368" s="2" t="s">
        <v>103</v>
      </c>
      <c r="BP368" s="2"/>
      <c r="BQ368" s="2"/>
      <c r="BR368" s="2" t="s">
        <v>104</v>
      </c>
      <c r="BS368" s="2" t="s">
        <v>7118</v>
      </c>
      <c r="BT368" s="2" t="str">
        <f aca="false">HYPERLINK("https%3A%2F%2Fwww.webofscience.com%2Fwos%2Fwoscc%2Ffull-record%2FWOS:001191200600016","View Full Record in Web of Science")</f>
        <v>View Full Record in Web of Science</v>
      </c>
    </row>
    <row r="369" customFormat="false" ht="12.75" hidden="false" customHeight="false" outlineLevel="0" collapsed="false">
      <c r="A369" s="2" t="s">
        <v>72</v>
      </c>
      <c r="B369" s="2" t="s">
        <v>7119</v>
      </c>
      <c r="C369" s="2"/>
      <c r="D369" s="2"/>
      <c r="E369" s="2"/>
      <c r="F369" s="2" t="s">
        <v>7120</v>
      </c>
      <c r="G369" s="2"/>
      <c r="H369" s="2"/>
      <c r="I369" s="2" t="s">
        <v>7121</v>
      </c>
      <c r="J369" s="2" t="s">
        <v>7122</v>
      </c>
      <c r="K369" s="2"/>
      <c r="L369" s="2"/>
      <c r="M369" s="2" t="s">
        <v>77</v>
      </c>
      <c r="N369" s="2" t="s">
        <v>78</v>
      </c>
      <c r="O369" s="2"/>
      <c r="P369" s="2"/>
      <c r="Q369" s="2"/>
      <c r="R369" s="2"/>
      <c r="S369" s="2"/>
      <c r="T369" s="2" t="s">
        <v>7123</v>
      </c>
      <c r="U369" s="2" t="s">
        <v>7124</v>
      </c>
      <c r="V369" s="2" t="s">
        <v>7125</v>
      </c>
      <c r="W369" s="2" t="s">
        <v>7126</v>
      </c>
      <c r="X369" s="2" t="s">
        <v>7127</v>
      </c>
      <c r="Y369" s="2" t="s">
        <v>7128</v>
      </c>
      <c r="Z369" s="2" t="s">
        <v>6402</v>
      </c>
      <c r="AA369" s="2" t="s">
        <v>7129</v>
      </c>
      <c r="AB369" s="2" t="s">
        <v>7130</v>
      </c>
      <c r="AC369" s="2" t="s">
        <v>7131</v>
      </c>
      <c r="AD369" s="2" t="s">
        <v>7132</v>
      </c>
      <c r="AE369" s="2" t="s">
        <v>7133</v>
      </c>
      <c r="AF369" s="2"/>
      <c r="AG369" s="2" t="n">
        <v>54</v>
      </c>
      <c r="AH369" s="2" t="n">
        <v>70</v>
      </c>
      <c r="AI369" s="2" t="n">
        <v>78</v>
      </c>
      <c r="AJ369" s="2" t="n">
        <v>0</v>
      </c>
      <c r="AK369" s="2" t="n">
        <v>24</v>
      </c>
      <c r="AL369" s="2" t="s">
        <v>2788</v>
      </c>
      <c r="AM369" s="2" t="s">
        <v>2789</v>
      </c>
      <c r="AN369" s="2" t="s">
        <v>2790</v>
      </c>
      <c r="AO369" s="2"/>
      <c r="AP369" s="2" t="s">
        <v>7134</v>
      </c>
      <c r="AQ369" s="2"/>
      <c r="AR369" s="2" t="s">
        <v>7135</v>
      </c>
      <c r="AS369" s="2" t="s">
        <v>7136</v>
      </c>
      <c r="AT369" s="2" t="s">
        <v>7137</v>
      </c>
      <c r="AU369" s="2" t="n">
        <v>2019</v>
      </c>
      <c r="AV369" s="2" t="n">
        <v>8</v>
      </c>
      <c r="AW369" s="2" t="n">
        <v>1</v>
      </c>
      <c r="AX369" s="2"/>
      <c r="AY369" s="2"/>
      <c r="AZ369" s="2"/>
      <c r="BA369" s="2"/>
      <c r="BB369" s="2" t="n">
        <v>139</v>
      </c>
      <c r="BC369" s="2" t="n">
        <v>149</v>
      </c>
      <c r="BD369" s="2"/>
      <c r="BE369" s="2" t="s">
        <v>7138</v>
      </c>
      <c r="BF369" s="2" t="str">
        <f aca="false">HYPERLINK("http://dx.doi.org/10.1080/22221751.2018.1563456","http://dx.doi.org/10.1080/22221751.2018.1563456")</f>
        <v>http://dx.doi.org/10.1080/22221751.2018.1563456</v>
      </c>
      <c r="BG369" s="2"/>
      <c r="BH369" s="2"/>
      <c r="BI369" s="2" t="n">
        <v>11</v>
      </c>
      <c r="BJ369" s="2" t="s">
        <v>536</v>
      </c>
      <c r="BK369" s="2" t="s">
        <v>100</v>
      </c>
      <c r="BL369" s="2" t="s">
        <v>536</v>
      </c>
      <c r="BM369" s="2" t="s">
        <v>7139</v>
      </c>
      <c r="BN369" s="2" t="n">
        <v>30866768</v>
      </c>
      <c r="BO369" s="2" t="s">
        <v>190</v>
      </c>
      <c r="BP369" s="2"/>
      <c r="BQ369" s="2"/>
      <c r="BR369" s="2" t="s">
        <v>104</v>
      </c>
      <c r="BS369" s="2" t="s">
        <v>7140</v>
      </c>
      <c r="BT369" s="2" t="str">
        <f aca="false">HYPERLINK("https%3A%2F%2Fwww.webofscience.com%2Fwos%2Fwoscc%2Ffull-record%2FWOS:000458063000003","View Full Record in Web of Science")</f>
        <v>View Full Record in Web of Science</v>
      </c>
    </row>
    <row r="370" customFormat="false" ht="12.75" hidden="false" customHeight="false" outlineLevel="0" collapsed="false">
      <c r="A370" s="2" t="s">
        <v>72</v>
      </c>
      <c r="B370" s="2" t="s">
        <v>7141</v>
      </c>
      <c r="C370" s="2"/>
      <c r="D370" s="2"/>
      <c r="E370" s="2"/>
      <c r="F370" s="2" t="s">
        <v>7142</v>
      </c>
      <c r="G370" s="2"/>
      <c r="H370" s="2" t="s">
        <v>7143</v>
      </c>
      <c r="I370" s="2" t="s">
        <v>7144</v>
      </c>
      <c r="J370" s="2" t="s">
        <v>7145</v>
      </c>
      <c r="K370" s="2"/>
      <c r="L370" s="2"/>
      <c r="M370" s="2" t="s">
        <v>77</v>
      </c>
      <c r="N370" s="2" t="s">
        <v>78</v>
      </c>
      <c r="O370" s="2"/>
      <c r="P370" s="2"/>
      <c r="Q370" s="2"/>
      <c r="R370" s="2"/>
      <c r="S370" s="2"/>
      <c r="T370" s="2" t="s">
        <v>7146</v>
      </c>
      <c r="U370" s="2" t="s">
        <v>7147</v>
      </c>
      <c r="V370" s="2" t="s">
        <v>7148</v>
      </c>
      <c r="W370" s="2" t="s">
        <v>7149</v>
      </c>
      <c r="X370" s="2" t="s">
        <v>7150</v>
      </c>
      <c r="Y370" s="2" t="s">
        <v>7151</v>
      </c>
      <c r="Z370" s="2" t="s">
        <v>7152</v>
      </c>
      <c r="AA370" s="2" t="s">
        <v>7153</v>
      </c>
      <c r="AB370" s="2" t="s">
        <v>7154</v>
      </c>
      <c r="AC370" s="2" t="s">
        <v>7155</v>
      </c>
      <c r="AD370" s="2" t="s">
        <v>7156</v>
      </c>
      <c r="AE370" s="2" t="s">
        <v>7157</v>
      </c>
      <c r="AF370" s="2"/>
      <c r="AG370" s="2" t="n">
        <v>6</v>
      </c>
      <c r="AH370" s="2" t="n">
        <v>218</v>
      </c>
      <c r="AI370" s="2" t="n">
        <v>256</v>
      </c>
      <c r="AJ370" s="2" t="n">
        <v>3</v>
      </c>
      <c r="AK370" s="2" t="n">
        <v>11</v>
      </c>
      <c r="AL370" s="2" t="s">
        <v>3426</v>
      </c>
      <c r="AM370" s="2" t="s">
        <v>303</v>
      </c>
      <c r="AN370" s="2" t="s">
        <v>3427</v>
      </c>
      <c r="AO370" s="2" t="s">
        <v>7158</v>
      </c>
      <c r="AP370" s="2" t="s">
        <v>7159</v>
      </c>
      <c r="AQ370" s="2"/>
      <c r="AR370" s="2" t="s">
        <v>7160</v>
      </c>
      <c r="AS370" s="2" t="s">
        <v>7161</v>
      </c>
      <c r="AT370" s="2" t="s">
        <v>446</v>
      </c>
      <c r="AU370" s="2" t="n">
        <v>2017</v>
      </c>
      <c r="AV370" s="2" t="n">
        <v>98</v>
      </c>
      <c r="AW370" s="2" t="n">
        <v>12</v>
      </c>
      <c r="AX370" s="2"/>
      <c r="AY370" s="2"/>
      <c r="AZ370" s="2"/>
      <c r="BA370" s="2"/>
      <c r="BB370" s="2" t="n">
        <v>2912</v>
      </c>
      <c r="BC370" s="2" t="n">
        <v>2913</v>
      </c>
      <c r="BD370" s="2"/>
      <c r="BE370" s="2" t="s">
        <v>7162</v>
      </c>
      <c r="BF370" s="2" t="str">
        <f aca="false">HYPERLINK("http://dx.doi.org/10.1099/jgv.0.000959","http://dx.doi.org/10.1099/jgv.0.000959")</f>
        <v>http://dx.doi.org/10.1099/jgv.0.000959</v>
      </c>
      <c r="BG370" s="2"/>
      <c r="BH370" s="2"/>
      <c r="BI370" s="2" t="n">
        <v>2</v>
      </c>
      <c r="BJ370" s="2" t="s">
        <v>7163</v>
      </c>
      <c r="BK370" s="2" t="s">
        <v>100</v>
      </c>
      <c r="BL370" s="2" t="s">
        <v>7163</v>
      </c>
      <c r="BM370" s="2" t="s">
        <v>7164</v>
      </c>
      <c r="BN370" s="2" t="n">
        <v>29087278</v>
      </c>
      <c r="BO370" s="2" t="s">
        <v>5905</v>
      </c>
      <c r="BP370" s="2"/>
      <c r="BQ370" s="2"/>
      <c r="BR370" s="2" t="s">
        <v>104</v>
      </c>
      <c r="BS370" s="2" t="s">
        <v>7165</v>
      </c>
      <c r="BT370" s="2" t="str">
        <f aca="false">HYPERLINK("https%3A%2F%2Fwww.webofscience.com%2Fwos%2Fwoscc%2Ffull-record%2FWOS:000417312300002","View Full Record in Web of Science")</f>
        <v>View Full Record in Web of Science</v>
      </c>
    </row>
    <row r="371" customFormat="false" ht="12.75" hidden="false" customHeight="false" outlineLevel="0" collapsed="false">
      <c r="A371" s="2" t="s">
        <v>72</v>
      </c>
      <c r="B371" s="2" t="s">
        <v>7166</v>
      </c>
      <c r="C371" s="2"/>
      <c r="D371" s="2"/>
      <c r="E371" s="2"/>
      <c r="F371" s="2" t="s">
        <v>7167</v>
      </c>
      <c r="G371" s="2"/>
      <c r="H371" s="2"/>
      <c r="I371" s="2" t="s">
        <v>7168</v>
      </c>
      <c r="J371" s="2" t="s">
        <v>493</v>
      </c>
      <c r="K371" s="2"/>
      <c r="L371" s="2"/>
      <c r="M371" s="2" t="s">
        <v>77</v>
      </c>
      <c r="N371" s="2" t="s">
        <v>78</v>
      </c>
      <c r="O371" s="2"/>
      <c r="P371" s="2"/>
      <c r="Q371" s="2"/>
      <c r="R371" s="2"/>
      <c r="S371" s="2"/>
      <c r="T371" s="2" t="s">
        <v>7169</v>
      </c>
      <c r="U371" s="2" t="s">
        <v>7170</v>
      </c>
      <c r="V371" s="2" t="s">
        <v>7171</v>
      </c>
      <c r="W371" s="2" t="s">
        <v>7172</v>
      </c>
      <c r="X371" s="2" t="s">
        <v>7173</v>
      </c>
      <c r="Y371" s="2" t="s">
        <v>7174</v>
      </c>
      <c r="Z371" s="2" t="s">
        <v>7175</v>
      </c>
      <c r="AA371" s="2" t="s">
        <v>7176</v>
      </c>
      <c r="AB371" s="2" t="s">
        <v>7177</v>
      </c>
      <c r="AC371" s="2" t="s">
        <v>7178</v>
      </c>
      <c r="AD371" s="2" t="s">
        <v>7179</v>
      </c>
      <c r="AE371" s="2" t="s">
        <v>7180</v>
      </c>
      <c r="AF371" s="2"/>
      <c r="AG371" s="2" t="n">
        <v>52</v>
      </c>
      <c r="AH371" s="2" t="n">
        <v>3</v>
      </c>
      <c r="AI371" s="2" t="n">
        <v>5</v>
      </c>
      <c r="AJ371" s="2" t="n">
        <v>0</v>
      </c>
      <c r="AK371" s="2" t="n">
        <v>2</v>
      </c>
      <c r="AL371" s="2" t="s">
        <v>91</v>
      </c>
      <c r="AM371" s="2" t="s">
        <v>92</v>
      </c>
      <c r="AN371" s="2" t="s">
        <v>93</v>
      </c>
      <c r="AO371" s="2"/>
      <c r="AP371" s="2" t="s">
        <v>506</v>
      </c>
      <c r="AQ371" s="2"/>
      <c r="AR371" s="2" t="s">
        <v>493</v>
      </c>
      <c r="AS371" s="2" t="s">
        <v>507</v>
      </c>
      <c r="AT371" s="2" t="s">
        <v>599</v>
      </c>
      <c r="AU371" s="2" t="n">
        <v>2020</v>
      </c>
      <c r="AV371" s="2" t="n">
        <v>12</v>
      </c>
      <c r="AW371" s="2" t="n">
        <v>7</v>
      </c>
      <c r="AX371" s="2"/>
      <c r="AY371" s="2"/>
      <c r="AZ371" s="2"/>
      <c r="BA371" s="2"/>
      <c r="BB371" s="2"/>
      <c r="BC371" s="2"/>
      <c r="BD371" s="2" t="n">
        <v>781</v>
      </c>
      <c r="BE371" s="2" t="s">
        <v>7181</v>
      </c>
      <c r="BF371" s="2" t="str">
        <f aca="false">HYPERLINK("http://dx.doi.org/10.3390/v12070781","http://dx.doi.org/10.3390/v12070781")</f>
        <v>http://dx.doi.org/10.3390/v12070781</v>
      </c>
      <c r="BG371" s="2"/>
      <c r="BH371" s="2"/>
      <c r="BI371" s="2" t="n">
        <v>14</v>
      </c>
      <c r="BJ371" s="2" t="s">
        <v>163</v>
      </c>
      <c r="BK371" s="2" t="s">
        <v>100</v>
      </c>
      <c r="BL371" s="2" t="s">
        <v>163</v>
      </c>
      <c r="BM371" s="2" t="s">
        <v>7182</v>
      </c>
      <c r="BN371" s="2" t="n">
        <v>32698530</v>
      </c>
      <c r="BO371" s="2" t="s">
        <v>103</v>
      </c>
      <c r="BP371" s="2"/>
      <c r="BQ371" s="2"/>
      <c r="BR371" s="2" t="s">
        <v>104</v>
      </c>
      <c r="BS371" s="2" t="s">
        <v>7183</v>
      </c>
      <c r="BT371" s="2" t="str">
        <f aca="false">HYPERLINK("https%3A%2F%2Fwww.webofscience.com%2Fwos%2Fwoscc%2Ffull-record%2FWOS:000554260000001","View Full Record in Web of Science")</f>
        <v>View Full Record in Web of Science</v>
      </c>
    </row>
    <row r="372" customFormat="false" ht="12.75" hidden="false" customHeight="false" outlineLevel="0" collapsed="false">
      <c r="A372" s="2" t="s">
        <v>72</v>
      </c>
      <c r="B372" s="2" t="s">
        <v>7184</v>
      </c>
      <c r="C372" s="2"/>
      <c r="D372" s="2"/>
      <c r="E372" s="2"/>
      <c r="F372" s="2" t="s">
        <v>7185</v>
      </c>
      <c r="G372" s="2"/>
      <c r="H372" s="2"/>
      <c r="I372" s="2" t="s">
        <v>7186</v>
      </c>
      <c r="J372" s="2" t="s">
        <v>109</v>
      </c>
      <c r="K372" s="2"/>
      <c r="L372" s="2"/>
      <c r="M372" s="2" t="s">
        <v>77</v>
      </c>
      <c r="N372" s="2" t="s">
        <v>78</v>
      </c>
      <c r="O372" s="2"/>
      <c r="P372" s="2"/>
      <c r="Q372" s="2"/>
      <c r="R372" s="2"/>
      <c r="S372" s="2"/>
      <c r="T372" s="2" t="s">
        <v>7187</v>
      </c>
      <c r="U372" s="2" t="s">
        <v>7188</v>
      </c>
      <c r="V372" s="2" t="s">
        <v>7189</v>
      </c>
      <c r="W372" s="2" t="s">
        <v>7190</v>
      </c>
      <c r="X372" s="2" t="s">
        <v>7191</v>
      </c>
      <c r="Y372" s="2" t="s">
        <v>7192</v>
      </c>
      <c r="Z372" s="2" t="s">
        <v>7193</v>
      </c>
      <c r="AA372" s="2" t="s">
        <v>7194</v>
      </c>
      <c r="AB372" s="2" t="s">
        <v>7195</v>
      </c>
      <c r="AC372" s="2" t="s">
        <v>7196</v>
      </c>
      <c r="AD372" s="2" t="s">
        <v>7196</v>
      </c>
      <c r="AE372" s="2" t="s">
        <v>7197</v>
      </c>
      <c r="AF372" s="2"/>
      <c r="AG372" s="2" t="n">
        <v>34</v>
      </c>
      <c r="AH372" s="2" t="n">
        <v>36</v>
      </c>
      <c r="AI372" s="2" t="n">
        <v>40</v>
      </c>
      <c r="AJ372" s="2" t="n">
        <v>1</v>
      </c>
      <c r="AK372" s="2" t="n">
        <v>17</v>
      </c>
      <c r="AL372" s="2" t="s">
        <v>122</v>
      </c>
      <c r="AM372" s="2" t="s">
        <v>123</v>
      </c>
      <c r="AN372" s="2" t="s">
        <v>124</v>
      </c>
      <c r="AO372" s="2" t="s">
        <v>125</v>
      </c>
      <c r="AP372" s="2" t="s">
        <v>126</v>
      </c>
      <c r="AQ372" s="2"/>
      <c r="AR372" s="2" t="s">
        <v>127</v>
      </c>
      <c r="AS372" s="2" t="s">
        <v>128</v>
      </c>
      <c r="AT372" s="2" t="s">
        <v>161</v>
      </c>
      <c r="AU372" s="2" t="n">
        <v>2013</v>
      </c>
      <c r="AV372" s="2" t="n">
        <v>32</v>
      </c>
      <c r="AW372" s="2" t="n">
        <v>1</v>
      </c>
      <c r="AX372" s="2"/>
      <c r="AY372" s="2"/>
      <c r="AZ372" s="2"/>
      <c r="BA372" s="2"/>
      <c r="BB372" s="2" t="s">
        <v>7198</v>
      </c>
      <c r="BC372" s="2" t="s">
        <v>7199</v>
      </c>
      <c r="BD372" s="2"/>
      <c r="BE372" s="2" t="s">
        <v>7200</v>
      </c>
      <c r="BF372" s="2" t="str">
        <f aca="false">HYPERLINK("http://dx.doi.org/10.1097/INF.0b013e31826fd40d","http://dx.doi.org/10.1097/INF.0b013e31826fd40d")</f>
        <v>http://dx.doi.org/10.1097/INF.0b013e31826fd40d</v>
      </c>
      <c r="BG372" s="2"/>
      <c r="BH372" s="2"/>
      <c r="BI372" s="2" t="n">
        <v>6</v>
      </c>
      <c r="BJ372" s="2" t="s">
        <v>134</v>
      </c>
      <c r="BK372" s="2" t="s">
        <v>100</v>
      </c>
      <c r="BL372" s="2" t="s">
        <v>134</v>
      </c>
      <c r="BM372" s="2" t="s">
        <v>7201</v>
      </c>
      <c r="BN372" s="2" t="n">
        <v>22926214</v>
      </c>
      <c r="BO372" s="2"/>
      <c r="BP372" s="2"/>
      <c r="BQ372" s="2"/>
      <c r="BR372" s="2" t="s">
        <v>104</v>
      </c>
      <c r="BS372" s="2" t="s">
        <v>7202</v>
      </c>
      <c r="BT372" s="2" t="str">
        <f aca="false">HYPERLINK("https%3A%2F%2Fwww.webofscience.com%2Fwos%2Fwoscc%2Ffull-record%2FWOS:000312903600002","View Full Record in Web of Science")</f>
        <v>View Full Record in Web of Science</v>
      </c>
    </row>
    <row r="373" customFormat="false" ht="12.75" hidden="false" customHeight="false" outlineLevel="0" collapsed="false">
      <c r="A373" s="2" t="s">
        <v>72</v>
      </c>
      <c r="B373" s="2" t="s">
        <v>7203</v>
      </c>
      <c r="C373" s="2"/>
      <c r="D373" s="2"/>
      <c r="E373" s="2"/>
      <c r="F373" s="2" t="s">
        <v>7204</v>
      </c>
      <c r="G373" s="2"/>
      <c r="H373" s="2"/>
      <c r="I373" s="2" t="s">
        <v>7205</v>
      </c>
      <c r="J373" s="2" t="s">
        <v>7206</v>
      </c>
      <c r="K373" s="2"/>
      <c r="L373" s="2"/>
      <c r="M373" s="2" t="s">
        <v>77</v>
      </c>
      <c r="N373" s="2" t="s">
        <v>78</v>
      </c>
      <c r="O373" s="2"/>
      <c r="P373" s="2"/>
      <c r="Q373" s="2"/>
      <c r="R373" s="2"/>
      <c r="S373" s="2"/>
      <c r="T373" s="2" t="s">
        <v>7207</v>
      </c>
      <c r="U373" s="2"/>
      <c r="V373" s="2" t="s">
        <v>7208</v>
      </c>
      <c r="W373" s="2" t="s">
        <v>7209</v>
      </c>
      <c r="X373" s="2" t="s">
        <v>7210</v>
      </c>
      <c r="Y373" s="2" t="s">
        <v>7211</v>
      </c>
      <c r="Z373" s="2" t="s">
        <v>7212</v>
      </c>
      <c r="AA373" s="2"/>
      <c r="AB373" s="2"/>
      <c r="AC373" s="2" t="s">
        <v>7213</v>
      </c>
      <c r="AD373" s="2" t="s">
        <v>7213</v>
      </c>
      <c r="AE373" s="2" t="s">
        <v>7214</v>
      </c>
      <c r="AF373" s="2"/>
      <c r="AG373" s="2" t="n">
        <v>26</v>
      </c>
      <c r="AH373" s="2" t="n">
        <v>5</v>
      </c>
      <c r="AI373" s="2" t="n">
        <v>5</v>
      </c>
      <c r="AJ373" s="2" t="n">
        <v>0</v>
      </c>
      <c r="AK373" s="2" t="n">
        <v>0</v>
      </c>
      <c r="AL373" s="2" t="s">
        <v>549</v>
      </c>
      <c r="AM373" s="2" t="s">
        <v>384</v>
      </c>
      <c r="AN373" s="2" t="s">
        <v>550</v>
      </c>
      <c r="AO373" s="2" t="s">
        <v>7215</v>
      </c>
      <c r="AP373" s="2" t="s">
        <v>7216</v>
      </c>
      <c r="AQ373" s="2"/>
      <c r="AR373" s="2" t="s">
        <v>7217</v>
      </c>
      <c r="AS373" s="2" t="s">
        <v>7218</v>
      </c>
      <c r="AT373" s="2" t="s">
        <v>692</v>
      </c>
      <c r="AU373" s="2" t="n">
        <v>2013</v>
      </c>
      <c r="AV373" s="2" t="n">
        <v>61</v>
      </c>
      <c r="AW373" s="2" t="n">
        <v>2</v>
      </c>
      <c r="AX373" s="2"/>
      <c r="AY373" s="2"/>
      <c r="AZ373" s="2"/>
      <c r="BA373" s="2"/>
      <c r="BB373" s="2" t="n">
        <v>73</v>
      </c>
      <c r="BC373" s="2" t="n">
        <v>77</v>
      </c>
      <c r="BD373" s="2"/>
      <c r="BE373" s="2" t="s">
        <v>7219</v>
      </c>
      <c r="BF373" s="2" t="str">
        <f aca="false">HYPERLINK("http://dx.doi.org/10.1016/j.epag.2013.07.001","http://dx.doi.org/10.1016/j.epag.2013.07.001")</f>
        <v>http://dx.doi.org/10.1016/j.epag.2013.07.001</v>
      </c>
      <c r="BG373" s="2"/>
      <c r="BH373" s="2"/>
      <c r="BI373" s="2" t="n">
        <v>5</v>
      </c>
      <c r="BJ373" s="2" t="s">
        <v>601</v>
      </c>
      <c r="BK373" s="2" t="s">
        <v>339</v>
      </c>
      <c r="BL373" s="2" t="s">
        <v>601</v>
      </c>
      <c r="BM373" s="2" t="s">
        <v>7220</v>
      </c>
      <c r="BN373" s="2"/>
      <c r="BO373" s="2" t="s">
        <v>1355</v>
      </c>
      <c r="BP373" s="2"/>
      <c r="BQ373" s="2"/>
      <c r="BR373" s="2" t="s">
        <v>104</v>
      </c>
      <c r="BS373" s="2" t="s">
        <v>7221</v>
      </c>
      <c r="BT373" s="2" t="str">
        <f aca="false">HYPERLINK("https%3A%2F%2Fwww.webofscience.com%2Fwos%2Fwoscc%2Ffull-record%2FWOS:000216603800004","View Full Record in Web of Science")</f>
        <v>View Full Record in Web of Science</v>
      </c>
    </row>
    <row r="374" customFormat="false" ht="12.75" hidden="false" customHeight="false" outlineLevel="0" collapsed="false">
      <c r="A374" s="2" t="s">
        <v>72</v>
      </c>
      <c r="B374" s="2" t="s">
        <v>7222</v>
      </c>
      <c r="C374" s="2"/>
      <c r="D374" s="2"/>
      <c r="E374" s="2"/>
      <c r="F374" s="2" t="s">
        <v>7223</v>
      </c>
      <c r="G374" s="2"/>
      <c r="H374" s="2"/>
      <c r="I374" s="2" t="s">
        <v>7224</v>
      </c>
      <c r="J374" s="2" t="s">
        <v>2944</v>
      </c>
      <c r="K374" s="2"/>
      <c r="L374" s="2"/>
      <c r="M374" s="2" t="s">
        <v>77</v>
      </c>
      <c r="N374" s="2" t="s">
        <v>78</v>
      </c>
      <c r="O374" s="2"/>
      <c r="P374" s="2"/>
      <c r="Q374" s="2"/>
      <c r="R374" s="2"/>
      <c r="S374" s="2"/>
      <c r="T374" s="2" t="s">
        <v>7225</v>
      </c>
      <c r="U374" s="2" t="s">
        <v>7226</v>
      </c>
      <c r="V374" s="2" t="s">
        <v>7227</v>
      </c>
      <c r="W374" s="2" t="s">
        <v>7228</v>
      </c>
      <c r="X374" s="2" t="s">
        <v>7229</v>
      </c>
      <c r="Y374" s="2" t="s">
        <v>7230</v>
      </c>
      <c r="Z374" s="2" t="s">
        <v>7231</v>
      </c>
      <c r="AA374" s="2" t="s">
        <v>7232</v>
      </c>
      <c r="AB374" s="2" t="s">
        <v>7233</v>
      </c>
      <c r="AC374" s="2" t="s">
        <v>7234</v>
      </c>
      <c r="AD374" s="2" t="s">
        <v>7235</v>
      </c>
      <c r="AE374" s="2" t="s">
        <v>7236</v>
      </c>
      <c r="AF374" s="2"/>
      <c r="AG374" s="2" t="n">
        <v>39</v>
      </c>
      <c r="AH374" s="2" t="n">
        <v>255</v>
      </c>
      <c r="AI374" s="2" t="n">
        <v>267</v>
      </c>
      <c r="AJ374" s="2" t="n">
        <v>0</v>
      </c>
      <c r="AK374" s="2" t="n">
        <v>13</v>
      </c>
      <c r="AL374" s="2" t="s">
        <v>2954</v>
      </c>
      <c r="AM374" s="2" t="s">
        <v>593</v>
      </c>
      <c r="AN374" s="2" t="s">
        <v>2955</v>
      </c>
      <c r="AO374" s="2" t="s">
        <v>2956</v>
      </c>
      <c r="AP374" s="2" t="s">
        <v>2957</v>
      </c>
      <c r="AQ374" s="2"/>
      <c r="AR374" s="2" t="s">
        <v>2958</v>
      </c>
      <c r="AS374" s="2" t="s">
        <v>2959</v>
      </c>
      <c r="AT374" s="2" t="s">
        <v>7237</v>
      </c>
      <c r="AU374" s="2" t="n">
        <v>2012</v>
      </c>
      <c r="AV374" s="2" t="n">
        <v>186</v>
      </c>
      <c r="AW374" s="2" t="n">
        <v>4</v>
      </c>
      <c r="AX374" s="2"/>
      <c r="AY374" s="2"/>
      <c r="AZ374" s="2"/>
      <c r="BA374" s="2"/>
      <c r="BB374" s="2" t="n">
        <v>325</v>
      </c>
      <c r="BC374" s="2" t="n">
        <v>332</v>
      </c>
      <c r="BD374" s="2"/>
      <c r="BE374" s="2" t="s">
        <v>7238</v>
      </c>
      <c r="BF374" s="2" t="str">
        <f aca="false">HYPERLINK("http://dx.doi.org/10.1164/rccm.201112-2240OC","http://dx.doi.org/10.1164/rccm.201112-2240OC")</f>
        <v>http://dx.doi.org/10.1164/rccm.201112-2240OC</v>
      </c>
      <c r="BG374" s="2"/>
      <c r="BH374" s="2"/>
      <c r="BI374" s="2" t="n">
        <v>8</v>
      </c>
      <c r="BJ374" s="2" t="s">
        <v>2962</v>
      </c>
      <c r="BK374" s="2" t="s">
        <v>100</v>
      </c>
      <c r="BL374" s="2" t="s">
        <v>2963</v>
      </c>
      <c r="BM374" s="2" t="s">
        <v>7239</v>
      </c>
      <c r="BN374" s="2" t="n">
        <v>22700859</v>
      </c>
      <c r="BO374" s="2"/>
      <c r="BP374" s="2"/>
      <c r="BQ374" s="2"/>
      <c r="BR374" s="2" t="s">
        <v>104</v>
      </c>
      <c r="BS374" s="2" t="s">
        <v>7240</v>
      </c>
      <c r="BT374" s="2" t="str">
        <f aca="false">HYPERLINK("https%3A%2F%2Fwww.webofscience.com%2Fwos%2Fwoscc%2Ffull-record%2FWOS:000307600200007","View Full Record in Web of Science")</f>
        <v>View Full Record in Web of Science</v>
      </c>
    </row>
    <row r="375" customFormat="false" ht="12.75" hidden="false" customHeight="false" outlineLevel="0" collapsed="false">
      <c r="A375" s="2" t="s">
        <v>72</v>
      </c>
      <c r="B375" s="2" t="s">
        <v>7241</v>
      </c>
      <c r="C375" s="2"/>
      <c r="D375" s="2"/>
      <c r="E375" s="2"/>
      <c r="F375" s="2" t="s">
        <v>7242</v>
      </c>
      <c r="G375" s="2"/>
      <c r="H375" s="2"/>
      <c r="I375" s="2" t="s">
        <v>7243</v>
      </c>
      <c r="J375" s="2" t="s">
        <v>7244</v>
      </c>
      <c r="K375" s="2"/>
      <c r="L375" s="2"/>
      <c r="M375" s="2" t="s">
        <v>77</v>
      </c>
      <c r="N375" s="2" t="s">
        <v>78</v>
      </c>
      <c r="O375" s="2"/>
      <c r="P375" s="2"/>
      <c r="Q375" s="2"/>
      <c r="R375" s="2"/>
      <c r="S375" s="2"/>
      <c r="T375" s="2" t="s">
        <v>7245</v>
      </c>
      <c r="U375" s="2" t="s">
        <v>7246</v>
      </c>
      <c r="V375" s="2" t="s">
        <v>7247</v>
      </c>
      <c r="W375" s="2" t="s">
        <v>7248</v>
      </c>
      <c r="X375" s="2" t="s">
        <v>7249</v>
      </c>
      <c r="Y375" s="2" t="s">
        <v>7250</v>
      </c>
      <c r="Z375" s="2" t="s">
        <v>7251</v>
      </c>
      <c r="AA375" s="2"/>
      <c r="AB375" s="2"/>
      <c r="AC375" s="2"/>
      <c r="AD375" s="2"/>
      <c r="AE375" s="2"/>
      <c r="AF375" s="2"/>
      <c r="AG375" s="2" t="n">
        <v>27</v>
      </c>
      <c r="AH375" s="2" t="n">
        <v>48</v>
      </c>
      <c r="AI375" s="2" t="n">
        <v>49</v>
      </c>
      <c r="AJ375" s="2" t="n">
        <v>1</v>
      </c>
      <c r="AK375" s="2" t="n">
        <v>7</v>
      </c>
      <c r="AL375" s="2" t="s">
        <v>782</v>
      </c>
      <c r="AM375" s="2" t="s">
        <v>783</v>
      </c>
      <c r="AN375" s="2" t="s">
        <v>784</v>
      </c>
      <c r="AO375" s="2" t="s">
        <v>7252</v>
      </c>
      <c r="AP375" s="2" t="s">
        <v>7253</v>
      </c>
      <c r="AQ375" s="2"/>
      <c r="AR375" s="2" t="s">
        <v>7254</v>
      </c>
      <c r="AS375" s="2" t="s">
        <v>7255</v>
      </c>
      <c r="AT375" s="2" t="s">
        <v>692</v>
      </c>
      <c r="AU375" s="2" t="n">
        <v>2021</v>
      </c>
      <c r="AV375" s="2" t="n">
        <v>27</v>
      </c>
      <c r="AW375" s="2" t="n">
        <v>4</v>
      </c>
      <c r="AX375" s="2"/>
      <c r="AY375" s="2"/>
      <c r="AZ375" s="2"/>
      <c r="BA375" s="2"/>
      <c r="BB375" s="2"/>
      <c r="BC375" s="2"/>
      <c r="BD375" s="2"/>
      <c r="BE375" s="2" t="s">
        <v>7256</v>
      </c>
      <c r="BF375" s="2" t="str">
        <f aca="false">HYPERLINK("http://dx.doi.org/10.1016/j.cmi.2020.05.042","http://dx.doi.org/10.1016/j.cmi.2020.05.042")</f>
        <v>http://dx.doi.org/10.1016/j.cmi.2020.05.042</v>
      </c>
      <c r="BG375" s="2"/>
      <c r="BH375" s="2" t="s">
        <v>7257</v>
      </c>
      <c r="BI375" s="2" t="n">
        <v>6</v>
      </c>
      <c r="BJ375" s="2" t="s">
        <v>1467</v>
      </c>
      <c r="BK375" s="2" t="s">
        <v>100</v>
      </c>
      <c r="BL375" s="2" t="s">
        <v>1467</v>
      </c>
      <c r="BM375" s="2" t="s">
        <v>7258</v>
      </c>
      <c r="BN375" s="2" t="n">
        <v>32540470</v>
      </c>
      <c r="BO375" s="2" t="s">
        <v>656</v>
      </c>
      <c r="BP375" s="2"/>
      <c r="BQ375" s="2"/>
      <c r="BR375" s="2" t="s">
        <v>104</v>
      </c>
      <c r="BS375" s="2" t="s">
        <v>7259</v>
      </c>
      <c r="BT375" s="2" t="str">
        <f aca="false">HYPERLINK("https%3A%2F%2Fwww.webofscience.com%2Fwos%2Fwoscc%2Ffull-record%2FWOS:000659131600023","View Full Record in Web of Science")</f>
        <v>View Full Record in Web of Science</v>
      </c>
    </row>
    <row r="376" customFormat="false" ht="12.75" hidden="false" customHeight="false" outlineLevel="0" collapsed="false">
      <c r="A376" s="2" t="s">
        <v>72</v>
      </c>
      <c r="B376" s="2" t="s">
        <v>7260</v>
      </c>
      <c r="C376" s="2"/>
      <c r="D376" s="2"/>
      <c r="E376" s="2"/>
      <c r="F376" s="2" t="s">
        <v>7261</v>
      </c>
      <c r="G376" s="2"/>
      <c r="H376" s="2"/>
      <c r="I376" s="2" t="s">
        <v>7262</v>
      </c>
      <c r="J376" s="2" t="s">
        <v>109</v>
      </c>
      <c r="K376" s="2"/>
      <c r="L376" s="2"/>
      <c r="M376" s="2" t="s">
        <v>77</v>
      </c>
      <c r="N376" s="2" t="s">
        <v>78</v>
      </c>
      <c r="O376" s="2"/>
      <c r="P376" s="2"/>
      <c r="Q376" s="2"/>
      <c r="R376" s="2"/>
      <c r="S376" s="2"/>
      <c r="T376" s="2" t="s">
        <v>7263</v>
      </c>
      <c r="U376" s="2" t="s">
        <v>7264</v>
      </c>
      <c r="V376" s="2" t="s">
        <v>7265</v>
      </c>
      <c r="W376" s="2" t="s">
        <v>7266</v>
      </c>
      <c r="X376" s="2" t="s">
        <v>7267</v>
      </c>
      <c r="Y376" s="2" t="s">
        <v>7268</v>
      </c>
      <c r="Z376" s="2" t="s">
        <v>7269</v>
      </c>
      <c r="AA376" s="2" t="s">
        <v>7270</v>
      </c>
      <c r="AB376" s="2" t="s">
        <v>7271</v>
      </c>
      <c r="AC376" s="2" t="s">
        <v>7272</v>
      </c>
      <c r="AD376" s="2" t="s">
        <v>7273</v>
      </c>
      <c r="AE376" s="2" t="s">
        <v>7274</v>
      </c>
      <c r="AF376" s="2"/>
      <c r="AG376" s="2" t="n">
        <v>42</v>
      </c>
      <c r="AH376" s="2" t="n">
        <v>69</v>
      </c>
      <c r="AI376" s="2" t="n">
        <v>71</v>
      </c>
      <c r="AJ376" s="2" t="n">
        <v>0</v>
      </c>
      <c r="AK376" s="2" t="n">
        <v>9</v>
      </c>
      <c r="AL376" s="2" t="s">
        <v>122</v>
      </c>
      <c r="AM376" s="2" t="s">
        <v>123</v>
      </c>
      <c r="AN376" s="2" t="s">
        <v>124</v>
      </c>
      <c r="AO376" s="2" t="s">
        <v>125</v>
      </c>
      <c r="AP376" s="2" t="s">
        <v>126</v>
      </c>
      <c r="AQ376" s="2"/>
      <c r="AR376" s="2" t="s">
        <v>127</v>
      </c>
      <c r="AS376" s="2" t="s">
        <v>128</v>
      </c>
      <c r="AT376" s="2" t="s">
        <v>161</v>
      </c>
      <c r="AU376" s="2" t="n">
        <v>2011</v>
      </c>
      <c r="AV376" s="2" t="n">
        <v>30</v>
      </c>
      <c r="AW376" s="2" t="n">
        <v>1</v>
      </c>
      <c r="AX376" s="2"/>
      <c r="AY376" s="2"/>
      <c r="AZ376" s="2"/>
      <c r="BA376" s="2"/>
      <c r="BB376" s="2" t="n">
        <v>39</v>
      </c>
      <c r="BC376" s="2" t="n">
        <v>44</v>
      </c>
      <c r="BD376" s="2"/>
      <c r="BE376" s="2" t="s">
        <v>7275</v>
      </c>
      <c r="BF376" s="2" t="str">
        <f aca="false">HYPERLINK("http://dx.doi.org/10.1097/INF.0b013e3181f232fe","http://dx.doi.org/10.1097/INF.0b013e3181f232fe")</f>
        <v>http://dx.doi.org/10.1097/INF.0b013e3181f232fe</v>
      </c>
      <c r="BG376" s="2"/>
      <c r="BH376" s="2"/>
      <c r="BI376" s="2" t="n">
        <v>6</v>
      </c>
      <c r="BJ376" s="2" t="s">
        <v>134</v>
      </c>
      <c r="BK376" s="2" t="s">
        <v>100</v>
      </c>
      <c r="BL376" s="2" t="s">
        <v>134</v>
      </c>
      <c r="BM376" s="2" t="s">
        <v>7276</v>
      </c>
      <c r="BN376" s="2" t="n">
        <v>20805786</v>
      </c>
      <c r="BO376" s="2"/>
      <c r="BP376" s="2"/>
      <c r="BQ376" s="2"/>
      <c r="BR376" s="2" t="s">
        <v>104</v>
      </c>
      <c r="BS376" s="2" t="s">
        <v>7277</v>
      </c>
      <c r="BT376" s="2" t="str">
        <f aca="false">HYPERLINK("https%3A%2F%2Fwww.webofscience.com%2Fwos%2Fwoscc%2Ffull-record%2FWOS:000285498800011","View Full Record in Web of Science")</f>
        <v>View Full Record in Web of Science</v>
      </c>
    </row>
    <row r="377" customFormat="false" ht="12.75" hidden="false" customHeight="false" outlineLevel="0" collapsed="false">
      <c r="A377" s="2" t="s">
        <v>72</v>
      </c>
      <c r="B377" s="2" t="s">
        <v>7278</v>
      </c>
      <c r="C377" s="2"/>
      <c r="D377" s="2"/>
      <c r="E377" s="2"/>
      <c r="F377" s="2" t="s">
        <v>7279</v>
      </c>
      <c r="G377" s="2"/>
      <c r="H377" s="2"/>
      <c r="I377" s="2" t="s">
        <v>7280</v>
      </c>
      <c r="J377" s="2" t="s">
        <v>7060</v>
      </c>
      <c r="K377" s="2"/>
      <c r="L377" s="2"/>
      <c r="M377" s="2" t="s">
        <v>77</v>
      </c>
      <c r="N377" s="2" t="s">
        <v>78</v>
      </c>
      <c r="O377" s="2"/>
      <c r="P377" s="2"/>
      <c r="Q377" s="2"/>
      <c r="R377" s="2"/>
      <c r="S377" s="2"/>
      <c r="T377" s="2" t="s">
        <v>7281</v>
      </c>
      <c r="U377" s="2" t="s">
        <v>7282</v>
      </c>
      <c r="V377" s="2" t="s">
        <v>7283</v>
      </c>
      <c r="W377" s="2" t="s">
        <v>7284</v>
      </c>
      <c r="X377" s="2" t="s">
        <v>7285</v>
      </c>
      <c r="Y377" s="2" t="s">
        <v>7286</v>
      </c>
      <c r="Z377" s="2" t="s">
        <v>7287</v>
      </c>
      <c r="AA377" s="2"/>
      <c r="AB377" s="2"/>
      <c r="AC377" s="2" t="s">
        <v>7288</v>
      </c>
      <c r="AD377" s="2" t="s">
        <v>7289</v>
      </c>
      <c r="AE377" s="2" t="s">
        <v>7290</v>
      </c>
      <c r="AF377" s="2"/>
      <c r="AG377" s="2" t="n">
        <v>38</v>
      </c>
      <c r="AH377" s="2" t="n">
        <v>47</v>
      </c>
      <c r="AI377" s="2" t="n">
        <v>50</v>
      </c>
      <c r="AJ377" s="2" t="n">
        <v>0</v>
      </c>
      <c r="AK377" s="2" t="n">
        <v>2</v>
      </c>
      <c r="AL377" s="2" t="s">
        <v>7073</v>
      </c>
      <c r="AM377" s="2" t="s">
        <v>7074</v>
      </c>
      <c r="AN377" s="2" t="s">
        <v>7075</v>
      </c>
      <c r="AO377" s="2" t="s">
        <v>7076</v>
      </c>
      <c r="AP377" s="2" t="s">
        <v>7291</v>
      </c>
      <c r="AQ377" s="2"/>
      <c r="AR377" s="2" t="s">
        <v>7060</v>
      </c>
      <c r="AS377" s="2" t="s">
        <v>601</v>
      </c>
      <c r="AT377" s="2" t="s">
        <v>390</v>
      </c>
      <c r="AU377" s="2" t="n">
        <v>2012</v>
      </c>
      <c r="AV377" s="2" t="n">
        <v>129</v>
      </c>
      <c r="AW377" s="2" t="n">
        <v>5</v>
      </c>
      <c r="AX377" s="2"/>
      <c r="AY377" s="2"/>
      <c r="AZ377" s="2"/>
      <c r="BA377" s="2"/>
      <c r="BB377" s="2" t="s">
        <v>7292</v>
      </c>
      <c r="BC377" s="2" t="s">
        <v>7293</v>
      </c>
      <c r="BD377" s="2"/>
      <c r="BE377" s="2" t="s">
        <v>7294</v>
      </c>
      <c r="BF377" s="2" t="str">
        <f aca="false">HYPERLINK("http://dx.doi.org/10.1542/peds.2011-1943","http://dx.doi.org/10.1542/peds.2011-1943")</f>
        <v>http://dx.doi.org/10.1542/peds.2011-1943</v>
      </c>
      <c r="BG377" s="2"/>
      <c r="BH377" s="2"/>
      <c r="BI377" s="2" t="n">
        <v>8</v>
      </c>
      <c r="BJ377" s="2" t="s">
        <v>601</v>
      </c>
      <c r="BK377" s="2" t="s">
        <v>100</v>
      </c>
      <c r="BL377" s="2" t="s">
        <v>601</v>
      </c>
      <c r="BM377" s="2" t="s">
        <v>7295</v>
      </c>
      <c r="BN377" s="2" t="n">
        <v>22508919</v>
      </c>
      <c r="BO377" s="2"/>
      <c r="BP377" s="2"/>
      <c r="BQ377" s="2"/>
      <c r="BR377" s="2" t="s">
        <v>104</v>
      </c>
      <c r="BS377" s="2" t="s">
        <v>7296</v>
      </c>
      <c r="BT377" s="2" t="str">
        <f aca="false">HYPERLINK("https%3A%2F%2Fwww.webofscience.com%2Fwos%2Fwoscc%2Ffull-record%2FWOS:000304709600003","View Full Record in Web of Science")</f>
        <v>View Full Record in Web of Science</v>
      </c>
    </row>
    <row r="378" customFormat="false" ht="12.75" hidden="false" customHeight="false" outlineLevel="0" collapsed="false">
      <c r="A378" s="2" t="s">
        <v>72</v>
      </c>
      <c r="B378" s="2" t="s">
        <v>7297</v>
      </c>
      <c r="C378" s="2"/>
      <c r="D378" s="2"/>
      <c r="E378" s="2"/>
      <c r="F378" s="2" t="s">
        <v>7298</v>
      </c>
      <c r="G378" s="2"/>
      <c r="H378" s="2"/>
      <c r="I378" s="2" t="s">
        <v>7299</v>
      </c>
      <c r="J378" s="2" t="s">
        <v>770</v>
      </c>
      <c r="K378" s="2"/>
      <c r="L378" s="2"/>
      <c r="M378" s="2" t="s">
        <v>77</v>
      </c>
      <c r="N378" s="2" t="s">
        <v>78</v>
      </c>
      <c r="O378" s="2"/>
      <c r="P378" s="2"/>
      <c r="Q378" s="2"/>
      <c r="R378" s="2"/>
      <c r="S378" s="2"/>
      <c r="T378" s="2" t="s">
        <v>7300</v>
      </c>
      <c r="U378" s="2" t="s">
        <v>7301</v>
      </c>
      <c r="V378" s="2" t="s">
        <v>7302</v>
      </c>
      <c r="W378" s="2" t="s">
        <v>7303</v>
      </c>
      <c r="X378" s="2" t="s">
        <v>7304</v>
      </c>
      <c r="Y378" s="2" t="s">
        <v>7305</v>
      </c>
      <c r="Z378" s="2" t="s">
        <v>7306</v>
      </c>
      <c r="AA378" s="2" t="s">
        <v>7307</v>
      </c>
      <c r="AB378" s="2" t="s">
        <v>7308</v>
      </c>
      <c r="AC378" s="2" t="s">
        <v>7309</v>
      </c>
      <c r="AD378" s="2" t="s">
        <v>7310</v>
      </c>
      <c r="AE378" s="2" t="s">
        <v>7311</v>
      </c>
      <c r="AF378" s="2"/>
      <c r="AG378" s="2" t="n">
        <v>57</v>
      </c>
      <c r="AH378" s="2" t="n">
        <v>10</v>
      </c>
      <c r="AI378" s="2" t="n">
        <v>10</v>
      </c>
      <c r="AJ378" s="2" t="n">
        <v>1</v>
      </c>
      <c r="AK378" s="2" t="n">
        <v>2</v>
      </c>
      <c r="AL378" s="2" t="s">
        <v>782</v>
      </c>
      <c r="AM378" s="2" t="s">
        <v>783</v>
      </c>
      <c r="AN378" s="2" t="s">
        <v>784</v>
      </c>
      <c r="AO378" s="2" t="s">
        <v>785</v>
      </c>
      <c r="AP378" s="2" t="s">
        <v>786</v>
      </c>
      <c r="AQ378" s="2"/>
      <c r="AR378" s="2" t="s">
        <v>787</v>
      </c>
      <c r="AS378" s="2" t="s">
        <v>788</v>
      </c>
      <c r="AT378" s="2" t="s">
        <v>486</v>
      </c>
      <c r="AU378" s="2" t="n">
        <v>2020</v>
      </c>
      <c r="AV378" s="2" t="n">
        <v>95</v>
      </c>
      <c r="AW378" s="2"/>
      <c r="AX378" s="2"/>
      <c r="AY378" s="2"/>
      <c r="AZ378" s="2"/>
      <c r="BA378" s="2"/>
      <c r="BB378" s="2" t="n">
        <v>74</v>
      </c>
      <c r="BC378" s="2" t="n">
        <v>83</v>
      </c>
      <c r="BD378" s="2"/>
      <c r="BE378" s="2" t="s">
        <v>7312</v>
      </c>
      <c r="BF378" s="2" t="str">
        <f aca="false">HYPERLINK("http://dx.doi.org/10.1016/j.ijid.2020.04.017","http://dx.doi.org/10.1016/j.ijid.2020.04.017")</f>
        <v>http://dx.doi.org/10.1016/j.ijid.2020.04.017</v>
      </c>
      <c r="BG378" s="2"/>
      <c r="BH378" s="2"/>
      <c r="BI378" s="2" t="n">
        <v>10</v>
      </c>
      <c r="BJ378" s="2" t="s">
        <v>575</v>
      </c>
      <c r="BK378" s="2" t="s">
        <v>100</v>
      </c>
      <c r="BL378" s="2" t="s">
        <v>575</v>
      </c>
      <c r="BM378" s="2" t="s">
        <v>7313</v>
      </c>
      <c r="BN378" s="2" t="n">
        <v>32283281</v>
      </c>
      <c r="BO378" s="2" t="s">
        <v>190</v>
      </c>
      <c r="BP378" s="2"/>
      <c r="BQ378" s="2"/>
      <c r="BR378" s="2" t="s">
        <v>104</v>
      </c>
      <c r="BS378" s="2" t="s">
        <v>7314</v>
      </c>
      <c r="BT378" s="2" t="str">
        <f aca="false">HYPERLINK("https%3A%2F%2Fwww.webofscience.com%2Fwos%2Fwoscc%2Ffull-record%2FWOS:000540737100013","View Full Record in Web of Science")</f>
        <v>View Full Record in Web of Science</v>
      </c>
    </row>
    <row r="379" customFormat="false" ht="12.75" hidden="false" customHeight="false" outlineLevel="0" collapsed="false">
      <c r="A379" s="2" t="s">
        <v>72</v>
      </c>
      <c r="B379" s="2" t="s">
        <v>7315</v>
      </c>
      <c r="C379" s="2"/>
      <c r="D379" s="2"/>
      <c r="E379" s="2"/>
      <c r="F379" s="2" t="s">
        <v>7316</v>
      </c>
      <c r="G379" s="2"/>
      <c r="H379" s="2"/>
      <c r="I379" s="2" t="s">
        <v>7317</v>
      </c>
      <c r="J379" s="2" t="s">
        <v>7318</v>
      </c>
      <c r="K379" s="2"/>
      <c r="L379" s="2"/>
      <c r="M379" s="2" t="s">
        <v>77</v>
      </c>
      <c r="N379" s="2" t="s">
        <v>78</v>
      </c>
      <c r="O379" s="2"/>
      <c r="P379" s="2"/>
      <c r="Q379" s="2"/>
      <c r="R379" s="2"/>
      <c r="S379" s="2"/>
      <c r="T379" s="2" t="s">
        <v>7319</v>
      </c>
      <c r="U379" s="2" t="s">
        <v>7320</v>
      </c>
      <c r="V379" s="2" t="s">
        <v>7321</v>
      </c>
      <c r="W379" s="2" t="s">
        <v>7322</v>
      </c>
      <c r="X379" s="2" t="s">
        <v>7323</v>
      </c>
      <c r="Y379" s="2" t="s">
        <v>7324</v>
      </c>
      <c r="Z379" s="2" t="s">
        <v>7325</v>
      </c>
      <c r="AA379" s="2" t="s">
        <v>7326</v>
      </c>
      <c r="AB379" s="2" t="s">
        <v>7327</v>
      </c>
      <c r="AC379" s="2" t="s">
        <v>7328</v>
      </c>
      <c r="AD379" s="2" t="s">
        <v>7329</v>
      </c>
      <c r="AE379" s="2" t="s">
        <v>7330</v>
      </c>
      <c r="AF379" s="2"/>
      <c r="AG379" s="2" t="n">
        <v>35</v>
      </c>
      <c r="AH379" s="2" t="n">
        <v>2</v>
      </c>
      <c r="AI379" s="2" t="n">
        <v>2</v>
      </c>
      <c r="AJ379" s="2" t="n">
        <v>0</v>
      </c>
      <c r="AK379" s="2" t="n">
        <v>1</v>
      </c>
      <c r="AL379" s="2" t="s">
        <v>1186</v>
      </c>
      <c r="AM379" s="2" t="s">
        <v>303</v>
      </c>
      <c r="AN379" s="2" t="s">
        <v>1187</v>
      </c>
      <c r="AO379" s="2"/>
      <c r="AP379" s="2" t="s">
        <v>7331</v>
      </c>
      <c r="AQ379" s="2"/>
      <c r="AR379" s="2" t="s">
        <v>7332</v>
      </c>
      <c r="AS379" s="2" t="s">
        <v>7333</v>
      </c>
      <c r="AT379" s="2"/>
      <c r="AU379" s="2" t="n">
        <v>2020</v>
      </c>
      <c r="AV379" s="2" t="n">
        <v>7</v>
      </c>
      <c r="AW379" s="2" t="n">
        <v>1</v>
      </c>
      <c r="AX379" s="2"/>
      <c r="AY379" s="2"/>
      <c r="AZ379" s="2"/>
      <c r="BA379" s="2"/>
      <c r="BB379" s="2"/>
      <c r="BC379" s="2"/>
      <c r="BD379" s="2" t="s">
        <v>7334</v>
      </c>
      <c r="BE379" s="2" t="s">
        <v>7335</v>
      </c>
      <c r="BF379" s="2" t="str">
        <f aca="false">HYPERLINK("http://dx.doi.org/10.1136/bmjresp-2020-000593","http://dx.doi.org/10.1136/bmjresp-2020-000593")</f>
        <v>http://dx.doi.org/10.1136/bmjresp-2020-000593</v>
      </c>
      <c r="BG379" s="2"/>
      <c r="BH379" s="2"/>
      <c r="BI379" s="2" t="n">
        <v>7</v>
      </c>
      <c r="BJ379" s="2" t="s">
        <v>338</v>
      </c>
      <c r="BK379" s="2" t="s">
        <v>100</v>
      </c>
      <c r="BL379" s="2" t="s">
        <v>338</v>
      </c>
      <c r="BM379" s="2" t="s">
        <v>7336</v>
      </c>
      <c r="BN379" s="2" t="n">
        <v>32727742</v>
      </c>
      <c r="BO379" s="2" t="s">
        <v>190</v>
      </c>
      <c r="BP379" s="2"/>
      <c r="BQ379" s="2"/>
      <c r="BR379" s="2" t="s">
        <v>104</v>
      </c>
      <c r="BS379" s="2" t="s">
        <v>7337</v>
      </c>
      <c r="BT379" s="2" t="str">
        <f aca="false">HYPERLINK("https%3A%2F%2Fwww.webofscience.com%2Fwos%2Fwoscc%2Ffull-record%2FWOS:000579836000001","View Full Record in Web of Science")</f>
        <v>View Full Record in Web of Science</v>
      </c>
    </row>
    <row r="380" customFormat="false" ht="12.75" hidden="false" customHeight="false" outlineLevel="0" collapsed="false">
      <c r="A380" s="2" t="s">
        <v>72</v>
      </c>
      <c r="B380" s="2" t="s">
        <v>7338</v>
      </c>
      <c r="C380" s="2"/>
      <c r="D380" s="2"/>
      <c r="E380" s="2"/>
      <c r="F380" s="2" t="s">
        <v>7339</v>
      </c>
      <c r="G380" s="2"/>
      <c r="H380" s="2"/>
      <c r="I380" s="2" t="s">
        <v>7340</v>
      </c>
      <c r="J380" s="2" t="s">
        <v>109</v>
      </c>
      <c r="K380" s="2"/>
      <c r="L380" s="2"/>
      <c r="M380" s="2" t="s">
        <v>77</v>
      </c>
      <c r="N380" s="2" t="s">
        <v>78</v>
      </c>
      <c r="O380" s="2"/>
      <c r="P380" s="2"/>
      <c r="Q380" s="2"/>
      <c r="R380" s="2"/>
      <c r="S380" s="2"/>
      <c r="T380" s="2" t="s">
        <v>7341</v>
      </c>
      <c r="U380" s="2" t="s">
        <v>7342</v>
      </c>
      <c r="V380" s="2" t="s">
        <v>7343</v>
      </c>
      <c r="W380" s="2" t="s">
        <v>7344</v>
      </c>
      <c r="X380" s="2" t="s">
        <v>7345</v>
      </c>
      <c r="Y380" s="2" t="s">
        <v>7346</v>
      </c>
      <c r="Z380" s="2" t="s">
        <v>7347</v>
      </c>
      <c r="AA380" s="2"/>
      <c r="AB380" s="2" t="s">
        <v>7348</v>
      </c>
      <c r="AC380" s="2" t="s">
        <v>7349</v>
      </c>
      <c r="AD380" s="2" t="s">
        <v>7350</v>
      </c>
      <c r="AE380" s="2" t="s">
        <v>7351</v>
      </c>
      <c r="AF380" s="2"/>
      <c r="AG380" s="2" t="n">
        <v>37</v>
      </c>
      <c r="AH380" s="2" t="n">
        <v>53</v>
      </c>
      <c r="AI380" s="2" t="n">
        <v>57</v>
      </c>
      <c r="AJ380" s="2" t="n">
        <v>0</v>
      </c>
      <c r="AK380" s="2" t="n">
        <v>4</v>
      </c>
      <c r="AL380" s="2" t="s">
        <v>122</v>
      </c>
      <c r="AM380" s="2" t="s">
        <v>123</v>
      </c>
      <c r="AN380" s="2" t="s">
        <v>124</v>
      </c>
      <c r="AO380" s="2" t="s">
        <v>125</v>
      </c>
      <c r="AP380" s="2" t="s">
        <v>126</v>
      </c>
      <c r="AQ380" s="2"/>
      <c r="AR380" s="2" t="s">
        <v>127</v>
      </c>
      <c r="AS380" s="2" t="s">
        <v>128</v>
      </c>
      <c r="AT380" s="2" t="s">
        <v>1041</v>
      </c>
      <c r="AU380" s="2" t="n">
        <v>2014</v>
      </c>
      <c r="AV380" s="2" t="n">
        <v>33</v>
      </c>
      <c r="AW380" s="2" t="n">
        <v>2</v>
      </c>
      <c r="AX380" s="2"/>
      <c r="AY380" s="2"/>
      <c r="AZ380" s="2"/>
      <c r="BA380" s="2"/>
      <c r="BB380" s="2" t="s">
        <v>7352</v>
      </c>
      <c r="BC380" s="2" t="s">
        <v>7353</v>
      </c>
      <c r="BD380" s="2"/>
      <c r="BE380" s="2" t="s">
        <v>7354</v>
      </c>
      <c r="BF380" s="2" t="str">
        <f aca="false">HYPERLINK("http://dx.doi.org/10.1097/INF.0000000000000062","http://dx.doi.org/10.1097/INF.0000000000000062")</f>
        <v>http://dx.doi.org/10.1097/INF.0000000000000062</v>
      </c>
      <c r="BG380" s="2"/>
      <c r="BH380" s="2"/>
      <c r="BI380" s="2" t="n">
        <v>8</v>
      </c>
      <c r="BJ380" s="2" t="s">
        <v>134</v>
      </c>
      <c r="BK380" s="2" t="s">
        <v>100</v>
      </c>
      <c r="BL380" s="2" t="s">
        <v>134</v>
      </c>
      <c r="BM380" s="2" t="s">
        <v>7355</v>
      </c>
      <c r="BN380" s="2" t="n">
        <v>24030346</v>
      </c>
      <c r="BO380" s="2" t="s">
        <v>695</v>
      </c>
      <c r="BP380" s="2"/>
      <c r="BQ380" s="2"/>
      <c r="BR380" s="2" t="s">
        <v>104</v>
      </c>
      <c r="BS380" s="2" t="s">
        <v>7356</v>
      </c>
      <c r="BT380" s="2" t="str">
        <f aca="false">HYPERLINK("https%3A%2F%2Fwww.webofscience.com%2Fwos%2Fwoscc%2Ffull-record%2FWOS:000331139100004","View Full Record in Web of Science")</f>
        <v>View Full Record in Web of Science</v>
      </c>
    </row>
    <row r="381" customFormat="false" ht="12.75" hidden="false" customHeight="false" outlineLevel="0" collapsed="false">
      <c r="A381" s="2" t="s">
        <v>72</v>
      </c>
      <c r="B381" s="2" t="s">
        <v>7357</v>
      </c>
      <c r="C381" s="2"/>
      <c r="D381" s="2"/>
      <c r="E381" s="2"/>
      <c r="F381" s="2" t="s">
        <v>7358</v>
      </c>
      <c r="G381" s="2"/>
      <c r="H381" s="2"/>
      <c r="I381" s="2" t="s">
        <v>7359</v>
      </c>
      <c r="J381" s="2" t="s">
        <v>557</v>
      </c>
      <c r="K381" s="2"/>
      <c r="L381" s="2"/>
      <c r="M381" s="2" t="s">
        <v>77</v>
      </c>
      <c r="N381" s="2" t="s">
        <v>78</v>
      </c>
      <c r="O381" s="2"/>
      <c r="P381" s="2"/>
      <c r="Q381" s="2"/>
      <c r="R381" s="2"/>
      <c r="S381" s="2"/>
      <c r="T381" s="2" t="s">
        <v>7360</v>
      </c>
      <c r="U381" s="2" t="s">
        <v>7361</v>
      </c>
      <c r="V381" s="2" t="s">
        <v>7362</v>
      </c>
      <c r="W381" s="2" t="s">
        <v>7363</v>
      </c>
      <c r="X381" s="2" t="s">
        <v>7364</v>
      </c>
      <c r="Y381" s="2" t="s">
        <v>7365</v>
      </c>
      <c r="Z381" s="2" t="s">
        <v>7366</v>
      </c>
      <c r="AA381" s="2" t="s">
        <v>7367</v>
      </c>
      <c r="AB381" s="2" t="s">
        <v>7368</v>
      </c>
      <c r="AC381" s="2" t="s">
        <v>7369</v>
      </c>
      <c r="AD381" s="2" t="s">
        <v>7370</v>
      </c>
      <c r="AE381" s="2" t="s">
        <v>7371</v>
      </c>
      <c r="AF381" s="2"/>
      <c r="AG381" s="2" t="n">
        <v>47</v>
      </c>
      <c r="AH381" s="2" t="n">
        <v>26</v>
      </c>
      <c r="AI381" s="2" t="n">
        <v>29</v>
      </c>
      <c r="AJ381" s="2" t="n">
        <v>0</v>
      </c>
      <c r="AK381" s="2" t="n">
        <v>18</v>
      </c>
      <c r="AL381" s="2" t="s">
        <v>302</v>
      </c>
      <c r="AM381" s="2" t="s">
        <v>303</v>
      </c>
      <c r="AN381" s="2" t="s">
        <v>304</v>
      </c>
      <c r="AO381" s="2" t="s">
        <v>570</v>
      </c>
      <c r="AP381" s="2"/>
      <c r="AQ381" s="2"/>
      <c r="AR381" s="2" t="s">
        <v>571</v>
      </c>
      <c r="AS381" s="2" t="s">
        <v>572</v>
      </c>
      <c r="AT381" s="2" t="s">
        <v>7372</v>
      </c>
      <c r="AU381" s="2" t="n">
        <v>2013</v>
      </c>
      <c r="AV381" s="2" t="n">
        <v>13</v>
      </c>
      <c r="AW381" s="2"/>
      <c r="AX381" s="2"/>
      <c r="AY381" s="2"/>
      <c r="AZ381" s="2"/>
      <c r="BA381" s="2"/>
      <c r="BB381" s="2"/>
      <c r="BC381" s="2"/>
      <c r="BD381" s="2" t="n">
        <v>434</v>
      </c>
      <c r="BE381" s="2" t="s">
        <v>7373</v>
      </c>
      <c r="BF381" s="2" t="str">
        <f aca="false">HYPERLINK("http://dx.doi.org/10.1186/1471-2334-13-434","http://dx.doi.org/10.1186/1471-2334-13-434")</f>
        <v>http://dx.doi.org/10.1186/1471-2334-13-434</v>
      </c>
      <c r="BG381" s="2"/>
      <c r="BH381" s="2"/>
      <c r="BI381" s="2" t="n">
        <v>9</v>
      </c>
      <c r="BJ381" s="2" t="s">
        <v>575</v>
      </c>
      <c r="BK381" s="2" t="s">
        <v>100</v>
      </c>
      <c r="BL381" s="2" t="s">
        <v>575</v>
      </c>
      <c r="BM381" s="2" t="s">
        <v>7374</v>
      </c>
      <c r="BN381" s="2" t="n">
        <v>24498873</v>
      </c>
      <c r="BO381" s="2" t="s">
        <v>190</v>
      </c>
      <c r="BP381" s="2"/>
      <c r="BQ381" s="2"/>
      <c r="BR381" s="2" t="s">
        <v>104</v>
      </c>
      <c r="BS381" s="2" t="s">
        <v>7375</v>
      </c>
      <c r="BT381" s="2" t="str">
        <f aca="false">HYPERLINK("https%3A%2F%2Fwww.webofscience.com%2Fwos%2Fwoscc%2Ffull-record%2FWOS:000324525000001","View Full Record in Web of Science")</f>
        <v>View Full Record in Web of Science</v>
      </c>
    </row>
    <row r="382" customFormat="false" ht="12.75" hidden="false" customHeight="false" outlineLevel="0" collapsed="false">
      <c r="A382" s="2" t="s">
        <v>72</v>
      </c>
      <c r="B382" s="2" t="s">
        <v>7376</v>
      </c>
      <c r="C382" s="2"/>
      <c r="D382" s="2"/>
      <c r="E382" s="2"/>
      <c r="F382" s="2" t="s">
        <v>7377</v>
      </c>
      <c r="G382" s="2"/>
      <c r="H382" s="2"/>
      <c r="I382" s="2" t="s">
        <v>7378</v>
      </c>
      <c r="J382" s="2" t="s">
        <v>7379</v>
      </c>
      <c r="K382" s="2"/>
      <c r="L382" s="2"/>
      <c r="M382" s="2" t="s">
        <v>77</v>
      </c>
      <c r="N382" s="2" t="s">
        <v>78</v>
      </c>
      <c r="O382" s="2"/>
      <c r="P382" s="2"/>
      <c r="Q382" s="2"/>
      <c r="R382" s="2"/>
      <c r="S382" s="2"/>
      <c r="T382" s="2" t="s">
        <v>7380</v>
      </c>
      <c r="U382" s="2" t="s">
        <v>7381</v>
      </c>
      <c r="V382" s="2" t="s">
        <v>7382</v>
      </c>
      <c r="W382" s="2" t="s">
        <v>7383</v>
      </c>
      <c r="X382" s="2" t="s">
        <v>7384</v>
      </c>
      <c r="Y382" s="2" t="s">
        <v>7385</v>
      </c>
      <c r="Z382" s="2" t="s">
        <v>7386</v>
      </c>
      <c r="AA382" s="2" t="s">
        <v>7387</v>
      </c>
      <c r="AB382" s="2" t="s">
        <v>7388</v>
      </c>
      <c r="AC382" s="2"/>
      <c r="AD382" s="2"/>
      <c r="AE382" s="2"/>
      <c r="AF382" s="2"/>
      <c r="AG382" s="2" t="n">
        <v>21</v>
      </c>
      <c r="AH382" s="2" t="n">
        <v>19</v>
      </c>
      <c r="AI382" s="2" t="n">
        <v>20</v>
      </c>
      <c r="AJ382" s="2" t="n">
        <v>0</v>
      </c>
      <c r="AK382" s="2" t="n">
        <v>2</v>
      </c>
      <c r="AL382" s="2" t="s">
        <v>154</v>
      </c>
      <c r="AM382" s="2" t="s">
        <v>155</v>
      </c>
      <c r="AN382" s="2" t="s">
        <v>156</v>
      </c>
      <c r="AO382" s="2" t="s">
        <v>7389</v>
      </c>
      <c r="AP382" s="2" t="s">
        <v>7390</v>
      </c>
      <c r="AQ382" s="2"/>
      <c r="AR382" s="2" t="s">
        <v>7391</v>
      </c>
      <c r="AS382" s="2" t="s">
        <v>7392</v>
      </c>
      <c r="AT382" s="2" t="s">
        <v>599</v>
      </c>
      <c r="AU382" s="2" t="n">
        <v>2008</v>
      </c>
      <c r="AV382" s="2" t="n">
        <v>8</v>
      </c>
      <c r="AW382" s="2" t="n">
        <v>7</v>
      </c>
      <c r="AX382" s="2"/>
      <c r="AY382" s="2"/>
      <c r="AZ382" s="2"/>
      <c r="BA382" s="2"/>
      <c r="BB382" s="2" t="n">
        <v>1567</v>
      </c>
      <c r="BC382" s="2" t="n">
        <v>1569</v>
      </c>
      <c r="BD382" s="2"/>
      <c r="BE382" s="2" t="s">
        <v>7393</v>
      </c>
      <c r="BF382" s="2" t="str">
        <f aca="false">HYPERLINK("http://dx.doi.org/10.1111/j.1600-6143.2008.02278.x","http://dx.doi.org/10.1111/j.1600-6143.2008.02278.x")</f>
        <v>http://dx.doi.org/10.1111/j.1600-6143.2008.02278.x</v>
      </c>
      <c r="BG382" s="2"/>
      <c r="BH382" s="2"/>
      <c r="BI382" s="2" t="n">
        <v>3</v>
      </c>
      <c r="BJ382" s="2" t="s">
        <v>7394</v>
      </c>
      <c r="BK382" s="2" t="s">
        <v>100</v>
      </c>
      <c r="BL382" s="2" t="s">
        <v>7394</v>
      </c>
      <c r="BM382" s="2" t="s">
        <v>7395</v>
      </c>
      <c r="BN382" s="2" t="n">
        <v>18513273</v>
      </c>
      <c r="BO382" s="2" t="s">
        <v>2278</v>
      </c>
      <c r="BP382" s="2"/>
      <c r="BQ382" s="2"/>
      <c r="BR382" s="2" t="s">
        <v>104</v>
      </c>
      <c r="BS382" s="2" t="s">
        <v>7396</v>
      </c>
      <c r="BT382" s="2" t="str">
        <f aca="false">HYPERLINK("https%3A%2F%2Fwww.webofscience.com%2Fwos%2Fwoscc%2Ffull-record%2FWOS:000257549800030","View Full Record in Web of Science")</f>
        <v>View Full Record in Web of Science</v>
      </c>
    </row>
    <row r="383" customFormat="false" ht="12.75" hidden="false" customHeight="false" outlineLevel="0" collapsed="false">
      <c r="A383" s="2" t="s">
        <v>72</v>
      </c>
      <c r="B383" s="2" t="s">
        <v>7397</v>
      </c>
      <c r="C383" s="2"/>
      <c r="D383" s="2"/>
      <c r="E383" s="2"/>
      <c r="F383" s="2" t="s">
        <v>7398</v>
      </c>
      <c r="G383" s="2"/>
      <c r="H383" s="2"/>
      <c r="I383" s="2" t="s">
        <v>7399</v>
      </c>
      <c r="J383" s="2" t="s">
        <v>4000</v>
      </c>
      <c r="K383" s="2"/>
      <c r="L383" s="2"/>
      <c r="M383" s="2" t="s">
        <v>77</v>
      </c>
      <c r="N383" s="2" t="s">
        <v>78</v>
      </c>
      <c r="O383" s="2"/>
      <c r="P383" s="2"/>
      <c r="Q383" s="2"/>
      <c r="R383" s="2"/>
      <c r="S383" s="2"/>
      <c r="T383" s="2" t="s">
        <v>7400</v>
      </c>
      <c r="U383" s="2" t="s">
        <v>7401</v>
      </c>
      <c r="V383" s="2" t="s">
        <v>7402</v>
      </c>
      <c r="W383" s="2" t="s">
        <v>7403</v>
      </c>
      <c r="X383" s="2" t="s">
        <v>7404</v>
      </c>
      <c r="Y383" s="2" t="s">
        <v>7405</v>
      </c>
      <c r="Z383" s="2" t="s">
        <v>7406</v>
      </c>
      <c r="AA383" s="2" t="s">
        <v>7407</v>
      </c>
      <c r="AB383" s="2" t="s">
        <v>7408</v>
      </c>
      <c r="AC383" s="2" t="s">
        <v>7409</v>
      </c>
      <c r="AD383" s="2" t="s">
        <v>7409</v>
      </c>
      <c r="AE383" s="2" t="s">
        <v>3970</v>
      </c>
      <c r="AF383" s="2"/>
      <c r="AG383" s="2" t="n">
        <v>30</v>
      </c>
      <c r="AH383" s="2" t="n">
        <v>1</v>
      </c>
      <c r="AI383" s="2" t="n">
        <v>1</v>
      </c>
      <c r="AJ383" s="2" t="n">
        <v>1</v>
      </c>
      <c r="AK383" s="2" t="n">
        <v>2</v>
      </c>
      <c r="AL383" s="2" t="s">
        <v>91</v>
      </c>
      <c r="AM383" s="2" t="s">
        <v>92</v>
      </c>
      <c r="AN383" s="2" t="s">
        <v>93</v>
      </c>
      <c r="AO383" s="2"/>
      <c r="AP383" s="2" t="s">
        <v>4012</v>
      </c>
      <c r="AQ383" s="2"/>
      <c r="AR383" s="2" t="s">
        <v>4000</v>
      </c>
      <c r="AS383" s="2" t="s">
        <v>4013</v>
      </c>
      <c r="AT383" s="2" t="s">
        <v>1041</v>
      </c>
      <c r="AU383" s="2" t="n">
        <v>2024</v>
      </c>
      <c r="AV383" s="2" t="n">
        <v>11</v>
      </c>
      <c r="AW383" s="2" t="n">
        <v>2</v>
      </c>
      <c r="AX383" s="2"/>
      <c r="AY383" s="2"/>
      <c r="AZ383" s="2"/>
      <c r="BA383" s="2"/>
      <c r="BB383" s="2"/>
      <c r="BC383" s="2"/>
      <c r="BD383" s="2" t="n">
        <v>245</v>
      </c>
      <c r="BE383" s="2" t="s">
        <v>7410</v>
      </c>
      <c r="BF383" s="2" t="str">
        <f aca="false">HYPERLINK("http://dx.doi.org/10.3390/children11020245","http://dx.doi.org/10.3390/children11020245")</f>
        <v>http://dx.doi.org/10.3390/children11020245</v>
      </c>
      <c r="BG383" s="2"/>
      <c r="BH383" s="2"/>
      <c r="BI383" s="2" t="n">
        <v>10</v>
      </c>
      <c r="BJ383" s="2" t="s">
        <v>601</v>
      </c>
      <c r="BK383" s="2" t="s">
        <v>100</v>
      </c>
      <c r="BL383" s="2" t="s">
        <v>601</v>
      </c>
      <c r="BM383" s="2" t="s">
        <v>7411</v>
      </c>
      <c r="BN383" s="2" t="n">
        <v>38397359</v>
      </c>
      <c r="BO383" s="2" t="s">
        <v>190</v>
      </c>
      <c r="BP383" s="2"/>
      <c r="BQ383" s="2"/>
      <c r="BR383" s="2" t="s">
        <v>104</v>
      </c>
      <c r="BS383" s="2" t="s">
        <v>7412</v>
      </c>
      <c r="BT383" s="2" t="str">
        <f aca="false">HYPERLINK("https%3A%2F%2Fwww.webofscience.com%2Fwos%2Fwoscc%2Ffull-record%2FWOS:001172405100001","View Full Record in Web of Science")</f>
        <v>View Full Record in Web of Science</v>
      </c>
    </row>
    <row r="384" customFormat="false" ht="12.75" hidden="false" customHeight="false" outlineLevel="0" collapsed="false">
      <c r="A384" s="2" t="s">
        <v>72</v>
      </c>
      <c r="B384" s="2" t="s">
        <v>7413</v>
      </c>
      <c r="C384" s="2"/>
      <c r="D384" s="2"/>
      <c r="E384" s="2"/>
      <c r="F384" s="2" t="s">
        <v>7414</v>
      </c>
      <c r="G384" s="2"/>
      <c r="H384" s="2"/>
      <c r="I384" s="2" t="s">
        <v>7415</v>
      </c>
      <c r="J384" s="2" t="s">
        <v>109</v>
      </c>
      <c r="K384" s="2"/>
      <c r="L384" s="2"/>
      <c r="M384" s="2" t="s">
        <v>77</v>
      </c>
      <c r="N384" s="2" t="s">
        <v>78</v>
      </c>
      <c r="O384" s="2"/>
      <c r="P384" s="2"/>
      <c r="Q384" s="2"/>
      <c r="R384" s="2"/>
      <c r="S384" s="2"/>
      <c r="T384" s="2" t="s">
        <v>7416</v>
      </c>
      <c r="U384" s="2" t="s">
        <v>7417</v>
      </c>
      <c r="V384" s="2" t="s">
        <v>7418</v>
      </c>
      <c r="W384" s="2" t="s">
        <v>7419</v>
      </c>
      <c r="X384" s="2" t="s">
        <v>7420</v>
      </c>
      <c r="Y384" s="2" t="s">
        <v>7421</v>
      </c>
      <c r="Z384" s="2" t="s">
        <v>7422</v>
      </c>
      <c r="AA384" s="2" t="s">
        <v>7423</v>
      </c>
      <c r="AB384" s="2" t="s">
        <v>7424</v>
      </c>
      <c r="AC384" s="2" t="s">
        <v>7425</v>
      </c>
      <c r="AD384" s="2" t="s">
        <v>7425</v>
      </c>
      <c r="AE384" s="2" t="s">
        <v>7426</v>
      </c>
      <c r="AF384" s="2"/>
      <c r="AG384" s="2" t="n">
        <v>27</v>
      </c>
      <c r="AH384" s="2" t="n">
        <v>9</v>
      </c>
      <c r="AI384" s="2" t="n">
        <v>10</v>
      </c>
      <c r="AJ384" s="2" t="n">
        <v>0</v>
      </c>
      <c r="AK384" s="2" t="n">
        <v>1</v>
      </c>
      <c r="AL384" s="2" t="s">
        <v>122</v>
      </c>
      <c r="AM384" s="2" t="s">
        <v>123</v>
      </c>
      <c r="AN384" s="2" t="s">
        <v>124</v>
      </c>
      <c r="AO384" s="2" t="s">
        <v>125</v>
      </c>
      <c r="AP384" s="2" t="s">
        <v>126</v>
      </c>
      <c r="AQ384" s="2"/>
      <c r="AR384" s="2" t="s">
        <v>127</v>
      </c>
      <c r="AS384" s="2" t="s">
        <v>128</v>
      </c>
      <c r="AT384" s="2" t="s">
        <v>129</v>
      </c>
      <c r="AU384" s="2" t="n">
        <v>2021</v>
      </c>
      <c r="AV384" s="2" t="n">
        <v>40</v>
      </c>
      <c r="AW384" s="2" t="n">
        <v>9</v>
      </c>
      <c r="AX384" s="2"/>
      <c r="AY384" s="2" t="s">
        <v>130</v>
      </c>
      <c r="AZ384" s="2"/>
      <c r="BA384" s="2"/>
      <c r="BB384" s="2" t="s">
        <v>7427</v>
      </c>
      <c r="BC384" s="2" t="s">
        <v>7428</v>
      </c>
      <c r="BD384" s="2"/>
      <c r="BE384" s="2" t="s">
        <v>7429</v>
      </c>
      <c r="BF384" s="2" t="str">
        <f aca="false">HYPERLINK("http://dx.doi.org/10.1097/INF.0000000000002767","http://dx.doi.org/10.1097/INF.0000000000002767")</f>
        <v>http://dx.doi.org/10.1097/INF.0000000000002767</v>
      </c>
      <c r="BG384" s="2"/>
      <c r="BH384" s="2"/>
      <c r="BI384" s="2" t="n">
        <v>11</v>
      </c>
      <c r="BJ384" s="2" t="s">
        <v>134</v>
      </c>
      <c r="BK384" s="2" t="s">
        <v>100</v>
      </c>
      <c r="BL384" s="2" t="s">
        <v>134</v>
      </c>
      <c r="BM384" s="2" t="s">
        <v>135</v>
      </c>
      <c r="BN384" s="2" t="n">
        <v>34448741</v>
      </c>
      <c r="BO384" s="2" t="s">
        <v>284</v>
      </c>
      <c r="BP384" s="2"/>
      <c r="BQ384" s="2"/>
      <c r="BR384" s="2" t="s">
        <v>104</v>
      </c>
      <c r="BS384" s="2" t="s">
        <v>7430</v>
      </c>
      <c r="BT384" s="2" t="str">
        <f aca="false">HYPERLINK("https%3A%2F%2Fwww.webofscience.com%2Fwos%2Fwoscc%2Ffull-record%2FWOS:000756515300003","View Full Record in Web of Science")</f>
        <v>View Full Record in Web of Science</v>
      </c>
    </row>
    <row r="385" customFormat="false" ht="12.75" hidden="false" customHeight="false" outlineLevel="0" collapsed="false">
      <c r="A385" s="2" t="s">
        <v>72</v>
      </c>
      <c r="B385" s="2" t="s">
        <v>7431</v>
      </c>
      <c r="C385" s="2"/>
      <c r="D385" s="2"/>
      <c r="E385" s="2"/>
      <c r="F385" s="2" t="s">
        <v>7432</v>
      </c>
      <c r="G385" s="2"/>
      <c r="H385" s="2"/>
      <c r="I385" s="2" t="s">
        <v>7433</v>
      </c>
      <c r="J385" s="2" t="s">
        <v>370</v>
      </c>
      <c r="K385" s="2"/>
      <c r="L385" s="2"/>
      <c r="M385" s="2" t="s">
        <v>77</v>
      </c>
      <c r="N385" s="2" t="s">
        <v>78</v>
      </c>
      <c r="O385" s="2"/>
      <c r="P385" s="2"/>
      <c r="Q385" s="2"/>
      <c r="R385" s="2"/>
      <c r="S385" s="2"/>
      <c r="T385" s="2" t="s">
        <v>7434</v>
      </c>
      <c r="U385" s="2" t="s">
        <v>7435</v>
      </c>
      <c r="V385" s="2" t="s">
        <v>7436</v>
      </c>
      <c r="W385" s="2" t="s">
        <v>7437</v>
      </c>
      <c r="X385" s="2" t="s">
        <v>7438</v>
      </c>
      <c r="Y385" s="2" t="s">
        <v>7439</v>
      </c>
      <c r="Z385" s="2" t="s">
        <v>7231</v>
      </c>
      <c r="AA385" s="2" t="s">
        <v>7440</v>
      </c>
      <c r="AB385" s="2" t="s">
        <v>7441</v>
      </c>
      <c r="AC385" s="2" t="s">
        <v>7442</v>
      </c>
      <c r="AD385" s="2" t="s">
        <v>7235</v>
      </c>
      <c r="AE385" s="2" t="s">
        <v>7443</v>
      </c>
      <c r="AF385" s="2"/>
      <c r="AG385" s="2" t="n">
        <v>12</v>
      </c>
      <c r="AH385" s="2" t="n">
        <v>6</v>
      </c>
      <c r="AI385" s="2" t="n">
        <v>7</v>
      </c>
      <c r="AJ385" s="2" t="n">
        <v>1</v>
      </c>
      <c r="AK385" s="2" t="n">
        <v>4</v>
      </c>
      <c r="AL385" s="2" t="s">
        <v>549</v>
      </c>
      <c r="AM385" s="2" t="s">
        <v>384</v>
      </c>
      <c r="AN385" s="2" t="s">
        <v>550</v>
      </c>
      <c r="AO385" s="2" t="s">
        <v>386</v>
      </c>
      <c r="AP385" s="2" t="s">
        <v>387</v>
      </c>
      <c r="AQ385" s="2"/>
      <c r="AR385" s="2" t="s">
        <v>388</v>
      </c>
      <c r="AS385" s="2" t="s">
        <v>389</v>
      </c>
      <c r="AT385" s="2" t="s">
        <v>185</v>
      </c>
      <c r="AU385" s="2" t="n">
        <v>2019</v>
      </c>
      <c r="AV385" s="2" t="n">
        <v>117</v>
      </c>
      <c r="AW385" s="2"/>
      <c r="AX385" s="2"/>
      <c r="AY385" s="2"/>
      <c r="AZ385" s="2"/>
      <c r="BA385" s="2"/>
      <c r="BB385" s="2" t="n">
        <v>1</v>
      </c>
      <c r="BC385" s="2" t="n">
        <v>4</v>
      </c>
      <c r="BD385" s="2"/>
      <c r="BE385" s="2" t="s">
        <v>7444</v>
      </c>
      <c r="BF385" s="2" t="str">
        <f aca="false">HYPERLINK("http://dx.doi.org/10.1016/j.jcv.2019.05.007","http://dx.doi.org/10.1016/j.jcv.2019.05.007")</f>
        <v>http://dx.doi.org/10.1016/j.jcv.2019.05.007</v>
      </c>
      <c r="BG385" s="2"/>
      <c r="BH385" s="2"/>
      <c r="BI385" s="2" t="n">
        <v>4</v>
      </c>
      <c r="BJ385" s="2" t="s">
        <v>163</v>
      </c>
      <c r="BK385" s="2" t="s">
        <v>100</v>
      </c>
      <c r="BL385" s="2" t="s">
        <v>163</v>
      </c>
      <c r="BM385" s="2" t="s">
        <v>2493</v>
      </c>
      <c r="BN385" s="2" t="n">
        <v>31128379</v>
      </c>
      <c r="BO385" s="2" t="s">
        <v>165</v>
      </c>
      <c r="BP385" s="2"/>
      <c r="BQ385" s="2"/>
      <c r="BR385" s="2" t="s">
        <v>104</v>
      </c>
      <c r="BS385" s="2" t="s">
        <v>7445</v>
      </c>
      <c r="BT385" s="2" t="str">
        <f aca="false">HYPERLINK("https%3A%2F%2Fwww.webofscience.com%2Fwos%2Fwoscc%2Ffull-record%2FWOS:000475867400001","View Full Record in Web of Science")</f>
        <v>View Full Record in Web of Science</v>
      </c>
    </row>
    <row r="386" customFormat="false" ht="12.75" hidden="false" customHeight="false" outlineLevel="0" collapsed="false">
      <c r="A386" s="2" t="s">
        <v>72</v>
      </c>
      <c r="B386" s="2" t="s">
        <v>7446</v>
      </c>
      <c r="C386" s="2"/>
      <c r="D386" s="2"/>
      <c r="E386" s="2"/>
      <c r="F386" s="2" t="s">
        <v>7447</v>
      </c>
      <c r="G386" s="2"/>
      <c r="H386" s="2"/>
      <c r="I386" s="2" t="s">
        <v>7448</v>
      </c>
      <c r="J386" s="2" t="s">
        <v>109</v>
      </c>
      <c r="K386" s="2"/>
      <c r="L386" s="2"/>
      <c r="M386" s="2" t="s">
        <v>77</v>
      </c>
      <c r="N386" s="2" t="s">
        <v>78</v>
      </c>
      <c r="O386" s="2"/>
      <c r="P386" s="2"/>
      <c r="Q386" s="2"/>
      <c r="R386" s="2"/>
      <c r="S386" s="2"/>
      <c r="T386" s="2" t="s">
        <v>7449</v>
      </c>
      <c r="U386" s="2" t="s">
        <v>7450</v>
      </c>
      <c r="V386" s="2" t="s">
        <v>7451</v>
      </c>
      <c r="W386" s="2" t="s">
        <v>7452</v>
      </c>
      <c r="X386" s="2" t="s">
        <v>7453</v>
      </c>
      <c r="Y386" s="2" t="s">
        <v>7454</v>
      </c>
      <c r="Z386" s="2" t="s">
        <v>7455</v>
      </c>
      <c r="AA386" s="2" t="s">
        <v>7456</v>
      </c>
      <c r="AB386" s="2" t="s">
        <v>7457</v>
      </c>
      <c r="AC386" s="2" t="s">
        <v>7458</v>
      </c>
      <c r="AD386" s="2" t="s">
        <v>7459</v>
      </c>
      <c r="AE386" s="2" t="s">
        <v>7460</v>
      </c>
      <c r="AF386" s="2"/>
      <c r="AG386" s="2" t="n">
        <v>41</v>
      </c>
      <c r="AH386" s="2" t="n">
        <v>6</v>
      </c>
      <c r="AI386" s="2" t="n">
        <v>7</v>
      </c>
      <c r="AJ386" s="2" t="n">
        <v>0</v>
      </c>
      <c r="AK386" s="2" t="n">
        <v>3</v>
      </c>
      <c r="AL386" s="2" t="s">
        <v>122</v>
      </c>
      <c r="AM386" s="2" t="s">
        <v>123</v>
      </c>
      <c r="AN386" s="2" t="s">
        <v>124</v>
      </c>
      <c r="AO386" s="2" t="s">
        <v>125</v>
      </c>
      <c r="AP386" s="2" t="s">
        <v>126</v>
      </c>
      <c r="AQ386" s="2"/>
      <c r="AR386" s="2" t="s">
        <v>127</v>
      </c>
      <c r="AS386" s="2" t="s">
        <v>128</v>
      </c>
      <c r="AT386" s="2" t="s">
        <v>692</v>
      </c>
      <c r="AU386" s="2" t="n">
        <v>2019</v>
      </c>
      <c r="AV386" s="2" t="n">
        <v>38</v>
      </c>
      <c r="AW386" s="2" t="n">
        <v>4</v>
      </c>
      <c r="AX386" s="2"/>
      <c r="AY386" s="2"/>
      <c r="AZ386" s="2"/>
      <c r="BA386" s="2"/>
      <c r="BB386" s="2" t="n">
        <v>344</v>
      </c>
      <c r="BC386" s="2" t="n">
        <v>350</v>
      </c>
      <c r="BD386" s="2"/>
      <c r="BE386" s="2" t="s">
        <v>7461</v>
      </c>
      <c r="BF386" s="2" t="str">
        <f aca="false">HYPERLINK("http://dx.doi.org/10.1097/INF.0000000000002155","http://dx.doi.org/10.1097/INF.0000000000002155")</f>
        <v>http://dx.doi.org/10.1097/INF.0000000000002155</v>
      </c>
      <c r="BG386" s="2"/>
      <c r="BH386" s="2"/>
      <c r="BI386" s="2" t="n">
        <v>7</v>
      </c>
      <c r="BJ386" s="2" t="s">
        <v>134</v>
      </c>
      <c r="BK386" s="2" t="s">
        <v>100</v>
      </c>
      <c r="BL386" s="2" t="s">
        <v>134</v>
      </c>
      <c r="BM386" s="2" t="s">
        <v>7462</v>
      </c>
      <c r="BN386" s="2" t="n">
        <v>30882722</v>
      </c>
      <c r="BO386" s="2"/>
      <c r="BP386" s="2"/>
      <c r="BQ386" s="2"/>
      <c r="BR386" s="2" t="s">
        <v>104</v>
      </c>
      <c r="BS386" s="2" t="s">
        <v>7463</v>
      </c>
      <c r="BT386" s="2" t="str">
        <f aca="false">HYPERLINK("https%3A%2F%2Fwww.webofscience.com%2Fwos%2Fwoscc%2Ffull-record%2FWOS:000480715000010","View Full Record in Web of Science")</f>
        <v>View Full Record in Web of Science</v>
      </c>
    </row>
    <row r="387" customFormat="false" ht="12.75" hidden="false" customHeight="false" outlineLevel="0" collapsed="false">
      <c r="A387" s="2" t="s">
        <v>72</v>
      </c>
      <c r="B387" s="2" t="s">
        <v>7464</v>
      </c>
      <c r="C387" s="2"/>
      <c r="D387" s="2"/>
      <c r="E387" s="2"/>
      <c r="F387" s="2" t="s">
        <v>7465</v>
      </c>
      <c r="G387" s="2"/>
      <c r="H387" s="2"/>
      <c r="I387" s="2" t="s">
        <v>7466</v>
      </c>
      <c r="J387" s="2" t="s">
        <v>109</v>
      </c>
      <c r="K387" s="2"/>
      <c r="L387" s="2"/>
      <c r="M387" s="2" t="s">
        <v>77</v>
      </c>
      <c r="N387" s="2" t="s">
        <v>78</v>
      </c>
      <c r="O387" s="2"/>
      <c r="P387" s="2"/>
      <c r="Q387" s="2"/>
      <c r="R387" s="2"/>
      <c r="S387" s="2"/>
      <c r="T387" s="2" t="s">
        <v>7467</v>
      </c>
      <c r="U387" s="2" t="s">
        <v>7468</v>
      </c>
      <c r="V387" s="2" t="s">
        <v>7469</v>
      </c>
      <c r="W387" s="2" t="s">
        <v>7470</v>
      </c>
      <c r="X387" s="2" t="s">
        <v>7471</v>
      </c>
      <c r="Y387" s="2" t="s">
        <v>7472</v>
      </c>
      <c r="Z387" s="2" t="s">
        <v>7473</v>
      </c>
      <c r="AA387" s="2" t="s">
        <v>7474</v>
      </c>
      <c r="AB387" s="2" t="s">
        <v>7475</v>
      </c>
      <c r="AC387" s="2" t="s">
        <v>7476</v>
      </c>
      <c r="AD387" s="2" t="s">
        <v>7477</v>
      </c>
      <c r="AE387" s="2" t="s">
        <v>7478</v>
      </c>
      <c r="AF387" s="2"/>
      <c r="AG387" s="2" t="n">
        <v>42</v>
      </c>
      <c r="AH387" s="2" t="n">
        <v>64</v>
      </c>
      <c r="AI387" s="2" t="n">
        <v>66</v>
      </c>
      <c r="AJ387" s="2" t="n">
        <v>0</v>
      </c>
      <c r="AK387" s="2" t="n">
        <v>10</v>
      </c>
      <c r="AL387" s="2" t="s">
        <v>122</v>
      </c>
      <c r="AM387" s="2" t="s">
        <v>123</v>
      </c>
      <c r="AN387" s="2" t="s">
        <v>124</v>
      </c>
      <c r="AO387" s="2" t="s">
        <v>125</v>
      </c>
      <c r="AP387" s="2" t="s">
        <v>126</v>
      </c>
      <c r="AQ387" s="2"/>
      <c r="AR387" s="2" t="s">
        <v>127</v>
      </c>
      <c r="AS387" s="2" t="s">
        <v>128</v>
      </c>
      <c r="AT387" s="2" t="s">
        <v>161</v>
      </c>
      <c r="AU387" s="2" t="n">
        <v>2015</v>
      </c>
      <c r="AV387" s="2" t="n">
        <v>34</v>
      </c>
      <c r="AW387" s="2" t="n">
        <v>1</v>
      </c>
      <c r="AX387" s="2"/>
      <c r="AY387" s="2"/>
      <c r="AZ387" s="2"/>
      <c r="BA387" s="2"/>
      <c r="BB387" s="2" t="n">
        <v>66</v>
      </c>
      <c r="BC387" s="2" t="n">
        <v>72</v>
      </c>
      <c r="BD387" s="2"/>
      <c r="BE387" s="2" t="s">
        <v>7479</v>
      </c>
      <c r="BF387" s="2" t="str">
        <f aca="false">HYPERLINK("http://dx.doi.org/10.1097/INF.0000000000000478","http://dx.doi.org/10.1097/INF.0000000000000478")</f>
        <v>http://dx.doi.org/10.1097/INF.0000000000000478</v>
      </c>
      <c r="BG387" s="2"/>
      <c r="BH387" s="2"/>
      <c r="BI387" s="2" t="n">
        <v>7</v>
      </c>
      <c r="BJ387" s="2" t="s">
        <v>134</v>
      </c>
      <c r="BK387" s="2" t="s">
        <v>100</v>
      </c>
      <c r="BL387" s="2" t="s">
        <v>134</v>
      </c>
      <c r="BM387" s="2" t="s">
        <v>7480</v>
      </c>
      <c r="BN387" s="2" t="n">
        <v>25093972</v>
      </c>
      <c r="BO387" s="2" t="s">
        <v>136</v>
      </c>
      <c r="BP387" s="2"/>
      <c r="BQ387" s="2"/>
      <c r="BR387" s="2" t="s">
        <v>104</v>
      </c>
      <c r="BS387" s="2" t="s">
        <v>7481</v>
      </c>
      <c r="BT387" s="2" t="str">
        <f aca="false">HYPERLINK("https%3A%2F%2Fwww.webofscience.com%2Fwos%2Fwoscc%2Ffull-record%2FWOS:000346498800015","View Full Record in Web of Science")</f>
        <v>View Full Record in Web of Science</v>
      </c>
    </row>
    <row r="388" customFormat="false" ht="12.75" hidden="false" customHeight="false" outlineLevel="0" collapsed="false">
      <c r="A388" s="2" t="s">
        <v>72</v>
      </c>
      <c r="B388" s="2" t="s">
        <v>7482</v>
      </c>
      <c r="C388" s="2"/>
      <c r="D388" s="2"/>
      <c r="E388" s="2"/>
      <c r="F388" s="2" t="s">
        <v>7483</v>
      </c>
      <c r="G388" s="2"/>
      <c r="H388" s="2"/>
      <c r="I388" s="2" t="s">
        <v>7484</v>
      </c>
      <c r="J388" s="2" t="s">
        <v>514</v>
      </c>
      <c r="K388" s="2"/>
      <c r="L388" s="2"/>
      <c r="M388" s="2" t="s">
        <v>77</v>
      </c>
      <c r="N388" s="2" t="s">
        <v>78</v>
      </c>
      <c r="O388" s="2"/>
      <c r="P388" s="2"/>
      <c r="Q388" s="2"/>
      <c r="R388" s="2"/>
      <c r="S388" s="2"/>
      <c r="T388" s="2" t="s">
        <v>7485</v>
      </c>
      <c r="U388" s="2" t="s">
        <v>7486</v>
      </c>
      <c r="V388" s="2" t="s">
        <v>7487</v>
      </c>
      <c r="W388" s="2" t="s">
        <v>7488</v>
      </c>
      <c r="X388" s="2" t="s">
        <v>7489</v>
      </c>
      <c r="Y388" s="2" t="s">
        <v>7490</v>
      </c>
      <c r="Z388" s="2" t="s">
        <v>7491</v>
      </c>
      <c r="AA388" s="2" t="s">
        <v>7492</v>
      </c>
      <c r="AB388" s="2" t="s">
        <v>7493</v>
      </c>
      <c r="AC388" s="2" t="s">
        <v>7494</v>
      </c>
      <c r="AD388" s="2" t="s">
        <v>7495</v>
      </c>
      <c r="AE388" s="2" t="s">
        <v>7496</v>
      </c>
      <c r="AF388" s="2"/>
      <c r="AG388" s="2" t="n">
        <v>41</v>
      </c>
      <c r="AH388" s="2" t="n">
        <v>180</v>
      </c>
      <c r="AI388" s="2" t="n">
        <v>189</v>
      </c>
      <c r="AJ388" s="2" t="n">
        <v>0</v>
      </c>
      <c r="AK388" s="2" t="n">
        <v>28</v>
      </c>
      <c r="AL388" s="2" t="s">
        <v>527</v>
      </c>
      <c r="AM388" s="2" t="s">
        <v>528</v>
      </c>
      <c r="AN388" s="2" t="s">
        <v>529</v>
      </c>
      <c r="AO388" s="2" t="s">
        <v>530</v>
      </c>
      <c r="AP388" s="2" t="s">
        <v>531</v>
      </c>
      <c r="AQ388" s="2"/>
      <c r="AR388" s="2" t="s">
        <v>532</v>
      </c>
      <c r="AS388" s="2" t="s">
        <v>533</v>
      </c>
      <c r="AT388" s="2" t="s">
        <v>1818</v>
      </c>
      <c r="AU388" s="2" t="n">
        <v>2016</v>
      </c>
      <c r="AV388" s="2" t="n">
        <v>213</v>
      </c>
      <c r="AW388" s="2" t="n">
        <v>4</v>
      </c>
      <c r="AX388" s="2"/>
      <c r="AY388" s="2"/>
      <c r="AZ388" s="2"/>
      <c r="BA388" s="2"/>
      <c r="BB388" s="2" t="n">
        <v>584</v>
      </c>
      <c r="BC388" s="2" t="n">
        <v>591</v>
      </c>
      <c r="BD388" s="2"/>
      <c r="BE388" s="2" t="s">
        <v>7497</v>
      </c>
      <c r="BF388" s="2" t="str">
        <f aca="false">HYPERLINK("http://dx.doi.org/10.1093/infdis/jiv323","http://dx.doi.org/10.1093/infdis/jiv323")</f>
        <v>http://dx.doi.org/10.1093/infdis/jiv323</v>
      </c>
      <c r="BG388" s="2"/>
      <c r="BH388" s="2"/>
      <c r="BI388" s="2" t="n">
        <v>8</v>
      </c>
      <c r="BJ388" s="2" t="s">
        <v>536</v>
      </c>
      <c r="BK388" s="2" t="s">
        <v>100</v>
      </c>
      <c r="BL388" s="2" t="s">
        <v>536</v>
      </c>
      <c r="BM388" s="2" t="s">
        <v>7498</v>
      </c>
      <c r="BN388" s="2" t="n">
        <v>26180044</v>
      </c>
      <c r="BO388" s="2" t="s">
        <v>538</v>
      </c>
      <c r="BP388" s="2"/>
      <c r="BQ388" s="2"/>
      <c r="BR388" s="2" t="s">
        <v>104</v>
      </c>
      <c r="BS388" s="2" t="s">
        <v>7499</v>
      </c>
      <c r="BT388" s="2" t="str">
        <f aca="false">HYPERLINK("https%3A%2F%2Fwww.webofscience.com%2Fwos%2Fwoscc%2Ffull-record%2FWOS:000372437700014","View Full Record in Web of Science")</f>
        <v>View Full Record in Web of Science</v>
      </c>
    </row>
    <row r="389" customFormat="false" ht="12.75" hidden="false" customHeight="false" outlineLevel="0" collapsed="false">
      <c r="A389" s="2" t="s">
        <v>72</v>
      </c>
      <c r="B389" s="2" t="s">
        <v>7500</v>
      </c>
      <c r="C389" s="2"/>
      <c r="D389" s="2"/>
      <c r="E389" s="2"/>
      <c r="F389" s="2" t="s">
        <v>7501</v>
      </c>
      <c r="G389" s="2"/>
      <c r="H389" s="2"/>
      <c r="I389" s="2" t="s">
        <v>7502</v>
      </c>
      <c r="J389" s="2" t="s">
        <v>109</v>
      </c>
      <c r="K389" s="2"/>
      <c r="L389" s="2"/>
      <c r="M389" s="2" t="s">
        <v>77</v>
      </c>
      <c r="N389" s="2" t="s">
        <v>78</v>
      </c>
      <c r="O389" s="2"/>
      <c r="P389" s="2"/>
      <c r="Q389" s="2"/>
      <c r="R389" s="2"/>
      <c r="S389" s="2"/>
      <c r="T389" s="2" t="s">
        <v>7503</v>
      </c>
      <c r="U389" s="2" t="s">
        <v>7504</v>
      </c>
      <c r="V389" s="2" t="s">
        <v>7505</v>
      </c>
      <c r="W389" s="2" t="s">
        <v>7506</v>
      </c>
      <c r="X389" s="2" t="s">
        <v>7507</v>
      </c>
      <c r="Y389" s="2" t="s">
        <v>7508</v>
      </c>
      <c r="Z389" s="2" t="s">
        <v>7509</v>
      </c>
      <c r="AA389" s="2"/>
      <c r="AB389" s="2" t="s">
        <v>7510</v>
      </c>
      <c r="AC389" s="2" t="s">
        <v>7511</v>
      </c>
      <c r="AD389" s="2" t="s">
        <v>7512</v>
      </c>
      <c r="AE389" s="2" t="s">
        <v>7513</v>
      </c>
      <c r="AF389" s="2"/>
      <c r="AG389" s="2" t="n">
        <v>37</v>
      </c>
      <c r="AH389" s="2" t="n">
        <v>3</v>
      </c>
      <c r="AI389" s="2" t="n">
        <v>3</v>
      </c>
      <c r="AJ389" s="2" t="n">
        <v>1</v>
      </c>
      <c r="AK389" s="2" t="n">
        <v>2</v>
      </c>
      <c r="AL389" s="2" t="s">
        <v>122</v>
      </c>
      <c r="AM389" s="2" t="s">
        <v>123</v>
      </c>
      <c r="AN389" s="2" t="s">
        <v>124</v>
      </c>
      <c r="AO389" s="2" t="s">
        <v>125</v>
      </c>
      <c r="AP389" s="2" t="s">
        <v>126</v>
      </c>
      <c r="AQ389" s="2"/>
      <c r="AR389" s="2" t="s">
        <v>127</v>
      </c>
      <c r="AS389" s="2" t="s">
        <v>128</v>
      </c>
      <c r="AT389" s="2" t="s">
        <v>486</v>
      </c>
      <c r="AU389" s="2" t="n">
        <v>2023</v>
      </c>
      <c r="AV389" s="2" t="n">
        <v>42</v>
      </c>
      <c r="AW389" s="2" t="n">
        <v>6</v>
      </c>
      <c r="AX389" s="2"/>
      <c r="AY389" s="2"/>
      <c r="AZ389" s="2"/>
      <c r="BA389" s="2"/>
      <c r="BB389" s="2" t="n">
        <v>456</v>
      </c>
      <c r="BC389" s="2" t="n">
        <v>460</v>
      </c>
      <c r="BD389" s="2"/>
      <c r="BE389" s="2" t="s">
        <v>7514</v>
      </c>
      <c r="BF389" s="2" t="str">
        <f aca="false">HYPERLINK("http://dx.doi.org/10.1097/INF.0000000000003867","http://dx.doi.org/10.1097/INF.0000000000003867")</f>
        <v>http://dx.doi.org/10.1097/INF.0000000000003867</v>
      </c>
      <c r="BG389" s="2"/>
      <c r="BH389" s="2"/>
      <c r="BI389" s="2" t="n">
        <v>5</v>
      </c>
      <c r="BJ389" s="2" t="s">
        <v>134</v>
      </c>
      <c r="BK389" s="2" t="s">
        <v>100</v>
      </c>
      <c r="BL389" s="2" t="s">
        <v>134</v>
      </c>
      <c r="BM389" s="2" t="s">
        <v>4393</v>
      </c>
      <c r="BN389" s="2" t="n">
        <v>36795570</v>
      </c>
      <c r="BO389" s="2"/>
      <c r="BP389" s="2"/>
      <c r="BQ389" s="2"/>
      <c r="BR389" s="2" t="s">
        <v>104</v>
      </c>
      <c r="BS389" s="2" t="s">
        <v>7515</v>
      </c>
      <c r="BT389" s="2" t="str">
        <f aca="false">HYPERLINK("https%3A%2F%2Fwww.webofscience.com%2Fwos%2Fwoscc%2Ffull-record%2FWOS:000991916200013","View Full Record in Web of Science")</f>
        <v>View Full Record in Web of Science</v>
      </c>
    </row>
    <row r="390" customFormat="false" ht="12.75" hidden="false" customHeight="false" outlineLevel="0" collapsed="false">
      <c r="A390" s="2" t="s">
        <v>72</v>
      </c>
      <c r="B390" s="2" t="s">
        <v>7516</v>
      </c>
      <c r="C390" s="2"/>
      <c r="D390" s="2"/>
      <c r="E390" s="2"/>
      <c r="F390" s="2" t="s">
        <v>7517</v>
      </c>
      <c r="G390" s="2"/>
      <c r="H390" s="2" t="s">
        <v>7518</v>
      </c>
      <c r="I390" s="2" t="s">
        <v>7519</v>
      </c>
      <c r="J390" s="2" t="s">
        <v>2021</v>
      </c>
      <c r="K390" s="2"/>
      <c r="L390" s="2"/>
      <c r="M390" s="2" t="s">
        <v>77</v>
      </c>
      <c r="N390" s="2" t="s">
        <v>78</v>
      </c>
      <c r="O390" s="2"/>
      <c r="P390" s="2"/>
      <c r="Q390" s="2"/>
      <c r="R390" s="2"/>
      <c r="S390" s="2"/>
      <c r="T390" s="2" t="s">
        <v>7520</v>
      </c>
      <c r="U390" s="2" t="s">
        <v>7521</v>
      </c>
      <c r="V390" s="2" t="s">
        <v>7522</v>
      </c>
      <c r="W390" s="2" t="s">
        <v>7523</v>
      </c>
      <c r="X390" s="2" t="s">
        <v>7524</v>
      </c>
      <c r="Y390" s="2" t="s">
        <v>7525</v>
      </c>
      <c r="Z390" s="2" t="s">
        <v>7526</v>
      </c>
      <c r="AA390" s="2" t="s">
        <v>7527</v>
      </c>
      <c r="AB390" s="2" t="s">
        <v>7528</v>
      </c>
      <c r="AC390" s="2" t="s">
        <v>7529</v>
      </c>
      <c r="AD390" s="2" t="s">
        <v>7529</v>
      </c>
      <c r="AE390" s="2" t="s">
        <v>7530</v>
      </c>
      <c r="AF390" s="2"/>
      <c r="AG390" s="2" t="n">
        <v>35</v>
      </c>
      <c r="AH390" s="2" t="n">
        <v>118</v>
      </c>
      <c r="AI390" s="2" t="n">
        <v>125</v>
      </c>
      <c r="AJ390" s="2" t="n">
        <v>1</v>
      </c>
      <c r="AK390" s="2" t="n">
        <v>22</v>
      </c>
      <c r="AL390" s="2" t="s">
        <v>527</v>
      </c>
      <c r="AM390" s="2" t="s">
        <v>528</v>
      </c>
      <c r="AN390" s="2" t="s">
        <v>529</v>
      </c>
      <c r="AO390" s="2" t="s">
        <v>2033</v>
      </c>
      <c r="AP390" s="2" t="s">
        <v>2034</v>
      </c>
      <c r="AQ390" s="2"/>
      <c r="AR390" s="2" t="s">
        <v>2035</v>
      </c>
      <c r="AS390" s="2" t="s">
        <v>2036</v>
      </c>
      <c r="AT390" s="2" t="s">
        <v>7237</v>
      </c>
      <c r="AU390" s="2" t="n">
        <v>2017</v>
      </c>
      <c r="AV390" s="2" t="n">
        <v>65</v>
      </c>
      <c r="AW390" s="2" t="n">
        <v>4</v>
      </c>
      <c r="AX390" s="2"/>
      <c r="AY390" s="2"/>
      <c r="AZ390" s="2"/>
      <c r="BA390" s="2"/>
      <c r="BB390" s="2" t="n">
        <v>604</v>
      </c>
      <c r="BC390" s="2" t="n">
        <v>612</v>
      </c>
      <c r="BD390" s="2"/>
      <c r="BE390" s="2" t="s">
        <v>7531</v>
      </c>
      <c r="BF390" s="2" t="str">
        <f aca="false">HYPERLINK("http://dx.doi.org/10.1093/cid/cix378","http://dx.doi.org/10.1093/cid/cix378")</f>
        <v>http://dx.doi.org/10.1093/cid/cix378</v>
      </c>
      <c r="BG390" s="2"/>
      <c r="BH390" s="2"/>
      <c r="BI390" s="2" t="n">
        <v>9</v>
      </c>
      <c r="BJ390" s="2" t="s">
        <v>536</v>
      </c>
      <c r="BK390" s="2" t="s">
        <v>100</v>
      </c>
      <c r="BL390" s="2" t="s">
        <v>536</v>
      </c>
      <c r="BM390" s="2" t="s">
        <v>7532</v>
      </c>
      <c r="BN390" s="2" t="n">
        <v>28605562</v>
      </c>
      <c r="BO390" s="2" t="s">
        <v>538</v>
      </c>
      <c r="BP390" s="2"/>
      <c r="BQ390" s="2"/>
      <c r="BR390" s="2" t="s">
        <v>104</v>
      </c>
      <c r="BS390" s="2" t="s">
        <v>7533</v>
      </c>
      <c r="BT390" s="2" t="str">
        <f aca="false">HYPERLINK("https%3A%2F%2Fwww.webofscience.com%2Fwos%2Fwoscc%2Ffull-record%2FWOS:000406670800012","View Full Record in Web of Science")</f>
        <v>View Full Record in Web of Science</v>
      </c>
    </row>
    <row r="391" customFormat="false" ht="12.75" hidden="false" customHeight="false" outlineLevel="0" collapsed="false">
      <c r="A391" s="2" t="s">
        <v>72</v>
      </c>
      <c r="B391" s="2" t="s">
        <v>7534</v>
      </c>
      <c r="C391" s="2"/>
      <c r="D391" s="2"/>
      <c r="E391" s="2"/>
      <c r="F391" s="2" t="s">
        <v>7535</v>
      </c>
      <c r="G391" s="2"/>
      <c r="H391" s="2"/>
      <c r="I391" s="2" t="s">
        <v>7536</v>
      </c>
      <c r="J391" s="2" t="s">
        <v>7537</v>
      </c>
      <c r="K391" s="2"/>
      <c r="L391" s="2"/>
      <c r="M391" s="2" t="s">
        <v>77</v>
      </c>
      <c r="N391" s="2" t="s">
        <v>78</v>
      </c>
      <c r="O391" s="2"/>
      <c r="P391" s="2"/>
      <c r="Q391" s="2"/>
      <c r="R391" s="2"/>
      <c r="S391" s="2"/>
      <c r="T391" s="2" t="s">
        <v>7538</v>
      </c>
      <c r="U391" s="2" t="s">
        <v>7539</v>
      </c>
      <c r="V391" s="2" t="s">
        <v>7540</v>
      </c>
      <c r="W391" s="2" t="s">
        <v>7541</v>
      </c>
      <c r="X391" s="2" t="s">
        <v>7542</v>
      </c>
      <c r="Y391" s="2" t="s">
        <v>7543</v>
      </c>
      <c r="Z391" s="2" t="s">
        <v>7544</v>
      </c>
      <c r="AA391" s="2" t="s">
        <v>7545</v>
      </c>
      <c r="AB391" s="2"/>
      <c r="AC391" s="2"/>
      <c r="AD391" s="2"/>
      <c r="AE391" s="2"/>
      <c r="AF391" s="2"/>
      <c r="AG391" s="2" t="n">
        <v>80</v>
      </c>
      <c r="AH391" s="2" t="n">
        <v>24</v>
      </c>
      <c r="AI391" s="2" t="n">
        <v>24</v>
      </c>
      <c r="AJ391" s="2" t="n">
        <v>2</v>
      </c>
      <c r="AK391" s="2" t="n">
        <v>12</v>
      </c>
      <c r="AL391" s="2" t="s">
        <v>1460</v>
      </c>
      <c r="AM391" s="2" t="s">
        <v>593</v>
      </c>
      <c r="AN391" s="2" t="s">
        <v>2088</v>
      </c>
      <c r="AO391" s="2" t="s">
        <v>7546</v>
      </c>
      <c r="AP391" s="2" t="s">
        <v>7547</v>
      </c>
      <c r="AQ391" s="2"/>
      <c r="AR391" s="2" t="s">
        <v>7548</v>
      </c>
      <c r="AS391" s="2" t="s">
        <v>7549</v>
      </c>
      <c r="AT391" s="2" t="s">
        <v>1041</v>
      </c>
      <c r="AU391" s="2" t="n">
        <v>2008</v>
      </c>
      <c r="AV391" s="2" t="n">
        <v>17</v>
      </c>
      <c r="AW391" s="2" t="n">
        <v>1</v>
      </c>
      <c r="AX391" s="2"/>
      <c r="AY391" s="2"/>
      <c r="AZ391" s="2"/>
      <c r="BA391" s="2"/>
      <c r="BB391" s="2" t="n">
        <v>42</v>
      </c>
      <c r="BC391" s="2" t="n">
        <v>52</v>
      </c>
      <c r="BD391" s="2"/>
      <c r="BE391" s="2" t="s">
        <v>7550</v>
      </c>
      <c r="BF391" s="2" t="str">
        <f aca="false">HYPERLINK("http://dx.doi.org/10.1053/j.sempedsurg.2007.10.007","http://dx.doi.org/10.1053/j.sempedsurg.2007.10.007")</f>
        <v>http://dx.doi.org/10.1053/j.sempedsurg.2007.10.007</v>
      </c>
      <c r="BG391" s="2"/>
      <c r="BH391" s="2"/>
      <c r="BI391" s="2" t="n">
        <v>11</v>
      </c>
      <c r="BJ391" s="2" t="s">
        <v>7551</v>
      </c>
      <c r="BK391" s="2" t="s">
        <v>100</v>
      </c>
      <c r="BL391" s="2" t="s">
        <v>7551</v>
      </c>
      <c r="BM391" s="2" t="s">
        <v>7552</v>
      </c>
      <c r="BN391" s="2" t="n">
        <v>18158141</v>
      </c>
      <c r="BO391" s="2"/>
      <c r="BP391" s="2"/>
      <c r="BQ391" s="2"/>
      <c r="BR391" s="2" t="s">
        <v>104</v>
      </c>
      <c r="BS391" s="2" t="s">
        <v>7553</v>
      </c>
      <c r="BT391" s="2" t="str">
        <f aca="false">HYPERLINK("https%3A%2F%2Fwww.webofscience.com%2Fwos%2Fwoscc%2Ffull-record%2FWOS:000263325000007","View Full Record in Web of Science")</f>
        <v>View Full Record in Web of Science</v>
      </c>
    </row>
    <row r="392" customFormat="false" ht="12.75" hidden="false" customHeight="false" outlineLevel="0" collapsed="false">
      <c r="A392" s="2" t="s">
        <v>72</v>
      </c>
      <c r="B392" s="2" t="s">
        <v>7554</v>
      </c>
      <c r="C392" s="2"/>
      <c r="D392" s="2"/>
      <c r="E392" s="2"/>
      <c r="F392" s="2" t="s">
        <v>7555</v>
      </c>
      <c r="G392" s="2"/>
      <c r="H392" s="2"/>
      <c r="I392" s="2" t="s">
        <v>7556</v>
      </c>
      <c r="J392" s="2" t="s">
        <v>514</v>
      </c>
      <c r="K392" s="2"/>
      <c r="L392" s="2"/>
      <c r="M392" s="2" t="s">
        <v>77</v>
      </c>
      <c r="N392" s="2" t="s">
        <v>78</v>
      </c>
      <c r="O392" s="2"/>
      <c r="P392" s="2"/>
      <c r="Q392" s="2"/>
      <c r="R392" s="2"/>
      <c r="S392" s="2"/>
      <c r="T392" s="2" t="s">
        <v>7557</v>
      </c>
      <c r="U392" s="2" t="s">
        <v>7558</v>
      </c>
      <c r="V392" s="2" t="s">
        <v>7559</v>
      </c>
      <c r="W392" s="2" t="s">
        <v>7560</v>
      </c>
      <c r="X392" s="2" t="s">
        <v>7561</v>
      </c>
      <c r="Y392" s="2" t="s">
        <v>7562</v>
      </c>
      <c r="Z392" s="2" t="s">
        <v>5993</v>
      </c>
      <c r="AA392" s="2" t="s">
        <v>4210</v>
      </c>
      <c r="AB392" s="2" t="s">
        <v>7563</v>
      </c>
      <c r="AC392" s="2" t="s">
        <v>7564</v>
      </c>
      <c r="AD392" s="2" t="s">
        <v>7565</v>
      </c>
      <c r="AE392" s="2" t="s">
        <v>7566</v>
      </c>
      <c r="AF392" s="2"/>
      <c r="AG392" s="2" t="n">
        <v>15</v>
      </c>
      <c r="AH392" s="2" t="n">
        <v>2</v>
      </c>
      <c r="AI392" s="2" t="n">
        <v>2</v>
      </c>
      <c r="AJ392" s="2" t="n">
        <v>0</v>
      </c>
      <c r="AK392" s="2" t="n">
        <v>1</v>
      </c>
      <c r="AL392" s="2" t="s">
        <v>527</v>
      </c>
      <c r="AM392" s="2" t="s">
        <v>528</v>
      </c>
      <c r="AN392" s="2" t="s">
        <v>529</v>
      </c>
      <c r="AO392" s="2" t="s">
        <v>530</v>
      </c>
      <c r="AP392" s="2" t="s">
        <v>531</v>
      </c>
      <c r="AQ392" s="2"/>
      <c r="AR392" s="2" t="s">
        <v>532</v>
      </c>
      <c r="AS392" s="2" t="s">
        <v>533</v>
      </c>
      <c r="AT392" s="2" t="s">
        <v>5247</v>
      </c>
      <c r="AU392" s="2" t="n">
        <v>2019</v>
      </c>
      <c r="AV392" s="2" t="n">
        <v>220</v>
      </c>
      <c r="AW392" s="2" t="n">
        <v>6</v>
      </c>
      <c r="AX392" s="2"/>
      <c r="AY392" s="2"/>
      <c r="AZ392" s="2"/>
      <c r="BA392" s="2"/>
      <c r="BB392" s="2" t="n">
        <v>956</v>
      </c>
      <c r="BC392" s="2" t="n">
        <v>960</v>
      </c>
      <c r="BD392" s="2"/>
      <c r="BE392" s="2" t="s">
        <v>7567</v>
      </c>
      <c r="BF392" s="2" t="str">
        <f aca="false">HYPERLINK("http://dx.doi.org/10.1093/infdis/jiz212","http://dx.doi.org/10.1093/infdis/jiz212")</f>
        <v>http://dx.doi.org/10.1093/infdis/jiz212</v>
      </c>
      <c r="BG392" s="2"/>
      <c r="BH392" s="2"/>
      <c r="BI392" s="2" t="n">
        <v>5</v>
      </c>
      <c r="BJ392" s="2" t="s">
        <v>536</v>
      </c>
      <c r="BK392" s="2" t="s">
        <v>100</v>
      </c>
      <c r="BL392" s="2" t="s">
        <v>536</v>
      </c>
      <c r="BM392" s="2" t="s">
        <v>7568</v>
      </c>
      <c r="BN392" s="2" t="n">
        <v>31056697</v>
      </c>
      <c r="BO392" s="2" t="s">
        <v>7569</v>
      </c>
      <c r="BP392" s="2"/>
      <c r="BQ392" s="2"/>
      <c r="BR392" s="2" t="s">
        <v>104</v>
      </c>
      <c r="BS392" s="2" t="s">
        <v>7570</v>
      </c>
      <c r="BT392" s="2" t="str">
        <f aca="false">HYPERLINK("https%3A%2F%2Fwww.webofscience.com%2Fwos%2Fwoscc%2Ffull-record%2FWOS:000490985400006","View Full Record in Web of Science")</f>
        <v>View Full Record in Web of Science</v>
      </c>
    </row>
    <row r="393" customFormat="false" ht="12.75" hidden="false" customHeight="false" outlineLevel="0" collapsed="false">
      <c r="A393" s="2" t="s">
        <v>72</v>
      </c>
      <c r="B393" s="2" t="s">
        <v>7571</v>
      </c>
      <c r="C393" s="2"/>
      <c r="D393" s="2"/>
      <c r="E393" s="2"/>
      <c r="F393" s="2" t="s">
        <v>7572</v>
      </c>
      <c r="G393" s="2"/>
      <c r="H393" s="2"/>
      <c r="I393" s="2" t="s">
        <v>7573</v>
      </c>
      <c r="J393" s="2" t="s">
        <v>2021</v>
      </c>
      <c r="K393" s="2"/>
      <c r="L393" s="2"/>
      <c r="M393" s="2" t="s">
        <v>77</v>
      </c>
      <c r="N393" s="2" t="s">
        <v>78</v>
      </c>
      <c r="O393" s="2"/>
      <c r="P393" s="2"/>
      <c r="Q393" s="2"/>
      <c r="R393" s="2"/>
      <c r="S393" s="2"/>
      <c r="T393" s="2" t="s">
        <v>7574</v>
      </c>
      <c r="U393" s="2" t="s">
        <v>7575</v>
      </c>
      <c r="V393" s="2" t="s">
        <v>7576</v>
      </c>
      <c r="W393" s="2" t="s">
        <v>7577</v>
      </c>
      <c r="X393" s="2" t="s">
        <v>7578</v>
      </c>
      <c r="Y393" s="2" t="s">
        <v>7579</v>
      </c>
      <c r="Z393" s="2" t="s">
        <v>7580</v>
      </c>
      <c r="AA393" s="2" t="s">
        <v>7581</v>
      </c>
      <c r="AB393" s="2" t="s">
        <v>7582</v>
      </c>
      <c r="AC393" s="2" t="s">
        <v>7583</v>
      </c>
      <c r="AD393" s="2" t="s">
        <v>7584</v>
      </c>
      <c r="AE393" s="2" t="s">
        <v>7585</v>
      </c>
      <c r="AF393" s="2"/>
      <c r="AG393" s="2" t="n">
        <v>34</v>
      </c>
      <c r="AH393" s="2" t="n">
        <v>99</v>
      </c>
      <c r="AI393" s="2" t="n">
        <v>101</v>
      </c>
      <c r="AJ393" s="2" t="n">
        <v>0</v>
      </c>
      <c r="AK393" s="2" t="n">
        <v>18</v>
      </c>
      <c r="AL393" s="2" t="s">
        <v>527</v>
      </c>
      <c r="AM393" s="2" t="s">
        <v>528</v>
      </c>
      <c r="AN393" s="2" t="s">
        <v>529</v>
      </c>
      <c r="AO393" s="2" t="s">
        <v>2033</v>
      </c>
      <c r="AP393" s="2" t="s">
        <v>2034</v>
      </c>
      <c r="AQ393" s="2"/>
      <c r="AR393" s="2" t="s">
        <v>2035</v>
      </c>
      <c r="AS393" s="2" t="s">
        <v>2036</v>
      </c>
      <c r="AT393" s="2" t="s">
        <v>7586</v>
      </c>
      <c r="AU393" s="2" t="n">
        <v>2022</v>
      </c>
      <c r="AV393" s="2" t="n">
        <v>75</v>
      </c>
      <c r="AW393" s="2" t="n">
        <v>1</v>
      </c>
      <c r="AX393" s="2"/>
      <c r="AY393" s="2"/>
      <c r="AZ393" s="2"/>
      <c r="BA393" s="2"/>
      <c r="BB393" s="2" t="s">
        <v>7587</v>
      </c>
      <c r="BC393" s="2" t="s">
        <v>7588</v>
      </c>
      <c r="BD393" s="2"/>
      <c r="BE393" s="2" t="s">
        <v>7589</v>
      </c>
      <c r="BF393" s="2" t="str">
        <f aca="false">HYPERLINK("http://dx.doi.org/10.1093/cid/ciab1014","http://dx.doi.org/10.1093/cid/ciab1014")</f>
        <v>http://dx.doi.org/10.1093/cid/ciab1014</v>
      </c>
      <c r="BG393" s="2"/>
      <c r="BH393" s="2" t="s">
        <v>3298</v>
      </c>
      <c r="BI393" s="2" t="n">
        <v>11</v>
      </c>
      <c r="BJ393" s="2" t="s">
        <v>536</v>
      </c>
      <c r="BK393" s="2" t="s">
        <v>100</v>
      </c>
      <c r="BL393" s="2" t="s">
        <v>536</v>
      </c>
      <c r="BM393" s="2" t="s">
        <v>7590</v>
      </c>
      <c r="BN393" s="2" t="n">
        <v>34904635</v>
      </c>
      <c r="BO393" s="2" t="s">
        <v>7591</v>
      </c>
      <c r="BP393" s="2" t="s">
        <v>1921</v>
      </c>
      <c r="BQ393" s="2" t="s">
        <v>1922</v>
      </c>
      <c r="BR393" s="2" t="s">
        <v>104</v>
      </c>
      <c r="BS393" s="2" t="s">
        <v>7592</v>
      </c>
      <c r="BT393" s="2" t="str">
        <f aca="false">HYPERLINK("https%3A%2F%2Fwww.webofscience.com%2Fwos%2Fwoscc%2Ffull-record%2FWOS:000789351200001","View Full Record in Web of Science")</f>
        <v>View Full Record in Web of Science</v>
      </c>
    </row>
    <row r="394" customFormat="false" ht="12.75" hidden="false" customHeight="false" outlineLevel="0" collapsed="false">
      <c r="A394" s="2" t="s">
        <v>72</v>
      </c>
      <c r="B394" s="2" t="s">
        <v>7593</v>
      </c>
      <c r="C394" s="2"/>
      <c r="D394" s="2"/>
      <c r="E394" s="2"/>
      <c r="F394" s="2" t="s">
        <v>7594</v>
      </c>
      <c r="G394" s="2"/>
      <c r="H394" s="2"/>
      <c r="I394" s="2" t="s">
        <v>7595</v>
      </c>
      <c r="J394" s="2" t="s">
        <v>514</v>
      </c>
      <c r="K394" s="2"/>
      <c r="L394" s="2"/>
      <c r="M394" s="2" t="s">
        <v>77</v>
      </c>
      <c r="N394" s="2" t="s">
        <v>78</v>
      </c>
      <c r="O394" s="2"/>
      <c r="P394" s="2"/>
      <c r="Q394" s="2"/>
      <c r="R394" s="2"/>
      <c r="S394" s="2"/>
      <c r="T394" s="2" t="s">
        <v>7596</v>
      </c>
      <c r="U394" s="2" t="s">
        <v>7597</v>
      </c>
      <c r="V394" s="2" t="s">
        <v>7598</v>
      </c>
      <c r="W394" s="2" t="s">
        <v>7599</v>
      </c>
      <c r="X394" s="2" t="s">
        <v>7600</v>
      </c>
      <c r="Y394" s="2" t="s">
        <v>7601</v>
      </c>
      <c r="Z394" s="2" t="s">
        <v>7602</v>
      </c>
      <c r="AA394" s="2"/>
      <c r="AB394" s="2" t="s">
        <v>7603</v>
      </c>
      <c r="AC394" s="2" t="s">
        <v>7604</v>
      </c>
      <c r="AD394" s="2" t="s">
        <v>7605</v>
      </c>
      <c r="AE394" s="2" t="s">
        <v>7606</v>
      </c>
      <c r="AF394" s="2"/>
      <c r="AG394" s="2" t="n">
        <v>50</v>
      </c>
      <c r="AH394" s="2" t="n">
        <v>12</v>
      </c>
      <c r="AI394" s="2" t="n">
        <v>12</v>
      </c>
      <c r="AJ394" s="2" t="n">
        <v>0</v>
      </c>
      <c r="AK394" s="2" t="n">
        <v>4</v>
      </c>
      <c r="AL394" s="2" t="s">
        <v>527</v>
      </c>
      <c r="AM394" s="2" t="s">
        <v>528</v>
      </c>
      <c r="AN394" s="2" t="s">
        <v>529</v>
      </c>
      <c r="AO394" s="2" t="s">
        <v>530</v>
      </c>
      <c r="AP394" s="2" t="s">
        <v>531</v>
      </c>
      <c r="AQ394" s="2"/>
      <c r="AR394" s="2" t="s">
        <v>532</v>
      </c>
      <c r="AS394" s="2" t="s">
        <v>533</v>
      </c>
      <c r="AT394" s="2" t="s">
        <v>7607</v>
      </c>
      <c r="AU394" s="2" t="n">
        <v>2023</v>
      </c>
      <c r="AV394" s="2" t="n">
        <v>227</v>
      </c>
      <c r="AW394" s="2" t="n">
        <v>4</v>
      </c>
      <c r="AX394" s="2"/>
      <c r="AY394" s="2"/>
      <c r="AZ394" s="2"/>
      <c r="BA394" s="2"/>
      <c r="BB394" s="2" t="n">
        <v>498</v>
      </c>
      <c r="BC394" s="2" t="n">
        <v>511</v>
      </c>
      <c r="BD394" s="2"/>
      <c r="BE394" s="2" t="s">
        <v>7608</v>
      </c>
      <c r="BF394" s="2" t="str">
        <f aca="false">HYPERLINK("http://dx.doi.org/10.1093/infdis/jiac098","http://dx.doi.org/10.1093/infdis/jiac098")</f>
        <v>http://dx.doi.org/10.1093/infdis/jiac098</v>
      </c>
      <c r="BG394" s="2"/>
      <c r="BH394" s="2" t="s">
        <v>1352</v>
      </c>
      <c r="BI394" s="2" t="n">
        <v>14</v>
      </c>
      <c r="BJ394" s="2" t="s">
        <v>536</v>
      </c>
      <c r="BK394" s="2" t="s">
        <v>100</v>
      </c>
      <c r="BL394" s="2" t="s">
        <v>536</v>
      </c>
      <c r="BM394" s="2" t="s">
        <v>7609</v>
      </c>
      <c r="BN394" s="2" t="n">
        <v>35323906</v>
      </c>
      <c r="BO394" s="2" t="s">
        <v>165</v>
      </c>
      <c r="BP394" s="2"/>
      <c r="BQ394" s="2"/>
      <c r="BR394" s="2" t="s">
        <v>104</v>
      </c>
      <c r="BS394" s="2" t="s">
        <v>7610</v>
      </c>
      <c r="BT394" s="2" t="str">
        <f aca="false">HYPERLINK("https%3A%2F%2Fwww.webofscience.com%2Fwos%2Fwoscc%2Ffull-record%2FWOS:000791812400001","View Full Record in Web of Science")</f>
        <v>View Full Record in Web of Science</v>
      </c>
    </row>
    <row r="395" customFormat="false" ht="12.75" hidden="false" customHeight="false" outlineLevel="0" collapsed="false">
      <c r="A395" s="2" t="s">
        <v>72</v>
      </c>
      <c r="B395" s="2" t="s">
        <v>7611</v>
      </c>
      <c r="C395" s="2"/>
      <c r="D395" s="2"/>
      <c r="E395" s="2"/>
      <c r="F395" s="2" t="s">
        <v>7611</v>
      </c>
      <c r="G395" s="2"/>
      <c r="H395" s="2"/>
      <c r="I395" s="2" t="s">
        <v>7612</v>
      </c>
      <c r="J395" s="2" t="s">
        <v>2547</v>
      </c>
      <c r="K395" s="2"/>
      <c r="L395" s="2"/>
      <c r="M395" s="2" t="s">
        <v>77</v>
      </c>
      <c r="N395" s="2" t="s">
        <v>78</v>
      </c>
      <c r="O395" s="2"/>
      <c r="P395" s="2"/>
      <c r="Q395" s="2"/>
      <c r="R395" s="2"/>
      <c r="S395" s="2"/>
      <c r="T395" s="2" t="s">
        <v>7613</v>
      </c>
      <c r="U395" s="2" t="s">
        <v>7614</v>
      </c>
      <c r="V395" s="2" t="s">
        <v>7615</v>
      </c>
      <c r="W395" s="2" t="s">
        <v>7616</v>
      </c>
      <c r="X395" s="2" t="s">
        <v>7617</v>
      </c>
      <c r="Y395" s="2" t="s">
        <v>7618</v>
      </c>
      <c r="Z395" s="2" t="s">
        <v>7619</v>
      </c>
      <c r="AA395" s="2" t="s">
        <v>7620</v>
      </c>
      <c r="AB395" s="2" t="s">
        <v>7621</v>
      </c>
      <c r="AC395" s="2"/>
      <c r="AD395" s="2"/>
      <c r="AE395" s="2"/>
      <c r="AF395" s="2"/>
      <c r="AG395" s="2" t="n">
        <v>45</v>
      </c>
      <c r="AH395" s="2" t="n">
        <v>69</v>
      </c>
      <c r="AI395" s="2" t="n">
        <v>83</v>
      </c>
      <c r="AJ395" s="2" t="n">
        <v>0</v>
      </c>
      <c r="AK395" s="2" t="n">
        <v>7</v>
      </c>
      <c r="AL395" s="2" t="s">
        <v>782</v>
      </c>
      <c r="AM395" s="2" t="s">
        <v>783</v>
      </c>
      <c r="AN395" s="2" t="s">
        <v>784</v>
      </c>
      <c r="AO395" s="2" t="s">
        <v>2556</v>
      </c>
      <c r="AP395" s="2" t="s">
        <v>2557</v>
      </c>
      <c r="AQ395" s="2"/>
      <c r="AR395" s="2" t="s">
        <v>2547</v>
      </c>
      <c r="AS395" s="2" t="s">
        <v>2558</v>
      </c>
      <c r="AT395" s="2" t="s">
        <v>7622</v>
      </c>
      <c r="AU395" s="2" t="n">
        <v>2005</v>
      </c>
      <c r="AV395" s="2" t="n">
        <v>23</v>
      </c>
      <c r="AW395" s="2" t="n">
        <v>14</v>
      </c>
      <c r="AX395" s="2"/>
      <c r="AY395" s="2"/>
      <c r="AZ395" s="2"/>
      <c r="BA395" s="2"/>
      <c r="BB395" s="2" t="n">
        <v>1657</v>
      </c>
      <c r="BC395" s="2" t="n">
        <v>1667</v>
      </c>
      <c r="BD395" s="2"/>
      <c r="BE395" s="2" t="s">
        <v>7623</v>
      </c>
      <c r="BF395" s="2" t="str">
        <f aca="false">HYPERLINK("http://dx.doi.org/10.1016/j.vaccine.2004.10.009","http://dx.doi.org/10.1016/j.vaccine.2004.10.009")</f>
        <v>http://dx.doi.org/10.1016/j.vaccine.2004.10.009</v>
      </c>
      <c r="BG395" s="2"/>
      <c r="BH395" s="2"/>
      <c r="BI395" s="2" t="n">
        <v>11</v>
      </c>
      <c r="BJ395" s="2" t="s">
        <v>187</v>
      </c>
      <c r="BK395" s="2" t="s">
        <v>100</v>
      </c>
      <c r="BL395" s="2" t="s">
        <v>188</v>
      </c>
      <c r="BM395" s="2" t="s">
        <v>7624</v>
      </c>
      <c r="BN395" s="2" t="n">
        <v>15705469</v>
      </c>
      <c r="BO395" s="2" t="s">
        <v>165</v>
      </c>
      <c r="BP395" s="2"/>
      <c r="BQ395" s="2"/>
      <c r="BR395" s="2" t="s">
        <v>104</v>
      </c>
      <c r="BS395" s="2" t="s">
        <v>7625</v>
      </c>
      <c r="BT395" s="2" t="str">
        <f aca="false">HYPERLINK("https%3A%2F%2Fwww.webofscience.com%2Fwos%2Fwoscc%2Ffull-record%2FWOS:000227324100004","View Full Record in Web of Science")</f>
        <v>View Full Record in Web of Science</v>
      </c>
    </row>
    <row r="396" customFormat="false" ht="12.75" hidden="false" customHeight="false" outlineLevel="0" collapsed="false">
      <c r="A396" s="2" t="s">
        <v>72</v>
      </c>
      <c r="B396" s="2" t="s">
        <v>7626</v>
      </c>
      <c r="C396" s="2"/>
      <c r="D396" s="2"/>
      <c r="E396" s="2"/>
      <c r="F396" s="2" t="s">
        <v>7627</v>
      </c>
      <c r="G396" s="2"/>
      <c r="H396" s="2"/>
      <c r="I396" s="2" t="s">
        <v>7628</v>
      </c>
      <c r="J396" s="2" t="s">
        <v>7629</v>
      </c>
      <c r="K396" s="2"/>
      <c r="L396" s="2"/>
      <c r="M396" s="2" t="s">
        <v>77</v>
      </c>
      <c r="N396" s="2" t="s">
        <v>78</v>
      </c>
      <c r="O396" s="2"/>
      <c r="P396" s="2"/>
      <c r="Q396" s="2"/>
      <c r="R396" s="2"/>
      <c r="S396" s="2"/>
      <c r="T396" s="2" t="s">
        <v>7630</v>
      </c>
      <c r="U396" s="2" t="s">
        <v>7631</v>
      </c>
      <c r="V396" s="2" t="s">
        <v>7632</v>
      </c>
      <c r="W396" s="2" t="s">
        <v>7633</v>
      </c>
      <c r="X396" s="2" t="s">
        <v>7634</v>
      </c>
      <c r="Y396" s="2" t="s">
        <v>7635</v>
      </c>
      <c r="Z396" s="2" t="s">
        <v>7636</v>
      </c>
      <c r="AA396" s="2" t="s">
        <v>7637</v>
      </c>
      <c r="AB396" s="2" t="s">
        <v>7638</v>
      </c>
      <c r="AC396" s="2"/>
      <c r="AD396" s="2"/>
      <c r="AE396" s="2"/>
      <c r="AF396" s="2"/>
      <c r="AG396" s="2" t="n">
        <v>36</v>
      </c>
      <c r="AH396" s="2" t="n">
        <v>7</v>
      </c>
      <c r="AI396" s="2" t="n">
        <v>8</v>
      </c>
      <c r="AJ396" s="2" t="n">
        <v>0</v>
      </c>
      <c r="AK396" s="2" t="n">
        <v>1</v>
      </c>
      <c r="AL396" s="2" t="s">
        <v>7639</v>
      </c>
      <c r="AM396" s="2" t="s">
        <v>783</v>
      </c>
      <c r="AN396" s="2" t="s">
        <v>7640</v>
      </c>
      <c r="AO396" s="2" t="s">
        <v>7641</v>
      </c>
      <c r="AP396" s="2" t="s">
        <v>7642</v>
      </c>
      <c r="AQ396" s="2"/>
      <c r="AR396" s="2" t="s">
        <v>7643</v>
      </c>
      <c r="AS396" s="2" t="s">
        <v>7644</v>
      </c>
      <c r="AT396" s="2" t="s">
        <v>336</v>
      </c>
      <c r="AU396" s="2" t="n">
        <v>2016</v>
      </c>
      <c r="AV396" s="2" t="n">
        <v>62</v>
      </c>
      <c r="AW396" s="2" t="n">
        <v>5</v>
      </c>
      <c r="AX396" s="2"/>
      <c r="AY396" s="2"/>
      <c r="AZ396" s="2"/>
      <c r="BA396" s="2"/>
      <c r="BB396" s="2" t="n">
        <v>352</v>
      </c>
      <c r="BC396" s="2" t="n">
        <v>360</v>
      </c>
      <c r="BD396" s="2"/>
      <c r="BE396" s="2" t="s">
        <v>7645</v>
      </c>
      <c r="BF396" s="2" t="str">
        <f aca="false">HYPERLINK("http://dx.doi.org/10.1093/tropej/fmw016","http://dx.doi.org/10.1093/tropej/fmw016")</f>
        <v>http://dx.doi.org/10.1093/tropej/fmw016</v>
      </c>
      <c r="BG396" s="2"/>
      <c r="BH396" s="2"/>
      <c r="BI396" s="2" t="n">
        <v>9</v>
      </c>
      <c r="BJ396" s="2" t="s">
        <v>7646</v>
      </c>
      <c r="BK396" s="2" t="s">
        <v>100</v>
      </c>
      <c r="BL396" s="2" t="s">
        <v>7646</v>
      </c>
      <c r="BM396" s="2" t="s">
        <v>7647</v>
      </c>
      <c r="BN396" s="2" t="n">
        <v>27037248</v>
      </c>
      <c r="BO396" s="2" t="s">
        <v>656</v>
      </c>
      <c r="BP396" s="2"/>
      <c r="BQ396" s="2"/>
      <c r="BR396" s="2" t="s">
        <v>104</v>
      </c>
      <c r="BS396" s="2" t="s">
        <v>7648</v>
      </c>
      <c r="BT396" s="2" t="str">
        <f aca="false">HYPERLINK("https%3A%2F%2Fwww.webofscience.com%2Fwos%2Fwoscc%2Ffull-record%2FWOS:000387904500002","View Full Record in Web of Science")</f>
        <v>View Full Record in Web of Science</v>
      </c>
    </row>
    <row r="397" customFormat="false" ht="12.75" hidden="false" customHeight="false" outlineLevel="0" collapsed="false">
      <c r="A397" s="2" t="s">
        <v>72</v>
      </c>
      <c r="B397" s="2" t="s">
        <v>7649</v>
      </c>
      <c r="C397" s="2"/>
      <c r="D397" s="2"/>
      <c r="E397" s="2"/>
      <c r="F397" s="2" t="s">
        <v>7650</v>
      </c>
      <c r="G397" s="2"/>
      <c r="H397" s="2"/>
      <c r="I397" s="2" t="s">
        <v>7651</v>
      </c>
      <c r="J397" s="2" t="s">
        <v>370</v>
      </c>
      <c r="K397" s="2"/>
      <c r="L397" s="2"/>
      <c r="M397" s="2" t="s">
        <v>77</v>
      </c>
      <c r="N397" s="2" t="s">
        <v>78</v>
      </c>
      <c r="O397" s="2"/>
      <c r="P397" s="2"/>
      <c r="Q397" s="2"/>
      <c r="R397" s="2"/>
      <c r="S397" s="2"/>
      <c r="T397" s="2" t="s">
        <v>7652</v>
      </c>
      <c r="U397" s="2" t="s">
        <v>7653</v>
      </c>
      <c r="V397" s="2" t="s">
        <v>7654</v>
      </c>
      <c r="W397" s="2" t="s">
        <v>7655</v>
      </c>
      <c r="X397" s="2" t="s">
        <v>7656</v>
      </c>
      <c r="Y397" s="2" t="s">
        <v>7657</v>
      </c>
      <c r="Z397" s="2" t="s">
        <v>7658</v>
      </c>
      <c r="AA397" s="2" t="s">
        <v>7659</v>
      </c>
      <c r="AB397" s="2" t="s">
        <v>7660</v>
      </c>
      <c r="AC397" s="2"/>
      <c r="AD397" s="2"/>
      <c r="AE397" s="2"/>
      <c r="AF397" s="2"/>
      <c r="AG397" s="2" t="n">
        <v>12</v>
      </c>
      <c r="AH397" s="2" t="n">
        <v>73</v>
      </c>
      <c r="AI397" s="2" t="n">
        <v>76</v>
      </c>
      <c r="AJ397" s="2" t="n">
        <v>0</v>
      </c>
      <c r="AK397" s="2" t="n">
        <v>4</v>
      </c>
      <c r="AL397" s="2" t="s">
        <v>383</v>
      </c>
      <c r="AM397" s="2" t="s">
        <v>384</v>
      </c>
      <c r="AN397" s="2" t="s">
        <v>385</v>
      </c>
      <c r="AO397" s="2" t="s">
        <v>386</v>
      </c>
      <c r="AP397" s="2" t="s">
        <v>387</v>
      </c>
      <c r="AQ397" s="2"/>
      <c r="AR397" s="2" t="s">
        <v>388</v>
      </c>
      <c r="AS397" s="2" t="s">
        <v>389</v>
      </c>
      <c r="AT397" s="2" t="s">
        <v>692</v>
      </c>
      <c r="AU397" s="2" t="n">
        <v>2006</v>
      </c>
      <c r="AV397" s="2" t="n">
        <v>35</v>
      </c>
      <c r="AW397" s="2" t="n">
        <v>4</v>
      </c>
      <c r="AX397" s="2"/>
      <c r="AY397" s="2"/>
      <c r="AZ397" s="2"/>
      <c r="BA397" s="2"/>
      <c r="BB397" s="2" t="n">
        <v>463</v>
      </c>
      <c r="BC397" s="2" t="n">
        <v>466</v>
      </c>
      <c r="BD397" s="2"/>
      <c r="BE397" s="2" t="s">
        <v>7661</v>
      </c>
      <c r="BF397" s="2" t="str">
        <f aca="false">HYPERLINK("http://dx.doi.org/10.1016/j.jcv.2005.11.009","http://dx.doi.org/10.1016/j.jcv.2005.11.009")</f>
        <v>http://dx.doi.org/10.1016/j.jcv.2005.11.009</v>
      </c>
      <c r="BG397" s="2"/>
      <c r="BH397" s="2"/>
      <c r="BI397" s="2" t="n">
        <v>4</v>
      </c>
      <c r="BJ397" s="2" t="s">
        <v>163</v>
      </c>
      <c r="BK397" s="2" t="s">
        <v>100</v>
      </c>
      <c r="BL397" s="2" t="s">
        <v>163</v>
      </c>
      <c r="BM397" s="2" t="s">
        <v>7662</v>
      </c>
      <c r="BN397" s="2" t="n">
        <v>16406692</v>
      </c>
      <c r="BO397" s="2"/>
      <c r="BP397" s="2"/>
      <c r="BQ397" s="2"/>
      <c r="BR397" s="2" t="s">
        <v>104</v>
      </c>
      <c r="BS397" s="2" t="s">
        <v>7663</v>
      </c>
      <c r="BT397" s="2" t="str">
        <f aca="false">HYPERLINK("https%3A%2F%2Fwww.webofscience.com%2Fwos%2Fwoscc%2Ffull-record%2FWOS:000239545300018","View Full Record in Web of Science")</f>
        <v>View Full Record in Web of Science</v>
      </c>
    </row>
    <row r="398" customFormat="false" ht="12.75" hidden="false" customHeight="false" outlineLevel="0" collapsed="false">
      <c r="A398" s="2" t="s">
        <v>72</v>
      </c>
      <c r="B398" s="2" t="s">
        <v>7664</v>
      </c>
      <c r="C398" s="2"/>
      <c r="D398" s="2"/>
      <c r="E398" s="2"/>
      <c r="F398" s="2" t="s">
        <v>7665</v>
      </c>
      <c r="G398" s="2"/>
      <c r="H398" s="2"/>
      <c r="I398" s="2" t="s">
        <v>7666</v>
      </c>
      <c r="J398" s="2" t="s">
        <v>370</v>
      </c>
      <c r="K398" s="2"/>
      <c r="L398" s="2"/>
      <c r="M398" s="2" t="s">
        <v>77</v>
      </c>
      <c r="N398" s="2" t="s">
        <v>78</v>
      </c>
      <c r="O398" s="2"/>
      <c r="P398" s="2"/>
      <c r="Q398" s="2"/>
      <c r="R398" s="2"/>
      <c r="S398" s="2"/>
      <c r="T398" s="2" t="s">
        <v>7667</v>
      </c>
      <c r="U398" s="2" t="s">
        <v>7668</v>
      </c>
      <c r="V398" s="2" t="s">
        <v>7669</v>
      </c>
      <c r="W398" s="2" t="s">
        <v>7670</v>
      </c>
      <c r="X398" s="2" t="s">
        <v>7671</v>
      </c>
      <c r="Y398" s="2" t="s">
        <v>7672</v>
      </c>
      <c r="Z398" s="2" t="s">
        <v>7673</v>
      </c>
      <c r="AA398" s="2"/>
      <c r="AB398" s="2" t="s">
        <v>7674</v>
      </c>
      <c r="AC398" s="2" t="s">
        <v>7671</v>
      </c>
      <c r="AD398" s="2" t="s">
        <v>7671</v>
      </c>
      <c r="AE398" s="2" t="s">
        <v>7675</v>
      </c>
      <c r="AF398" s="2"/>
      <c r="AG398" s="2" t="n">
        <v>12</v>
      </c>
      <c r="AH398" s="2" t="n">
        <v>11</v>
      </c>
      <c r="AI398" s="2" t="n">
        <v>11</v>
      </c>
      <c r="AJ398" s="2" t="n">
        <v>0</v>
      </c>
      <c r="AK398" s="2" t="n">
        <v>1</v>
      </c>
      <c r="AL398" s="2" t="s">
        <v>383</v>
      </c>
      <c r="AM398" s="2" t="s">
        <v>384</v>
      </c>
      <c r="AN398" s="2" t="s">
        <v>385</v>
      </c>
      <c r="AO398" s="2" t="s">
        <v>386</v>
      </c>
      <c r="AP398" s="2" t="s">
        <v>387</v>
      </c>
      <c r="AQ398" s="2"/>
      <c r="AR398" s="2" t="s">
        <v>388</v>
      </c>
      <c r="AS398" s="2" t="s">
        <v>389</v>
      </c>
      <c r="AT398" s="2" t="s">
        <v>97</v>
      </c>
      <c r="AU398" s="2" t="n">
        <v>2012</v>
      </c>
      <c r="AV398" s="2" t="n">
        <v>53</v>
      </c>
      <c r="AW398" s="2" t="n">
        <v>3</v>
      </c>
      <c r="AX398" s="2"/>
      <c r="AY398" s="2"/>
      <c r="AZ398" s="2"/>
      <c r="BA398" s="2"/>
      <c r="BB398" s="2" t="n">
        <v>256</v>
      </c>
      <c r="BC398" s="2" t="n">
        <v>258</v>
      </c>
      <c r="BD398" s="2"/>
      <c r="BE398" s="2" t="s">
        <v>7676</v>
      </c>
      <c r="BF398" s="2" t="str">
        <f aca="false">HYPERLINK("http://dx.doi.org/10.1016/j.jcv.2011.12.001","http://dx.doi.org/10.1016/j.jcv.2011.12.001")</f>
        <v>http://dx.doi.org/10.1016/j.jcv.2011.12.001</v>
      </c>
      <c r="BG398" s="2"/>
      <c r="BH398" s="2"/>
      <c r="BI398" s="2" t="n">
        <v>3</v>
      </c>
      <c r="BJ398" s="2" t="s">
        <v>163</v>
      </c>
      <c r="BK398" s="2" t="s">
        <v>100</v>
      </c>
      <c r="BL398" s="2" t="s">
        <v>163</v>
      </c>
      <c r="BM398" s="2" t="s">
        <v>7677</v>
      </c>
      <c r="BN398" s="2" t="n">
        <v>22217900</v>
      </c>
      <c r="BO398" s="2"/>
      <c r="BP398" s="2"/>
      <c r="BQ398" s="2"/>
      <c r="BR398" s="2" t="s">
        <v>104</v>
      </c>
      <c r="BS398" s="2" t="s">
        <v>7678</v>
      </c>
      <c r="BT398" s="2" t="str">
        <f aca="false">HYPERLINK("https%3A%2F%2Fwww.webofscience.com%2Fwos%2Fwoscc%2Ffull-record%2FWOS:000300583000014","View Full Record in Web of Science")</f>
        <v>View Full Record in Web of Science</v>
      </c>
    </row>
    <row r="399" customFormat="false" ht="12.75" hidden="false" customHeight="false" outlineLevel="0" collapsed="false">
      <c r="A399" s="2" t="s">
        <v>72</v>
      </c>
      <c r="B399" s="2" t="s">
        <v>7679</v>
      </c>
      <c r="C399" s="2"/>
      <c r="D399" s="2"/>
      <c r="E399" s="2"/>
      <c r="F399" s="2" t="s">
        <v>7680</v>
      </c>
      <c r="G399" s="2"/>
      <c r="H399" s="2"/>
      <c r="I399" s="2" t="s">
        <v>7681</v>
      </c>
      <c r="J399" s="2" t="s">
        <v>4856</v>
      </c>
      <c r="K399" s="2"/>
      <c r="L399" s="2"/>
      <c r="M399" s="2" t="s">
        <v>77</v>
      </c>
      <c r="N399" s="2" t="s">
        <v>78</v>
      </c>
      <c r="O399" s="2"/>
      <c r="P399" s="2"/>
      <c r="Q399" s="2"/>
      <c r="R399" s="2"/>
      <c r="S399" s="2"/>
      <c r="T399" s="2" t="s">
        <v>7682</v>
      </c>
      <c r="U399" s="2" t="s">
        <v>7683</v>
      </c>
      <c r="V399" s="2" t="s">
        <v>7684</v>
      </c>
      <c r="W399" s="2" t="s">
        <v>7685</v>
      </c>
      <c r="X399" s="2" t="s">
        <v>1697</v>
      </c>
      <c r="Y399" s="2" t="s">
        <v>7686</v>
      </c>
      <c r="Z399" s="2" t="s">
        <v>4863</v>
      </c>
      <c r="AA399" s="2" t="s">
        <v>3484</v>
      </c>
      <c r="AB399" s="2" t="s">
        <v>3485</v>
      </c>
      <c r="AC399" s="2" t="s">
        <v>7687</v>
      </c>
      <c r="AD399" s="2" t="s">
        <v>4865</v>
      </c>
      <c r="AE399" s="2" t="s">
        <v>7688</v>
      </c>
      <c r="AF399" s="2"/>
      <c r="AG399" s="2" t="n">
        <v>29</v>
      </c>
      <c r="AH399" s="2" t="n">
        <v>0</v>
      </c>
      <c r="AI399" s="2" t="n">
        <v>0</v>
      </c>
      <c r="AJ399" s="2" t="n">
        <v>0</v>
      </c>
      <c r="AK399" s="2" t="n">
        <v>1</v>
      </c>
      <c r="AL399" s="2" t="s">
        <v>1896</v>
      </c>
      <c r="AM399" s="2" t="s">
        <v>92</v>
      </c>
      <c r="AN399" s="2" t="s">
        <v>1897</v>
      </c>
      <c r="AO399" s="2" t="s">
        <v>4867</v>
      </c>
      <c r="AP399" s="2" t="s">
        <v>4868</v>
      </c>
      <c r="AQ399" s="2"/>
      <c r="AR399" s="2" t="s">
        <v>4869</v>
      </c>
      <c r="AS399" s="2" t="s">
        <v>4870</v>
      </c>
      <c r="AT399" s="2"/>
      <c r="AU399" s="2" t="n">
        <v>2017</v>
      </c>
      <c r="AV399" s="2" t="n">
        <v>26</v>
      </c>
      <c r="AW399" s="2" t="n">
        <v>6</v>
      </c>
      <c r="AX399" s="2"/>
      <c r="AY399" s="2"/>
      <c r="AZ399" s="2"/>
      <c r="BA399" s="2"/>
      <c r="BB399" s="2" t="n">
        <v>542</v>
      </c>
      <c r="BC399" s="2" t="n">
        <v>546</v>
      </c>
      <c r="BD399" s="2"/>
      <c r="BE399" s="2" t="s">
        <v>7689</v>
      </c>
      <c r="BF399" s="2" t="str">
        <f aca="false">HYPERLINK("http://dx.doi.org/10.1159/000485036","http://dx.doi.org/10.1159/000485036")</f>
        <v>http://dx.doi.org/10.1159/000485036</v>
      </c>
      <c r="BG399" s="2"/>
      <c r="BH399" s="2"/>
      <c r="BI399" s="2" t="n">
        <v>5</v>
      </c>
      <c r="BJ399" s="2" t="s">
        <v>363</v>
      </c>
      <c r="BK399" s="2" t="s">
        <v>100</v>
      </c>
      <c r="BL399" s="2" t="s">
        <v>364</v>
      </c>
      <c r="BM399" s="2" t="s">
        <v>7690</v>
      </c>
      <c r="BN399" s="2" t="n">
        <v>29131066</v>
      </c>
      <c r="BO399" s="2" t="s">
        <v>190</v>
      </c>
      <c r="BP399" s="2"/>
      <c r="BQ399" s="2"/>
      <c r="BR399" s="2" t="s">
        <v>104</v>
      </c>
      <c r="BS399" s="2" t="s">
        <v>7691</v>
      </c>
      <c r="BT399" s="2" t="str">
        <f aca="false">HYPERLINK("https%3A%2F%2Fwww.webofscience.com%2Fwos%2Fwoscc%2Ffull-record%2FWOS:000426011000007","View Full Record in Web of Science")</f>
        <v>View Full Record in Web of Science</v>
      </c>
    </row>
    <row r="400" customFormat="false" ht="12.75" hidden="false" customHeight="false" outlineLevel="0" collapsed="false">
      <c r="A400" s="2" t="s">
        <v>72</v>
      </c>
      <c r="B400" s="2" t="s">
        <v>7692</v>
      </c>
      <c r="C400" s="2"/>
      <c r="D400" s="2"/>
      <c r="E400" s="2"/>
      <c r="F400" s="2" t="s">
        <v>7693</v>
      </c>
      <c r="G400" s="2"/>
      <c r="H400" s="2"/>
      <c r="I400" s="2" t="s">
        <v>7694</v>
      </c>
      <c r="J400" s="2" t="s">
        <v>7695</v>
      </c>
      <c r="K400" s="2"/>
      <c r="L400" s="2"/>
      <c r="M400" s="2" t="s">
        <v>77</v>
      </c>
      <c r="N400" s="2" t="s">
        <v>78</v>
      </c>
      <c r="O400" s="2"/>
      <c r="P400" s="2"/>
      <c r="Q400" s="2"/>
      <c r="R400" s="2"/>
      <c r="S400" s="2"/>
      <c r="T400" s="2" t="s">
        <v>7696</v>
      </c>
      <c r="U400" s="2" t="s">
        <v>7697</v>
      </c>
      <c r="V400" s="2" t="s">
        <v>7698</v>
      </c>
      <c r="W400" s="2" t="s">
        <v>7699</v>
      </c>
      <c r="X400" s="2" t="s">
        <v>7700</v>
      </c>
      <c r="Y400" s="2" t="s">
        <v>7701</v>
      </c>
      <c r="Z400" s="2" t="s">
        <v>7702</v>
      </c>
      <c r="AA400" s="2" t="s">
        <v>7703</v>
      </c>
      <c r="AB400" s="2" t="s">
        <v>7704</v>
      </c>
      <c r="AC400" s="2" t="s">
        <v>7705</v>
      </c>
      <c r="AD400" s="2" t="s">
        <v>7706</v>
      </c>
      <c r="AE400" s="2" t="s">
        <v>7707</v>
      </c>
      <c r="AF400" s="2"/>
      <c r="AG400" s="2" t="n">
        <v>35</v>
      </c>
      <c r="AH400" s="2" t="n">
        <v>1</v>
      </c>
      <c r="AI400" s="2" t="n">
        <v>1</v>
      </c>
      <c r="AJ400" s="2" t="n">
        <v>2</v>
      </c>
      <c r="AK400" s="2" t="n">
        <v>10</v>
      </c>
      <c r="AL400" s="2" t="s">
        <v>7708</v>
      </c>
      <c r="AM400" s="2" t="s">
        <v>6466</v>
      </c>
      <c r="AN400" s="2" t="s">
        <v>7709</v>
      </c>
      <c r="AO400" s="2" t="s">
        <v>7710</v>
      </c>
      <c r="AP400" s="2" t="s">
        <v>7711</v>
      </c>
      <c r="AQ400" s="2"/>
      <c r="AR400" s="2" t="s">
        <v>7712</v>
      </c>
      <c r="AS400" s="2" t="s">
        <v>7713</v>
      </c>
      <c r="AT400" s="2" t="s">
        <v>161</v>
      </c>
      <c r="AU400" s="2" t="n">
        <v>2016</v>
      </c>
      <c r="AV400" s="2" t="n">
        <v>27</v>
      </c>
      <c r="AW400" s="2" t="n">
        <v>1</v>
      </c>
      <c r="AX400" s="2"/>
      <c r="AY400" s="2"/>
      <c r="AZ400" s="2"/>
      <c r="BA400" s="2"/>
      <c r="BB400" s="2" t="n">
        <v>2</v>
      </c>
      <c r="BC400" s="2" t="n">
        <v>9</v>
      </c>
      <c r="BD400" s="2"/>
      <c r="BE400" s="2" t="s">
        <v>7714</v>
      </c>
      <c r="BF400" s="2" t="str">
        <f aca="false">HYPERLINK("http://dx.doi.org/10.5935/0103-5053.20150234","http://dx.doi.org/10.5935/0103-5053.20150234")</f>
        <v>http://dx.doi.org/10.5935/0103-5053.20150234</v>
      </c>
      <c r="BG400" s="2"/>
      <c r="BH400" s="2"/>
      <c r="BI400" s="2" t="n">
        <v>8</v>
      </c>
      <c r="BJ400" s="2" t="s">
        <v>7715</v>
      </c>
      <c r="BK400" s="2" t="s">
        <v>7716</v>
      </c>
      <c r="BL400" s="2" t="s">
        <v>7717</v>
      </c>
      <c r="BM400" s="2" t="s">
        <v>7718</v>
      </c>
      <c r="BN400" s="2"/>
      <c r="BO400" s="2" t="s">
        <v>341</v>
      </c>
      <c r="BP400" s="2"/>
      <c r="BQ400" s="2"/>
      <c r="BR400" s="2" t="s">
        <v>104</v>
      </c>
      <c r="BS400" s="2" t="s">
        <v>7719</v>
      </c>
      <c r="BT400" s="2" t="str">
        <f aca="false">HYPERLINK("https%3A%2F%2Fwww.webofscience.com%2Fwos%2Fwoscc%2Ffull-record%2FWOS:000369153700002","View Full Record in Web of Science")</f>
        <v>View Full Record in Web of Science</v>
      </c>
    </row>
    <row r="401" customFormat="false" ht="12.75" hidden="false" customHeight="false" outlineLevel="0" collapsed="false">
      <c r="A401" s="2" t="s">
        <v>72</v>
      </c>
      <c r="B401" s="2" t="s">
        <v>7720</v>
      </c>
      <c r="C401" s="2"/>
      <c r="D401" s="2"/>
      <c r="E401" s="2"/>
      <c r="F401" s="2" t="s">
        <v>7721</v>
      </c>
      <c r="G401" s="2"/>
      <c r="H401" s="2"/>
      <c r="I401" s="2" t="s">
        <v>7722</v>
      </c>
      <c r="J401" s="2" t="s">
        <v>7723</v>
      </c>
      <c r="K401" s="2"/>
      <c r="L401" s="2"/>
      <c r="M401" s="2" t="s">
        <v>77</v>
      </c>
      <c r="N401" s="2" t="s">
        <v>78</v>
      </c>
      <c r="O401" s="2"/>
      <c r="P401" s="2"/>
      <c r="Q401" s="2"/>
      <c r="R401" s="2"/>
      <c r="S401" s="2"/>
      <c r="T401" s="2" t="s">
        <v>7724</v>
      </c>
      <c r="U401" s="2" t="s">
        <v>7725</v>
      </c>
      <c r="V401" s="2" t="s">
        <v>7726</v>
      </c>
      <c r="W401" s="2" t="s">
        <v>7727</v>
      </c>
      <c r="X401" s="2" t="s">
        <v>7728</v>
      </c>
      <c r="Y401" s="2" t="s">
        <v>7729</v>
      </c>
      <c r="Z401" s="2" t="s">
        <v>7730</v>
      </c>
      <c r="AA401" s="2"/>
      <c r="AB401" s="2"/>
      <c r="AC401" s="2"/>
      <c r="AD401" s="2"/>
      <c r="AE401" s="2"/>
      <c r="AF401" s="2"/>
      <c r="AG401" s="2" t="n">
        <v>28</v>
      </c>
      <c r="AH401" s="2" t="n">
        <v>1</v>
      </c>
      <c r="AI401" s="2" t="n">
        <v>2</v>
      </c>
      <c r="AJ401" s="2" t="n">
        <v>0</v>
      </c>
      <c r="AK401" s="2" t="n">
        <v>2</v>
      </c>
      <c r="AL401" s="2" t="s">
        <v>1162</v>
      </c>
      <c r="AM401" s="2" t="s">
        <v>1163</v>
      </c>
      <c r="AN401" s="2" t="s">
        <v>1164</v>
      </c>
      <c r="AO401" s="2"/>
      <c r="AP401" s="2" t="s">
        <v>7731</v>
      </c>
      <c r="AQ401" s="2"/>
      <c r="AR401" s="2" t="s">
        <v>7732</v>
      </c>
      <c r="AS401" s="2" t="s">
        <v>7733</v>
      </c>
      <c r="AT401" s="2"/>
      <c r="AU401" s="2" t="n">
        <v>2017</v>
      </c>
      <c r="AV401" s="2" t="n">
        <v>12</v>
      </c>
      <c r="AW401" s="2"/>
      <c r="AX401" s="2"/>
      <c r="AY401" s="2"/>
      <c r="AZ401" s="2"/>
      <c r="BA401" s="2"/>
      <c r="BB401" s="2" t="n">
        <v>673</v>
      </c>
      <c r="BC401" s="2" t="n">
        <v>678</v>
      </c>
      <c r="BD401" s="2"/>
      <c r="BE401" s="2" t="s">
        <v>7734</v>
      </c>
      <c r="BF401" s="2" t="str">
        <f aca="false">HYPERLINK("http://dx.doi.org/10.2147/CIA.S127009","http://dx.doi.org/10.2147/CIA.S127009")</f>
        <v>http://dx.doi.org/10.2147/CIA.S127009</v>
      </c>
      <c r="BG401" s="2"/>
      <c r="BH401" s="2"/>
      <c r="BI401" s="2" t="n">
        <v>6</v>
      </c>
      <c r="BJ401" s="2" t="s">
        <v>1087</v>
      </c>
      <c r="BK401" s="2" t="s">
        <v>100</v>
      </c>
      <c r="BL401" s="2" t="s">
        <v>1087</v>
      </c>
      <c r="BM401" s="2" t="s">
        <v>7735</v>
      </c>
      <c r="BN401" s="2" t="n">
        <v>28442897</v>
      </c>
      <c r="BO401" s="2" t="s">
        <v>2582</v>
      </c>
      <c r="BP401" s="2"/>
      <c r="BQ401" s="2"/>
      <c r="BR401" s="2" t="s">
        <v>104</v>
      </c>
      <c r="BS401" s="2" t="s">
        <v>7736</v>
      </c>
      <c r="BT401" s="2" t="str">
        <f aca="false">HYPERLINK("https%3A%2F%2Fwww.webofscience.com%2Fwos%2Fwoscc%2Ffull-record%2FWOS:000399294400002","View Full Record in Web of Science")</f>
        <v>View Full Record in Web of Science</v>
      </c>
    </row>
    <row r="402" customFormat="false" ht="12.75" hidden="false" customHeight="false" outlineLevel="0" collapsed="false">
      <c r="A402" s="2" t="s">
        <v>72</v>
      </c>
      <c r="B402" s="2" t="s">
        <v>7737</v>
      </c>
      <c r="C402" s="2"/>
      <c r="D402" s="2"/>
      <c r="E402" s="2"/>
      <c r="F402" s="2" t="s">
        <v>7738</v>
      </c>
      <c r="G402" s="2"/>
      <c r="H402" s="2"/>
      <c r="I402" s="2" t="s">
        <v>7739</v>
      </c>
      <c r="J402" s="2" t="s">
        <v>7740</v>
      </c>
      <c r="K402" s="2"/>
      <c r="L402" s="2"/>
      <c r="M402" s="2" t="s">
        <v>77</v>
      </c>
      <c r="N402" s="2" t="s">
        <v>78</v>
      </c>
      <c r="O402" s="2"/>
      <c r="P402" s="2"/>
      <c r="Q402" s="2"/>
      <c r="R402" s="2"/>
      <c r="S402" s="2"/>
      <c r="T402" s="2" t="s">
        <v>7741</v>
      </c>
      <c r="U402" s="2" t="s">
        <v>7742</v>
      </c>
      <c r="V402" s="2" t="s">
        <v>7743</v>
      </c>
      <c r="W402" s="2" t="s">
        <v>7744</v>
      </c>
      <c r="X402" s="2" t="s">
        <v>7745</v>
      </c>
      <c r="Y402" s="2" t="s">
        <v>7746</v>
      </c>
      <c r="Z402" s="2" t="s">
        <v>7747</v>
      </c>
      <c r="AA402" s="2" t="s">
        <v>7748</v>
      </c>
      <c r="AB402" s="2" t="s">
        <v>7749</v>
      </c>
      <c r="AC402" s="2" t="s">
        <v>7750</v>
      </c>
      <c r="AD402" s="2" t="s">
        <v>7750</v>
      </c>
      <c r="AE402" s="2" t="s">
        <v>7750</v>
      </c>
      <c r="AF402" s="2"/>
      <c r="AG402" s="2" t="n">
        <v>33</v>
      </c>
      <c r="AH402" s="2" t="n">
        <v>1</v>
      </c>
      <c r="AI402" s="2" t="n">
        <v>1</v>
      </c>
      <c r="AJ402" s="2" t="n">
        <v>0</v>
      </c>
      <c r="AK402" s="2" t="n">
        <v>0</v>
      </c>
      <c r="AL402" s="2" t="s">
        <v>1242</v>
      </c>
      <c r="AM402" s="2" t="s">
        <v>303</v>
      </c>
      <c r="AN402" s="2" t="s">
        <v>467</v>
      </c>
      <c r="AO402" s="2"/>
      <c r="AP402" s="2" t="s">
        <v>7751</v>
      </c>
      <c r="AQ402" s="2"/>
      <c r="AR402" s="2" t="s">
        <v>7752</v>
      </c>
      <c r="AS402" s="2" t="s">
        <v>7753</v>
      </c>
      <c r="AT402" s="2" t="s">
        <v>7754</v>
      </c>
      <c r="AU402" s="2" t="n">
        <v>2023</v>
      </c>
      <c r="AV402" s="2" t="n">
        <v>16</v>
      </c>
      <c r="AW402" s="2" t="n">
        <v>1</v>
      </c>
      <c r="AX402" s="2"/>
      <c r="AY402" s="2"/>
      <c r="AZ402" s="2"/>
      <c r="BA402" s="2"/>
      <c r="BB402" s="2"/>
      <c r="BC402" s="2"/>
      <c r="BD402" s="2" t="n">
        <v>125</v>
      </c>
      <c r="BE402" s="2" t="s">
        <v>7755</v>
      </c>
      <c r="BF402" s="2" t="str">
        <f aca="false">HYPERLINK("http://dx.doi.org/10.1186/s40545-023-00636-y","http://dx.doi.org/10.1186/s40545-023-00636-y")</f>
        <v>http://dx.doi.org/10.1186/s40545-023-00636-y</v>
      </c>
      <c r="BG402" s="2"/>
      <c r="BH402" s="2"/>
      <c r="BI402" s="2" t="n">
        <v>9</v>
      </c>
      <c r="BJ402" s="2" t="s">
        <v>7756</v>
      </c>
      <c r="BK402" s="2" t="s">
        <v>339</v>
      </c>
      <c r="BL402" s="2" t="s">
        <v>7757</v>
      </c>
      <c r="BM402" s="2" t="s">
        <v>7758</v>
      </c>
      <c r="BN402" s="2" t="n">
        <v>37872556</v>
      </c>
      <c r="BO402" s="2" t="s">
        <v>190</v>
      </c>
      <c r="BP402" s="2"/>
      <c r="BQ402" s="2"/>
      <c r="BR402" s="2" t="s">
        <v>104</v>
      </c>
      <c r="BS402" s="2" t="s">
        <v>7759</v>
      </c>
      <c r="BT402" s="2" t="str">
        <f aca="false">HYPERLINK("https%3A%2F%2Fwww.webofscience.com%2Fwos%2Fwoscc%2Ffull-record%2FWOS:001095831200001","View Full Record in Web of Science")</f>
        <v>View Full Record in Web of Science</v>
      </c>
    </row>
    <row r="403" customFormat="false" ht="12.75" hidden="false" customHeight="false" outlineLevel="0" collapsed="false">
      <c r="A403" s="2" t="s">
        <v>72</v>
      </c>
      <c r="B403" s="2" t="s">
        <v>7760</v>
      </c>
      <c r="C403" s="2"/>
      <c r="D403" s="2"/>
      <c r="E403" s="2"/>
      <c r="F403" s="2" t="s">
        <v>7761</v>
      </c>
      <c r="G403" s="2"/>
      <c r="H403" s="2"/>
      <c r="I403" s="2" t="s">
        <v>7762</v>
      </c>
      <c r="J403" s="2" t="s">
        <v>109</v>
      </c>
      <c r="K403" s="2"/>
      <c r="L403" s="2"/>
      <c r="M403" s="2" t="s">
        <v>77</v>
      </c>
      <c r="N403" s="2" t="s">
        <v>78</v>
      </c>
      <c r="O403" s="2"/>
      <c r="P403" s="2"/>
      <c r="Q403" s="2"/>
      <c r="R403" s="2"/>
      <c r="S403" s="2"/>
      <c r="T403" s="2" t="s">
        <v>7763</v>
      </c>
      <c r="U403" s="2" t="s">
        <v>7764</v>
      </c>
      <c r="V403" s="2" t="s">
        <v>7765</v>
      </c>
      <c r="W403" s="2" t="s">
        <v>7766</v>
      </c>
      <c r="X403" s="2" t="s">
        <v>7767</v>
      </c>
      <c r="Y403" s="2" t="s">
        <v>7768</v>
      </c>
      <c r="Z403" s="2" t="s">
        <v>7769</v>
      </c>
      <c r="AA403" s="2"/>
      <c r="AB403" s="2" t="s">
        <v>7770</v>
      </c>
      <c r="AC403" s="2"/>
      <c r="AD403" s="2"/>
      <c r="AE403" s="2"/>
      <c r="AF403" s="2"/>
      <c r="AG403" s="2" t="n">
        <v>32</v>
      </c>
      <c r="AH403" s="2" t="n">
        <v>18</v>
      </c>
      <c r="AI403" s="2" t="n">
        <v>20</v>
      </c>
      <c r="AJ403" s="2" t="n">
        <v>0</v>
      </c>
      <c r="AK403" s="2" t="n">
        <v>4</v>
      </c>
      <c r="AL403" s="2" t="s">
        <v>122</v>
      </c>
      <c r="AM403" s="2" t="s">
        <v>123</v>
      </c>
      <c r="AN403" s="2" t="s">
        <v>124</v>
      </c>
      <c r="AO403" s="2" t="s">
        <v>125</v>
      </c>
      <c r="AP403" s="2" t="s">
        <v>126</v>
      </c>
      <c r="AQ403" s="2"/>
      <c r="AR403" s="2" t="s">
        <v>127</v>
      </c>
      <c r="AS403" s="2" t="s">
        <v>128</v>
      </c>
      <c r="AT403" s="2" t="s">
        <v>390</v>
      </c>
      <c r="AU403" s="2" t="n">
        <v>2013</v>
      </c>
      <c r="AV403" s="2" t="n">
        <v>32</v>
      </c>
      <c r="AW403" s="2" t="n">
        <v>5</v>
      </c>
      <c r="AX403" s="2"/>
      <c r="AY403" s="2"/>
      <c r="AZ403" s="2"/>
      <c r="BA403" s="2"/>
      <c r="BB403" s="2" t="s">
        <v>7771</v>
      </c>
      <c r="BC403" s="2" t="s">
        <v>7772</v>
      </c>
      <c r="BD403" s="2"/>
      <c r="BE403" s="2" t="s">
        <v>7773</v>
      </c>
      <c r="BF403" s="2" t="str">
        <f aca="false">HYPERLINK("http://dx.doi.org/10.1097/INF.0b013e318280618d","http://dx.doi.org/10.1097/INF.0b013e318280618d")</f>
        <v>http://dx.doi.org/10.1097/INF.0b013e318280618d</v>
      </c>
      <c r="BG403" s="2"/>
      <c r="BH403" s="2"/>
      <c r="BI403" s="2" t="n">
        <v>6</v>
      </c>
      <c r="BJ403" s="2" t="s">
        <v>134</v>
      </c>
      <c r="BK403" s="2" t="s">
        <v>100</v>
      </c>
      <c r="BL403" s="2" t="s">
        <v>134</v>
      </c>
      <c r="BM403" s="2" t="s">
        <v>7774</v>
      </c>
      <c r="BN403" s="2" t="n">
        <v>23249918</v>
      </c>
      <c r="BO403" s="2"/>
      <c r="BP403" s="2"/>
      <c r="BQ403" s="2"/>
      <c r="BR403" s="2" t="s">
        <v>104</v>
      </c>
      <c r="BS403" s="2" t="s">
        <v>7775</v>
      </c>
      <c r="BT403" s="2" t="str">
        <f aca="false">HYPERLINK("https%3A%2F%2Fwww.webofscience.com%2Fwos%2Fwoscc%2Ffull-record%2FWOS:000318684400002","View Full Record in Web of Science")</f>
        <v>View Full Record in Web of Science</v>
      </c>
    </row>
    <row r="404" customFormat="false" ht="12.75" hidden="false" customHeight="false" outlineLevel="0" collapsed="false">
      <c r="A404" s="2" t="s">
        <v>72</v>
      </c>
      <c r="B404" s="2" t="s">
        <v>7776</v>
      </c>
      <c r="C404" s="2"/>
      <c r="D404" s="2"/>
      <c r="E404" s="2"/>
      <c r="F404" s="2" t="s">
        <v>7777</v>
      </c>
      <c r="G404" s="2"/>
      <c r="H404" s="2"/>
      <c r="I404" s="2" t="s">
        <v>7778</v>
      </c>
      <c r="J404" s="2" t="s">
        <v>1290</v>
      </c>
      <c r="K404" s="2"/>
      <c r="L404" s="2"/>
      <c r="M404" s="2" t="s">
        <v>77</v>
      </c>
      <c r="N404" s="2" t="s">
        <v>78</v>
      </c>
      <c r="O404" s="2"/>
      <c r="P404" s="2"/>
      <c r="Q404" s="2"/>
      <c r="R404" s="2"/>
      <c r="S404" s="2"/>
      <c r="T404" s="2" t="s">
        <v>7779</v>
      </c>
      <c r="U404" s="2" t="s">
        <v>7780</v>
      </c>
      <c r="V404" s="2" t="s">
        <v>7781</v>
      </c>
      <c r="W404" s="2" t="s">
        <v>7782</v>
      </c>
      <c r="X404" s="2" t="s">
        <v>7783</v>
      </c>
      <c r="Y404" s="2" t="s">
        <v>7784</v>
      </c>
      <c r="Z404" s="2" t="s">
        <v>4819</v>
      </c>
      <c r="AA404" s="2" t="s">
        <v>7785</v>
      </c>
      <c r="AB404" s="2" t="s">
        <v>7786</v>
      </c>
      <c r="AC404" s="2"/>
      <c r="AD404" s="2"/>
      <c r="AE404" s="2"/>
      <c r="AF404" s="2"/>
      <c r="AG404" s="2" t="n">
        <v>64</v>
      </c>
      <c r="AH404" s="2" t="n">
        <v>29</v>
      </c>
      <c r="AI404" s="2" t="n">
        <v>30</v>
      </c>
      <c r="AJ404" s="2" t="n">
        <v>0</v>
      </c>
      <c r="AK404" s="2" t="n">
        <v>2</v>
      </c>
      <c r="AL404" s="2" t="s">
        <v>154</v>
      </c>
      <c r="AM404" s="2" t="s">
        <v>155</v>
      </c>
      <c r="AN404" s="2" t="s">
        <v>156</v>
      </c>
      <c r="AO404" s="2" t="s">
        <v>1302</v>
      </c>
      <c r="AP404" s="2" t="s">
        <v>1303</v>
      </c>
      <c r="AQ404" s="2"/>
      <c r="AR404" s="2" t="s">
        <v>1304</v>
      </c>
      <c r="AS404" s="2" t="s">
        <v>1305</v>
      </c>
      <c r="AT404" s="2" t="s">
        <v>446</v>
      </c>
      <c r="AU404" s="2" t="n">
        <v>2007</v>
      </c>
      <c r="AV404" s="2" t="n">
        <v>42</v>
      </c>
      <c r="AW404" s="2" t="n">
        <v>12</v>
      </c>
      <c r="AX404" s="2"/>
      <c r="AY404" s="2"/>
      <c r="AZ404" s="2"/>
      <c r="BA404" s="2"/>
      <c r="BB404" s="2" t="n">
        <v>1095</v>
      </c>
      <c r="BC404" s="2" t="n">
        <v>1103</v>
      </c>
      <c r="BD404" s="2"/>
      <c r="BE404" s="2" t="s">
        <v>7787</v>
      </c>
      <c r="BF404" s="2" t="str">
        <f aca="false">HYPERLINK("http://dx.doi.org/10.1002/ppul.20652","http://dx.doi.org/10.1002/ppul.20652")</f>
        <v>http://dx.doi.org/10.1002/ppul.20652</v>
      </c>
      <c r="BG404" s="2"/>
      <c r="BH404" s="2"/>
      <c r="BI404" s="2" t="n">
        <v>9</v>
      </c>
      <c r="BJ404" s="2" t="s">
        <v>1307</v>
      </c>
      <c r="BK404" s="2" t="s">
        <v>100</v>
      </c>
      <c r="BL404" s="2" t="s">
        <v>1307</v>
      </c>
      <c r="BM404" s="2" t="s">
        <v>7788</v>
      </c>
      <c r="BN404" s="2" t="n">
        <v>17588246</v>
      </c>
      <c r="BO404" s="2"/>
      <c r="BP404" s="2"/>
      <c r="BQ404" s="2"/>
      <c r="BR404" s="2" t="s">
        <v>104</v>
      </c>
      <c r="BS404" s="2" t="s">
        <v>7789</v>
      </c>
      <c r="BT404" s="2" t="str">
        <f aca="false">HYPERLINK("https%3A%2F%2Fwww.webofscience.com%2Fwos%2Fwoscc%2Ffull-record%2FWOS:000251497900004","View Full Record in Web of Science")</f>
        <v>View Full Record in Web of Science</v>
      </c>
    </row>
    <row r="405" customFormat="false" ht="12.75" hidden="false" customHeight="false" outlineLevel="0" collapsed="false">
      <c r="A405" s="2" t="s">
        <v>72</v>
      </c>
      <c r="B405" s="2" t="s">
        <v>7790</v>
      </c>
      <c r="C405" s="2"/>
      <c r="D405" s="2"/>
      <c r="E405" s="2"/>
      <c r="F405" s="2" t="s">
        <v>7791</v>
      </c>
      <c r="G405" s="2"/>
      <c r="H405" s="2"/>
      <c r="I405" s="2" t="s">
        <v>7792</v>
      </c>
      <c r="J405" s="2" t="s">
        <v>7793</v>
      </c>
      <c r="K405" s="2"/>
      <c r="L405" s="2"/>
      <c r="M405" s="2" t="s">
        <v>77</v>
      </c>
      <c r="N405" s="2" t="s">
        <v>78</v>
      </c>
      <c r="O405" s="2"/>
      <c r="P405" s="2"/>
      <c r="Q405" s="2"/>
      <c r="R405" s="2"/>
      <c r="S405" s="2"/>
      <c r="T405" s="2" t="s">
        <v>7794</v>
      </c>
      <c r="U405" s="2" t="s">
        <v>7795</v>
      </c>
      <c r="V405" s="2" t="s">
        <v>7796</v>
      </c>
      <c r="W405" s="2" t="s">
        <v>7797</v>
      </c>
      <c r="X405" s="2" t="s">
        <v>7798</v>
      </c>
      <c r="Y405" s="2" t="s">
        <v>7799</v>
      </c>
      <c r="Z405" s="2" t="s">
        <v>7800</v>
      </c>
      <c r="AA405" s="2" t="s">
        <v>7801</v>
      </c>
      <c r="AB405" s="2" t="s">
        <v>7802</v>
      </c>
      <c r="AC405" s="2"/>
      <c r="AD405" s="2"/>
      <c r="AE405" s="2"/>
      <c r="AF405" s="2"/>
      <c r="AG405" s="2" t="n">
        <v>15</v>
      </c>
      <c r="AH405" s="2" t="n">
        <v>8</v>
      </c>
      <c r="AI405" s="2" t="n">
        <v>8</v>
      </c>
      <c r="AJ405" s="2" t="n">
        <v>0</v>
      </c>
      <c r="AK405" s="2" t="n">
        <v>1</v>
      </c>
      <c r="AL405" s="2" t="s">
        <v>7803</v>
      </c>
      <c r="AM405" s="2" t="s">
        <v>7804</v>
      </c>
      <c r="AN405" s="2" t="s">
        <v>7805</v>
      </c>
      <c r="AO405" s="2" t="s">
        <v>7806</v>
      </c>
      <c r="AP405" s="2"/>
      <c r="AQ405" s="2"/>
      <c r="AR405" s="2" t="s">
        <v>7807</v>
      </c>
      <c r="AS405" s="2" t="s">
        <v>7808</v>
      </c>
      <c r="AT405" s="2" t="s">
        <v>97</v>
      </c>
      <c r="AU405" s="2" t="n">
        <v>2013</v>
      </c>
      <c r="AV405" s="2" t="n">
        <v>26</v>
      </c>
      <c r="AW405" s="2" t="n">
        <v>1</v>
      </c>
      <c r="AX405" s="2"/>
      <c r="AY405" s="2"/>
      <c r="AZ405" s="2"/>
      <c r="BA405" s="2"/>
      <c r="BB405" s="2" t="n">
        <v>47</v>
      </c>
      <c r="BC405" s="2" t="n">
        <v>50</v>
      </c>
      <c r="BD405" s="2"/>
      <c r="BE405" s="2"/>
      <c r="BF405" s="2"/>
      <c r="BG405" s="2"/>
      <c r="BH405" s="2"/>
      <c r="BI405" s="2" t="n">
        <v>4</v>
      </c>
      <c r="BJ405" s="2" t="s">
        <v>7809</v>
      </c>
      <c r="BK405" s="2" t="s">
        <v>100</v>
      </c>
      <c r="BL405" s="2" t="s">
        <v>7809</v>
      </c>
      <c r="BM405" s="2" t="s">
        <v>7810</v>
      </c>
      <c r="BN405" s="2" t="n">
        <v>23546463</v>
      </c>
      <c r="BO405" s="2"/>
      <c r="BP405" s="2"/>
      <c r="BQ405" s="2"/>
      <c r="BR405" s="2" t="s">
        <v>104</v>
      </c>
      <c r="BS405" s="2" t="s">
        <v>7811</v>
      </c>
      <c r="BT405" s="2" t="str">
        <f aca="false">HYPERLINK("https%3A%2F%2Fwww.webofscience.com%2Fwos%2Fwoscc%2Ffull-record%2FWOS:000316926700009","View Full Record in Web of Science")</f>
        <v>View Full Record in Web of Science</v>
      </c>
    </row>
    <row r="406" customFormat="false" ht="12.75" hidden="false" customHeight="false" outlineLevel="0" collapsed="false">
      <c r="A406" s="2" t="s">
        <v>72</v>
      </c>
      <c r="B406" s="2" t="s">
        <v>7812</v>
      </c>
      <c r="C406" s="2"/>
      <c r="D406" s="2"/>
      <c r="E406" s="2"/>
      <c r="F406" s="2" t="s">
        <v>7813</v>
      </c>
      <c r="G406" s="2"/>
      <c r="H406" s="2"/>
      <c r="I406" s="2" t="s">
        <v>7814</v>
      </c>
      <c r="J406" s="2" t="s">
        <v>141</v>
      </c>
      <c r="K406" s="2"/>
      <c r="L406" s="2"/>
      <c r="M406" s="2" t="s">
        <v>77</v>
      </c>
      <c r="N406" s="2" t="s">
        <v>78</v>
      </c>
      <c r="O406" s="2"/>
      <c r="P406" s="2"/>
      <c r="Q406" s="2"/>
      <c r="R406" s="2"/>
      <c r="S406" s="2"/>
      <c r="T406" s="2" t="s">
        <v>7815</v>
      </c>
      <c r="U406" s="2" t="s">
        <v>7816</v>
      </c>
      <c r="V406" s="2" t="s">
        <v>7817</v>
      </c>
      <c r="W406" s="2" t="s">
        <v>7818</v>
      </c>
      <c r="X406" s="2" t="s">
        <v>7819</v>
      </c>
      <c r="Y406" s="2" t="s">
        <v>7820</v>
      </c>
      <c r="Z406" s="2" t="s">
        <v>7821</v>
      </c>
      <c r="AA406" s="2" t="s">
        <v>7822</v>
      </c>
      <c r="AB406" s="2" t="s">
        <v>7823</v>
      </c>
      <c r="AC406" s="2" t="s">
        <v>7824</v>
      </c>
      <c r="AD406" s="2" t="s">
        <v>7825</v>
      </c>
      <c r="AE406" s="2" t="s">
        <v>7826</v>
      </c>
      <c r="AF406" s="2"/>
      <c r="AG406" s="2" t="n">
        <v>42</v>
      </c>
      <c r="AH406" s="2" t="n">
        <v>17</v>
      </c>
      <c r="AI406" s="2" t="n">
        <v>19</v>
      </c>
      <c r="AJ406" s="2" t="n">
        <v>0</v>
      </c>
      <c r="AK406" s="2" t="n">
        <v>2</v>
      </c>
      <c r="AL406" s="2" t="s">
        <v>154</v>
      </c>
      <c r="AM406" s="2" t="s">
        <v>155</v>
      </c>
      <c r="AN406" s="2" t="s">
        <v>156</v>
      </c>
      <c r="AO406" s="2" t="s">
        <v>157</v>
      </c>
      <c r="AP406" s="2" t="s">
        <v>158</v>
      </c>
      <c r="AQ406" s="2"/>
      <c r="AR406" s="2" t="s">
        <v>159</v>
      </c>
      <c r="AS406" s="2" t="s">
        <v>160</v>
      </c>
      <c r="AT406" s="2" t="s">
        <v>161</v>
      </c>
      <c r="AU406" s="2" t="n">
        <v>2011</v>
      </c>
      <c r="AV406" s="2" t="n">
        <v>83</v>
      </c>
      <c r="AW406" s="2" t="n">
        <v>1</v>
      </c>
      <c r="AX406" s="2"/>
      <c r="AY406" s="2"/>
      <c r="AZ406" s="2"/>
      <c r="BA406" s="2"/>
      <c r="BB406" s="2" t="n">
        <v>156</v>
      </c>
      <c r="BC406" s="2" t="n">
        <v>164</v>
      </c>
      <c r="BD406" s="2"/>
      <c r="BE406" s="2" t="s">
        <v>7827</v>
      </c>
      <c r="BF406" s="2" t="str">
        <f aca="false">HYPERLINK("http://dx.doi.org/10.1002/jmv.21940","http://dx.doi.org/10.1002/jmv.21940")</f>
        <v>http://dx.doi.org/10.1002/jmv.21940</v>
      </c>
      <c r="BG406" s="2"/>
      <c r="BH406" s="2"/>
      <c r="BI406" s="2" t="n">
        <v>9</v>
      </c>
      <c r="BJ406" s="2" t="s">
        <v>163</v>
      </c>
      <c r="BK406" s="2" t="s">
        <v>100</v>
      </c>
      <c r="BL406" s="2" t="s">
        <v>163</v>
      </c>
      <c r="BM406" s="2" t="s">
        <v>7828</v>
      </c>
      <c r="BN406" s="2" t="n">
        <v>21108354</v>
      </c>
      <c r="BO406" s="2" t="s">
        <v>2178</v>
      </c>
      <c r="BP406" s="2"/>
      <c r="BQ406" s="2"/>
      <c r="BR406" s="2" t="s">
        <v>104</v>
      </c>
      <c r="BS406" s="2" t="s">
        <v>7829</v>
      </c>
      <c r="BT406" s="2" t="str">
        <f aca="false">HYPERLINK("https%3A%2F%2Fwww.webofscience.com%2Fwos%2Fwoscc%2Ffull-record%2FWOS:000284738100023","View Full Record in Web of Science")</f>
        <v>View Full Record in Web of Science</v>
      </c>
    </row>
    <row r="407" customFormat="false" ht="12.75" hidden="false" customHeight="false" outlineLevel="0" collapsed="false">
      <c r="A407" s="2" t="s">
        <v>72</v>
      </c>
      <c r="B407" s="2" t="s">
        <v>7830</v>
      </c>
      <c r="C407" s="2"/>
      <c r="D407" s="2"/>
      <c r="E407" s="2"/>
      <c r="F407" s="2" t="s">
        <v>7831</v>
      </c>
      <c r="G407" s="2"/>
      <c r="H407" s="2"/>
      <c r="I407" s="2" t="s">
        <v>7832</v>
      </c>
      <c r="J407" s="2" t="s">
        <v>2061</v>
      </c>
      <c r="K407" s="2"/>
      <c r="L407" s="2"/>
      <c r="M407" s="2" t="s">
        <v>77</v>
      </c>
      <c r="N407" s="2" t="s">
        <v>78</v>
      </c>
      <c r="O407" s="2"/>
      <c r="P407" s="2"/>
      <c r="Q407" s="2"/>
      <c r="R407" s="2"/>
      <c r="S407" s="2"/>
      <c r="T407" s="2" t="s">
        <v>7833</v>
      </c>
      <c r="U407" s="2"/>
      <c r="V407" s="2" t="s">
        <v>7834</v>
      </c>
      <c r="W407" s="2" t="s">
        <v>7835</v>
      </c>
      <c r="X407" s="2"/>
      <c r="Y407" s="2" t="s">
        <v>7836</v>
      </c>
      <c r="Z407" s="2" t="s">
        <v>7837</v>
      </c>
      <c r="AA407" s="2" t="s">
        <v>7838</v>
      </c>
      <c r="AB407" s="2"/>
      <c r="AC407" s="2" t="s">
        <v>7839</v>
      </c>
      <c r="AD407" s="2" t="s">
        <v>7840</v>
      </c>
      <c r="AE407" s="2" t="s">
        <v>7841</v>
      </c>
      <c r="AF407" s="2"/>
      <c r="AG407" s="2" t="n">
        <v>21</v>
      </c>
      <c r="AH407" s="2" t="n">
        <v>1</v>
      </c>
      <c r="AI407" s="2" t="n">
        <v>1</v>
      </c>
      <c r="AJ407" s="2" t="n">
        <v>1</v>
      </c>
      <c r="AK407" s="2" t="n">
        <v>1</v>
      </c>
      <c r="AL407" s="2" t="s">
        <v>2070</v>
      </c>
      <c r="AM407" s="2" t="s">
        <v>2071</v>
      </c>
      <c r="AN407" s="2" t="s">
        <v>2072</v>
      </c>
      <c r="AO407" s="2" t="s">
        <v>2073</v>
      </c>
      <c r="AP407" s="2"/>
      <c r="AQ407" s="2"/>
      <c r="AR407" s="2" t="s">
        <v>2074</v>
      </c>
      <c r="AS407" s="2" t="s">
        <v>2075</v>
      </c>
      <c r="AT407" s="2" t="s">
        <v>336</v>
      </c>
      <c r="AU407" s="2" t="n">
        <v>2023</v>
      </c>
      <c r="AV407" s="2" t="n">
        <v>17</v>
      </c>
      <c r="AW407" s="2" t="n">
        <v>10</v>
      </c>
      <c r="AX407" s="2"/>
      <c r="AY407" s="2"/>
      <c r="AZ407" s="2"/>
      <c r="BA407" s="2"/>
      <c r="BB407" s="2" t="n">
        <v>1474</v>
      </c>
      <c r="BC407" s="2" t="n">
        <v>1479</v>
      </c>
      <c r="BD407" s="2"/>
      <c r="BE407" s="2" t="s">
        <v>7842</v>
      </c>
      <c r="BF407" s="2" t="str">
        <f aca="false">HYPERLINK("http://dx.doi.org/10.3855/jidc.17999","http://dx.doi.org/10.3855/jidc.17999")</f>
        <v>http://dx.doi.org/10.3855/jidc.17999</v>
      </c>
      <c r="BG407" s="2"/>
      <c r="BH407" s="2"/>
      <c r="BI407" s="2" t="n">
        <v>6</v>
      </c>
      <c r="BJ407" s="2" t="s">
        <v>575</v>
      </c>
      <c r="BK407" s="2" t="s">
        <v>100</v>
      </c>
      <c r="BL407" s="2" t="s">
        <v>575</v>
      </c>
      <c r="BM407" s="2" t="s">
        <v>7843</v>
      </c>
      <c r="BN407" s="2" t="n">
        <v>37956382</v>
      </c>
      <c r="BO407" s="2" t="s">
        <v>1355</v>
      </c>
      <c r="BP407" s="2"/>
      <c r="BQ407" s="2"/>
      <c r="BR407" s="2" t="s">
        <v>104</v>
      </c>
      <c r="BS407" s="2" t="s">
        <v>7844</v>
      </c>
      <c r="BT407" s="2" t="str">
        <f aca="false">HYPERLINK("https%3A%2F%2Fwww.webofscience.com%2Fwos%2Fwoscc%2Ffull-record%2FWOS:001104666000008","View Full Record in Web of Science")</f>
        <v>View Full Record in Web of Science</v>
      </c>
    </row>
    <row r="408" customFormat="false" ht="12.75" hidden="false" customHeight="false" outlineLevel="0" collapsed="false">
      <c r="A408" s="2" t="s">
        <v>72</v>
      </c>
      <c r="B408" s="2" t="s">
        <v>7845</v>
      </c>
      <c r="C408" s="2"/>
      <c r="D408" s="2"/>
      <c r="E408" s="2"/>
      <c r="F408" s="2" t="s">
        <v>7846</v>
      </c>
      <c r="G408" s="2"/>
      <c r="H408" s="2"/>
      <c r="I408" s="2" t="s">
        <v>7847</v>
      </c>
      <c r="J408" s="2" t="s">
        <v>109</v>
      </c>
      <c r="K408" s="2"/>
      <c r="L408" s="2"/>
      <c r="M408" s="2" t="s">
        <v>77</v>
      </c>
      <c r="N408" s="2" t="s">
        <v>78</v>
      </c>
      <c r="O408" s="2"/>
      <c r="P408" s="2"/>
      <c r="Q408" s="2"/>
      <c r="R408" s="2"/>
      <c r="S408" s="2"/>
      <c r="T408" s="2" t="s">
        <v>7848</v>
      </c>
      <c r="U408" s="2" t="s">
        <v>7849</v>
      </c>
      <c r="V408" s="2" t="s">
        <v>7850</v>
      </c>
      <c r="W408" s="2" t="s">
        <v>7851</v>
      </c>
      <c r="X408" s="2" t="s">
        <v>7852</v>
      </c>
      <c r="Y408" s="2" t="s">
        <v>7853</v>
      </c>
      <c r="Z408" s="2" t="s">
        <v>7854</v>
      </c>
      <c r="AA408" s="2"/>
      <c r="AB408" s="2" t="s">
        <v>7855</v>
      </c>
      <c r="AC408" s="2"/>
      <c r="AD408" s="2"/>
      <c r="AE408" s="2"/>
      <c r="AF408" s="2"/>
      <c r="AG408" s="2" t="n">
        <v>30</v>
      </c>
      <c r="AH408" s="2" t="n">
        <v>31</v>
      </c>
      <c r="AI408" s="2" t="n">
        <v>33</v>
      </c>
      <c r="AJ408" s="2" t="n">
        <v>0</v>
      </c>
      <c r="AK408" s="2" t="n">
        <v>7</v>
      </c>
      <c r="AL408" s="2" t="s">
        <v>122</v>
      </c>
      <c r="AM408" s="2" t="s">
        <v>123</v>
      </c>
      <c r="AN408" s="2" t="s">
        <v>124</v>
      </c>
      <c r="AO408" s="2" t="s">
        <v>125</v>
      </c>
      <c r="AP408" s="2" t="s">
        <v>126</v>
      </c>
      <c r="AQ408" s="2"/>
      <c r="AR408" s="2" t="s">
        <v>127</v>
      </c>
      <c r="AS408" s="2" t="s">
        <v>128</v>
      </c>
      <c r="AT408" s="2" t="s">
        <v>446</v>
      </c>
      <c r="AU408" s="2" t="n">
        <v>2019</v>
      </c>
      <c r="AV408" s="2" t="n">
        <v>38</v>
      </c>
      <c r="AW408" s="2" t="n">
        <v>12</v>
      </c>
      <c r="AX408" s="2"/>
      <c r="AY408" s="2"/>
      <c r="AZ408" s="2"/>
      <c r="BA408" s="2"/>
      <c r="BB408" s="2" t="n">
        <v>1199</v>
      </c>
      <c r="BC408" s="2" t="n">
        <v>1203</v>
      </c>
      <c r="BD408" s="2"/>
      <c r="BE408" s="2" t="s">
        <v>7856</v>
      </c>
      <c r="BF408" s="2" t="str">
        <f aca="false">HYPERLINK("http://dx.doi.org/10.1097/INF.0000000000002486","http://dx.doi.org/10.1097/INF.0000000000002486")</f>
        <v>http://dx.doi.org/10.1097/INF.0000000000002486</v>
      </c>
      <c r="BG408" s="2"/>
      <c r="BH408" s="2"/>
      <c r="BI408" s="2" t="n">
        <v>5</v>
      </c>
      <c r="BJ408" s="2" t="s">
        <v>134</v>
      </c>
      <c r="BK408" s="2" t="s">
        <v>100</v>
      </c>
      <c r="BL408" s="2" t="s">
        <v>134</v>
      </c>
      <c r="BM408" s="2" t="s">
        <v>7857</v>
      </c>
      <c r="BN408" s="2" t="n">
        <v>31738334</v>
      </c>
      <c r="BO408" s="2"/>
      <c r="BP408" s="2"/>
      <c r="BQ408" s="2"/>
      <c r="BR408" s="2" t="s">
        <v>104</v>
      </c>
      <c r="BS408" s="2" t="s">
        <v>7858</v>
      </c>
      <c r="BT408" s="2" t="str">
        <f aca="false">HYPERLINK("https%3A%2F%2Fwww.webofscience.com%2Fwos%2Fwoscc%2Ffull-record%2FWOS:000499469600018","View Full Record in Web of Science")</f>
        <v>View Full Record in Web of Science</v>
      </c>
    </row>
    <row r="409" customFormat="false" ht="12.75" hidden="false" customHeight="false" outlineLevel="0" collapsed="false">
      <c r="A409" s="2" t="s">
        <v>72</v>
      </c>
      <c r="B409" s="2" t="s">
        <v>7859</v>
      </c>
      <c r="C409" s="2"/>
      <c r="D409" s="2"/>
      <c r="E409" s="2"/>
      <c r="F409" s="2" t="s">
        <v>7860</v>
      </c>
      <c r="G409" s="2"/>
      <c r="H409" s="2"/>
      <c r="I409" s="2" t="s">
        <v>7861</v>
      </c>
      <c r="J409" s="2" t="s">
        <v>2222</v>
      </c>
      <c r="K409" s="2"/>
      <c r="L409" s="2"/>
      <c r="M409" s="2" t="s">
        <v>77</v>
      </c>
      <c r="N409" s="2" t="s">
        <v>78</v>
      </c>
      <c r="O409" s="2"/>
      <c r="P409" s="2"/>
      <c r="Q409" s="2"/>
      <c r="R409" s="2"/>
      <c r="S409" s="2"/>
      <c r="T409" s="2" t="s">
        <v>7862</v>
      </c>
      <c r="U409" s="2" t="s">
        <v>7863</v>
      </c>
      <c r="V409" s="2" t="s">
        <v>7864</v>
      </c>
      <c r="W409" s="2" t="s">
        <v>7865</v>
      </c>
      <c r="X409" s="2" t="s">
        <v>7866</v>
      </c>
      <c r="Y409" s="2" t="s">
        <v>7867</v>
      </c>
      <c r="Z409" s="2" t="s">
        <v>7868</v>
      </c>
      <c r="AA409" s="2" t="s">
        <v>7869</v>
      </c>
      <c r="AB409" s="2" t="s">
        <v>7870</v>
      </c>
      <c r="AC409" s="2" t="s">
        <v>7871</v>
      </c>
      <c r="AD409" s="2" t="s">
        <v>7871</v>
      </c>
      <c r="AE409" s="2" t="s">
        <v>7872</v>
      </c>
      <c r="AF409" s="2"/>
      <c r="AG409" s="2" t="n">
        <v>24</v>
      </c>
      <c r="AH409" s="2" t="n">
        <v>30</v>
      </c>
      <c r="AI409" s="2" t="n">
        <v>31</v>
      </c>
      <c r="AJ409" s="2" t="n">
        <v>1</v>
      </c>
      <c r="AK409" s="2" t="n">
        <v>4</v>
      </c>
      <c r="AL409" s="2" t="s">
        <v>755</v>
      </c>
      <c r="AM409" s="2" t="s">
        <v>273</v>
      </c>
      <c r="AN409" s="2" t="s">
        <v>756</v>
      </c>
      <c r="AO409" s="2" t="s">
        <v>2234</v>
      </c>
      <c r="AP409" s="2" t="s">
        <v>2235</v>
      </c>
      <c r="AQ409" s="2"/>
      <c r="AR409" s="2" t="s">
        <v>2236</v>
      </c>
      <c r="AS409" s="2" t="s">
        <v>2237</v>
      </c>
      <c r="AT409" s="2" t="s">
        <v>390</v>
      </c>
      <c r="AU409" s="2" t="n">
        <v>2020</v>
      </c>
      <c r="AV409" s="2" t="n">
        <v>58</v>
      </c>
      <c r="AW409" s="2" t="n">
        <v>5</v>
      </c>
      <c r="AX409" s="2"/>
      <c r="AY409" s="2"/>
      <c r="AZ409" s="2"/>
      <c r="BA409" s="2"/>
      <c r="BB409" s="2"/>
      <c r="BC409" s="2"/>
      <c r="BD409" s="2" t="s">
        <v>7873</v>
      </c>
      <c r="BE409" s="2" t="s">
        <v>7874</v>
      </c>
      <c r="BF409" s="2" t="str">
        <f aca="false">HYPERLINK("http://dx.doi.org/10.1128/JCM.00155-20","http://dx.doi.org/10.1128/JCM.00155-20")</f>
        <v>http://dx.doi.org/10.1128/JCM.00155-20</v>
      </c>
      <c r="BG409" s="2"/>
      <c r="BH409" s="2"/>
      <c r="BI409" s="2" t="n">
        <v>11</v>
      </c>
      <c r="BJ409" s="2" t="s">
        <v>211</v>
      </c>
      <c r="BK409" s="2" t="s">
        <v>100</v>
      </c>
      <c r="BL409" s="2" t="s">
        <v>211</v>
      </c>
      <c r="BM409" s="2" t="s">
        <v>7875</v>
      </c>
      <c r="BN409" s="2" t="n">
        <v>32132186</v>
      </c>
      <c r="BO409" s="2" t="s">
        <v>676</v>
      </c>
      <c r="BP409" s="2"/>
      <c r="BQ409" s="2"/>
      <c r="BR409" s="2" t="s">
        <v>104</v>
      </c>
      <c r="BS409" s="2" t="s">
        <v>7876</v>
      </c>
      <c r="BT409" s="2" t="str">
        <f aca="false">HYPERLINK("https%3A%2F%2Fwww.webofscience.com%2Fwos%2Fwoscc%2Ffull-record%2FWOS:000535797600005","View Full Record in Web of Science")</f>
        <v>View Full Record in Web of Science</v>
      </c>
    </row>
    <row r="410" customFormat="false" ht="12.75" hidden="false" customHeight="false" outlineLevel="0" collapsed="false">
      <c r="A410" s="2" t="s">
        <v>72</v>
      </c>
      <c r="B410" s="2" t="s">
        <v>7877</v>
      </c>
      <c r="C410" s="2"/>
      <c r="D410" s="2"/>
      <c r="E410" s="2"/>
      <c r="F410" s="2" t="s">
        <v>7878</v>
      </c>
      <c r="G410" s="2"/>
      <c r="H410" s="2"/>
      <c r="I410" s="2" t="s">
        <v>7879</v>
      </c>
      <c r="J410" s="2" t="s">
        <v>109</v>
      </c>
      <c r="K410" s="2"/>
      <c r="L410" s="2"/>
      <c r="M410" s="2" t="s">
        <v>77</v>
      </c>
      <c r="N410" s="2" t="s">
        <v>78</v>
      </c>
      <c r="O410" s="2"/>
      <c r="P410" s="2"/>
      <c r="Q410" s="2"/>
      <c r="R410" s="2"/>
      <c r="S410" s="2"/>
      <c r="T410" s="2" t="s">
        <v>7880</v>
      </c>
      <c r="U410" s="2" t="s">
        <v>7881</v>
      </c>
      <c r="V410" s="2" t="s">
        <v>7882</v>
      </c>
      <c r="W410" s="2" t="s">
        <v>7883</v>
      </c>
      <c r="X410" s="2" t="s">
        <v>2432</v>
      </c>
      <c r="Y410" s="2" t="s">
        <v>7884</v>
      </c>
      <c r="Z410" s="2" t="s">
        <v>2434</v>
      </c>
      <c r="AA410" s="2" t="s">
        <v>7885</v>
      </c>
      <c r="AB410" s="2" t="s">
        <v>7886</v>
      </c>
      <c r="AC410" s="2" t="s">
        <v>7887</v>
      </c>
      <c r="AD410" s="2" t="s">
        <v>1676</v>
      </c>
      <c r="AE410" s="2" t="s">
        <v>7888</v>
      </c>
      <c r="AF410" s="2"/>
      <c r="AG410" s="2" t="n">
        <v>26</v>
      </c>
      <c r="AH410" s="2" t="n">
        <v>31</v>
      </c>
      <c r="AI410" s="2" t="n">
        <v>34</v>
      </c>
      <c r="AJ410" s="2" t="n">
        <v>0</v>
      </c>
      <c r="AK410" s="2" t="n">
        <v>9</v>
      </c>
      <c r="AL410" s="2" t="s">
        <v>122</v>
      </c>
      <c r="AM410" s="2" t="s">
        <v>123</v>
      </c>
      <c r="AN410" s="2" t="s">
        <v>124</v>
      </c>
      <c r="AO410" s="2" t="s">
        <v>125</v>
      </c>
      <c r="AP410" s="2" t="s">
        <v>126</v>
      </c>
      <c r="AQ410" s="2"/>
      <c r="AR410" s="2" t="s">
        <v>127</v>
      </c>
      <c r="AS410" s="2" t="s">
        <v>128</v>
      </c>
      <c r="AT410" s="2" t="s">
        <v>336</v>
      </c>
      <c r="AU410" s="2" t="n">
        <v>2010</v>
      </c>
      <c r="AV410" s="2" t="n">
        <v>29</v>
      </c>
      <c r="AW410" s="2" t="n">
        <v>10</v>
      </c>
      <c r="AX410" s="2"/>
      <c r="AY410" s="2"/>
      <c r="AZ410" s="2"/>
      <c r="BA410" s="2"/>
      <c r="BB410" s="2" t="n">
        <v>931</v>
      </c>
      <c r="BC410" s="2" t="n">
        <v>933</v>
      </c>
      <c r="BD410" s="2"/>
      <c r="BE410" s="2" t="s">
        <v>7889</v>
      </c>
      <c r="BF410" s="2" t="str">
        <f aca="false">HYPERLINK("http://dx.doi.org/10.1097/INF.0b013e3181e2062e","http://dx.doi.org/10.1097/INF.0b013e3181e2062e")</f>
        <v>http://dx.doi.org/10.1097/INF.0b013e3181e2062e</v>
      </c>
      <c r="BG410" s="2"/>
      <c r="BH410" s="2"/>
      <c r="BI410" s="2" t="n">
        <v>3</v>
      </c>
      <c r="BJ410" s="2" t="s">
        <v>134</v>
      </c>
      <c r="BK410" s="2" t="s">
        <v>100</v>
      </c>
      <c r="BL410" s="2" t="s">
        <v>134</v>
      </c>
      <c r="BM410" s="2" t="s">
        <v>7890</v>
      </c>
      <c r="BN410" s="2" t="n">
        <v>20879092</v>
      </c>
      <c r="BO410" s="2"/>
      <c r="BP410" s="2"/>
      <c r="BQ410" s="2"/>
      <c r="BR410" s="2" t="s">
        <v>104</v>
      </c>
      <c r="BS410" s="2" t="s">
        <v>7891</v>
      </c>
      <c r="BT410" s="2" t="str">
        <f aca="false">HYPERLINK("https%3A%2F%2Fwww.webofscience.com%2Fwos%2Fwoscc%2Ffull-record%2FWOS:000282069700007","View Full Record in Web of Science")</f>
        <v>View Full Record in Web of Science</v>
      </c>
    </row>
    <row r="411" customFormat="false" ht="12.75" hidden="false" customHeight="false" outlineLevel="0" collapsed="false">
      <c r="A411" s="2" t="s">
        <v>72</v>
      </c>
      <c r="B411" s="2" t="s">
        <v>7892</v>
      </c>
      <c r="C411" s="2"/>
      <c r="D411" s="2"/>
      <c r="E411" s="2"/>
      <c r="F411" s="2" t="s">
        <v>7893</v>
      </c>
      <c r="G411" s="2"/>
      <c r="H411" s="2"/>
      <c r="I411" s="2" t="s">
        <v>7894</v>
      </c>
      <c r="J411" s="2" t="s">
        <v>2222</v>
      </c>
      <c r="K411" s="2"/>
      <c r="L411" s="2"/>
      <c r="M411" s="2" t="s">
        <v>77</v>
      </c>
      <c r="N411" s="2" t="s">
        <v>78</v>
      </c>
      <c r="O411" s="2"/>
      <c r="P411" s="2"/>
      <c r="Q411" s="2"/>
      <c r="R411" s="2"/>
      <c r="S411" s="2"/>
      <c r="T411" s="2" t="s">
        <v>7895</v>
      </c>
      <c r="U411" s="2" t="s">
        <v>7896</v>
      </c>
      <c r="V411" s="2" t="s">
        <v>7897</v>
      </c>
      <c r="W411" s="2" t="s">
        <v>7898</v>
      </c>
      <c r="X411" s="2" t="s">
        <v>7899</v>
      </c>
      <c r="Y411" s="2" t="s">
        <v>7867</v>
      </c>
      <c r="Z411" s="2" t="s">
        <v>7868</v>
      </c>
      <c r="AA411" s="2"/>
      <c r="AB411" s="2"/>
      <c r="AC411" s="2" t="s">
        <v>7900</v>
      </c>
      <c r="AD411" s="2" t="s">
        <v>7900</v>
      </c>
      <c r="AE411" s="2" t="s">
        <v>7901</v>
      </c>
      <c r="AF411" s="2"/>
      <c r="AG411" s="2" t="n">
        <v>29</v>
      </c>
      <c r="AH411" s="2" t="n">
        <v>123</v>
      </c>
      <c r="AI411" s="2" t="n">
        <v>128</v>
      </c>
      <c r="AJ411" s="2" t="n">
        <v>0</v>
      </c>
      <c r="AK411" s="2" t="n">
        <v>15</v>
      </c>
      <c r="AL411" s="2" t="s">
        <v>755</v>
      </c>
      <c r="AM411" s="2" t="s">
        <v>273</v>
      </c>
      <c r="AN411" s="2" t="s">
        <v>756</v>
      </c>
      <c r="AO411" s="2" t="s">
        <v>2234</v>
      </c>
      <c r="AP411" s="2" t="s">
        <v>2235</v>
      </c>
      <c r="AQ411" s="2"/>
      <c r="AR411" s="2" t="s">
        <v>2236</v>
      </c>
      <c r="AS411" s="2" t="s">
        <v>2237</v>
      </c>
      <c r="AT411" s="2" t="s">
        <v>486</v>
      </c>
      <c r="AU411" s="2" t="n">
        <v>2018</v>
      </c>
      <c r="AV411" s="2" t="n">
        <v>56</v>
      </c>
      <c r="AW411" s="2" t="n">
        <v>6</v>
      </c>
      <c r="AX411" s="2"/>
      <c r="AY411" s="2"/>
      <c r="AZ411" s="2"/>
      <c r="BA411" s="2"/>
      <c r="BB411" s="2"/>
      <c r="BC411" s="2"/>
      <c r="BD411" s="2" t="s">
        <v>7902</v>
      </c>
      <c r="BE411" s="2" t="s">
        <v>7903</v>
      </c>
      <c r="BF411" s="2" t="str">
        <f aca="false">HYPERLINK("http://dx.doi.org/10.1128/JCM.01945-17","http://dx.doi.org/10.1128/JCM.01945-17")</f>
        <v>http://dx.doi.org/10.1128/JCM.01945-17</v>
      </c>
      <c r="BG411" s="2"/>
      <c r="BH411" s="2"/>
      <c r="BI411" s="2" t="n">
        <v>11</v>
      </c>
      <c r="BJ411" s="2" t="s">
        <v>211</v>
      </c>
      <c r="BK411" s="2" t="s">
        <v>100</v>
      </c>
      <c r="BL411" s="2" t="s">
        <v>211</v>
      </c>
      <c r="BM411" s="2" t="s">
        <v>7904</v>
      </c>
      <c r="BN411" s="2" t="n">
        <v>29593057</v>
      </c>
      <c r="BO411" s="2" t="s">
        <v>284</v>
      </c>
      <c r="BP411" s="2"/>
      <c r="BQ411" s="2"/>
      <c r="BR411" s="2" t="s">
        <v>104</v>
      </c>
      <c r="BS411" s="2" t="s">
        <v>7905</v>
      </c>
      <c r="BT411" s="2" t="str">
        <f aca="false">HYPERLINK("https%3A%2F%2Fwww.webofscience.com%2Fwos%2Fwoscc%2Ffull-record%2FWOS:000433507300029","View Full Record in Web of Science")</f>
        <v>View Full Record in Web of Science</v>
      </c>
    </row>
    <row r="412" customFormat="false" ht="12.75" hidden="false" customHeight="false" outlineLevel="0" collapsed="false">
      <c r="A412" s="2" t="s">
        <v>72</v>
      </c>
      <c r="B412" s="2" t="s">
        <v>7906</v>
      </c>
      <c r="C412" s="2"/>
      <c r="D412" s="2"/>
      <c r="E412" s="2"/>
      <c r="F412" s="2" t="s">
        <v>7907</v>
      </c>
      <c r="G412" s="2"/>
      <c r="H412" s="2"/>
      <c r="I412" s="2" t="s">
        <v>7908</v>
      </c>
      <c r="J412" s="2" t="s">
        <v>493</v>
      </c>
      <c r="K412" s="2"/>
      <c r="L412" s="2"/>
      <c r="M412" s="2" t="s">
        <v>77</v>
      </c>
      <c r="N412" s="2" t="s">
        <v>78</v>
      </c>
      <c r="O412" s="2"/>
      <c r="P412" s="2"/>
      <c r="Q412" s="2"/>
      <c r="R412" s="2"/>
      <c r="S412" s="2"/>
      <c r="T412" s="2" t="s">
        <v>7909</v>
      </c>
      <c r="U412" s="2" t="s">
        <v>7910</v>
      </c>
      <c r="V412" s="2" t="s">
        <v>7911</v>
      </c>
      <c r="W412" s="2" t="s">
        <v>7912</v>
      </c>
      <c r="X412" s="2" t="s">
        <v>7913</v>
      </c>
      <c r="Y412" s="2" t="s">
        <v>7914</v>
      </c>
      <c r="Z412" s="2" t="s">
        <v>7915</v>
      </c>
      <c r="AA412" s="2" t="s">
        <v>7916</v>
      </c>
      <c r="AB412" s="2" t="s">
        <v>7917</v>
      </c>
      <c r="AC412" s="2" t="s">
        <v>7918</v>
      </c>
      <c r="AD412" s="2" t="s">
        <v>7919</v>
      </c>
      <c r="AE412" s="2" t="s">
        <v>7920</v>
      </c>
      <c r="AF412" s="2"/>
      <c r="AG412" s="2" t="n">
        <v>101</v>
      </c>
      <c r="AH412" s="2" t="n">
        <v>24</v>
      </c>
      <c r="AI412" s="2" t="n">
        <v>25</v>
      </c>
      <c r="AJ412" s="2" t="n">
        <v>0</v>
      </c>
      <c r="AK412" s="2" t="n">
        <v>16</v>
      </c>
      <c r="AL412" s="2" t="s">
        <v>91</v>
      </c>
      <c r="AM412" s="2" t="s">
        <v>92</v>
      </c>
      <c r="AN412" s="2" t="s">
        <v>93</v>
      </c>
      <c r="AO412" s="2"/>
      <c r="AP412" s="2" t="s">
        <v>506</v>
      </c>
      <c r="AQ412" s="2"/>
      <c r="AR412" s="2" t="s">
        <v>493</v>
      </c>
      <c r="AS412" s="2" t="s">
        <v>507</v>
      </c>
      <c r="AT412" s="2" t="s">
        <v>692</v>
      </c>
      <c r="AU412" s="2" t="n">
        <v>2021</v>
      </c>
      <c r="AV412" s="2" t="n">
        <v>13</v>
      </c>
      <c r="AW412" s="2" t="n">
        <v>4</v>
      </c>
      <c r="AX412" s="2"/>
      <c r="AY412" s="2"/>
      <c r="AZ412" s="2"/>
      <c r="BA412" s="2"/>
      <c r="BB412" s="2"/>
      <c r="BC412" s="2"/>
      <c r="BD412" s="2" t="n">
        <v>637</v>
      </c>
      <c r="BE412" s="2" t="s">
        <v>7921</v>
      </c>
      <c r="BF412" s="2" t="str">
        <f aca="false">HYPERLINK("http://dx.doi.org/10.3390/v13040637","http://dx.doi.org/10.3390/v13040637")</f>
        <v>http://dx.doi.org/10.3390/v13040637</v>
      </c>
      <c r="BG412" s="2"/>
      <c r="BH412" s="2"/>
      <c r="BI412" s="2" t="n">
        <v>20</v>
      </c>
      <c r="BJ412" s="2" t="s">
        <v>163</v>
      </c>
      <c r="BK412" s="2" t="s">
        <v>100</v>
      </c>
      <c r="BL412" s="2" t="s">
        <v>163</v>
      </c>
      <c r="BM412" s="2" t="s">
        <v>7922</v>
      </c>
      <c r="BN412" s="2" t="n">
        <v>33917745</v>
      </c>
      <c r="BO412" s="2" t="s">
        <v>103</v>
      </c>
      <c r="BP412" s="2"/>
      <c r="BQ412" s="2"/>
      <c r="BR412" s="2" t="s">
        <v>104</v>
      </c>
      <c r="BS412" s="2" t="s">
        <v>7923</v>
      </c>
      <c r="BT412" s="2" t="str">
        <f aca="false">HYPERLINK("https%3A%2F%2Fwww.webofscience.com%2Fwos%2Fwoscc%2Ffull-record%2FWOS:000643775400001","View Full Record in Web of Science")</f>
        <v>View Full Record in Web of Science</v>
      </c>
    </row>
    <row r="413" customFormat="false" ht="12.75" hidden="false" customHeight="false" outlineLevel="0" collapsed="false">
      <c r="A413" s="2" t="s">
        <v>72</v>
      </c>
      <c r="B413" s="2" t="s">
        <v>7924</v>
      </c>
      <c r="C413" s="2"/>
      <c r="D413" s="2"/>
      <c r="E413" s="2"/>
      <c r="F413" s="2" t="s">
        <v>7925</v>
      </c>
      <c r="G413" s="2"/>
      <c r="H413" s="2"/>
      <c r="I413" s="2" t="s">
        <v>7926</v>
      </c>
      <c r="J413" s="2" t="s">
        <v>7927</v>
      </c>
      <c r="K413" s="2"/>
      <c r="L413" s="2"/>
      <c r="M413" s="2" t="s">
        <v>77</v>
      </c>
      <c r="N413" s="2" t="s">
        <v>78</v>
      </c>
      <c r="O413" s="2"/>
      <c r="P413" s="2"/>
      <c r="Q413" s="2"/>
      <c r="R413" s="2"/>
      <c r="S413" s="2"/>
      <c r="T413" s="2" t="s">
        <v>7928</v>
      </c>
      <c r="U413" s="2" t="s">
        <v>7929</v>
      </c>
      <c r="V413" s="2" t="s">
        <v>7930</v>
      </c>
      <c r="W413" s="2" t="s">
        <v>7931</v>
      </c>
      <c r="X413" s="2" t="s">
        <v>7932</v>
      </c>
      <c r="Y413" s="2" t="s">
        <v>7933</v>
      </c>
      <c r="Z413" s="2" t="s">
        <v>7934</v>
      </c>
      <c r="AA413" s="2"/>
      <c r="AB413" s="2" t="s">
        <v>7935</v>
      </c>
      <c r="AC413" s="2"/>
      <c r="AD413" s="2"/>
      <c r="AE413" s="2"/>
      <c r="AF413" s="2"/>
      <c r="AG413" s="2" t="n">
        <v>22</v>
      </c>
      <c r="AH413" s="2" t="n">
        <v>0</v>
      </c>
      <c r="AI413" s="2" t="n">
        <v>0</v>
      </c>
      <c r="AJ413" s="2" t="n">
        <v>0</v>
      </c>
      <c r="AK413" s="2" t="n">
        <v>2</v>
      </c>
      <c r="AL413" s="2" t="s">
        <v>91</v>
      </c>
      <c r="AM413" s="2" t="s">
        <v>92</v>
      </c>
      <c r="AN413" s="2" t="s">
        <v>93</v>
      </c>
      <c r="AO413" s="2" t="s">
        <v>7936</v>
      </c>
      <c r="AP413" s="2" t="s">
        <v>7937</v>
      </c>
      <c r="AQ413" s="2"/>
      <c r="AR413" s="2" t="s">
        <v>7938</v>
      </c>
      <c r="AS413" s="2" t="s">
        <v>7939</v>
      </c>
      <c r="AT413" s="2" t="s">
        <v>7940</v>
      </c>
      <c r="AU413" s="2" t="n">
        <v>2023</v>
      </c>
      <c r="AV413" s="2" t="n">
        <v>24</v>
      </c>
      <c r="AW413" s="2" t="n">
        <v>11</v>
      </c>
      <c r="AX413" s="2"/>
      <c r="AY413" s="2"/>
      <c r="AZ413" s="2"/>
      <c r="BA413" s="2"/>
      <c r="BB413" s="2"/>
      <c r="BC413" s="2"/>
      <c r="BD413" s="2" t="n">
        <v>9358</v>
      </c>
      <c r="BE413" s="2" t="s">
        <v>7941</v>
      </c>
      <c r="BF413" s="2" t="str">
        <f aca="false">HYPERLINK("http://dx.doi.org/10.3390/ijms24119358","http://dx.doi.org/10.3390/ijms24119358")</f>
        <v>http://dx.doi.org/10.3390/ijms24119358</v>
      </c>
      <c r="BG413" s="2"/>
      <c r="BH413" s="2"/>
      <c r="BI413" s="2" t="n">
        <v>9</v>
      </c>
      <c r="BJ413" s="2" t="s">
        <v>7942</v>
      </c>
      <c r="BK413" s="2" t="s">
        <v>100</v>
      </c>
      <c r="BL413" s="2" t="s">
        <v>7943</v>
      </c>
      <c r="BM413" s="2" t="s">
        <v>7944</v>
      </c>
      <c r="BN413" s="2" t="n">
        <v>37298309</v>
      </c>
      <c r="BO413" s="2" t="s">
        <v>190</v>
      </c>
      <c r="BP413" s="2"/>
      <c r="BQ413" s="2"/>
      <c r="BR413" s="2" t="s">
        <v>104</v>
      </c>
      <c r="BS413" s="2" t="s">
        <v>7945</v>
      </c>
      <c r="BT413" s="2" t="str">
        <f aca="false">HYPERLINK("https%3A%2F%2Fwww.webofscience.com%2Fwos%2Fwoscc%2Ffull-record%2FWOS:001005442300001","View Full Record in Web of Science")</f>
        <v>View Full Record in Web of Science</v>
      </c>
    </row>
    <row r="414" customFormat="false" ht="12.75" hidden="false" customHeight="false" outlineLevel="0" collapsed="false">
      <c r="A414" s="2" t="s">
        <v>72</v>
      </c>
      <c r="B414" s="2" t="s">
        <v>7946</v>
      </c>
      <c r="C414" s="2"/>
      <c r="D414" s="2"/>
      <c r="E414" s="2"/>
      <c r="F414" s="2" t="s">
        <v>7947</v>
      </c>
      <c r="G414" s="2"/>
      <c r="H414" s="2"/>
      <c r="I414" s="2" t="s">
        <v>7948</v>
      </c>
      <c r="J414" s="2" t="s">
        <v>1636</v>
      </c>
      <c r="K414" s="2"/>
      <c r="L414" s="2"/>
      <c r="M414" s="2" t="s">
        <v>77</v>
      </c>
      <c r="N414" s="2" t="s">
        <v>78</v>
      </c>
      <c r="O414" s="2"/>
      <c r="P414" s="2"/>
      <c r="Q414" s="2"/>
      <c r="R414" s="2"/>
      <c r="S414" s="2"/>
      <c r="T414" s="2" t="s">
        <v>7949</v>
      </c>
      <c r="U414" s="2" t="s">
        <v>7950</v>
      </c>
      <c r="V414" s="2" t="s">
        <v>7951</v>
      </c>
      <c r="W414" s="2" t="s">
        <v>7952</v>
      </c>
      <c r="X414" s="2" t="s">
        <v>7953</v>
      </c>
      <c r="Y414" s="2" t="s">
        <v>7954</v>
      </c>
      <c r="Z414" s="2" t="s">
        <v>7955</v>
      </c>
      <c r="AA414" s="2" t="s">
        <v>7956</v>
      </c>
      <c r="AB414" s="2" t="s">
        <v>7957</v>
      </c>
      <c r="AC414" s="2" t="s">
        <v>7958</v>
      </c>
      <c r="AD414" s="2" t="s">
        <v>7959</v>
      </c>
      <c r="AE414" s="2" t="s">
        <v>7960</v>
      </c>
      <c r="AF414" s="2"/>
      <c r="AG414" s="2" t="n">
        <v>56</v>
      </c>
      <c r="AH414" s="2" t="n">
        <v>45</v>
      </c>
      <c r="AI414" s="2" t="n">
        <v>47</v>
      </c>
      <c r="AJ414" s="2" t="n">
        <v>0</v>
      </c>
      <c r="AK414" s="2" t="n">
        <v>3</v>
      </c>
      <c r="AL414" s="2" t="s">
        <v>1649</v>
      </c>
      <c r="AM414" s="2" t="s">
        <v>273</v>
      </c>
      <c r="AN414" s="2" t="s">
        <v>1650</v>
      </c>
      <c r="AO414" s="2" t="s">
        <v>1651</v>
      </c>
      <c r="AP414" s="2"/>
      <c r="AQ414" s="2"/>
      <c r="AR414" s="2" t="s">
        <v>1652</v>
      </c>
      <c r="AS414" s="2" t="s">
        <v>1653</v>
      </c>
      <c r="AT414" s="2" t="s">
        <v>880</v>
      </c>
      <c r="AU414" s="2" t="n">
        <v>2015</v>
      </c>
      <c r="AV414" s="2" t="n">
        <v>112</v>
      </c>
      <c r="AW414" s="2" t="n">
        <v>43</v>
      </c>
      <c r="AX414" s="2"/>
      <c r="AY414" s="2"/>
      <c r="AZ414" s="2"/>
      <c r="BA414" s="2"/>
      <c r="BB414" s="2" t="n">
        <v>13396</v>
      </c>
      <c r="BC414" s="2" t="n">
        <v>13400</v>
      </c>
      <c r="BD414" s="2"/>
      <c r="BE414" s="2" t="s">
        <v>7961</v>
      </c>
      <c r="BF414" s="2" t="str">
        <f aca="false">HYPERLINK("http://dx.doi.org/10.1073/pnas.1516698112","http://dx.doi.org/10.1073/pnas.1516698112")</f>
        <v>http://dx.doi.org/10.1073/pnas.1516698112</v>
      </c>
      <c r="BG414" s="2"/>
      <c r="BH414" s="2"/>
      <c r="BI414" s="2" t="n">
        <v>5</v>
      </c>
      <c r="BJ414" s="2" t="s">
        <v>1658</v>
      </c>
      <c r="BK414" s="2" t="s">
        <v>100</v>
      </c>
      <c r="BL414" s="2" t="s">
        <v>1659</v>
      </c>
      <c r="BM414" s="2" t="s">
        <v>7962</v>
      </c>
      <c r="BN414" s="2" t="n">
        <v>26460003</v>
      </c>
      <c r="BO414" s="2" t="s">
        <v>538</v>
      </c>
      <c r="BP414" s="2"/>
      <c r="BQ414" s="2"/>
      <c r="BR414" s="2" t="s">
        <v>104</v>
      </c>
      <c r="BS414" s="2" t="s">
        <v>7963</v>
      </c>
      <c r="BT414" s="2" t="str">
        <f aca="false">HYPERLINK("https%3A%2F%2Fwww.webofscience.com%2Fwos%2Fwoscc%2Ffull-record%2FWOS:000363458100073","View Full Record in Web of Science")</f>
        <v>View Full Record in Web of Science</v>
      </c>
    </row>
    <row r="415" customFormat="false" ht="12.75" hidden="false" customHeight="false" outlineLevel="0" collapsed="false">
      <c r="A415" s="2" t="s">
        <v>72</v>
      </c>
      <c r="B415" s="2" t="s">
        <v>7964</v>
      </c>
      <c r="C415" s="2"/>
      <c r="D415" s="2"/>
      <c r="E415" s="2"/>
      <c r="F415" s="2" t="s">
        <v>7965</v>
      </c>
      <c r="G415" s="2"/>
      <c r="H415" s="2"/>
      <c r="I415" s="2" t="s">
        <v>7966</v>
      </c>
      <c r="J415" s="2" t="s">
        <v>1886</v>
      </c>
      <c r="K415" s="2"/>
      <c r="L415" s="2"/>
      <c r="M415" s="2" t="s">
        <v>77</v>
      </c>
      <c r="N415" s="2" t="s">
        <v>78</v>
      </c>
      <c r="O415" s="2"/>
      <c r="P415" s="2"/>
      <c r="Q415" s="2"/>
      <c r="R415" s="2"/>
      <c r="S415" s="2"/>
      <c r="T415" s="2" t="s">
        <v>7967</v>
      </c>
      <c r="U415" s="2" t="s">
        <v>7968</v>
      </c>
      <c r="V415" s="2" t="s">
        <v>7969</v>
      </c>
      <c r="W415" s="2" t="s">
        <v>7970</v>
      </c>
      <c r="X415" s="2" t="s">
        <v>7971</v>
      </c>
      <c r="Y415" s="2" t="s">
        <v>7972</v>
      </c>
      <c r="Z415" s="2" t="s">
        <v>7973</v>
      </c>
      <c r="AA415" s="2" t="s">
        <v>7974</v>
      </c>
      <c r="AB415" s="2" t="s">
        <v>7975</v>
      </c>
      <c r="AC415" s="2" t="s">
        <v>7976</v>
      </c>
      <c r="AD415" s="2" t="s">
        <v>7977</v>
      </c>
      <c r="AE415" s="2" t="s">
        <v>7978</v>
      </c>
      <c r="AF415" s="2"/>
      <c r="AG415" s="2" t="n">
        <v>55</v>
      </c>
      <c r="AH415" s="2" t="n">
        <v>5</v>
      </c>
      <c r="AI415" s="2" t="n">
        <v>5</v>
      </c>
      <c r="AJ415" s="2" t="n">
        <v>0</v>
      </c>
      <c r="AK415" s="2" t="n">
        <v>4</v>
      </c>
      <c r="AL415" s="2" t="s">
        <v>1896</v>
      </c>
      <c r="AM415" s="2" t="s">
        <v>92</v>
      </c>
      <c r="AN415" s="2" t="s">
        <v>1897</v>
      </c>
      <c r="AO415" s="2" t="s">
        <v>1898</v>
      </c>
      <c r="AP415" s="2" t="s">
        <v>1899</v>
      </c>
      <c r="AQ415" s="2"/>
      <c r="AR415" s="2" t="s">
        <v>1886</v>
      </c>
      <c r="AS415" s="2" t="s">
        <v>1900</v>
      </c>
      <c r="AT415" s="2"/>
      <c r="AU415" s="2" t="n">
        <v>2017</v>
      </c>
      <c r="AV415" s="2" t="n">
        <v>60</v>
      </c>
      <c r="AW415" s="2" t="n">
        <v>5</v>
      </c>
      <c r="AX415" s="2"/>
      <c r="AY415" s="2"/>
      <c r="AZ415" s="2"/>
      <c r="BA415" s="2"/>
      <c r="BB415" s="2" t="n">
        <v>181</v>
      </c>
      <c r="BC415" s="2" t="n">
        <v>189</v>
      </c>
      <c r="BD415" s="2"/>
      <c r="BE415" s="2" t="s">
        <v>7979</v>
      </c>
      <c r="BF415" s="2" t="str">
        <f aca="false">HYPERLINK("http://dx.doi.org/10.1159/000487049","http://dx.doi.org/10.1159/000487049")</f>
        <v>http://dx.doi.org/10.1159/000487049</v>
      </c>
      <c r="BG415" s="2"/>
      <c r="BH415" s="2"/>
      <c r="BI415" s="2" t="n">
        <v>9</v>
      </c>
      <c r="BJ415" s="2" t="s">
        <v>163</v>
      </c>
      <c r="BK415" s="2" t="s">
        <v>100</v>
      </c>
      <c r="BL415" s="2" t="s">
        <v>163</v>
      </c>
      <c r="BM415" s="2" t="s">
        <v>7980</v>
      </c>
      <c r="BN415" s="2" t="n">
        <v>29510403</v>
      </c>
      <c r="BO415" s="2" t="s">
        <v>656</v>
      </c>
      <c r="BP415" s="2"/>
      <c r="BQ415" s="2"/>
      <c r="BR415" s="2" t="s">
        <v>104</v>
      </c>
      <c r="BS415" s="2" t="s">
        <v>7981</v>
      </c>
      <c r="BT415" s="2" t="str">
        <f aca="false">HYPERLINK("https%3A%2F%2Fwww.webofscience.com%2Fwos%2Fwoscc%2Ffull-record%2FWOS:000430202700002","View Full Record in Web of Science")</f>
        <v>View Full Record in Web of Science</v>
      </c>
    </row>
    <row r="416" customFormat="false" ht="12.75" hidden="false" customHeight="false" outlineLevel="0" collapsed="false">
      <c r="A416" s="2" t="s">
        <v>72</v>
      </c>
      <c r="B416" s="2" t="s">
        <v>7982</v>
      </c>
      <c r="C416" s="2"/>
      <c r="D416" s="2"/>
      <c r="E416" s="2"/>
      <c r="F416" s="2" t="s">
        <v>7983</v>
      </c>
      <c r="G416" s="2"/>
      <c r="H416" s="2"/>
      <c r="I416" s="2" t="s">
        <v>7984</v>
      </c>
      <c r="J416" s="2" t="s">
        <v>5305</v>
      </c>
      <c r="K416" s="2"/>
      <c r="L416" s="2"/>
      <c r="M416" s="2" t="s">
        <v>77</v>
      </c>
      <c r="N416" s="2" t="s">
        <v>78</v>
      </c>
      <c r="O416" s="2"/>
      <c r="P416" s="2"/>
      <c r="Q416" s="2"/>
      <c r="R416" s="2"/>
      <c r="S416" s="2"/>
      <c r="T416" s="2" t="s">
        <v>7985</v>
      </c>
      <c r="U416" s="2" t="s">
        <v>7986</v>
      </c>
      <c r="V416" s="2" t="s">
        <v>7987</v>
      </c>
      <c r="W416" s="2" t="s">
        <v>7988</v>
      </c>
      <c r="X416" s="2" t="s">
        <v>7989</v>
      </c>
      <c r="Y416" s="2" t="s">
        <v>7990</v>
      </c>
      <c r="Z416" s="2" t="s">
        <v>7991</v>
      </c>
      <c r="AA416" s="2" t="s">
        <v>7992</v>
      </c>
      <c r="AB416" s="2" t="s">
        <v>7993</v>
      </c>
      <c r="AC416" s="2" t="s">
        <v>7994</v>
      </c>
      <c r="AD416" s="2" t="s">
        <v>7995</v>
      </c>
      <c r="AE416" s="2" t="s">
        <v>7996</v>
      </c>
      <c r="AF416" s="2"/>
      <c r="AG416" s="2" t="n">
        <v>33</v>
      </c>
      <c r="AH416" s="2" t="n">
        <v>6</v>
      </c>
      <c r="AI416" s="2" t="n">
        <v>6</v>
      </c>
      <c r="AJ416" s="2" t="n">
        <v>0</v>
      </c>
      <c r="AK416" s="2" t="n">
        <v>1</v>
      </c>
      <c r="AL416" s="2" t="s">
        <v>620</v>
      </c>
      <c r="AM416" s="2" t="s">
        <v>621</v>
      </c>
      <c r="AN416" s="2" t="s">
        <v>622</v>
      </c>
      <c r="AO416" s="2"/>
      <c r="AP416" s="2" t="s">
        <v>5318</v>
      </c>
      <c r="AQ416" s="2"/>
      <c r="AR416" s="2" t="s">
        <v>5319</v>
      </c>
      <c r="AS416" s="2" t="s">
        <v>5320</v>
      </c>
      <c r="AT416" s="2" t="s">
        <v>4740</v>
      </c>
      <c r="AU416" s="2" t="n">
        <v>2021</v>
      </c>
      <c r="AV416" s="2" t="n">
        <v>7</v>
      </c>
      <c r="AW416" s="2"/>
      <c r="AX416" s="2"/>
      <c r="AY416" s="2"/>
      <c r="AZ416" s="2"/>
      <c r="BA416" s="2"/>
      <c r="BB416" s="2"/>
      <c r="BC416" s="2"/>
      <c r="BD416" s="2" t="n">
        <v>574128</v>
      </c>
      <c r="BE416" s="2" t="s">
        <v>7997</v>
      </c>
      <c r="BF416" s="2" t="str">
        <f aca="false">HYPERLINK("http://dx.doi.org/10.3389/fmed.2020.574128","http://dx.doi.org/10.3389/fmed.2020.574128")</f>
        <v>http://dx.doi.org/10.3389/fmed.2020.574128</v>
      </c>
      <c r="BG416" s="2"/>
      <c r="BH416" s="2"/>
      <c r="BI416" s="2" t="n">
        <v>9</v>
      </c>
      <c r="BJ416" s="2" t="s">
        <v>363</v>
      </c>
      <c r="BK416" s="2" t="s">
        <v>100</v>
      </c>
      <c r="BL416" s="2" t="s">
        <v>364</v>
      </c>
      <c r="BM416" s="2" t="s">
        <v>7998</v>
      </c>
      <c r="BN416" s="2" t="n">
        <v>33537323</v>
      </c>
      <c r="BO416" s="2" t="s">
        <v>103</v>
      </c>
      <c r="BP416" s="2"/>
      <c r="BQ416" s="2"/>
      <c r="BR416" s="2" t="s">
        <v>104</v>
      </c>
      <c r="BS416" s="2" t="s">
        <v>7999</v>
      </c>
      <c r="BT416" s="2" t="str">
        <f aca="false">HYPERLINK("https%3A%2F%2Fwww.webofscience.com%2Fwos%2Fwoscc%2Ffull-record%2FWOS:000613280200001","View Full Record in Web of Science")</f>
        <v>View Full Record in Web of Science</v>
      </c>
    </row>
    <row r="417" customFormat="false" ht="12.75" hidden="false" customHeight="false" outlineLevel="0" collapsed="false">
      <c r="A417" s="2" t="s">
        <v>72</v>
      </c>
      <c r="B417" s="2" t="s">
        <v>8000</v>
      </c>
      <c r="C417" s="2"/>
      <c r="D417" s="2"/>
      <c r="E417" s="2"/>
      <c r="F417" s="2" t="s">
        <v>8001</v>
      </c>
      <c r="G417" s="2"/>
      <c r="H417" s="2"/>
      <c r="I417" s="2" t="s">
        <v>8002</v>
      </c>
      <c r="J417" s="2" t="s">
        <v>2547</v>
      </c>
      <c r="K417" s="2"/>
      <c r="L417" s="2"/>
      <c r="M417" s="2" t="s">
        <v>77</v>
      </c>
      <c r="N417" s="2" t="s">
        <v>78</v>
      </c>
      <c r="O417" s="2"/>
      <c r="P417" s="2"/>
      <c r="Q417" s="2"/>
      <c r="R417" s="2"/>
      <c r="S417" s="2"/>
      <c r="T417" s="2" t="s">
        <v>8003</v>
      </c>
      <c r="U417" s="2" t="s">
        <v>8004</v>
      </c>
      <c r="V417" s="2" t="s">
        <v>8005</v>
      </c>
      <c r="W417" s="2" t="s">
        <v>8006</v>
      </c>
      <c r="X417" s="2" t="s">
        <v>4262</v>
      </c>
      <c r="Y417" s="2" t="s">
        <v>8007</v>
      </c>
      <c r="Z417" s="2" t="s">
        <v>6724</v>
      </c>
      <c r="AA417" s="2" t="s">
        <v>8008</v>
      </c>
      <c r="AB417" s="2" t="s">
        <v>8009</v>
      </c>
      <c r="AC417" s="2" t="s">
        <v>8010</v>
      </c>
      <c r="AD417" s="2" t="s">
        <v>8011</v>
      </c>
      <c r="AE417" s="2" t="s">
        <v>8012</v>
      </c>
      <c r="AF417" s="2"/>
      <c r="AG417" s="2" t="n">
        <v>44</v>
      </c>
      <c r="AH417" s="2" t="n">
        <v>34</v>
      </c>
      <c r="AI417" s="2" t="n">
        <v>40</v>
      </c>
      <c r="AJ417" s="2" t="n">
        <v>0</v>
      </c>
      <c r="AK417" s="2" t="n">
        <v>3</v>
      </c>
      <c r="AL417" s="2" t="s">
        <v>782</v>
      </c>
      <c r="AM417" s="2" t="s">
        <v>783</v>
      </c>
      <c r="AN417" s="2" t="s">
        <v>784</v>
      </c>
      <c r="AO417" s="2" t="s">
        <v>2556</v>
      </c>
      <c r="AP417" s="2" t="s">
        <v>2557</v>
      </c>
      <c r="AQ417" s="2"/>
      <c r="AR417" s="2" t="s">
        <v>2547</v>
      </c>
      <c r="AS417" s="2" t="s">
        <v>2558</v>
      </c>
      <c r="AT417" s="2" t="s">
        <v>1879</v>
      </c>
      <c r="AU417" s="2" t="n">
        <v>2010</v>
      </c>
      <c r="AV417" s="2" t="n">
        <v>28</v>
      </c>
      <c r="AW417" s="2" t="n">
        <v>25</v>
      </c>
      <c r="AX417" s="2"/>
      <c r="AY417" s="2"/>
      <c r="AZ417" s="2"/>
      <c r="BA417" s="2"/>
      <c r="BB417" s="2" t="n">
        <v>4145</v>
      </c>
      <c r="BC417" s="2" t="n">
        <v>4152</v>
      </c>
      <c r="BD417" s="2"/>
      <c r="BE417" s="2" t="s">
        <v>8013</v>
      </c>
      <c r="BF417" s="2" t="str">
        <f aca="false">HYPERLINK("http://dx.doi.org/10.1016/j.vaccine.2010.04.007","http://dx.doi.org/10.1016/j.vaccine.2010.04.007")</f>
        <v>http://dx.doi.org/10.1016/j.vaccine.2010.04.007</v>
      </c>
      <c r="BG417" s="2"/>
      <c r="BH417" s="2"/>
      <c r="BI417" s="2" t="n">
        <v>8</v>
      </c>
      <c r="BJ417" s="2" t="s">
        <v>187</v>
      </c>
      <c r="BK417" s="2" t="s">
        <v>100</v>
      </c>
      <c r="BL417" s="2" t="s">
        <v>188</v>
      </c>
      <c r="BM417" s="2" t="s">
        <v>8014</v>
      </c>
      <c r="BN417" s="2" t="n">
        <v>20417260</v>
      </c>
      <c r="BO417" s="2" t="s">
        <v>695</v>
      </c>
      <c r="BP417" s="2"/>
      <c r="BQ417" s="2"/>
      <c r="BR417" s="2" t="s">
        <v>104</v>
      </c>
      <c r="BS417" s="2" t="s">
        <v>8015</v>
      </c>
      <c r="BT417" s="2" t="str">
        <f aca="false">HYPERLINK("https%3A%2F%2Fwww.webofscience.com%2Fwos%2Fwoscc%2Ffull-record%2FWOS:000279039500005","View Full Record in Web of Science")</f>
        <v>View Full Record in Web of Science</v>
      </c>
    </row>
    <row r="418" customFormat="false" ht="12.75" hidden="false" customHeight="false" outlineLevel="0" collapsed="false">
      <c r="A418" s="2" t="s">
        <v>72</v>
      </c>
      <c r="B418" s="2" t="s">
        <v>8016</v>
      </c>
      <c r="C418" s="2"/>
      <c r="D418" s="2"/>
      <c r="E418" s="2"/>
      <c r="F418" s="2" t="s">
        <v>8016</v>
      </c>
      <c r="G418" s="2"/>
      <c r="H418" s="2"/>
      <c r="I418" s="2" t="s">
        <v>8017</v>
      </c>
      <c r="J418" s="2" t="s">
        <v>1413</v>
      </c>
      <c r="K418" s="2"/>
      <c r="L418" s="2"/>
      <c r="M418" s="2" t="s">
        <v>77</v>
      </c>
      <c r="N418" s="2" t="s">
        <v>78</v>
      </c>
      <c r="O418" s="2"/>
      <c r="P418" s="2"/>
      <c r="Q418" s="2"/>
      <c r="R418" s="2"/>
      <c r="S418" s="2"/>
      <c r="T418" s="2" t="s">
        <v>8018</v>
      </c>
      <c r="U418" s="2" t="s">
        <v>8019</v>
      </c>
      <c r="V418" s="2" t="s">
        <v>8020</v>
      </c>
      <c r="W418" s="2" t="s">
        <v>8021</v>
      </c>
      <c r="X418" s="2" t="s">
        <v>8022</v>
      </c>
      <c r="Y418" s="2" t="s">
        <v>8023</v>
      </c>
      <c r="Z418" s="2" t="s">
        <v>8024</v>
      </c>
      <c r="AA418" s="2"/>
      <c r="AB418" s="2" t="s">
        <v>8025</v>
      </c>
      <c r="AC418" s="2"/>
      <c r="AD418" s="2"/>
      <c r="AE418" s="2"/>
      <c r="AF418" s="2"/>
      <c r="AG418" s="2" t="n">
        <v>59</v>
      </c>
      <c r="AH418" s="2" t="n">
        <v>30</v>
      </c>
      <c r="AI418" s="2" t="n">
        <v>32</v>
      </c>
      <c r="AJ418" s="2" t="n">
        <v>3</v>
      </c>
      <c r="AK418" s="2" t="n">
        <v>4</v>
      </c>
      <c r="AL418" s="2" t="s">
        <v>549</v>
      </c>
      <c r="AM418" s="2" t="s">
        <v>384</v>
      </c>
      <c r="AN418" s="2" t="s">
        <v>550</v>
      </c>
      <c r="AO418" s="2" t="s">
        <v>1421</v>
      </c>
      <c r="AP418" s="2" t="s">
        <v>1422</v>
      </c>
      <c r="AQ418" s="2"/>
      <c r="AR418" s="2" t="s">
        <v>1423</v>
      </c>
      <c r="AS418" s="2" t="s">
        <v>1424</v>
      </c>
      <c r="AT418" s="2" t="s">
        <v>161</v>
      </c>
      <c r="AU418" s="2" t="n">
        <v>2005</v>
      </c>
      <c r="AV418" s="2" t="n">
        <v>107</v>
      </c>
      <c r="AW418" s="2" t="n">
        <v>1</v>
      </c>
      <c r="AX418" s="2"/>
      <c r="AY418" s="2"/>
      <c r="AZ418" s="2"/>
      <c r="BA418" s="2"/>
      <c r="BB418" s="2" t="n">
        <v>83</v>
      </c>
      <c r="BC418" s="2" t="n">
        <v>92</v>
      </c>
      <c r="BD418" s="2"/>
      <c r="BE418" s="2" t="s">
        <v>8026</v>
      </c>
      <c r="BF418" s="2" t="str">
        <f aca="false">HYPERLINK("http://dx.doi.org/10.1016/j.virusres.2004.07.002","http://dx.doi.org/10.1016/j.virusres.2004.07.002")</f>
        <v>http://dx.doi.org/10.1016/j.virusres.2004.07.002</v>
      </c>
      <c r="BG418" s="2"/>
      <c r="BH418" s="2"/>
      <c r="BI418" s="2" t="n">
        <v>10</v>
      </c>
      <c r="BJ418" s="2" t="s">
        <v>163</v>
      </c>
      <c r="BK418" s="2" t="s">
        <v>100</v>
      </c>
      <c r="BL418" s="2" t="s">
        <v>163</v>
      </c>
      <c r="BM418" s="2" t="s">
        <v>8027</v>
      </c>
      <c r="BN418" s="2" t="n">
        <v>15567037</v>
      </c>
      <c r="BO418" s="2"/>
      <c r="BP418" s="2"/>
      <c r="BQ418" s="2"/>
      <c r="BR418" s="2" t="s">
        <v>104</v>
      </c>
      <c r="BS418" s="2" t="s">
        <v>8028</v>
      </c>
      <c r="BT418" s="2" t="str">
        <f aca="false">HYPERLINK("https%3A%2F%2Fwww.webofscience.com%2Fwos%2Fwoscc%2Ffull-record%2FWOS:000226173000011","View Full Record in Web of Science")</f>
        <v>View Full Record in Web of Science</v>
      </c>
    </row>
    <row r="419" customFormat="false" ht="12.75" hidden="false" customHeight="false" outlineLevel="0" collapsed="false">
      <c r="A419" s="2" t="s">
        <v>72</v>
      </c>
      <c r="B419" s="2" t="s">
        <v>8029</v>
      </c>
      <c r="C419" s="2"/>
      <c r="D419" s="2"/>
      <c r="E419" s="2"/>
      <c r="F419" s="2" t="s">
        <v>8029</v>
      </c>
      <c r="G419" s="2"/>
      <c r="H419" s="2"/>
      <c r="I419" s="2" t="s">
        <v>8030</v>
      </c>
      <c r="J419" s="2" t="s">
        <v>8031</v>
      </c>
      <c r="K419" s="2"/>
      <c r="L419" s="2"/>
      <c r="M419" s="2" t="s">
        <v>77</v>
      </c>
      <c r="N419" s="2" t="s">
        <v>78</v>
      </c>
      <c r="O419" s="2"/>
      <c r="P419" s="2"/>
      <c r="Q419" s="2"/>
      <c r="R419" s="2"/>
      <c r="S419" s="2"/>
      <c r="T419" s="2" t="s">
        <v>8032</v>
      </c>
      <c r="U419" s="2" t="s">
        <v>8033</v>
      </c>
      <c r="V419" s="2" t="s">
        <v>8034</v>
      </c>
      <c r="W419" s="2" t="s">
        <v>8035</v>
      </c>
      <c r="X419" s="2" t="s">
        <v>8036</v>
      </c>
      <c r="Y419" s="2" t="s">
        <v>8037</v>
      </c>
      <c r="Z419" s="2" t="s">
        <v>6724</v>
      </c>
      <c r="AA419" s="2" t="s">
        <v>750</v>
      </c>
      <c r="AB419" s="2" t="s">
        <v>2851</v>
      </c>
      <c r="AC419" s="2" t="s">
        <v>8038</v>
      </c>
      <c r="AD419" s="2" t="s">
        <v>2416</v>
      </c>
      <c r="AE419" s="2"/>
      <c r="AF419" s="2"/>
      <c r="AG419" s="2" t="n">
        <v>20</v>
      </c>
      <c r="AH419" s="2" t="n">
        <v>26</v>
      </c>
      <c r="AI419" s="2" t="n">
        <v>30</v>
      </c>
      <c r="AJ419" s="2" t="n">
        <v>0</v>
      </c>
      <c r="AK419" s="2" t="n">
        <v>3</v>
      </c>
      <c r="AL419" s="2" t="s">
        <v>1749</v>
      </c>
      <c r="AM419" s="2" t="s">
        <v>1750</v>
      </c>
      <c r="AN419" s="2" t="s">
        <v>1751</v>
      </c>
      <c r="AO419" s="2" t="s">
        <v>8039</v>
      </c>
      <c r="AP419" s="2"/>
      <c r="AQ419" s="2"/>
      <c r="AR419" s="2" t="s">
        <v>8040</v>
      </c>
      <c r="AS419" s="2" t="s">
        <v>8041</v>
      </c>
      <c r="AT419" s="2" t="s">
        <v>599</v>
      </c>
      <c r="AU419" s="2" t="n">
        <v>2006</v>
      </c>
      <c r="AV419" s="2" t="n">
        <v>70</v>
      </c>
      <c r="AW419" s="2" t="n">
        <v>7</v>
      </c>
      <c r="AX419" s="2"/>
      <c r="AY419" s="2"/>
      <c r="AZ419" s="2"/>
      <c r="BA419" s="2"/>
      <c r="BB419" s="2" t="n">
        <v>1189</v>
      </c>
      <c r="BC419" s="2" t="n">
        <v>1193</v>
      </c>
      <c r="BD419" s="2"/>
      <c r="BE419" s="2" t="s">
        <v>8042</v>
      </c>
      <c r="BF419" s="2" t="str">
        <f aca="false">HYPERLINK("http://dx.doi.org/10.1016/j.ijporl.2005.12.007","http://dx.doi.org/10.1016/j.ijporl.2005.12.007")</f>
        <v>http://dx.doi.org/10.1016/j.ijporl.2005.12.007</v>
      </c>
      <c r="BG419" s="2"/>
      <c r="BH419" s="2"/>
      <c r="BI419" s="2" t="n">
        <v>5</v>
      </c>
      <c r="BJ419" s="2" t="s">
        <v>8043</v>
      </c>
      <c r="BK419" s="2" t="s">
        <v>100</v>
      </c>
      <c r="BL419" s="2" t="s">
        <v>8043</v>
      </c>
      <c r="BM419" s="2" t="s">
        <v>8044</v>
      </c>
      <c r="BN419" s="2" t="n">
        <v>16427144</v>
      </c>
      <c r="BO419" s="2" t="s">
        <v>695</v>
      </c>
      <c r="BP419" s="2"/>
      <c r="BQ419" s="2"/>
      <c r="BR419" s="2" t="s">
        <v>104</v>
      </c>
      <c r="BS419" s="2" t="s">
        <v>8045</v>
      </c>
      <c r="BT419" s="2" t="str">
        <f aca="false">HYPERLINK("https%3A%2F%2Fwww.webofscience.com%2Fwos%2Fwoscc%2Ffull-record%2FWOS:000238457100008","View Full Record in Web of Science")</f>
        <v>View Full Record in Web of Science</v>
      </c>
    </row>
    <row r="420" customFormat="false" ht="12.75" hidden="false" customHeight="false" outlineLevel="0" collapsed="false">
      <c r="A420" s="2" t="s">
        <v>72</v>
      </c>
      <c r="B420" s="2" t="s">
        <v>8046</v>
      </c>
      <c r="C420" s="2"/>
      <c r="D420" s="2"/>
      <c r="E420" s="2"/>
      <c r="F420" s="2" t="s">
        <v>8047</v>
      </c>
      <c r="G420" s="2"/>
      <c r="H420" s="2"/>
      <c r="I420" s="2" t="s">
        <v>8048</v>
      </c>
      <c r="J420" s="2" t="s">
        <v>8049</v>
      </c>
      <c r="K420" s="2"/>
      <c r="L420" s="2"/>
      <c r="M420" s="2" t="s">
        <v>77</v>
      </c>
      <c r="N420" s="2" t="s">
        <v>78</v>
      </c>
      <c r="O420" s="2"/>
      <c r="P420" s="2"/>
      <c r="Q420" s="2"/>
      <c r="R420" s="2"/>
      <c r="S420" s="2"/>
      <c r="T420" s="2" t="s">
        <v>8050</v>
      </c>
      <c r="U420" s="2" t="s">
        <v>8051</v>
      </c>
      <c r="V420" s="2" t="s">
        <v>8052</v>
      </c>
      <c r="W420" s="2" t="s">
        <v>8053</v>
      </c>
      <c r="X420" s="2" t="s">
        <v>8054</v>
      </c>
      <c r="Y420" s="2" t="s">
        <v>8055</v>
      </c>
      <c r="Z420" s="2" t="s">
        <v>8056</v>
      </c>
      <c r="AA420" s="2"/>
      <c r="AB420" s="2"/>
      <c r="AC420" s="2"/>
      <c r="AD420" s="2"/>
      <c r="AE420" s="2"/>
      <c r="AF420" s="2"/>
      <c r="AG420" s="2" t="n">
        <v>63</v>
      </c>
      <c r="AH420" s="2" t="n">
        <v>12</v>
      </c>
      <c r="AI420" s="2" t="n">
        <v>17</v>
      </c>
      <c r="AJ420" s="2" t="n">
        <v>0</v>
      </c>
      <c r="AK420" s="2" t="n">
        <v>1</v>
      </c>
      <c r="AL420" s="2" t="s">
        <v>1565</v>
      </c>
      <c r="AM420" s="2" t="s">
        <v>1566</v>
      </c>
      <c r="AN420" s="2" t="s">
        <v>1567</v>
      </c>
      <c r="AO420" s="2" t="s">
        <v>8057</v>
      </c>
      <c r="AP420" s="2" t="s">
        <v>8058</v>
      </c>
      <c r="AQ420" s="2"/>
      <c r="AR420" s="2" t="s">
        <v>8059</v>
      </c>
      <c r="AS420" s="2" t="s">
        <v>8060</v>
      </c>
      <c r="AT420" s="2" t="s">
        <v>362</v>
      </c>
      <c r="AU420" s="2" t="n">
        <v>2007</v>
      </c>
      <c r="AV420" s="2" t="n">
        <v>10</v>
      </c>
      <c r="AW420" s="2" t="n">
        <v>3</v>
      </c>
      <c r="AX420" s="2"/>
      <c r="AY420" s="2"/>
      <c r="AZ420" s="2"/>
      <c r="BA420" s="2"/>
      <c r="BB420" s="2" t="n">
        <v>172</v>
      </c>
      <c r="BC420" s="2" t="n">
        <v>180</v>
      </c>
      <c r="BD420" s="2"/>
      <c r="BE420" s="2" t="s">
        <v>8061</v>
      </c>
      <c r="BF420" s="2" t="str">
        <f aca="false">HYPERLINK("http://dx.doi.org/10.2350/07-02-0238.1","http://dx.doi.org/10.2350/07-02-0238.1")</f>
        <v>http://dx.doi.org/10.2350/07-02-0238.1</v>
      </c>
      <c r="BG420" s="2"/>
      <c r="BH420" s="2"/>
      <c r="BI420" s="2" t="n">
        <v>9</v>
      </c>
      <c r="BJ420" s="2" t="s">
        <v>8062</v>
      </c>
      <c r="BK420" s="2" t="s">
        <v>100</v>
      </c>
      <c r="BL420" s="2" t="s">
        <v>8062</v>
      </c>
      <c r="BM420" s="2" t="s">
        <v>8063</v>
      </c>
      <c r="BN420" s="2" t="n">
        <v>17535096</v>
      </c>
      <c r="BO420" s="2"/>
      <c r="BP420" s="2"/>
      <c r="BQ420" s="2"/>
      <c r="BR420" s="2" t="s">
        <v>104</v>
      </c>
      <c r="BS420" s="2" t="s">
        <v>8064</v>
      </c>
      <c r="BT420" s="2" t="str">
        <f aca="false">HYPERLINK("https%3A%2F%2Fwww.webofscience.com%2Fwos%2Fwoscc%2Ffull-record%2FWOS:000247950200002","View Full Record in Web of Science")</f>
        <v>View Full Record in Web of Science</v>
      </c>
    </row>
    <row r="421" customFormat="false" ht="12.75" hidden="false" customHeight="false" outlineLevel="0" collapsed="false">
      <c r="A421" s="2" t="s">
        <v>72</v>
      </c>
      <c r="B421" s="2" t="s">
        <v>8065</v>
      </c>
      <c r="C421" s="2"/>
      <c r="D421" s="2"/>
      <c r="E421" s="2"/>
      <c r="F421" s="2" t="s">
        <v>8065</v>
      </c>
      <c r="G421" s="2"/>
      <c r="H421" s="2"/>
      <c r="I421" s="2" t="s">
        <v>8066</v>
      </c>
      <c r="J421" s="2" t="s">
        <v>5575</v>
      </c>
      <c r="K421" s="2"/>
      <c r="L421" s="2"/>
      <c r="M421" s="2" t="s">
        <v>77</v>
      </c>
      <c r="N421" s="2" t="s">
        <v>78</v>
      </c>
      <c r="O421" s="2"/>
      <c r="P421" s="2"/>
      <c r="Q421" s="2"/>
      <c r="R421" s="2"/>
      <c r="S421" s="2"/>
      <c r="T421" s="2" t="s">
        <v>8067</v>
      </c>
      <c r="U421" s="2" t="s">
        <v>8068</v>
      </c>
      <c r="V421" s="2" t="s">
        <v>8069</v>
      </c>
      <c r="W421" s="2" t="s">
        <v>8070</v>
      </c>
      <c r="X421" s="2" t="s">
        <v>8071</v>
      </c>
      <c r="Y421" s="2" t="s">
        <v>8072</v>
      </c>
      <c r="Z421" s="2" t="s">
        <v>8073</v>
      </c>
      <c r="AA421" s="2" t="s">
        <v>8074</v>
      </c>
      <c r="AB421" s="2" t="s">
        <v>8075</v>
      </c>
      <c r="AC421" s="2"/>
      <c r="AD421" s="2"/>
      <c r="AE421" s="2"/>
      <c r="AF421" s="2"/>
      <c r="AG421" s="2" t="n">
        <v>59</v>
      </c>
      <c r="AH421" s="2" t="n">
        <v>335</v>
      </c>
      <c r="AI421" s="2" t="n">
        <v>388</v>
      </c>
      <c r="AJ421" s="2" t="n">
        <v>2</v>
      </c>
      <c r="AK421" s="2" t="n">
        <v>11</v>
      </c>
      <c r="AL421" s="2" t="s">
        <v>5588</v>
      </c>
      <c r="AM421" s="2" t="s">
        <v>5589</v>
      </c>
      <c r="AN421" s="2" t="s">
        <v>5590</v>
      </c>
      <c r="AO421" s="2" t="s">
        <v>5591</v>
      </c>
      <c r="AP421" s="2"/>
      <c r="AQ421" s="2"/>
      <c r="AR421" s="2" t="s">
        <v>5575</v>
      </c>
      <c r="AS421" s="2" t="s">
        <v>163</v>
      </c>
      <c r="AT421" s="2" t="s">
        <v>8076</v>
      </c>
      <c r="AU421" s="2" t="n">
        <v>2002</v>
      </c>
      <c r="AV421" s="2" t="n">
        <v>295</v>
      </c>
      <c r="AW421" s="2" t="n">
        <v>1</v>
      </c>
      <c r="AX421" s="2"/>
      <c r="AY421" s="2"/>
      <c r="AZ421" s="2"/>
      <c r="BA421" s="2"/>
      <c r="BB421" s="2" t="n">
        <v>119</v>
      </c>
      <c r="BC421" s="2" t="n">
        <v>132</v>
      </c>
      <c r="BD421" s="2"/>
      <c r="BE421" s="2" t="s">
        <v>8077</v>
      </c>
      <c r="BF421" s="2" t="str">
        <f aca="false">HYPERLINK("http://dx.doi.org/10.1006/viro.2001.1355","http://dx.doi.org/10.1006/viro.2001.1355")</f>
        <v>http://dx.doi.org/10.1006/viro.2001.1355</v>
      </c>
      <c r="BG421" s="2"/>
      <c r="BH421" s="2"/>
      <c r="BI421" s="2" t="n">
        <v>14</v>
      </c>
      <c r="BJ421" s="2" t="s">
        <v>163</v>
      </c>
      <c r="BK421" s="2" t="s">
        <v>100</v>
      </c>
      <c r="BL421" s="2" t="s">
        <v>163</v>
      </c>
      <c r="BM421" s="2" t="s">
        <v>8078</v>
      </c>
      <c r="BN421" s="2" t="n">
        <v>12033771</v>
      </c>
      <c r="BO421" s="2" t="s">
        <v>538</v>
      </c>
      <c r="BP421" s="2"/>
      <c r="BQ421" s="2"/>
      <c r="BR421" s="2" t="s">
        <v>104</v>
      </c>
      <c r="BS421" s="2" t="s">
        <v>8079</v>
      </c>
      <c r="BT421" s="2" t="str">
        <f aca="false">HYPERLINK("https%3A%2F%2Fwww.webofscience.com%2Fwos%2Fwoscc%2Ffull-record%2FWOS:000175555800012","View Full Record in Web of Science")</f>
        <v>View Full Record in Web of Science</v>
      </c>
    </row>
    <row r="422" customFormat="false" ht="12.75" hidden="false" customHeight="false" outlineLevel="0" collapsed="false">
      <c r="A422" s="2" t="s">
        <v>72</v>
      </c>
      <c r="B422" s="2" t="s">
        <v>8080</v>
      </c>
      <c r="C422" s="2"/>
      <c r="D422" s="2"/>
      <c r="E422" s="2"/>
      <c r="F422" s="2" t="s">
        <v>8080</v>
      </c>
      <c r="G422" s="2"/>
      <c r="H422" s="2"/>
      <c r="I422" s="2" t="s">
        <v>8081</v>
      </c>
      <c r="J422" s="2" t="s">
        <v>717</v>
      </c>
      <c r="K422" s="2"/>
      <c r="L422" s="2"/>
      <c r="M422" s="2" t="s">
        <v>77</v>
      </c>
      <c r="N422" s="2" t="s">
        <v>78</v>
      </c>
      <c r="O422" s="2"/>
      <c r="P422" s="2"/>
      <c r="Q422" s="2"/>
      <c r="R422" s="2"/>
      <c r="S422" s="2"/>
      <c r="T422" s="2" t="s">
        <v>8082</v>
      </c>
      <c r="U422" s="2" t="s">
        <v>8083</v>
      </c>
      <c r="V422" s="2" t="s">
        <v>8084</v>
      </c>
      <c r="W422" s="2" t="s">
        <v>8085</v>
      </c>
      <c r="X422" s="2" t="s">
        <v>8086</v>
      </c>
      <c r="Y422" s="2" t="s">
        <v>8087</v>
      </c>
      <c r="Z422" s="2" t="s">
        <v>8088</v>
      </c>
      <c r="AA422" s="2"/>
      <c r="AB422" s="2"/>
      <c r="AC422" s="2"/>
      <c r="AD422" s="2"/>
      <c r="AE422" s="2"/>
      <c r="AF422" s="2"/>
      <c r="AG422" s="2" t="n">
        <v>32</v>
      </c>
      <c r="AH422" s="2" t="n">
        <v>6</v>
      </c>
      <c r="AI422" s="2" t="n">
        <v>19</v>
      </c>
      <c r="AJ422" s="2" t="n">
        <v>2</v>
      </c>
      <c r="AK422" s="2" t="n">
        <v>4</v>
      </c>
      <c r="AL422" s="2" t="s">
        <v>549</v>
      </c>
      <c r="AM422" s="2" t="s">
        <v>384</v>
      </c>
      <c r="AN422" s="2" t="s">
        <v>550</v>
      </c>
      <c r="AO422" s="2" t="s">
        <v>729</v>
      </c>
      <c r="AP422" s="2" t="s">
        <v>730</v>
      </c>
      <c r="AQ422" s="2"/>
      <c r="AR422" s="2" t="s">
        <v>731</v>
      </c>
      <c r="AS422" s="2" t="s">
        <v>732</v>
      </c>
      <c r="AT422" s="2" t="s">
        <v>129</v>
      </c>
      <c r="AU422" s="2" t="n">
        <v>2005</v>
      </c>
      <c r="AV422" s="2" t="n">
        <v>128</v>
      </c>
      <c r="AW422" s="2" t="s">
        <v>1407</v>
      </c>
      <c r="AX422" s="2"/>
      <c r="AY422" s="2"/>
      <c r="AZ422" s="2"/>
      <c r="BA422" s="2"/>
      <c r="BB422" s="2" t="n">
        <v>29</v>
      </c>
      <c r="BC422" s="2" t="n">
        <v>36</v>
      </c>
      <c r="BD422" s="2"/>
      <c r="BE422" s="2" t="s">
        <v>8089</v>
      </c>
      <c r="BF422" s="2" t="str">
        <f aca="false">HYPERLINK("http://dx.doi.org/10.1016/j.jviromet.2005.03.012","http://dx.doi.org/10.1016/j.jviromet.2005.03.012")</f>
        <v>http://dx.doi.org/10.1016/j.jviromet.2005.03.012</v>
      </c>
      <c r="BG422" s="2"/>
      <c r="BH422" s="2"/>
      <c r="BI422" s="2" t="n">
        <v>8</v>
      </c>
      <c r="BJ422" s="2" t="s">
        <v>735</v>
      </c>
      <c r="BK422" s="2" t="s">
        <v>100</v>
      </c>
      <c r="BL422" s="2" t="s">
        <v>736</v>
      </c>
      <c r="BM422" s="2" t="s">
        <v>6714</v>
      </c>
      <c r="BN422" s="2" t="n">
        <v>16023521</v>
      </c>
      <c r="BO422" s="2"/>
      <c r="BP422" s="2"/>
      <c r="BQ422" s="2"/>
      <c r="BR422" s="2" t="s">
        <v>104</v>
      </c>
      <c r="BS422" s="2" t="s">
        <v>8090</v>
      </c>
      <c r="BT422" s="2" t="str">
        <f aca="false">HYPERLINK("https%3A%2F%2Fwww.webofscience.com%2Fwos%2Fwoscc%2Ffull-record%2FWOS:000231055200005","View Full Record in Web of Science")</f>
        <v>View Full Record in Web of Science</v>
      </c>
    </row>
    <row r="423" customFormat="false" ht="12.75" hidden="false" customHeight="false" outlineLevel="0" collapsed="false">
      <c r="A423" s="2" t="s">
        <v>72</v>
      </c>
      <c r="B423" s="2" t="s">
        <v>8091</v>
      </c>
      <c r="C423" s="2"/>
      <c r="D423" s="2"/>
      <c r="E423" s="2"/>
      <c r="F423" s="2" t="s">
        <v>8092</v>
      </c>
      <c r="G423" s="2"/>
      <c r="H423" s="2"/>
      <c r="I423" s="2" t="s">
        <v>8093</v>
      </c>
      <c r="J423" s="2" t="s">
        <v>8094</v>
      </c>
      <c r="K423" s="2"/>
      <c r="L423" s="2"/>
      <c r="M423" s="2" t="s">
        <v>77</v>
      </c>
      <c r="N423" s="2" t="s">
        <v>78</v>
      </c>
      <c r="O423" s="2"/>
      <c r="P423" s="2"/>
      <c r="Q423" s="2"/>
      <c r="R423" s="2"/>
      <c r="S423" s="2"/>
      <c r="T423" s="2" t="s">
        <v>8095</v>
      </c>
      <c r="U423" s="2"/>
      <c r="V423" s="2" t="s">
        <v>8096</v>
      </c>
      <c r="W423" s="2" t="s">
        <v>8097</v>
      </c>
      <c r="X423" s="2" t="s">
        <v>8098</v>
      </c>
      <c r="Y423" s="2" t="s">
        <v>8099</v>
      </c>
      <c r="Z423" s="2" t="s">
        <v>8100</v>
      </c>
      <c r="AA423" s="2" t="s">
        <v>8101</v>
      </c>
      <c r="AB423" s="2" t="s">
        <v>8102</v>
      </c>
      <c r="AC423" s="2" t="s">
        <v>8103</v>
      </c>
      <c r="AD423" s="2" t="s">
        <v>2416</v>
      </c>
      <c r="AE423" s="2"/>
      <c r="AF423" s="2"/>
      <c r="AG423" s="2" t="n">
        <v>168</v>
      </c>
      <c r="AH423" s="2" t="n">
        <v>44</v>
      </c>
      <c r="AI423" s="2" t="n">
        <v>57</v>
      </c>
      <c r="AJ423" s="2" t="n">
        <v>4</v>
      </c>
      <c r="AK423" s="2" t="n">
        <v>16</v>
      </c>
      <c r="AL423" s="2" t="s">
        <v>592</v>
      </c>
      <c r="AM423" s="2" t="s">
        <v>593</v>
      </c>
      <c r="AN423" s="2" t="s">
        <v>594</v>
      </c>
      <c r="AO423" s="2" t="s">
        <v>8104</v>
      </c>
      <c r="AP423" s="2"/>
      <c r="AQ423" s="2"/>
      <c r="AR423" s="2" t="s">
        <v>8105</v>
      </c>
      <c r="AS423" s="2" t="s">
        <v>8106</v>
      </c>
      <c r="AT423" s="2" t="s">
        <v>129</v>
      </c>
      <c r="AU423" s="2" t="n">
        <v>2016</v>
      </c>
      <c r="AV423" s="2" t="n">
        <v>3</v>
      </c>
      <c r="AW423" s="2" t="n">
        <v>3</v>
      </c>
      <c r="AX423" s="2"/>
      <c r="AY423" s="2"/>
      <c r="AZ423" s="2"/>
      <c r="BA423" s="2"/>
      <c r="BB423" s="2" t="n">
        <v>142</v>
      </c>
      <c r="BC423" s="2" t="n">
        <v>154</v>
      </c>
      <c r="BD423" s="2"/>
      <c r="BE423" s="2" t="s">
        <v>8107</v>
      </c>
      <c r="BF423" s="2" t="str">
        <f aca="false">HYPERLINK("http://dx.doi.org/10.1007/s40588-016-0040-8","http://dx.doi.org/10.1007/s40588-016-0040-8")</f>
        <v>http://dx.doi.org/10.1007/s40588-016-0040-8</v>
      </c>
      <c r="BG423" s="2"/>
      <c r="BH423" s="2"/>
      <c r="BI423" s="2" t="n">
        <v>13</v>
      </c>
      <c r="BJ423" s="2" t="s">
        <v>211</v>
      </c>
      <c r="BK423" s="2" t="s">
        <v>339</v>
      </c>
      <c r="BL423" s="2" t="s">
        <v>211</v>
      </c>
      <c r="BM423" s="2" t="s">
        <v>8108</v>
      </c>
      <c r="BN423" s="2" t="n">
        <v>28138419</v>
      </c>
      <c r="BO423" s="2" t="s">
        <v>695</v>
      </c>
      <c r="BP423" s="2"/>
      <c r="BQ423" s="2"/>
      <c r="BR423" s="2" t="s">
        <v>104</v>
      </c>
      <c r="BS423" s="2" t="s">
        <v>8109</v>
      </c>
      <c r="BT423" s="2" t="str">
        <f aca="false">HYPERLINK("https%3A%2F%2Fwww.webofscience.com%2Fwos%2Fwoscc%2Ffull-record%2FWOS:000455393800004","View Full Record in Web of Science")</f>
        <v>View Full Record in Web of Science</v>
      </c>
    </row>
    <row r="424" customFormat="false" ht="12.75" hidden="false" customHeight="false" outlineLevel="0" collapsed="false">
      <c r="A424" s="2" t="s">
        <v>72</v>
      </c>
      <c r="B424" s="2" t="s">
        <v>8110</v>
      </c>
      <c r="C424" s="2"/>
      <c r="D424" s="2"/>
      <c r="E424" s="2"/>
      <c r="F424" s="2" t="s">
        <v>8111</v>
      </c>
      <c r="G424" s="2"/>
      <c r="H424" s="2"/>
      <c r="I424" s="2" t="s">
        <v>8112</v>
      </c>
      <c r="J424" s="2" t="s">
        <v>2754</v>
      </c>
      <c r="K424" s="2"/>
      <c r="L424" s="2"/>
      <c r="M424" s="2" t="s">
        <v>77</v>
      </c>
      <c r="N424" s="2" t="s">
        <v>78</v>
      </c>
      <c r="O424" s="2"/>
      <c r="P424" s="2"/>
      <c r="Q424" s="2"/>
      <c r="R424" s="2"/>
      <c r="S424" s="2"/>
      <c r="T424" s="2" t="s">
        <v>8113</v>
      </c>
      <c r="U424" s="2" t="s">
        <v>8114</v>
      </c>
      <c r="V424" s="2" t="s">
        <v>8115</v>
      </c>
      <c r="W424" s="2" t="s">
        <v>8116</v>
      </c>
      <c r="X424" s="2" t="s">
        <v>8117</v>
      </c>
      <c r="Y424" s="2" t="s">
        <v>8118</v>
      </c>
      <c r="Z424" s="2" t="s">
        <v>8119</v>
      </c>
      <c r="AA424" s="2" t="s">
        <v>8120</v>
      </c>
      <c r="AB424" s="2" t="s">
        <v>8121</v>
      </c>
      <c r="AC424" s="2" t="s">
        <v>8122</v>
      </c>
      <c r="AD424" s="2" t="s">
        <v>8123</v>
      </c>
      <c r="AE424" s="2" t="s">
        <v>8124</v>
      </c>
      <c r="AF424" s="2"/>
      <c r="AG424" s="2" t="n">
        <v>29</v>
      </c>
      <c r="AH424" s="2" t="n">
        <v>15</v>
      </c>
      <c r="AI424" s="2" t="n">
        <v>19</v>
      </c>
      <c r="AJ424" s="2" t="n">
        <v>0</v>
      </c>
      <c r="AK424" s="2" t="n">
        <v>4</v>
      </c>
      <c r="AL424" s="2" t="s">
        <v>2763</v>
      </c>
      <c r="AM424" s="2" t="s">
        <v>2764</v>
      </c>
      <c r="AN424" s="2" t="s">
        <v>2765</v>
      </c>
      <c r="AO424" s="2" t="s">
        <v>2766</v>
      </c>
      <c r="AP424" s="2" t="s">
        <v>2767</v>
      </c>
      <c r="AQ424" s="2"/>
      <c r="AR424" s="2" t="s">
        <v>2768</v>
      </c>
      <c r="AS424" s="2" t="s">
        <v>2769</v>
      </c>
      <c r="AT424" s="2" t="s">
        <v>3673</v>
      </c>
      <c r="AU424" s="2" t="n">
        <v>2015</v>
      </c>
      <c r="AV424" s="2" t="n">
        <v>19</v>
      </c>
      <c r="AW424" s="2" t="n">
        <v>4</v>
      </c>
      <c r="AX424" s="2"/>
      <c r="AY424" s="2"/>
      <c r="AZ424" s="2"/>
      <c r="BA424" s="2"/>
      <c r="BB424" s="2" t="n">
        <v>358</v>
      </c>
      <c r="BC424" s="2" t="n">
        <v>362</v>
      </c>
      <c r="BD424" s="2"/>
      <c r="BE424" s="2" t="s">
        <v>8125</v>
      </c>
      <c r="BF424" s="2" t="str">
        <f aca="false">HYPERLINK("http://dx.doi.org/10.1016/j.bjid.2015.03.002","http://dx.doi.org/10.1016/j.bjid.2015.03.002")</f>
        <v>http://dx.doi.org/10.1016/j.bjid.2015.03.002</v>
      </c>
      <c r="BG424" s="2"/>
      <c r="BH424" s="2"/>
      <c r="BI424" s="2" t="n">
        <v>5</v>
      </c>
      <c r="BJ424" s="2" t="s">
        <v>575</v>
      </c>
      <c r="BK424" s="2" t="s">
        <v>100</v>
      </c>
      <c r="BL424" s="2" t="s">
        <v>575</v>
      </c>
      <c r="BM424" s="2" t="s">
        <v>8126</v>
      </c>
      <c r="BN424" s="2" t="n">
        <v>25922290</v>
      </c>
      <c r="BO424" s="2" t="s">
        <v>190</v>
      </c>
      <c r="BP424" s="2"/>
      <c r="BQ424" s="2"/>
      <c r="BR424" s="2" t="s">
        <v>104</v>
      </c>
      <c r="BS424" s="2" t="s">
        <v>8127</v>
      </c>
      <c r="BT424" s="2" t="str">
        <f aca="false">HYPERLINK("https%3A%2F%2Fwww.webofscience.com%2Fwos%2Fwoscc%2Ffull-record%2FWOS:000358803200003","View Full Record in Web of Science")</f>
        <v>View Full Record in Web of Science</v>
      </c>
    </row>
    <row r="425" customFormat="false" ht="12.75" hidden="false" customHeight="false" outlineLevel="0" collapsed="false">
      <c r="A425" s="2" t="s">
        <v>72</v>
      </c>
      <c r="B425" s="2" t="s">
        <v>8128</v>
      </c>
      <c r="C425" s="2"/>
      <c r="D425" s="2"/>
      <c r="E425" s="2"/>
      <c r="F425" s="2" t="s">
        <v>8129</v>
      </c>
      <c r="G425" s="2"/>
      <c r="H425" s="2"/>
      <c r="I425" s="2" t="s">
        <v>8130</v>
      </c>
      <c r="J425" s="2" t="s">
        <v>2222</v>
      </c>
      <c r="K425" s="2"/>
      <c r="L425" s="2"/>
      <c r="M425" s="2" t="s">
        <v>77</v>
      </c>
      <c r="N425" s="2" t="s">
        <v>78</v>
      </c>
      <c r="O425" s="2"/>
      <c r="P425" s="2"/>
      <c r="Q425" s="2"/>
      <c r="R425" s="2"/>
      <c r="S425" s="2"/>
      <c r="T425" s="2" t="s">
        <v>8131</v>
      </c>
      <c r="U425" s="2" t="s">
        <v>8132</v>
      </c>
      <c r="V425" s="2" t="s">
        <v>8133</v>
      </c>
      <c r="W425" s="2" t="s">
        <v>8134</v>
      </c>
      <c r="X425" s="2" t="s">
        <v>8135</v>
      </c>
      <c r="Y425" s="2" t="s">
        <v>8136</v>
      </c>
      <c r="Z425" s="2" t="s">
        <v>8137</v>
      </c>
      <c r="AA425" s="2" t="s">
        <v>8138</v>
      </c>
      <c r="AB425" s="2"/>
      <c r="AC425" s="2" t="s">
        <v>8139</v>
      </c>
      <c r="AD425" s="2" t="s">
        <v>8140</v>
      </c>
      <c r="AE425" s="2" t="s">
        <v>8141</v>
      </c>
      <c r="AF425" s="2"/>
      <c r="AG425" s="2" t="n">
        <v>13</v>
      </c>
      <c r="AH425" s="2" t="n">
        <v>19</v>
      </c>
      <c r="AI425" s="2" t="n">
        <v>19</v>
      </c>
      <c r="AJ425" s="2" t="n">
        <v>1</v>
      </c>
      <c r="AK425" s="2" t="n">
        <v>2</v>
      </c>
      <c r="AL425" s="2" t="s">
        <v>755</v>
      </c>
      <c r="AM425" s="2" t="s">
        <v>273</v>
      </c>
      <c r="AN425" s="2" t="s">
        <v>756</v>
      </c>
      <c r="AO425" s="2" t="s">
        <v>2234</v>
      </c>
      <c r="AP425" s="2" t="s">
        <v>2235</v>
      </c>
      <c r="AQ425" s="2"/>
      <c r="AR425" s="2" t="s">
        <v>2236</v>
      </c>
      <c r="AS425" s="2" t="s">
        <v>2237</v>
      </c>
      <c r="AT425" s="2" t="s">
        <v>185</v>
      </c>
      <c r="AU425" s="2" t="n">
        <v>2018</v>
      </c>
      <c r="AV425" s="2" t="n">
        <v>56</v>
      </c>
      <c r="AW425" s="2" t="n">
        <v>8</v>
      </c>
      <c r="AX425" s="2"/>
      <c r="AY425" s="2"/>
      <c r="AZ425" s="2"/>
      <c r="BA425" s="2"/>
      <c r="BB425" s="2"/>
      <c r="BC425" s="2"/>
      <c r="BD425" s="2" t="s">
        <v>8142</v>
      </c>
      <c r="BE425" s="2" t="s">
        <v>8143</v>
      </c>
      <c r="BF425" s="2" t="str">
        <f aca="false">HYPERLINK("http://dx.doi.org/10.1128/JCM.00787-18","http://dx.doi.org/10.1128/JCM.00787-18")</f>
        <v>http://dx.doi.org/10.1128/JCM.00787-18</v>
      </c>
      <c r="BG425" s="2"/>
      <c r="BH425" s="2"/>
      <c r="BI425" s="2" t="n">
        <v>7</v>
      </c>
      <c r="BJ425" s="2" t="s">
        <v>211</v>
      </c>
      <c r="BK425" s="2" t="s">
        <v>100</v>
      </c>
      <c r="BL425" s="2" t="s">
        <v>211</v>
      </c>
      <c r="BM425" s="2" t="s">
        <v>8144</v>
      </c>
      <c r="BN425" s="2" t="n">
        <v>29793965</v>
      </c>
      <c r="BO425" s="2" t="s">
        <v>538</v>
      </c>
      <c r="BP425" s="2"/>
      <c r="BQ425" s="2"/>
      <c r="BR425" s="2" t="s">
        <v>104</v>
      </c>
      <c r="BS425" s="2" t="s">
        <v>8145</v>
      </c>
      <c r="BT425" s="2" t="str">
        <f aca="false">HYPERLINK("https%3A%2F%2Fwww.webofscience.com%2Fwos%2Fwoscc%2Ffull-record%2FWOS:000439877600031","View Full Record in Web of Science")</f>
        <v>View Full Record in Web of Science</v>
      </c>
    </row>
    <row r="426" customFormat="false" ht="12.75" hidden="false" customHeight="false" outlineLevel="0" collapsed="false">
      <c r="A426" s="2" t="s">
        <v>72</v>
      </c>
      <c r="B426" s="2" t="s">
        <v>8146</v>
      </c>
      <c r="C426" s="2"/>
      <c r="D426" s="2"/>
      <c r="E426" s="2"/>
      <c r="F426" s="2" t="s">
        <v>8147</v>
      </c>
      <c r="G426" s="2"/>
      <c r="H426" s="2"/>
      <c r="I426" s="2" t="s">
        <v>8148</v>
      </c>
      <c r="J426" s="2" t="s">
        <v>1448</v>
      </c>
      <c r="K426" s="2"/>
      <c r="L426" s="2"/>
      <c r="M426" s="2" t="s">
        <v>77</v>
      </c>
      <c r="N426" s="2" t="s">
        <v>78</v>
      </c>
      <c r="O426" s="2"/>
      <c r="P426" s="2"/>
      <c r="Q426" s="2"/>
      <c r="R426" s="2"/>
      <c r="S426" s="2"/>
      <c r="T426" s="2" t="s">
        <v>8149</v>
      </c>
      <c r="U426" s="2" t="s">
        <v>8150</v>
      </c>
      <c r="V426" s="2" t="s">
        <v>8151</v>
      </c>
      <c r="W426" s="2" t="s">
        <v>8152</v>
      </c>
      <c r="X426" s="2" t="s">
        <v>8153</v>
      </c>
      <c r="Y426" s="2" t="s">
        <v>8154</v>
      </c>
      <c r="Z426" s="2" t="s">
        <v>8155</v>
      </c>
      <c r="AA426" s="2"/>
      <c r="AB426" s="2" t="s">
        <v>8156</v>
      </c>
      <c r="AC426" s="2"/>
      <c r="AD426" s="2"/>
      <c r="AE426" s="2"/>
      <c r="AF426" s="2"/>
      <c r="AG426" s="2" t="n">
        <v>20</v>
      </c>
      <c r="AH426" s="2" t="n">
        <v>3</v>
      </c>
      <c r="AI426" s="2" t="n">
        <v>3</v>
      </c>
      <c r="AJ426" s="2" t="n">
        <v>0</v>
      </c>
      <c r="AK426" s="2" t="n">
        <v>6</v>
      </c>
      <c r="AL426" s="2" t="s">
        <v>1460</v>
      </c>
      <c r="AM426" s="2" t="s">
        <v>593</v>
      </c>
      <c r="AN426" s="2" t="s">
        <v>2088</v>
      </c>
      <c r="AO426" s="2" t="s">
        <v>1462</v>
      </c>
      <c r="AP426" s="2" t="s">
        <v>1463</v>
      </c>
      <c r="AQ426" s="2"/>
      <c r="AR426" s="2" t="s">
        <v>1464</v>
      </c>
      <c r="AS426" s="2" t="s">
        <v>1465</v>
      </c>
      <c r="AT426" s="2" t="s">
        <v>486</v>
      </c>
      <c r="AU426" s="2" t="n">
        <v>2020</v>
      </c>
      <c r="AV426" s="2" t="n">
        <v>97</v>
      </c>
      <c r="AW426" s="2" t="n">
        <v>2</v>
      </c>
      <c r="AX426" s="2"/>
      <c r="AY426" s="2"/>
      <c r="AZ426" s="2"/>
      <c r="BA426" s="2"/>
      <c r="BB426" s="2"/>
      <c r="BC426" s="2"/>
      <c r="BD426" s="2" t="n">
        <v>115014</v>
      </c>
      <c r="BE426" s="2" t="s">
        <v>8157</v>
      </c>
      <c r="BF426" s="2" t="str">
        <f aca="false">HYPERLINK("http://dx.doi.org/10.1016/j.diagmicrobio.2020.115014","http://dx.doi.org/10.1016/j.diagmicrobio.2020.115014")</f>
        <v>http://dx.doi.org/10.1016/j.diagmicrobio.2020.115014</v>
      </c>
      <c r="BG426" s="2"/>
      <c r="BH426" s="2"/>
      <c r="BI426" s="2" t="n">
        <v>5</v>
      </c>
      <c r="BJ426" s="2" t="s">
        <v>1467</v>
      </c>
      <c r="BK426" s="2" t="s">
        <v>100</v>
      </c>
      <c r="BL426" s="2" t="s">
        <v>1467</v>
      </c>
      <c r="BM426" s="2" t="s">
        <v>8158</v>
      </c>
      <c r="BN426" s="2" t="n">
        <v>32192787</v>
      </c>
      <c r="BO426" s="2"/>
      <c r="BP426" s="2"/>
      <c r="BQ426" s="2"/>
      <c r="BR426" s="2" t="s">
        <v>104</v>
      </c>
      <c r="BS426" s="2" t="s">
        <v>8159</v>
      </c>
      <c r="BT426" s="2" t="str">
        <f aca="false">HYPERLINK("https%3A%2F%2Fwww.webofscience.com%2Fwos%2Fwoscc%2Ffull-record%2FWOS:000533611400004","View Full Record in Web of Science")</f>
        <v>View Full Record in Web of Science</v>
      </c>
    </row>
    <row r="427" customFormat="false" ht="12.75" hidden="false" customHeight="false" outlineLevel="0" collapsed="false">
      <c r="A427" s="2" t="s">
        <v>72</v>
      </c>
      <c r="B427" s="2" t="s">
        <v>8160</v>
      </c>
      <c r="C427" s="2"/>
      <c r="D427" s="2"/>
      <c r="E427" s="2"/>
      <c r="F427" s="2" t="s">
        <v>8161</v>
      </c>
      <c r="G427" s="2"/>
      <c r="H427" s="2"/>
      <c r="I427" s="2" t="s">
        <v>8162</v>
      </c>
      <c r="J427" s="2" t="s">
        <v>370</v>
      </c>
      <c r="K427" s="2"/>
      <c r="L427" s="2"/>
      <c r="M427" s="2" t="s">
        <v>77</v>
      </c>
      <c r="N427" s="2" t="s">
        <v>78</v>
      </c>
      <c r="O427" s="2"/>
      <c r="P427" s="2"/>
      <c r="Q427" s="2"/>
      <c r="R427" s="2"/>
      <c r="S427" s="2"/>
      <c r="T427" s="2" t="s">
        <v>8163</v>
      </c>
      <c r="U427" s="2" t="s">
        <v>8164</v>
      </c>
      <c r="V427" s="2" t="s">
        <v>8165</v>
      </c>
      <c r="W427" s="2" t="s">
        <v>8166</v>
      </c>
      <c r="X427" s="2" t="s">
        <v>8071</v>
      </c>
      <c r="Y427" s="2" t="s">
        <v>8167</v>
      </c>
      <c r="Z427" s="2" t="s">
        <v>8168</v>
      </c>
      <c r="AA427" s="2" t="s">
        <v>8169</v>
      </c>
      <c r="AB427" s="2" t="s">
        <v>8170</v>
      </c>
      <c r="AC427" s="2" t="s">
        <v>8171</v>
      </c>
      <c r="AD427" s="2" t="s">
        <v>8171</v>
      </c>
      <c r="AE427" s="2" t="s">
        <v>8172</v>
      </c>
      <c r="AF427" s="2"/>
      <c r="AG427" s="2" t="n">
        <v>18</v>
      </c>
      <c r="AH427" s="2" t="n">
        <v>6</v>
      </c>
      <c r="AI427" s="2" t="n">
        <v>6</v>
      </c>
      <c r="AJ427" s="2" t="n">
        <v>0</v>
      </c>
      <c r="AK427" s="2" t="n">
        <v>2</v>
      </c>
      <c r="AL427" s="2" t="s">
        <v>383</v>
      </c>
      <c r="AM427" s="2" t="s">
        <v>384</v>
      </c>
      <c r="AN427" s="2" t="s">
        <v>385</v>
      </c>
      <c r="AO427" s="2" t="s">
        <v>386</v>
      </c>
      <c r="AP427" s="2" t="s">
        <v>387</v>
      </c>
      <c r="AQ427" s="2"/>
      <c r="AR427" s="2" t="s">
        <v>388</v>
      </c>
      <c r="AS427" s="2" t="s">
        <v>389</v>
      </c>
      <c r="AT427" s="2" t="s">
        <v>1041</v>
      </c>
      <c r="AU427" s="2" t="n">
        <v>2020</v>
      </c>
      <c r="AV427" s="2" t="n">
        <v>123</v>
      </c>
      <c r="AW427" s="2"/>
      <c r="AX427" s="2"/>
      <c r="AY427" s="2"/>
      <c r="AZ427" s="2"/>
      <c r="BA427" s="2"/>
      <c r="BB427" s="2"/>
      <c r="BC427" s="2"/>
      <c r="BD427" s="2" t="n">
        <v>104232</v>
      </c>
      <c r="BE427" s="2" t="s">
        <v>8173</v>
      </c>
      <c r="BF427" s="2" t="str">
        <f aca="false">HYPERLINK("http://dx.doi.org/10.1016/j.jcv.2019.104232","http://dx.doi.org/10.1016/j.jcv.2019.104232")</f>
        <v>http://dx.doi.org/10.1016/j.jcv.2019.104232</v>
      </c>
      <c r="BG427" s="2"/>
      <c r="BH427" s="2"/>
      <c r="BI427" s="2" t="n">
        <v>6</v>
      </c>
      <c r="BJ427" s="2" t="s">
        <v>163</v>
      </c>
      <c r="BK427" s="2" t="s">
        <v>100</v>
      </c>
      <c r="BL427" s="2" t="s">
        <v>163</v>
      </c>
      <c r="BM427" s="2" t="s">
        <v>8174</v>
      </c>
      <c r="BN427" s="2" t="n">
        <v>31869661</v>
      </c>
      <c r="BO427" s="2" t="s">
        <v>136</v>
      </c>
      <c r="BP427" s="2"/>
      <c r="BQ427" s="2"/>
      <c r="BR427" s="2" t="s">
        <v>104</v>
      </c>
      <c r="BS427" s="2" t="s">
        <v>8175</v>
      </c>
      <c r="BT427" s="2" t="str">
        <f aca="false">HYPERLINK("https%3A%2F%2Fwww.webofscience.com%2Fwos%2Fwoscc%2Ffull-record%2FWOS:000507929100004","View Full Record in Web of Science")</f>
        <v>View Full Record in Web of Science</v>
      </c>
    </row>
    <row r="428" customFormat="false" ht="12.75" hidden="false" customHeight="false" outlineLevel="0" collapsed="false">
      <c r="A428" s="2" t="s">
        <v>72</v>
      </c>
      <c r="B428" s="2" t="s">
        <v>8176</v>
      </c>
      <c r="C428" s="2"/>
      <c r="D428" s="2"/>
      <c r="E428" s="2"/>
      <c r="F428" s="2" t="s">
        <v>8177</v>
      </c>
      <c r="G428" s="2"/>
      <c r="H428" s="2"/>
      <c r="I428" s="2" t="s">
        <v>8178</v>
      </c>
      <c r="J428" s="2" t="s">
        <v>2754</v>
      </c>
      <c r="K428" s="2"/>
      <c r="L428" s="2"/>
      <c r="M428" s="2" t="s">
        <v>77</v>
      </c>
      <c r="N428" s="2" t="s">
        <v>78</v>
      </c>
      <c r="O428" s="2"/>
      <c r="P428" s="2"/>
      <c r="Q428" s="2"/>
      <c r="R428" s="2"/>
      <c r="S428" s="2"/>
      <c r="T428" s="2" t="s">
        <v>8179</v>
      </c>
      <c r="U428" s="2" t="s">
        <v>8180</v>
      </c>
      <c r="V428" s="2" t="s">
        <v>8181</v>
      </c>
      <c r="W428" s="2" t="s">
        <v>8182</v>
      </c>
      <c r="X428" s="2" t="s">
        <v>8183</v>
      </c>
      <c r="Y428" s="2" t="s">
        <v>8184</v>
      </c>
      <c r="Z428" s="2" t="s">
        <v>8185</v>
      </c>
      <c r="AA428" s="2" t="s">
        <v>8186</v>
      </c>
      <c r="AB428" s="2" t="s">
        <v>8187</v>
      </c>
      <c r="AC428" s="2" t="s">
        <v>8188</v>
      </c>
      <c r="AD428" s="2" t="s">
        <v>8189</v>
      </c>
      <c r="AE428" s="2" t="s">
        <v>8190</v>
      </c>
      <c r="AF428" s="2"/>
      <c r="AG428" s="2" t="n">
        <v>36</v>
      </c>
      <c r="AH428" s="2" t="n">
        <v>13</v>
      </c>
      <c r="AI428" s="2" t="n">
        <v>18</v>
      </c>
      <c r="AJ428" s="2" t="n">
        <v>0</v>
      </c>
      <c r="AK428" s="2" t="n">
        <v>2</v>
      </c>
      <c r="AL428" s="2" t="s">
        <v>2763</v>
      </c>
      <c r="AM428" s="2" t="s">
        <v>2764</v>
      </c>
      <c r="AN428" s="2" t="s">
        <v>2765</v>
      </c>
      <c r="AO428" s="2" t="s">
        <v>2766</v>
      </c>
      <c r="AP428" s="2" t="s">
        <v>2767</v>
      </c>
      <c r="AQ428" s="2"/>
      <c r="AR428" s="2" t="s">
        <v>2768</v>
      </c>
      <c r="AS428" s="2" t="s">
        <v>2769</v>
      </c>
      <c r="AT428" s="2" t="s">
        <v>252</v>
      </c>
      <c r="AU428" s="2" t="n">
        <v>2018</v>
      </c>
      <c r="AV428" s="2" t="n">
        <v>22</v>
      </c>
      <c r="AW428" s="2" t="n">
        <v>5</v>
      </c>
      <c r="AX428" s="2"/>
      <c r="AY428" s="2"/>
      <c r="AZ428" s="2"/>
      <c r="BA428" s="2"/>
      <c r="BB428" s="2" t="n">
        <v>402</v>
      </c>
      <c r="BC428" s="2" t="n">
        <v>411</v>
      </c>
      <c r="BD428" s="2"/>
      <c r="BE428" s="2" t="s">
        <v>8191</v>
      </c>
      <c r="BF428" s="2" t="str">
        <f aca="false">HYPERLINK("http://dx.doi.org/10.1016/j.bjid.2018.09.001","http://dx.doi.org/10.1016/j.bjid.2018.09.001")</f>
        <v>http://dx.doi.org/10.1016/j.bjid.2018.09.001</v>
      </c>
      <c r="BG428" s="2"/>
      <c r="BH428" s="2"/>
      <c r="BI428" s="2" t="n">
        <v>10</v>
      </c>
      <c r="BJ428" s="2" t="s">
        <v>575</v>
      </c>
      <c r="BK428" s="2" t="s">
        <v>100</v>
      </c>
      <c r="BL428" s="2" t="s">
        <v>575</v>
      </c>
      <c r="BM428" s="2" t="s">
        <v>8192</v>
      </c>
      <c r="BN428" s="2" t="n">
        <v>30365924</v>
      </c>
      <c r="BO428" s="2" t="s">
        <v>103</v>
      </c>
      <c r="BP428" s="2"/>
      <c r="BQ428" s="2"/>
      <c r="BR428" s="2" t="s">
        <v>104</v>
      </c>
      <c r="BS428" s="2" t="s">
        <v>8193</v>
      </c>
      <c r="BT428" s="2" t="str">
        <f aca="false">HYPERLINK("https%3A%2F%2Fwww.webofscience.com%2Fwos%2Fwoscc%2Ffull-record%2FWOS:000455855000007","View Full Record in Web of Science")</f>
        <v>View Full Record in Web of Science</v>
      </c>
    </row>
    <row r="429" customFormat="false" ht="12.75" hidden="false" customHeight="false" outlineLevel="0" collapsed="false">
      <c r="A429" s="2" t="s">
        <v>72</v>
      </c>
      <c r="B429" s="2" t="s">
        <v>8194</v>
      </c>
      <c r="C429" s="2"/>
      <c r="D429" s="2"/>
      <c r="E429" s="2"/>
      <c r="F429" s="2" t="s">
        <v>8195</v>
      </c>
      <c r="G429" s="2"/>
      <c r="H429" s="2"/>
      <c r="I429" s="2" t="s">
        <v>8196</v>
      </c>
      <c r="J429" s="2" t="s">
        <v>8197</v>
      </c>
      <c r="K429" s="2"/>
      <c r="L429" s="2"/>
      <c r="M429" s="2" t="s">
        <v>77</v>
      </c>
      <c r="N429" s="2" t="s">
        <v>78</v>
      </c>
      <c r="O429" s="2"/>
      <c r="P429" s="2"/>
      <c r="Q429" s="2"/>
      <c r="R429" s="2"/>
      <c r="S429" s="2"/>
      <c r="T429" s="2" t="s">
        <v>8198</v>
      </c>
      <c r="U429" s="2" t="s">
        <v>8199</v>
      </c>
      <c r="V429" s="2" t="s">
        <v>8200</v>
      </c>
      <c r="W429" s="2" t="s">
        <v>8201</v>
      </c>
      <c r="X429" s="2" t="s">
        <v>8202</v>
      </c>
      <c r="Y429" s="2" t="s">
        <v>8203</v>
      </c>
      <c r="Z429" s="2" t="s">
        <v>8204</v>
      </c>
      <c r="AA429" s="2" t="s">
        <v>8205</v>
      </c>
      <c r="AB429" s="2" t="s">
        <v>8206</v>
      </c>
      <c r="AC429" s="2"/>
      <c r="AD429" s="2"/>
      <c r="AE429" s="2"/>
      <c r="AF429" s="2"/>
      <c r="AG429" s="2" t="n">
        <v>34</v>
      </c>
      <c r="AH429" s="2" t="n">
        <v>15</v>
      </c>
      <c r="AI429" s="2" t="n">
        <v>15</v>
      </c>
      <c r="AJ429" s="2" t="n">
        <v>0</v>
      </c>
      <c r="AK429" s="2" t="n">
        <v>3</v>
      </c>
      <c r="AL429" s="2" t="s">
        <v>122</v>
      </c>
      <c r="AM429" s="2" t="s">
        <v>123</v>
      </c>
      <c r="AN429" s="2" t="s">
        <v>124</v>
      </c>
      <c r="AO429" s="2" t="s">
        <v>8207</v>
      </c>
      <c r="AP429" s="2" t="s">
        <v>8208</v>
      </c>
      <c r="AQ429" s="2"/>
      <c r="AR429" s="2" t="s">
        <v>8209</v>
      </c>
      <c r="AS429" s="2" t="s">
        <v>8210</v>
      </c>
      <c r="AT429" s="2" t="s">
        <v>336</v>
      </c>
      <c r="AU429" s="2" t="n">
        <v>2012</v>
      </c>
      <c r="AV429" s="2" t="n">
        <v>28</v>
      </c>
      <c r="AW429" s="2" t="n">
        <v>10</v>
      </c>
      <c r="AX429" s="2"/>
      <c r="AY429" s="2"/>
      <c r="AZ429" s="2"/>
      <c r="BA429" s="2"/>
      <c r="BB429" s="2" t="n">
        <v>990</v>
      </c>
      <c r="BC429" s="2" t="n">
        <v>997</v>
      </c>
      <c r="BD429" s="2"/>
      <c r="BE429" s="2" t="s">
        <v>8211</v>
      </c>
      <c r="BF429" s="2" t="str">
        <f aca="false">HYPERLINK("http://dx.doi.org/10.1097/PEC.0b013e31826ca980","http://dx.doi.org/10.1097/PEC.0b013e31826ca980")</f>
        <v>http://dx.doi.org/10.1097/PEC.0b013e31826ca980</v>
      </c>
      <c r="BG429" s="2"/>
      <c r="BH429" s="2"/>
      <c r="BI429" s="2" t="n">
        <v>8</v>
      </c>
      <c r="BJ429" s="2" t="s">
        <v>8212</v>
      </c>
      <c r="BK429" s="2" t="s">
        <v>100</v>
      </c>
      <c r="BL429" s="2" t="s">
        <v>8212</v>
      </c>
      <c r="BM429" s="2" t="s">
        <v>8213</v>
      </c>
      <c r="BN429" s="2" t="n">
        <v>23023466</v>
      </c>
      <c r="BO429" s="2"/>
      <c r="BP429" s="2"/>
      <c r="BQ429" s="2"/>
      <c r="BR429" s="2" t="s">
        <v>104</v>
      </c>
      <c r="BS429" s="2" t="s">
        <v>8214</v>
      </c>
      <c r="BT429" s="2" t="str">
        <f aca="false">HYPERLINK("https%3A%2F%2Fwww.webofscience.com%2Fwos%2Fwoscc%2Ffull-record%2FWOS:000309656900008","View Full Record in Web of Science")</f>
        <v>View Full Record in Web of Science</v>
      </c>
    </row>
    <row r="430" customFormat="false" ht="12.75" hidden="false" customHeight="false" outlineLevel="0" collapsed="false">
      <c r="A430" s="2" t="s">
        <v>72</v>
      </c>
      <c r="B430" s="2" t="s">
        <v>8215</v>
      </c>
      <c r="C430" s="2"/>
      <c r="D430" s="2"/>
      <c r="E430" s="2"/>
      <c r="F430" s="2" t="s">
        <v>8216</v>
      </c>
      <c r="G430" s="2"/>
      <c r="H430" s="2"/>
      <c r="I430" s="2" t="s">
        <v>8217</v>
      </c>
      <c r="J430" s="2" t="s">
        <v>8218</v>
      </c>
      <c r="K430" s="2"/>
      <c r="L430" s="2"/>
      <c r="M430" s="2" t="s">
        <v>77</v>
      </c>
      <c r="N430" s="2" t="s">
        <v>78</v>
      </c>
      <c r="O430" s="2"/>
      <c r="P430" s="2"/>
      <c r="Q430" s="2"/>
      <c r="R430" s="2"/>
      <c r="S430" s="2"/>
      <c r="T430" s="2" t="s">
        <v>8219</v>
      </c>
      <c r="U430" s="2" t="s">
        <v>8220</v>
      </c>
      <c r="V430" s="2" t="s">
        <v>8221</v>
      </c>
      <c r="W430" s="2" t="s">
        <v>8222</v>
      </c>
      <c r="X430" s="2" t="s">
        <v>8223</v>
      </c>
      <c r="Y430" s="2" t="s">
        <v>8224</v>
      </c>
      <c r="Z430" s="2" t="s">
        <v>8225</v>
      </c>
      <c r="AA430" s="2" t="s">
        <v>8226</v>
      </c>
      <c r="AB430" s="2" t="s">
        <v>8227</v>
      </c>
      <c r="AC430" s="2"/>
      <c r="AD430" s="2"/>
      <c r="AE430" s="2"/>
      <c r="AF430" s="2"/>
      <c r="AG430" s="2" t="n">
        <v>30</v>
      </c>
      <c r="AH430" s="2" t="n">
        <v>3</v>
      </c>
      <c r="AI430" s="2" t="n">
        <v>3</v>
      </c>
      <c r="AJ430" s="2" t="n">
        <v>0</v>
      </c>
      <c r="AK430" s="2" t="n">
        <v>5</v>
      </c>
      <c r="AL430" s="2" t="s">
        <v>8228</v>
      </c>
      <c r="AM430" s="2" t="s">
        <v>8229</v>
      </c>
      <c r="AN430" s="2" t="s">
        <v>8230</v>
      </c>
      <c r="AO430" s="2"/>
      <c r="AP430" s="2" t="s">
        <v>8231</v>
      </c>
      <c r="AQ430" s="2"/>
      <c r="AR430" s="2" t="s">
        <v>8232</v>
      </c>
      <c r="AS430" s="2" t="s">
        <v>8233</v>
      </c>
      <c r="AT430" s="2" t="s">
        <v>486</v>
      </c>
      <c r="AU430" s="2" t="n">
        <v>2021</v>
      </c>
      <c r="AV430" s="2" t="n">
        <v>53</v>
      </c>
      <c r="AW430" s="2" t="n">
        <v>2</v>
      </c>
      <c r="AX430" s="2"/>
      <c r="AY430" s="2"/>
      <c r="AZ430" s="2"/>
      <c r="BA430" s="2"/>
      <c r="BB430" s="2" t="n">
        <v>123</v>
      </c>
      <c r="BC430" s="2" t="n">
        <v>126</v>
      </c>
      <c r="BD430" s="2"/>
      <c r="BE430" s="2" t="s">
        <v>8234</v>
      </c>
      <c r="BF430" s="2" t="str">
        <f aca="false">HYPERLINK("http://dx.doi.org/10.5152/eurasianjmed.2021.20459","http://dx.doi.org/10.5152/eurasianjmed.2021.20459")</f>
        <v>http://dx.doi.org/10.5152/eurasianjmed.2021.20459</v>
      </c>
      <c r="BG430" s="2"/>
      <c r="BH430" s="2"/>
      <c r="BI430" s="2" t="n">
        <v>4</v>
      </c>
      <c r="BJ430" s="2" t="s">
        <v>363</v>
      </c>
      <c r="BK430" s="2" t="s">
        <v>339</v>
      </c>
      <c r="BL430" s="2" t="s">
        <v>364</v>
      </c>
      <c r="BM430" s="2" t="s">
        <v>8235</v>
      </c>
      <c r="BN430" s="2" t="n">
        <v>34177295</v>
      </c>
      <c r="BO430" s="2" t="s">
        <v>103</v>
      </c>
      <c r="BP430" s="2"/>
      <c r="BQ430" s="2"/>
      <c r="BR430" s="2" t="s">
        <v>104</v>
      </c>
      <c r="BS430" s="2" t="s">
        <v>8236</v>
      </c>
      <c r="BT430" s="2" t="str">
        <f aca="false">HYPERLINK("https%3A%2F%2Fwww.webofscience.com%2Fwos%2Fwoscc%2Ffull-record%2FWOS:000660311100010","View Full Record in Web of Science")</f>
        <v>View Full Record in Web of Science</v>
      </c>
    </row>
    <row r="431" customFormat="false" ht="12.75" hidden="false" customHeight="false" outlineLevel="0" collapsed="false">
      <c r="A431" s="2" t="s">
        <v>72</v>
      </c>
      <c r="B431" s="2" t="s">
        <v>8237</v>
      </c>
      <c r="C431" s="2"/>
      <c r="D431" s="2"/>
      <c r="E431" s="2"/>
      <c r="F431" s="2" t="s">
        <v>8238</v>
      </c>
      <c r="G431" s="2"/>
      <c r="H431" s="2"/>
      <c r="I431" s="2" t="s">
        <v>8239</v>
      </c>
      <c r="J431" s="2" t="s">
        <v>8240</v>
      </c>
      <c r="K431" s="2"/>
      <c r="L431" s="2"/>
      <c r="M431" s="2" t="s">
        <v>77</v>
      </c>
      <c r="N431" s="2" t="s">
        <v>78</v>
      </c>
      <c r="O431" s="2"/>
      <c r="P431" s="2"/>
      <c r="Q431" s="2"/>
      <c r="R431" s="2"/>
      <c r="S431" s="2"/>
      <c r="T431" s="2" t="s">
        <v>8241</v>
      </c>
      <c r="U431" s="2" t="s">
        <v>8242</v>
      </c>
      <c r="V431" s="2" t="s">
        <v>8243</v>
      </c>
      <c r="W431" s="2" t="s">
        <v>8244</v>
      </c>
      <c r="X431" s="2" t="s">
        <v>8245</v>
      </c>
      <c r="Y431" s="2" t="s">
        <v>8246</v>
      </c>
      <c r="Z431" s="2" t="s">
        <v>8247</v>
      </c>
      <c r="AA431" s="2"/>
      <c r="AB431" s="2"/>
      <c r="AC431" s="2"/>
      <c r="AD431" s="2"/>
      <c r="AE431" s="2"/>
      <c r="AF431" s="2"/>
      <c r="AG431" s="2" t="n">
        <v>10</v>
      </c>
      <c r="AH431" s="2" t="n">
        <v>0</v>
      </c>
      <c r="AI431" s="2" t="n">
        <v>0</v>
      </c>
      <c r="AJ431" s="2" t="n">
        <v>0</v>
      </c>
      <c r="AK431" s="2" t="n">
        <v>0</v>
      </c>
      <c r="AL431" s="2" t="s">
        <v>383</v>
      </c>
      <c r="AM431" s="2" t="s">
        <v>384</v>
      </c>
      <c r="AN431" s="2" t="s">
        <v>385</v>
      </c>
      <c r="AO431" s="2" t="s">
        <v>8248</v>
      </c>
      <c r="AP431" s="2"/>
      <c r="AQ431" s="2"/>
      <c r="AR431" s="2" t="s">
        <v>8249</v>
      </c>
      <c r="AS431" s="2" t="s">
        <v>8250</v>
      </c>
      <c r="AT431" s="2" t="s">
        <v>129</v>
      </c>
      <c r="AU431" s="2" t="n">
        <v>2022</v>
      </c>
      <c r="AV431" s="2" t="n">
        <v>4</v>
      </c>
      <c r="AW431" s="2" t="n">
        <v>3</v>
      </c>
      <c r="AX431" s="2"/>
      <c r="AY431" s="2"/>
      <c r="AZ431" s="2"/>
      <c r="BA431" s="2"/>
      <c r="BB431" s="2"/>
      <c r="BC431" s="2"/>
      <c r="BD431" s="2" t="n">
        <v>100233</v>
      </c>
      <c r="BE431" s="2" t="s">
        <v>8251</v>
      </c>
      <c r="BF431" s="2" t="str">
        <f aca="false">HYPERLINK("http://dx.doi.org/10.1016/j.infpip.2022.100233","http://dx.doi.org/10.1016/j.infpip.2022.100233")</f>
        <v>http://dx.doi.org/10.1016/j.infpip.2022.100233</v>
      </c>
      <c r="BG431" s="2"/>
      <c r="BH431" s="2"/>
      <c r="BI431" s="2" t="n">
        <v>5</v>
      </c>
      <c r="BJ431" s="2" t="s">
        <v>2113</v>
      </c>
      <c r="BK431" s="2" t="s">
        <v>339</v>
      </c>
      <c r="BL431" s="2" t="s">
        <v>2113</v>
      </c>
      <c r="BM431" s="2" t="s">
        <v>8252</v>
      </c>
      <c r="BN431" s="2" t="n">
        <v>36090526</v>
      </c>
      <c r="BO431" s="2" t="s">
        <v>190</v>
      </c>
      <c r="BP431" s="2"/>
      <c r="BQ431" s="2"/>
      <c r="BR431" s="2" t="s">
        <v>104</v>
      </c>
      <c r="BS431" s="2" t="s">
        <v>8253</v>
      </c>
      <c r="BT431" s="2" t="str">
        <f aca="false">HYPERLINK("https%3A%2F%2Fwww.webofscience.com%2Fwos%2Fwoscc%2Ffull-record%2FWOS:001021894200015","View Full Record in Web of Science")</f>
        <v>View Full Record in Web of Science</v>
      </c>
    </row>
    <row r="432" customFormat="false" ht="12.75" hidden="false" customHeight="false" outlineLevel="0" collapsed="false">
      <c r="A432" s="2" t="s">
        <v>72</v>
      </c>
      <c r="B432" s="2" t="s">
        <v>8254</v>
      </c>
      <c r="C432" s="2"/>
      <c r="D432" s="2"/>
      <c r="E432" s="2"/>
      <c r="F432" s="2" t="s">
        <v>8255</v>
      </c>
      <c r="G432" s="2"/>
      <c r="H432" s="2"/>
      <c r="I432" s="2" t="s">
        <v>8256</v>
      </c>
      <c r="J432" s="2" t="s">
        <v>4366</v>
      </c>
      <c r="K432" s="2"/>
      <c r="L432" s="2"/>
      <c r="M432" s="2" t="s">
        <v>77</v>
      </c>
      <c r="N432" s="2" t="s">
        <v>78</v>
      </c>
      <c r="O432" s="2"/>
      <c r="P432" s="2"/>
      <c r="Q432" s="2"/>
      <c r="R432" s="2"/>
      <c r="S432" s="2"/>
      <c r="T432" s="2" t="s">
        <v>8257</v>
      </c>
      <c r="U432" s="2" t="s">
        <v>8258</v>
      </c>
      <c r="V432" s="2" t="s">
        <v>8259</v>
      </c>
      <c r="W432" s="2" t="s">
        <v>8260</v>
      </c>
      <c r="X432" s="2" t="s">
        <v>8261</v>
      </c>
      <c r="Y432" s="2" t="s">
        <v>8262</v>
      </c>
      <c r="Z432" s="2" t="s">
        <v>8263</v>
      </c>
      <c r="AA432" s="2" t="s">
        <v>8264</v>
      </c>
      <c r="AB432" s="2" t="s">
        <v>8265</v>
      </c>
      <c r="AC432" s="2" t="s">
        <v>8266</v>
      </c>
      <c r="AD432" s="2" t="s">
        <v>8266</v>
      </c>
      <c r="AE432" s="2" t="s">
        <v>8267</v>
      </c>
      <c r="AF432" s="2"/>
      <c r="AG432" s="2" t="n">
        <v>33</v>
      </c>
      <c r="AH432" s="2" t="n">
        <v>0</v>
      </c>
      <c r="AI432" s="2" t="n">
        <v>0</v>
      </c>
      <c r="AJ432" s="2" t="n">
        <v>1</v>
      </c>
      <c r="AK432" s="2" t="n">
        <v>1</v>
      </c>
      <c r="AL432" s="2" t="s">
        <v>620</v>
      </c>
      <c r="AM432" s="2" t="s">
        <v>621</v>
      </c>
      <c r="AN432" s="2" t="s">
        <v>622</v>
      </c>
      <c r="AO432" s="2"/>
      <c r="AP432" s="2" t="s">
        <v>4376</v>
      </c>
      <c r="AQ432" s="2"/>
      <c r="AR432" s="2" t="s">
        <v>4377</v>
      </c>
      <c r="AS432" s="2" t="s">
        <v>4378</v>
      </c>
      <c r="AT432" s="2" t="s">
        <v>8268</v>
      </c>
      <c r="AU432" s="2" t="n">
        <v>2024</v>
      </c>
      <c r="AV432" s="2" t="n">
        <v>12</v>
      </c>
      <c r="AW432" s="2"/>
      <c r="AX432" s="2"/>
      <c r="AY432" s="2"/>
      <c r="AZ432" s="2"/>
      <c r="BA432" s="2"/>
      <c r="BB432" s="2"/>
      <c r="BC432" s="2"/>
      <c r="BD432" s="2" t="n">
        <v>1377803</v>
      </c>
      <c r="BE432" s="2" t="s">
        <v>8269</v>
      </c>
      <c r="BF432" s="2" t="str">
        <f aca="false">HYPERLINK("http://dx.doi.org/10.3389/fpubh.2024.1377803","http://dx.doi.org/10.3389/fpubh.2024.1377803")</f>
        <v>http://dx.doi.org/10.3389/fpubh.2024.1377803</v>
      </c>
      <c r="BG432" s="2"/>
      <c r="BH432" s="2"/>
      <c r="BI432" s="2" t="n">
        <v>10</v>
      </c>
      <c r="BJ432" s="2" t="s">
        <v>1353</v>
      </c>
      <c r="BK432" s="2" t="s">
        <v>1086</v>
      </c>
      <c r="BL432" s="2" t="s">
        <v>1353</v>
      </c>
      <c r="BM432" s="2" t="s">
        <v>8270</v>
      </c>
      <c r="BN432" s="2" t="n">
        <v>38784583</v>
      </c>
      <c r="BO432" s="2" t="s">
        <v>190</v>
      </c>
      <c r="BP432" s="2"/>
      <c r="BQ432" s="2"/>
      <c r="BR432" s="2" t="s">
        <v>104</v>
      </c>
      <c r="BS432" s="2" t="s">
        <v>8271</v>
      </c>
      <c r="BT432" s="2" t="str">
        <f aca="false">HYPERLINK("https%3A%2F%2Fwww.webofscience.com%2Fwos%2Fwoscc%2Ffull-record%2FWOS:001229193800001","View Full Record in Web of Science")</f>
        <v>View Full Record in Web of Science</v>
      </c>
    </row>
    <row r="433" customFormat="false" ht="12.75" hidden="false" customHeight="false" outlineLevel="0" collapsed="false">
      <c r="A433" s="2" t="s">
        <v>72</v>
      </c>
      <c r="B433" s="2" t="s">
        <v>8272</v>
      </c>
      <c r="C433" s="2"/>
      <c r="D433" s="2"/>
      <c r="E433" s="2"/>
      <c r="F433" s="2" t="s">
        <v>8273</v>
      </c>
      <c r="G433" s="2"/>
      <c r="H433" s="2"/>
      <c r="I433" s="2" t="s">
        <v>8274</v>
      </c>
      <c r="J433" s="2" t="s">
        <v>8275</v>
      </c>
      <c r="K433" s="2"/>
      <c r="L433" s="2"/>
      <c r="M433" s="2" t="s">
        <v>77</v>
      </c>
      <c r="N433" s="2" t="s">
        <v>78</v>
      </c>
      <c r="O433" s="2"/>
      <c r="P433" s="2"/>
      <c r="Q433" s="2"/>
      <c r="R433" s="2"/>
      <c r="S433" s="2"/>
      <c r="T433" s="2" t="s">
        <v>8276</v>
      </c>
      <c r="U433" s="2"/>
      <c r="V433" s="2" t="s">
        <v>8277</v>
      </c>
      <c r="W433" s="2" t="s">
        <v>8278</v>
      </c>
      <c r="X433" s="2" t="s">
        <v>8279</v>
      </c>
      <c r="Y433" s="2" t="s">
        <v>8280</v>
      </c>
      <c r="Z433" s="2" t="s">
        <v>8281</v>
      </c>
      <c r="AA433" s="2" t="s">
        <v>8282</v>
      </c>
      <c r="AB433" s="2" t="s">
        <v>5314</v>
      </c>
      <c r="AC433" s="2"/>
      <c r="AD433" s="2"/>
      <c r="AE433" s="2"/>
      <c r="AF433" s="2"/>
      <c r="AG433" s="2" t="n">
        <v>14</v>
      </c>
      <c r="AH433" s="2" t="n">
        <v>24</v>
      </c>
      <c r="AI433" s="2" t="n">
        <v>25</v>
      </c>
      <c r="AJ433" s="2" t="n">
        <v>3</v>
      </c>
      <c r="AK433" s="2" t="n">
        <v>7</v>
      </c>
      <c r="AL433" s="2" t="s">
        <v>383</v>
      </c>
      <c r="AM433" s="2" t="s">
        <v>384</v>
      </c>
      <c r="AN433" s="2" t="s">
        <v>385</v>
      </c>
      <c r="AO433" s="2" t="s">
        <v>8283</v>
      </c>
      <c r="AP433" s="2"/>
      <c r="AQ433" s="2"/>
      <c r="AR433" s="2" t="s">
        <v>8284</v>
      </c>
      <c r="AS433" s="2" t="s">
        <v>8285</v>
      </c>
      <c r="AT433" s="2" t="s">
        <v>1041</v>
      </c>
      <c r="AU433" s="2" t="n">
        <v>2022</v>
      </c>
      <c r="AV433" s="2" t="n">
        <v>2</v>
      </c>
      <c r="AW433" s="2" t="n">
        <v>1</v>
      </c>
      <c r="AX433" s="2"/>
      <c r="AY433" s="2"/>
      <c r="AZ433" s="2"/>
      <c r="BA433" s="2"/>
      <c r="BB433" s="2"/>
      <c r="BC433" s="2"/>
      <c r="BD433" s="2" t="n">
        <v>100060</v>
      </c>
      <c r="BE433" s="2" t="s">
        <v>8286</v>
      </c>
      <c r="BF433" s="2" t="str">
        <f aca="false">HYPERLINK("http://dx.doi.org/10.1016/j.jcvp.2021.100060","http://dx.doi.org/10.1016/j.jcvp.2021.100060")</f>
        <v>http://dx.doi.org/10.1016/j.jcvp.2021.100060</v>
      </c>
      <c r="BG433" s="2"/>
      <c r="BH433" s="2" t="s">
        <v>3298</v>
      </c>
      <c r="BI433" s="2" t="n">
        <v>5</v>
      </c>
      <c r="BJ433" s="2" t="s">
        <v>8287</v>
      </c>
      <c r="BK433" s="2" t="s">
        <v>339</v>
      </c>
      <c r="BL433" s="2" t="s">
        <v>8287</v>
      </c>
      <c r="BM433" s="2" t="s">
        <v>8288</v>
      </c>
      <c r="BN433" s="2" t="n">
        <v>35262033</v>
      </c>
      <c r="BO433" s="2" t="s">
        <v>103</v>
      </c>
      <c r="BP433" s="2"/>
      <c r="BQ433" s="2"/>
      <c r="BR433" s="2" t="s">
        <v>104</v>
      </c>
      <c r="BS433" s="2" t="s">
        <v>8289</v>
      </c>
      <c r="BT433" s="2" t="str">
        <f aca="false">HYPERLINK("https%3A%2F%2Fwww.webofscience.com%2Fwos%2Fwoscc%2Ffull-record%2FWOS:000791227600003","View Full Record in Web of Science")</f>
        <v>View Full Record in Web of Science</v>
      </c>
    </row>
    <row r="434" customFormat="false" ht="12.75" hidden="false" customHeight="false" outlineLevel="0" collapsed="false">
      <c r="A434" s="2" t="s">
        <v>72</v>
      </c>
      <c r="B434" s="2" t="s">
        <v>8290</v>
      </c>
      <c r="C434" s="2"/>
      <c r="D434" s="2"/>
      <c r="E434" s="2"/>
      <c r="F434" s="2" t="s">
        <v>8291</v>
      </c>
      <c r="G434" s="2"/>
      <c r="H434" s="2"/>
      <c r="I434" s="2" t="s">
        <v>8292</v>
      </c>
      <c r="J434" s="2" t="s">
        <v>8293</v>
      </c>
      <c r="K434" s="2"/>
      <c r="L434" s="2"/>
      <c r="M434" s="2" t="s">
        <v>77</v>
      </c>
      <c r="N434" s="2" t="s">
        <v>78</v>
      </c>
      <c r="O434" s="2"/>
      <c r="P434" s="2"/>
      <c r="Q434" s="2"/>
      <c r="R434" s="2"/>
      <c r="S434" s="2"/>
      <c r="T434" s="2" t="s">
        <v>8294</v>
      </c>
      <c r="U434" s="2" t="s">
        <v>8295</v>
      </c>
      <c r="V434" s="2" t="s">
        <v>8296</v>
      </c>
      <c r="W434" s="2" t="s">
        <v>8297</v>
      </c>
      <c r="X434" s="2" t="s">
        <v>8298</v>
      </c>
      <c r="Y434" s="2" t="s">
        <v>8299</v>
      </c>
      <c r="Z434" s="2" t="s">
        <v>8300</v>
      </c>
      <c r="AA434" s="2" t="s">
        <v>8301</v>
      </c>
      <c r="AB434" s="2" t="s">
        <v>8302</v>
      </c>
      <c r="AC434" s="2"/>
      <c r="AD434" s="2"/>
      <c r="AE434" s="2"/>
      <c r="AF434" s="2"/>
      <c r="AG434" s="2" t="n">
        <v>20</v>
      </c>
      <c r="AH434" s="2" t="n">
        <v>0</v>
      </c>
      <c r="AI434" s="2" t="n">
        <v>0</v>
      </c>
      <c r="AJ434" s="2" t="n">
        <v>0</v>
      </c>
      <c r="AK434" s="2" t="n">
        <v>3</v>
      </c>
      <c r="AL434" s="2" t="s">
        <v>6833</v>
      </c>
      <c r="AM434" s="2" t="s">
        <v>1705</v>
      </c>
      <c r="AN434" s="2" t="s">
        <v>6856</v>
      </c>
      <c r="AO434" s="2" t="s">
        <v>8303</v>
      </c>
      <c r="AP434" s="2" t="s">
        <v>8304</v>
      </c>
      <c r="AQ434" s="2"/>
      <c r="AR434" s="2" t="s">
        <v>8305</v>
      </c>
      <c r="AS434" s="2" t="s">
        <v>8306</v>
      </c>
      <c r="AT434" s="2" t="s">
        <v>129</v>
      </c>
      <c r="AU434" s="2" t="n">
        <v>2023</v>
      </c>
      <c r="AV434" s="2" t="n">
        <v>33</v>
      </c>
      <c r="AW434" s="2" t="n">
        <v>9</v>
      </c>
      <c r="AX434" s="2"/>
      <c r="AY434" s="2"/>
      <c r="AZ434" s="2"/>
      <c r="BA434" s="2"/>
      <c r="BB434" s="2" t="n">
        <v>1517</v>
      </c>
      <c r="BC434" s="2" t="n">
        <v>1522</v>
      </c>
      <c r="BD434" s="2"/>
      <c r="BE434" s="2" t="s">
        <v>8307</v>
      </c>
      <c r="BF434" s="2" t="str">
        <f aca="false">HYPERLINK("http://dx.doi.org/10.1017/S1047951122002645","http://dx.doi.org/10.1017/S1047951122002645")</f>
        <v>http://dx.doi.org/10.1017/S1047951122002645</v>
      </c>
      <c r="BG434" s="2"/>
      <c r="BH434" s="2" t="s">
        <v>2216</v>
      </c>
      <c r="BI434" s="2" t="n">
        <v>6</v>
      </c>
      <c r="BJ434" s="2" t="s">
        <v>8308</v>
      </c>
      <c r="BK434" s="2" t="s">
        <v>100</v>
      </c>
      <c r="BL434" s="2" t="s">
        <v>8309</v>
      </c>
      <c r="BM434" s="2" t="s">
        <v>8310</v>
      </c>
      <c r="BN434" s="2" t="n">
        <v>35920053</v>
      </c>
      <c r="BO434" s="2" t="s">
        <v>165</v>
      </c>
      <c r="BP434" s="2"/>
      <c r="BQ434" s="2"/>
      <c r="BR434" s="2" t="s">
        <v>104</v>
      </c>
      <c r="BS434" s="2" t="s">
        <v>8311</v>
      </c>
      <c r="BT434" s="2" t="str">
        <f aca="false">HYPERLINK("https%3A%2F%2Fwww.webofscience.com%2Fwos%2Fwoscc%2Ffull-record%2FWOS:000840547200001","View Full Record in Web of Science")</f>
        <v>View Full Record in Web of Science</v>
      </c>
    </row>
    <row r="435" customFormat="false" ht="12.75" hidden="false" customHeight="false" outlineLevel="0" collapsed="false">
      <c r="A435" s="2" t="s">
        <v>72</v>
      </c>
      <c r="B435" s="2" t="s">
        <v>8312</v>
      </c>
      <c r="C435" s="2"/>
      <c r="D435" s="2"/>
      <c r="E435" s="2"/>
      <c r="F435" s="2" t="s">
        <v>8313</v>
      </c>
      <c r="G435" s="2"/>
      <c r="H435" s="2"/>
      <c r="I435" s="2" t="s">
        <v>8314</v>
      </c>
      <c r="J435" s="2" t="s">
        <v>8315</v>
      </c>
      <c r="K435" s="2"/>
      <c r="L435" s="2"/>
      <c r="M435" s="2" t="s">
        <v>77</v>
      </c>
      <c r="N435" s="2" t="s">
        <v>78</v>
      </c>
      <c r="O435" s="2"/>
      <c r="P435" s="2"/>
      <c r="Q435" s="2"/>
      <c r="R435" s="2"/>
      <c r="S435" s="2"/>
      <c r="T435" s="2" t="s">
        <v>8316</v>
      </c>
      <c r="U435" s="2" t="s">
        <v>8317</v>
      </c>
      <c r="V435" s="2" t="s">
        <v>8318</v>
      </c>
      <c r="W435" s="2" t="s">
        <v>8319</v>
      </c>
      <c r="X435" s="2" t="s">
        <v>8320</v>
      </c>
      <c r="Y435" s="2" t="s">
        <v>8321</v>
      </c>
      <c r="Z435" s="2" t="s">
        <v>8322</v>
      </c>
      <c r="AA435" s="2" t="s">
        <v>8323</v>
      </c>
      <c r="AB435" s="2" t="s">
        <v>8324</v>
      </c>
      <c r="AC435" s="2" t="s">
        <v>8325</v>
      </c>
      <c r="AD435" s="2" t="s">
        <v>8326</v>
      </c>
      <c r="AE435" s="2" t="s">
        <v>8327</v>
      </c>
      <c r="AF435" s="2"/>
      <c r="AG435" s="2" t="n">
        <v>36</v>
      </c>
      <c r="AH435" s="2" t="n">
        <v>0</v>
      </c>
      <c r="AI435" s="2" t="n">
        <v>0</v>
      </c>
      <c r="AJ435" s="2" t="n">
        <v>0</v>
      </c>
      <c r="AK435" s="2" t="n">
        <v>0</v>
      </c>
      <c r="AL435" s="2" t="s">
        <v>383</v>
      </c>
      <c r="AM435" s="2" t="s">
        <v>384</v>
      </c>
      <c r="AN435" s="2" t="s">
        <v>385</v>
      </c>
      <c r="AO435" s="2" t="s">
        <v>8328</v>
      </c>
      <c r="AP435" s="2"/>
      <c r="AQ435" s="2"/>
      <c r="AR435" s="2" t="s">
        <v>8329</v>
      </c>
      <c r="AS435" s="2" t="s">
        <v>8330</v>
      </c>
      <c r="AT435" s="2" t="s">
        <v>8331</v>
      </c>
      <c r="AU435" s="2" t="n">
        <v>2023</v>
      </c>
      <c r="AV435" s="2" t="n">
        <v>70</v>
      </c>
      <c r="AW435" s="2" t="n">
        <v>7</v>
      </c>
      <c r="AX435" s="2"/>
      <c r="AY435" s="2"/>
      <c r="AZ435" s="2"/>
      <c r="BA435" s="2"/>
      <c r="BB435" s="2" t="n">
        <v>476</v>
      </c>
      <c r="BC435" s="2" t="n">
        <v>483</v>
      </c>
      <c r="BD435" s="2"/>
      <c r="BE435" s="2" t="s">
        <v>8332</v>
      </c>
      <c r="BF435" s="2" t="str">
        <f aca="false">HYPERLINK("http://dx.doi.org/10.1016/j.endinu.2023.05.001","http://dx.doi.org/10.1016/j.endinu.2023.05.001")</f>
        <v>http://dx.doi.org/10.1016/j.endinu.2023.05.001</v>
      </c>
      <c r="BG435" s="2"/>
      <c r="BH435" s="2" t="s">
        <v>280</v>
      </c>
      <c r="BI435" s="2" t="n">
        <v>8</v>
      </c>
      <c r="BJ435" s="2" t="s">
        <v>8333</v>
      </c>
      <c r="BK435" s="2" t="s">
        <v>100</v>
      </c>
      <c r="BL435" s="2" t="s">
        <v>8333</v>
      </c>
      <c r="BM435" s="2" t="s">
        <v>8334</v>
      </c>
      <c r="BN435" s="2" t="n">
        <v>37527958</v>
      </c>
      <c r="BO435" s="2"/>
      <c r="BP435" s="2"/>
      <c r="BQ435" s="2"/>
      <c r="BR435" s="2" t="s">
        <v>104</v>
      </c>
      <c r="BS435" s="2" t="s">
        <v>8335</v>
      </c>
      <c r="BT435" s="2" t="str">
        <f aca="false">HYPERLINK("https%3A%2F%2Fwww.webofscience.com%2Fwos%2Fwoscc%2Ffull-record%2FWOS:001148359900001","View Full Record in Web of Science")</f>
        <v>View Full Record in Web of Science</v>
      </c>
    </row>
    <row r="436" customFormat="false" ht="12.75" hidden="false" customHeight="false" outlineLevel="0" collapsed="false">
      <c r="A436" s="2" t="s">
        <v>72</v>
      </c>
      <c r="B436" s="2" t="s">
        <v>8336</v>
      </c>
      <c r="C436" s="2"/>
      <c r="D436" s="2"/>
      <c r="E436" s="2"/>
      <c r="F436" s="2" t="s">
        <v>8337</v>
      </c>
      <c r="G436" s="2"/>
      <c r="H436" s="2"/>
      <c r="I436" s="2" t="s">
        <v>8338</v>
      </c>
      <c r="J436" s="2" t="s">
        <v>8339</v>
      </c>
      <c r="K436" s="2"/>
      <c r="L436" s="2"/>
      <c r="M436" s="2" t="s">
        <v>77</v>
      </c>
      <c r="N436" s="2" t="s">
        <v>78</v>
      </c>
      <c r="O436" s="2"/>
      <c r="P436" s="2"/>
      <c r="Q436" s="2"/>
      <c r="R436" s="2"/>
      <c r="S436" s="2"/>
      <c r="T436" s="2" t="s">
        <v>8340</v>
      </c>
      <c r="U436" s="2" t="s">
        <v>8341</v>
      </c>
      <c r="V436" s="2" t="s">
        <v>8342</v>
      </c>
      <c r="W436" s="2" t="s">
        <v>8343</v>
      </c>
      <c r="X436" s="2" t="s">
        <v>8344</v>
      </c>
      <c r="Y436" s="2" t="s">
        <v>8345</v>
      </c>
      <c r="Z436" s="2" t="s">
        <v>8346</v>
      </c>
      <c r="AA436" s="2" t="s">
        <v>8347</v>
      </c>
      <c r="AB436" s="2" t="s">
        <v>8348</v>
      </c>
      <c r="AC436" s="2"/>
      <c r="AD436" s="2"/>
      <c r="AE436" s="2"/>
      <c r="AF436" s="2"/>
      <c r="AG436" s="2" t="n">
        <v>41</v>
      </c>
      <c r="AH436" s="2" t="n">
        <v>5</v>
      </c>
      <c r="AI436" s="2" t="n">
        <v>5</v>
      </c>
      <c r="AJ436" s="2" t="n">
        <v>0</v>
      </c>
      <c r="AK436" s="2" t="n">
        <v>5</v>
      </c>
      <c r="AL436" s="2" t="s">
        <v>1460</v>
      </c>
      <c r="AM436" s="2" t="s">
        <v>593</v>
      </c>
      <c r="AN436" s="2" t="s">
        <v>2088</v>
      </c>
      <c r="AO436" s="2" t="s">
        <v>8349</v>
      </c>
      <c r="AP436" s="2" t="s">
        <v>8350</v>
      </c>
      <c r="AQ436" s="2"/>
      <c r="AR436" s="2" t="s">
        <v>8351</v>
      </c>
      <c r="AS436" s="2" t="s">
        <v>8352</v>
      </c>
      <c r="AT436" s="2" t="s">
        <v>161</v>
      </c>
      <c r="AU436" s="2" t="n">
        <v>2020</v>
      </c>
      <c r="AV436" s="2" t="n">
        <v>21</v>
      </c>
      <c r="AW436" s="2" t="n">
        <v>1</v>
      </c>
      <c r="AX436" s="2"/>
      <c r="AY436" s="2"/>
      <c r="AZ436" s="2"/>
      <c r="BA436" s="2"/>
      <c r="BB436" s="2" t="n">
        <v>104</v>
      </c>
      <c r="BC436" s="2" t="s">
        <v>986</v>
      </c>
      <c r="BD436" s="2"/>
      <c r="BE436" s="2" t="s">
        <v>8353</v>
      </c>
      <c r="BF436" s="2" t="str">
        <f aca="false">HYPERLINK("http://dx.doi.org/10.1016/j.jamda.2019.03.015","http://dx.doi.org/10.1016/j.jamda.2019.03.015")</f>
        <v>http://dx.doi.org/10.1016/j.jamda.2019.03.015</v>
      </c>
      <c r="BG436" s="2"/>
      <c r="BH436" s="2"/>
      <c r="BI436" s="2" t="n">
        <v>7</v>
      </c>
      <c r="BJ436" s="2" t="s">
        <v>1087</v>
      </c>
      <c r="BK436" s="2" t="s">
        <v>100</v>
      </c>
      <c r="BL436" s="2" t="s">
        <v>1087</v>
      </c>
      <c r="BM436" s="2" t="s">
        <v>8354</v>
      </c>
      <c r="BN436" s="2" t="n">
        <v>31101588</v>
      </c>
      <c r="BO436" s="2" t="s">
        <v>165</v>
      </c>
      <c r="BP436" s="2"/>
      <c r="BQ436" s="2"/>
      <c r="BR436" s="2" t="s">
        <v>104</v>
      </c>
      <c r="BS436" s="2" t="s">
        <v>8355</v>
      </c>
      <c r="BT436" s="2" t="str">
        <f aca="false">HYPERLINK("https%3A%2F%2Fwww.webofscience.com%2Fwos%2Fwoscc%2Ffull-record%2FWOS:000504685400018","View Full Record in Web of Science")</f>
        <v>View Full Record in Web of Science</v>
      </c>
    </row>
    <row r="437" customFormat="false" ht="12.75" hidden="false" customHeight="false" outlineLevel="0" collapsed="false">
      <c r="A437" s="2" t="s">
        <v>72</v>
      </c>
      <c r="B437" s="2" t="s">
        <v>8356</v>
      </c>
      <c r="C437" s="2"/>
      <c r="D437" s="2"/>
      <c r="E437" s="2"/>
      <c r="F437" s="2" t="s">
        <v>8357</v>
      </c>
      <c r="G437" s="2"/>
      <c r="H437" s="2"/>
      <c r="I437" s="2" t="s">
        <v>8358</v>
      </c>
      <c r="J437" s="2" t="s">
        <v>8359</v>
      </c>
      <c r="K437" s="2"/>
      <c r="L437" s="2"/>
      <c r="M437" s="2" t="s">
        <v>77</v>
      </c>
      <c r="N437" s="2" t="s">
        <v>78</v>
      </c>
      <c r="O437" s="2"/>
      <c r="P437" s="2"/>
      <c r="Q437" s="2"/>
      <c r="R437" s="2"/>
      <c r="S437" s="2"/>
      <c r="T437" s="2" t="s">
        <v>8360</v>
      </c>
      <c r="U437" s="2" t="s">
        <v>8361</v>
      </c>
      <c r="V437" s="2" t="s">
        <v>8362</v>
      </c>
      <c r="W437" s="2" t="s">
        <v>8363</v>
      </c>
      <c r="X437" s="2" t="s">
        <v>8364</v>
      </c>
      <c r="Y437" s="2" t="s">
        <v>8365</v>
      </c>
      <c r="Z437" s="2" t="s">
        <v>8366</v>
      </c>
      <c r="AA437" s="2" t="s">
        <v>8367</v>
      </c>
      <c r="AB437" s="2" t="s">
        <v>8368</v>
      </c>
      <c r="AC437" s="2"/>
      <c r="AD437" s="2"/>
      <c r="AE437" s="2"/>
      <c r="AF437" s="2"/>
      <c r="AG437" s="2" t="n">
        <v>18</v>
      </c>
      <c r="AH437" s="2" t="n">
        <v>63</v>
      </c>
      <c r="AI437" s="2" t="n">
        <v>66</v>
      </c>
      <c r="AJ437" s="2" t="n">
        <v>0</v>
      </c>
      <c r="AK437" s="2" t="n">
        <v>5</v>
      </c>
      <c r="AL437" s="2" t="s">
        <v>3584</v>
      </c>
      <c r="AM437" s="2" t="s">
        <v>303</v>
      </c>
      <c r="AN437" s="2" t="s">
        <v>3585</v>
      </c>
      <c r="AO437" s="2" t="s">
        <v>8369</v>
      </c>
      <c r="AP437" s="2"/>
      <c r="AQ437" s="2"/>
      <c r="AR437" s="2" t="s">
        <v>8370</v>
      </c>
      <c r="AS437" s="2" t="s">
        <v>8371</v>
      </c>
      <c r="AT437" s="2" t="s">
        <v>446</v>
      </c>
      <c r="AU437" s="2" t="n">
        <v>2007</v>
      </c>
      <c r="AV437" s="2" t="n">
        <v>67</v>
      </c>
      <c r="AW437" s="2" t="n">
        <v>4</v>
      </c>
      <c r="AX437" s="2"/>
      <c r="AY437" s="2"/>
      <c r="AZ437" s="2"/>
      <c r="BA437" s="2"/>
      <c r="BB437" s="2" t="n">
        <v>336</v>
      </c>
      <c r="BC437" s="2" t="n">
        <v>343</v>
      </c>
      <c r="BD437" s="2"/>
      <c r="BE437" s="2" t="s">
        <v>8372</v>
      </c>
      <c r="BF437" s="2" t="str">
        <f aca="false">HYPERLINK("http://dx.doi.org/10.1016/j.jhin.2007.09.010","http://dx.doi.org/10.1016/j.jhin.2007.09.010")</f>
        <v>http://dx.doi.org/10.1016/j.jhin.2007.09.010</v>
      </c>
      <c r="BG437" s="2"/>
      <c r="BH437" s="2"/>
      <c r="BI437" s="2" t="n">
        <v>8</v>
      </c>
      <c r="BJ437" s="2" t="s">
        <v>2113</v>
      </c>
      <c r="BK437" s="2" t="s">
        <v>100</v>
      </c>
      <c r="BL437" s="2" t="s">
        <v>2113</v>
      </c>
      <c r="BM437" s="2" t="s">
        <v>8373</v>
      </c>
      <c r="BN437" s="2" t="n">
        <v>18022285</v>
      </c>
      <c r="BO437" s="2"/>
      <c r="BP437" s="2"/>
      <c r="BQ437" s="2"/>
      <c r="BR437" s="2" t="s">
        <v>104</v>
      </c>
      <c r="BS437" s="2" t="s">
        <v>8374</v>
      </c>
      <c r="BT437" s="2" t="str">
        <f aca="false">HYPERLINK("https%3A%2F%2Fwww.webofscience.com%2Fwos%2Fwoscc%2Ffull-record%2FWOS:000251929200006","View Full Record in Web of Science")</f>
        <v>View Full Record in Web of Science</v>
      </c>
    </row>
    <row r="438" customFormat="false" ht="12.75" hidden="false" customHeight="false" outlineLevel="0" collapsed="false">
      <c r="A438" s="2" t="s">
        <v>72</v>
      </c>
      <c r="B438" s="2" t="s">
        <v>8375</v>
      </c>
      <c r="C438" s="2"/>
      <c r="D438" s="2"/>
      <c r="E438" s="2"/>
      <c r="F438" s="2" t="s">
        <v>8376</v>
      </c>
      <c r="G438" s="2"/>
      <c r="H438" s="2"/>
      <c r="I438" s="2" t="s">
        <v>8377</v>
      </c>
      <c r="J438" s="2" t="s">
        <v>1863</v>
      </c>
      <c r="K438" s="2"/>
      <c r="L438" s="2"/>
      <c r="M438" s="2" t="s">
        <v>77</v>
      </c>
      <c r="N438" s="2" t="s">
        <v>78</v>
      </c>
      <c r="O438" s="2"/>
      <c r="P438" s="2"/>
      <c r="Q438" s="2"/>
      <c r="R438" s="2"/>
      <c r="S438" s="2"/>
      <c r="T438" s="2" t="s">
        <v>8378</v>
      </c>
      <c r="U438" s="2" t="s">
        <v>8379</v>
      </c>
      <c r="V438" s="2" t="s">
        <v>8380</v>
      </c>
      <c r="W438" s="2" t="s">
        <v>8381</v>
      </c>
      <c r="X438" s="2"/>
      <c r="Y438" s="2" t="s">
        <v>8382</v>
      </c>
      <c r="Z438" s="2" t="s">
        <v>8383</v>
      </c>
      <c r="AA438" s="2" t="s">
        <v>8384</v>
      </c>
      <c r="AB438" s="2"/>
      <c r="AC438" s="2" t="s">
        <v>8385</v>
      </c>
      <c r="AD438" s="2" t="s">
        <v>8386</v>
      </c>
      <c r="AE438" s="2" t="s">
        <v>8387</v>
      </c>
      <c r="AF438" s="2"/>
      <c r="AG438" s="2" t="n">
        <v>27</v>
      </c>
      <c r="AH438" s="2" t="n">
        <v>17</v>
      </c>
      <c r="AI438" s="2" t="n">
        <v>20</v>
      </c>
      <c r="AJ438" s="2" t="n">
        <v>0</v>
      </c>
      <c r="AK438" s="2" t="n">
        <v>2</v>
      </c>
      <c r="AL438" s="2" t="s">
        <v>302</v>
      </c>
      <c r="AM438" s="2" t="s">
        <v>303</v>
      </c>
      <c r="AN438" s="2" t="s">
        <v>304</v>
      </c>
      <c r="AO438" s="2" t="s">
        <v>1876</v>
      </c>
      <c r="AP438" s="2"/>
      <c r="AQ438" s="2"/>
      <c r="AR438" s="2" t="s">
        <v>1877</v>
      </c>
      <c r="AS438" s="2" t="s">
        <v>1878</v>
      </c>
      <c r="AT438" s="2" t="s">
        <v>2477</v>
      </c>
      <c r="AU438" s="2" t="n">
        <v>2019</v>
      </c>
      <c r="AV438" s="2" t="n">
        <v>16</v>
      </c>
      <c r="AW438" s="2"/>
      <c r="AX438" s="2"/>
      <c r="AY438" s="2"/>
      <c r="AZ438" s="2"/>
      <c r="BA438" s="2"/>
      <c r="BB438" s="2"/>
      <c r="BC438" s="2"/>
      <c r="BD438" s="2" t="n">
        <v>84</v>
      </c>
      <c r="BE438" s="2" t="s">
        <v>8388</v>
      </c>
      <c r="BF438" s="2" t="str">
        <f aca="false">HYPERLINK("http://dx.doi.org/10.1186/s12985-019-1177-x","http://dx.doi.org/10.1186/s12985-019-1177-x")</f>
        <v>http://dx.doi.org/10.1186/s12985-019-1177-x</v>
      </c>
      <c r="BG438" s="2"/>
      <c r="BH438" s="2"/>
      <c r="BI438" s="2" t="n">
        <v>7</v>
      </c>
      <c r="BJ438" s="2" t="s">
        <v>163</v>
      </c>
      <c r="BK438" s="2" t="s">
        <v>100</v>
      </c>
      <c r="BL438" s="2" t="s">
        <v>163</v>
      </c>
      <c r="BM438" s="2" t="s">
        <v>8389</v>
      </c>
      <c r="BN438" s="2" t="n">
        <v>31234918</v>
      </c>
      <c r="BO438" s="2" t="s">
        <v>190</v>
      </c>
      <c r="BP438" s="2"/>
      <c r="BQ438" s="2"/>
      <c r="BR438" s="2" t="s">
        <v>104</v>
      </c>
      <c r="BS438" s="2" t="s">
        <v>8390</v>
      </c>
      <c r="BT438" s="2" t="str">
        <f aca="false">HYPERLINK("https%3A%2F%2Fwww.webofscience.com%2Fwos%2Fwoscc%2Ffull-record%2FWOS:000472955400001","View Full Record in Web of Science")</f>
        <v>View Full Record in Web of Science</v>
      </c>
    </row>
    <row r="439" customFormat="false" ht="12.75" hidden="false" customHeight="false" outlineLevel="0" collapsed="false">
      <c r="A439" s="2" t="s">
        <v>72</v>
      </c>
      <c r="B439" s="2" t="s">
        <v>8391</v>
      </c>
      <c r="C439" s="2"/>
      <c r="D439" s="2"/>
      <c r="E439" s="2"/>
      <c r="F439" s="2" t="s">
        <v>8392</v>
      </c>
      <c r="G439" s="2"/>
      <c r="H439" s="2"/>
      <c r="I439" s="2" t="s">
        <v>8393</v>
      </c>
      <c r="J439" s="2" t="s">
        <v>8394</v>
      </c>
      <c r="K439" s="2"/>
      <c r="L439" s="2"/>
      <c r="M439" s="2" t="s">
        <v>77</v>
      </c>
      <c r="N439" s="2" t="s">
        <v>78</v>
      </c>
      <c r="O439" s="2"/>
      <c r="P439" s="2"/>
      <c r="Q439" s="2"/>
      <c r="R439" s="2"/>
      <c r="S439" s="2"/>
      <c r="T439" s="2" t="s">
        <v>8395</v>
      </c>
      <c r="U439" s="2" t="s">
        <v>8396</v>
      </c>
      <c r="V439" s="2" t="s">
        <v>8397</v>
      </c>
      <c r="W439" s="2" t="s">
        <v>8398</v>
      </c>
      <c r="X439" s="2" t="s">
        <v>8399</v>
      </c>
      <c r="Y439" s="2" t="s">
        <v>8400</v>
      </c>
      <c r="Z439" s="2" t="s">
        <v>3935</v>
      </c>
      <c r="AA439" s="2" t="s">
        <v>4210</v>
      </c>
      <c r="AB439" s="2" t="s">
        <v>8401</v>
      </c>
      <c r="AC439" s="2"/>
      <c r="AD439" s="2"/>
      <c r="AE439" s="2"/>
      <c r="AF439" s="2"/>
      <c r="AG439" s="2" t="n">
        <v>17</v>
      </c>
      <c r="AH439" s="2" t="n">
        <v>16</v>
      </c>
      <c r="AI439" s="2" t="n">
        <v>16</v>
      </c>
      <c r="AJ439" s="2" t="n">
        <v>0</v>
      </c>
      <c r="AK439" s="2" t="n">
        <v>4</v>
      </c>
      <c r="AL439" s="2" t="s">
        <v>7639</v>
      </c>
      <c r="AM439" s="2" t="s">
        <v>783</v>
      </c>
      <c r="AN439" s="2" t="s">
        <v>7640</v>
      </c>
      <c r="AO439" s="2" t="s">
        <v>8402</v>
      </c>
      <c r="AP439" s="2" t="s">
        <v>8403</v>
      </c>
      <c r="AQ439" s="2"/>
      <c r="AR439" s="2" t="s">
        <v>8404</v>
      </c>
      <c r="AS439" s="2" t="s">
        <v>8405</v>
      </c>
      <c r="AT439" s="2" t="s">
        <v>599</v>
      </c>
      <c r="AU439" s="2" t="n">
        <v>2019</v>
      </c>
      <c r="AV439" s="2" t="n">
        <v>8</v>
      </c>
      <c r="AW439" s="2" t="n">
        <v>3</v>
      </c>
      <c r="AX439" s="2"/>
      <c r="AY439" s="2"/>
      <c r="AZ439" s="2"/>
      <c r="BA439" s="2"/>
      <c r="BB439" s="2" t="n">
        <v>197</v>
      </c>
      <c r="BC439" s="2" t="n">
        <v>204</v>
      </c>
      <c r="BD439" s="2"/>
      <c r="BE439" s="2" t="s">
        <v>8406</v>
      </c>
      <c r="BF439" s="2" t="str">
        <f aca="false">HYPERLINK("http://dx.doi.org/10.1093/jpids/piy024","http://dx.doi.org/10.1093/jpids/piy024")</f>
        <v>http://dx.doi.org/10.1093/jpids/piy024</v>
      </c>
      <c r="BG439" s="2"/>
      <c r="BH439" s="2"/>
      <c r="BI439" s="2" t="n">
        <v>8</v>
      </c>
      <c r="BJ439" s="2" t="s">
        <v>417</v>
      </c>
      <c r="BK439" s="2" t="s">
        <v>100</v>
      </c>
      <c r="BL439" s="2" t="s">
        <v>417</v>
      </c>
      <c r="BM439" s="2" t="s">
        <v>8407</v>
      </c>
      <c r="BN439" s="2" t="n">
        <v>29538674</v>
      </c>
      <c r="BO439" s="2" t="s">
        <v>165</v>
      </c>
      <c r="BP439" s="2"/>
      <c r="BQ439" s="2"/>
      <c r="BR439" s="2" t="s">
        <v>104</v>
      </c>
      <c r="BS439" s="2" t="s">
        <v>8408</v>
      </c>
      <c r="BT439" s="2" t="str">
        <f aca="false">HYPERLINK("https%3A%2F%2Fwww.webofscience.com%2Fwos%2Fwoscc%2Ffull-record%2FWOS:000493103600002","View Full Record in Web of Science")</f>
        <v>View Full Record in Web of Science</v>
      </c>
    </row>
    <row r="440" customFormat="false" ht="12.75" hidden="false" customHeight="false" outlineLevel="0" collapsed="false">
      <c r="A440" s="2" t="s">
        <v>72</v>
      </c>
      <c r="B440" s="2" t="s">
        <v>8409</v>
      </c>
      <c r="C440" s="2"/>
      <c r="D440" s="2"/>
      <c r="E440" s="2"/>
      <c r="F440" s="2" t="s">
        <v>8410</v>
      </c>
      <c r="G440" s="2"/>
      <c r="H440" s="2"/>
      <c r="I440" s="2" t="s">
        <v>8411</v>
      </c>
      <c r="J440" s="2" t="s">
        <v>8412</v>
      </c>
      <c r="K440" s="2"/>
      <c r="L440" s="2"/>
      <c r="M440" s="2" t="s">
        <v>77</v>
      </c>
      <c r="N440" s="2" t="s">
        <v>78</v>
      </c>
      <c r="O440" s="2"/>
      <c r="P440" s="2"/>
      <c r="Q440" s="2"/>
      <c r="R440" s="2"/>
      <c r="S440" s="2"/>
      <c r="T440" s="2" t="s">
        <v>8413</v>
      </c>
      <c r="U440" s="2" t="s">
        <v>8414</v>
      </c>
      <c r="V440" s="2" t="s">
        <v>8415</v>
      </c>
      <c r="W440" s="2" t="s">
        <v>8416</v>
      </c>
      <c r="X440" s="2" t="s">
        <v>8417</v>
      </c>
      <c r="Y440" s="2" t="s">
        <v>8418</v>
      </c>
      <c r="Z440" s="2" t="s">
        <v>8419</v>
      </c>
      <c r="AA440" s="2" t="s">
        <v>8420</v>
      </c>
      <c r="AB440" s="2" t="s">
        <v>8421</v>
      </c>
      <c r="AC440" s="2" t="s">
        <v>8422</v>
      </c>
      <c r="AD440" s="2" t="s">
        <v>8423</v>
      </c>
      <c r="AE440" s="2" t="s">
        <v>8424</v>
      </c>
      <c r="AF440" s="2"/>
      <c r="AG440" s="2" t="n">
        <v>31</v>
      </c>
      <c r="AH440" s="2" t="n">
        <v>83</v>
      </c>
      <c r="AI440" s="2" t="n">
        <v>91</v>
      </c>
      <c r="AJ440" s="2" t="n">
        <v>1</v>
      </c>
      <c r="AK440" s="2" t="n">
        <v>33</v>
      </c>
      <c r="AL440" s="2" t="s">
        <v>620</v>
      </c>
      <c r="AM440" s="2" t="s">
        <v>621</v>
      </c>
      <c r="AN440" s="2" t="s">
        <v>622</v>
      </c>
      <c r="AO440" s="2" t="s">
        <v>8425</v>
      </c>
      <c r="AP440" s="2"/>
      <c r="AQ440" s="2"/>
      <c r="AR440" s="2" t="s">
        <v>8426</v>
      </c>
      <c r="AS440" s="2" t="s">
        <v>8427</v>
      </c>
      <c r="AT440" s="2" t="s">
        <v>8428</v>
      </c>
      <c r="AU440" s="2" t="n">
        <v>2017</v>
      </c>
      <c r="AV440" s="2" t="n">
        <v>7</v>
      </c>
      <c r="AW440" s="2"/>
      <c r="AX440" s="2"/>
      <c r="AY440" s="2"/>
      <c r="AZ440" s="2"/>
      <c r="BA440" s="2"/>
      <c r="BB440" s="2"/>
      <c r="BC440" s="2"/>
      <c r="BD440" s="2" t="n">
        <v>2166</v>
      </c>
      <c r="BE440" s="2" t="s">
        <v>8429</v>
      </c>
      <c r="BF440" s="2" t="str">
        <f aca="false">HYPERLINK("http://dx.doi.org/10.3389/fmicb.2016.02166","http://dx.doi.org/10.3389/fmicb.2016.02166")</f>
        <v>http://dx.doi.org/10.3389/fmicb.2016.02166</v>
      </c>
      <c r="BG440" s="2"/>
      <c r="BH440" s="2"/>
      <c r="BI440" s="2" t="n">
        <v>13</v>
      </c>
      <c r="BJ440" s="2" t="s">
        <v>211</v>
      </c>
      <c r="BK440" s="2" t="s">
        <v>100</v>
      </c>
      <c r="BL440" s="2" t="s">
        <v>211</v>
      </c>
      <c r="BM440" s="2" t="s">
        <v>8430</v>
      </c>
      <c r="BN440" s="2" t="n">
        <v>28119682</v>
      </c>
      <c r="BO440" s="2" t="s">
        <v>103</v>
      </c>
      <c r="BP440" s="2"/>
      <c r="BQ440" s="2"/>
      <c r="BR440" s="2" t="s">
        <v>104</v>
      </c>
      <c r="BS440" s="2" t="s">
        <v>8431</v>
      </c>
      <c r="BT440" s="2" t="str">
        <f aca="false">HYPERLINK("https%3A%2F%2Fwww.webofscience.com%2Fwos%2Fwoscc%2Ffull-record%2FWOS:000391498400001","View Full Record in Web of Science")</f>
        <v>View Full Record in Web of Science</v>
      </c>
    </row>
    <row r="441" customFormat="false" ht="12.75" hidden="false" customHeight="false" outlineLevel="0" collapsed="false">
      <c r="A441" s="2" t="s">
        <v>72</v>
      </c>
      <c r="B441" s="2" t="s">
        <v>8432</v>
      </c>
      <c r="C441" s="2"/>
      <c r="D441" s="2"/>
      <c r="E441" s="2"/>
      <c r="F441" s="2" t="s">
        <v>8433</v>
      </c>
      <c r="G441" s="2"/>
      <c r="H441" s="2"/>
      <c r="I441" s="2" t="s">
        <v>8434</v>
      </c>
      <c r="J441" s="2" t="s">
        <v>6643</v>
      </c>
      <c r="K441" s="2"/>
      <c r="L441" s="2"/>
      <c r="M441" s="2" t="s">
        <v>77</v>
      </c>
      <c r="N441" s="2" t="s">
        <v>78</v>
      </c>
      <c r="O441" s="2"/>
      <c r="P441" s="2"/>
      <c r="Q441" s="2"/>
      <c r="R441" s="2"/>
      <c r="S441" s="2"/>
      <c r="T441" s="2" t="s">
        <v>8435</v>
      </c>
      <c r="U441" s="2" t="s">
        <v>8436</v>
      </c>
      <c r="V441" s="2" t="s">
        <v>8437</v>
      </c>
      <c r="W441" s="2" t="s">
        <v>8438</v>
      </c>
      <c r="X441" s="2" t="s">
        <v>8439</v>
      </c>
      <c r="Y441" s="2" t="s">
        <v>8440</v>
      </c>
      <c r="Z441" s="2" t="s">
        <v>8441</v>
      </c>
      <c r="AA441" s="2" t="s">
        <v>8442</v>
      </c>
      <c r="AB441" s="2" t="s">
        <v>8443</v>
      </c>
      <c r="AC441" s="2" t="s">
        <v>8444</v>
      </c>
      <c r="AD441" s="2" t="s">
        <v>8445</v>
      </c>
      <c r="AE441" s="2" t="s">
        <v>8446</v>
      </c>
      <c r="AF441" s="2"/>
      <c r="AG441" s="2" t="n">
        <v>76</v>
      </c>
      <c r="AH441" s="2" t="n">
        <v>22</v>
      </c>
      <c r="AI441" s="2" t="n">
        <v>25</v>
      </c>
      <c r="AJ441" s="2" t="n">
        <v>1</v>
      </c>
      <c r="AK441" s="2" t="n">
        <v>16</v>
      </c>
      <c r="AL441" s="2" t="s">
        <v>592</v>
      </c>
      <c r="AM441" s="2" t="s">
        <v>593</v>
      </c>
      <c r="AN441" s="2" t="s">
        <v>859</v>
      </c>
      <c r="AO441" s="2" t="s">
        <v>6656</v>
      </c>
      <c r="AP441" s="2" t="s">
        <v>6657</v>
      </c>
      <c r="AQ441" s="2"/>
      <c r="AR441" s="2" t="s">
        <v>6643</v>
      </c>
      <c r="AS441" s="2" t="s">
        <v>6658</v>
      </c>
      <c r="AT441" s="2" t="s">
        <v>446</v>
      </c>
      <c r="AU441" s="2" t="n">
        <v>2020</v>
      </c>
      <c r="AV441" s="2" t="n">
        <v>17</v>
      </c>
      <c r="AW441" s="2" t="n">
        <v>4</v>
      </c>
      <c r="AX441" s="2"/>
      <c r="AY441" s="2"/>
      <c r="AZ441" s="2"/>
      <c r="BA441" s="2"/>
      <c r="BB441" s="2" t="n">
        <v>449</v>
      </c>
      <c r="BC441" s="2" t="n">
        <v>460</v>
      </c>
      <c r="BD441" s="2"/>
      <c r="BE441" s="2" t="s">
        <v>8447</v>
      </c>
      <c r="BF441" s="2" t="str">
        <f aca="false">HYPERLINK("http://dx.doi.org/10.1007/s10393-020-01506-8","http://dx.doi.org/10.1007/s10393-020-01506-8")</f>
        <v>http://dx.doi.org/10.1007/s10393-020-01506-8</v>
      </c>
      <c r="BG441" s="2"/>
      <c r="BH441" s="2" t="s">
        <v>8448</v>
      </c>
      <c r="BI441" s="2" t="n">
        <v>12</v>
      </c>
      <c r="BJ441" s="2" t="s">
        <v>6660</v>
      </c>
      <c r="BK441" s="2" t="s">
        <v>100</v>
      </c>
      <c r="BL441" s="2" t="s">
        <v>6661</v>
      </c>
      <c r="BM441" s="2" t="s">
        <v>8449</v>
      </c>
      <c r="BN441" s="2" t="n">
        <v>33345293</v>
      </c>
      <c r="BO441" s="2" t="s">
        <v>284</v>
      </c>
      <c r="BP441" s="2"/>
      <c r="BQ441" s="2"/>
      <c r="BR441" s="2" t="s">
        <v>104</v>
      </c>
      <c r="BS441" s="2" t="s">
        <v>8450</v>
      </c>
      <c r="BT441" s="2" t="str">
        <f aca="false">HYPERLINK("https%3A%2F%2Fwww.webofscience.com%2Fwos%2Fwoscc%2Ffull-record%2FWOS:000600543700001","View Full Record in Web of Science")</f>
        <v>View Full Record in Web of Science</v>
      </c>
    </row>
    <row r="442" customFormat="false" ht="12.75" hidden="false" customHeight="false" outlineLevel="0" collapsed="false">
      <c r="A442" s="2" t="s">
        <v>72</v>
      </c>
      <c r="B442" s="2" t="s">
        <v>8451</v>
      </c>
      <c r="C442" s="2"/>
      <c r="D442" s="2"/>
      <c r="E442" s="2"/>
      <c r="F442" s="2" t="s">
        <v>8452</v>
      </c>
      <c r="G442" s="2"/>
      <c r="H442" s="2"/>
      <c r="I442" s="2" t="s">
        <v>8453</v>
      </c>
      <c r="J442" s="2" t="s">
        <v>8454</v>
      </c>
      <c r="K442" s="2"/>
      <c r="L442" s="2"/>
      <c r="M442" s="2" t="s">
        <v>77</v>
      </c>
      <c r="N442" s="2" t="s">
        <v>78</v>
      </c>
      <c r="O442" s="2"/>
      <c r="P442" s="2"/>
      <c r="Q442" s="2"/>
      <c r="R442" s="2"/>
      <c r="S442" s="2"/>
      <c r="T442" s="2" t="s">
        <v>8455</v>
      </c>
      <c r="U442" s="2" t="s">
        <v>8456</v>
      </c>
      <c r="V442" s="2" t="s">
        <v>8457</v>
      </c>
      <c r="W442" s="2" t="s">
        <v>8458</v>
      </c>
      <c r="X442" s="2" t="s">
        <v>8459</v>
      </c>
      <c r="Y442" s="2" t="s">
        <v>8460</v>
      </c>
      <c r="Z442" s="2" t="s">
        <v>8461</v>
      </c>
      <c r="AA442" s="2" t="s">
        <v>8462</v>
      </c>
      <c r="AB442" s="2" t="s">
        <v>8463</v>
      </c>
      <c r="AC442" s="2"/>
      <c r="AD442" s="2"/>
      <c r="AE442" s="2"/>
      <c r="AF442" s="2"/>
      <c r="AG442" s="2" t="n">
        <v>48</v>
      </c>
      <c r="AH442" s="2" t="n">
        <v>13</v>
      </c>
      <c r="AI442" s="2" t="n">
        <v>15</v>
      </c>
      <c r="AJ442" s="2" t="n">
        <v>1</v>
      </c>
      <c r="AK442" s="2" t="n">
        <v>7</v>
      </c>
      <c r="AL442" s="2" t="s">
        <v>154</v>
      </c>
      <c r="AM442" s="2" t="s">
        <v>155</v>
      </c>
      <c r="AN442" s="2" t="s">
        <v>156</v>
      </c>
      <c r="AO442" s="2" t="s">
        <v>8464</v>
      </c>
      <c r="AP442" s="2" t="s">
        <v>8465</v>
      </c>
      <c r="AQ442" s="2"/>
      <c r="AR442" s="2" t="s">
        <v>8466</v>
      </c>
      <c r="AS442" s="2" t="s">
        <v>8467</v>
      </c>
      <c r="AT442" s="2" t="s">
        <v>599</v>
      </c>
      <c r="AU442" s="2" t="n">
        <v>2020</v>
      </c>
      <c r="AV442" s="2" t="n">
        <v>163</v>
      </c>
      <c r="AW442" s="2" t="n">
        <v>1</v>
      </c>
      <c r="AX442" s="2"/>
      <c r="AY442" s="2"/>
      <c r="AZ442" s="2" t="s">
        <v>1627</v>
      </c>
      <c r="BA442" s="2"/>
      <c r="BB442" s="2" t="n">
        <v>156</v>
      </c>
      <c r="BC442" s="2" t="n">
        <v>161</v>
      </c>
      <c r="BD442" s="2" t="n">
        <v>194599820929278</v>
      </c>
      <c r="BE442" s="2" t="s">
        <v>8468</v>
      </c>
      <c r="BF442" s="2" t="str">
        <f aca="false">HYPERLINK("http://dx.doi.org/10.1177/0194599820929278","http://dx.doi.org/10.1177/0194599820929278")</f>
        <v>http://dx.doi.org/10.1177/0194599820929278</v>
      </c>
      <c r="BG442" s="2"/>
      <c r="BH442" s="2" t="s">
        <v>6543</v>
      </c>
      <c r="BI442" s="2" t="n">
        <v>6</v>
      </c>
      <c r="BJ442" s="2" t="s">
        <v>8469</v>
      </c>
      <c r="BK442" s="2" t="s">
        <v>100</v>
      </c>
      <c r="BL442" s="2" t="s">
        <v>8469</v>
      </c>
      <c r="BM442" s="2" t="s">
        <v>8470</v>
      </c>
      <c r="BN442" s="2" t="n">
        <v>32423285</v>
      </c>
      <c r="BO442" s="2"/>
      <c r="BP442" s="2"/>
      <c r="BQ442" s="2"/>
      <c r="BR442" s="2" t="s">
        <v>104</v>
      </c>
      <c r="BS442" s="2" t="s">
        <v>8471</v>
      </c>
      <c r="BT442" s="2" t="str">
        <f aca="false">HYPERLINK("https%3A%2F%2Fwww.webofscience.com%2Fwos%2Fwoscc%2Ffull-record%2FWOS:000534324700001","View Full Record in Web of Science")</f>
        <v>View Full Record in Web of Science</v>
      </c>
    </row>
    <row r="443" customFormat="false" ht="12.75" hidden="false" customHeight="false" outlineLevel="0" collapsed="false">
      <c r="A443" s="2" t="s">
        <v>72</v>
      </c>
      <c r="B443" s="2" t="s">
        <v>8472</v>
      </c>
      <c r="C443" s="2"/>
      <c r="D443" s="2"/>
      <c r="E443" s="2"/>
      <c r="F443" s="2" t="s">
        <v>8473</v>
      </c>
      <c r="G443" s="2"/>
      <c r="H443" s="2"/>
      <c r="I443" s="2" t="s">
        <v>8474</v>
      </c>
      <c r="J443" s="2" t="s">
        <v>8475</v>
      </c>
      <c r="K443" s="2"/>
      <c r="L443" s="2"/>
      <c r="M443" s="2" t="s">
        <v>77</v>
      </c>
      <c r="N443" s="2" t="s">
        <v>78</v>
      </c>
      <c r="O443" s="2"/>
      <c r="P443" s="2"/>
      <c r="Q443" s="2"/>
      <c r="R443" s="2"/>
      <c r="S443" s="2"/>
      <c r="T443" s="2" t="s">
        <v>8476</v>
      </c>
      <c r="U443" s="2" t="s">
        <v>8477</v>
      </c>
      <c r="V443" s="2" t="s">
        <v>8478</v>
      </c>
      <c r="W443" s="2" t="s">
        <v>8479</v>
      </c>
      <c r="X443" s="2" t="s">
        <v>8480</v>
      </c>
      <c r="Y443" s="2" t="s">
        <v>8481</v>
      </c>
      <c r="Z443" s="2" t="s">
        <v>8482</v>
      </c>
      <c r="AA443" s="2" t="s">
        <v>8483</v>
      </c>
      <c r="AB443" s="2" t="s">
        <v>8484</v>
      </c>
      <c r="AC443" s="2" t="s">
        <v>8485</v>
      </c>
      <c r="AD443" s="2" t="s">
        <v>8486</v>
      </c>
      <c r="AE443" s="2" t="s">
        <v>8487</v>
      </c>
      <c r="AF443" s="2"/>
      <c r="AG443" s="2" t="n">
        <v>29</v>
      </c>
      <c r="AH443" s="2" t="n">
        <v>2</v>
      </c>
      <c r="AI443" s="2" t="n">
        <v>2</v>
      </c>
      <c r="AJ443" s="2" t="n">
        <v>0</v>
      </c>
      <c r="AK443" s="2" t="n">
        <v>6</v>
      </c>
      <c r="AL443" s="2" t="s">
        <v>8488</v>
      </c>
      <c r="AM443" s="2" t="s">
        <v>8489</v>
      </c>
      <c r="AN443" s="2" t="s">
        <v>8490</v>
      </c>
      <c r="AO443" s="2" t="s">
        <v>8491</v>
      </c>
      <c r="AP443" s="2"/>
      <c r="AQ443" s="2"/>
      <c r="AR443" s="2" t="s">
        <v>8475</v>
      </c>
      <c r="AS443" s="2" t="s">
        <v>8492</v>
      </c>
      <c r="AT443" s="2" t="s">
        <v>8493</v>
      </c>
      <c r="AU443" s="2" t="n">
        <v>2016</v>
      </c>
      <c r="AV443" s="2" t="n">
        <v>5</v>
      </c>
      <c r="AW443" s="2"/>
      <c r="AX443" s="2"/>
      <c r="AY443" s="2"/>
      <c r="AZ443" s="2"/>
      <c r="BA443" s="2"/>
      <c r="BB443" s="2"/>
      <c r="BC443" s="2"/>
      <c r="BD443" s="2" t="n">
        <v>1338</v>
      </c>
      <c r="BE443" s="2" t="s">
        <v>8494</v>
      </c>
      <c r="BF443" s="2" t="str">
        <f aca="false">HYPERLINK("http://dx.doi.org/10.1186/s40064-016-2957-z","http://dx.doi.org/10.1186/s40064-016-2957-z")</f>
        <v>http://dx.doi.org/10.1186/s40064-016-2957-z</v>
      </c>
      <c r="BG443" s="2"/>
      <c r="BH443" s="2"/>
      <c r="BI443" s="2" t="n">
        <v>10</v>
      </c>
      <c r="BJ443" s="2" t="s">
        <v>1658</v>
      </c>
      <c r="BK443" s="2" t="s">
        <v>100</v>
      </c>
      <c r="BL443" s="2" t="s">
        <v>1659</v>
      </c>
      <c r="BM443" s="2" t="s">
        <v>8495</v>
      </c>
      <c r="BN443" s="2" t="n">
        <v>27563533</v>
      </c>
      <c r="BO443" s="2" t="s">
        <v>103</v>
      </c>
      <c r="BP443" s="2"/>
      <c r="BQ443" s="2"/>
      <c r="BR443" s="2" t="s">
        <v>104</v>
      </c>
      <c r="BS443" s="2" t="s">
        <v>8496</v>
      </c>
      <c r="BT443" s="2" t="str">
        <f aca="false">HYPERLINK("https%3A%2F%2Fwww.webofscience.com%2Fwos%2Fwoscc%2Ffull-record%2FWOS:000381642600023","View Full Record in Web of Science")</f>
        <v>View Full Record in Web of Science</v>
      </c>
    </row>
    <row r="444" customFormat="false" ht="12.75" hidden="false" customHeight="false" outlineLevel="0" collapsed="false">
      <c r="A444" s="2" t="s">
        <v>72</v>
      </c>
      <c r="B444" s="2" t="s">
        <v>8497</v>
      </c>
      <c r="C444" s="2"/>
      <c r="D444" s="2"/>
      <c r="E444" s="2"/>
      <c r="F444" s="2" t="s">
        <v>8498</v>
      </c>
      <c r="G444" s="2"/>
      <c r="H444" s="2"/>
      <c r="I444" s="2" t="s">
        <v>8499</v>
      </c>
      <c r="J444" s="2" t="s">
        <v>557</v>
      </c>
      <c r="K444" s="2"/>
      <c r="L444" s="2"/>
      <c r="M444" s="2" t="s">
        <v>77</v>
      </c>
      <c r="N444" s="2" t="s">
        <v>78</v>
      </c>
      <c r="O444" s="2"/>
      <c r="P444" s="2"/>
      <c r="Q444" s="2"/>
      <c r="R444" s="2"/>
      <c r="S444" s="2"/>
      <c r="T444" s="2" t="s">
        <v>8500</v>
      </c>
      <c r="U444" s="2" t="s">
        <v>8501</v>
      </c>
      <c r="V444" s="2" t="s">
        <v>8502</v>
      </c>
      <c r="W444" s="2" t="s">
        <v>8503</v>
      </c>
      <c r="X444" s="2" t="s">
        <v>8504</v>
      </c>
      <c r="Y444" s="2" t="s">
        <v>8505</v>
      </c>
      <c r="Z444" s="2" t="s">
        <v>8506</v>
      </c>
      <c r="AA444" s="2" t="s">
        <v>8507</v>
      </c>
      <c r="AB444" s="2" t="s">
        <v>8508</v>
      </c>
      <c r="AC444" s="2" t="s">
        <v>8509</v>
      </c>
      <c r="AD444" s="2" t="s">
        <v>8510</v>
      </c>
      <c r="AE444" s="2" t="s">
        <v>8511</v>
      </c>
      <c r="AF444" s="2"/>
      <c r="AG444" s="2" t="n">
        <v>26</v>
      </c>
      <c r="AH444" s="2" t="n">
        <v>19</v>
      </c>
      <c r="AI444" s="2" t="n">
        <v>19</v>
      </c>
      <c r="AJ444" s="2" t="n">
        <v>0</v>
      </c>
      <c r="AK444" s="2" t="n">
        <v>3</v>
      </c>
      <c r="AL444" s="2" t="s">
        <v>2337</v>
      </c>
      <c r="AM444" s="2" t="s">
        <v>303</v>
      </c>
      <c r="AN444" s="2" t="s">
        <v>2338</v>
      </c>
      <c r="AO444" s="2" t="s">
        <v>570</v>
      </c>
      <c r="AP444" s="2"/>
      <c r="AQ444" s="2"/>
      <c r="AR444" s="2" t="s">
        <v>571</v>
      </c>
      <c r="AS444" s="2" t="s">
        <v>572</v>
      </c>
      <c r="AT444" s="2" t="s">
        <v>8512</v>
      </c>
      <c r="AU444" s="2" t="n">
        <v>2016</v>
      </c>
      <c r="AV444" s="2" t="n">
        <v>16</v>
      </c>
      <c r="AW444" s="2"/>
      <c r="AX444" s="2"/>
      <c r="AY444" s="2"/>
      <c r="AZ444" s="2"/>
      <c r="BA444" s="2"/>
      <c r="BB444" s="2"/>
      <c r="BC444" s="2"/>
      <c r="BD444" s="2" t="n">
        <v>637</v>
      </c>
      <c r="BE444" s="2" t="s">
        <v>8513</v>
      </c>
      <c r="BF444" s="2" t="str">
        <f aca="false">HYPERLINK("http://dx.doi.org/10.1186/s12879-016-1962-8","http://dx.doi.org/10.1186/s12879-016-1962-8")</f>
        <v>http://dx.doi.org/10.1186/s12879-016-1962-8</v>
      </c>
      <c r="BG444" s="2"/>
      <c r="BH444" s="2"/>
      <c r="BI444" s="2" t="n">
        <v>9</v>
      </c>
      <c r="BJ444" s="2" t="s">
        <v>575</v>
      </c>
      <c r="BK444" s="2" t="s">
        <v>100</v>
      </c>
      <c r="BL444" s="2" t="s">
        <v>575</v>
      </c>
      <c r="BM444" s="2" t="s">
        <v>8514</v>
      </c>
      <c r="BN444" s="2" t="n">
        <v>27814689</v>
      </c>
      <c r="BO444" s="2" t="s">
        <v>103</v>
      </c>
      <c r="BP444" s="2"/>
      <c r="BQ444" s="2"/>
      <c r="BR444" s="2" t="s">
        <v>104</v>
      </c>
      <c r="BS444" s="2" t="s">
        <v>8515</v>
      </c>
      <c r="BT444" s="2" t="str">
        <f aca="false">HYPERLINK("https%3A%2F%2Fwww.webofscience.com%2Fwos%2Fwoscc%2Ffull-record%2FWOS:000387080000001","View Full Record in Web of Science")</f>
        <v>View Full Record in Web of Science</v>
      </c>
    </row>
    <row r="445" customFormat="false" ht="12.75" hidden="false" customHeight="false" outlineLevel="0" collapsed="false">
      <c r="A445" s="2" t="s">
        <v>72</v>
      </c>
      <c r="B445" s="2" t="s">
        <v>8516</v>
      </c>
      <c r="C445" s="2"/>
      <c r="D445" s="2"/>
      <c r="E445" s="2"/>
      <c r="F445" s="2" t="s">
        <v>8517</v>
      </c>
      <c r="G445" s="2"/>
      <c r="H445" s="2"/>
      <c r="I445" s="2" t="s">
        <v>8518</v>
      </c>
      <c r="J445" s="2" t="s">
        <v>141</v>
      </c>
      <c r="K445" s="2"/>
      <c r="L445" s="2"/>
      <c r="M445" s="2" t="s">
        <v>77</v>
      </c>
      <c r="N445" s="2" t="s">
        <v>78</v>
      </c>
      <c r="O445" s="2"/>
      <c r="P445" s="2"/>
      <c r="Q445" s="2"/>
      <c r="R445" s="2"/>
      <c r="S445" s="2"/>
      <c r="T445" s="2" t="s">
        <v>8519</v>
      </c>
      <c r="U445" s="2" t="s">
        <v>8520</v>
      </c>
      <c r="V445" s="2" t="s">
        <v>8521</v>
      </c>
      <c r="W445" s="2" t="s">
        <v>8522</v>
      </c>
      <c r="X445" s="2" t="s">
        <v>8523</v>
      </c>
      <c r="Y445" s="2" t="s">
        <v>8524</v>
      </c>
      <c r="Z445" s="2" t="s">
        <v>8525</v>
      </c>
      <c r="AA445" s="2" t="s">
        <v>8526</v>
      </c>
      <c r="AB445" s="2" t="s">
        <v>8527</v>
      </c>
      <c r="AC445" s="2"/>
      <c r="AD445" s="2"/>
      <c r="AE445" s="2"/>
      <c r="AF445" s="2"/>
      <c r="AG445" s="2" t="n">
        <v>37</v>
      </c>
      <c r="AH445" s="2" t="n">
        <v>9</v>
      </c>
      <c r="AI445" s="2" t="n">
        <v>10</v>
      </c>
      <c r="AJ445" s="2" t="n">
        <v>0</v>
      </c>
      <c r="AK445" s="2" t="n">
        <v>3</v>
      </c>
      <c r="AL445" s="2" t="s">
        <v>154</v>
      </c>
      <c r="AM445" s="2" t="s">
        <v>155</v>
      </c>
      <c r="AN445" s="2" t="s">
        <v>156</v>
      </c>
      <c r="AO445" s="2" t="s">
        <v>157</v>
      </c>
      <c r="AP445" s="2" t="s">
        <v>158</v>
      </c>
      <c r="AQ445" s="2"/>
      <c r="AR445" s="2" t="s">
        <v>159</v>
      </c>
      <c r="AS445" s="2" t="s">
        <v>160</v>
      </c>
      <c r="AT445" s="2" t="s">
        <v>390</v>
      </c>
      <c r="AU445" s="2" t="n">
        <v>2010</v>
      </c>
      <c r="AV445" s="2" t="n">
        <v>82</v>
      </c>
      <c r="AW445" s="2" t="n">
        <v>5</v>
      </c>
      <c r="AX445" s="2"/>
      <c r="AY445" s="2"/>
      <c r="AZ445" s="2"/>
      <c r="BA445" s="2"/>
      <c r="BB445" s="2" t="n">
        <v>861</v>
      </c>
      <c r="BC445" s="2" t="n">
        <v>865</v>
      </c>
      <c r="BD445" s="2"/>
      <c r="BE445" s="2" t="s">
        <v>8528</v>
      </c>
      <c r="BF445" s="2" t="str">
        <f aca="false">HYPERLINK("http://dx.doi.org/10.1002/jmv.21752","http://dx.doi.org/10.1002/jmv.21752")</f>
        <v>http://dx.doi.org/10.1002/jmv.21752</v>
      </c>
      <c r="BG445" s="2"/>
      <c r="BH445" s="2"/>
      <c r="BI445" s="2" t="n">
        <v>5</v>
      </c>
      <c r="BJ445" s="2" t="s">
        <v>163</v>
      </c>
      <c r="BK445" s="2" t="s">
        <v>100</v>
      </c>
      <c r="BL445" s="2" t="s">
        <v>163</v>
      </c>
      <c r="BM445" s="2" t="s">
        <v>8529</v>
      </c>
      <c r="BN445" s="2" t="n">
        <v>20336730</v>
      </c>
      <c r="BO445" s="2"/>
      <c r="BP445" s="2"/>
      <c r="BQ445" s="2"/>
      <c r="BR445" s="2" t="s">
        <v>104</v>
      </c>
      <c r="BS445" s="2" t="s">
        <v>8530</v>
      </c>
      <c r="BT445" s="2" t="str">
        <f aca="false">HYPERLINK("https%3A%2F%2Fwww.webofscience.com%2Fwos%2Fwoscc%2Ffull-record%2FWOS:000276324100019","View Full Record in Web of Science")</f>
        <v>View Full Record in Web of Science</v>
      </c>
    </row>
    <row r="446" customFormat="false" ht="12.75" hidden="false" customHeight="false" outlineLevel="0" collapsed="false">
      <c r="A446" s="2" t="s">
        <v>72</v>
      </c>
      <c r="B446" s="2" t="s">
        <v>8531</v>
      </c>
      <c r="C446" s="2"/>
      <c r="D446" s="2"/>
      <c r="E446" s="2"/>
      <c r="F446" s="2" t="s">
        <v>8531</v>
      </c>
      <c r="G446" s="2"/>
      <c r="H446" s="2"/>
      <c r="I446" s="2" t="s">
        <v>8532</v>
      </c>
      <c r="J446" s="2" t="s">
        <v>141</v>
      </c>
      <c r="K446" s="2"/>
      <c r="L446" s="2"/>
      <c r="M446" s="2" t="s">
        <v>77</v>
      </c>
      <c r="N446" s="2" t="s">
        <v>78</v>
      </c>
      <c r="O446" s="2"/>
      <c r="P446" s="2"/>
      <c r="Q446" s="2"/>
      <c r="R446" s="2"/>
      <c r="S446" s="2"/>
      <c r="T446" s="2" t="s">
        <v>8533</v>
      </c>
      <c r="U446" s="2" t="s">
        <v>8534</v>
      </c>
      <c r="V446" s="2" t="s">
        <v>8535</v>
      </c>
      <c r="W446" s="2" t="s">
        <v>8536</v>
      </c>
      <c r="X446" s="2" t="s">
        <v>8537</v>
      </c>
      <c r="Y446" s="2" t="s">
        <v>8538</v>
      </c>
      <c r="Z446" s="2" t="s">
        <v>8539</v>
      </c>
      <c r="AA446" s="2"/>
      <c r="AB446" s="2" t="s">
        <v>8540</v>
      </c>
      <c r="AC446" s="2"/>
      <c r="AD446" s="2"/>
      <c r="AE446" s="2"/>
      <c r="AF446" s="2"/>
      <c r="AG446" s="2" t="n">
        <v>29</v>
      </c>
      <c r="AH446" s="2" t="n">
        <v>101</v>
      </c>
      <c r="AI446" s="2" t="n">
        <v>108</v>
      </c>
      <c r="AJ446" s="2" t="n">
        <v>0</v>
      </c>
      <c r="AK446" s="2" t="n">
        <v>4</v>
      </c>
      <c r="AL446" s="2" t="s">
        <v>154</v>
      </c>
      <c r="AM446" s="2" t="s">
        <v>155</v>
      </c>
      <c r="AN446" s="2" t="s">
        <v>156</v>
      </c>
      <c r="AO446" s="2" t="s">
        <v>157</v>
      </c>
      <c r="AP446" s="2" t="s">
        <v>158</v>
      </c>
      <c r="AQ446" s="2"/>
      <c r="AR446" s="2" t="s">
        <v>159</v>
      </c>
      <c r="AS446" s="2" t="s">
        <v>160</v>
      </c>
      <c r="AT446" s="2" t="s">
        <v>161</v>
      </c>
      <c r="AU446" s="2" t="n">
        <v>2005</v>
      </c>
      <c r="AV446" s="2" t="n">
        <v>75</v>
      </c>
      <c r="AW446" s="2" t="n">
        <v>1</v>
      </c>
      <c r="AX446" s="2"/>
      <c r="AY446" s="2"/>
      <c r="AZ446" s="2"/>
      <c r="BA446" s="2"/>
      <c r="BB446" s="2" t="n">
        <v>122</v>
      </c>
      <c r="BC446" s="2" t="n">
        <v>129</v>
      </c>
      <c r="BD446" s="2"/>
      <c r="BE446" s="2" t="s">
        <v>8541</v>
      </c>
      <c r="BF446" s="2" t="str">
        <f aca="false">HYPERLINK("http://dx.doi.org/10.1002/jmv.20246","http://dx.doi.org/10.1002/jmv.20246")</f>
        <v>http://dx.doi.org/10.1002/jmv.20246</v>
      </c>
      <c r="BG446" s="2"/>
      <c r="BH446" s="2"/>
      <c r="BI446" s="2" t="n">
        <v>8</v>
      </c>
      <c r="BJ446" s="2" t="s">
        <v>163</v>
      </c>
      <c r="BK446" s="2" t="s">
        <v>100</v>
      </c>
      <c r="BL446" s="2" t="s">
        <v>163</v>
      </c>
      <c r="BM446" s="2" t="s">
        <v>8542</v>
      </c>
      <c r="BN446" s="2" t="n">
        <v>15543580</v>
      </c>
      <c r="BO446" s="2" t="s">
        <v>165</v>
      </c>
      <c r="BP446" s="2"/>
      <c r="BQ446" s="2"/>
      <c r="BR446" s="2" t="s">
        <v>104</v>
      </c>
      <c r="BS446" s="2" t="s">
        <v>8543</v>
      </c>
      <c r="BT446" s="2" t="str">
        <f aca="false">HYPERLINK("https%3A%2F%2Fwww.webofscience.com%2Fwos%2Fwoscc%2Ffull-record%2FWOS:000225408900018","View Full Record in Web of Science")</f>
        <v>View Full Record in Web of Science</v>
      </c>
    </row>
    <row r="447" customFormat="false" ht="12.75" hidden="false" customHeight="false" outlineLevel="0" collapsed="false">
      <c r="A447" s="2" t="s">
        <v>72</v>
      </c>
      <c r="B447" s="2" t="s">
        <v>8544</v>
      </c>
      <c r="C447" s="2"/>
      <c r="D447" s="2"/>
      <c r="E447" s="2"/>
      <c r="F447" s="2" t="s">
        <v>8545</v>
      </c>
      <c r="G447" s="2"/>
      <c r="H447" s="2"/>
      <c r="I447" s="2" t="s">
        <v>8546</v>
      </c>
      <c r="J447" s="2" t="s">
        <v>3304</v>
      </c>
      <c r="K447" s="2"/>
      <c r="L447" s="2"/>
      <c r="M447" s="2" t="s">
        <v>77</v>
      </c>
      <c r="N447" s="2" t="s">
        <v>78</v>
      </c>
      <c r="O447" s="2"/>
      <c r="P447" s="2"/>
      <c r="Q447" s="2"/>
      <c r="R447" s="2"/>
      <c r="S447" s="2"/>
      <c r="T447" s="2" t="s">
        <v>8547</v>
      </c>
      <c r="U447" s="2" t="s">
        <v>8548</v>
      </c>
      <c r="V447" s="2" t="s">
        <v>8549</v>
      </c>
      <c r="W447" s="2" t="s">
        <v>8550</v>
      </c>
      <c r="X447" s="2" t="s">
        <v>8551</v>
      </c>
      <c r="Y447" s="2" t="s">
        <v>8552</v>
      </c>
      <c r="Z447" s="2" t="s">
        <v>8553</v>
      </c>
      <c r="AA447" s="2"/>
      <c r="AB447" s="2"/>
      <c r="AC447" s="2"/>
      <c r="AD447" s="2"/>
      <c r="AE447" s="2"/>
      <c r="AF447" s="2"/>
      <c r="AG447" s="2" t="n">
        <v>57</v>
      </c>
      <c r="AH447" s="2" t="n">
        <v>27</v>
      </c>
      <c r="AI447" s="2" t="n">
        <v>31</v>
      </c>
      <c r="AJ447" s="2" t="n">
        <v>0</v>
      </c>
      <c r="AK447" s="2" t="n">
        <v>17</v>
      </c>
      <c r="AL447" s="2" t="s">
        <v>957</v>
      </c>
      <c r="AM447" s="2" t="s">
        <v>123</v>
      </c>
      <c r="AN447" s="2" t="s">
        <v>958</v>
      </c>
      <c r="AO447" s="2" t="s">
        <v>3312</v>
      </c>
      <c r="AP447" s="2" t="s">
        <v>3313</v>
      </c>
      <c r="AQ447" s="2"/>
      <c r="AR447" s="2" t="s">
        <v>3314</v>
      </c>
      <c r="AS447" s="2" t="s">
        <v>3315</v>
      </c>
      <c r="AT447" s="2" t="s">
        <v>446</v>
      </c>
      <c r="AU447" s="2" t="n">
        <v>2009</v>
      </c>
      <c r="AV447" s="2" t="n">
        <v>29</v>
      </c>
      <c r="AW447" s="2" t="n">
        <v>4</v>
      </c>
      <c r="AX447" s="2"/>
      <c r="AY447" s="2"/>
      <c r="AZ447" s="2"/>
      <c r="BA447" s="2"/>
      <c r="BB447" s="2" t="n">
        <v>661</v>
      </c>
      <c r="BC447" s="2" t="s">
        <v>986</v>
      </c>
      <c r="BD447" s="2"/>
      <c r="BE447" s="2" t="s">
        <v>8554</v>
      </c>
      <c r="BF447" s="2" t="str">
        <f aca="false">HYPERLINK("http://dx.doi.org/10.1016/j.cll.2009.07.008","http://dx.doi.org/10.1016/j.cll.2009.07.008")</f>
        <v>http://dx.doi.org/10.1016/j.cll.2009.07.008</v>
      </c>
      <c r="BG447" s="2"/>
      <c r="BH447" s="2"/>
      <c r="BI447" s="2" t="n">
        <v>12</v>
      </c>
      <c r="BJ447" s="2" t="s">
        <v>3122</v>
      </c>
      <c r="BK447" s="2" t="s">
        <v>100</v>
      </c>
      <c r="BL447" s="2" t="s">
        <v>3122</v>
      </c>
      <c r="BM447" s="2" t="s">
        <v>8555</v>
      </c>
      <c r="BN447" s="2" t="n">
        <v>19892227</v>
      </c>
      <c r="BO447" s="2" t="s">
        <v>1227</v>
      </c>
      <c r="BP447" s="2"/>
      <c r="BQ447" s="2"/>
      <c r="BR447" s="2" t="s">
        <v>104</v>
      </c>
      <c r="BS447" s="2" t="s">
        <v>8556</v>
      </c>
      <c r="BT447" s="2" t="str">
        <f aca="false">HYPERLINK("https%3A%2F%2Fwww.webofscience.com%2Fwos%2Fwoscc%2Ffull-record%2FWOS:000272162100005","View Full Record in Web of Science")</f>
        <v>View Full Record in Web of Science</v>
      </c>
    </row>
    <row r="448" customFormat="false" ht="12.75" hidden="false" customHeight="false" outlineLevel="0" collapsed="false">
      <c r="A448" s="2" t="s">
        <v>72</v>
      </c>
      <c r="B448" s="2" t="s">
        <v>8557</v>
      </c>
      <c r="C448" s="2"/>
      <c r="D448" s="2"/>
      <c r="E448" s="2"/>
      <c r="F448" s="2" t="s">
        <v>8558</v>
      </c>
      <c r="G448" s="2"/>
      <c r="H448" s="2"/>
      <c r="I448" s="2" t="s">
        <v>8559</v>
      </c>
      <c r="J448" s="2" t="s">
        <v>141</v>
      </c>
      <c r="K448" s="2"/>
      <c r="L448" s="2"/>
      <c r="M448" s="2" t="s">
        <v>77</v>
      </c>
      <c r="N448" s="2" t="s">
        <v>78</v>
      </c>
      <c r="O448" s="2"/>
      <c r="P448" s="2"/>
      <c r="Q448" s="2"/>
      <c r="R448" s="2"/>
      <c r="S448" s="2"/>
      <c r="T448" s="2" t="s">
        <v>8560</v>
      </c>
      <c r="U448" s="2" t="s">
        <v>8561</v>
      </c>
      <c r="V448" s="2" t="s">
        <v>8562</v>
      </c>
      <c r="W448" s="2" t="s">
        <v>8563</v>
      </c>
      <c r="X448" s="2" t="s">
        <v>8564</v>
      </c>
      <c r="Y448" s="2" t="s">
        <v>8565</v>
      </c>
      <c r="Z448" s="2" t="s">
        <v>8566</v>
      </c>
      <c r="AA448" s="2" t="s">
        <v>8567</v>
      </c>
      <c r="AB448" s="2" t="s">
        <v>8568</v>
      </c>
      <c r="AC448" s="2"/>
      <c r="AD448" s="2"/>
      <c r="AE448" s="2"/>
      <c r="AF448" s="2"/>
      <c r="AG448" s="2" t="n">
        <v>45</v>
      </c>
      <c r="AH448" s="2" t="n">
        <v>51</v>
      </c>
      <c r="AI448" s="2" t="n">
        <v>55</v>
      </c>
      <c r="AJ448" s="2" t="n">
        <v>0</v>
      </c>
      <c r="AK448" s="2" t="n">
        <v>1</v>
      </c>
      <c r="AL448" s="2" t="s">
        <v>154</v>
      </c>
      <c r="AM448" s="2" t="s">
        <v>155</v>
      </c>
      <c r="AN448" s="2" t="s">
        <v>156</v>
      </c>
      <c r="AO448" s="2" t="s">
        <v>157</v>
      </c>
      <c r="AP448" s="2" t="s">
        <v>158</v>
      </c>
      <c r="AQ448" s="2"/>
      <c r="AR448" s="2" t="s">
        <v>159</v>
      </c>
      <c r="AS448" s="2" t="s">
        <v>160</v>
      </c>
      <c r="AT448" s="2" t="s">
        <v>390</v>
      </c>
      <c r="AU448" s="2" t="n">
        <v>2008</v>
      </c>
      <c r="AV448" s="2" t="n">
        <v>80</v>
      </c>
      <c r="AW448" s="2" t="n">
        <v>5</v>
      </c>
      <c r="AX448" s="2"/>
      <c r="AY448" s="2"/>
      <c r="AZ448" s="2"/>
      <c r="BA448" s="2"/>
      <c r="BB448" s="2" t="n">
        <v>906</v>
      </c>
      <c r="BC448" s="2" t="n">
        <v>912</v>
      </c>
      <c r="BD448" s="2"/>
      <c r="BE448" s="2" t="s">
        <v>8569</v>
      </c>
      <c r="BF448" s="2" t="str">
        <f aca="false">HYPERLINK("http://dx.doi.org/10.1002/jmv.21135","http://dx.doi.org/10.1002/jmv.21135")</f>
        <v>http://dx.doi.org/10.1002/jmv.21135</v>
      </c>
      <c r="BG448" s="2"/>
      <c r="BH448" s="2"/>
      <c r="BI448" s="2" t="n">
        <v>7</v>
      </c>
      <c r="BJ448" s="2" t="s">
        <v>163</v>
      </c>
      <c r="BK448" s="2" t="s">
        <v>100</v>
      </c>
      <c r="BL448" s="2" t="s">
        <v>163</v>
      </c>
      <c r="BM448" s="2" t="s">
        <v>8570</v>
      </c>
      <c r="BN448" s="2" t="n">
        <v>18360904</v>
      </c>
      <c r="BO448" s="2" t="s">
        <v>165</v>
      </c>
      <c r="BP448" s="2"/>
      <c r="BQ448" s="2"/>
      <c r="BR448" s="2" t="s">
        <v>104</v>
      </c>
      <c r="BS448" s="2" t="s">
        <v>8571</v>
      </c>
      <c r="BT448" s="2" t="str">
        <f aca="false">HYPERLINK("https%3A%2F%2Fwww.webofscience.com%2Fwos%2Fwoscc%2Ffull-record%2FWOS:000254590200024","View Full Record in Web of Science")</f>
        <v>View Full Record in Web of Science</v>
      </c>
    </row>
    <row r="449" customFormat="false" ht="12.75" hidden="false" customHeight="false" outlineLevel="0" collapsed="false">
      <c r="A449" s="2" t="s">
        <v>72</v>
      </c>
      <c r="B449" s="2" t="s">
        <v>8572</v>
      </c>
      <c r="C449" s="2"/>
      <c r="D449" s="2"/>
      <c r="E449" s="2"/>
      <c r="F449" s="2" t="s">
        <v>8573</v>
      </c>
      <c r="G449" s="2"/>
      <c r="H449" s="2"/>
      <c r="I449" s="2" t="s">
        <v>8574</v>
      </c>
      <c r="J449" s="2" t="s">
        <v>8575</v>
      </c>
      <c r="K449" s="2"/>
      <c r="L449" s="2"/>
      <c r="M449" s="2" t="s">
        <v>77</v>
      </c>
      <c r="N449" s="2" t="s">
        <v>78</v>
      </c>
      <c r="O449" s="2"/>
      <c r="P449" s="2"/>
      <c r="Q449" s="2"/>
      <c r="R449" s="2"/>
      <c r="S449" s="2"/>
      <c r="T449" s="2" t="s">
        <v>8576</v>
      </c>
      <c r="U449" s="2" t="s">
        <v>8577</v>
      </c>
      <c r="V449" s="2" t="s">
        <v>8578</v>
      </c>
      <c r="W449" s="2" t="s">
        <v>8579</v>
      </c>
      <c r="X449" s="2" t="s">
        <v>8580</v>
      </c>
      <c r="Y449" s="2" t="s">
        <v>8581</v>
      </c>
      <c r="Z449" s="2" t="s">
        <v>8582</v>
      </c>
      <c r="AA449" s="2"/>
      <c r="AB449" s="2" t="s">
        <v>8583</v>
      </c>
      <c r="AC449" s="2" t="s">
        <v>8584</v>
      </c>
      <c r="AD449" s="2" t="s">
        <v>8585</v>
      </c>
      <c r="AE449" s="2" t="s">
        <v>8586</v>
      </c>
      <c r="AF449" s="2"/>
      <c r="AG449" s="2" t="n">
        <v>56</v>
      </c>
      <c r="AH449" s="2" t="n">
        <v>17</v>
      </c>
      <c r="AI449" s="2" t="n">
        <v>24</v>
      </c>
      <c r="AJ449" s="2" t="n">
        <v>1</v>
      </c>
      <c r="AK449" s="2" t="n">
        <v>15</v>
      </c>
      <c r="AL449" s="2" t="s">
        <v>154</v>
      </c>
      <c r="AM449" s="2" t="s">
        <v>155</v>
      </c>
      <c r="AN449" s="2" t="s">
        <v>156</v>
      </c>
      <c r="AO449" s="2" t="s">
        <v>8587</v>
      </c>
      <c r="AP449" s="2" t="s">
        <v>8588</v>
      </c>
      <c r="AQ449" s="2"/>
      <c r="AR449" s="2" t="s">
        <v>8589</v>
      </c>
      <c r="AS449" s="2" t="s">
        <v>8590</v>
      </c>
      <c r="AT449" s="2" t="s">
        <v>185</v>
      </c>
      <c r="AU449" s="2" t="n">
        <v>2018</v>
      </c>
      <c r="AV449" s="2" t="n">
        <v>109</v>
      </c>
      <c r="AW449" s="2" t="n">
        <v>4</v>
      </c>
      <c r="AX449" s="2"/>
      <c r="AY449" s="2"/>
      <c r="AZ449" s="2"/>
      <c r="BA449" s="2"/>
      <c r="BB449" s="2" t="n">
        <v>555</v>
      </c>
      <c r="BC449" s="2" t="n">
        <v>569</v>
      </c>
      <c r="BD449" s="2"/>
      <c r="BE449" s="2" t="s">
        <v>8591</v>
      </c>
      <c r="BF449" s="2" t="str">
        <f aca="false">HYPERLINK("http://dx.doi.org/10.1111/mmi.14061","http://dx.doi.org/10.1111/mmi.14061")</f>
        <v>http://dx.doi.org/10.1111/mmi.14061</v>
      </c>
      <c r="BG449" s="2"/>
      <c r="BH449" s="2"/>
      <c r="BI449" s="2" t="n">
        <v>15</v>
      </c>
      <c r="BJ449" s="2" t="s">
        <v>8592</v>
      </c>
      <c r="BK449" s="2" t="s">
        <v>100</v>
      </c>
      <c r="BL449" s="2" t="s">
        <v>8592</v>
      </c>
      <c r="BM449" s="2" t="s">
        <v>8593</v>
      </c>
      <c r="BN449" s="2" t="n">
        <v>29995991</v>
      </c>
      <c r="BO449" s="2" t="s">
        <v>656</v>
      </c>
      <c r="BP449" s="2"/>
      <c r="BQ449" s="2"/>
      <c r="BR449" s="2" t="s">
        <v>104</v>
      </c>
      <c r="BS449" s="2" t="s">
        <v>8594</v>
      </c>
      <c r="BT449" s="2" t="str">
        <f aca="false">HYPERLINK("https%3A%2F%2Fwww.webofscience.com%2Fwos%2Fwoscc%2Ffull-record%2FWOS:000446522100011","View Full Record in Web of Science")</f>
        <v>View Full Record in Web of Science</v>
      </c>
    </row>
    <row r="450" customFormat="false" ht="12.75" hidden="false" customHeight="false" outlineLevel="0" collapsed="false">
      <c r="A450" s="2" t="s">
        <v>72</v>
      </c>
      <c r="B450" s="2" t="s">
        <v>8595</v>
      </c>
      <c r="C450" s="2"/>
      <c r="D450" s="2"/>
      <c r="E450" s="2"/>
      <c r="F450" s="2" t="s">
        <v>8596</v>
      </c>
      <c r="G450" s="2"/>
      <c r="H450" s="2"/>
      <c r="I450" s="2" t="s">
        <v>8597</v>
      </c>
      <c r="J450" s="2" t="s">
        <v>370</v>
      </c>
      <c r="K450" s="2"/>
      <c r="L450" s="2"/>
      <c r="M450" s="2" t="s">
        <v>77</v>
      </c>
      <c r="N450" s="2" t="s">
        <v>78</v>
      </c>
      <c r="O450" s="2"/>
      <c r="P450" s="2"/>
      <c r="Q450" s="2"/>
      <c r="R450" s="2"/>
      <c r="S450" s="2"/>
      <c r="T450" s="2" t="s">
        <v>8598</v>
      </c>
      <c r="U450" s="2" t="s">
        <v>8599</v>
      </c>
      <c r="V450" s="2" t="s">
        <v>8600</v>
      </c>
      <c r="W450" s="2" t="s">
        <v>8601</v>
      </c>
      <c r="X450" s="2" t="s">
        <v>8602</v>
      </c>
      <c r="Y450" s="2" t="s">
        <v>8603</v>
      </c>
      <c r="Z450" s="2" t="s">
        <v>8604</v>
      </c>
      <c r="AA450" s="2" t="s">
        <v>8605</v>
      </c>
      <c r="AB450" s="2" t="s">
        <v>8606</v>
      </c>
      <c r="AC450" s="2"/>
      <c r="AD450" s="2"/>
      <c r="AE450" s="2"/>
      <c r="AF450" s="2"/>
      <c r="AG450" s="2" t="n">
        <v>30</v>
      </c>
      <c r="AH450" s="2" t="n">
        <v>32</v>
      </c>
      <c r="AI450" s="2" t="n">
        <v>34</v>
      </c>
      <c r="AJ450" s="2" t="n">
        <v>0</v>
      </c>
      <c r="AK450" s="2" t="n">
        <v>3</v>
      </c>
      <c r="AL450" s="2" t="s">
        <v>383</v>
      </c>
      <c r="AM450" s="2" t="s">
        <v>384</v>
      </c>
      <c r="AN450" s="2" t="s">
        <v>385</v>
      </c>
      <c r="AO450" s="2" t="s">
        <v>386</v>
      </c>
      <c r="AP450" s="2" t="s">
        <v>387</v>
      </c>
      <c r="AQ450" s="2"/>
      <c r="AR450" s="2" t="s">
        <v>388</v>
      </c>
      <c r="AS450" s="2" t="s">
        <v>389</v>
      </c>
      <c r="AT450" s="2" t="s">
        <v>446</v>
      </c>
      <c r="AU450" s="2" t="n">
        <v>2007</v>
      </c>
      <c r="AV450" s="2" t="n">
        <v>40</v>
      </c>
      <c r="AW450" s="2" t="n">
        <v>4</v>
      </c>
      <c r="AX450" s="2"/>
      <c r="AY450" s="2"/>
      <c r="AZ450" s="2"/>
      <c r="BA450" s="2"/>
      <c r="BB450" s="2" t="n">
        <v>333</v>
      </c>
      <c r="BC450" s="2" t="n">
        <v>337</v>
      </c>
      <c r="BD450" s="2"/>
      <c r="BE450" s="2" t="s">
        <v>8607</v>
      </c>
      <c r="BF450" s="2" t="str">
        <f aca="false">HYPERLINK("http://dx.doi.org/10.1016/j.jcv.2007.08.015","http://dx.doi.org/10.1016/j.jcv.2007.08.015")</f>
        <v>http://dx.doi.org/10.1016/j.jcv.2007.08.015</v>
      </c>
      <c r="BG450" s="2"/>
      <c r="BH450" s="2"/>
      <c r="BI450" s="2" t="n">
        <v>5</v>
      </c>
      <c r="BJ450" s="2" t="s">
        <v>163</v>
      </c>
      <c r="BK450" s="2" t="s">
        <v>100</v>
      </c>
      <c r="BL450" s="2" t="s">
        <v>163</v>
      </c>
      <c r="BM450" s="2" t="s">
        <v>8608</v>
      </c>
      <c r="BN450" s="2" t="n">
        <v>17936066</v>
      </c>
      <c r="BO450" s="2" t="s">
        <v>1227</v>
      </c>
      <c r="BP450" s="2"/>
      <c r="BQ450" s="2"/>
      <c r="BR450" s="2" t="s">
        <v>104</v>
      </c>
      <c r="BS450" s="2" t="s">
        <v>8609</v>
      </c>
      <c r="BT450" s="2" t="str">
        <f aca="false">HYPERLINK("https%3A%2F%2Fwww.webofscience.com%2Fwos%2Fwoscc%2Ffull-record%2FWOS:000252103400013","View Full Record in Web of Science")</f>
        <v>View Full Record in Web of Science</v>
      </c>
    </row>
    <row r="451" customFormat="false" ht="12.75" hidden="false" customHeight="false" outlineLevel="0" collapsed="false">
      <c r="A451" s="2" t="s">
        <v>72</v>
      </c>
      <c r="B451" s="2" t="s">
        <v>8610</v>
      </c>
      <c r="C451" s="2"/>
      <c r="D451" s="2"/>
      <c r="E451" s="2"/>
      <c r="F451" s="2" t="s">
        <v>8611</v>
      </c>
      <c r="G451" s="2"/>
      <c r="H451" s="2"/>
      <c r="I451" s="2" t="s">
        <v>8612</v>
      </c>
      <c r="J451" s="2" t="s">
        <v>493</v>
      </c>
      <c r="K451" s="2"/>
      <c r="L451" s="2"/>
      <c r="M451" s="2" t="s">
        <v>77</v>
      </c>
      <c r="N451" s="2" t="s">
        <v>78</v>
      </c>
      <c r="O451" s="2"/>
      <c r="P451" s="2"/>
      <c r="Q451" s="2"/>
      <c r="R451" s="2"/>
      <c r="S451" s="2"/>
      <c r="T451" s="2" t="s">
        <v>8613</v>
      </c>
      <c r="U451" s="2" t="s">
        <v>8614</v>
      </c>
      <c r="V451" s="2" t="s">
        <v>8615</v>
      </c>
      <c r="W451" s="2" t="s">
        <v>8616</v>
      </c>
      <c r="X451" s="2" t="s">
        <v>8617</v>
      </c>
      <c r="Y451" s="2" t="s">
        <v>8618</v>
      </c>
      <c r="Z451" s="2" t="s">
        <v>8619</v>
      </c>
      <c r="AA451" s="2" t="s">
        <v>8620</v>
      </c>
      <c r="AB451" s="2" t="s">
        <v>8621</v>
      </c>
      <c r="AC451" s="2"/>
      <c r="AD451" s="2"/>
      <c r="AE451" s="2"/>
      <c r="AF451" s="2"/>
      <c r="AG451" s="2" t="n">
        <v>35</v>
      </c>
      <c r="AH451" s="2" t="n">
        <v>18</v>
      </c>
      <c r="AI451" s="2" t="n">
        <v>19</v>
      </c>
      <c r="AJ451" s="2" t="n">
        <v>0</v>
      </c>
      <c r="AK451" s="2" t="n">
        <v>5</v>
      </c>
      <c r="AL451" s="2" t="s">
        <v>91</v>
      </c>
      <c r="AM451" s="2" t="s">
        <v>92</v>
      </c>
      <c r="AN451" s="2" t="s">
        <v>93</v>
      </c>
      <c r="AO451" s="2"/>
      <c r="AP451" s="2" t="s">
        <v>506</v>
      </c>
      <c r="AQ451" s="2"/>
      <c r="AR451" s="2" t="s">
        <v>493</v>
      </c>
      <c r="AS451" s="2" t="s">
        <v>507</v>
      </c>
      <c r="AT451" s="2" t="s">
        <v>336</v>
      </c>
      <c r="AU451" s="2" t="n">
        <v>2022</v>
      </c>
      <c r="AV451" s="2" t="n">
        <v>14</v>
      </c>
      <c r="AW451" s="2" t="n">
        <v>10</v>
      </c>
      <c r="AX451" s="2"/>
      <c r="AY451" s="2"/>
      <c r="AZ451" s="2"/>
      <c r="BA451" s="2"/>
      <c r="BB451" s="2"/>
      <c r="BC451" s="2"/>
      <c r="BD451" s="2" t="n">
        <v>2135</v>
      </c>
      <c r="BE451" s="2" t="s">
        <v>8622</v>
      </c>
      <c r="BF451" s="2" t="str">
        <f aca="false">HYPERLINK("http://dx.doi.org/10.3390/v14102135","http://dx.doi.org/10.3390/v14102135")</f>
        <v>http://dx.doi.org/10.3390/v14102135</v>
      </c>
      <c r="BG451" s="2"/>
      <c r="BH451" s="2"/>
      <c r="BI451" s="2" t="n">
        <v>14</v>
      </c>
      <c r="BJ451" s="2" t="s">
        <v>163</v>
      </c>
      <c r="BK451" s="2" t="s">
        <v>100</v>
      </c>
      <c r="BL451" s="2" t="s">
        <v>163</v>
      </c>
      <c r="BM451" s="2" t="s">
        <v>8623</v>
      </c>
      <c r="BN451" s="2" t="n">
        <v>36298690</v>
      </c>
      <c r="BO451" s="2" t="s">
        <v>103</v>
      </c>
      <c r="BP451" s="2"/>
      <c r="BQ451" s="2"/>
      <c r="BR451" s="2" t="s">
        <v>104</v>
      </c>
      <c r="BS451" s="2" t="s">
        <v>8624</v>
      </c>
      <c r="BT451" s="2" t="str">
        <f aca="false">HYPERLINK("https%3A%2F%2Fwww.webofscience.com%2Fwos%2Fwoscc%2Ffull-record%2FWOS:000873615000001","View Full Record in Web of Science")</f>
        <v>View Full Record in Web of Science</v>
      </c>
    </row>
    <row r="452" customFormat="false" ht="12.75" hidden="false" customHeight="false" outlineLevel="0" collapsed="false">
      <c r="A452" s="2" t="s">
        <v>72</v>
      </c>
      <c r="B452" s="2" t="s">
        <v>8625</v>
      </c>
      <c r="C452" s="2"/>
      <c r="D452" s="2"/>
      <c r="E452" s="2"/>
      <c r="F452" s="2" t="s">
        <v>8626</v>
      </c>
      <c r="G452" s="2"/>
      <c r="H452" s="2"/>
      <c r="I452" s="2" t="s">
        <v>8627</v>
      </c>
      <c r="J452" s="2" t="s">
        <v>1336</v>
      </c>
      <c r="K452" s="2"/>
      <c r="L452" s="2"/>
      <c r="M452" s="2" t="s">
        <v>77</v>
      </c>
      <c r="N452" s="2" t="s">
        <v>78</v>
      </c>
      <c r="O452" s="2"/>
      <c r="P452" s="2"/>
      <c r="Q452" s="2"/>
      <c r="R452" s="2"/>
      <c r="S452" s="2"/>
      <c r="T452" s="2" t="s">
        <v>8628</v>
      </c>
      <c r="U452" s="2" t="s">
        <v>8629</v>
      </c>
      <c r="V452" s="2" t="s">
        <v>8630</v>
      </c>
      <c r="W452" s="2" t="s">
        <v>8631</v>
      </c>
      <c r="X452" s="2" t="s">
        <v>8632</v>
      </c>
      <c r="Y452" s="2" t="s">
        <v>8633</v>
      </c>
      <c r="Z452" s="2" t="s">
        <v>8634</v>
      </c>
      <c r="AA452" s="2" t="s">
        <v>8635</v>
      </c>
      <c r="AB452" s="2"/>
      <c r="AC452" s="2" t="s">
        <v>8636</v>
      </c>
      <c r="AD452" s="2" t="s">
        <v>8637</v>
      </c>
      <c r="AE452" s="2" t="s">
        <v>8638</v>
      </c>
      <c r="AF452" s="2"/>
      <c r="AG452" s="2" t="n">
        <v>13</v>
      </c>
      <c r="AH452" s="2" t="n">
        <v>2</v>
      </c>
      <c r="AI452" s="2" t="n">
        <v>2</v>
      </c>
      <c r="AJ452" s="2" t="n">
        <v>0</v>
      </c>
      <c r="AK452" s="2" t="n">
        <v>2</v>
      </c>
      <c r="AL452" s="2" t="s">
        <v>1344</v>
      </c>
      <c r="AM452" s="2" t="s">
        <v>1345</v>
      </c>
      <c r="AN452" s="2" t="s">
        <v>1346</v>
      </c>
      <c r="AO452" s="2" t="s">
        <v>1347</v>
      </c>
      <c r="AP452" s="2" t="s">
        <v>1348</v>
      </c>
      <c r="AQ452" s="2"/>
      <c r="AR452" s="2" t="s">
        <v>1349</v>
      </c>
      <c r="AS452" s="2" t="s">
        <v>1350</v>
      </c>
      <c r="AT452" s="2" t="s">
        <v>446</v>
      </c>
      <c r="AU452" s="2" t="n">
        <v>2017</v>
      </c>
      <c r="AV452" s="2" t="n">
        <v>5</v>
      </c>
      <c r="AW452" s="2" t="n">
        <v>4</v>
      </c>
      <c r="AX452" s="2"/>
      <c r="AY452" s="2"/>
      <c r="AZ452" s="2"/>
      <c r="BA452" s="2"/>
      <c r="BB452" s="2" t="n">
        <v>173</v>
      </c>
      <c r="BC452" s="2" t="n">
        <v>175</v>
      </c>
      <c r="BD452" s="2"/>
      <c r="BE452" s="2" t="s">
        <v>8639</v>
      </c>
      <c r="BF452" s="2" t="str">
        <f aca="false">HYPERLINK("http://dx.doi.org/10.1016/j.cegh.2017.06.001","http://dx.doi.org/10.1016/j.cegh.2017.06.001")</f>
        <v>http://dx.doi.org/10.1016/j.cegh.2017.06.001</v>
      </c>
      <c r="BG452" s="2"/>
      <c r="BH452" s="2"/>
      <c r="BI452" s="2" t="n">
        <v>3</v>
      </c>
      <c r="BJ452" s="2" t="s">
        <v>1353</v>
      </c>
      <c r="BK452" s="2" t="s">
        <v>339</v>
      </c>
      <c r="BL452" s="2" t="s">
        <v>1353</v>
      </c>
      <c r="BM452" s="2" t="s">
        <v>8640</v>
      </c>
      <c r="BN452" s="2"/>
      <c r="BO452" s="2" t="s">
        <v>2278</v>
      </c>
      <c r="BP452" s="2"/>
      <c r="BQ452" s="2"/>
      <c r="BR452" s="2" t="s">
        <v>104</v>
      </c>
      <c r="BS452" s="2" t="s">
        <v>8641</v>
      </c>
      <c r="BT452" s="2" t="str">
        <f aca="false">HYPERLINK("https%3A%2F%2Fwww.webofscience.com%2Fwos%2Fwoscc%2Ffull-record%2FWOS:000417063500004","View Full Record in Web of Science")</f>
        <v>View Full Record in Web of Science</v>
      </c>
    </row>
    <row r="453" customFormat="false" ht="12.75" hidden="false" customHeight="false" outlineLevel="0" collapsed="false">
      <c r="A453" s="2" t="s">
        <v>72</v>
      </c>
      <c r="B453" s="2" t="s">
        <v>8642</v>
      </c>
      <c r="C453" s="2"/>
      <c r="D453" s="2"/>
      <c r="E453" s="2"/>
      <c r="F453" s="2" t="s">
        <v>8643</v>
      </c>
      <c r="G453" s="2"/>
      <c r="H453" s="2"/>
      <c r="I453" s="2" t="s">
        <v>8644</v>
      </c>
      <c r="J453" s="2" t="s">
        <v>8645</v>
      </c>
      <c r="K453" s="2"/>
      <c r="L453" s="2"/>
      <c r="M453" s="2" t="s">
        <v>77</v>
      </c>
      <c r="N453" s="2" t="s">
        <v>78</v>
      </c>
      <c r="O453" s="2"/>
      <c r="P453" s="2"/>
      <c r="Q453" s="2"/>
      <c r="R453" s="2"/>
      <c r="S453" s="2"/>
      <c r="T453" s="2" t="s">
        <v>8646</v>
      </c>
      <c r="U453" s="2" t="s">
        <v>8647</v>
      </c>
      <c r="V453" s="2" t="s">
        <v>8648</v>
      </c>
      <c r="W453" s="2" t="s">
        <v>8649</v>
      </c>
      <c r="X453" s="2" t="s">
        <v>8650</v>
      </c>
      <c r="Y453" s="2" t="s">
        <v>8651</v>
      </c>
      <c r="Z453" s="2" t="s">
        <v>8652</v>
      </c>
      <c r="AA453" s="2" t="s">
        <v>8653</v>
      </c>
      <c r="AB453" s="2" t="s">
        <v>8654</v>
      </c>
      <c r="AC453" s="2" t="s">
        <v>5244</v>
      </c>
      <c r="AD453" s="2" t="s">
        <v>5245</v>
      </c>
      <c r="AE453" s="2" t="s">
        <v>8655</v>
      </c>
      <c r="AF453" s="2"/>
      <c r="AG453" s="2" t="n">
        <v>33</v>
      </c>
      <c r="AH453" s="2" t="n">
        <v>0</v>
      </c>
      <c r="AI453" s="2" t="n">
        <v>0</v>
      </c>
      <c r="AJ453" s="2" t="n">
        <v>0</v>
      </c>
      <c r="AK453" s="2" t="n">
        <v>0</v>
      </c>
      <c r="AL453" s="2" t="s">
        <v>302</v>
      </c>
      <c r="AM453" s="2" t="s">
        <v>303</v>
      </c>
      <c r="AN453" s="2" t="s">
        <v>304</v>
      </c>
      <c r="AO453" s="2"/>
      <c r="AP453" s="2" t="s">
        <v>8656</v>
      </c>
      <c r="AQ453" s="2"/>
      <c r="AR453" s="2" t="s">
        <v>8645</v>
      </c>
      <c r="AS453" s="2" t="s">
        <v>8657</v>
      </c>
      <c r="AT453" s="2" t="s">
        <v>2477</v>
      </c>
      <c r="AU453" s="2" t="n">
        <v>2019</v>
      </c>
      <c r="AV453" s="2" t="n">
        <v>19</v>
      </c>
      <c r="AW453" s="2"/>
      <c r="AX453" s="2"/>
      <c r="AY453" s="2"/>
      <c r="AZ453" s="2"/>
      <c r="BA453" s="2"/>
      <c r="BB453" s="2"/>
      <c r="BC453" s="2"/>
      <c r="BD453" s="2" t="n">
        <v>807</v>
      </c>
      <c r="BE453" s="2" t="s">
        <v>8658</v>
      </c>
      <c r="BF453" s="2" t="str">
        <f aca="false">HYPERLINK("http://dx.doi.org/10.1186/s12889-019-7036-2","http://dx.doi.org/10.1186/s12889-019-7036-2")</f>
        <v>http://dx.doi.org/10.1186/s12889-019-7036-2</v>
      </c>
      <c r="BG453" s="2"/>
      <c r="BH453" s="2"/>
      <c r="BI453" s="2" t="n">
        <v>14</v>
      </c>
      <c r="BJ453" s="2" t="s">
        <v>1353</v>
      </c>
      <c r="BK453" s="2" t="s">
        <v>100</v>
      </c>
      <c r="BL453" s="2" t="s">
        <v>1353</v>
      </c>
      <c r="BM453" s="2" t="s">
        <v>8659</v>
      </c>
      <c r="BN453" s="2" t="n">
        <v>31234829</v>
      </c>
      <c r="BO453" s="2" t="s">
        <v>103</v>
      </c>
      <c r="BP453" s="2"/>
      <c r="BQ453" s="2"/>
      <c r="BR453" s="2" t="s">
        <v>104</v>
      </c>
      <c r="BS453" s="2" t="s">
        <v>8660</v>
      </c>
      <c r="BT453" s="2" t="str">
        <f aca="false">HYPERLINK("https%3A%2F%2Fwww.webofscience.com%2Fwos%2Fwoscc%2Ffull-record%2FWOS:000472877300005","View Full Record in Web of Science")</f>
        <v>View Full Record in Web of Science</v>
      </c>
    </row>
    <row r="454" customFormat="false" ht="12.75" hidden="false" customHeight="false" outlineLevel="0" collapsed="false">
      <c r="A454" s="2" t="s">
        <v>72</v>
      </c>
      <c r="B454" s="2" t="s">
        <v>8661</v>
      </c>
      <c r="C454" s="2"/>
      <c r="D454" s="2"/>
      <c r="E454" s="2"/>
      <c r="F454" s="2" t="s">
        <v>8662</v>
      </c>
      <c r="G454" s="2"/>
      <c r="H454" s="2"/>
      <c r="I454" s="2" t="s">
        <v>8663</v>
      </c>
      <c r="J454" s="2" t="s">
        <v>8664</v>
      </c>
      <c r="K454" s="2"/>
      <c r="L454" s="2"/>
      <c r="M454" s="2" t="s">
        <v>77</v>
      </c>
      <c r="N454" s="2" t="s">
        <v>78</v>
      </c>
      <c r="O454" s="2"/>
      <c r="P454" s="2"/>
      <c r="Q454" s="2"/>
      <c r="R454" s="2"/>
      <c r="S454" s="2"/>
      <c r="T454" s="2" t="s">
        <v>8665</v>
      </c>
      <c r="U454" s="2" t="s">
        <v>8666</v>
      </c>
      <c r="V454" s="2" t="s">
        <v>8667</v>
      </c>
      <c r="W454" s="2" t="s">
        <v>8668</v>
      </c>
      <c r="X454" s="2" t="s">
        <v>8669</v>
      </c>
      <c r="Y454" s="2" t="s">
        <v>8670</v>
      </c>
      <c r="Z454" s="2" t="s">
        <v>8671</v>
      </c>
      <c r="AA454" s="2"/>
      <c r="AB454" s="2" t="s">
        <v>8672</v>
      </c>
      <c r="AC454" s="2"/>
      <c r="AD454" s="2"/>
      <c r="AE454" s="2"/>
      <c r="AF454" s="2"/>
      <c r="AG454" s="2" t="n">
        <v>32</v>
      </c>
      <c r="AH454" s="2" t="n">
        <v>20</v>
      </c>
      <c r="AI454" s="2" t="n">
        <v>21</v>
      </c>
      <c r="AJ454" s="2" t="n">
        <v>0</v>
      </c>
      <c r="AK454" s="2" t="n">
        <v>9</v>
      </c>
      <c r="AL454" s="2" t="s">
        <v>154</v>
      </c>
      <c r="AM454" s="2" t="s">
        <v>155</v>
      </c>
      <c r="AN454" s="2" t="s">
        <v>156</v>
      </c>
      <c r="AO454" s="2" t="s">
        <v>8673</v>
      </c>
      <c r="AP454" s="2" t="s">
        <v>8674</v>
      </c>
      <c r="AQ454" s="2"/>
      <c r="AR454" s="2" t="s">
        <v>8675</v>
      </c>
      <c r="AS454" s="2" t="s">
        <v>8676</v>
      </c>
      <c r="AT454" s="2" t="s">
        <v>1041</v>
      </c>
      <c r="AU454" s="2" t="n">
        <v>2013</v>
      </c>
      <c r="AV454" s="2" t="n">
        <v>55</v>
      </c>
      <c r="AW454" s="2" t="n">
        <v>1</v>
      </c>
      <c r="AX454" s="2"/>
      <c r="AY454" s="2"/>
      <c r="AZ454" s="2"/>
      <c r="BA454" s="2"/>
      <c r="BB454" s="2" t="n">
        <v>49</v>
      </c>
      <c r="BC454" s="2" t="n">
        <v>53</v>
      </c>
      <c r="BD454" s="2"/>
      <c r="BE454" s="2" t="s">
        <v>8677</v>
      </c>
      <c r="BF454" s="2" t="str">
        <f aca="false">HYPERLINK("http://dx.doi.org/10.1111/j.1442-200X.2012.03727.x","http://dx.doi.org/10.1111/j.1442-200X.2012.03727.x")</f>
        <v>http://dx.doi.org/10.1111/j.1442-200X.2012.03727.x</v>
      </c>
      <c r="BG454" s="2"/>
      <c r="BH454" s="2"/>
      <c r="BI454" s="2" t="n">
        <v>5</v>
      </c>
      <c r="BJ454" s="2" t="s">
        <v>601</v>
      </c>
      <c r="BK454" s="2" t="s">
        <v>100</v>
      </c>
      <c r="BL454" s="2" t="s">
        <v>601</v>
      </c>
      <c r="BM454" s="2" t="s">
        <v>8678</v>
      </c>
      <c r="BN454" s="2" t="n">
        <v>22978535</v>
      </c>
      <c r="BO454" s="2" t="s">
        <v>165</v>
      </c>
      <c r="BP454" s="2"/>
      <c r="BQ454" s="2"/>
      <c r="BR454" s="2" t="s">
        <v>104</v>
      </c>
      <c r="BS454" s="2" t="s">
        <v>8679</v>
      </c>
      <c r="BT454" s="2" t="str">
        <f aca="false">HYPERLINK("https%3A%2F%2Fwww.webofscience.com%2Fwos%2Fwoscc%2Ffull-record%2FWOS:000315094100011","View Full Record in Web of Science")</f>
        <v>View Full Record in Web of Science</v>
      </c>
    </row>
    <row r="455" customFormat="false" ht="12.75" hidden="false" customHeight="false" outlineLevel="0" collapsed="false">
      <c r="A455" s="2" t="s">
        <v>72</v>
      </c>
      <c r="B455" s="2" t="s">
        <v>8680</v>
      </c>
      <c r="C455" s="2"/>
      <c r="D455" s="2"/>
      <c r="E455" s="2"/>
      <c r="F455" s="2" t="s">
        <v>8681</v>
      </c>
      <c r="G455" s="2"/>
      <c r="H455" s="2"/>
      <c r="I455" s="2" t="s">
        <v>8682</v>
      </c>
      <c r="J455" s="2" t="s">
        <v>742</v>
      </c>
      <c r="K455" s="2"/>
      <c r="L455" s="2"/>
      <c r="M455" s="2" t="s">
        <v>77</v>
      </c>
      <c r="N455" s="2" t="s">
        <v>78</v>
      </c>
      <c r="O455" s="2"/>
      <c r="P455" s="2"/>
      <c r="Q455" s="2"/>
      <c r="R455" s="2"/>
      <c r="S455" s="2"/>
      <c r="T455" s="2" t="s">
        <v>8683</v>
      </c>
      <c r="U455" s="2" t="s">
        <v>8684</v>
      </c>
      <c r="V455" s="2" t="s">
        <v>8685</v>
      </c>
      <c r="W455" s="2" t="s">
        <v>8686</v>
      </c>
      <c r="X455" s="2" t="s">
        <v>8687</v>
      </c>
      <c r="Y455" s="2" t="s">
        <v>8688</v>
      </c>
      <c r="Z455" s="2" t="s">
        <v>8689</v>
      </c>
      <c r="AA455" s="2"/>
      <c r="AB455" s="2"/>
      <c r="AC455" s="2" t="s">
        <v>8690</v>
      </c>
      <c r="AD455" s="2" t="s">
        <v>8690</v>
      </c>
      <c r="AE455" s="2" t="s">
        <v>8691</v>
      </c>
      <c r="AF455" s="2"/>
      <c r="AG455" s="2" t="n">
        <v>50</v>
      </c>
      <c r="AH455" s="2" t="n">
        <v>1</v>
      </c>
      <c r="AI455" s="2" t="n">
        <v>1</v>
      </c>
      <c r="AJ455" s="2" t="n">
        <v>1</v>
      </c>
      <c r="AK455" s="2" t="n">
        <v>4</v>
      </c>
      <c r="AL455" s="2" t="s">
        <v>755</v>
      </c>
      <c r="AM455" s="2" t="s">
        <v>273</v>
      </c>
      <c r="AN455" s="2" t="s">
        <v>756</v>
      </c>
      <c r="AO455" s="2" t="s">
        <v>757</v>
      </c>
      <c r="AP455" s="2" t="s">
        <v>758</v>
      </c>
      <c r="AQ455" s="2"/>
      <c r="AR455" s="2" t="s">
        <v>759</v>
      </c>
      <c r="AS455" s="2" t="s">
        <v>760</v>
      </c>
      <c r="AT455" s="2" t="s">
        <v>8692</v>
      </c>
      <c r="AU455" s="2" t="n">
        <v>2023</v>
      </c>
      <c r="AV455" s="2" t="n">
        <v>97</v>
      </c>
      <c r="AW455" s="2" t="n">
        <v>12</v>
      </c>
      <c r="AX455" s="2"/>
      <c r="AY455" s="2"/>
      <c r="AZ455" s="2"/>
      <c r="BA455" s="2"/>
      <c r="BB455" s="2"/>
      <c r="BC455" s="2"/>
      <c r="BD455" s="2"/>
      <c r="BE455" s="2" t="s">
        <v>8693</v>
      </c>
      <c r="BF455" s="2" t="str">
        <f aca="false">HYPERLINK("http://dx.doi.org/10.1128/jvi.01052-23","http://dx.doi.org/10.1128/jvi.01052-23")</f>
        <v>http://dx.doi.org/10.1128/jvi.01052-23</v>
      </c>
      <c r="BG455" s="2"/>
      <c r="BH455" s="2" t="s">
        <v>8694</v>
      </c>
      <c r="BI455" s="2" t="n">
        <v>19</v>
      </c>
      <c r="BJ455" s="2" t="s">
        <v>163</v>
      </c>
      <c r="BK455" s="2" t="s">
        <v>100</v>
      </c>
      <c r="BL455" s="2" t="s">
        <v>163</v>
      </c>
      <c r="BM455" s="2" t="s">
        <v>8695</v>
      </c>
      <c r="BN455" s="2" t="n">
        <v>38032197</v>
      </c>
      <c r="BO455" s="2" t="s">
        <v>165</v>
      </c>
      <c r="BP455" s="2"/>
      <c r="BQ455" s="2"/>
      <c r="BR455" s="2" t="s">
        <v>104</v>
      </c>
      <c r="BS455" s="2" t="s">
        <v>8696</v>
      </c>
      <c r="BT455" s="2" t="str">
        <f aca="false">HYPERLINK("https%3A%2F%2Fwww.webofscience.com%2Fwos%2Fwoscc%2Ffull-record%2FWOS:001111359400004","View Full Record in Web of Science")</f>
        <v>View Full Record in Web of Science</v>
      </c>
    </row>
    <row r="456" customFormat="false" ht="12.75" hidden="false" customHeight="false" outlineLevel="0" collapsed="false">
      <c r="A456" s="2" t="s">
        <v>72</v>
      </c>
      <c r="B456" s="2" t="s">
        <v>8697</v>
      </c>
      <c r="C456" s="2"/>
      <c r="D456" s="2"/>
      <c r="E456" s="2"/>
      <c r="F456" s="2" t="s">
        <v>8698</v>
      </c>
      <c r="G456" s="2"/>
      <c r="H456" s="2"/>
      <c r="I456" s="2" t="s">
        <v>8699</v>
      </c>
      <c r="J456" s="2" t="s">
        <v>2547</v>
      </c>
      <c r="K456" s="2"/>
      <c r="L456" s="2"/>
      <c r="M456" s="2" t="s">
        <v>77</v>
      </c>
      <c r="N456" s="2" t="s">
        <v>78</v>
      </c>
      <c r="O456" s="2"/>
      <c r="P456" s="2"/>
      <c r="Q456" s="2"/>
      <c r="R456" s="2"/>
      <c r="S456" s="2"/>
      <c r="T456" s="2" t="s">
        <v>8700</v>
      </c>
      <c r="U456" s="2" t="s">
        <v>8701</v>
      </c>
      <c r="V456" s="2" t="s">
        <v>8702</v>
      </c>
      <c r="W456" s="2" t="s">
        <v>8703</v>
      </c>
      <c r="X456" s="2" t="s">
        <v>8704</v>
      </c>
      <c r="Y456" s="2" t="s">
        <v>8705</v>
      </c>
      <c r="Z456" s="2" t="s">
        <v>8706</v>
      </c>
      <c r="AA456" s="2" t="s">
        <v>8707</v>
      </c>
      <c r="AB456" s="2"/>
      <c r="AC456" s="2" t="s">
        <v>8708</v>
      </c>
      <c r="AD456" s="2" t="s">
        <v>5776</v>
      </c>
      <c r="AE456" s="2" t="s">
        <v>8709</v>
      </c>
      <c r="AF456" s="2"/>
      <c r="AG456" s="2" t="n">
        <v>35</v>
      </c>
      <c r="AH456" s="2" t="n">
        <v>17</v>
      </c>
      <c r="AI456" s="2" t="n">
        <v>18</v>
      </c>
      <c r="AJ456" s="2" t="n">
        <v>0</v>
      </c>
      <c r="AK456" s="2" t="n">
        <v>1</v>
      </c>
      <c r="AL456" s="2" t="s">
        <v>782</v>
      </c>
      <c r="AM456" s="2" t="s">
        <v>783</v>
      </c>
      <c r="AN456" s="2" t="s">
        <v>784</v>
      </c>
      <c r="AO456" s="2" t="s">
        <v>2556</v>
      </c>
      <c r="AP456" s="2" t="s">
        <v>2557</v>
      </c>
      <c r="AQ456" s="2"/>
      <c r="AR456" s="2" t="s">
        <v>2547</v>
      </c>
      <c r="AS456" s="2" t="s">
        <v>2558</v>
      </c>
      <c r="AT456" s="2" t="s">
        <v>8710</v>
      </c>
      <c r="AU456" s="2" t="n">
        <v>2021</v>
      </c>
      <c r="AV456" s="2" t="n">
        <v>39</v>
      </c>
      <c r="AW456" s="2" t="n">
        <v>8</v>
      </c>
      <c r="AX456" s="2"/>
      <c r="AY456" s="2"/>
      <c r="AZ456" s="2"/>
      <c r="BA456" s="2"/>
      <c r="BB456" s="2" t="n">
        <v>1248</v>
      </c>
      <c r="BC456" s="2" t="n">
        <v>1256</v>
      </c>
      <c r="BD456" s="2"/>
      <c r="BE456" s="2" t="s">
        <v>8711</v>
      </c>
      <c r="BF456" s="2" t="str">
        <f aca="false">HYPERLINK("http://dx.doi.org/10.1016/j.vaccine.2021.01.045","http://dx.doi.org/10.1016/j.vaccine.2021.01.045")</f>
        <v>http://dx.doi.org/10.1016/j.vaccine.2021.01.045</v>
      </c>
      <c r="BG456" s="2"/>
      <c r="BH456" s="2" t="s">
        <v>4228</v>
      </c>
      <c r="BI456" s="2" t="n">
        <v>9</v>
      </c>
      <c r="BJ456" s="2" t="s">
        <v>187</v>
      </c>
      <c r="BK456" s="2" t="s">
        <v>100</v>
      </c>
      <c r="BL456" s="2" t="s">
        <v>188</v>
      </c>
      <c r="BM456" s="2" t="s">
        <v>8712</v>
      </c>
      <c r="BN456" s="2" t="n">
        <v>33509697</v>
      </c>
      <c r="BO456" s="2" t="s">
        <v>695</v>
      </c>
      <c r="BP456" s="2"/>
      <c r="BQ456" s="2"/>
      <c r="BR456" s="2" t="s">
        <v>104</v>
      </c>
      <c r="BS456" s="2" t="s">
        <v>8713</v>
      </c>
      <c r="BT456" s="2" t="str">
        <f aca="false">HYPERLINK("https%3A%2F%2Fwww.webofscience.com%2Fwos%2Fwoscc%2Ffull-record%2FWOS:000618493500013","View Full Record in Web of Science")</f>
        <v>View Full Record in Web of Science</v>
      </c>
    </row>
    <row r="457" customFormat="false" ht="12.75" hidden="false" customHeight="false" outlineLevel="0" collapsed="false">
      <c r="A457" s="2" t="s">
        <v>72</v>
      </c>
      <c r="B457" s="2" t="s">
        <v>8714</v>
      </c>
      <c r="C457" s="2"/>
      <c r="D457" s="2"/>
      <c r="E457" s="2"/>
      <c r="F457" s="2" t="s">
        <v>8715</v>
      </c>
      <c r="G457" s="2"/>
      <c r="H457" s="2"/>
      <c r="I457" s="2" t="s">
        <v>8716</v>
      </c>
      <c r="J457" s="2" t="s">
        <v>8717</v>
      </c>
      <c r="K457" s="2"/>
      <c r="L457" s="2"/>
      <c r="M457" s="2" t="s">
        <v>77</v>
      </c>
      <c r="N457" s="2" t="s">
        <v>78</v>
      </c>
      <c r="O457" s="2"/>
      <c r="P457" s="2"/>
      <c r="Q457" s="2"/>
      <c r="R457" s="2"/>
      <c r="S457" s="2"/>
      <c r="T457" s="2" t="s">
        <v>8718</v>
      </c>
      <c r="U457" s="2" t="s">
        <v>8719</v>
      </c>
      <c r="V457" s="2" t="s">
        <v>8720</v>
      </c>
      <c r="W457" s="2" t="s">
        <v>8721</v>
      </c>
      <c r="X457" s="2" t="s">
        <v>8722</v>
      </c>
      <c r="Y457" s="2" t="s">
        <v>8723</v>
      </c>
      <c r="Z457" s="2" t="s">
        <v>8724</v>
      </c>
      <c r="AA457" s="2" t="s">
        <v>8725</v>
      </c>
      <c r="AB457" s="2" t="s">
        <v>8726</v>
      </c>
      <c r="AC457" s="2" t="s">
        <v>8727</v>
      </c>
      <c r="AD457" s="2" t="s">
        <v>8728</v>
      </c>
      <c r="AE457" s="2" t="s">
        <v>8729</v>
      </c>
      <c r="AF457" s="2"/>
      <c r="AG457" s="2" t="n">
        <v>65</v>
      </c>
      <c r="AH457" s="2" t="n">
        <v>7</v>
      </c>
      <c r="AI457" s="2" t="n">
        <v>11</v>
      </c>
      <c r="AJ457" s="2" t="n">
        <v>0</v>
      </c>
      <c r="AK457" s="2" t="n">
        <v>4</v>
      </c>
      <c r="AL457" s="2" t="s">
        <v>154</v>
      </c>
      <c r="AM457" s="2" t="s">
        <v>155</v>
      </c>
      <c r="AN457" s="2" t="s">
        <v>156</v>
      </c>
      <c r="AO457" s="2" t="s">
        <v>8730</v>
      </c>
      <c r="AP457" s="2" t="s">
        <v>8731</v>
      </c>
      <c r="AQ457" s="2"/>
      <c r="AR457" s="2" t="s">
        <v>8732</v>
      </c>
      <c r="AS457" s="2" t="s">
        <v>8733</v>
      </c>
      <c r="AT457" s="2" t="s">
        <v>1041</v>
      </c>
      <c r="AU457" s="2" t="n">
        <v>2018</v>
      </c>
      <c r="AV457" s="2" t="n">
        <v>10</v>
      </c>
      <c r="AW457" s="2" t="n">
        <v>2</v>
      </c>
      <c r="AX457" s="2"/>
      <c r="AY457" s="2"/>
      <c r="AZ457" s="2"/>
      <c r="BA457" s="2"/>
      <c r="BB457" s="2" t="n">
        <v>175</v>
      </c>
      <c r="BC457" s="2" t="n">
        <v>187</v>
      </c>
      <c r="BD457" s="2"/>
      <c r="BE457" s="2" t="s">
        <v>8734</v>
      </c>
      <c r="BF457" s="2" t="str">
        <f aca="false">HYPERLINK("http://dx.doi.org/10.15252/emmm.201708078","http://dx.doi.org/10.15252/emmm.201708078")</f>
        <v>http://dx.doi.org/10.15252/emmm.201708078</v>
      </c>
      <c r="BG457" s="2"/>
      <c r="BH457" s="2"/>
      <c r="BI457" s="2" t="n">
        <v>13</v>
      </c>
      <c r="BJ457" s="2" t="s">
        <v>5761</v>
      </c>
      <c r="BK457" s="2" t="s">
        <v>100</v>
      </c>
      <c r="BL457" s="2" t="s">
        <v>5762</v>
      </c>
      <c r="BM457" s="2" t="s">
        <v>8735</v>
      </c>
      <c r="BN457" s="2" t="n">
        <v>29217660</v>
      </c>
      <c r="BO457" s="2" t="s">
        <v>103</v>
      </c>
      <c r="BP457" s="2"/>
      <c r="BQ457" s="2"/>
      <c r="BR457" s="2" t="s">
        <v>104</v>
      </c>
      <c r="BS457" s="2" t="s">
        <v>8736</v>
      </c>
      <c r="BT457" s="2" t="str">
        <f aca="false">HYPERLINK("https%3A%2F%2Fwww.webofscience.com%2Fwos%2Fwoscc%2Ffull-record%2FWOS:000424343700004","View Full Record in Web of Science")</f>
        <v>View Full Record in Web of Science</v>
      </c>
    </row>
    <row r="458" customFormat="false" ht="12.75" hidden="false" customHeight="false" outlineLevel="0" collapsed="false">
      <c r="A458" s="2" t="s">
        <v>72</v>
      </c>
      <c r="B458" s="2" t="s">
        <v>8737</v>
      </c>
      <c r="C458" s="2"/>
      <c r="D458" s="2"/>
      <c r="E458" s="2"/>
      <c r="F458" s="2" t="s">
        <v>8738</v>
      </c>
      <c r="G458" s="2"/>
      <c r="H458" s="2"/>
      <c r="I458" s="2" t="s">
        <v>8739</v>
      </c>
      <c r="J458" s="2" t="s">
        <v>8740</v>
      </c>
      <c r="K458" s="2"/>
      <c r="L458" s="2"/>
      <c r="M458" s="2" t="s">
        <v>77</v>
      </c>
      <c r="N458" s="2" t="s">
        <v>78</v>
      </c>
      <c r="O458" s="2"/>
      <c r="P458" s="2"/>
      <c r="Q458" s="2"/>
      <c r="R458" s="2"/>
      <c r="S458" s="2"/>
      <c r="T458" s="2" t="s">
        <v>8741</v>
      </c>
      <c r="U458" s="2" t="s">
        <v>8742</v>
      </c>
      <c r="V458" s="2" t="s">
        <v>8743</v>
      </c>
      <c r="W458" s="2" t="s">
        <v>8744</v>
      </c>
      <c r="X458" s="2" t="s">
        <v>8745</v>
      </c>
      <c r="Y458" s="2" t="s">
        <v>8746</v>
      </c>
      <c r="Z458" s="2" t="s">
        <v>8747</v>
      </c>
      <c r="AA458" s="2"/>
      <c r="AB458" s="2"/>
      <c r="AC458" s="2"/>
      <c r="AD458" s="2"/>
      <c r="AE458" s="2"/>
      <c r="AF458" s="2"/>
      <c r="AG458" s="2" t="n">
        <v>19</v>
      </c>
      <c r="AH458" s="2" t="n">
        <v>5</v>
      </c>
      <c r="AI458" s="2" t="n">
        <v>5</v>
      </c>
      <c r="AJ458" s="2" t="n">
        <v>0</v>
      </c>
      <c r="AK458" s="2" t="n">
        <v>2</v>
      </c>
      <c r="AL458" s="2" t="s">
        <v>122</v>
      </c>
      <c r="AM458" s="2" t="s">
        <v>123</v>
      </c>
      <c r="AN458" s="2" t="s">
        <v>124</v>
      </c>
      <c r="AO458" s="2" t="s">
        <v>8748</v>
      </c>
      <c r="AP458" s="2" t="s">
        <v>8749</v>
      </c>
      <c r="AQ458" s="2"/>
      <c r="AR458" s="2" t="s">
        <v>8750</v>
      </c>
      <c r="AS458" s="2" t="s">
        <v>8751</v>
      </c>
      <c r="AT458" s="2" t="s">
        <v>1041</v>
      </c>
      <c r="AU458" s="2" t="n">
        <v>2018</v>
      </c>
      <c r="AV458" s="2" t="n">
        <v>38</v>
      </c>
      <c r="AW458" s="2" t="n">
        <v>2</v>
      </c>
      <c r="AX458" s="2"/>
      <c r="AY458" s="2"/>
      <c r="AZ458" s="2"/>
      <c r="BA458" s="2"/>
      <c r="BB458" s="2" t="s">
        <v>3000</v>
      </c>
      <c r="BC458" s="2" t="s">
        <v>3098</v>
      </c>
      <c r="BD458" s="2"/>
      <c r="BE458" s="2" t="s">
        <v>8752</v>
      </c>
      <c r="BF458" s="2" t="str">
        <f aca="false">HYPERLINK("http://dx.doi.org/10.1097/BPO.0000000000001103","http://dx.doi.org/10.1097/BPO.0000000000001103")</f>
        <v>http://dx.doi.org/10.1097/BPO.0000000000001103</v>
      </c>
      <c r="BG458" s="2"/>
      <c r="BH458" s="2"/>
      <c r="BI458" s="2" t="n">
        <v>7</v>
      </c>
      <c r="BJ458" s="2" t="s">
        <v>8753</v>
      </c>
      <c r="BK458" s="2" t="s">
        <v>100</v>
      </c>
      <c r="BL458" s="2" t="s">
        <v>8753</v>
      </c>
      <c r="BM458" s="2" t="s">
        <v>8754</v>
      </c>
      <c r="BN458" s="2" t="n">
        <v>29189528</v>
      </c>
      <c r="BO458" s="2"/>
      <c r="BP458" s="2"/>
      <c r="BQ458" s="2"/>
      <c r="BR458" s="2" t="s">
        <v>104</v>
      </c>
      <c r="BS458" s="2" t="s">
        <v>8755</v>
      </c>
      <c r="BT458" s="2" t="str">
        <f aca="false">HYPERLINK("https%3A%2F%2Fwww.webofscience.com%2Fwos%2Fwoscc%2Ffull-record%2FWOS:000427639100018","View Full Record in Web of Science")</f>
        <v>View Full Record in Web of Science</v>
      </c>
    </row>
    <row r="459" customFormat="false" ht="12.75" hidden="false" customHeight="false" outlineLevel="0" collapsed="false">
      <c r="A459" s="2" t="s">
        <v>72</v>
      </c>
      <c r="B459" s="2" t="s">
        <v>8756</v>
      </c>
      <c r="C459" s="2"/>
      <c r="D459" s="2"/>
      <c r="E459" s="2"/>
      <c r="F459" s="2" t="s">
        <v>8757</v>
      </c>
      <c r="G459" s="2"/>
      <c r="H459" s="2"/>
      <c r="I459" s="2" t="s">
        <v>8758</v>
      </c>
      <c r="J459" s="2" t="s">
        <v>109</v>
      </c>
      <c r="K459" s="2"/>
      <c r="L459" s="2"/>
      <c r="M459" s="2" t="s">
        <v>77</v>
      </c>
      <c r="N459" s="2" t="s">
        <v>78</v>
      </c>
      <c r="O459" s="2"/>
      <c r="P459" s="2"/>
      <c r="Q459" s="2"/>
      <c r="R459" s="2"/>
      <c r="S459" s="2"/>
      <c r="T459" s="2" t="s">
        <v>8759</v>
      </c>
      <c r="U459" s="2" t="s">
        <v>8760</v>
      </c>
      <c r="V459" s="2" t="s">
        <v>8761</v>
      </c>
      <c r="W459" s="2" t="s">
        <v>8762</v>
      </c>
      <c r="X459" s="2" t="s">
        <v>8763</v>
      </c>
      <c r="Y459" s="2" t="s">
        <v>8764</v>
      </c>
      <c r="Z459" s="2" t="s">
        <v>8765</v>
      </c>
      <c r="AA459" s="2" t="s">
        <v>8766</v>
      </c>
      <c r="AB459" s="2" t="s">
        <v>8767</v>
      </c>
      <c r="AC459" s="2" t="s">
        <v>8768</v>
      </c>
      <c r="AD459" s="2" t="s">
        <v>8768</v>
      </c>
      <c r="AE459" s="2" t="s">
        <v>8769</v>
      </c>
      <c r="AF459" s="2"/>
      <c r="AG459" s="2" t="n">
        <v>42</v>
      </c>
      <c r="AH459" s="2" t="n">
        <v>15</v>
      </c>
      <c r="AI459" s="2" t="n">
        <v>15</v>
      </c>
      <c r="AJ459" s="2" t="n">
        <v>0</v>
      </c>
      <c r="AK459" s="2" t="n">
        <v>6</v>
      </c>
      <c r="AL459" s="2" t="s">
        <v>122</v>
      </c>
      <c r="AM459" s="2" t="s">
        <v>123</v>
      </c>
      <c r="AN459" s="2" t="s">
        <v>124</v>
      </c>
      <c r="AO459" s="2" t="s">
        <v>125</v>
      </c>
      <c r="AP459" s="2" t="s">
        <v>126</v>
      </c>
      <c r="AQ459" s="2"/>
      <c r="AR459" s="2" t="s">
        <v>127</v>
      </c>
      <c r="AS459" s="2" t="s">
        <v>128</v>
      </c>
      <c r="AT459" s="2" t="s">
        <v>336</v>
      </c>
      <c r="AU459" s="2" t="n">
        <v>2015</v>
      </c>
      <c r="AV459" s="2" t="n">
        <v>34</v>
      </c>
      <c r="AW459" s="2" t="n">
        <v>10</v>
      </c>
      <c r="AX459" s="2"/>
      <c r="AY459" s="2"/>
      <c r="AZ459" s="2"/>
      <c r="BA459" s="2"/>
      <c r="BB459" s="2" t="n">
        <v>1056</v>
      </c>
      <c r="BC459" s="2" t="n">
        <v>1062</v>
      </c>
      <c r="BD459" s="2"/>
      <c r="BE459" s="2" t="s">
        <v>8770</v>
      </c>
      <c r="BF459" s="2" t="str">
        <f aca="false">HYPERLINK("http://dx.doi.org/10.1097/INF.0000000000000800","http://dx.doi.org/10.1097/INF.0000000000000800")</f>
        <v>http://dx.doi.org/10.1097/INF.0000000000000800</v>
      </c>
      <c r="BG459" s="2"/>
      <c r="BH459" s="2"/>
      <c r="BI459" s="2" t="n">
        <v>7</v>
      </c>
      <c r="BJ459" s="2" t="s">
        <v>134</v>
      </c>
      <c r="BK459" s="2" t="s">
        <v>100</v>
      </c>
      <c r="BL459" s="2" t="s">
        <v>134</v>
      </c>
      <c r="BM459" s="2" t="s">
        <v>8771</v>
      </c>
      <c r="BN459" s="2" t="n">
        <v>26164848</v>
      </c>
      <c r="BO459" s="2"/>
      <c r="BP459" s="2"/>
      <c r="BQ459" s="2"/>
      <c r="BR459" s="2" t="s">
        <v>104</v>
      </c>
      <c r="BS459" s="2" t="s">
        <v>8772</v>
      </c>
      <c r="BT459" s="2" t="str">
        <f aca="false">HYPERLINK("https%3A%2F%2Fwww.webofscience.com%2Fwos%2Fwoscc%2Ffull-record%2FWOS:000369587000011","View Full Record in Web of Science")</f>
        <v>View Full Record in Web of Science</v>
      </c>
    </row>
    <row r="460" customFormat="false" ht="12.75" hidden="false" customHeight="false" outlineLevel="0" collapsed="false">
      <c r="A460" s="2" t="s">
        <v>72</v>
      </c>
      <c r="B460" s="2" t="s">
        <v>8773</v>
      </c>
      <c r="C460" s="2"/>
      <c r="D460" s="2"/>
      <c r="E460" s="2"/>
      <c r="F460" s="2" t="s">
        <v>8774</v>
      </c>
      <c r="G460" s="2"/>
      <c r="H460" s="2"/>
      <c r="I460" s="2" t="s">
        <v>8775</v>
      </c>
      <c r="J460" s="2" t="s">
        <v>557</v>
      </c>
      <c r="K460" s="2"/>
      <c r="L460" s="2"/>
      <c r="M460" s="2" t="s">
        <v>77</v>
      </c>
      <c r="N460" s="2" t="s">
        <v>78</v>
      </c>
      <c r="O460" s="2"/>
      <c r="P460" s="2"/>
      <c r="Q460" s="2"/>
      <c r="R460" s="2"/>
      <c r="S460" s="2"/>
      <c r="T460" s="2" t="s">
        <v>8776</v>
      </c>
      <c r="U460" s="2" t="s">
        <v>8777</v>
      </c>
      <c r="V460" s="2" t="s">
        <v>8778</v>
      </c>
      <c r="W460" s="2" t="s">
        <v>8779</v>
      </c>
      <c r="X460" s="2" t="s">
        <v>8780</v>
      </c>
      <c r="Y460" s="2" t="s">
        <v>8781</v>
      </c>
      <c r="Z460" s="2" t="s">
        <v>8782</v>
      </c>
      <c r="AA460" s="2" t="s">
        <v>8783</v>
      </c>
      <c r="AB460" s="2" t="s">
        <v>8784</v>
      </c>
      <c r="AC460" s="2" t="s">
        <v>8785</v>
      </c>
      <c r="AD460" s="2" t="s">
        <v>8786</v>
      </c>
      <c r="AE460" s="2" t="s">
        <v>8787</v>
      </c>
      <c r="AF460" s="2"/>
      <c r="AG460" s="2" t="n">
        <v>38</v>
      </c>
      <c r="AH460" s="2" t="n">
        <v>38</v>
      </c>
      <c r="AI460" s="2" t="n">
        <v>38</v>
      </c>
      <c r="AJ460" s="2" t="n">
        <v>0</v>
      </c>
      <c r="AK460" s="2" t="n">
        <v>8</v>
      </c>
      <c r="AL460" s="2" t="s">
        <v>302</v>
      </c>
      <c r="AM460" s="2" t="s">
        <v>303</v>
      </c>
      <c r="AN460" s="2" t="s">
        <v>304</v>
      </c>
      <c r="AO460" s="2" t="s">
        <v>570</v>
      </c>
      <c r="AP460" s="2"/>
      <c r="AQ460" s="2"/>
      <c r="AR460" s="2" t="s">
        <v>571</v>
      </c>
      <c r="AS460" s="2" t="s">
        <v>572</v>
      </c>
      <c r="AT460" s="2" t="s">
        <v>8428</v>
      </c>
      <c r="AU460" s="2" t="n">
        <v>2014</v>
      </c>
      <c r="AV460" s="2" t="n">
        <v>14</v>
      </c>
      <c r="AW460" s="2"/>
      <c r="AX460" s="2"/>
      <c r="AY460" s="2"/>
      <c r="AZ460" s="2"/>
      <c r="BA460" s="2"/>
      <c r="BB460" s="2"/>
      <c r="BC460" s="2"/>
      <c r="BD460" s="2" t="n">
        <v>15</v>
      </c>
      <c r="BE460" s="2" t="s">
        <v>8788</v>
      </c>
      <c r="BF460" s="2" t="str">
        <f aca="false">HYPERLINK("http://dx.doi.org/10.1186/1471-2334-14-15","http://dx.doi.org/10.1186/1471-2334-14-15")</f>
        <v>http://dx.doi.org/10.1186/1471-2334-14-15</v>
      </c>
      <c r="BG460" s="2"/>
      <c r="BH460" s="2"/>
      <c r="BI460" s="2" t="n">
        <v>9</v>
      </c>
      <c r="BJ460" s="2" t="s">
        <v>575</v>
      </c>
      <c r="BK460" s="2" t="s">
        <v>100</v>
      </c>
      <c r="BL460" s="2" t="s">
        <v>575</v>
      </c>
      <c r="BM460" s="2" t="s">
        <v>8789</v>
      </c>
      <c r="BN460" s="2" t="n">
        <v>24405747</v>
      </c>
      <c r="BO460" s="2" t="s">
        <v>190</v>
      </c>
      <c r="BP460" s="2"/>
      <c r="BQ460" s="2"/>
      <c r="BR460" s="2" t="s">
        <v>104</v>
      </c>
      <c r="BS460" s="2" t="s">
        <v>8790</v>
      </c>
      <c r="BT460" s="2" t="str">
        <f aca="false">HYPERLINK("https%3A%2F%2Fwww.webofscience.com%2Fwos%2Fwoscc%2Ffull-record%2FWOS:000330053700003","View Full Record in Web of Science")</f>
        <v>View Full Record in Web of Science</v>
      </c>
    </row>
    <row r="461" customFormat="false" ht="12.75" hidden="false" customHeight="false" outlineLevel="0" collapsed="false">
      <c r="A461" s="2" t="s">
        <v>72</v>
      </c>
      <c r="B461" s="2" t="s">
        <v>8791</v>
      </c>
      <c r="C461" s="2"/>
      <c r="D461" s="2"/>
      <c r="E461" s="2"/>
      <c r="F461" s="2" t="s">
        <v>8792</v>
      </c>
      <c r="G461" s="2"/>
      <c r="H461" s="2"/>
      <c r="I461" s="2" t="s">
        <v>8793</v>
      </c>
      <c r="J461" s="2" t="s">
        <v>2021</v>
      </c>
      <c r="K461" s="2"/>
      <c r="L461" s="2"/>
      <c r="M461" s="2" t="s">
        <v>77</v>
      </c>
      <c r="N461" s="2" t="s">
        <v>78</v>
      </c>
      <c r="O461" s="2"/>
      <c r="P461" s="2"/>
      <c r="Q461" s="2"/>
      <c r="R461" s="2"/>
      <c r="S461" s="2"/>
      <c r="T461" s="2" t="s">
        <v>8794</v>
      </c>
      <c r="U461" s="2" t="s">
        <v>8795</v>
      </c>
      <c r="V461" s="2" t="s">
        <v>8796</v>
      </c>
      <c r="W461" s="2" t="s">
        <v>8797</v>
      </c>
      <c r="X461" s="2" t="s">
        <v>8798</v>
      </c>
      <c r="Y461" s="2" t="s">
        <v>8799</v>
      </c>
      <c r="Z461" s="2" t="s">
        <v>8800</v>
      </c>
      <c r="AA461" s="2" t="s">
        <v>8801</v>
      </c>
      <c r="AB461" s="2" t="s">
        <v>8802</v>
      </c>
      <c r="AC461" s="2" t="s">
        <v>8803</v>
      </c>
      <c r="AD461" s="2" t="s">
        <v>8804</v>
      </c>
      <c r="AE461" s="2" t="s">
        <v>8805</v>
      </c>
      <c r="AF461" s="2"/>
      <c r="AG461" s="2" t="n">
        <v>42</v>
      </c>
      <c r="AH461" s="2" t="n">
        <v>94</v>
      </c>
      <c r="AI461" s="2" t="n">
        <v>100</v>
      </c>
      <c r="AJ461" s="2" t="n">
        <v>1</v>
      </c>
      <c r="AK461" s="2" t="n">
        <v>10</v>
      </c>
      <c r="AL461" s="2" t="s">
        <v>527</v>
      </c>
      <c r="AM461" s="2" t="s">
        <v>528</v>
      </c>
      <c r="AN461" s="2" t="s">
        <v>529</v>
      </c>
      <c r="AO461" s="2" t="s">
        <v>2033</v>
      </c>
      <c r="AP461" s="2" t="s">
        <v>2034</v>
      </c>
      <c r="AQ461" s="2"/>
      <c r="AR461" s="2" t="s">
        <v>2035</v>
      </c>
      <c r="AS461" s="2" t="s">
        <v>2036</v>
      </c>
      <c r="AT461" s="2" t="s">
        <v>8806</v>
      </c>
      <c r="AU461" s="2" t="n">
        <v>2018</v>
      </c>
      <c r="AV461" s="2" t="n">
        <v>67</v>
      </c>
      <c r="AW461" s="2" t="n">
        <v>1</v>
      </c>
      <c r="AX461" s="2"/>
      <c r="AY461" s="2"/>
      <c r="AZ461" s="2"/>
      <c r="BA461" s="2"/>
      <c r="BB461" s="2" t="n">
        <v>8</v>
      </c>
      <c r="BC461" s="2" t="n">
        <v>17</v>
      </c>
      <c r="BD461" s="2"/>
      <c r="BE461" s="2" t="s">
        <v>8807</v>
      </c>
      <c r="BF461" s="2" t="str">
        <f aca="false">HYPERLINK("http://dx.doi.org/10.1093/cid/cix1144","http://dx.doi.org/10.1093/cid/cix1144")</f>
        <v>http://dx.doi.org/10.1093/cid/cix1144</v>
      </c>
      <c r="BG461" s="2"/>
      <c r="BH461" s="2"/>
      <c r="BI461" s="2" t="n">
        <v>10</v>
      </c>
      <c r="BJ461" s="2" t="s">
        <v>536</v>
      </c>
      <c r="BK461" s="2" t="s">
        <v>100</v>
      </c>
      <c r="BL461" s="2" t="s">
        <v>536</v>
      </c>
      <c r="BM461" s="2" t="s">
        <v>8808</v>
      </c>
      <c r="BN461" s="2" t="n">
        <v>29324996</v>
      </c>
      <c r="BO461" s="2" t="s">
        <v>8809</v>
      </c>
      <c r="BP461" s="2"/>
      <c r="BQ461" s="2"/>
      <c r="BR461" s="2" t="s">
        <v>104</v>
      </c>
      <c r="BS461" s="2" t="s">
        <v>8810</v>
      </c>
      <c r="BT461" s="2" t="str">
        <f aca="false">HYPERLINK("https%3A%2F%2Fwww.webofscience.com%2Fwos%2Fwoscc%2Ffull-record%2FWOS:000438446600006","View Full Record in Web of Science")</f>
        <v>View Full Record in Web of Science</v>
      </c>
    </row>
    <row r="462" customFormat="false" ht="12.75" hidden="false" customHeight="false" outlineLevel="0" collapsed="false">
      <c r="A462" s="2" t="s">
        <v>72</v>
      </c>
      <c r="B462" s="2" t="s">
        <v>8811</v>
      </c>
      <c r="C462" s="2"/>
      <c r="D462" s="2"/>
      <c r="E462" s="2"/>
      <c r="F462" s="2" t="s">
        <v>8812</v>
      </c>
      <c r="G462" s="2"/>
      <c r="H462" s="2"/>
      <c r="I462" s="2" t="s">
        <v>8813</v>
      </c>
      <c r="J462" s="2" t="s">
        <v>109</v>
      </c>
      <c r="K462" s="2"/>
      <c r="L462" s="2"/>
      <c r="M462" s="2" t="s">
        <v>77</v>
      </c>
      <c r="N462" s="2" t="s">
        <v>78</v>
      </c>
      <c r="O462" s="2"/>
      <c r="P462" s="2"/>
      <c r="Q462" s="2"/>
      <c r="R462" s="2"/>
      <c r="S462" s="2"/>
      <c r="T462" s="2" t="s">
        <v>8814</v>
      </c>
      <c r="U462" s="2" t="s">
        <v>8815</v>
      </c>
      <c r="V462" s="2" t="s">
        <v>8816</v>
      </c>
      <c r="W462" s="2" t="s">
        <v>8817</v>
      </c>
      <c r="X462" s="2" t="s">
        <v>8818</v>
      </c>
      <c r="Y462" s="2" t="s">
        <v>8819</v>
      </c>
      <c r="Z462" s="2" t="s">
        <v>8820</v>
      </c>
      <c r="AA462" s="2" t="s">
        <v>8821</v>
      </c>
      <c r="AB462" s="2"/>
      <c r="AC462" s="2" t="s">
        <v>8822</v>
      </c>
      <c r="AD462" s="2" t="s">
        <v>8823</v>
      </c>
      <c r="AE462" s="2" t="s">
        <v>8824</v>
      </c>
      <c r="AF462" s="2"/>
      <c r="AG462" s="2" t="n">
        <v>30</v>
      </c>
      <c r="AH462" s="2" t="n">
        <v>21</v>
      </c>
      <c r="AI462" s="2" t="n">
        <v>29</v>
      </c>
      <c r="AJ462" s="2" t="n">
        <v>0</v>
      </c>
      <c r="AK462" s="2" t="n">
        <v>2</v>
      </c>
      <c r="AL462" s="2" t="s">
        <v>122</v>
      </c>
      <c r="AM462" s="2" t="s">
        <v>123</v>
      </c>
      <c r="AN462" s="2" t="s">
        <v>124</v>
      </c>
      <c r="AO462" s="2" t="s">
        <v>125</v>
      </c>
      <c r="AP462" s="2" t="s">
        <v>126</v>
      </c>
      <c r="AQ462" s="2"/>
      <c r="AR462" s="2" t="s">
        <v>127</v>
      </c>
      <c r="AS462" s="2" t="s">
        <v>128</v>
      </c>
      <c r="AT462" s="2" t="s">
        <v>446</v>
      </c>
      <c r="AU462" s="2" t="n">
        <v>2011</v>
      </c>
      <c r="AV462" s="2" t="n">
        <v>30</v>
      </c>
      <c r="AW462" s="2" t="n">
        <v>12</v>
      </c>
      <c r="AX462" s="2"/>
      <c r="AY462" s="2"/>
      <c r="AZ462" s="2"/>
      <c r="BA462" s="2"/>
      <c r="BB462" s="2" t="n">
        <v>1047</v>
      </c>
      <c r="BC462" s="2" t="n">
        <v>1051</v>
      </c>
      <c r="BD462" s="2"/>
      <c r="BE462" s="2" t="s">
        <v>8825</v>
      </c>
      <c r="BF462" s="2" t="str">
        <f aca="false">HYPERLINK("http://dx.doi.org/10.1097/INF.0b013e31822db5e2","http://dx.doi.org/10.1097/INF.0b013e31822db5e2")</f>
        <v>http://dx.doi.org/10.1097/INF.0b013e31822db5e2</v>
      </c>
      <c r="BG462" s="2"/>
      <c r="BH462" s="2"/>
      <c r="BI462" s="2" t="n">
        <v>5</v>
      </c>
      <c r="BJ462" s="2" t="s">
        <v>134</v>
      </c>
      <c r="BK462" s="2" t="s">
        <v>100</v>
      </c>
      <c r="BL462" s="2" t="s">
        <v>134</v>
      </c>
      <c r="BM462" s="2" t="s">
        <v>3177</v>
      </c>
      <c r="BN462" s="2" t="n">
        <v>21857262</v>
      </c>
      <c r="BO462" s="2"/>
      <c r="BP462" s="2"/>
      <c r="BQ462" s="2"/>
      <c r="BR462" s="2" t="s">
        <v>104</v>
      </c>
      <c r="BS462" s="2" t="s">
        <v>8826</v>
      </c>
      <c r="BT462" s="2" t="str">
        <f aca="false">HYPERLINK("https%3A%2F%2Fwww.webofscience.com%2Fwos%2Fwoscc%2Ffull-record%2FWOS:000297406100010","View Full Record in Web of Science")</f>
        <v>View Full Record in Web of Science</v>
      </c>
    </row>
    <row r="463" customFormat="false" ht="12.75" hidden="false" customHeight="false" outlineLevel="0" collapsed="false">
      <c r="A463" s="2" t="s">
        <v>72</v>
      </c>
      <c r="B463" s="2" t="s">
        <v>8827</v>
      </c>
      <c r="C463" s="2"/>
      <c r="D463" s="2"/>
      <c r="E463" s="2"/>
      <c r="F463" s="2" t="s">
        <v>8828</v>
      </c>
      <c r="G463" s="2"/>
      <c r="H463" s="2"/>
      <c r="I463" s="2" t="s">
        <v>8829</v>
      </c>
      <c r="J463" s="2" t="s">
        <v>141</v>
      </c>
      <c r="K463" s="2"/>
      <c r="L463" s="2"/>
      <c r="M463" s="2" t="s">
        <v>77</v>
      </c>
      <c r="N463" s="2" t="s">
        <v>78</v>
      </c>
      <c r="O463" s="2"/>
      <c r="P463" s="2"/>
      <c r="Q463" s="2"/>
      <c r="R463" s="2"/>
      <c r="S463" s="2"/>
      <c r="T463" s="2" t="s">
        <v>8830</v>
      </c>
      <c r="U463" s="2" t="s">
        <v>8831</v>
      </c>
      <c r="V463" s="2" t="s">
        <v>8832</v>
      </c>
      <c r="W463" s="2" t="s">
        <v>8833</v>
      </c>
      <c r="X463" s="2" t="s">
        <v>8834</v>
      </c>
      <c r="Y463" s="2" t="s">
        <v>8835</v>
      </c>
      <c r="Z463" s="2" t="s">
        <v>8836</v>
      </c>
      <c r="AA463" s="2"/>
      <c r="AB463" s="2"/>
      <c r="AC463" s="2" t="s">
        <v>8837</v>
      </c>
      <c r="AD463" s="2" t="s">
        <v>8837</v>
      </c>
      <c r="AE463" s="2" t="s">
        <v>8838</v>
      </c>
      <c r="AF463" s="2"/>
      <c r="AG463" s="2" t="n">
        <v>41</v>
      </c>
      <c r="AH463" s="2" t="n">
        <v>4</v>
      </c>
      <c r="AI463" s="2" t="n">
        <v>4</v>
      </c>
      <c r="AJ463" s="2" t="n">
        <v>0</v>
      </c>
      <c r="AK463" s="2" t="n">
        <v>10</v>
      </c>
      <c r="AL463" s="2" t="s">
        <v>154</v>
      </c>
      <c r="AM463" s="2" t="s">
        <v>155</v>
      </c>
      <c r="AN463" s="2" t="s">
        <v>156</v>
      </c>
      <c r="AO463" s="2" t="s">
        <v>157</v>
      </c>
      <c r="AP463" s="2" t="s">
        <v>158</v>
      </c>
      <c r="AQ463" s="2"/>
      <c r="AR463" s="2" t="s">
        <v>159</v>
      </c>
      <c r="AS463" s="2" t="s">
        <v>160</v>
      </c>
      <c r="AT463" s="2" t="s">
        <v>692</v>
      </c>
      <c r="AU463" s="2" t="n">
        <v>2014</v>
      </c>
      <c r="AV463" s="2" t="n">
        <v>86</v>
      </c>
      <c r="AW463" s="2" t="n">
        <v>4</v>
      </c>
      <c r="AX463" s="2"/>
      <c r="AY463" s="2"/>
      <c r="AZ463" s="2"/>
      <c r="BA463" s="2"/>
      <c r="BB463" s="2" t="n">
        <v>547</v>
      </c>
      <c r="BC463" s="2" t="n">
        <v>557</v>
      </c>
      <c r="BD463" s="2"/>
      <c r="BE463" s="2" t="s">
        <v>8839</v>
      </c>
      <c r="BF463" s="2" t="str">
        <f aca="false">HYPERLINK("http://dx.doi.org/10.1002/jmv.23731","http://dx.doi.org/10.1002/jmv.23731")</f>
        <v>http://dx.doi.org/10.1002/jmv.23731</v>
      </c>
      <c r="BG463" s="2"/>
      <c r="BH463" s="2"/>
      <c r="BI463" s="2" t="n">
        <v>11</v>
      </c>
      <c r="BJ463" s="2" t="s">
        <v>163</v>
      </c>
      <c r="BK463" s="2" t="s">
        <v>100</v>
      </c>
      <c r="BL463" s="2" t="s">
        <v>163</v>
      </c>
      <c r="BM463" s="2" t="s">
        <v>8840</v>
      </c>
      <c r="BN463" s="2" t="n">
        <v>24009128</v>
      </c>
      <c r="BO463" s="2"/>
      <c r="BP463" s="2"/>
      <c r="BQ463" s="2"/>
      <c r="BR463" s="2" t="s">
        <v>104</v>
      </c>
      <c r="BS463" s="2" t="s">
        <v>8841</v>
      </c>
      <c r="BT463" s="2" t="str">
        <f aca="false">HYPERLINK("https%3A%2F%2Fwww.webofscience.com%2Fwos%2Fwoscc%2Ffull-record%2FWOS:000330583400001","View Full Record in Web of Science")</f>
        <v>View Full Record in Web of Science</v>
      </c>
    </row>
    <row r="464" customFormat="false" ht="12.75" hidden="false" customHeight="false" outlineLevel="0" collapsed="false">
      <c r="A464" s="2" t="s">
        <v>72</v>
      </c>
      <c r="B464" s="2" t="s">
        <v>8842</v>
      </c>
      <c r="C464" s="2"/>
      <c r="D464" s="2"/>
      <c r="E464" s="2"/>
      <c r="F464" s="2" t="s">
        <v>8843</v>
      </c>
      <c r="G464" s="2"/>
      <c r="H464" s="2"/>
      <c r="I464" s="2" t="s">
        <v>8844</v>
      </c>
      <c r="J464" s="2" t="s">
        <v>141</v>
      </c>
      <c r="K464" s="2"/>
      <c r="L464" s="2"/>
      <c r="M464" s="2" t="s">
        <v>77</v>
      </c>
      <c r="N464" s="2" t="s">
        <v>78</v>
      </c>
      <c r="O464" s="2"/>
      <c r="P464" s="2"/>
      <c r="Q464" s="2"/>
      <c r="R464" s="2"/>
      <c r="S464" s="2"/>
      <c r="T464" s="2" t="s">
        <v>8845</v>
      </c>
      <c r="U464" s="2" t="s">
        <v>8846</v>
      </c>
      <c r="V464" s="2" t="s">
        <v>8847</v>
      </c>
      <c r="W464" s="2" t="s">
        <v>8848</v>
      </c>
      <c r="X464" s="2" t="s">
        <v>8849</v>
      </c>
      <c r="Y464" s="2" t="s">
        <v>8850</v>
      </c>
      <c r="Z464" s="2" t="s">
        <v>8851</v>
      </c>
      <c r="AA464" s="2" t="s">
        <v>8852</v>
      </c>
      <c r="AB464" s="2" t="s">
        <v>8853</v>
      </c>
      <c r="AC464" s="2" t="s">
        <v>8854</v>
      </c>
      <c r="AD464" s="2" t="s">
        <v>8855</v>
      </c>
      <c r="AE464" s="2" t="s">
        <v>8856</v>
      </c>
      <c r="AF464" s="2"/>
      <c r="AG464" s="2" t="n">
        <v>37</v>
      </c>
      <c r="AH464" s="2" t="n">
        <v>14</v>
      </c>
      <c r="AI464" s="2" t="n">
        <v>17</v>
      </c>
      <c r="AJ464" s="2" t="n">
        <v>0</v>
      </c>
      <c r="AK464" s="2" t="n">
        <v>4</v>
      </c>
      <c r="AL464" s="2" t="s">
        <v>154</v>
      </c>
      <c r="AM464" s="2" t="s">
        <v>155</v>
      </c>
      <c r="AN464" s="2" t="s">
        <v>156</v>
      </c>
      <c r="AO464" s="2" t="s">
        <v>157</v>
      </c>
      <c r="AP464" s="2" t="s">
        <v>158</v>
      </c>
      <c r="AQ464" s="2"/>
      <c r="AR464" s="2" t="s">
        <v>159</v>
      </c>
      <c r="AS464" s="2" t="s">
        <v>160</v>
      </c>
      <c r="AT464" s="2" t="s">
        <v>804</v>
      </c>
      <c r="AU464" s="2" t="n">
        <v>2016</v>
      </c>
      <c r="AV464" s="2" t="n">
        <v>88</v>
      </c>
      <c r="AW464" s="2" t="n">
        <v>11</v>
      </c>
      <c r="AX464" s="2"/>
      <c r="AY464" s="2"/>
      <c r="AZ464" s="2"/>
      <c r="BA464" s="2"/>
      <c r="BB464" s="2" t="n">
        <v>1882</v>
      </c>
      <c r="BC464" s="2" t="n">
        <v>1890</v>
      </c>
      <c r="BD464" s="2"/>
      <c r="BE464" s="2" t="s">
        <v>8857</v>
      </c>
      <c r="BF464" s="2" t="str">
        <f aca="false">HYPERLINK("http://dx.doi.org/10.1002/jmv.24557","http://dx.doi.org/10.1002/jmv.24557")</f>
        <v>http://dx.doi.org/10.1002/jmv.24557</v>
      </c>
      <c r="BG464" s="2"/>
      <c r="BH464" s="2"/>
      <c r="BI464" s="2" t="n">
        <v>9</v>
      </c>
      <c r="BJ464" s="2" t="s">
        <v>163</v>
      </c>
      <c r="BK464" s="2" t="s">
        <v>100</v>
      </c>
      <c r="BL464" s="2" t="s">
        <v>163</v>
      </c>
      <c r="BM464" s="2" t="s">
        <v>8858</v>
      </c>
      <c r="BN464" s="2" t="n">
        <v>27096404</v>
      </c>
      <c r="BO464" s="2" t="s">
        <v>165</v>
      </c>
      <c r="BP464" s="2"/>
      <c r="BQ464" s="2"/>
      <c r="BR464" s="2" t="s">
        <v>104</v>
      </c>
      <c r="BS464" s="2" t="s">
        <v>8859</v>
      </c>
      <c r="BT464" s="2" t="str">
        <f aca="false">HYPERLINK("https%3A%2F%2Fwww.webofscience.com%2Fwos%2Fwoscc%2Ffull-record%2FWOS:000385723000007","View Full Record in Web of Science")</f>
        <v>View Full Record in Web of Science</v>
      </c>
    </row>
    <row r="465" customFormat="false" ht="12.75" hidden="false" customHeight="false" outlineLevel="0" collapsed="false">
      <c r="A465" s="2" t="s">
        <v>72</v>
      </c>
      <c r="B465" s="2" t="s">
        <v>8860</v>
      </c>
      <c r="C465" s="2"/>
      <c r="D465" s="2"/>
      <c r="E465" s="2"/>
      <c r="F465" s="2" t="s">
        <v>8861</v>
      </c>
      <c r="G465" s="2"/>
      <c r="H465" s="2"/>
      <c r="I465" s="2" t="s">
        <v>8862</v>
      </c>
      <c r="J465" s="2" t="s">
        <v>141</v>
      </c>
      <c r="K465" s="2"/>
      <c r="L465" s="2"/>
      <c r="M465" s="2" t="s">
        <v>77</v>
      </c>
      <c r="N465" s="2" t="s">
        <v>78</v>
      </c>
      <c r="O465" s="2"/>
      <c r="P465" s="2"/>
      <c r="Q465" s="2"/>
      <c r="R465" s="2"/>
      <c r="S465" s="2"/>
      <c r="T465" s="2" t="s">
        <v>8863</v>
      </c>
      <c r="U465" s="2" t="s">
        <v>8864</v>
      </c>
      <c r="V465" s="2" t="s">
        <v>8865</v>
      </c>
      <c r="W465" s="2" t="s">
        <v>8866</v>
      </c>
      <c r="X465" s="2" t="s">
        <v>8867</v>
      </c>
      <c r="Y465" s="2" t="s">
        <v>8868</v>
      </c>
      <c r="Z465" s="2" t="s">
        <v>8869</v>
      </c>
      <c r="AA465" s="2" t="s">
        <v>8870</v>
      </c>
      <c r="AB465" s="2" t="s">
        <v>8871</v>
      </c>
      <c r="AC465" s="2"/>
      <c r="AD465" s="2"/>
      <c r="AE465" s="2"/>
      <c r="AF465" s="2"/>
      <c r="AG465" s="2" t="n">
        <v>36</v>
      </c>
      <c r="AH465" s="2" t="n">
        <v>149</v>
      </c>
      <c r="AI465" s="2" t="n">
        <v>197</v>
      </c>
      <c r="AJ465" s="2" t="n">
        <v>0</v>
      </c>
      <c r="AK465" s="2" t="n">
        <v>13</v>
      </c>
      <c r="AL465" s="2" t="s">
        <v>2746</v>
      </c>
      <c r="AM465" s="2" t="s">
        <v>155</v>
      </c>
      <c r="AN465" s="2" t="s">
        <v>2747</v>
      </c>
      <c r="AO465" s="2" t="s">
        <v>157</v>
      </c>
      <c r="AP465" s="2"/>
      <c r="AQ465" s="2"/>
      <c r="AR465" s="2" t="s">
        <v>159</v>
      </c>
      <c r="AS465" s="2" t="s">
        <v>160</v>
      </c>
      <c r="AT465" s="2" t="s">
        <v>804</v>
      </c>
      <c r="AU465" s="2" t="n">
        <v>2006</v>
      </c>
      <c r="AV465" s="2" t="n">
        <v>78</v>
      </c>
      <c r="AW465" s="2" t="n">
        <v>11</v>
      </c>
      <c r="AX465" s="2"/>
      <c r="AY465" s="2"/>
      <c r="AZ465" s="2"/>
      <c r="BA465" s="2"/>
      <c r="BB465" s="2" t="n">
        <v>1498</v>
      </c>
      <c r="BC465" s="2" t="n">
        <v>1504</v>
      </c>
      <c r="BD465" s="2"/>
      <c r="BE465" s="2" t="s">
        <v>8872</v>
      </c>
      <c r="BF465" s="2" t="str">
        <f aca="false">HYPERLINK("http://dx.doi.org/10.1002/jmv.20725","http://dx.doi.org/10.1002/jmv.20725")</f>
        <v>http://dx.doi.org/10.1002/jmv.20725</v>
      </c>
      <c r="BG465" s="2"/>
      <c r="BH465" s="2"/>
      <c r="BI465" s="2" t="n">
        <v>7</v>
      </c>
      <c r="BJ465" s="2" t="s">
        <v>163</v>
      </c>
      <c r="BK465" s="2" t="s">
        <v>100</v>
      </c>
      <c r="BL465" s="2" t="s">
        <v>163</v>
      </c>
      <c r="BM465" s="2" t="s">
        <v>8873</v>
      </c>
      <c r="BN465" s="2" t="n">
        <v>16998894</v>
      </c>
      <c r="BO465" s="2" t="s">
        <v>165</v>
      </c>
      <c r="BP465" s="2"/>
      <c r="BQ465" s="2"/>
      <c r="BR465" s="2" t="s">
        <v>104</v>
      </c>
      <c r="BS465" s="2" t="s">
        <v>8874</v>
      </c>
      <c r="BT465" s="2" t="str">
        <f aca="false">HYPERLINK("https%3A%2F%2Fwww.webofscience.com%2Fwos%2Fwoscc%2Ffull-record%2FWOS:000241042100020","View Full Record in Web of Science")</f>
        <v>View Full Record in Web of Science</v>
      </c>
    </row>
    <row r="466" customFormat="false" ht="12.75" hidden="false" customHeight="false" outlineLevel="0" collapsed="false">
      <c r="A466" s="2" t="s">
        <v>72</v>
      </c>
      <c r="B466" s="2" t="s">
        <v>8875</v>
      </c>
      <c r="C466" s="2"/>
      <c r="D466" s="2"/>
      <c r="E466" s="2"/>
      <c r="F466" s="2" t="s">
        <v>8875</v>
      </c>
      <c r="G466" s="2"/>
      <c r="H466" s="2"/>
      <c r="I466" s="2" t="s">
        <v>8876</v>
      </c>
      <c r="J466" s="2" t="s">
        <v>717</v>
      </c>
      <c r="K466" s="2"/>
      <c r="L466" s="2"/>
      <c r="M466" s="2" t="s">
        <v>77</v>
      </c>
      <c r="N466" s="2" t="s">
        <v>78</v>
      </c>
      <c r="O466" s="2"/>
      <c r="P466" s="2"/>
      <c r="Q466" s="2"/>
      <c r="R466" s="2"/>
      <c r="S466" s="2"/>
      <c r="T466" s="2" t="s">
        <v>8877</v>
      </c>
      <c r="U466" s="2" t="s">
        <v>8878</v>
      </c>
      <c r="V466" s="2" t="s">
        <v>8879</v>
      </c>
      <c r="W466" s="2" t="s">
        <v>8880</v>
      </c>
      <c r="X466" s="2" t="s">
        <v>8881</v>
      </c>
      <c r="Y466" s="2" t="s">
        <v>8882</v>
      </c>
      <c r="Z466" s="2" t="s">
        <v>8869</v>
      </c>
      <c r="AA466" s="2" t="s">
        <v>8883</v>
      </c>
      <c r="AB466" s="2" t="s">
        <v>8884</v>
      </c>
      <c r="AC466" s="2"/>
      <c r="AD466" s="2"/>
      <c r="AE466" s="2"/>
      <c r="AF466" s="2"/>
      <c r="AG466" s="2" t="n">
        <v>50</v>
      </c>
      <c r="AH466" s="2" t="n">
        <v>246</v>
      </c>
      <c r="AI466" s="2" t="n">
        <v>285</v>
      </c>
      <c r="AJ466" s="2" t="n">
        <v>0</v>
      </c>
      <c r="AK466" s="2" t="n">
        <v>36</v>
      </c>
      <c r="AL466" s="2" t="s">
        <v>549</v>
      </c>
      <c r="AM466" s="2" t="s">
        <v>384</v>
      </c>
      <c r="AN466" s="2" t="s">
        <v>550</v>
      </c>
      <c r="AO466" s="2" t="s">
        <v>729</v>
      </c>
      <c r="AP466" s="2" t="s">
        <v>730</v>
      </c>
      <c r="AQ466" s="2"/>
      <c r="AR466" s="2" t="s">
        <v>731</v>
      </c>
      <c r="AS466" s="2" t="s">
        <v>732</v>
      </c>
      <c r="AT466" s="2" t="s">
        <v>486</v>
      </c>
      <c r="AU466" s="2" t="n">
        <v>2005</v>
      </c>
      <c r="AV466" s="2" t="n">
        <v>126</v>
      </c>
      <c r="AW466" s="2" t="s">
        <v>1407</v>
      </c>
      <c r="AX466" s="2"/>
      <c r="AY466" s="2"/>
      <c r="AZ466" s="2"/>
      <c r="BA466" s="2"/>
      <c r="BB466" s="2" t="n">
        <v>53</v>
      </c>
      <c r="BC466" s="2" t="n">
        <v>63</v>
      </c>
      <c r="BD466" s="2"/>
      <c r="BE466" s="2" t="s">
        <v>8885</v>
      </c>
      <c r="BF466" s="2" t="str">
        <f aca="false">HYPERLINK("http://dx.doi.org/10.1016/j.jviromet.2005.01.020","http://dx.doi.org/10.1016/j.jviromet.2005.01.020")</f>
        <v>http://dx.doi.org/10.1016/j.jviromet.2005.01.020</v>
      </c>
      <c r="BG466" s="2"/>
      <c r="BH466" s="2"/>
      <c r="BI466" s="2" t="n">
        <v>11</v>
      </c>
      <c r="BJ466" s="2" t="s">
        <v>735</v>
      </c>
      <c r="BK466" s="2" t="s">
        <v>100</v>
      </c>
      <c r="BL466" s="2" t="s">
        <v>736</v>
      </c>
      <c r="BM466" s="2" t="s">
        <v>8886</v>
      </c>
      <c r="BN466" s="2" t="n">
        <v>15847919</v>
      </c>
      <c r="BO466" s="2" t="s">
        <v>1089</v>
      </c>
      <c r="BP466" s="2"/>
      <c r="BQ466" s="2"/>
      <c r="BR466" s="2" t="s">
        <v>104</v>
      </c>
      <c r="BS466" s="2" t="s">
        <v>8887</v>
      </c>
      <c r="BT466" s="2" t="str">
        <f aca="false">HYPERLINK("https%3A%2F%2Fwww.webofscience.com%2Fwos%2Fwoscc%2Ffull-record%2FWOS:000229003000007","View Full Record in Web of Science")</f>
        <v>View Full Record in Web of Science</v>
      </c>
    </row>
    <row r="467" customFormat="false" ht="12.75" hidden="false" customHeight="false" outlineLevel="0" collapsed="false">
      <c r="A467" s="2" t="s">
        <v>72</v>
      </c>
      <c r="B467" s="2" t="s">
        <v>8888</v>
      </c>
      <c r="C467" s="2"/>
      <c r="D467" s="2"/>
      <c r="E467" s="2"/>
      <c r="F467" s="2" t="s">
        <v>8889</v>
      </c>
      <c r="G467" s="2"/>
      <c r="H467" s="2"/>
      <c r="I467" s="2" t="s">
        <v>8890</v>
      </c>
      <c r="J467" s="2" t="s">
        <v>889</v>
      </c>
      <c r="K467" s="2"/>
      <c r="L467" s="2"/>
      <c r="M467" s="2" t="s">
        <v>77</v>
      </c>
      <c r="N467" s="2" t="s">
        <v>78</v>
      </c>
      <c r="O467" s="2"/>
      <c r="P467" s="2"/>
      <c r="Q467" s="2"/>
      <c r="R467" s="2"/>
      <c r="S467" s="2"/>
      <c r="T467" s="2" t="s">
        <v>8891</v>
      </c>
      <c r="U467" s="2" t="s">
        <v>8892</v>
      </c>
      <c r="V467" s="2" t="s">
        <v>8893</v>
      </c>
      <c r="W467" s="2" t="s">
        <v>8894</v>
      </c>
      <c r="X467" s="2" t="s">
        <v>8895</v>
      </c>
      <c r="Y467" s="2" t="s">
        <v>8896</v>
      </c>
      <c r="Z467" s="2" t="s">
        <v>8897</v>
      </c>
      <c r="AA467" s="2"/>
      <c r="AB467" s="2" t="s">
        <v>8898</v>
      </c>
      <c r="AC467" s="2"/>
      <c r="AD467" s="2"/>
      <c r="AE467" s="2"/>
      <c r="AF467" s="2"/>
      <c r="AG467" s="2" t="n">
        <v>26</v>
      </c>
      <c r="AH467" s="2" t="n">
        <v>21</v>
      </c>
      <c r="AI467" s="2" t="n">
        <v>26</v>
      </c>
      <c r="AJ467" s="2" t="n">
        <v>0</v>
      </c>
      <c r="AK467" s="2" t="n">
        <v>4</v>
      </c>
      <c r="AL467" s="2" t="s">
        <v>5070</v>
      </c>
      <c r="AM467" s="2" t="s">
        <v>5071</v>
      </c>
      <c r="AN467" s="2" t="s">
        <v>5072</v>
      </c>
      <c r="AO467" s="2" t="s">
        <v>5073</v>
      </c>
      <c r="AP467" s="2" t="s">
        <v>5074</v>
      </c>
      <c r="AQ467" s="2"/>
      <c r="AR467" s="2" t="s">
        <v>889</v>
      </c>
      <c r="AS467" s="2" t="s">
        <v>5075</v>
      </c>
      <c r="AT467" s="2" t="s">
        <v>692</v>
      </c>
      <c r="AU467" s="2" t="n">
        <v>2014</v>
      </c>
      <c r="AV467" s="2" t="n">
        <v>42</v>
      </c>
      <c r="AW467" s="2" t="n">
        <v>2</v>
      </c>
      <c r="AX467" s="2"/>
      <c r="AY467" s="2"/>
      <c r="AZ467" s="2"/>
      <c r="BA467" s="2"/>
      <c r="BB467" s="2" t="n">
        <v>303</v>
      </c>
      <c r="BC467" s="2" t="n">
        <v>308</v>
      </c>
      <c r="BD467" s="2"/>
      <c r="BE467" s="2" t="s">
        <v>8899</v>
      </c>
      <c r="BF467" s="2" t="str">
        <f aca="false">HYPERLINK("http://dx.doi.org/10.1007/s15010-013-0545-5","http://dx.doi.org/10.1007/s15010-013-0545-5")</f>
        <v>http://dx.doi.org/10.1007/s15010-013-0545-5</v>
      </c>
      <c r="BG467" s="2"/>
      <c r="BH467" s="2"/>
      <c r="BI467" s="2" t="n">
        <v>6</v>
      </c>
      <c r="BJ467" s="2" t="s">
        <v>575</v>
      </c>
      <c r="BK467" s="2" t="s">
        <v>100</v>
      </c>
      <c r="BL467" s="2" t="s">
        <v>575</v>
      </c>
      <c r="BM467" s="2" t="s">
        <v>8900</v>
      </c>
      <c r="BN467" s="2" t="n">
        <v>24150959</v>
      </c>
      <c r="BO467" s="2" t="s">
        <v>5372</v>
      </c>
      <c r="BP467" s="2"/>
      <c r="BQ467" s="2"/>
      <c r="BR467" s="2" t="s">
        <v>104</v>
      </c>
      <c r="BS467" s="2" t="s">
        <v>8901</v>
      </c>
      <c r="BT467" s="2" t="str">
        <f aca="false">HYPERLINK("https%3A%2F%2Fwww.webofscience.com%2Fwos%2Fwoscc%2Ffull-record%2FWOS:000334899600005","View Full Record in Web of Science")</f>
        <v>View Full Record in Web of Science</v>
      </c>
    </row>
    <row r="468" customFormat="false" ht="12.75" hidden="false" customHeight="false" outlineLevel="0" collapsed="false">
      <c r="A468" s="2" t="s">
        <v>72</v>
      </c>
      <c r="B468" s="2" t="s">
        <v>8902</v>
      </c>
      <c r="C468" s="2"/>
      <c r="D468" s="2"/>
      <c r="E468" s="2"/>
      <c r="F468" s="2" t="s">
        <v>8903</v>
      </c>
      <c r="G468" s="2"/>
      <c r="H468" s="2"/>
      <c r="I468" s="2" t="s">
        <v>8904</v>
      </c>
      <c r="J468" s="2" t="s">
        <v>1863</v>
      </c>
      <c r="K468" s="2"/>
      <c r="L468" s="2"/>
      <c r="M468" s="2" t="s">
        <v>77</v>
      </c>
      <c r="N468" s="2" t="s">
        <v>78</v>
      </c>
      <c r="O468" s="2"/>
      <c r="P468" s="2"/>
      <c r="Q468" s="2"/>
      <c r="R468" s="2"/>
      <c r="S468" s="2"/>
      <c r="T468" s="2" t="s">
        <v>8905</v>
      </c>
      <c r="U468" s="2" t="s">
        <v>8906</v>
      </c>
      <c r="V468" s="2" t="s">
        <v>8907</v>
      </c>
      <c r="W468" s="2" t="s">
        <v>8908</v>
      </c>
      <c r="X468" s="2" t="s">
        <v>8909</v>
      </c>
      <c r="Y468" s="2" t="s">
        <v>8910</v>
      </c>
      <c r="Z468" s="2" t="s">
        <v>8911</v>
      </c>
      <c r="AA468" s="2" t="s">
        <v>8912</v>
      </c>
      <c r="AB468" s="2" t="s">
        <v>8913</v>
      </c>
      <c r="AC468" s="2" t="s">
        <v>8914</v>
      </c>
      <c r="AD468" s="2" t="s">
        <v>8915</v>
      </c>
      <c r="AE468" s="2" t="s">
        <v>8916</v>
      </c>
      <c r="AF468" s="2"/>
      <c r="AG468" s="2" t="n">
        <v>23</v>
      </c>
      <c r="AH468" s="2" t="n">
        <v>28</v>
      </c>
      <c r="AI468" s="2" t="n">
        <v>32</v>
      </c>
      <c r="AJ468" s="2" t="n">
        <v>3</v>
      </c>
      <c r="AK468" s="2" t="n">
        <v>22</v>
      </c>
      <c r="AL468" s="2" t="s">
        <v>302</v>
      </c>
      <c r="AM468" s="2" t="s">
        <v>303</v>
      </c>
      <c r="AN468" s="2" t="s">
        <v>304</v>
      </c>
      <c r="AO468" s="2"/>
      <c r="AP468" s="2" t="s">
        <v>1876</v>
      </c>
      <c r="AQ468" s="2"/>
      <c r="AR468" s="2" t="s">
        <v>1877</v>
      </c>
      <c r="AS468" s="2" t="s">
        <v>1878</v>
      </c>
      <c r="AT468" s="2" t="s">
        <v>8917</v>
      </c>
      <c r="AU468" s="2" t="n">
        <v>2016</v>
      </c>
      <c r="AV468" s="2" t="n">
        <v>13</v>
      </c>
      <c r="AW468" s="2"/>
      <c r="AX468" s="2"/>
      <c r="AY468" s="2"/>
      <c r="AZ468" s="2"/>
      <c r="BA468" s="2"/>
      <c r="BB468" s="2"/>
      <c r="BC468" s="2"/>
      <c r="BD468" s="2" t="n">
        <v>91</v>
      </c>
      <c r="BE468" s="2" t="s">
        <v>8918</v>
      </c>
      <c r="BF468" s="2" t="str">
        <f aca="false">HYPERLINK("http://dx.doi.org/10.1186/s12985-016-0549-8","http://dx.doi.org/10.1186/s12985-016-0549-8")</f>
        <v>http://dx.doi.org/10.1186/s12985-016-0549-8</v>
      </c>
      <c r="BG468" s="2"/>
      <c r="BH468" s="2"/>
      <c r="BI468" s="2" t="n">
        <v>7</v>
      </c>
      <c r="BJ468" s="2" t="s">
        <v>163</v>
      </c>
      <c r="BK468" s="2" t="s">
        <v>100</v>
      </c>
      <c r="BL468" s="2" t="s">
        <v>163</v>
      </c>
      <c r="BM468" s="2" t="s">
        <v>8919</v>
      </c>
      <c r="BN468" s="2" t="n">
        <v>27267595</v>
      </c>
      <c r="BO468" s="2" t="s">
        <v>103</v>
      </c>
      <c r="BP468" s="2"/>
      <c r="BQ468" s="2"/>
      <c r="BR468" s="2" t="s">
        <v>104</v>
      </c>
      <c r="BS468" s="2" t="s">
        <v>8920</v>
      </c>
      <c r="BT468" s="2" t="str">
        <f aca="false">HYPERLINK("https%3A%2F%2Fwww.webofscience.com%2Fwos%2Fwoscc%2Ffull-record%2FWOS:000377507300001","View Full Record in Web of Science")</f>
        <v>View Full Record in Web of Science</v>
      </c>
    </row>
    <row r="469" customFormat="false" ht="12.75" hidden="false" customHeight="false" outlineLevel="0" collapsed="false">
      <c r="A469" s="2" t="s">
        <v>72</v>
      </c>
      <c r="B469" s="2" t="s">
        <v>8921</v>
      </c>
      <c r="C469" s="2"/>
      <c r="D469" s="2"/>
      <c r="E469" s="2"/>
      <c r="F469" s="2" t="s">
        <v>8922</v>
      </c>
      <c r="G469" s="2"/>
      <c r="H469" s="2"/>
      <c r="I469" s="2" t="s">
        <v>8923</v>
      </c>
      <c r="J469" s="2" t="s">
        <v>8924</v>
      </c>
      <c r="K469" s="2"/>
      <c r="L469" s="2"/>
      <c r="M469" s="2" t="s">
        <v>77</v>
      </c>
      <c r="N469" s="2" t="s">
        <v>78</v>
      </c>
      <c r="O469" s="2"/>
      <c r="P469" s="2"/>
      <c r="Q469" s="2"/>
      <c r="R469" s="2"/>
      <c r="S469" s="2"/>
      <c r="T469" s="2" t="s">
        <v>8925</v>
      </c>
      <c r="U469" s="2" t="s">
        <v>8926</v>
      </c>
      <c r="V469" s="2" t="s">
        <v>8927</v>
      </c>
      <c r="W469" s="2" t="s">
        <v>8928</v>
      </c>
      <c r="X469" s="2" t="s">
        <v>8929</v>
      </c>
      <c r="Y469" s="2" t="s">
        <v>8930</v>
      </c>
      <c r="Z469" s="2" t="s">
        <v>8931</v>
      </c>
      <c r="AA469" s="2" t="s">
        <v>8932</v>
      </c>
      <c r="AB469" s="2"/>
      <c r="AC469" s="2"/>
      <c r="AD469" s="2"/>
      <c r="AE469" s="2"/>
      <c r="AF469" s="2"/>
      <c r="AG469" s="2" t="n">
        <v>26</v>
      </c>
      <c r="AH469" s="2" t="n">
        <v>22</v>
      </c>
      <c r="AI469" s="2" t="n">
        <v>24</v>
      </c>
      <c r="AJ469" s="2" t="n">
        <v>0</v>
      </c>
      <c r="AK469" s="2" t="n">
        <v>9</v>
      </c>
      <c r="AL469" s="2" t="s">
        <v>8933</v>
      </c>
      <c r="AM469" s="2" t="s">
        <v>1345</v>
      </c>
      <c r="AN469" s="2" t="s">
        <v>8934</v>
      </c>
      <c r="AO469" s="2" t="s">
        <v>8935</v>
      </c>
      <c r="AP469" s="2" t="s">
        <v>8936</v>
      </c>
      <c r="AQ469" s="2"/>
      <c r="AR469" s="2" t="s">
        <v>8937</v>
      </c>
      <c r="AS469" s="2" t="s">
        <v>8938</v>
      </c>
      <c r="AT469" s="2" t="s">
        <v>390</v>
      </c>
      <c r="AU469" s="2" t="n">
        <v>2019</v>
      </c>
      <c r="AV469" s="2" t="n">
        <v>86</v>
      </c>
      <c r="AW469" s="2" t="n">
        <v>5</v>
      </c>
      <c r="AX469" s="2"/>
      <c r="AY469" s="2"/>
      <c r="AZ469" s="2"/>
      <c r="BA469" s="2"/>
      <c r="BB469" s="2" t="n">
        <v>433</v>
      </c>
      <c r="BC469" s="2" t="n">
        <v>438</v>
      </c>
      <c r="BD469" s="2"/>
      <c r="BE469" s="2" t="s">
        <v>8939</v>
      </c>
      <c r="BF469" s="2" t="str">
        <f aca="false">HYPERLINK("http://dx.doi.org/10.1007/s12098-018-2840-8","http://dx.doi.org/10.1007/s12098-018-2840-8")</f>
        <v>http://dx.doi.org/10.1007/s12098-018-2840-8</v>
      </c>
      <c r="BG469" s="2"/>
      <c r="BH469" s="2"/>
      <c r="BI469" s="2" t="n">
        <v>6</v>
      </c>
      <c r="BJ469" s="2" t="s">
        <v>601</v>
      </c>
      <c r="BK469" s="2" t="s">
        <v>100</v>
      </c>
      <c r="BL469" s="2" t="s">
        <v>601</v>
      </c>
      <c r="BM469" s="2" t="s">
        <v>8940</v>
      </c>
      <c r="BN469" s="2" t="n">
        <v>30637585</v>
      </c>
      <c r="BO469" s="2" t="s">
        <v>1267</v>
      </c>
      <c r="BP469" s="2"/>
      <c r="BQ469" s="2"/>
      <c r="BR469" s="2" t="s">
        <v>104</v>
      </c>
      <c r="BS469" s="2" t="s">
        <v>8941</v>
      </c>
      <c r="BT469" s="2" t="str">
        <f aca="false">HYPERLINK("https%3A%2F%2Fwww.webofscience.com%2Fwos%2Fwoscc%2Ffull-record%2FWOS:000467598100009","View Full Record in Web of Science")</f>
        <v>View Full Record in Web of Science</v>
      </c>
    </row>
    <row r="470" customFormat="false" ht="12.75" hidden="false" customHeight="false" outlineLevel="0" collapsed="false">
      <c r="A470" s="2" t="s">
        <v>72</v>
      </c>
      <c r="B470" s="2" t="s">
        <v>8942</v>
      </c>
      <c r="C470" s="2"/>
      <c r="D470" s="2"/>
      <c r="E470" s="2"/>
      <c r="F470" s="2" t="s">
        <v>8943</v>
      </c>
      <c r="G470" s="2"/>
      <c r="H470" s="2"/>
      <c r="I470" s="2" t="s">
        <v>8944</v>
      </c>
      <c r="J470" s="2" t="s">
        <v>8945</v>
      </c>
      <c r="K470" s="2"/>
      <c r="L470" s="2"/>
      <c r="M470" s="2" t="s">
        <v>77</v>
      </c>
      <c r="N470" s="2" t="s">
        <v>78</v>
      </c>
      <c r="O470" s="2"/>
      <c r="P470" s="2"/>
      <c r="Q470" s="2"/>
      <c r="R470" s="2"/>
      <c r="S470" s="2"/>
      <c r="T470" s="2" t="s">
        <v>8946</v>
      </c>
      <c r="U470" s="2" t="s">
        <v>8947</v>
      </c>
      <c r="V470" s="2" t="s">
        <v>8948</v>
      </c>
      <c r="W470" s="2" t="s">
        <v>8949</v>
      </c>
      <c r="X470" s="2" t="s">
        <v>8950</v>
      </c>
      <c r="Y470" s="2" t="s">
        <v>8951</v>
      </c>
      <c r="Z470" s="2" t="s">
        <v>8952</v>
      </c>
      <c r="AA470" s="2" t="s">
        <v>8953</v>
      </c>
      <c r="AB470" s="2"/>
      <c r="AC470" s="2" t="s">
        <v>8954</v>
      </c>
      <c r="AD470" s="2" t="s">
        <v>8955</v>
      </c>
      <c r="AE470" s="2" t="s">
        <v>8956</v>
      </c>
      <c r="AF470" s="2"/>
      <c r="AG470" s="2" t="n">
        <v>50</v>
      </c>
      <c r="AH470" s="2" t="n">
        <v>49</v>
      </c>
      <c r="AI470" s="2" t="n">
        <v>54</v>
      </c>
      <c r="AJ470" s="2" t="n">
        <v>0</v>
      </c>
      <c r="AK470" s="2" t="n">
        <v>9</v>
      </c>
      <c r="AL470" s="2" t="s">
        <v>8957</v>
      </c>
      <c r="AM470" s="2" t="s">
        <v>303</v>
      </c>
      <c r="AN470" s="2" t="s">
        <v>8958</v>
      </c>
      <c r="AO470" s="2" t="s">
        <v>8959</v>
      </c>
      <c r="AP470" s="2" t="s">
        <v>8960</v>
      </c>
      <c r="AQ470" s="2"/>
      <c r="AR470" s="2" t="s">
        <v>8961</v>
      </c>
      <c r="AS470" s="2" t="s">
        <v>8962</v>
      </c>
      <c r="AT470" s="2" t="s">
        <v>161</v>
      </c>
      <c r="AU470" s="2" t="n">
        <v>2012</v>
      </c>
      <c r="AV470" s="2" t="n">
        <v>44</v>
      </c>
      <c r="AW470" s="2" t="n">
        <v>1</v>
      </c>
      <c r="AX470" s="2"/>
      <c r="AY470" s="2"/>
      <c r="AZ470" s="2"/>
      <c r="BA470" s="2"/>
      <c r="BB470" s="2" t="n">
        <v>9</v>
      </c>
      <c r="BC470" s="2" t="n">
        <v>17</v>
      </c>
      <c r="BD470" s="2"/>
      <c r="BE470" s="2" t="s">
        <v>8963</v>
      </c>
      <c r="BF470" s="2" t="str">
        <f aca="false">HYPERLINK("http://dx.doi.org/10.3109/00365548.2011.598876","http://dx.doi.org/10.3109/00365548.2011.598876")</f>
        <v>http://dx.doi.org/10.3109/00365548.2011.598876</v>
      </c>
      <c r="BG470" s="2"/>
      <c r="BH470" s="2"/>
      <c r="BI470" s="2" t="n">
        <v>9</v>
      </c>
      <c r="BJ470" s="2" t="s">
        <v>575</v>
      </c>
      <c r="BK470" s="2" t="s">
        <v>100</v>
      </c>
      <c r="BL470" s="2" t="s">
        <v>575</v>
      </c>
      <c r="BM470" s="2" t="s">
        <v>8964</v>
      </c>
      <c r="BN470" s="2" t="n">
        <v>21867470</v>
      </c>
      <c r="BO470" s="2"/>
      <c r="BP470" s="2"/>
      <c r="BQ470" s="2"/>
      <c r="BR470" s="2" t="s">
        <v>104</v>
      </c>
      <c r="BS470" s="2" t="s">
        <v>8965</v>
      </c>
      <c r="BT470" s="2" t="str">
        <f aca="false">HYPERLINK("https%3A%2F%2Fwww.webofscience.com%2Fwos%2Fwoscc%2Ffull-record%2FWOS:000298297200003","View Full Record in Web of Science")</f>
        <v>View Full Record in Web of Science</v>
      </c>
    </row>
    <row r="471" customFormat="false" ht="12.75" hidden="false" customHeight="false" outlineLevel="0" collapsed="false">
      <c r="A471" s="2" t="s">
        <v>72</v>
      </c>
      <c r="B471" s="2" t="s">
        <v>8966</v>
      </c>
      <c r="C471" s="2"/>
      <c r="D471" s="2"/>
      <c r="E471" s="2"/>
      <c r="F471" s="2" t="s">
        <v>8967</v>
      </c>
      <c r="G471" s="2"/>
      <c r="H471" s="2"/>
      <c r="I471" s="2" t="s">
        <v>8968</v>
      </c>
      <c r="J471" s="2" t="s">
        <v>1448</v>
      </c>
      <c r="K471" s="2"/>
      <c r="L471" s="2"/>
      <c r="M471" s="2" t="s">
        <v>77</v>
      </c>
      <c r="N471" s="2" t="s">
        <v>78</v>
      </c>
      <c r="O471" s="2"/>
      <c r="P471" s="2"/>
      <c r="Q471" s="2"/>
      <c r="R471" s="2"/>
      <c r="S471" s="2"/>
      <c r="T471" s="2" t="s">
        <v>8969</v>
      </c>
      <c r="U471" s="2" t="s">
        <v>8970</v>
      </c>
      <c r="V471" s="2" t="s">
        <v>8971</v>
      </c>
      <c r="W471" s="2" t="s">
        <v>8972</v>
      </c>
      <c r="X471" s="2" t="s">
        <v>8973</v>
      </c>
      <c r="Y471" s="2" t="s">
        <v>8974</v>
      </c>
      <c r="Z471" s="2" t="s">
        <v>8975</v>
      </c>
      <c r="AA471" s="2" t="s">
        <v>8976</v>
      </c>
      <c r="AB471" s="2" t="s">
        <v>8977</v>
      </c>
      <c r="AC471" s="2"/>
      <c r="AD471" s="2"/>
      <c r="AE471" s="2"/>
      <c r="AF471" s="2"/>
      <c r="AG471" s="2" t="n">
        <v>24</v>
      </c>
      <c r="AH471" s="2" t="n">
        <v>16</v>
      </c>
      <c r="AI471" s="2" t="n">
        <v>16</v>
      </c>
      <c r="AJ471" s="2" t="n">
        <v>0</v>
      </c>
      <c r="AK471" s="2" t="n">
        <v>9</v>
      </c>
      <c r="AL471" s="2" t="s">
        <v>1460</v>
      </c>
      <c r="AM471" s="2" t="s">
        <v>593</v>
      </c>
      <c r="AN471" s="2" t="s">
        <v>2088</v>
      </c>
      <c r="AO471" s="2" t="s">
        <v>1462</v>
      </c>
      <c r="AP471" s="2" t="s">
        <v>1463</v>
      </c>
      <c r="AQ471" s="2"/>
      <c r="AR471" s="2" t="s">
        <v>1464</v>
      </c>
      <c r="AS471" s="2" t="s">
        <v>1465</v>
      </c>
      <c r="AT471" s="2" t="s">
        <v>390</v>
      </c>
      <c r="AU471" s="2" t="n">
        <v>2015</v>
      </c>
      <c r="AV471" s="2" t="n">
        <v>82</v>
      </c>
      <c r="AW471" s="2" t="n">
        <v>1</v>
      </c>
      <c r="AX471" s="2"/>
      <c r="AY471" s="2"/>
      <c r="AZ471" s="2"/>
      <c r="BA471" s="2"/>
      <c r="BB471" s="2" t="n">
        <v>40</v>
      </c>
      <c r="BC471" s="2" t="n">
        <v>43</v>
      </c>
      <c r="BD471" s="2"/>
      <c r="BE471" s="2" t="s">
        <v>8978</v>
      </c>
      <c r="BF471" s="2" t="str">
        <f aca="false">HYPERLINK("http://dx.doi.org/10.1016/j.diagmicrobio.2015.02.004","http://dx.doi.org/10.1016/j.diagmicrobio.2015.02.004")</f>
        <v>http://dx.doi.org/10.1016/j.diagmicrobio.2015.02.004</v>
      </c>
      <c r="BG471" s="2"/>
      <c r="BH471" s="2"/>
      <c r="BI471" s="2" t="n">
        <v>4</v>
      </c>
      <c r="BJ471" s="2" t="s">
        <v>1467</v>
      </c>
      <c r="BK471" s="2" t="s">
        <v>100</v>
      </c>
      <c r="BL471" s="2" t="s">
        <v>1467</v>
      </c>
      <c r="BM471" s="2" t="s">
        <v>8979</v>
      </c>
      <c r="BN471" s="2" t="n">
        <v>25724853</v>
      </c>
      <c r="BO471" s="2" t="s">
        <v>1227</v>
      </c>
      <c r="BP471" s="2"/>
      <c r="BQ471" s="2"/>
      <c r="BR471" s="2" t="s">
        <v>104</v>
      </c>
      <c r="BS471" s="2" t="s">
        <v>8980</v>
      </c>
      <c r="BT471" s="2" t="str">
        <f aca="false">HYPERLINK("https%3A%2F%2Fwww.webofscience.com%2Fwos%2Fwoscc%2Ffull-record%2FWOS:000354157800009","View Full Record in Web of Science")</f>
        <v>View Full Record in Web of Science</v>
      </c>
    </row>
    <row r="472" customFormat="false" ht="12.75" hidden="false" customHeight="false" outlineLevel="0" collapsed="false">
      <c r="A472" s="2" t="s">
        <v>72</v>
      </c>
      <c r="B472" s="2" t="s">
        <v>8981</v>
      </c>
      <c r="C472" s="2"/>
      <c r="D472" s="2"/>
      <c r="E472" s="2"/>
      <c r="F472" s="2" t="s">
        <v>8982</v>
      </c>
      <c r="G472" s="2"/>
      <c r="H472" s="2"/>
      <c r="I472" s="2" t="s">
        <v>8983</v>
      </c>
      <c r="J472" s="2" t="s">
        <v>141</v>
      </c>
      <c r="K472" s="2"/>
      <c r="L472" s="2"/>
      <c r="M472" s="2" t="s">
        <v>77</v>
      </c>
      <c r="N472" s="2" t="s">
        <v>78</v>
      </c>
      <c r="O472" s="2"/>
      <c r="P472" s="2"/>
      <c r="Q472" s="2"/>
      <c r="R472" s="2"/>
      <c r="S472" s="2"/>
      <c r="T472" s="2" t="s">
        <v>8984</v>
      </c>
      <c r="U472" s="2" t="s">
        <v>8985</v>
      </c>
      <c r="V472" s="2" t="s">
        <v>8986</v>
      </c>
      <c r="W472" s="2" t="s">
        <v>8987</v>
      </c>
      <c r="X472" s="2" t="s">
        <v>8988</v>
      </c>
      <c r="Y472" s="2" t="s">
        <v>8989</v>
      </c>
      <c r="Z472" s="2" t="s">
        <v>8990</v>
      </c>
      <c r="AA472" s="2" t="s">
        <v>8991</v>
      </c>
      <c r="AB472" s="2" t="s">
        <v>8992</v>
      </c>
      <c r="AC472" s="2" t="s">
        <v>8993</v>
      </c>
      <c r="AD472" s="2" t="s">
        <v>8994</v>
      </c>
      <c r="AE472" s="2" t="s">
        <v>8995</v>
      </c>
      <c r="AF472" s="2"/>
      <c r="AG472" s="2" t="n">
        <v>57</v>
      </c>
      <c r="AH472" s="2" t="n">
        <v>33</v>
      </c>
      <c r="AI472" s="2" t="n">
        <v>37</v>
      </c>
      <c r="AJ472" s="2" t="n">
        <v>0</v>
      </c>
      <c r="AK472" s="2" t="n">
        <v>1</v>
      </c>
      <c r="AL472" s="2" t="s">
        <v>154</v>
      </c>
      <c r="AM472" s="2" t="s">
        <v>155</v>
      </c>
      <c r="AN472" s="2" t="s">
        <v>156</v>
      </c>
      <c r="AO472" s="2" t="s">
        <v>157</v>
      </c>
      <c r="AP472" s="2" t="s">
        <v>158</v>
      </c>
      <c r="AQ472" s="2"/>
      <c r="AR472" s="2" t="s">
        <v>159</v>
      </c>
      <c r="AS472" s="2" t="s">
        <v>160</v>
      </c>
      <c r="AT472" s="2" t="s">
        <v>336</v>
      </c>
      <c r="AU472" s="2" t="n">
        <v>2010</v>
      </c>
      <c r="AV472" s="2" t="n">
        <v>82</v>
      </c>
      <c r="AW472" s="2" t="n">
        <v>10</v>
      </c>
      <c r="AX472" s="2"/>
      <c r="AY472" s="2"/>
      <c r="AZ472" s="2"/>
      <c r="BA472" s="2"/>
      <c r="BB472" s="2" t="n">
        <v>1762</v>
      </c>
      <c r="BC472" s="2" t="n">
        <v>1772</v>
      </c>
      <c r="BD472" s="2"/>
      <c r="BE472" s="2" t="s">
        <v>8996</v>
      </c>
      <c r="BF472" s="2" t="str">
        <f aca="false">HYPERLINK("http://dx.doi.org/10.1002/jmv.21891","http://dx.doi.org/10.1002/jmv.21891")</f>
        <v>http://dx.doi.org/10.1002/jmv.21891</v>
      </c>
      <c r="BG472" s="2"/>
      <c r="BH472" s="2"/>
      <c r="BI472" s="2" t="n">
        <v>11</v>
      </c>
      <c r="BJ472" s="2" t="s">
        <v>163</v>
      </c>
      <c r="BK472" s="2" t="s">
        <v>100</v>
      </c>
      <c r="BL472" s="2" t="s">
        <v>163</v>
      </c>
      <c r="BM472" s="2" t="s">
        <v>8997</v>
      </c>
      <c r="BN472" s="2" t="n">
        <v>20827775</v>
      </c>
      <c r="BO472" s="2" t="s">
        <v>1267</v>
      </c>
      <c r="BP472" s="2"/>
      <c r="BQ472" s="2"/>
      <c r="BR472" s="2" t="s">
        <v>104</v>
      </c>
      <c r="BS472" s="2" t="s">
        <v>8998</v>
      </c>
      <c r="BT472" s="2" t="str">
        <f aca="false">HYPERLINK("https%3A%2F%2Fwww.webofscience.com%2Fwos%2Fwoscc%2Ffull-record%2FWOS:000281081000019","View Full Record in Web of Science")</f>
        <v>View Full Record in Web of Science</v>
      </c>
    </row>
    <row r="473" customFormat="false" ht="12.75" hidden="false" customHeight="false" outlineLevel="0" collapsed="false">
      <c r="A473" s="2" t="s">
        <v>72</v>
      </c>
      <c r="B473" s="2" t="s">
        <v>8999</v>
      </c>
      <c r="C473" s="2"/>
      <c r="D473" s="2"/>
      <c r="E473" s="2"/>
      <c r="F473" s="2" t="s">
        <v>9000</v>
      </c>
      <c r="G473" s="2"/>
      <c r="H473" s="2"/>
      <c r="I473" s="2" t="s">
        <v>9001</v>
      </c>
      <c r="J473" s="2" t="s">
        <v>9002</v>
      </c>
      <c r="K473" s="2"/>
      <c r="L473" s="2"/>
      <c r="M473" s="2" t="s">
        <v>77</v>
      </c>
      <c r="N473" s="2" t="s">
        <v>78</v>
      </c>
      <c r="O473" s="2"/>
      <c r="P473" s="2"/>
      <c r="Q473" s="2"/>
      <c r="R473" s="2"/>
      <c r="S473" s="2"/>
      <c r="T473" s="2" t="s">
        <v>9003</v>
      </c>
      <c r="U473" s="2" t="s">
        <v>9004</v>
      </c>
      <c r="V473" s="2" t="s">
        <v>9005</v>
      </c>
      <c r="W473" s="2" t="s">
        <v>9006</v>
      </c>
      <c r="X473" s="2"/>
      <c r="Y473" s="2" t="s">
        <v>9007</v>
      </c>
      <c r="Z473" s="2" t="s">
        <v>9008</v>
      </c>
      <c r="AA473" s="2"/>
      <c r="AB473" s="2"/>
      <c r="AC473" s="2"/>
      <c r="AD473" s="2"/>
      <c r="AE473" s="2"/>
      <c r="AF473" s="2"/>
      <c r="AG473" s="2" t="n">
        <v>23</v>
      </c>
      <c r="AH473" s="2" t="n">
        <v>7</v>
      </c>
      <c r="AI473" s="2" t="n">
        <v>7</v>
      </c>
      <c r="AJ473" s="2" t="n">
        <v>1</v>
      </c>
      <c r="AK473" s="2" t="n">
        <v>5</v>
      </c>
      <c r="AL473" s="2" t="s">
        <v>154</v>
      </c>
      <c r="AM473" s="2" t="s">
        <v>155</v>
      </c>
      <c r="AN473" s="2" t="s">
        <v>156</v>
      </c>
      <c r="AO473" s="2" t="s">
        <v>9009</v>
      </c>
      <c r="AP473" s="2" t="s">
        <v>9010</v>
      </c>
      <c r="AQ473" s="2"/>
      <c r="AR473" s="2" t="s">
        <v>9011</v>
      </c>
      <c r="AS473" s="2" t="s">
        <v>9012</v>
      </c>
      <c r="AT473" s="2" t="s">
        <v>446</v>
      </c>
      <c r="AU473" s="2" t="n">
        <v>2020</v>
      </c>
      <c r="AV473" s="2" t="n">
        <v>25</v>
      </c>
      <c r="AW473" s="2" t="n">
        <v>12</v>
      </c>
      <c r="AX473" s="2"/>
      <c r="AY473" s="2"/>
      <c r="AZ473" s="2"/>
      <c r="BA473" s="2"/>
      <c r="BB473" s="2" t="n">
        <v>1503</v>
      </c>
      <c r="BC473" s="2" t="n">
        <v>1509</v>
      </c>
      <c r="BD473" s="2"/>
      <c r="BE473" s="2" t="s">
        <v>9013</v>
      </c>
      <c r="BF473" s="2" t="str">
        <f aca="false">HYPERLINK("http://dx.doi.org/10.1111/tmi.13501","http://dx.doi.org/10.1111/tmi.13501")</f>
        <v>http://dx.doi.org/10.1111/tmi.13501</v>
      </c>
      <c r="BG473" s="2"/>
      <c r="BH473" s="2" t="s">
        <v>9014</v>
      </c>
      <c r="BI473" s="2" t="n">
        <v>7</v>
      </c>
      <c r="BJ473" s="2" t="s">
        <v>9015</v>
      </c>
      <c r="BK473" s="2" t="s">
        <v>100</v>
      </c>
      <c r="BL473" s="2" t="s">
        <v>9015</v>
      </c>
      <c r="BM473" s="2" t="s">
        <v>9016</v>
      </c>
      <c r="BN473" s="2" t="n">
        <v>32996228</v>
      </c>
      <c r="BO473" s="2" t="s">
        <v>656</v>
      </c>
      <c r="BP473" s="2"/>
      <c r="BQ473" s="2"/>
      <c r="BR473" s="2" t="s">
        <v>104</v>
      </c>
      <c r="BS473" s="2" t="s">
        <v>9017</v>
      </c>
      <c r="BT473" s="2" t="str">
        <f aca="false">HYPERLINK("https%3A%2F%2Fwww.webofscience.com%2Fwos%2Fwoscc%2Ffull-record%2FWOS:000579116800001","View Full Record in Web of Science")</f>
        <v>View Full Record in Web of Science</v>
      </c>
    </row>
    <row r="474" customFormat="false" ht="12.75" hidden="false" customHeight="false" outlineLevel="0" collapsed="false">
      <c r="A474" s="2" t="s">
        <v>72</v>
      </c>
      <c r="B474" s="2" t="s">
        <v>9018</v>
      </c>
      <c r="C474" s="2"/>
      <c r="D474" s="2"/>
      <c r="E474" s="2"/>
      <c r="F474" s="2" t="s">
        <v>9019</v>
      </c>
      <c r="G474" s="2"/>
      <c r="H474" s="2"/>
      <c r="I474" s="2" t="s">
        <v>9020</v>
      </c>
      <c r="J474" s="2" t="s">
        <v>557</v>
      </c>
      <c r="K474" s="2"/>
      <c r="L474" s="2"/>
      <c r="M474" s="2" t="s">
        <v>77</v>
      </c>
      <c r="N474" s="2" t="s">
        <v>78</v>
      </c>
      <c r="O474" s="2"/>
      <c r="P474" s="2"/>
      <c r="Q474" s="2"/>
      <c r="R474" s="2"/>
      <c r="S474" s="2"/>
      <c r="T474" s="2" t="s">
        <v>9021</v>
      </c>
      <c r="U474" s="2" t="s">
        <v>9022</v>
      </c>
      <c r="V474" s="2" t="s">
        <v>9023</v>
      </c>
      <c r="W474" s="2" t="s">
        <v>9024</v>
      </c>
      <c r="X474" s="2" t="s">
        <v>9025</v>
      </c>
      <c r="Y474" s="2" t="s">
        <v>9026</v>
      </c>
      <c r="Z474" s="2" t="s">
        <v>9027</v>
      </c>
      <c r="AA474" s="2" t="s">
        <v>9028</v>
      </c>
      <c r="AB474" s="2" t="s">
        <v>9029</v>
      </c>
      <c r="AC474" s="2" t="s">
        <v>9030</v>
      </c>
      <c r="AD474" s="2" t="s">
        <v>9031</v>
      </c>
      <c r="AE474" s="2" t="s">
        <v>9032</v>
      </c>
      <c r="AF474" s="2"/>
      <c r="AG474" s="2" t="n">
        <v>40</v>
      </c>
      <c r="AH474" s="2" t="n">
        <v>2</v>
      </c>
      <c r="AI474" s="2" t="n">
        <v>2</v>
      </c>
      <c r="AJ474" s="2" t="n">
        <v>0</v>
      </c>
      <c r="AK474" s="2" t="n">
        <v>6</v>
      </c>
      <c r="AL474" s="2" t="s">
        <v>302</v>
      </c>
      <c r="AM474" s="2" t="s">
        <v>303</v>
      </c>
      <c r="AN474" s="2" t="s">
        <v>304</v>
      </c>
      <c r="AO474" s="2" t="s">
        <v>570</v>
      </c>
      <c r="AP474" s="2"/>
      <c r="AQ474" s="2"/>
      <c r="AR474" s="2" t="s">
        <v>571</v>
      </c>
      <c r="AS474" s="2" t="s">
        <v>572</v>
      </c>
      <c r="AT474" s="2" t="s">
        <v>9033</v>
      </c>
      <c r="AU474" s="2" t="n">
        <v>2018</v>
      </c>
      <c r="AV474" s="2" t="n">
        <v>18</v>
      </c>
      <c r="AW474" s="2"/>
      <c r="AX474" s="2"/>
      <c r="AY474" s="2"/>
      <c r="AZ474" s="2"/>
      <c r="BA474" s="2"/>
      <c r="BB474" s="2"/>
      <c r="BC474" s="2"/>
      <c r="BD474" s="2" t="n">
        <v>462</v>
      </c>
      <c r="BE474" s="2" t="s">
        <v>9034</v>
      </c>
      <c r="BF474" s="2" t="str">
        <f aca="false">HYPERLINK("http://dx.doi.org/10.1186/s12879-018-3358-4","http://dx.doi.org/10.1186/s12879-018-3358-4")</f>
        <v>http://dx.doi.org/10.1186/s12879-018-3358-4</v>
      </c>
      <c r="BG474" s="2"/>
      <c r="BH474" s="2"/>
      <c r="BI474" s="2" t="n">
        <v>10</v>
      </c>
      <c r="BJ474" s="2" t="s">
        <v>575</v>
      </c>
      <c r="BK474" s="2" t="s">
        <v>100</v>
      </c>
      <c r="BL474" s="2" t="s">
        <v>575</v>
      </c>
      <c r="BM474" s="2" t="s">
        <v>9035</v>
      </c>
      <c r="BN474" s="2" t="n">
        <v>30217168</v>
      </c>
      <c r="BO474" s="2" t="s">
        <v>190</v>
      </c>
      <c r="BP474" s="2"/>
      <c r="BQ474" s="2"/>
      <c r="BR474" s="2" t="s">
        <v>104</v>
      </c>
      <c r="BS474" s="2" t="s">
        <v>9036</v>
      </c>
      <c r="BT474" s="2" t="str">
        <f aca="false">HYPERLINK("https%3A%2F%2Fwww.webofscience.com%2Fwos%2Fwoscc%2Ffull-record%2FWOS:000444902800002","View Full Record in Web of Science")</f>
        <v>View Full Record in Web of Science</v>
      </c>
    </row>
    <row r="475" customFormat="false" ht="12.75" hidden="false" customHeight="false" outlineLevel="0" collapsed="false">
      <c r="A475" s="2" t="s">
        <v>72</v>
      </c>
      <c r="B475" s="2" t="s">
        <v>9037</v>
      </c>
      <c r="C475" s="2"/>
      <c r="D475" s="2"/>
      <c r="E475" s="2"/>
      <c r="F475" s="2" t="s">
        <v>9038</v>
      </c>
      <c r="G475" s="2"/>
      <c r="H475" s="2" t="s">
        <v>9039</v>
      </c>
      <c r="I475" s="2" t="s">
        <v>9040</v>
      </c>
      <c r="J475" s="2" t="s">
        <v>3741</v>
      </c>
      <c r="K475" s="2"/>
      <c r="L475" s="2"/>
      <c r="M475" s="2" t="s">
        <v>77</v>
      </c>
      <c r="N475" s="2" t="s">
        <v>78</v>
      </c>
      <c r="O475" s="2"/>
      <c r="P475" s="2"/>
      <c r="Q475" s="2"/>
      <c r="R475" s="2"/>
      <c r="S475" s="2"/>
      <c r="T475" s="2" t="s">
        <v>9041</v>
      </c>
      <c r="U475" s="2"/>
      <c r="V475" s="2" t="s">
        <v>9042</v>
      </c>
      <c r="W475" s="2" t="s">
        <v>9043</v>
      </c>
      <c r="X475" s="2" t="s">
        <v>9044</v>
      </c>
      <c r="Y475" s="2" t="s">
        <v>9045</v>
      </c>
      <c r="Z475" s="2" t="s">
        <v>9046</v>
      </c>
      <c r="AA475" s="2" t="s">
        <v>9047</v>
      </c>
      <c r="AB475" s="2" t="s">
        <v>9048</v>
      </c>
      <c r="AC475" s="2"/>
      <c r="AD475" s="2"/>
      <c r="AE475" s="2"/>
      <c r="AF475" s="2"/>
      <c r="AG475" s="2" t="n">
        <v>30</v>
      </c>
      <c r="AH475" s="2" t="n">
        <v>7</v>
      </c>
      <c r="AI475" s="2" t="n">
        <v>7</v>
      </c>
      <c r="AJ475" s="2" t="n">
        <v>0</v>
      </c>
      <c r="AK475" s="2" t="n">
        <v>10</v>
      </c>
      <c r="AL475" s="2" t="s">
        <v>755</v>
      </c>
      <c r="AM475" s="2" t="s">
        <v>273</v>
      </c>
      <c r="AN475" s="2" t="s">
        <v>756</v>
      </c>
      <c r="AO475" s="2" t="s">
        <v>3753</v>
      </c>
      <c r="AP475" s="2"/>
      <c r="AQ475" s="2"/>
      <c r="AR475" s="2" t="s">
        <v>3754</v>
      </c>
      <c r="AS475" s="2" t="s">
        <v>3755</v>
      </c>
      <c r="AT475" s="2" t="s">
        <v>252</v>
      </c>
      <c r="AU475" s="2" t="n">
        <v>2022</v>
      </c>
      <c r="AV475" s="2" t="n">
        <v>10</v>
      </c>
      <c r="AW475" s="2" t="n">
        <v>5</v>
      </c>
      <c r="AX475" s="2"/>
      <c r="AY475" s="2"/>
      <c r="AZ475" s="2"/>
      <c r="BA475" s="2"/>
      <c r="BB475" s="2"/>
      <c r="BC475" s="2"/>
      <c r="BD475" s="2"/>
      <c r="BE475" s="2" t="s">
        <v>9049</v>
      </c>
      <c r="BF475" s="2" t="str">
        <f aca="false">HYPERLINK("http://dx.doi.org/10.1128/spectrum.02368-22","http://dx.doi.org/10.1128/spectrum.02368-22")</f>
        <v>http://dx.doi.org/10.1128/spectrum.02368-22</v>
      </c>
      <c r="BG475" s="2"/>
      <c r="BH475" s="2" t="s">
        <v>6262</v>
      </c>
      <c r="BI475" s="2" t="n">
        <v>9</v>
      </c>
      <c r="BJ475" s="2" t="s">
        <v>211</v>
      </c>
      <c r="BK475" s="2" t="s">
        <v>100</v>
      </c>
      <c r="BL475" s="2" t="s">
        <v>211</v>
      </c>
      <c r="BM475" s="2" t="s">
        <v>9050</v>
      </c>
      <c r="BN475" s="2" t="n">
        <v>36154273</v>
      </c>
      <c r="BO475" s="2" t="s">
        <v>103</v>
      </c>
      <c r="BP475" s="2"/>
      <c r="BQ475" s="2"/>
      <c r="BR475" s="2" t="s">
        <v>104</v>
      </c>
      <c r="BS475" s="2" t="s">
        <v>9051</v>
      </c>
      <c r="BT475" s="2" t="str">
        <f aca="false">HYPERLINK("https%3A%2F%2Fwww.webofscience.com%2Fwos%2Fwoscc%2Ffull-record%2FWOS:000861372300001","View Full Record in Web of Science")</f>
        <v>View Full Record in Web of Science</v>
      </c>
    </row>
    <row r="476" customFormat="false" ht="12.75" hidden="false" customHeight="false" outlineLevel="0" collapsed="false">
      <c r="A476" s="2" t="s">
        <v>72</v>
      </c>
      <c r="B476" s="2" t="s">
        <v>9052</v>
      </c>
      <c r="C476" s="2"/>
      <c r="D476" s="2"/>
      <c r="E476" s="2"/>
      <c r="F476" s="2" t="s">
        <v>9053</v>
      </c>
      <c r="G476" s="2"/>
      <c r="H476" s="2"/>
      <c r="I476" s="2" t="s">
        <v>9054</v>
      </c>
      <c r="J476" s="2" t="s">
        <v>370</v>
      </c>
      <c r="K476" s="2"/>
      <c r="L476" s="2"/>
      <c r="M476" s="2" t="s">
        <v>77</v>
      </c>
      <c r="N476" s="2" t="s">
        <v>78</v>
      </c>
      <c r="O476" s="2"/>
      <c r="P476" s="2"/>
      <c r="Q476" s="2"/>
      <c r="R476" s="2"/>
      <c r="S476" s="2"/>
      <c r="T476" s="2" t="s">
        <v>9055</v>
      </c>
      <c r="U476" s="2" t="s">
        <v>9056</v>
      </c>
      <c r="V476" s="2" t="s">
        <v>9057</v>
      </c>
      <c r="W476" s="2" t="s">
        <v>9058</v>
      </c>
      <c r="X476" s="2" t="s">
        <v>9059</v>
      </c>
      <c r="Y476" s="2" t="s">
        <v>9060</v>
      </c>
      <c r="Z476" s="2" t="s">
        <v>9061</v>
      </c>
      <c r="AA476" s="2" t="s">
        <v>9062</v>
      </c>
      <c r="AB476" s="2" t="s">
        <v>9063</v>
      </c>
      <c r="AC476" s="2"/>
      <c r="AD476" s="2"/>
      <c r="AE476" s="2"/>
      <c r="AF476" s="2"/>
      <c r="AG476" s="2" t="n">
        <v>24</v>
      </c>
      <c r="AH476" s="2" t="n">
        <v>130</v>
      </c>
      <c r="AI476" s="2" t="n">
        <v>141</v>
      </c>
      <c r="AJ476" s="2" t="n">
        <v>1</v>
      </c>
      <c r="AK476" s="2" t="n">
        <v>12</v>
      </c>
      <c r="AL476" s="2" t="s">
        <v>383</v>
      </c>
      <c r="AM476" s="2" t="s">
        <v>384</v>
      </c>
      <c r="AN476" s="2" t="s">
        <v>385</v>
      </c>
      <c r="AO476" s="2" t="s">
        <v>386</v>
      </c>
      <c r="AP476" s="2" t="s">
        <v>387</v>
      </c>
      <c r="AQ476" s="2"/>
      <c r="AR476" s="2" t="s">
        <v>388</v>
      </c>
      <c r="AS476" s="2" t="s">
        <v>389</v>
      </c>
      <c r="AT476" s="2" t="s">
        <v>599</v>
      </c>
      <c r="AU476" s="2" t="n">
        <v>2008</v>
      </c>
      <c r="AV476" s="2" t="n">
        <v>42</v>
      </c>
      <c r="AW476" s="2" t="n">
        <v>3</v>
      </c>
      <c r="AX476" s="2"/>
      <c r="AY476" s="2"/>
      <c r="AZ476" s="2"/>
      <c r="BA476" s="2"/>
      <c r="BB476" s="2" t="n">
        <v>268</v>
      </c>
      <c r="BC476" s="2" t="n">
        <v>272</v>
      </c>
      <c r="BD476" s="2"/>
      <c r="BE476" s="2" t="s">
        <v>9064</v>
      </c>
      <c r="BF476" s="2" t="str">
        <f aca="false">HYPERLINK("http://dx.doi.org/10.1016/j.jcv.2008.03.012","http://dx.doi.org/10.1016/j.jcv.2008.03.012")</f>
        <v>http://dx.doi.org/10.1016/j.jcv.2008.03.012</v>
      </c>
      <c r="BG476" s="2"/>
      <c r="BH476" s="2"/>
      <c r="BI476" s="2" t="n">
        <v>5</v>
      </c>
      <c r="BJ476" s="2" t="s">
        <v>163</v>
      </c>
      <c r="BK476" s="2" t="s">
        <v>100</v>
      </c>
      <c r="BL476" s="2" t="s">
        <v>163</v>
      </c>
      <c r="BM476" s="2" t="s">
        <v>9065</v>
      </c>
      <c r="BN476" s="2" t="n">
        <v>18455958</v>
      </c>
      <c r="BO476" s="2" t="s">
        <v>165</v>
      </c>
      <c r="BP476" s="2"/>
      <c r="BQ476" s="2"/>
      <c r="BR476" s="2" t="s">
        <v>104</v>
      </c>
      <c r="BS476" s="2" t="s">
        <v>9066</v>
      </c>
      <c r="BT476" s="2" t="str">
        <f aca="false">HYPERLINK("https%3A%2F%2Fwww.webofscience.com%2Fwos%2Fwoscc%2Ffull-record%2FWOS:000257956500007","View Full Record in Web of Science")</f>
        <v>View Full Record in Web of Science</v>
      </c>
    </row>
    <row r="477" customFormat="false" ht="12.75" hidden="false" customHeight="false" outlineLevel="0" collapsed="false">
      <c r="A477" s="2" t="s">
        <v>72</v>
      </c>
      <c r="B477" s="2" t="s">
        <v>9067</v>
      </c>
      <c r="C477" s="2"/>
      <c r="D477" s="2"/>
      <c r="E477" s="2"/>
      <c r="F477" s="2" t="s">
        <v>9068</v>
      </c>
      <c r="G477" s="2"/>
      <c r="H477" s="2"/>
      <c r="I477" s="2" t="s">
        <v>9069</v>
      </c>
      <c r="J477" s="2" t="s">
        <v>3741</v>
      </c>
      <c r="K477" s="2"/>
      <c r="L477" s="2"/>
      <c r="M477" s="2" t="s">
        <v>77</v>
      </c>
      <c r="N477" s="2" t="s">
        <v>78</v>
      </c>
      <c r="O477" s="2"/>
      <c r="P477" s="2"/>
      <c r="Q477" s="2"/>
      <c r="R477" s="2"/>
      <c r="S477" s="2"/>
      <c r="T477" s="2" t="s">
        <v>9070</v>
      </c>
      <c r="U477" s="2" t="s">
        <v>9071</v>
      </c>
      <c r="V477" s="2" t="s">
        <v>9072</v>
      </c>
      <c r="W477" s="2" t="s">
        <v>9073</v>
      </c>
      <c r="X477" s="2" t="s">
        <v>9074</v>
      </c>
      <c r="Y477" s="2" t="s">
        <v>9075</v>
      </c>
      <c r="Z477" s="2" t="s">
        <v>9076</v>
      </c>
      <c r="AA477" s="2" t="s">
        <v>9077</v>
      </c>
      <c r="AB477" s="2"/>
      <c r="AC477" s="2" t="s">
        <v>9078</v>
      </c>
      <c r="AD477" s="2" t="s">
        <v>9078</v>
      </c>
      <c r="AE477" s="2" t="s">
        <v>9079</v>
      </c>
      <c r="AF477" s="2"/>
      <c r="AG477" s="2" t="n">
        <v>59</v>
      </c>
      <c r="AH477" s="2" t="n">
        <v>0</v>
      </c>
      <c r="AI477" s="2" t="n">
        <v>0</v>
      </c>
      <c r="AJ477" s="2" t="n">
        <v>0</v>
      </c>
      <c r="AK477" s="2" t="n">
        <v>0</v>
      </c>
      <c r="AL477" s="2" t="s">
        <v>755</v>
      </c>
      <c r="AM477" s="2" t="s">
        <v>273</v>
      </c>
      <c r="AN477" s="2" t="s">
        <v>756</v>
      </c>
      <c r="AO477" s="2"/>
      <c r="AP477" s="2" t="s">
        <v>3753</v>
      </c>
      <c r="AQ477" s="2"/>
      <c r="AR477" s="2" t="s">
        <v>3754</v>
      </c>
      <c r="AS477" s="2" t="s">
        <v>3755</v>
      </c>
      <c r="AT477" s="2" t="s">
        <v>9080</v>
      </c>
      <c r="AU477" s="2" t="n">
        <v>2024</v>
      </c>
      <c r="AV477" s="2" t="n">
        <v>12</v>
      </c>
      <c r="AW477" s="2" t="n">
        <v>12</v>
      </c>
      <c r="AX477" s="2"/>
      <c r="AY477" s="2"/>
      <c r="AZ477" s="2"/>
      <c r="BA477" s="2"/>
      <c r="BB477" s="2"/>
      <c r="BC477" s="2"/>
      <c r="BD477" s="2"/>
      <c r="BE477" s="2" t="s">
        <v>9081</v>
      </c>
      <c r="BF477" s="2" t="str">
        <f aca="false">HYPERLINK("http://dx.doi.org/10.1128/spectrum.01641-24","http://dx.doi.org/10.1128/spectrum.01641-24")</f>
        <v>http://dx.doi.org/10.1128/spectrum.01641-24</v>
      </c>
      <c r="BG477" s="2"/>
      <c r="BH477" s="2" t="s">
        <v>763</v>
      </c>
      <c r="BI477" s="2" t="n">
        <v>15</v>
      </c>
      <c r="BJ477" s="2" t="s">
        <v>211</v>
      </c>
      <c r="BK477" s="2" t="s">
        <v>100</v>
      </c>
      <c r="BL477" s="2" t="s">
        <v>211</v>
      </c>
      <c r="BM477" s="2" t="s">
        <v>9082</v>
      </c>
      <c r="BN477" s="2" t="n">
        <v>39470276</v>
      </c>
      <c r="BO477" s="2" t="s">
        <v>1355</v>
      </c>
      <c r="BP477" s="2"/>
      <c r="BQ477" s="2"/>
      <c r="BR477" s="2" t="s">
        <v>104</v>
      </c>
      <c r="BS477" s="2" t="s">
        <v>9083</v>
      </c>
      <c r="BT477" s="2" t="str">
        <f aca="false">HYPERLINK("https%3A%2F%2Fwww.webofscience.com%2Fwos%2Fwoscc%2Ffull-record%2FWOS:001345405900010","View Full Record in Web of Science")</f>
        <v>View Full Record in Web of Science</v>
      </c>
    </row>
    <row r="478" customFormat="false" ht="12.75" hidden="false" customHeight="false" outlineLevel="0" collapsed="false">
      <c r="A478" s="2" t="s">
        <v>72</v>
      </c>
      <c r="B478" s="2" t="s">
        <v>9084</v>
      </c>
      <c r="C478" s="2"/>
      <c r="D478" s="2"/>
      <c r="E478" s="2"/>
      <c r="F478" s="2" t="s">
        <v>9085</v>
      </c>
      <c r="G478" s="2"/>
      <c r="H478" s="2"/>
      <c r="I478" s="2" t="s">
        <v>9086</v>
      </c>
      <c r="J478" s="2" t="s">
        <v>9087</v>
      </c>
      <c r="K478" s="2"/>
      <c r="L478" s="2"/>
      <c r="M478" s="2" t="s">
        <v>77</v>
      </c>
      <c r="N478" s="2" t="s">
        <v>78</v>
      </c>
      <c r="O478" s="2"/>
      <c r="P478" s="2"/>
      <c r="Q478" s="2"/>
      <c r="R478" s="2"/>
      <c r="S478" s="2"/>
      <c r="T478" s="2" t="s">
        <v>9088</v>
      </c>
      <c r="U478" s="2"/>
      <c r="V478" s="2" t="s">
        <v>9089</v>
      </c>
      <c r="W478" s="2" t="s">
        <v>9090</v>
      </c>
      <c r="X478" s="2" t="s">
        <v>9091</v>
      </c>
      <c r="Y478" s="2" t="s">
        <v>9092</v>
      </c>
      <c r="Z478" s="2" t="s">
        <v>9093</v>
      </c>
      <c r="AA478" s="2" t="s">
        <v>9094</v>
      </c>
      <c r="AB478" s="2" t="s">
        <v>9095</v>
      </c>
      <c r="AC478" s="2"/>
      <c r="AD478" s="2"/>
      <c r="AE478" s="2"/>
      <c r="AF478" s="2"/>
      <c r="AG478" s="2" t="n">
        <v>21</v>
      </c>
      <c r="AH478" s="2" t="n">
        <v>5</v>
      </c>
      <c r="AI478" s="2" t="n">
        <v>6</v>
      </c>
      <c r="AJ478" s="2" t="n">
        <v>0</v>
      </c>
      <c r="AK478" s="2" t="n">
        <v>3</v>
      </c>
      <c r="AL478" s="2" t="s">
        <v>383</v>
      </c>
      <c r="AM478" s="2" t="s">
        <v>384</v>
      </c>
      <c r="AN478" s="2" t="s">
        <v>385</v>
      </c>
      <c r="AO478" s="2"/>
      <c r="AP478" s="2" t="s">
        <v>9096</v>
      </c>
      <c r="AQ478" s="2"/>
      <c r="AR478" s="2" t="s">
        <v>9097</v>
      </c>
      <c r="AS478" s="2" t="s">
        <v>9098</v>
      </c>
      <c r="AT478" s="2" t="s">
        <v>97</v>
      </c>
      <c r="AU478" s="2" t="n">
        <v>2021</v>
      </c>
      <c r="AV478" s="2" t="n">
        <v>26</v>
      </c>
      <c r="AW478" s="2"/>
      <c r="AX478" s="2"/>
      <c r="AY478" s="2"/>
      <c r="AZ478" s="2"/>
      <c r="BA478" s="2"/>
      <c r="BB478" s="2"/>
      <c r="BC478" s="2"/>
      <c r="BD478" s="2" t="n">
        <v>100704</v>
      </c>
      <c r="BE478" s="2" t="s">
        <v>9099</v>
      </c>
      <c r="BF478" s="2" t="str">
        <f aca="false">HYPERLINK("http://dx.doi.org/10.1016/j.ymgmr.2020.100704","http://dx.doi.org/10.1016/j.ymgmr.2020.100704")</f>
        <v>http://dx.doi.org/10.1016/j.ymgmr.2020.100704</v>
      </c>
      <c r="BG478" s="2"/>
      <c r="BH478" s="2" t="s">
        <v>2196</v>
      </c>
      <c r="BI478" s="2" t="n">
        <v>6</v>
      </c>
      <c r="BJ478" s="2" t="s">
        <v>2604</v>
      </c>
      <c r="BK478" s="2" t="s">
        <v>100</v>
      </c>
      <c r="BL478" s="2" t="s">
        <v>2604</v>
      </c>
      <c r="BM478" s="2" t="s">
        <v>9100</v>
      </c>
      <c r="BN478" s="2" t="n">
        <v>33505859</v>
      </c>
      <c r="BO478" s="2" t="s">
        <v>103</v>
      </c>
      <c r="BP478" s="2"/>
      <c r="BQ478" s="2"/>
      <c r="BR478" s="2" t="s">
        <v>104</v>
      </c>
      <c r="BS478" s="2" t="s">
        <v>9101</v>
      </c>
      <c r="BT478" s="2" t="str">
        <f aca="false">HYPERLINK("https%3A%2F%2Fwww.webofscience.com%2Fwos%2Fwoscc%2Ffull-record%2FWOS:000618816000010","View Full Record in Web of Science")</f>
        <v>View Full Record in Web of Science</v>
      </c>
    </row>
    <row r="479" customFormat="false" ht="12.75" hidden="false" customHeight="false" outlineLevel="0" collapsed="false">
      <c r="A479" s="2" t="s">
        <v>72</v>
      </c>
      <c r="B479" s="2" t="s">
        <v>9102</v>
      </c>
      <c r="C479" s="2"/>
      <c r="D479" s="2"/>
      <c r="E479" s="2"/>
      <c r="F479" s="2" t="s">
        <v>9103</v>
      </c>
      <c r="G479" s="2"/>
      <c r="H479" s="2"/>
      <c r="I479" s="2" t="s">
        <v>9104</v>
      </c>
      <c r="J479" s="2" t="s">
        <v>9105</v>
      </c>
      <c r="K479" s="2"/>
      <c r="L479" s="2"/>
      <c r="M479" s="2" t="s">
        <v>77</v>
      </c>
      <c r="N479" s="2" t="s">
        <v>78</v>
      </c>
      <c r="O479" s="2"/>
      <c r="P479" s="2"/>
      <c r="Q479" s="2"/>
      <c r="R479" s="2"/>
      <c r="S479" s="2"/>
      <c r="T479" s="2" t="s">
        <v>9106</v>
      </c>
      <c r="U479" s="2"/>
      <c r="V479" s="2" t="s">
        <v>9107</v>
      </c>
      <c r="W479" s="2" t="s">
        <v>9108</v>
      </c>
      <c r="X479" s="2" t="s">
        <v>9109</v>
      </c>
      <c r="Y479" s="2" t="s">
        <v>9110</v>
      </c>
      <c r="Z479" s="2" t="s">
        <v>9111</v>
      </c>
      <c r="AA479" s="2" t="s">
        <v>9112</v>
      </c>
      <c r="AB479" s="2" t="s">
        <v>9113</v>
      </c>
      <c r="AC479" s="2" t="s">
        <v>9114</v>
      </c>
      <c r="AD479" s="2" t="s">
        <v>9115</v>
      </c>
      <c r="AE479" s="2" t="s">
        <v>9116</v>
      </c>
      <c r="AF479" s="2"/>
      <c r="AG479" s="2" t="n">
        <v>24</v>
      </c>
      <c r="AH479" s="2" t="n">
        <v>11</v>
      </c>
      <c r="AI479" s="2" t="n">
        <v>11</v>
      </c>
      <c r="AJ479" s="2" t="n">
        <v>0</v>
      </c>
      <c r="AK479" s="2" t="n">
        <v>0</v>
      </c>
      <c r="AL479" s="2" t="s">
        <v>122</v>
      </c>
      <c r="AM479" s="2" t="s">
        <v>123</v>
      </c>
      <c r="AN479" s="2" t="s">
        <v>124</v>
      </c>
      <c r="AO479" s="2" t="s">
        <v>9117</v>
      </c>
      <c r="AP479" s="2" t="s">
        <v>9118</v>
      </c>
      <c r="AQ479" s="2"/>
      <c r="AR479" s="2" t="s">
        <v>9119</v>
      </c>
      <c r="AS479" s="2" t="s">
        <v>9120</v>
      </c>
      <c r="AT479" s="2" t="s">
        <v>1041</v>
      </c>
      <c r="AU479" s="2" t="n">
        <v>2021</v>
      </c>
      <c r="AV479" s="2" t="n">
        <v>55</v>
      </c>
      <c r="AW479" s="2" t="n">
        <v>2</v>
      </c>
      <c r="AX479" s="2"/>
      <c r="AY479" s="2"/>
      <c r="AZ479" s="2"/>
      <c r="BA479" s="2"/>
      <c r="BB479" s="2" t="n">
        <v>127</v>
      </c>
      <c r="BC479" s="2" t="n">
        <v>133</v>
      </c>
      <c r="BD479" s="2"/>
      <c r="BE479" s="2" t="s">
        <v>9121</v>
      </c>
      <c r="BF479" s="2" t="str">
        <f aca="false">HYPERLINK("http://dx.doi.org/10.1097/MCG.0000000000001340","http://dx.doi.org/10.1097/MCG.0000000000001340")</f>
        <v>http://dx.doi.org/10.1097/MCG.0000000000001340</v>
      </c>
      <c r="BG479" s="2"/>
      <c r="BH479" s="2"/>
      <c r="BI479" s="2" t="n">
        <v>7</v>
      </c>
      <c r="BJ479" s="2" t="s">
        <v>9122</v>
      </c>
      <c r="BK479" s="2" t="s">
        <v>100</v>
      </c>
      <c r="BL479" s="2" t="s">
        <v>9122</v>
      </c>
      <c r="BM479" s="2" t="s">
        <v>9123</v>
      </c>
      <c r="BN479" s="2" t="n">
        <v>32195770</v>
      </c>
      <c r="BO479" s="2" t="s">
        <v>695</v>
      </c>
      <c r="BP479" s="2"/>
      <c r="BQ479" s="2"/>
      <c r="BR479" s="2" t="s">
        <v>104</v>
      </c>
      <c r="BS479" s="2" t="s">
        <v>9124</v>
      </c>
      <c r="BT479" s="2" t="str">
        <f aca="false">HYPERLINK("https%3A%2F%2Fwww.webofscience.com%2Fwos%2Fwoscc%2Ffull-record%2FWOS:000609618500006","View Full Record in Web of Science")</f>
        <v>View Full Record in Web of Science</v>
      </c>
    </row>
    <row r="480" customFormat="false" ht="12.75" hidden="false" customHeight="false" outlineLevel="0" collapsed="false">
      <c r="A480" s="2" t="s">
        <v>72</v>
      </c>
      <c r="B480" s="2" t="s">
        <v>9125</v>
      </c>
      <c r="C480" s="2"/>
      <c r="D480" s="2"/>
      <c r="E480" s="2"/>
      <c r="F480" s="2" t="s">
        <v>9125</v>
      </c>
      <c r="G480" s="2"/>
      <c r="H480" s="2"/>
      <c r="I480" s="2" t="s">
        <v>9126</v>
      </c>
      <c r="J480" s="2" t="s">
        <v>9127</v>
      </c>
      <c r="K480" s="2"/>
      <c r="L480" s="2"/>
      <c r="M480" s="2" t="s">
        <v>77</v>
      </c>
      <c r="N480" s="2" t="s">
        <v>78</v>
      </c>
      <c r="O480" s="2"/>
      <c r="P480" s="2"/>
      <c r="Q480" s="2"/>
      <c r="R480" s="2"/>
      <c r="S480" s="2"/>
      <c r="T480" s="2" t="s">
        <v>9128</v>
      </c>
      <c r="U480" s="2" t="s">
        <v>9129</v>
      </c>
      <c r="V480" s="2" t="s">
        <v>9130</v>
      </c>
      <c r="W480" s="2" t="s">
        <v>9131</v>
      </c>
      <c r="X480" s="2" t="s">
        <v>9132</v>
      </c>
      <c r="Y480" s="2" t="s">
        <v>9133</v>
      </c>
      <c r="Z480" s="2"/>
      <c r="AA480" s="2"/>
      <c r="AB480" s="2"/>
      <c r="AC480" s="2"/>
      <c r="AD480" s="2"/>
      <c r="AE480" s="2"/>
      <c r="AF480" s="2"/>
      <c r="AG480" s="2" t="n">
        <v>33</v>
      </c>
      <c r="AH480" s="2" t="n">
        <v>61</v>
      </c>
      <c r="AI480" s="2" t="n">
        <v>63</v>
      </c>
      <c r="AJ480" s="2" t="n">
        <v>0</v>
      </c>
      <c r="AK480" s="2" t="n">
        <v>2</v>
      </c>
      <c r="AL480" s="2" t="s">
        <v>154</v>
      </c>
      <c r="AM480" s="2" t="s">
        <v>155</v>
      </c>
      <c r="AN480" s="2" t="s">
        <v>156</v>
      </c>
      <c r="AO480" s="2" t="s">
        <v>9134</v>
      </c>
      <c r="AP480" s="2" t="s">
        <v>9135</v>
      </c>
      <c r="AQ480" s="2"/>
      <c r="AR480" s="2" t="s">
        <v>9136</v>
      </c>
      <c r="AS480" s="2" t="s">
        <v>9137</v>
      </c>
      <c r="AT480" s="2" t="s">
        <v>4214</v>
      </c>
      <c r="AU480" s="2" t="n">
        <v>2002</v>
      </c>
      <c r="AV480" s="2" t="n">
        <v>94</v>
      </c>
      <c r="AW480" s="2" t="n">
        <v>6</v>
      </c>
      <c r="AX480" s="2"/>
      <c r="AY480" s="2"/>
      <c r="AZ480" s="2"/>
      <c r="BA480" s="2"/>
      <c r="BB480" s="2" t="n">
        <v>1770</v>
      </c>
      <c r="BC480" s="2" t="n">
        <v>1776</v>
      </c>
      <c r="BD480" s="2"/>
      <c r="BE480" s="2" t="s">
        <v>9138</v>
      </c>
      <c r="BF480" s="2" t="str">
        <f aca="false">HYPERLINK("http://dx.doi.org/10.1002/cncr.10398","http://dx.doi.org/10.1002/cncr.10398")</f>
        <v>http://dx.doi.org/10.1002/cncr.10398</v>
      </c>
      <c r="BG480" s="2"/>
      <c r="BH480" s="2"/>
      <c r="BI480" s="2" t="n">
        <v>7</v>
      </c>
      <c r="BJ480" s="2" t="s">
        <v>9139</v>
      </c>
      <c r="BK480" s="2" t="s">
        <v>100</v>
      </c>
      <c r="BL480" s="2" t="s">
        <v>9139</v>
      </c>
      <c r="BM480" s="2" t="s">
        <v>9140</v>
      </c>
      <c r="BN480" s="2" t="n">
        <v>11920540</v>
      </c>
      <c r="BO480" s="2" t="s">
        <v>656</v>
      </c>
      <c r="BP480" s="2"/>
      <c r="BQ480" s="2"/>
      <c r="BR480" s="2" t="s">
        <v>104</v>
      </c>
      <c r="BS480" s="2" t="s">
        <v>9141</v>
      </c>
      <c r="BT480" s="2" t="str">
        <f aca="false">HYPERLINK("https%3A%2F%2Fwww.webofscience.com%2Fwos%2Fwoscc%2Ffull-record%2FWOS:000174478000021","View Full Record in Web of Science")</f>
        <v>View Full Record in Web of Science</v>
      </c>
    </row>
    <row r="481" customFormat="false" ht="12.75" hidden="false" customHeight="false" outlineLevel="0" collapsed="false">
      <c r="A481" s="2" t="s">
        <v>72</v>
      </c>
      <c r="B481" s="2" t="s">
        <v>9142</v>
      </c>
      <c r="C481" s="2"/>
      <c r="D481" s="2"/>
      <c r="E481" s="2"/>
      <c r="F481" s="2" t="s">
        <v>9143</v>
      </c>
      <c r="G481" s="2"/>
      <c r="H481" s="2" t="s">
        <v>9144</v>
      </c>
      <c r="I481" s="2" t="s">
        <v>9145</v>
      </c>
      <c r="J481" s="2" t="s">
        <v>889</v>
      </c>
      <c r="K481" s="2"/>
      <c r="L481" s="2"/>
      <c r="M481" s="2" t="s">
        <v>77</v>
      </c>
      <c r="N481" s="2" t="s">
        <v>78</v>
      </c>
      <c r="O481" s="2"/>
      <c r="P481" s="2"/>
      <c r="Q481" s="2"/>
      <c r="R481" s="2"/>
      <c r="S481" s="2"/>
      <c r="T481" s="2" t="s">
        <v>9146</v>
      </c>
      <c r="U481" s="2" t="s">
        <v>9147</v>
      </c>
      <c r="V481" s="2" t="s">
        <v>9148</v>
      </c>
      <c r="W481" s="2" t="s">
        <v>9149</v>
      </c>
      <c r="X481" s="2" t="s">
        <v>9150</v>
      </c>
      <c r="Y481" s="2" t="s">
        <v>9151</v>
      </c>
      <c r="Z481" s="2" t="s">
        <v>9152</v>
      </c>
      <c r="AA481" s="2" t="s">
        <v>9153</v>
      </c>
      <c r="AB481" s="2"/>
      <c r="AC481" s="2"/>
      <c r="AD481" s="2"/>
      <c r="AE481" s="2"/>
      <c r="AF481" s="2"/>
      <c r="AG481" s="2" t="n">
        <v>33</v>
      </c>
      <c r="AH481" s="2" t="n">
        <v>30</v>
      </c>
      <c r="AI481" s="2" t="n">
        <v>34</v>
      </c>
      <c r="AJ481" s="2" t="n">
        <v>0</v>
      </c>
      <c r="AK481" s="2" t="n">
        <v>8</v>
      </c>
      <c r="AL481" s="2" t="s">
        <v>5070</v>
      </c>
      <c r="AM481" s="2" t="s">
        <v>5071</v>
      </c>
      <c r="AN481" s="2" t="s">
        <v>5072</v>
      </c>
      <c r="AO481" s="2" t="s">
        <v>5073</v>
      </c>
      <c r="AP481" s="2" t="s">
        <v>5074</v>
      </c>
      <c r="AQ481" s="2"/>
      <c r="AR481" s="2" t="s">
        <v>889</v>
      </c>
      <c r="AS481" s="2" t="s">
        <v>5075</v>
      </c>
      <c r="AT481" s="2" t="s">
        <v>692</v>
      </c>
      <c r="AU481" s="2" t="n">
        <v>2014</v>
      </c>
      <c r="AV481" s="2" t="n">
        <v>42</v>
      </c>
      <c r="AW481" s="2" t="n">
        <v>2</v>
      </c>
      <c r="AX481" s="2"/>
      <c r="AY481" s="2"/>
      <c r="AZ481" s="2"/>
      <c r="BA481" s="2"/>
      <c r="BB481" s="2" t="n">
        <v>343</v>
      </c>
      <c r="BC481" s="2" t="n">
        <v>350</v>
      </c>
      <c r="BD481" s="2"/>
      <c r="BE481" s="2" t="s">
        <v>9154</v>
      </c>
      <c r="BF481" s="2" t="str">
        <f aca="false">HYPERLINK("http://dx.doi.org/10.1007/s15010-013-0557-1","http://dx.doi.org/10.1007/s15010-013-0557-1")</f>
        <v>http://dx.doi.org/10.1007/s15010-013-0557-1</v>
      </c>
      <c r="BG481" s="2"/>
      <c r="BH481" s="2"/>
      <c r="BI481" s="2" t="n">
        <v>8</v>
      </c>
      <c r="BJ481" s="2" t="s">
        <v>575</v>
      </c>
      <c r="BK481" s="2" t="s">
        <v>100</v>
      </c>
      <c r="BL481" s="2" t="s">
        <v>575</v>
      </c>
      <c r="BM481" s="2" t="s">
        <v>8900</v>
      </c>
      <c r="BN481" s="2" t="n">
        <v>24277597</v>
      </c>
      <c r="BO481" s="2" t="s">
        <v>538</v>
      </c>
      <c r="BP481" s="2"/>
      <c r="BQ481" s="2"/>
      <c r="BR481" s="2" t="s">
        <v>104</v>
      </c>
      <c r="BS481" s="2" t="s">
        <v>9155</v>
      </c>
      <c r="BT481" s="2" t="str">
        <f aca="false">HYPERLINK("https%3A%2F%2Fwww.webofscience.com%2Fwos%2Fwoscc%2Ffull-record%2FWOS:000334899600010","View Full Record in Web of Science")</f>
        <v>View Full Record in Web of Science</v>
      </c>
    </row>
    <row r="482" customFormat="false" ht="12.75" hidden="false" customHeight="false" outlineLevel="0" collapsed="false">
      <c r="A482" s="2" t="s">
        <v>72</v>
      </c>
      <c r="B482" s="2" t="s">
        <v>9156</v>
      </c>
      <c r="C482" s="2"/>
      <c r="D482" s="2"/>
      <c r="E482" s="2"/>
      <c r="F482" s="2" t="s">
        <v>9157</v>
      </c>
      <c r="G482" s="2"/>
      <c r="H482" s="2"/>
      <c r="I482" s="2" t="s">
        <v>9158</v>
      </c>
      <c r="J482" s="2" t="s">
        <v>9159</v>
      </c>
      <c r="K482" s="2"/>
      <c r="L482" s="2"/>
      <c r="M482" s="2" t="s">
        <v>77</v>
      </c>
      <c r="N482" s="2" t="s">
        <v>78</v>
      </c>
      <c r="O482" s="2"/>
      <c r="P482" s="2"/>
      <c r="Q482" s="2"/>
      <c r="R482" s="2"/>
      <c r="S482" s="2"/>
      <c r="T482" s="2" t="s">
        <v>9160</v>
      </c>
      <c r="U482" s="2" t="s">
        <v>9161</v>
      </c>
      <c r="V482" s="2" t="s">
        <v>9162</v>
      </c>
      <c r="W482" s="2" t="s">
        <v>9163</v>
      </c>
      <c r="X482" s="2" t="s">
        <v>9164</v>
      </c>
      <c r="Y482" s="2" t="s">
        <v>9165</v>
      </c>
      <c r="Z482" s="2" t="s">
        <v>9166</v>
      </c>
      <c r="AA482" s="2" t="s">
        <v>9167</v>
      </c>
      <c r="AB482" s="2" t="s">
        <v>9168</v>
      </c>
      <c r="AC482" s="2"/>
      <c r="AD482" s="2"/>
      <c r="AE482" s="2"/>
      <c r="AF482" s="2"/>
      <c r="AG482" s="2" t="n">
        <v>39</v>
      </c>
      <c r="AH482" s="2" t="n">
        <v>3</v>
      </c>
      <c r="AI482" s="2" t="n">
        <v>3</v>
      </c>
      <c r="AJ482" s="2" t="n">
        <v>8</v>
      </c>
      <c r="AK482" s="2" t="n">
        <v>21</v>
      </c>
      <c r="AL482" s="2" t="s">
        <v>9169</v>
      </c>
      <c r="AM482" s="2" t="s">
        <v>9170</v>
      </c>
      <c r="AN482" s="2" t="s">
        <v>9171</v>
      </c>
      <c r="AO482" s="2" t="s">
        <v>9172</v>
      </c>
      <c r="AP482" s="2" t="s">
        <v>9173</v>
      </c>
      <c r="AQ482" s="2"/>
      <c r="AR482" s="2" t="s">
        <v>9174</v>
      </c>
      <c r="AS482" s="2" t="s">
        <v>9175</v>
      </c>
      <c r="AT482" s="2" t="s">
        <v>486</v>
      </c>
      <c r="AU482" s="2" t="n">
        <v>2019</v>
      </c>
      <c r="AV482" s="2" t="n">
        <v>23</v>
      </c>
      <c r="AW482" s="2" t="n">
        <v>6</v>
      </c>
      <c r="AX482" s="2"/>
      <c r="AY482" s="2"/>
      <c r="AZ482" s="2"/>
      <c r="BA482" s="2"/>
      <c r="BB482" s="2" t="n">
        <v>263</v>
      </c>
      <c r="BC482" s="2" t="n">
        <v>269</v>
      </c>
      <c r="BD482" s="2"/>
      <c r="BE482" s="2" t="s">
        <v>9176</v>
      </c>
      <c r="BF482" s="2" t="str">
        <f aca="false">HYPERLINK("http://dx.doi.org/10.5005/jp-journals-10071-23177","http://dx.doi.org/10.5005/jp-journals-10071-23177")</f>
        <v>http://dx.doi.org/10.5005/jp-journals-10071-23177</v>
      </c>
      <c r="BG482" s="2"/>
      <c r="BH482" s="2"/>
      <c r="BI482" s="2" t="n">
        <v>7</v>
      </c>
      <c r="BJ482" s="2" t="s">
        <v>473</v>
      </c>
      <c r="BK482" s="2" t="s">
        <v>339</v>
      </c>
      <c r="BL482" s="2" t="s">
        <v>364</v>
      </c>
      <c r="BM482" s="2" t="s">
        <v>9177</v>
      </c>
      <c r="BN482" s="2" t="n">
        <v>31435144</v>
      </c>
      <c r="BO482" s="2" t="s">
        <v>103</v>
      </c>
      <c r="BP482" s="2"/>
      <c r="BQ482" s="2"/>
      <c r="BR482" s="2" t="s">
        <v>104</v>
      </c>
      <c r="BS482" s="2" t="s">
        <v>9178</v>
      </c>
      <c r="BT482" s="2" t="str">
        <f aca="false">HYPERLINK("https%3A%2F%2Fwww.webofscience.com%2Fwos%2Fwoscc%2Ffull-record%2FWOS:000496521400006","View Full Record in Web of Science")</f>
        <v>View Full Record in Web of Science</v>
      </c>
    </row>
    <row r="483" customFormat="false" ht="12.75" hidden="false" customHeight="false" outlineLevel="0" collapsed="false">
      <c r="A483" s="2" t="s">
        <v>72</v>
      </c>
      <c r="B483" s="2" t="s">
        <v>9179</v>
      </c>
      <c r="C483" s="2"/>
      <c r="D483" s="2"/>
      <c r="E483" s="2"/>
      <c r="F483" s="2" t="s">
        <v>9180</v>
      </c>
      <c r="G483" s="2"/>
      <c r="H483" s="2"/>
      <c r="I483" s="2" t="s">
        <v>9181</v>
      </c>
      <c r="J483" s="2" t="s">
        <v>717</v>
      </c>
      <c r="K483" s="2"/>
      <c r="L483" s="2"/>
      <c r="M483" s="2" t="s">
        <v>77</v>
      </c>
      <c r="N483" s="2" t="s">
        <v>78</v>
      </c>
      <c r="O483" s="2"/>
      <c r="P483" s="2"/>
      <c r="Q483" s="2"/>
      <c r="R483" s="2"/>
      <c r="S483" s="2"/>
      <c r="T483" s="2" t="s">
        <v>9182</v>
      </c>
      <c r="U483" s="2" t="s">
        <v>9183</v>
      </c>
      <c r="V483" s="2" t="s">
        <v>9184</v>
      </c>
      <c r="W483" s="2" t="s">
        <v>9185</v>
      </c>
      <c r="X483" s="2" t="s">
        <v>9186</v>
      </c>
      <c r="Y483" s="2" t="s">
        <v>9187</v>
      </c>
      <c r="Z483" s="2" t="s">
        <v>9188</v>
      </c>
      <c r="AA483" s="2" t="s">
        <v>9189</v>
      </c>
      <c r="AB483" s="2" t="s">
        <v>9190</v>
      </c>
      <c r="AC483" s="2" t="s">
        <v>9191</v>
      </c>
      <c r="AD483" s="2" t="s">
        <v>9192</v>
      </c>
      <c r="AE483" s="2" t="s">
        <v>9193</v>
      </c>
      <c r="AF483" s="2"/>
      <c r="AG483" s="2" t="n">
        <v>37</v>
      </c>
      <c r="AH483" s="2" t="n">
        <v>8</v>
      </c>
      <c r="AI483" s="2" t="n">
        <v>10</v>
      </c>
      <c r="AJ483" s="2" t="n">
        <v>0</v>
      </c>
      <c r="AK483" s="2" t="n">
        <v>9</v>
      </c>
      <c r="AL483" s="2" t="s">
        <v>383</v>
      </c>
      <c r="AM483" s="2" t="s">
        <v>384</v>
      </c>
      <c r="AN483" s="2" t="s">
        <v>385</v>
      </c>
      <c r="AO483" s="2" t="s">
        <v>729</v>
      </c>
      <c r="AP483" s="2" t="s">
        <v>730</v>
      </c>
      <c r="AQ483" s="2"/>
      <c r="AR483" s="2" t="s">
        <v>731</v>
      </c>
      <c r="AS483" s="2" t="s">
        <v>732</v>
      </c>
      <c r="AT483" s="2" t="s">
        <v>692</v>
      </c>
      <c r="AU483" s="2" t="n">
        <v>2018</v>
      </c>
      <c r="AV483" s="2" t="n">
        <v>254</v>
      </c>
      <c r="AW483" s="2"/>
      <c r="AX483" s="2"/>
      <c r="AY483" s="2"/>
      <c r="AZ483" s="2"/>
      <c r="BA483" s="2"/>
      <c r="BB483" s="2" t="n">
        <v>51</v>
      </c>
      <c r="BC483" s="2" t="n">
        <v>64</v>
      </c>
      <c r="BD483" s="2"/>
      <c r="BE483" s="2" t="s">
        <v>9194</v>
      </c>
      <c r="BF483" s="2" t="str">
        <f aca="false">HYPERLINK("http://dx.doi.org/10.1016/j.jviromet.2018.01.011","http://dx.doi.org/10.1016/j.jviromet.2018.01.011")</f>
        <v>http://dx.doi.org/10.1016/j.jviromet.2018.01.011</v>
      </c>
      <c r="BG483" s="2"/>
      <c r="BH483" s="2"/>
      <c r="BI483" s="2" t="n">
        <v>14</v>
      </c>
      <c r="BJ483" s="2" t="s">
        <v>735</v>
      </c>
      <c r="BK483" s="2" t="s">
        <v>100</v>
      </c>
      <c r="BL483" s="2" t="s">
        <v>736</v>
      </c>
      <c r="BM483" s="2" t="s">
        <v>9195</v>
      </c>
      <c r="BN483" s="2" t="n">
        <v>29410056</v>
      </c>
      <c r="BO483" s="2" t="s">
        <v>2278</v>
      </c>
      <c r="BP483" s="2"/>
      <c r="BQ483" s="2"/>
      <c r="BR483" s="2" t="s">
        <v>104</v>
      </c>
      <c r="BS483" s="2" t="s">
        <v>9196</v>
      </c>
      <c r="BT483" s="2" t="str">
        <f aca="false">HYPERLINK("https%3A%2F%2Fwww.webofscience.com%2Fwos%2Fwoscc%2Ffull-record%2FWOS:000427335400011","View Full Record in Web of Science")</f>
        <v>View Full Record in Web of Science</v>
      </c>
    </row>
    <row r="484" customFormat="false" ht="12.75" hidden="false" customHeight="false" outlineLevel="0" collapsed="false">
      <c r="A484" s="2" t="s">
        <v>72</v>
      </c>
      <c r="B484" s="2" t="s">
        <v>9197</v>
      </c>
      <c r="C484" s="2"/>
      <c r="D484" s="2"/>
      <c r="E484" s="2"/>
      <c r="F484" s="2" t="s">
        <v>9198</v>
      </c>
      <c r="G484" s="2"/>
      <c r="H484" s="2"/>
      <c r="I484" s="2" t="s">
        <v>9199</v>
      </c>
      <c r="J484" s="2" t="s">
        <v>6514</v>
      </c>
      <c r="K484" s="2"/>
      <c r="L484" s="2"/>
      <c r="M484" s="2" t="s">
        <v>77</v>
      </c>
      <c r="N484" s="2" t="s">
        <v>78</v>
      </c>
      <c r="O484" s="2"/>
      <c r="P484" s="2"/>
      <c r="Q484" s="2"/>
      <c r="R484" s="2"/>
      <c r="S484" s="2"/>
      <c r="T484" s="2" t="s">
        <v>9200</v>
      </c>
      <c r="U484" s="2" t="s">
        <v>9201</v>
      </c>
      <c r="V484" s="2" t="s">
        <v>9202</v>
      </c>
      <c r="W484" s="2" t="s">
        <v>9203</v>
      </c>
      <c r="X484" s="2"/>
      <c r="Y484" s="2" t="s">
        <v>9204</v>
      </c>
      <c r="Z484" s="2" t="s">
        <v>9205</v>
      </c>
      <c r="AA484" s="2"/>
      <c r="AB484" s="2"/>
      <c r="AC484" s="2"/>
      <c r="AD484" s="2"/>
      <c r="AE484" s="2"/>
      <c r="AF484" s="2"/>
      <c r="AG484" s="2" t="n">
        <v>17</v>
      </c>
      <c r="AH484" s="2" t="n">
        <v>0</v>
      </c>
      <c r="AI484" s="2" t="n">
        <v>0</v>
      </c>
      <c r="AJ484" s="2" t="n">
        <v>0</v>
      </c>
      <c r="AK484" s="2" t="n">
        <v>0</v>
      </c>
      <c r="AL484" s="2" t="s">
        <v>919</v>
      </c>
      <c r="AM484" s="2" t="s">
        <v>593</v>
      </c>
      <c r="AN484" s="2" t="s">
        <v>920</v>
      </c>
      <c r="AO484" s="2" t="s">
        <v>6523</v>
      </c>
      <c r="AP484" s="2" t="s">
        <v>6524</v>
      </c>
      <c r="AQ484" s="2"/>
      <c r="AR484" s="2" t="s">
        <v>6525</v>
      </c>
      <c r="AS484" s="2" t="s">
        <v>6526</v>
      </c>
      <c r="AT484" s="2" t="s">
        <v>129</v>
      </c>
      <c r="AU484" s="2" t="n">
        <v>2013</v>
      </c>
      <c r="AV484" s="2" t="n">
        <v>41</v>
      </c>
      <c r="AW484" s="2" t="n">
        <v>9</v>
      </c>
      <c r="AX484" s="2"/>
      <c r="AY484" s="2"/>
      <c r="AZ484" s="2"/>
      <c r="BA484" s="2"/>
      <c r="BB484" s="2" t="n">
        <v>769</v>
      </c>
      <c r="BC484" s="2" t="n">
        <v>772</v>
      </c>
      <c r="BD484" s="2"/>
      <c r="BE484" s="2" t="s">
        <v>9206</v>
      </c>
      <c r="BF484" s="2" t="str">
        <f aca="false">HYPERLINK("http://dx.doi.org/10.1016/j.ajic.2012.11.018","http://dx.doi.org/10.1016/j.ajic.2012.11.018")</f>
        <v>http://dx.doi.org/10.1016/j.ajic.2012.11.018</v>
      </c>
      <c r="BG484" s="2"/>
      <c r="BH484" s="2"/>
      <c r="BI484" s="2" t="n">
        <v>4</v>
      </c>
      <c r="BJ484" s="2" t="s">
        <v>2113</v>
      </c>
      <c r="BK484" s="2" t="s">
        <v>100</v>
      </c>
      <c r="BL484" s="2" t="s">
        <v>2113</v>
      </c>
      <c r="BM484" s="2" t="s">
        <v>9207</v>
      </c>
      <c r="BN484" s="2" t="n">
        <v>23507154</v>
      </c>
      <c r="BO484" s="2"/>
      <c r="BP484" s="2"/>
      <c r="BQ484" s="2"/>
      <c r="BR484" s="2" t="s">
        <v>104</v>
      </c>
      <c r="BS484" s="2" t="s">
        <v>9208</v>
      </c>
      <c r="BT484" s="2" t="str">
        <f aca="false">HYPERLINK("https%3A%2F%2Fwww.webofscience.com%2Fwos%2Fwoscc%2Ffull-record%2FWOS:000323599600007","View Full Record in Web of Science")</f>
        <v>View Full Record in Web of Science</v>
      </c>
    </row>
    <row r="485" customFormat="false" ht="12.75" hidden="false" customHeight="false" outlineLevel="0" collapsed="false">
      <c r="A485" s="2" t="s">
        <v>72</v>
      </c>
      <c r="B485" s="2" t="s">
        <v>9209</v>
      </c>
      <c r="C485" s="2"/>
      <c r="D485" s="2"/>
      <c r="E485" s="2"/>
      <c r="F485" s="2" t="s">
        <v>9210</v>
      </c>
      <c r="G485" s="2"/>
      <c r="H485" s="2"/>
      <c r="I485" s="2" t="s">
        <v>9211</v>
      </c>
      <c r="J485" s="2" t="s">
        <v>141</v>
      </c>
      <c r="K485" s="2"/>
      <c r="L485" s="2"/>
      <c r="M485" s="2" t="s">
        <v>77</v>
      </c>
      <c r="N485" s="2" t="s">
        <v>78</v>
      </c>
      <c r="O485" s="2"/>
      <c r="P485" s="2"/>
      <c r="Q485" s="2"/>
      <c r="R485" s="2"/>
      <c r="S485" s="2"/>
      <c r="T485" s="2" t="s">
        <v>9212</v>
      </c>
      <c r="U485" s="2" t="s">
        <v>9213</v>
      </c>
      <c r="V485" s="2" t="s">
        <v>9214</v>
      </c>
      <c r="W485" s="2" t="s">
        <v>9215</v>
      </c>
      <c r="X485" s="2" t="s">
        <v>9216</v>
      </c>
      <c r="Y485" s="2" t="s">
        <v>9217</v>
      </c>
      <c r="Z485" s="2" t="s">
        <v>9218</v>
      </c>
      <c r="AA485" s="2" t="s">
        <v>9219</v>
      </c>
      <c r="AB485" s="2" t="s">
        <v>9220</v>
      </c>
      <c r="AC485" s="2" t="s">
        <v>9221</v>
      </c>
      <c r="AD485" s="2" t="s">
        <v>9222</v>
      </c>
      <c r="AE485" s="2" t="s">
        <v>9223</v>
      </c>
      <c r="AF485" s="2"/>
      <c r="AG485" s="2" t="n">
        <v>23</v>
      </c>
      <c r="AH485" s="2" t="n">
        <v>15</v>
      </c>
      <c r="AI485" s="2" t="n">
        <v>15</v>
      </c>
      <c r="AJ485" s="2" t="n">
        <v>0</v>
      </c>
      <c r="AK485" s="2" t="n">
        <v>2</v>
      </c>
      <c r="AL485" s="2" t="s">
        <v>154</v>
      </c>
      <c r="AM485" s="2" t="s">
        <v>155</v>
      </c>
      <c r="AN485" s="2" t="s">
        <v>156</v>
      </c>
      <c r="AO485" s="2" t="s">
        <v>157</v>
      </c>
      <c r="AP485" s="2" t="s">
        <v>158</v>
      </c>
      <c r="AQ485" s="2"/>
      <c r="AR485" s="2" t="s">
        <v>159</v>
      </c>
      <c r="AS485" s="2" t="s">
        <v>160</v>
      </c>
      <c r="AT485" s="2" t="s">
        <v>97</v>
      </c>
      <c r="AU485" s="2" t="n">
        <v>2012</v>
      </c>
      <c r="AV485" s="2" t="n">
        <v>84</v>
      </c>
      <c r="AW485" s="2" t="n">
        <v>3</v>
      </c>
      <c r="AX485" s="2"/>
      <c r="AY485" s="2"/>
      <c r="AZ485" s="2"/>
      <c r="BA485" s="2"/>
      <c r="BB485" s="2" t="n">
        <v>511</v>
      </c>
      <c r="BC485" s="2" t="n">
        <v>516</v>
      </c>
      <c r="BD485" s="2"/>
      <c r="BE485" s="2" t="s">
        <v>9224</v>
      </c>
      <c r="BF485" s="2" t="str">
        <f aca="false">HYPERLINK("http://dx.doi.org/10.1002/jmv.23213","http://dx.doi.org/10.1002/jmv.23213")</f>
        <v>http://dx.doi.org/10.1002/jmv.23213</v>
      </c>
      <c r="BG485" s="2"/>
      <c r="BH485" s="2"/>
      <c r="BI485" s="2" t="n">
        <v>6</v>
      </c>
      <c r="BJ485" s="2" t="s">
        <v>163</v>
      </c>
      <c r="BK485" s="2" t="s">
        <v>100</v>
      </c>
      <c r="BL485" s="2" t="s">
        <v>163</v>
      </c>
      <c r="BM485" s="2" t="s">
        <v>9225</v>
      </c>
      <c r="BN485" s="2" t="n">
        <v>22246840</v>
      </c>
      <c r="BO485" s="2" t="s">
        <v>165</v>
      </c>
      <c r="BP485" s="2"/>
      <c r="BQ485" s="2"/>
      <c r="BR485" s="2" t="s">
        <v>104</v>
      </c>
      <c r="BS485" s="2" t="s">
        <v>9226</v>
      </c>
      <c r="BT485" s="2" t="str">
        <f aca="false">HYPERLINK("https%3A%2F%2Fwww.webofscience.com%2Fwos%2Fwoscc%2Ffull-record%2FWOS:000299071300020","View Full Record in Web of Science")</f>
        <v>View Full Record in Web of Science</v>
      </c>
    </row>
    <row r="486" customFormat="false" ht="12.75" hidden="false" customHeight="false" outlineLevel="0" collapsed="false">
      <c r="A486" s="2" t="s">
        <v>72</v>
      </c>
      <c r="B486" s="2" t="s">
        <v>9227</v>
      </c>
      <c r="C486" s="2"/>
      <c r="D486" s="2"/>
      <c r="E486" s="2"/>
      <c r="F486" s="2" t="s">
        <v>9228</v>
      </c>
      <c r="G486" s="2"/>
      <c r="H486" s="2"/>
      <c r="I486" s="2" t="s">
        <v>9229</v>
      </c>
      <c r="J486" s="2" t="s">
        <v>9230</v>
      </c>
      <c r="K486" s="2"/>
      <c r="L486" s="2"/>
      <c r="M486" s="2" t="s">
        <v>77</v>
      </c>
      <c r="N486" s="2" t="s">
        <v>78</v>
      </c>
      <c r="O486" s="2"/>
      <c r="P486" s="2"/>
      <c r="Q486" s="2"/>
      <c r="R486" s="2"/>
      <c r="S486" s="2"/>
      <c r="T486" s="2" t="s">
        <v>9231</v>
      </c>
      <c r="U486" s="2" t="s">
        <v>9232</v>
      </c>
      <c r="V486" s="2" t="s">
        <v>9233</v>
      </c>
      <c r="W486" s="2" t="s">
        <v>9234</v>
      </c>
      <c r="X486" s="2" t="s">
        <v>9235</v>
      </c>
      <c r="Y486" s="2" t="s">
        <v>9236</v>
      </c>
      <c r="Z486" s="2" t="s">
        <v>9237</v>
      </c>
      <c r="AA486" s="2" t="s">
        <v>9238</v>
      </c>
      <c r="AB486" s="2" t="s">
        <v>9239</v>
      </c>
      <c r="AC486" s="2" t="s">
        <v>9240</v>
      </c>
      <c r="AD486" s="2" t="s">
        <v>9241</v>
      </c>
      <c r="AE486" s="2" t="s">
        <v>9242</v>
      </c>
      <c r="AF486" s="2"/>
      <c r="AG486" s="2" t="n">
        <v>43</v>
      </c>
      <c r="AH486" s="2" t="n">
        <v>12</v>
      </c>
      <c r="AI486" s="2" t="n">
        <v>12</v>
      </c>
      <c r="AJ486" s="2" t="n">
        <v>0</v>
      </c>
      <c r="AK486" s="2" t="n">
        <v>3</v>
      </c>
      <c r="AL486" s="2" t="s">
        <v>9243</v>
      </c>
      <c r="AM486" s="2" t="s">
        <v>9244</v>
      </c>
      <c r="AN486" s="2" t="s">
        <v>9245</v>
      </c>
      <c r="AO486" s="2" t="s">
        <v>9246</v>
      </c>
      <c r="AP486" s="2" t="s">
        <v>9247</v>
      </c>
      <c r="AQ486" s="2"/>
      <c r="AR486" s="2" t="s">
        <v>9248</v>
      </c>
      <c r="AS486" s="2" t="s">
        <v>9249</v>
      </c>
      <c r="AT486" s="2" t="s">
        <v>804</v>
      </c>
      <c r="AU486" s="2" t="n">
        <v>2019</v>
      </c>
      <c r="AV486" s="2" t="n">
        <v>11</v>
      </c>
      <c r="AW486" s="2" t="n">
        <v>11</v>
      </c>
      <c r="AX486" s="2"/>
      <c r="AY486" s="2"/>
      <c r="AZ486" s="2"/>
      <c r="BA486" s="2"/>
      <c r="BB486" s="2" t="n">
        <v>4626</v>
      </c>
      <c r="BC486" s="2" t="n">
        <v>4633</v>
      </c>
      <c r="BD486" s="2"/>
      <c r="BE486" s="2" t="s">
        <v>9250</v>
      </c>
      <c r="BF486" s="2" t="str">
        <f aca="false">HYPERLINK("http://dx.doi.org/10.21037/jtd.2019.10.69","http://dx.doi.org/10.21037/jtd.2019.10.69")</f>
        <v>http://dx.doi.org/10.21037/jtd.2019.10.69</v>
      </c>
      <c r="BG486" s="2"/>
      <c r="BH486" s="2"/>
      <c r="BI486" s="2" t="n">
        <v>8</v>
      </c>
      <c r="BJ486" s="2" t="s">
        <v>338</v>
      </c>
      <c r="BK486" s="2" t="s">
        <v>100</v>
      </c>
      <c r="BL486" s="2" t="s">
        <v>338</v>
      </c>
      <c r="BM486" s="2" t="s">
        <v>9251</v>
      </c>
      <c r="BN486" s="2" t="n">
        <v>31903251</v>
      </c>
      <c r="BO486" s="2" t="s">
        <v>103</v>
      </c>
      <c r="BP486" s="2"/>
      <c r="BQ486" s="2"/>
      <c r="BR486" s="2" t="s">
        <v>104</v>
      </c>
      <c r="BS486" s="2" t="s">
        <v>9252</v>
      </c>
      <c r="BT486" s="2" t="str">
        <f aca="false">HYPERLINK("https%3A%2F%2Fwww.webofscience.com%2Fwos%2Fwoscc%2Ffull-record%2FWOS:000499662800038","View Full Record in Web of Science")</f>
        <v>View Full Record in Web of Science</v>
      </c>
    </row>
    <row r="487" customFormat="false" ht="12.75" hidden="false" customHeight="false" outlineLevel="0" collapsed="false">
      <c r="A487" s="2" t="s">
        <v>72</v>
      </c>
      <c r="B487" s="2" t="s">
        <v>9253</v>
      </c>
      <c r="C487" s="2"/>
      <c r="D487" s="2"/>
      <c r="E487" s="2"/>
      <c r="F487" s="2" t="s">
        <v>9254</v>
      </c>
      <c r="G487" s="2"/>
      <c r="H487" s="2"/>
      <c r="I487" s="2" t="s">
        <v>9255</v>
      </c>
      <c r="J487" s="2" t="s">
        <v>370</v>
      </c>
      <c r="K487" s="2"/>
      <c r="L487" s="2"/>
      <c r="M487" s="2" t="s">
        <v>77</v>
      </c>
      <c r="N487" s="2" t="s">
        <v>78</v>
      </c>
      <c r="O487" s="2"/>
      <c r="P487" s="2"/>
      <c r="Q487" s="2"/>
      <c r="R487" s="2"/>
      <c r="S487" s="2"/>
      <c r="T487" s="2" t="s">
        <v>9256</v>
      </c>
      <c r="U487" s="2" t="s">
        <v>9257</v>
      </c>
      <c r="V487" s="2" t="s">
        <v>9258</v>
      </c>
      <c r="W487" s="2" t="s">
        <v>9259</v>
      </c>
      <c r="X487" s="2" t="s">
        <v>9260</v>
      </c>
      <c r="Y487" s="2" t="s">
        <v>9261</v>
      </c>
      <c r="Z487" s="2" t="s">
        <v>9262</v>
      </c>
      <c r="AA487" s="2"/>
      <c r="AB487" s="2"/>
      <c r="AC487" s="2"/>
      <c r="AD487" s="2"/>
      <c r="AE487" s="2"/>
      <c r="AF487" s="2"/>
      <c r="AG487" s="2" t="n">
        <v>14</v>
      </c>
      <c r="AH487" s="2" t="n">
        <v>185</v>
      </c>
      <c r="AI487" s="2" t="n">
        <v>214</v>
      </c>
      <c r="AJ487" s="2" t="n">
        <v>1</v>
      </c>
      <c r="AK487" s="2" t="n">
        <v>30</v>
      </c>
      <c r="AL487" s="2" t="s">
        <v>549</v>
      </c>
      <c r="AM487" s="2" t="s">
        <v>384</v>
      </c>
      <c r="AN487" s="2" t="s">
        <v>550</v>
      </c>
      <c r="AO487" s="2" t="s">
        <v>386</v>
      </c>
      <c r="AP487" s="2"/>
      <c r="AQ487" s="2"/>
      <c r="AR487" s="2" t="s">
        <v>388</v>
      </c>
      <c r="AS487" s="2" t="s">
        <v>389</v>
      </c>
      <c r="AT487" s="2" t="s">
        <v>161</v>
      </c>
      <c r="AU487" s="2" t="n">
        <v>2008</v>
      </c>
      <c r="AV487" s="2" t="n">
        <v>41</v>
      </c>
      <c r="AW487" s="2" t="n">
        <v>1</v>
      </c>
      <c r="AX487" s="2"/>
      <c r="AY487" s="2"/>
      <c r="AZ487" s="2"/>
      <c r="BA487" s="2"/>
      <c r="BB487" s="2" t="n">
        <v>53</v>
      </c>
      <c r="BC487" s="2" t="n">
        <v>56</v>
      </c>
      <c r="BD487" s="2"/>
      <c r="BE487" s="2" t="s">
        <v>9263</v>
      </c>
      <c r="BF487" s="2" t="str">
        <f aca="false">HYPERLINK("http://dx.doi.org/10.1016/j.jcv.2007.10.029","http://dx.doi.org/10.1016/j.jcv.2007.10.029")</f>
        <v>http://dx.doi.org/10.1016/j.jcv.2007.10.029</v>
      </c>
      <c r="BG487" s="2"/>
      <c r="BH487" s="2"/>
      <c r="BI487" s="2" t="n">
        <v>4</v>
      </c>
      <c r="BJ487" s="2" t="s">
        <v>163</v>
      </c>
      <c r="BK487" s="2" t="s">
        <v>100</v>
      </c>
      <c r="BL487" s="2" t="s">
        <v>163</v>
      </c>
      <c r="BM487" s="2" t="s">
        <v>5570</v>
      </c>
      <c r="BN487" s="2" t="n">
        <v>18093871</v>
      </c>
      <c r="BO487" s="2" t="s">
        <v>1089</v>
      </c>
      <c r="BP487" s="2"/>
      <c r="BQ487" s="2"/>
      <c r="BR487" s="2" t="s">
        <v>104</v>
      </c>
      <c r="BS487" s="2" t="s">
        <v>9264</v>
      </c>
      <c r="BT487" s="2" t="str">
        <f aca="false">HYPERLINK("https%3A%2F%2Fwww.webofscience.com%2Fwos%2Fwoscc%2Ffull-record%2FWOS:000253060400012","View Full Record in Web of Science")</f>
        <v>View Full Record in Web of Science</v>
      </c>
    </row>
    <row r="488" customFormat="false" ht="12.75" hidden="false" customHeight="false" outlineLevel="0" collapsed="false">
      <c r="A488" s="2" t="s">
        <v>72</v>
      </c>
      <c r="B488" s="2" t="s">
        <v>9265</v>
      </c>
      <c r="C488" s="2"/>
      <c r="D488" s="2"/>
      <c r="E488" s="2"/>
      <c r="F488" s="2" t="s">
        <v>9266</v>
      </c>
      <c r="G488" s="2"/>
      <c r="H488" s="2"/>
      <c r="I488" s="2" t="s">
        <v>9267</v>
      </c>
      <c r="J488" s="2" t="s">
        <v>717</v>
      </c>
      <c r="K488" s="2"/>
      <c r="L488" s="2"/>
      <c r="M488" s="2" t="s">
        <v>77</v>
      </c>
      <c r="N488" s="2" t="s">
        <v>78</v>
      </c>
      <c r="O488" s="2"/>
      <c r="P488" s="2"/>
      <c r="Q488" s="2"/>
      <c r="R488" s="2"/>
      <c r="S488" s="2"/>
      <c r="T488" s="2" t="s">
        <v>9268</v>
      </c>
      <c r="U488" s="2" t="s">
        <v>9269</v>
      </c>
      <c r="V488" s="2" t="s">
        <v>9270</v>
      </c>
      <c r="W488" s="2" t="s">
        <v>9271</v>
      </c>
      <c r="X488" s="2" t="s">
        <v>9272</v>
      </c>
      <c r="Y488" s="2" t="s">
        <v>9273</v>
      </c>
      <c r="Z488" s="2" t="s">
        <v>9274</v>
      </c>
      <c r="AA488" s="2" t="s">
        <v>9275</v>
      </c>
      <c r="AB488" s="2" t="s">
        <v>9276</v>
      </c>
      <c r="AC488" s="2"/>
      <c r="AD488" s="2"/>
      <c r="AE488" s="2"/>
      <c r="AF488" s="2"/>
      <c r="AG488" s="2" t="n">
        <v>19</v>
      </c>
      <c r="AH488" s="2" t="n">
        <v>21</v>
      </c>
      <c r="AI488" s="2" t="n">
        <v>24</v>
      </c>
      <c r="AJ488" s="2" t="n">
        <v>0</v>
      </c>
      <c r="AK488" s="2" t="n">
        <v>10</v>
      </c>
      <c r="AL488" s="2" t="s">
        <v>383</v>
      </c>
      <c r="AM488" s="2" t="s">
        <v>384</v>
      </c>
      <c r="AN488" s="2" t="s">
        <v>385</v>
      </c>
      <c r="AO488" s="2" t="s">
        <v>729</v>
      </c>
      <c r="AP488" s="2" t="s">
        <v>730</v>
      </c>
      <c r="AQ488" s="2"/>
      <c r="AR488" s="2" t="s">
        <v>731</v>
      </c>
      <c r="AS488" s="2" t="s">
        <v>732</v>
      </c>
      <c r="AT488" s="2" t="s">
        <v>336</v>
      </c>
      <c r="AU488" s="2" t="n">
        <v>2010</v>
      </c>
      <c r="AV488" s="2" t="n">
        <v>169</v>
      </c>
      <c r="AW488" s="2" t="n">
        <v>1</v>
      </c>
      <c r="AX488" s="2"/>
      <c r="AY488" s="2"/>
      <c r="AZ488" s="2"/>
      <c r="BA488" s="2"/>
      <c r="BB488" s="2" t="n">
        <v>188</v>
      </c>
      <c r="BC488" s="2" t="n">
        <v>192</v>
      </c>
      <c r="BD488" s="2"/>
      <c r="BE488" s="2" t="s">
        <v>9277</v>
      </c>
      <c r="BF488" s="2" t="str">
        <f aca="false">HYPERLINK("http://dx.doi.org/10.1016/j.jviromet.2010.07.032","http://dx.doi.org/10.1016/j.jviromet.2010.07.032")</f>
        <v>http://dx.doi.org/10.1016/j.jviromet.2010.07.032</v>
      </c>
      <c r="BG488" s="2"/>
      <c r="BH488" s="2"/>
      <c r="BI488" s="2" t="n">
        <v>5</v>
      </c>
      <c r="BJ488" s="2" t="s">
        <v>735</v>
      </c>
      <c r="BK488" s="2" t="s">
        <v>100</v>
      </c>
      <c r="BL488" s="2" t="s">
        <v>736</v>
      </c>
      <c r="BM488" s="2" t="s">
        <v>9278</v>
      </c>
      <c r="BN488" s="2" t="n">
        <v>20691735</v>
      </c>
      <c r="BO488" s="2" t="s">
        <v>1227</v>
      </c>
      <c r="BP488" s="2"/>
      <c r="BQ488" s="2"/>
      <c r="BR488" s="2" t="s">
        <v>104</v>
      </c>
      <c r="BS488" s="2" t="s">
        <v>9279</v>
      </c>
      <c r="BT488" s="2" t="str">
        <f aca="false">HYPERLINK("https%3A%2F%2Fwww.webofscience.com%2Fwos%2Fwoscc%2Ffull-record%2FWOS:000282398600027","View Full Record in Web of Science")</f>
        <v>View Full Record in Web of Science</v>
      </c>
    </row>
    <row r="489" customFormat="false" ht="12.75" hidden="false" customHeight="false" outlineLevel="0" collapsed="false">
      <c r="A489" s="2" t="s">
        <v>72</v>
      </c>
      <c r="B489" s="2" t="s">
        <v>9280</v>
      </c>
      <c r="C489" s="2"/>
      <c r="D489" s="2"/>
      <c r="E489" s="2"/>
      <c r="F489" s="2" t="s">
        <v>9281</v>
      </c>
      <c r="G489" s="2"/>
      <c r="H489" s="2"/>
      <c r="I489" s="2" t="s">
        <v>9282</v>
      </c>
      <c r="J489" s="2" t="s">
        <v>493</v>
      </c>
      <c r="K489" s="2"/>
      <c r="L489" s="2"/>
      <c r="M489" s="2" t="s">
        <v>77</v>
      </c>
      <c r="N489" s="2" t="s">
        <v>78</v>
      </c>
      <c r="O489" s="2"/>
      <c r="P489" s="2"/>
      <c r="Q489" s="2"/>
      <c r="R489" s="2"/>
      <c r="S489" s="2"/>
      <c r="T489" s="2" t="s">
        <v>9283</v>
      </c>
      <c r="U489" s="2" t="s">
        <v>9284</v>
      </c>
      <c r="V489" s="2" t="s">
        <v>9285</v>
      </c>
      <c r="W489" s="2" t="s">
        <v>9286</v>
      </c>
      <c r="X489" s="2" t="s">
        <v>9287</v>
      </c>
      <c r="Y489" s="2" t="s">
        <v>9288</v>
      </c>
      <c r="Z489" s="2" t="s">
        <v>9289</v>
      </c>
      <c r="AA489" s="2"/>
      <c r="AB489" s="2" t="s">
        <v>9290</v>
      </c>
      <c r="AC489" s="2" t="s">
        <v>9291</v>
      </c>
      <c r="AD489" s="2" t="s">
        <v>9292</v>
      </c>
      <c r="AE489" s="2" t="s">
        <v>9293</v>
      </c>
      <c r="AF489" s="2"/>
      <c r="AG489" s="2" t="n">
        <v>63</v>
      </c>
      <c r="AH489" s="2" t="n">
        <v>1</v>
      </c>
      <c r="AI489" s="2" t="n">
        <v>1</v>
      </c>
      <c r="AJ489" s="2" t="n">
        <v>1</v>
      </c>
      <c r="AK489" s="2" t="n">
        <v>1</v>
      </c>
      <c r="AL489" s="2" t="s">
        <v>91</v>
      </c>
      <c r="AM489" s="2" t="s">
        <v>92</v>
      </c>
      <c r="AN489" s="2" t="s">
        <v>93</v>
      </c>
      <c r="AO489" s="2"/>
      <c r="AP489" s="2" t="s">
        <v>506</v>
      </c>
      <c r="AQ489" s="2"/>
      <c r="AR489" s="2" t="s">
        <v>493</v>
      </c>
      <c r="AS489" s="2" t="s">
        <v>507</v>
      </c>
      <c r="AT489" s="2" t="s">
        <v>804</v>
      </c>
      <c r="AU489" s="2" t="n">
        <v>2023</v>
      </c>
      <c r="AV489" s="2" t="n">
        <v>15</v>
      </c>
      <c r="AW489" s="2" t="n">
        <v>11</v>
      </c>
      <c r="AX489" s="2"/>
      <c r="AY489" s="2"/>
      <c r="AZ489" s="2"/>
      <c r="BA489" s="2"/>
      <c r="BB489" s="2"/>
      <c r="BC489" s="2"/>
      <c r="BD489" s="2" t="n">
        <v>2272</v>
      </c>
      <c r="BE489" s="2" t="s">
        <v>9294</v>
      </c>
      <c r="BF489" s="2" t="str">
        <f aca="false">HYPERLINK("http://dx.doi.org/10.3390/v15112272","http://dx.doi.org/10.3390/v15112272")</f>
        <v>http://dx.doi.org/10.3390/v15112272</v>
      </c>
      <c r="BG489" s="2"/>
      <c r="BH489" s="2"/>
      <c r="BI489" s="2" t="n">
        <v>16</v>
      </c>
      <c r="BJ489" s="2" t="s">
        <v>163</v>
      </c>
      <c r="BK489" s="2" t="s">
        <v>100</v>
      </c>
      <c r="BL489" s="2" t="s">
        <v>163</v>
      </c>
      <c r="BM489" s="2" t="s">
        <v>9295</v>
      </c>
      <c r="BN489" s="2" t="n">
        <v>38005948</v>
      </c>
      <c r="BO489" s="2" t="s">
        <v>190</v>
      </c>
      <c r="BP489" s="2"/>
      <c r="BQ489" s="2"/>
      <c r="BR489" s="2" t="s">
        <v>104</v>
      </c>
      <c r="BS489" s="2" t="s">
        <v>9296</v>
      </c>
      <c r="BT489" s="2" t="str">
        <f aca="false">HYPERLINK("https%3A%2F%2Fwww.webofscience.com%2Fwos%2Fwoscc%2Ffull-record%2FWOS:001113781400001","View Full Record in Web of Science")</f>
        <v>View Full Record in Web of Science</v>
      </c>
    </row>
    <row r="490" customFormat="false" ht="12.75" hidden="false" customHeight="false" outlineLevel="0" collapsed="false">
      <c r="A490" s="2" t="s">
        <v>72</v>
      </c>
      <c r="B490" s="2" t="s">
        <v>9297</v>
      </c>
      <c r="C490" s="2"/>
      <c r="D490" s="2"/>
      <c r="E490" s="2"/>
      <c r="F490" s="2" t="s">
        <v>9298</v>
      </c>
      <c r="G490" s="2"/>
      <c r="H490" s="2"/>
      <c r="I490" s="2" t="s">
        <v>9299</v>
      </c>
      <c r="J490" s="2" t="s">
        <v>9300</v>
      </c>
      <c r="K490" s="2"/>
      <c r="L490" s="2"/>
      <c r="M490" s="2" t="s">
        <v>77</v>
      </c>
      <c r="N490" s="2" t="s">
        <v>78</v>
      </c>
      <c r="O490" s="2"/>
      <c r="P490" s="2"/>
      <c r="Q490" s="2"/>
      <c r="R490" s="2"/>
      <c r="S490" s="2"/>
      <c r="T490" s="2" t="s">
        <v>9301</v>
      </c>
      <c r="U490" s="2" t="s">
        <v>9302</v>
      </c>
      <c r="V490" s="2" t="s">
        <v>9303</v>
      </c>
      <c r="W490" s="2" t="s">
        <v>9304</v>
      </c>
      <c r="X490" s="2" t="s">
        <v>9305</v>
      </c>
      <c r="Y490" s="2" t="s">
        <v>9306</v>
      </c>
      <c r="Z490" s="2" t="s">
        <v>9307</v>
      </c>
      <c r="AA490" s="2" t="s">
        <v>9308</v>
      </c>
      <c r="AB490" s="2" t="s">
        <v>9309</v>
      </c>
      <c r="AC490" s="2" t="s">
        <v>9310</v>
      </c>
      <c r="AD490" s="2" t="s">
        <v>9311</v>
      </c>
      <c r="AE490" s="2" t="s">
        <v>9312</v>
      </c>
      <c r="AF490" s="2"/>
      <c r="AG490" s="2" t="n">
        <v>36</v>
      </c>
      <c r="AH490" s="2" t="n">
        <v>5</v>
      </c>
      <c r="AI490" s="2" t="n">
        <v>5</v>
      </c>
      <c r="AJ490" s="2" t="n">
        <v>1</v>
      </c>
      <c r="AK490" s="2" t="n">
        <v>5</v>
      </c>
      <c r="AL490" s="2" t="s">
        <v>5523</v>
      </c>
      <c r="AM490" s="2" t="s">
        <v>5524</v>
      </c>
      <c r="AN490" s="2" t="s">
        <v>5525</v>
      </c>
      <c r="AO490" s="2" t="s">
        <v>9313</v>
      </c>
      <c r="AP490" s="2" t="s">
        <v>9314</v>
      </c>
      <c r="AQ490" s="2"/>
      <c r="AR490" s="2" t="s">
        <v>9315</v>
      </c>
      <c r="AS490" s="2" t="s">
        <v>9316</v>
      </c>
      <c r="AT490" s="2" t="s">
        <v>804</v>
      </c>
      <c r="AU490" s="2" t="n">
        <v>2011</v>
      </c>
      <c r="AV490" s="2" t="n">
        <v>11</v>
      </c>
      <c r="AW490" s="2" t="n">
        <v>11</v>
      </c>
      <c r="AX490" s="2"/>
      <c r="AY490" s="2"/>
      <c r="AZ490" s="2"/>
      <c r="BA490" s="2"/>
      <c r="BB490" s="2" t="n">
        <v>1453</v>
      </c>
      <c r="BC490" s="2" t="n">
        <v>1458</v>
      </c>
      <c r="BD490" s="2"/>
      <c r="BE490" s="2" t="s">
        <v>9317</v>
      </c>
      <c r="BF490" s="2" t="str">
        <f aca="false">HYPERLINK("http://dx.doi.org/10.1089/vbz.2011.0637","http://dx.doi.org/10.1089/vbz.2011.0637")</f>
        <v>http://dx.doi.org/10.1089/vbz.2011.0637</v>
      </c>
      <c r="BG490" s="2"/>
      <c r="BH490" s="2"/>
      <c r="BI490" s="2" t="n">
        <v>6</v>
      </c>
      <c r="BJ490" s="2" t="s">
        <v>2113</v>
      </c>
      <c r="BK490" s="2" t="s">
        <v>100</v>
      </c>
      <c r="BL490" s="2" t="s">
        <v>2113</v>
      </c>
      <c r="BM490" s="2" t="s">
        <v>9318</v>
      </c>
      <c r="BN490" s="2" t="n">
        <v>21736487</v>
      </c>
      <c r="BO490" s="2"/>
      <c r="BP490" s="2"/>
      <c r="BQ490" s="2"/>
      <c r="BR490" s="2" t="s">
        <v>104</v>
      </c>
      <c r="BS490" s="2" t="s">
        <v>9319</v>
      </c>
      <c r="BT490" s="2" t="str">
        <f aca="false">HYPERLINK("https%3A%2F%2Fwww.webofscience.com%2Fwos%2Fwoscc%2Ffull-record%2FWOS:000296923700006","View Full Record in Web of Science")</f>
        <v>View Full Record in Web of Science</v>
      </c>
    </row>
    <row r="491" customFormat="false" ht="12.75" hidden="false" customHeight="false" outlineLevel="0" collapsed="false">
      <c r="A491" s="2" t="s">
        <v>72</v>
      </c>
      <c r="B491" s="2" t="s">
        <v>9320</v>
      </c>
      <c r="C491" s="2"/>
      <c r="D491" s="2"/>
      <c r="E491" s="2"/>
      <c r="F491" s="2" t="s">
        <v>9321</v>
      </c>
      <c r="G491" s="2"/>
      <c r="H491" s="2"/>
      <c r="I491" s="2" t="s">
        <v>9322</v>
      </c>
      <c r="J491" s="2" t="s">
        <v>9323</v>
      </c>
      <c r="K491" s="2"/>
      <c r="L491" s="2"/>
      <c r="M491" s="2" t="s">
        <v>77</v>
      </c>
      <c r="N491" s="2" t="s">
        <v>78</v>
      </c>
      <c r="O491" s="2"/>
      <c r="P491" s="2"/>
      <c r="Q491" s="2"/>
      <c r="R491" s="2"/>
      <c r="S491" s="2"/>
      <c r="T491" s="2" t="s">
        <v>9324</v>
      </c>
      <c r="U491" s="2" t="s">
        <v>4544</v>
      </c>
      <c r="V491" s="2" t="s">
        <v>9325</v>
      </c>
      <c r="W491" s="2" t="s">
        <v>9326</v>
      </c>
      <c r="X491" s="2" t="s">
        <v>9327</v>
      </c>
      <c r="Y491" s="2" t="s">
        <v>9328</v>
      </c>
      <c r="Z491" s="2" t="s">
        <v>9329</v>
      </c>
      <c r="AA491" s="2" t="s">
        <v>9330</v>
      </c>
      <c r="AB491" s="2" t="s">
        <v>9331</v>
      </c>
      <c r="AC491" s="2" t="s">
        <v>6386</v>
      </c>
      <c r="AD491" s="2" t="s">
        <v>6387</v>
      </c>
      <c r="AE491" s="2" t="s">
        <v>9332</v>
      </c>
      <c r="AF491" s="2"/>
      <c r="AG491" s="2" t="n">
        <v>12</v>
      </c>
      <c r="AH491" s="2" t="n">
        <v>2</v>
      </c>
      <c r="AI491" s="2" t="n">
        <v>2</v>
      </c>
      <c r="AJ491" s="2" t="n">
        <v>0</v>
      </c>
      <c r="AK491" s="2" t="n">
        <v>1</v>
      </c>
      <c r="AL491" s="2" t="s">
        <v>383</v>
      </c>
      <c r="AM491" s="2" t="s">
        <v>384</v>
      </c>
      <c r="AN491" s="2" t="s">
        <v>385</v>
      </c>
      <c r="AO491" s="2" t="s">
        <v>9333</v>
      </c>
      <c r="AP491" s="2" t="s">
        <v>9334</v>
      </c>
      <c r="AQ491" s="2"/>
      <c r="AR491" s="2" t="s">
        <v>9335</v>
      </c>
      <c r="AS491" s="2" t="s">
        <v>9336</v>
      </c>
      <c r="AT491" s="2" t="s">
        <v>864</v>
      </c>
      <c r="AU491" s="2" t="n">
        <v>2019</v>
      </c>
      <c r="AV491" s="2" t="n">
        <v>37</v>
      </c>
      <c r="AW491" s="2" t="n">
        <v>1</v>
      </c>
      <c r="AX491" s="2"/>
      <c r="AY491" s="2"/>
      <c r="AZ491" s="2"/>
      <c r="BA491" s="2"/>
      <c r="BB491" s="2" t="n">
        <v>105</v>
      </c>
      <c r="BC491" s="2" t="n">
        <v>108</v>
      </c>
      <c r="BD491" s="2"/>
      <c r="BE491" s="2" t="s">
        <v>9337</v>
      </c>
      <c r="BF491" s="2" t="str">
        <f aca="false">HYPERLINK("http://dx.doi.org/10.4103/ijmm.IJMM_18_146","http://dx.doi.org/10.4103/ijmm.IJMM_18_146")</f>
        <v>http://dx.doi.org/10.4103/ijmm.IJMM_18_146</v>
      </c>
      <c r="BG491" s="2"/>
      <c r="BH491" s="2"/>
      <c r="BI491" s="2" t="n">
        <v>4</v>
      </c>
      <c r="BJ491" s="2" t="s">
        <v>628</v>
      </c>
      <c r="BK491" s="2" t="s">
        <v>100</v>
      </c>
      <c r="BL491" s="2" t="s">
        <v>628</v>
      </c>
      <c r="BM491" s="2" t="s">
        <v>9338</v>
      </c>
      <c r="BN491" s="2"/>
      <c r="BO491" s="2" t="s">
        <v>9339</v>
      </c>
      <c r="BP491" s="2"/>
      <c r="BQ491" s="2"/>
      <c r="BR491" s="2" t="s">
        <v>104</v>
      </c>
      <c r="BS491" s="2" t="s">
        <v>9340</v>
      </c>
      <c r="BT491" s="2" t="str">
        <f aca="false">HYPERLINK("https%3A%2F%2Fwww.webofscience.com%2Fwos%2Fwoscc%2Ffull-record%2FWOS:000481989800018","View Full Record in Web of Science")</f>
        <v>View Full Record in Web of Science</v>
      </c>
    </row>
    <row r="492" customFormat="false" ht="12.75" hidden="false" customHeight="false" outlineLevel="0" collapsed="false">
      <c r="A492" s="2" t="s">
        <v>72</v>
      </c>
      <c r="B492" s="2" t="s">
        <v>9341</v>
      </c>
      <c r="C492" s="2"/>
      <c r="D492" s="2"/>
      <c r="E492" s="2"/>
      <c r="F492" s="2" t="s">
        <v>9342</v>
      </c>
      <c r="G492" s="2"/>
      <c r="H492" s="2"/>
      <c r="I492" s="2" t="s">
        <v>9343</v>
      </c>
      <c r="J492" s="2" t="s">
        <v>6354</v>
      </c>
      <c r="K492" s="2"/>
      <c r="L492" s="2"/>
      <c r="M492" s="2" t="s">
        <v>77</v>
      </c>
      <c r="N492" s="2" t="s">
        <v>78</v>
      </c>
      <c r="O492" s="2"/>
      <c r="P492" s="2"/>
      <c r="Q492" s="2"/>
      <c r="R492" s="2"/>
      <c r="S492" s="2"/>
      <c r="T492" s="2" t="s">
        <v>9344</v>
      </c>
      <c r="U492" s="2" t="s">
        <v>9345</v>
      </c>
      <c r="V492" s="2" t="s">
        <v>9346</v>
      </c>
      <c r="W492" s="2" t="s">
        <v>9347</v>
      </c>
      <c r="X492" s="2" t="s">
        <v>9348</v>
      </c>
      <c r="Y492" s="2" t="s">
        <v>9349</v>
      </c>
      <c r="Z492" s="2" t="s">
        <v>9350</v>
      </c>
      <c r="AA492" s="2"/>
      <c r="AB492" s="2"/>
      <c r="AC492" s="2"/>
      <c r="AD492" s="2"/>
      <c r="AE492" s="2"/>
      <c r="AF492" s="2"/>
      <c r="AG492" s="2" t="n">
        <v>15</v>
      </c>
      <c r="AH492" s="2" t="n">
        <v>13</v>
      </c>
      <c r="AI492" s="2" t="n">
        <v>14</v>
      </c>
      <c r="AJ492" s="2" t="n">
        <v>0</v>
      </c>
      <c r="AK492" s="2" t="n">
        <v>0</v>
      </c>
      <c r="AL492" s="2" t="s">
        <v>1565</v>
      </c>
      <c r="AM492" s="2" t="s">
        <v>1566</v>
      </c>
      <c r="AN492" s="2" t="s">
        <v>1567</v>
      </c>
      <c r="AO492" s="2" t="s">
        <v>6367</v>
      </c>
      <c r="AP492" s="2"/>
      <c r="AQ492" s="2"/>
      <c r="AR492" s="2" t="s">
        <v>6369</v>
      </c>
      <c r="AS492" s="2" t="s">
        <v>6370</v>
      </c>
      <c r="AT492" s="2" t="s">
        <v>692</v>
      </c>
      <c r="AU492" s="2" t="n">
        <v>2007</v>
      </c>
      <c r="AV492" s="2" t="n">
        <v>46</v>
      </c>
      <c r="AW492" s="2" t="n">
        <v>3</v>
      </c>
      <c r="AX492" s="2"/>
      <c r="AY492" s="2"/>
      <c r="AZ492" s="2"/>
      <c r="BA492" s="2"/>
      <c r="BB492" s="2" t="n">
        <v>258</v>
      </c>
      <c r="BC492" s="2" t="n">
        <v>262</v>
      </c>
      <c r="BD492" s="2"/>
      <c r="BE492" s="2" t="s">
        <v>9351</v>
      </c>
      <c r="BF492" s="2" t="str">
        <f aca="false">HYPERLINK("http://dx.doi.org/10.1177/0009922806293896","http://dx.doi.org/10.1177/0009922806293896")</f>
        <v>http://dx.doi.org/10.1177/0009922806293896</v>
      </c>
      <c r="BG492" s="2"/>
      <c r="BH492" s="2"/>
      <c r="BI492" s="2" t="n">
        <v>5</v>
      </c>
      <c r="BJ492" s="2" t="s">
        <v>601</v>
      </c>
      <c r="BK492" s="2" t="s">
        <v>100</v>
      </c>
      <c r="BL492" s="2" t="s">
        <v>601</v>
      </c>
      <c r="BM492" s="2" t="s">
        <v>9352</v>
      </c>
      <c r="BN492" s="2" t="n">
        <v>17416883</v>
      </c>
      <c r="BO492" s="2"/>
      <c r="BP492" s="2"/>
      <c r="BQ492" s="2"/>
      <c r="BR492" s="2" t="s">
        <v>104</v>
      </c>
      <c r="BS492" s="2" t="s">
        <v>9353</v>
      </c>
      <c r="BT492" s="2" t="str">
        <f aca="false">HYPERLINK("https%3A%2F%2Fwww.webofscience.com%2Fwos%2Fwoscc%2Ffull-record%2FWOS:000244992500009","View Full Record in Web of Science")</f>
        <v>View Full Record in Web of Science</v>
      </c>
    </row>
    <row r="493" customFormat="false" ht="12.75" hidden="false" customHeight="false" outlineLevel="0" collapsed="false">
      <c r="A493" s="2" t="s">
        <v>72</v>
      </c>
      <c r="B493" s="2" t="s">
        <v>9354</v>
      </c>
      <c r="C493" s="2"/>
      <c r="D493" s="2"/>
      <c r="E493" s="2"/>
      <c r="F493" s="2" t="s">
        <v>9355</v>
      </c>
      <c r="G493" s="2"/>
      <c r="H493" s="2"/>
      <c r="I493" s="2" t="s">
        <v>9356</v>
      </c>
      <c r="J493" s="2" t="s">
        <v>2547</v>
      </c>
      <c r="K493" s="2"/>
      <c r="L493" s="2"/>
      <c r="M493" s="2" t="s">
        <v>77</v>
      </c>
      <c r="N493" s="2" t="s">
        <v>78</v>
      </c>
      <c r="O493" s="2"/>
      <c r="P493" s="2"/>
      <c r="Q493" s="2"/>
      <c r="R493" s="2"/>
      <c r="S493" s="2"/>
      <c r="T493" s="2" t="s">
        <v>9357</v>
      </c>
      <c r="U493" s="2" t="s">
        <v>9358</v>
      </c>
      <c r="V493" s="2" t="s">
        <v>9359</v>
      </c>
      <c r="W493" s="2" t="s">
        <v>9360</v>
      </c>
      <c r="X493" s="2" t="s">
        <v>9361</v>
      </c>
      <c r="Y493" s="2" t="s">
        <v>9362</v>
      </c>
      <c r="Z493" s="2" t="s">
        <v>9363</v>
      </c>
      <c r="AA493" s="2" t="s">
        <v>9364</v>
      </c>
      <c r="AB493" s="2" t="s">
        <v>9365</v>
      </c>
      <c r="AC493" s="2" t="s">
        <v>9366</v>
      </c>
      <c r="AD493" s="2" t="s">
        <v>9367</v>
      </c>
      <c r="AE493" s="2" t="s">
        <v>9368</v>
      </c>
      <c r="AF493" s="2"/>
      <c r="AG493" s="2" t="n">
        <v>38</v>
      </c>
      <c r="AH493" s="2" t="n">
        <v>32</v>
      </c>
      <c r="AI493" s="2" t="n">
        <v>45</v>
      </c>
      <c r="AJ493" s="2" t="n">
        <v>0</v>
      </c>
      <c r="AK493" s="2" t="n">
        <v>12</v>
      </c>
      <c r="AL493" s="2" t="s">
        <v>782</v>
      </c>
      <c r="AM493" s="2" t="s">
        <v>783</v>
      </c>
      <c r="AN493" s="2" t="s">
        <v>784</v>
      </c>
      <c r="AO493" s="2" t="s">
        <v>2556</v>
      </c>
      <c r="AP493" s="2" t="s">
        <v>2557</v>
      </c>
      <c r="AQ493" s="2"/>
      <c r="AR493" s="2" t="s">
        <v>2547</v>
      </c>
      <c r="AS493" s="2" t="s">
        <v>2558</v>
      </c>
      <c r="AT493" s="2" t="s">
        <v>1879</v>
      </c>
      <c r="AU493" s="2" t="n">
        <v>2013</v>
      </c>
      <c r="AV493" s="2" t="n">
        <v>31</v>
      </c>
      <c r="AW493" s="2" t="n">
        <v>25</v>
      </c>
      <c r="AX493" s="2"/>
      <c r="AY493" s="2"/>
      <c r="AZ493" s="2"/>
      <c r="BA493" s="2"/>
      <c r="BB493" s="2" t="n">
        <v>2778</v>
      </c>
      <c r="BC493" s="2" t="n">
        <v>2785</v>
      </c>
      <c r="BD493" s="2"/>
      <c r="BE493" s="2" t="s">
        <v>9369</v>
      </c>
      <c r="BF493" s="2" t="str">
        <f aca="false">HYPERLINK("http://dx.doi.org/10.1016/j.vaccine.2013.03.051","http://dx.doi.org/10.1016/j.vaccine.2013.03.051")</f>
        <v>http://dx.doi.org/10.1016/j.vaccine.2013.03.051</v>
      </c>
      <c r="BG493" s="2"/>
      <c r="BH493" s="2"/>
      <c r="BI493" s="2" t="n">
        <v>8</v>
      </c>
      <c r="BJ493" s="2" t="s">
        <v>187</v>
      </c>
      <c r="BK493" s="2" t="s">
        <v>100</v>
      </c>
      <c r="BL493" s="2" t="s">
        <v>188</v>
      </c>
      <c r="BM493" s="2" t="s">
        <v>9370</v>
      </c>
      <c r="BN493" s="2" t="n">
        <v>23583815</v>
      </c>
      <c r="BO493" s="2"/>
      <c r="BP493" s="2"/>
      <c r="BQ493" s="2"/>
      <c r="BR493" s="2" t="s">
        <v>104</v>
      </c>
      <c r="BS493" s="2" t="s">
        <v>9371</v>
      </c>
      <c r="BT493" s="2" t="str">
        <f aca="false">HYPERLINK("https%3A%2F%2Fwww.webofscience.com%2Fwos%2Fwoscc%2Ffull-record%2FWOS:000320635100009","View Full Record in Web of Science")</f>
        <v>View Full Record in Web of Science</v>
      </c>
    </row>
    <row r="494" customFormat="false" ht="12.75" hidden="false" customHeight="false" outlineLevel="0" collapsed="false">
      <c r="A494" s="2" t="s">
        <v>72</v>
      </c>
      <c r="B494" s="2" t="s">
        <v>9372</v>
      </c>
      <c r="C494" s="2"/>
      <c r="D494" s="2"/>
      <c r="E494" s="2"/>
      <c r="F494" s="2" t="s">
        <v>9372</v>
      </c>
      <c r="G494" s="2"/>
      <c r="H494" s="2"/>
      <c r="I494" s="2" t="s">
        <v>9373</v>
      </c>
      <c r="J494" s="2" t="s">
        <v>5575</v>
      </c>
      <c r="K494" s="2"/>
      <c r="L494" s="2"/>
      <c r="M494" s="2" t="s">
        <v>77</v>
      </c>
      <c r="N494" s="2" t="s">
        <v>78</v>
      </c>
      <c r="O494" s="2"/>
      <c r="P494" s="2"/>
      <c r="Q494" s="2"/>
      <c r="R494" s="2"/>
      <c r="S494" s="2"/>
      <c r="T494" s="2" t="s">
        <v>9374</v>
      </c>
      <c r="U494" s="2" t="s">
        <v>9375</v>
      </c>
      <c r="V494" s="2" t="s">
        <v>9376</v>
      </c>
      <c r="W494" s="2" t="s">
        <v>9377</v>
      </c>
      <c r="X494" s="2" t="s">
        <v>9378</v>
      </c>
      <c r="Y494" s="2" t="s">
        <v>9379</v>
      </c>
      <c r="Z494" s="2"/>
      <c r="AA494" s="2" t="s">
        <v>6711</v>
      </c>
      <c r="AB494" s="2" t="s">
        <v>9380</v>
      </c>
      <c r="AC494" s="2"/>
      <c r="AD494" s="2"/>
      <c r="AE494" s="2"/>
      <c r="AF494" s="2"/>
      <c r="AG494" s="2" t="n">
        <v>29</v>
      </c>
      <c r="AH494" s="2" t="n">
        <v>194</v>
      </c>
      <c r="AI494" s="2" t="n">
        <v>243</v>
      </c>
      <c r="AJ494" s="2" t="n">
        <v>1</v>
      </c>
      <c r="AK494" s="2" t="n">
        <v>4</v>
      </c>
      <c r="AL494" s="2" t="s">
        <v>5588</v>
      </c>
      <c r="AM494" s="2" t="s">
        <v>5589</v>
      </c>
      <c r="AN494" s="2" t="s">
        <v>5590</v>
      </c>
      <c r="AO494" s="2" t="s">
        <v>5591</v>
      </c>
      <c r="AP494" s="2"/>
      <c r="AQ494" s="2"/>
      <c r="AR494" s="2" t="s">
        <v>5575</v>
      </c>
      <c r="AS494" s="2" t="s">
        <v>163</v>
      </c>
      <c r="AT494" s="2" t="s">
        <v>1147</v>
      </c>
      <c r="AU494" s="2" t="n">
        <v>2003</v>
      </c>
      <c r="AV494" s="2" t="n">
        <v>315</v>
      </c>
      <c r="AW494" s="2" t="n">
        <v>1</v>
      </c>
      <c r="AX494" s="2"/>
      <c r="AY494" s="2"/>
      <c r="AZ494" s="2"/>
      <c r="BA494" s="2"/>
      <c r="BB494" s="2" t="n">
        <v>1</v>
      </c>
      <c r="BC494" s="2" t="n">
        <v>9</v>
      </c>
      <c r="BD494" s="2"/>
      <c r="BE494" s="2" t="s">
        <v>9381</v>
      </c>
      <c r="BF494" s="2" t="str">
        <f aca="false">HYPERLINK("http://dx.doi.org/10.1016/S0042-6822(03)00528-2","http://dx.doi.org/10.1016/S0042-6822(03)00528-2")</f>
        <v>http://dx.doi.org/10.1016/S0042-6822(03)00528-2</v>
      </c>
      <c r="BG494" s="2"/>
      <c r="BH494" s="2"/>
      <c r="BI494" s="2" t="n">
        <v>9</v>
      </c>
      <c r="BJ494" s="2" t="s">
        <v>163</v>
      </c>
      <c r="BK494" s="2" t="s">
        <v>100</v>
      </c>
      <c r="BL494" s="2" t="s">
        <v>163</v>
      </c>
      <c r="BM494" s="2" t="s">
        <v>9382</v>
      </c>
      <c r="BN494" s="2" t="n">
        <v>14592754</v>
      </c>
      <c r="BO494" s="2"/>
      <c r="BP494" s="2"/>
      <c r="BQ494" s="2"/>
      <c r="BR494" s="2" t="s">
        <v>104</v>
      </c>
      <c r="BS494" s="2" t="s">
        <v>9383</v>
      </c>
      <c r="BT494" s="2" t="str">
        <f aca="false">HYPERLINK("https%3A%2F%2Fwww.webofscience.com%2Fwos%2Fwoscc%2Ffull-record%2FWOS:000186373700001","View Full Record in Web of Science")</f>
        <v>View Full Record in Web of Science</v>
      </c>
    </row>
    <row r="495" customFormat="false" ht="12.75" hidden="false" customHeight="false" outlineLevel="0" collapsed="false">
      <c r="A495" s="2" t="s">
        <v>72</v>
      </c>
      <c r="B495" s="2" t="s">
        <v>9384</v>
      </c>
      <c r="C495" s="2"/>
      <c r="D495" s="2"/>
      <c r="E495" s="2"/>
      <c r="F495" s="2" t="s">
        <v>9385</v>
      </c>
      <c r="G495" s="2"/>
      <c r="H495" s="2"/>
      <c r="I495" s="2" t="s">
        <v>9386</v>
      </c>
      <c r="J495" s="2" t="s">
        <v>5575</v>
      </c>
      <c r="K495" s="2"/>
      <c r="L495" s="2"/>
      <c r="M495" s="2" t="s">
        <v>77</v>
      </c>
      <c r="N495" s="2" t="s">
        <v>78</v>
      </c>
      <c r="O495" s="2"/>
      <c r="P495" s="2"/>
      <c r="Q495" s="2"/>
      <c r="R495" s="2"/>
      <c r="S495" s="2"/>
      <c r="T495" s="2" t="s">
        <v>9387</v>
      </c>
      <c r="U495" s="2" t="s">
        <v>9388</v>
      </c>
      <c r="V495" s="2" t="s">
        <v>9389</v>
      </c>
      <c r="W495" s="2" t="s">
        <v>9390</v>
      </c>
      <c r="X495" s="2" t="s">
        <v>9391</v>
      </c>
      <c r="Y495" s="2" t="s">
        <v>9392</v>
      </c>
      <c r="Z495" s="2" t="s">
        <v>5518</v>
      </c>
      <c r="AA495" s="2" t="s">
        <v>9393</v>
      </c>
      <c r="AB495" s="2" t="s">
        <v>4435</v>
      </c>
      <c r="AC495" s="2" t="s">
        <v>9394</v>
      </c>
      <c r="AD495" s="2" t="s">
        <v>9395</v>
      </c>
      <c r="AE495" s="2" t="s">
        <v>9396</v>
      </c>
      <c r="AF495" s="2"/>
      <c r="AG495" s="2" t="n">
        <v>40</v>
      </c>
      <c r="AH495" s="2" t="n">
        <v>8</v>
      </c>
      <c r="AI495" s="2" t="n">
        <v>14</v>
      </c>
      <c r="AJ495" s="2" t="n">
        <v>0</v>
      </c>
      <c r="AK495" s="2" t="n">
        <v>4</v>
      </c>
      <c r="AL495" s="2" t="s">
        <v>5588</v>
      </c>
      <c r="AM495" s="2" t="s">
        <v>5589</v>
      </c>
      <c r="AN495" s="2" t="s">
        <v>5590</v>
      </c>
      <c r="AO495" s="2" t="s">
        <v>5591</v>
      </c>
      <c r="AP495" s="2"/>
      <c r="AQ495" s="2"/>
      <c r="AR495" s="2" t="s">
        <v>5575</v>
      </c>
      <c r="AS495" s="2" t="s">
        <v>163</v>
      </c>
      <c r="AT495" s="2" t="s">
        <v>129</v>
      </c>
      <c r="AU495" s="2" t="n">
        <v>2017</v>
      </c>
      <c r="AV495" s="2" t="n">
        <v>509</v>
      </c>
      <c r="AW495" s="2"/>
      <c r="AX495" s="2"/>
      <c r="AY495" s="2"/>
      <c r="AZ495" s="2"/>
      <c r="BA495" s="2"/>
      <c r="BB495" s="2" t="n">
        <v>60</v>
      </c>
      <c r="BC495" s="2" t="n">
        <v>66</v>
      </c>
      <c r="BD495" s="2"/>
      <c r="BE495" s="2" t="s">
        <v>9397</v>
      </c>
      <c r="BF495" s="2" t="str">
        <f aca="false">HYPERLINK("http://dx.doi.org/10.1016/j.virol.2017.05.021","http://dx.doi.org/10.1016/j.virol.2017.05.021")</f>
        <v>http://dx.doi.org/10.1016/j.virol.2017.05.021</v>
      </c>
      <c r="BG495" s="2"/>
      <c r="BH495" s="2"/>
      <c r="BI495" s="2" t="n">
        <v>7</v>
      </c>
      <c r="BJ495" s="2" t="s">
        <v>163</v>
      </c>
      <c r="BK495" s="2" t="s">
        <v>100</v>
      </c>
      <c r="BL495" s="2" t="s">
        <v>163</v>
      </c>
      <c r="BM495" s="2" t="s">
        <v>9398</v>
      </c>
      <c r="BN495" s="2" t="n">
        <v>28605636</v>
      </c>
      <c r="BO495" s="2" t="s">
        <v>695</v>
      </c>
      <c r="BP495" s="2"/>
      <c r="BQ495" s="2"/>
      <c r="BR495" s="2" t="s">
        <v>104</v>
      </c>
      <c r="BS495" s="2" t="s">
        <v>9399</v>
      </c>
      <c r="BT495" s="2" t="str">
        <f aca="false">HYPERLINK("https%3A%2F%2Fwww.webofscience.com%2Fwos%2Fwoscc%2Ffull-record%2FWOS:000406572500007","View Full Record in Web of Science")</f>
        <v>View Full Record in Web of Science</v>
      </c>
    </row>
    <row r="496" customFormat="false" ht="12.75" hidden="false" customHeight="false" outlineLevel="0" collapsed="false">
      <c r="A496" s="2" t="s">
        <v>72</v>
      </c>
      <c r="B496" s="2" t="s">
        <v>9400</v>
      </c>
      <c r="C496" s="2"/>
      <c r="D496" s="2"/>
      <c r="E496" s="2"/>
      <c r="F496" s="2" t="s">
        <v>9401</v>
      </c>
      <c r="G496" s="2"/>
      <c r="H496" s="2"/>
      <c r="I496" s="2" t="s">
        <v>9402</v>
      </c>
      <c r="J496" s="2" t="s">
        <v>581</v>
      </c>
      <c r="K496" s="2"/>
      <c r="L496" s="2"/>
      <c r="M496" s="2" t="s">
        <v>77</v>
      </c>
      <c r="N496" s="2" t="s">
        <v>78</v>
      </c>
      <c r="O496" s="2"/>
      <c r="P496" s="2"/>
      <c r="Q496" s="2"/>
      <c r="R496" s="2"/>
      <c r="S496" s="2"/>
      <c r="T496" s="2" t="s">
        <v>9403</v>
      </c>
      <c r="U496" s="2" t="s">
        <v>9404</v>
      </c>
      <c r="V496" s="2" t="s">
        <v>9405</v>
      </c>
      <c r="W496" s="2" t="s">
        <v>9406</v>
      </c>
      <c r="X496" s="2" t="s">
        <v>9407</v>
      </c>
      <c r="Y496" s="2" t="s">
        <v>9408</v>
      </c>
      <c r="Z496" s="2" t="s">
        <v>9409</v>
      </c>
      <c r="AA496" s="2"/>
      <c r="AB496" s="2" t="s">
        <v>9410</v>
      </c>
      <c r="AC496" s="2" t="s">
        <v>9411</v>
      </c>
      <c r="AD496" s="2" t="s">
        <v>9411</v>
      </c>
      <c r="AE496" s="2" t="s">
        <v>9412</v>
      </c>
      <c r="AF496" s="2"/>
      <c r="AG496" s="2" t="n">
        <v>43</v>
      </c>
      <c r="AH496" s="2" t="n">
        <v>48</v>
      </c>
      <c r="AI496" s="2" t="n">
        <v>51</v>
      </c>
      <c r="AJ496" s="2" t="n">
        <v>0</v>
      </c>
      <c r="AK496" s="2" t="n">
        <v>2</v>
      </c>
      <c r="AL496" s="2" t="s">
        <v>592</v>
      </c>
      <c r="AM496" s="2" t="s">
        <v>593</v>
      </c>
      <c r="AN496" s="2" t="s">
        <v>594</v>
      </c>
      <c r="AO496" s="2" t="s">
        <v>595</v>
      </c>
      <c r="AP496" s="2" t="s">
        <v>596</v>
      </c>
      <c r="AQ496" s="2"/>
      <c r="AR496" s="2" t="s">
        <v>597</v>
      </c>
      <c r="AS496" s="2" t="s">
        <v>598</v>
      </c>
      <c r="AT496" s="2" t="s">
        <v>336</v>
      </c>
      <c r="AU496" s="2" t="n">
        <v>2008</v>
      </c>
      <c r="AV496" s="2" t="n">
        <v>167</v>
      </c>
      <c r="AW496" s="2" t="n">
        <v>10</v>
      </c>
      <c r="AX496" s="2"/>
      <c r="AY496" s="2"/>
      <c r="AZ496" s="2"/>
      <c r="BA496" s="2"/>
      <c r="BB496" s="2" t="n">
        <v>1125</v>
      </c>
      <c r="BC496" s="2" t="n">
        <v>1133</v>
      </c>
      <c r="BD496" s="2"/>
      <c r="BE496" s="2" t="s">
        <v>9413</v>
      </c>
      <c r="BF496" s="2" t="str">
        <f aca="false">HYPERLINK("http://dx.doi.org/10.1007/s00431-007-0643-4","http://dx.doi.org/10.1007/s00431-007-0643-4")</f>
        <v>http://dx.doi.org/10.1007/s00431-007-0643-4</v>
      </c>
      <c r="BG496" s="2"/>
      <c r="BH496" s="2"/>
      <c r="BI496" s="2" t="n">
        <v>9</v>
      </c>
      <c r="BJ496" s="2" t="s">
        <v>601</v>
      </c>
      <c r="BK496" s="2" t="s">
        <v>100</v>
      </c>
      <c r="BL496" s="2" t="s">
        <v>601</v>
      </c>
      <c r="BM496" s="2" t="s">
        <v>9414</v>
      </c>
      <c r="BN496" s="2" t="n">
        <v>18172683</v>
      </c>
      <c r="BO496" s="2" t="s">
        <v>1267</v>
      </c>
      <c r="BP496" s="2"/>
      <c r="BQ496" s="2"/>
      <c r="BR496" s="2" t="s">
        <v>104</v>
      </c>
      <c r="BS496" s="2" t="s">
        <v>9415</v>
      </c>
      <c r="BT496" s="2" t="str">
        <f aca="false">HYPERLINK("https%3A%2F%2Fwww.webofscience.com%2Fwos%2Fwoscc%2Ffull-record%2FWOS:000258609400005","View Full Record in Web of Science")</f>
        <v>View Full Record in Web of Science</v>
      </c>
    </row>
    <row r="497" customFormat="false" ht="12.75" hidden="false" customHeight="false" outlineLevel="0" collapsed="false">
      <c r="A497" s="2" t="s">
        <v>72</v>
      </c>
      <c r="B497" s="2" t="s">
        <v>9416</v>
      </c>
      <c r="C497" s="2"/>
      <c r="D497" s="2"/>
      <c r="E497" s="2"/>
      <c r="F497" s="2" t="s">
        <v>9417</v>
      </c>
      <c r="G497" s="2"/>
      <c r="H497" s="2"/>
      <c r="I497" s="2" t="s">
        <v>9418</v>
      </c>
      <c r="J497" s="2" t="s">
        <v>9419</v>
      </c>
      <c r="K497" s="2"/>
      <c r="L497" s="2"/>
      <c r="M497" s="2" t="s">
        <v>77</v>
      </c>
      <c r="N497" s="2" t="s">
        <v>78</v>
      </c>
      <c r="O497" s="2"/>
      <c r="P497" s="2"/>
      <c r="Q497" s="2"/>
      <c r="R497" s="2"/>
      <c r="S497" s="2"/>
      <c r="T497" s="2" t="s">
        <v>9420</v>
      </c>
      <c r="U497" s="2"/>
      <c r="V497" s="2" t="s">
        <v>9421</v>
      </c>
      <c r="W497" s="2" t="s">
        <v>9422</v>
      </c>
      <c r="X497" s="2" t="s">
        <v>9423</v>
      </c>
      <c r="Y497" s="2" t="s">
        <v>9424</v>
      </c>
      <c r="Z497" s="2" t="s">
        <v>9425</v>
      </c>
      <c r="AA497" s="2" t="s">
        <v>9426</v>
      </c>
      <c r="AB497" s="2" t="s">
        <v>9427</v>
      </c>
      <c r="AC497" s="2"/>
      <c r="AD497" s="2"/>
      <c r="AE497" s="2"/>
      <c r="AF497" s="2"/>
      <c r="AG497" s="2" t="n">
        <v>18</v>
      </c>
      <c r="AH497" s="2" t="n">
        <v>0</v>
      </c>
      <c r="AI497" s="2" t="n">
        <v>0</v>
      </c>
      <c r="AJ497" s="2" t="n">
        <v>0</v>
      </c>
      <c r="AK497" s="2" t="n">
        <v>2</v>
      </c>
      <c r="AL497" s="2" t="s">
        <v>2788</v>
      </c>
      <c r="AM497" s="2" t="s">
        <v>2789</v>
      </c>
      <c r="AN497" s="2" t="s">
        <v>2790</v>
      </c>
      <c r="AO497" s="2" t="s">
        <v>9428</v>
      </c>
      <c r="AP497" s="2" t="s">
        <v>9429</v>
      </c>
      <c r="AQ497" s="2"/>
      <c r="AR497" s="2" t="s">
        <v>9430</v>
      </c>
      <c r="AS497" s="2" t="s">
        <v>9431</v>
      </c>
      <c r="AT497" s="2" t="s">
        <v>9432</v>
      </c>
      <c r="AU497" s="2" t="n">
        <v>2021</v>
      </c>
      <c r="AV497" s="2" t="n">
        <v>41</v>
      </c>
      <c r="AW497" s="2" t="n">
        <v>2</v>
      </c>
      <c r="AX497" s="2"/>
      <c r="AY497" s="2"/>
      <c r="AZ497" s="2"/>
      <c r="BA497" s="2"/>
      <c r="BB497" s="2" t="n">
        <v>166</v>
      </c>
      <c r="BC497" s="2" t="n">
        <v>169</v>
      </c>
      <c r="BD497" s="2"/>
      <c r="BE497" s="2" t="s">
        <v>9433</v>
      </c>
      <c r="BF497" s="2" t="str">
        <f aca="false">HYPERLINK("http://dx.doi.org/10.1080/20469047.2020.1814567","http://dx.doi.org/10.1080/20469047.2020.1814567")</f>
        <v>http://dx.doi.org/10.1080/20469047.2020.1814567</v>
      </c>
      <c r="BG497" s="2"/>
      <c r="BH497" s="2" t="s">
        <v>9434</v>
      </c>
      <c r="BI497" s="2" t="n">
        <v>4</v>
      </c>
      <c r="BJ497" s="2" t="s">
        <v>601</v>
      </c>
      <c r="BK497" s="2" t="s">
        <v>100</v>
      </c>
      <c r="BL497" s="2" t="s">
        <v>601</v>
      </c>
      <c r="BM497" s="2" t="s">
        <v>9435</v>
      </c>
      <c r="BN497" s="2" t="n">
        <v>32909927</v>
      </c>
      <c r="BO497" s="2"/>
      <c r="BP497" s="2"/>
      <c r="BQ497" s="2"/>
      <c r="BR497" s="2" t="s">
        <v>104</v>
      </c>
      <c r="BS497" s="2" t="s">
        <v>9436</v>
      </c>
      <c r="BT497" s="2" t="str">
        <f aca="false">HYPERLINK("https%3A%2F%2Fwww.webofscience.com%2Fwos%2Fwoscc%2Ffull-record%2FWOS:000567967900001","View Full Record in Web of Science")</f>
        <v>View Full Record in Web of Science</v>
      </c>
    </row>
    <row r="498" customFormat="false" ht="12.75" hidden="false" customHeight="false" outlineLevel="0" collapsed="false">
      <c r="A498" s="2" t="s">
        <v>72</v>
      </c>
      <c r="B498" s="2" t="s">
        <v>9437</v>
      </c>
      <c r="C498" s="2"/>
      <c r="D498" s="2"/>
      <c r="E498" s="2"/>
      <c r="F498" s="2" t="s">
        <v>9438</v>
      </c>
      <c r="G498" s="2"/>
      <c r="H498" s="2"/>
      <c r="I498" s="2" t="s">
        <v>9439</v>
      </c>
      <c r="J498" s="2" t="s">
        <v>3545</v>
      </c>
      <c r="K498" s="2"/>
      <c r="L498" s="2"/>
      <c r="M498" s="2" t="s">
        <v>77</v>
      </c>
      <c r="N498" s="2" t="s">
        <v>78</v>
      </c>
      <c r="O498" s="2"/>
      <c r="P498" s="2"/>
      <c r="Q498" s="2"/>
      <c r="R498" s="2"/>
      <c r="S498" s="2"/>
      <c r="T498" s="2" t="s">
        <v>9440</v>
      </c>
      <c r="U498" s="2" t="s">
        <v>9441</v>
      </c>
      <c r="V498" s="2" t="s">
        <v>9442</v>
      </c>
      <c r="W498" s="2" t="s">
        <v>9443</v>
      </c>
      <c r="X498" s="2" t="s">
        <v>9444</v>
      </c>
      <c r="Y498" s="2" t="s">
        <v>9445</v>
      </c>
      <c r="Z498" s="2" t="s">
        <v>9446</v>
      </c>
      <c r="AA498" s="2" t="s">
        <v>9447</v>
      </c>
      <c r="AB498" s="2" t="s">
        <v>9448</v>
      </c>
      <c r="AC498" s="2" t="s">
        <v>9449</v>
      </c>
      <c r="AD498" s="2" t="s">
        <v>9449</v>
      </c>
      <c r="AE498" s="2" t="s">
        <v>9450</v>
      </c>
      <c r="AF498" s="2"/>
      <c r="AG498" s="2" t="n">
        <v>30</v>
      </c>
      <c r="AH498" s="2" t="n">
        <v>51</v>
      </c>
      <c r="AI498" s="2" t="n">
        <v>54</v>
      </c>
      <c r="AJ498" s="2" t="n">
        <v>2</v>
      </c>
      <c r="AK498" s="2" t="n">
        <v>2</v>
      </c>
      <c r="AL498" s="2" t="s">
        <v>3557</v>
      </c>
      <c r="AM498" s="2" t="s">
        <v>330</v>
      </c>
      <c r="AN498" s="2" t="s">
        <v>9451</v>
      </c>
      <c r="AO498" s="2" t="s">
        <v>3559</v>
      </c>
      <c r="AP498" s="2" t="s">
        <v>3560</v>
      </c>
      <c r="AQ498" s="2"/>
      <c r="AR498" s="2" t="s">
        <v>3561</v>
      </c>
      <c r="AS498" s="2" t="s">
        <v>3562</v>
      </c>
      <c r="AT498" s="2" t="s">
        <v>97</v>
      </c>
      <c r="AU498" s="2" t="n">
        <v>2010</v>
      </c>
      <c r="AV498" s="2" t="n">
        <v>25</v>
      </c>
      <c r="AW498" s="2" t="n">
        <v>3</v>
      </c>
      <c r="AX498" s="2"/>
      <c r="AY498" s="2"/>
      <c r="AZ498" s="2"/>
      <c r="BA498" s="2"/>
      <c r="BB498" s="2" t="n">
        <v>342</v>
      </c>
      <c r="BC498" s="2" t="n">
        <v>347</v>
      </c>
      <c r="BD498" s="2"/>
      <c r="BE498" s="2" t="s">
        <v>9452</v>
      </c>
      <c r="BF498" s="2" t="str">
        <f aca="false">HYPERLINK("http://dx.doi.org/10.3346/jkms.2010.25.3.342","http://dx.doi.org/10.3346/jkms.2010.25.3.342")</f>
        <v>http://dx.doi.org/10.3346/jkms.2010.25.3.342</v>
      </c>
      <c r="BG498" s="2"/>
      <c r="BH498" s="2"/>
      <c r="BI498" s="2" t="n">
        <v>6</v>
      </c>
      <c r="BJ498" s="2" t="s">
        <v>363</v>
      </c>
      <c r="BK498" s="2" t="s">
        <v>100</v>
      </c>
      <c r="BL498" s="2" t="s">
        <v>364</v>
      </c>
      <c r="BM498" s="2" t="s">
        <v>9453</v>
      </c>
      <c r="BN498" s="2" t="n">
        <v>20191030</v>
      </c>
      <c r="BO498" s="2" t="s">
        <v>2582</v>
      </c>
      <c r="BP498" s="2"/>
      <c r="BQ498" s="2"/>
      <c r="BR498" s="2" t="s">
        <v>104</v>
      </c>
      <c r="BS498" s="2" t="s">
        <v>9454</v>
      </c>
      <c r="BT498" s="2" t="str">
        <f aca="false">HYPERLINK("https%3A%2F%2Fwww.webofscience.com%2Fwos%2Fwoscc%2Ffull-record%2FWOS:000275145400002","View Full Record in Web of Science")</f>
        <v>View Full Record in Web of Science</v>
      </c>
    </row>
    <row r="499" customFormat="false" ht="12.75" hidden="false" customHeight="false" outlineLevel="0" collapsed="false">
      <c r="A499" s="2" t="s">
        <v>72</v>
      </c>
      <c r="B499" s="2" t="s">
        <v>9455</v>
      </c>
      <c r="C499" s="2"/>
      <c r="D499" s="2"/>
      <c r="E499" s="2"/>
      <c r="F499" s="2" t="s">
        <v>9456</v>
      </c>
      <c r="G499" s="2"/>
      <c r="H499" s="2"/>
      <c r="I499" s="2" t="s">
        <v>9457</v>
      </c>
      <c r="J499" s="2" t="s">
        <v>3780</v>
      </c>
      <c r="K499" s="2"/>
      <c r="L499" s="2"/>
      <c r="M499" s="2" t="s">
        <v>77</v>
      </c>
      <c r="N499" s="2" t="s">
        <v>78</v>
      </c>
      <c r="O499" s="2"/>
      <c r="P499" s="2"/>
      <c r="Q499" s="2"/>
      <c r="R499" s="2"/>
      <c r="S499" s="2"/>
      <c r="T499" s="2" t="s">
        <v>9458</v>
      </c>
      <c r="U499" s="2" t="s">
        <v>9459</v>
      </c>
      <c r="V499" s="2" t="s">
        <v>9460</v>
      </c>
      <c r="W499" s="2" t="s">
        <v>9461</v>
      </c>
      <c r="X499" s="2" t="s">
        <v>9462</v>
      </c>
      <c r="Y499" s="2" t="s">
        <v>9463</v>
      </c>
      <c r="Z499" s="2" t="s">
        <v>9464</v>
      </c>
      <c r="AA499" s="2" t="s">
        <v>9465</v>
      </c>
      <c r="AB499" s="2"/>
      <c r="AC499" s="2" t="s">
        <v>9466</v>
      </c>
      <c r="AD499" s="2" t="s">
        <v>9467</v>
      </c>
      <c r="AE499" s="2" t="s">
        <v>9468</v>
      </c>
      <c r="AF499" s="2"/>
      <c r="AG499" s="2" t="n">
        <v>24</v>
      </c>
      <c r="AH499" s="2" t="n">
        <v>8</v>
      </c>
      <c r="AI499" s="2" t="n">
        <v>9</v>
      </c>
      <c r="AJ499" s="2" t="n">
        <v>1</v>
      </c>
      <c r="AK499" s="2" t="n">
        <v>8</v>
      </c>
      <c r="AL499" s="2" t="s">
        <v>122</v>
      </c>
      <c r="AM499" s="2" t="s">
        <v>123</v>
      </c>
      <c r="AN499" s="2" t="s">
        <v>124</v>
      </c>
      <c r="AO499" s="2" t="s">
        <v>3795</v>
      </c>
      <c r="AP499" s="2" t="s">
        <v>9469</v>
      </c>
      <c r="AQ499" s="2"/>
      <c r="AR499" s="2" t="s">
        <v>3796</v>
      </c>
      <c r="AS499" s="2" t="s">
        <v>3797</v>
      </c>
      <c r="AT499" s="2" t="s">
        <v>3798</v>
      </c>
      <c r="AU499" s="2" t="n">
        <v>2008</v>
      </c>
      <c r="AV499" s="2" t="n">
        <v>121</v>
      </c>
      <c r="AW499" s="2" t="n">
        <v>21</v>
      </c>
      <c r="AX499" s="2"/>
      <c r="AY499" s="2"/>
      <c r="AZ499" s="2"/>
      <c r="BA499" s="2"/>
      <c r="BB499" s="2" t="n">
        <v>2162</v>
      </c>
      <c r="BC499" s="2" t="n">
        <v>2166</v>
      </c>
      <c r="BD499" s="2"/>
      <c r="BE499" s="2" t="s">
        <v>9470</v>
      </c>
      <c r="BF499" s="2" t="str">
        <f aca="false">HYPERLINK("http://dx.doi.org/10.1097/00029330-200811010-00011","http://dx.doi.org/10.1097/00029330-200811010-00011")</f>
        <v>http://dx.doi.org/10.1097/00029330-200811010-00011</v>
      </c>
      <c r="BG499" s="2"/>
      <c r="BH499" s="2"/>
      <c r="BI499" s="2" t="n">
        <v>5</v>
      </c>
      <c r="BJ499" s="2" t="s">
        <v>363</v>
      </c>
      <c r="BK499" s="2" t="s">
        <v>100</v>
      </c>
      <c r="BL499" s="2" t="s">
        <v>364</v>
      </c>
      <c r="BM499" s="2" t="s">
        <v>9471</v>
      </c>
      <c r="BN499" s="2" t="n">
        <v>19080178</v>
      </c>
      <c r="BO499" s="2" t="s">
        <v>1355</v>
      </c>
      <c r="BP499" s="2"/>
      <c r="BQ499" s="2"/>
      <c r="BR499" s="2" t="s">
        <v>104</v>
      </c>
      <c r="BS499" s="2" t="s">
        <v>9472</v>
      </c>
      <c r="BT499" s="2" t="str">
        <f aca="false">HYPERLINK("https%3A%2F%2Fwww.webofscience.com%2Fwos%2Fwoscc%2Ffull-record%2FWOS:000260919400011","View Full Record in Web of Science")</f>
        <v>View Full Record in Web of Science</v>
      </c>
    </row>
    <row r="500" customFormat="false" ht="12.75" hidden="false" customHeight="false" outlineLevel="0" collapsed="false">
      <c r="A500" s="2" t="s">
        <v>72</v>
      </c>
      <c r="B500" s="2" t="s">
        <v>9473</v>
      </c>
      <c r="C500" s="2"/>
      <c r="D500" s="2"/>
      <c r="E500" s="2"/>
      <c r="F500" s="2" t="s">
        <v>9474</v>
      </c>
      <c r="G500" s="2"/>
      <c r="H500" s="2"/>
      <c r="I500" s="2" t="s">
        <v>9475</v>
      </c>
      <c r="J500" s="2" t="s">
        <v>3304</v>
      </c>
      <c r="K500" s="2"/>
      <c r="L500" s="2"/>
      <c r="M500" s="2" t="s">
        <v>77</v>
      </c>
      <c r="N500" s="2" t="s">
        <v>78</v>
      </c>
      <c r="O500" s="2"/>
      <c r="P500" s="2"/>
      <c r="Q500" s="2"/>
      <c r="R500" s="2"/>
      <c r="S500" s="2"/>
      <c r="T500" s="2" t="s">
        <v>9476</v>
      </c>
      <c r="U500" s="2" t="s">
        <v>9477</v>
      </c>
      <c r="V500" s="2" t="s">
        <v>9478</v>
      </c>
      <c r="W500" s="2" t="s">
        <v>9479</v>
      </c>
      <c r="X500" s="2" t="s">
        <v>9480</v>
      </c>
      <c r="Y500" s="2" t="s">
        <v>9481</v>
      </c>
      <c r="Z500" s="2" t="s">
        <v>9482</v>
      </c>
      <c r="AA500" s="2"/>
      <c r="AB500" s="2"/>
      <c r="AC500" s="2"/>
      <c r="AD500" s="2"/>
      <c r="AE500" s="2"/>
      <c r="AF500" s="2"/>
      <c r="AG500" s="2" t="n">
        <v>105</v>
      </c>
      <c r="AH500" s="2" t="n">
        <v>22</v>
      </c>
      <c r="AI500" s="2" t="n">
        <v>24</v>
      </c>
      <c r="AJ500" s="2" t="n">
        <v>1</v>
      </c>
      <c r="AK500" s="2" t="n">
        <v>12</v>
      </c>
      <c r="AL500" s="2" t="s">
        <v>957</v>
      </c>
      <c r="AM500" s="2" t="s">
        <v>123</v>
      </c>
      <c r="AN500" s="2" t="s">
        <v>958</v>
      </c>
      <c r="AO500" s="2" t="s">
        <v>3312</v>
      </c>
      <c r="AP500" s="2" t="s">
        <v>3313</v>
      </c>
      <c r="AQ500" s="2"/>
      <c r="AR500" s="2" t="s">
        <v>3314</v>
      </c>
      <c r="AS500" s="2" t="s">
        <v>3315</v>
      </c>
      <c r="AT500" s="2" t="s">
        <v>97</v>
      </c>
      <c r="AU500" s="2" t="n">
        <v>2010</v>
      </c>
      <c r="AV500" s="2" t="n">
        <v>30</v>
      </c>
      <c r="AW500" s="2" t="n">
        <v>1</v>
      </c>
      <c r="AX500" s="2"/>
      <c r="AY500" s="2"/>
      <c r="AZ500" s="2"/>
      <c r="BA500" s="2"/>
      <c r="BB500" s="2" t="n">
        <v>131</v>
      </c>
      <c r="BC500" s="2" t="s">
        <v>986</v>
      </c>
      <c r="BD500" s="2"/>
      <c r="BE500" s="2" t="s">
        <v>9483</v>
      </c>
      <c r="BF500" s="2" t="str">
        <f aca="false">HYPERLINK("http://dx.doi.org/10.1016/j.cll.2009.10.002","http://dx.doi.org/10.1016/j.cll.2009.10.002")</f>
        <v>http://dx.doi.org/10.1016/j.cll.2009.10.002</v>
      </c>
      <c r="BG500" s="2"/>
      <c r="BH500" s="2"/>
      <c r="BI500" s="2" t="n">
        <v>19</v>
      </c>
      <c r="BJ500" s="2" t="s">
        <v>3122</v>
      </c>
      <c r="BK500" s="2" t="s">
        <v>100</v>
      </c>
      <c r="BL500" s="2" t="s">
        <v>3122</v>
      </c>
      <c r="BM500" s="2" t="s">
        <v>9484</v>
      </c>
      <c r="BN500" s="2" t="n">
        <v>20513544</v>
      </c>
      <c r="BO500" s="2" t="s">
        <v>165</v>
      </c>
      <c r="BP500" s="2"/>
      <c r="BQ500" s="2"/>
      <c r="BR500" s="2" t="s">
        <v>104</v>
      </c>
      <c r="BS500" s="2" t="s">
        <v>9485</v>
      </c>
      <c r="BT500" s="2" t="str">
        <f aca="false">HYPERLINK("https%3A%2F%2Fwww.webofscience.com%2Fwos%2Fwoscc%2Ffull-record%2FWOS:000279358200006","View Full Record in Web of Science")</f>
        <v>View Full Record in Web of Science</v>
      </c>
    </row>
    <row r="501" customFormat="false" ht="12.75" hidden="false" customHeight="false" outlineLevel="0" collapsed="false">
      <c r="A501" s="2" t="s">
        <v>72</v>
      </c>
      <c r="B501" s="2" t="s">
        <v>9486</v>
      </c>
      <c r="C501" s="2"/>
      <c r="D501" s="2"/>
      <c r="E501" s="2"/>
      <c r="F501" s="2" t="s">
        <v>9487</v>
      </c>
      <c r="G501" s="2"/>
      <c r="H501" s="2"/>
      <c r="I501" s="2" t="s">
        <v>9488</v>
      </c>
      <c r="J501" s="2" t="s">
        <v>1290</v>
      </c>
      <c r="K501" s="2"/>
      <c r="L501" s="2"/>
      <c r="M501" s="2" t="s">
        <v>77</v>
      </c>
      <c r="N501" s="2" t="s">
        <v>78</v>
      </c>
      <c r="O501" s="2"/>
      <c r="P501" s="2"/>
      <c r="Q501" s="2"/>
      <c r="R501" s="2"/>
      <c r="S501" s="2"/>
      <c r="T501" s="2" t="s">
        <v>9489</v>
      </c>
      <c r="U501" s="2" t="s">
        <v>9490</v>
      </c>
      <c r="V501" s="2" t="s">
        <v>9491</v>
      </c>
      <c r="W501" s="2" t="s">
        <v>9492</v>
      </c>
      <c r="X501" s="2" t="s">
        <v>3027</v>
      </c>
      <c r="Y501" s="2" t="s">
        <v>9493</v>
      </c>
      <c r="Z501" s="2" t="s">
        <v>3029</v>
      </c>
      <c r="AA501" s="2" t="s">
        <v>9062</v>
      </c>
      <c r="AB501" s="2" t="s">
        <v>9494</v>
      </c>
      <c r="AC501" s="2"/>
      <c r="AD501" s="2"/>
      <c r="AE501" s="2"/>
      <c r="AF501" s="2"/>
      <c r="AG501" s="2" t="n">
        <v>38</v>
      </c>
      <c r="AH501" s="2" t="n">
        <v>82</v>
      </c>
      <c r="AI501" s="2" t="n">
        <v>87</v>
      </c>
      <c r="AJ501" s="2" t="n">
        <v>0</v>
      </c>
      <c r="AK501" s="2" t="n">
        <v>1</v>
      </c>
      <c r="AL501" s="2" t="s">
        <v>154</v>
      </c>
      <c r="AM501" s="2" t="s">
        <v>155</v>
      </c>
      <c r="AN501" s="2" t="s">
        <v>156</v>
      </c>
      <c r="AO501" s="2" t="s">
        <v>1302</v>
      </c>
      <c r="AP501" s="2" t="s">
        <v>1303</v>
      </c>
      <c r="AQ501" s="2"/>
      <c r="AR501" s="2" t="s">
        <v>1304</v>
      </c>
      <c r="AS501" s="2" t="s">
        <v>1305</v>
      </c>
      <c r="AT501" s="2" t="s">
        <v>129</v>
      </c>
      <c r="AU501" s="2" t="n">
        <v>2006</v>
      </c>
      <c r="AV501" s="2" t="n">
        <v>41</v>
      </c>
      <c r="AW501" s="2" t="n">
        <v>9</v>
      </c>
      <c r="AX501" s="2"/>
      <c r="AY501" s="2"/>
      <c r="AZ501" s="2"/>
      <c r="BA501" s="2"/>
      <c r="BB501" s="2" t="n">
        <v>863</v>
      </c>
      <c r="BC501" s="2" t="n">
        <v>871</v>
      </c>
      <c r="BD501" s="2"/>
      <c r="BE501" s="2" t="s">
        <v>9495</v>
      </c>
      <c r="BF501" s="2" t="str">
        <f aca="false">HYPERLINK("http://dx.doi.org/10.1002/ppul.20456","http://dx.doi.org/10.1002/ppul.20456")</f>
        <v>http://dx.doi.org/10.1002/ppul.20456</v>
      </c>
      <c r="BG501" s="2"/>
      <c r="BH501" s="2"/>
      <c r="BI501" s="2" t="n">
        <v>9</v>
      </c>
      <c r="BJ501" s="2" t="s">
        <v>1307</v>
      </c>
      <c r="BK501" s="2" t="s">
        <v>100</v>
      </c>
      <c r="BL501" s="2" t="s">
        <v>1307</v>
      </c>
      <c r="BM501" s="2" t="s">
        <v>5833</v>
      </c>
      <c r="BN501" s="2" t="n">
        <v>16850437</v>
      </c>
      <c r="BO501" s="2" t="s">
        <v>538</v>
      </c>
      <c r="BP501" s="2"/>
      <c r="BQ501" s="2"/>
      <c r="BR501" s="2" t="s">
        <v>104</v>
      </c>
      <c r="BS501" s="2" t="s">
        <v>9496</v>
      </c>
      <c r="BT501" s="2" t="str">
        <f aca="false">HYPERLINK("https%3A%2F%2Fwww.webofscience.com%2Fwos%2Fwoscc%2Ffull-record%2FWOS:000240035300009","View Full Record in Web of Science")</f>
        <v>View Full Record in Web of Science</v>
      </c>
    </row>
    <row r="502" customFormat="false" ht="12.75" hidden="false" customHeight="false" outlineLevel="0" collapsed="false">
      <c r="A502" s="2" t="s">
        <v>72</v>
      </c>
      <c r="B502" s="2" t="s">
        <v>9497</v>
      </c>
      <c r="C502" s="2"/>
      <c r="D502" s="2"/>
      <c r="E502" s="2"/>
      <c r="F502" s="2" t="s">
        <v>9498</v>
      </c>
      <c r="G502" s="2"/>
      <c r="H502" s="2"/>
      <c r="I502" s="2" t="s">
        <v>9499</v>
      </c>
      <c r="J502" s="2" t="s">
        <v>109</v>
      </c>
      <c r="K502" s="2"/>
      <c r="L502" s="2"/>
      <c r="M502" s="2" t="s">
        <v>77</v>
      </c>
      <c r="N502" s="2" t="s">
        <v>78</v>
      </c>
      <c r="O502" s="2"/>
      <c r="P502" s="2"/>
      <c r="Q502" s="2"/>
      <c r="R502" s="2"/>
      <c r="S502" s="2"/>
      <c r="T502" s="2" t="s">
        <v>9500</v>
      </c>
      <c r="U502" s="2" t="s">
        <v>9501</v>
      </c>
      <c r="V502" s="2" t="s">
        <v>9502</v>
      </c>
      <c r="W502" s="2" t="s">
        <v>9503</v>
      </c>
      <c r="X502" s="2" t="s">
        <v>9504</v>
      </c>
      <c r="Y502" s="2" t="s">
        <v>9505</v>
      </c>
      <c r="Z502" s="2" t="s">
        <v>9506</v>
      </c>
      <c r="AA502" s="2" t="s">
        <v>9507</v>
      </c>
      <c r="AB502" s="2" t="s">
        <v>9508</v>
      </c>
      <c r="AC502" s="2"/>
      <c r="AD502" s="2"/>
      <c r="AE502" s="2"/>
      <c r="AF502" s="2"/>
      <c r="AG502" s="2" t="n">
        <v>24</v>
      </c>
      <c r="AH502" s="2" t="n">
        <v>7</v>
      </c>
      <c r="AI502" s="2" t="n">
        <v>7</v>
      </c>
      <c r="AJ502" s="2" t="n">
        <v>0</v>
      </c>
      <c r="AK502" s="2" t="n">
        <v>4</v>
      </c>
      <c r="AL502" s="2" t="s">
        <v>122</v>
      </c>
      <c r="AM502" s="2" t="s">
        <v>123</v>
      </c>
      <c r="AN502" s="2" t="s">
        <v>124</v>
      </c>
      <c r="AO502" s="2" t="s">
        <v>125</v>
      </c>
      <c r="AP502" s="2" t="s">
        <v>126</v>
      </c>
      <c r="AQ502" s="2"/>
      <c r="AR502" s="2" t="s">
        <v>127</v>
      </c>
      <c r="AS502" s="2" t="s">
        <v>128</v>
      </c>
      <c r="AT502" s="2" t="s">
        <v>804</v>
      </c>
      <c r="AU502" s="2" t="n">
        <v>2023</v>
      </c>
      <c r="AV502" s="2" t="n">
        <v>42</v>
      </c>
      <c r="AW502" s="2" t="n">
        <v>11</v>
      </c>
      <c r="AX502" s="2"/>
      <c r="AY502" s="2"/>
      <c r="AZ502" s="2"/>
      <c r="BA502" s="2"/>
      <c r="BB502" s="2" t="n">
        <v>960</v>
      </c>
      <c r="BC502" s="2" t="n">
        <v>964</v>
      </c>
      <c r="BD502" s="2"/>
      <c r="BE502" s="2" t="s">
        <v>9509</v>
      </c>
      <c r="BF502" s="2" t="str">
        <f aca="false">HYPERLINK("http://dx.doi.org/10.1097/INF.0000000000004055","http://dx.doi.org/10.1097/INF.0000000000004055")</f>
        <v>http://dx.doi.org/10.1097/INF.0000000000004055</v>
      </c>
      <c r="BG502" s="2"/>
      <c r="BH502" s="2"/>
      <c r="BI502" s="2" t="n">
        <v>5</v>
      </c>
      <c r="BJ502" s="2" t="s">
        <v>134</v>
      </c>
      <c r="BK502" s="2" t="s">
        <v>100</v>
      </c>
      <c r="BL502" s="2" t="s">
        <v>134</v>
      </c>
      <c r="BM502" s="2" t="s">
        <v>9510</v>
      </c>
      <c r="BN502" s="2" t="n">
        <v>37523504</v>
      </c>
      <c r="BO502" s="2"/>
      <c r="BP502" s="2"/>
      <c r="BQ502" s="2"/>
      <c r="BR502" s="2" t="s">
        <v>104</v>
      </c>
      <c r="BS502" s="2" t="s">
        <v>9511</v>
      </c>
      <c r="BT502" s="2" t="str">
        <f aca="false">HYPERLINK("https%3A%2F%2Fwww.webofscience.com%2Fwos%2Fwoscc%2Ffull-record%2FWOS:001086833500020","View Full Record in Web of Science")</f>
        <v>View Full Record in Web of Science</v>
      </c>
    </row>
    <row r="503" customFormat="false" ht="12.75" hidden="false" customHeight="false" outlineLevel="0" collapsed="false">
      <c r="A503" s="2" t="s">
        <v>72</v>
      </c>
      <c r="B503" s="2" t="s">
        <v>9512</v>
      </c>
      <c r="C503" s="2"/>
      <c r="D503" s="2"/>
      <c r="E503" s="2"/>
      <c r="F503" s="2" t="s">
        <v>9513</v>
      </c>
      <c r="G503" s="2"/>
      <c r="H503" s="2"/>
      <c r="I503" s="2" t="s">
        <v>9514</v>
      </c>
      <c r="J503" s="2" t="s">
        <v>9515</v>
      </c>
      <c r="K503" s="2"/>
      <c r="L503" s="2"/>
      <c r="M503" s="2" t="s">
        <v>77</v>
      </c>
      <c r="N503" s="2" t="s">
        <v>78</v>
      </c>
      <c r="O503" s="2"/>
      <c r="P503" s="2"/>
      <c r="Q503" s="2"/>
      <c r="R503" s="2"/>
      <c r="S503" s="2"/>
      <c r="T503" s="2" t="s">
        <v>9516</v>
      </c>
      <c r="U503" s="2" t="s">
        <v>9517</v>
      </c>
      <c r="V503" s="2" t="s">
        <v>9518</v>
      </c>
      <c r="W503" s="2" t="s">
        <v>9519</v>
      </c>
      <c r="X503" s="2" t="s">
        <v>9520</v>
      </c>
      <c r="Y503" s="2" t="s">
        <v>9521</v>
      </c>
      <c r="Z503" s="2" t="s">
        <v>9188</v>
      </c>
      <c r="AA503" s="2" t="s">
        <v>9522</v>
      </c>
      <c r="AB503" s="2" t="s">
        <v>9523</v>
      </c>
      <c r="AC503" s="2" t="s">
        <v>9524</v>
      </c>
      <c r="AD503" s="2" t="s">
        <v>9525</v>
      </c>
      <c r="AE503" s="2" t="s">
        <v>9526</v>
      </c>
      <c r="AF503" s="2"/>
      <c r="AG503" s="2" t="n">
        <v>105</v>
      </c>
      <c r="AH503" s="2" t="n">
        <v>5</v>
      </c>
      <c r="AI503" s="2" t="n">
        <v>8</v>
      </c>
      <c r="AJ503" s="2" t="n">
        <v>1</v>
      </c>
      <c r="AK503" s="2" t="n">
        <v>10</v>
      </c>
      <c r="AL503" s="2" t="s">
        <v>9527</v>
      </c>
      <c r="AM503" s="2" t="s">
        <v>9528</v>
      </c>
      <c r="AN503" s="2" t="s">
        <v>9529</v>
      </c>
      <c r="AO503" s="2" t="s">
        <v>9530</v>
      </c>
      <c r="AP503" s="2" t="s">
        <v>9531</v>
      </c>
      <c r="AQ503" s="2"/>
      <c r="AR503" s="2" t="s">
        <v>9532</v>
      </c>
      <c r="AS503" s="2" t="s">
        <v>9533</v>
      </c>
      <c r="AT503" s="2"/>
      <c r="AU503" s="2" t="n">
        <v>2015</v>
      </c>
      <c r="AV503" s="2" t="n">
        <v>35</v>
      </c>
      <c r="AW503" s="2" t="n">
        <v>3</v>
      </c>
      <c r="AX503" s="2"/>
      <c r="AY503" s="2"/>
      <c r="AZ503" s="2"/>
      <c r="BA503" s="2"/>
      <c r="BB503" s="2" t="n">
        <v>185</v>
      </c>
      <c r="BC503" s="2" t="n">
        <v>202</v>
      </c>
      <c r="BD503" s="2"/>
      <c r="BE503" s="2" t="s">
        <v>9534</v>
      </c>
      <c r="BF503" s="2" t="str">
        <f aca="false">HYPERLINK("http://dx.doi.org/10.1615/CritRevImmunol.2015013844","http://dx.doi.org/10.1615/CritRevImmunol.2015013844")</f>
        <v>http://dx.doi.org/10.1615/CritRevImmunol.2015013844</v>
      </c>
      <c r="BG503" s="2"/>
      <c r="BH503" s="2"/>
      <c r="BI503" s="2" t="n">
        <v>18</v>
      </c>
      <c r="BJ503" s="2" t="s">
        <v>628</v>
      </c>
      <c r="BK503" s="2" t="s">
        <v>100</v>
      </c>
      <c r="BL503" s="2" t="s">
        <v>628</v>
      </c>
      <c r="BM503" s="2" t="s">
        <v>9535</v>
      </c>
      <c r="BN503" s="2" t="n">
        <v>26559227</v>
      </c>
      <c r="BO503" s="2"/>
      <c r="BP503" s="2"/>
      <c r="BQ503" s="2"/>
      <c r="BR503" s="2" t="s">
        <v>104</v>
      </c>
      <c r="BS503" s="2" t="s">
        <v>9536</v>
      </c>
      <c r="BT503" s="2" t="str">
        <f aca="false">HYPERLINK("https%3A%2F%2Fwww.webofscience.com%2Fwos%2Fwoscc%2Ffull-record%2FWOS:000365536300002","View Full Record in Web of Science")</f>
        <v>View Full Record in Web of Science</v>
      </c>
    </row>
    <row r="504" customFormat="false" ht="12.75" hidden="false" customHeight="false" outlineLevel="0" collapsed="false">
      <c r="A504" s="2" t="s">
        <v>72</v>
      </c>
      <c r="B504" s="2" t="s">
        <v>9537</v>
      </c>
      <c r="C504" s="2"/>
      <c r="D504" s="2"/>
      <c r="E504" s="2"/>
      <c r="F504" s="2" t="s">
        <v>9538</v>
      </c>
      <c r="G504" s="2"/>
      <c r="H504" s="2"/>
      <c r="I504" s="2" t="s">
        <v>9539</v>
      </c>
      <c r="J504" s="2" t="s">
        <v>5575</v>
      </c>
      <c r="K504" s="2"/>
      <c r="L504" s="2"/>
      <c r="M504" s="2" t="s">
        <v>77</v>
      </c>
      <c r="N504" s="2" t="s">
        <v>78</v>
      </c>
      <c r="O504" s="2"/>
      <c r="P504" s="2"/>
      <c r="Q504" s="2"/>
      <c r="R504" s="2"/>
      <c r="S504" s="2"/>
      <c r="T504" s="2" t="s">
        <v>9540</v>
      </c>
      <c r="U504" s="2" t="s">
        <v>9541</v>
      </c>
      <c r="V504" s="2" t="s">
        <v>9542</v>
      </c>
      <c r="W504" s="2" t="s">
        <v>9543</v>
      </c>
      <c r="X504" s="2" t="s">
        <v>9544</v>
      </c>
      <c r="Y504" s="2" t="s">
        <v>9545</v>
      </c>
      <c r="Z504" s="2" t="s">
        <v>6710</v>
      </c>
      <c r="AA504" s="2" t="s">
        <v>9546</v>
      </c>
      <c r="AB504" s="2" t="s">
        <v>9547</v>
      </c>
      <c r="AC504" s="2" t="s">
        <v>9548</v>
      </c>
      <c r="AD504" s="2" t="s">
        <v>9549</v>
      </c>
      <c r="AE504" s="2"/>
      <c r="AF504" s="2"/>
      <c r="AG504" s="2" t="n">
        <v>62</v>
      </c>
      <c r="AH504" s="2" t="n">
        <v>58</v>
      </c>
      <c r="AI504" s="2" t="n">
        <v>62</v>
      </c>
      <c r="AJ504" s="2" t="n">
        <v>0</v>
      </c>
      <c r="AK504" s="2" t="n">
        <v>2</v>
      </c>
      <c r="AL504" s="2" t="s">
        <v>5588</v>
      </c>
      <c r="AM504" s="2" t="s">
        <v>5589</v>
      </c>
      <c r="AN504" s="2" t="s">
        <v>5590</v>
      </c>
      <c r="AO504" s="2" t="s">
        <v>5591</v>
      </c>
      <c r="AP504" s="2"/>
      <c r="AQ504" s="2"/>
      <c r="AR504" s="2" t="s">
        <v>5575</v>
      </c>
      <c r="AS504" s="2" t="s">
        <v>163</v>
      </c>
      <c r="AT504" s="2" t="s">
        <v>733</v>
      </c>
      <c r="AU504" s="2" t="n">
        <v>2009</v>
      </c>
      <c r="AV504" s="2" t="n">
        <v>385</v>
      </c>
      <c r="AW504" s="2" t="n">
        <v>1</v>
      </c>
      <c r="AX504" s="2"/>
      <c r="AY504" s="2"/>
      <c r="AZ504" s="2"/>
      <c r="BA504" s="2"/>
      <c r="BB504" s="2" t="n">
        <v>169</v>
      </c>
      <c r="BC504" s="2" t="n">
        <v>182</v>
      </c>
      <c r="BD504" s="2"/>
      <c r="BE504" s="2" t="s">
        <v>9550</v>
      </c>
      <c r="BF504" s="2" t="str">
        <f aca="false">HYPERLINK("http://dx.doi.org/10.1016/j.virol.2008.11.043","http://dx.doi.org/10.1016/j.virol.2008.11.043")</f>
        <v>http://dx.doi.org/10.1016/j.virol.2008.11.043</v>
      </c>
      <c r="BG504" s="2"/>
      <c r="BH504" s="2"/>
      <c r="BI504" s="2" t="n">
        <v>14</v>
      </c>
      <c r="BJ504" s="2" t="s">
        <v>163</v>
      </c>
      <c r="BK504" s="2" t="s">
        <v>100</v>
      </c>
      <c r="BL504" s="2" t="s">
        <v>163</v>
      </c>
      <c r="BM504" s="2" t="s">
        <v>9551</v>
      </c>
      <c r="BN504" s="2" t="n">
        <v>19128816</v>
      </c>
      <c r="BO504" s="2" t="s">
        <v>695</v>
      </c>
      <c r="BP504" s="2"/>
      <c r="BQ504" s="2"/>
      <c r="BR504" s="2" t="s">
        <v>104</v>
      </c>
      <c r="BS504" s="2" t="s">
        <v>9552</v>
      </c>
      <c r="BT504" s="2" t="str">
        <f aca="false">HYPERLINK("https%3A%2F%2Fwww.webofscience.com%2Fwos%2Fwoscc%2Ffull-record%2FWOS:000263989400021","View Full Record in Web of Science")</f>
        <v>View Full Record in Web of Science</v>
      </c>
    </row>
    <row r="505" customFormat="false" ht="12.75" hidden="false" customHeight="false" outlineLevel="0" collapsed="false">
      <c r="A505" s="2" t="s">
        <v>72</v>
      </c>
      <c r="B505" s="2" t="s">
        <v>9553</v>
      </c>
      <c r="C505" s="2"/>
      <c r="D505" s="2"/>
      <c r="E505" s="2"/>
      <c r="F505" s="2" t="s">
        <v>9554</v>
      </c>
      <c r="G505" s="2"/>
      <c r="H505" s="2"/>
      <c r="I505" s="2" t="s">
        <v>9555</v>
      </c>
      <c r="J505" s="2" t="s">
        <v>9556</v>
      </c>
      <c r="K505" s="2"/>
      <c r="L505" s="2"/>
      <c r="M505" s="2" t="s">
        <v>77</v>
      </c>
      <c r="N505" s="2" t="s">
        <v>78</v>
      </c>
      <c r="O505" s="2"/>
      <c r="P505" s="2"/>
      <c r="Q505" s="2"/>
      <c r="R505" s="2"/>
      <c r="S505" s="2"/>
      <c r="T505" s="2" t="s">
        <v>9557</v>
      </c>
      <c r="U505" s="2" t="s">
        <v>9558</v>
      </c>
      <c r="V505" s="2" t="s">
        <v>9559</v>
      </c>
      <c r="W505" s="2" t="s">
        <v>9560</v>
      </c>
      <c r="X505" s="2" t="s">
        <v>9561</v>
      </c>
      <c r="Y505" s="2" t="s">
        <v>9562</v>
      </c>
      <c r="Z505" s="2" t="s">
        <v>9563</v>
      </c>
      <c r="AA505" s="2" t="s">
        <v>9564</v>
      </c>
      <c r="AB505" s="2" t="s">
        <v>9565</v>
      </c>
      <c r="AC505" s="2" t="s">
        <v>9566</v>
      </c>
      <c r="AD505" s="2" t="s">
        <v>9567</v>
      </c>
      <c r="AE505" s="2" t="s">
        <v>9568</v>
      </c>
      <c r="AF505" s="2"/>
      <c r="AG505" s="2" t="n">
        <v>54</v>
      </c>
      <c r="AH505" s="2" t="n">
        <v>7</v>
      </c>
      <c r="AI505" s="2" t="n">
        <v>9</v>
      </c>
      <c r="AJ505" s="2" t="n">
        <v>0</v>
      </c>
      <c r="AK505" s="2" t="n">
        <v>1</v>
      </c>
      <c r="AL505" s="2" t="s">
        <v>7639</v>
      </c>
      <c r="AM505" s="2" t="s">
        <v>783</v>
      </c>
      <c r="AN505" s="2" t="s">
        <v>7640</v>
      </c>
      <c r="AO505" s="2" t="s">
        <v>9569</v>
      </c>
      <c r="AP505" s="2"/>
      <c r="AQ505" s="2"/>
      <c r="AR505" s="2" t="s">
        <v>9570</v>
      </c>
      <c r="AS505" s="2" t="s">
        <v>9571</v>
      </c>
      <c r="AT505" s="2" t="s">
        <v>97</v>
      </c>
      <c r="AU505" s="2" t="n">
        <v>2018</v>
      </c>
      <c r="AV505" s="2" t="n">
        <v>76</v>
      </c>
      <c r="AW505" s="2" t="n">
        <v>2</v>
      </c>
      <c r="AX505" s="2"/>
      <c r="AY505" s="2"/>
      <c r="AZ505" s="2"/>
      <c r="BA505" s="2"/>
      <c r="BB505" s="2"/>
      <c r="BC505" s="2"/>
      <c r="BD505" s="2" t="s">
        <v>9572</v>
      </c>
      <c r="BE505" s="2" t="s">
        <v>9573</v>
      </c>
      <c r="BF505" s="2" t="str">
        <f aca="false">HYPERLINK("http://dx.doi.org/10.1093/femspd/fty013","http://dx.doi.org/10.1093/femspd/fty013")</f>
        <v>http://dx.doi.org/10.1093/femspd/fty013</v>
      </c>
      <c r="BG505" s="2"/>
      <c r="BH505" s="2"/>
      <c r="BI505" s="2" t="n">
        <v>10</v>
      </c>
      <c r="BJ505" s="2" t="s">
        <v>536</v>
      </c>
      <c r="BK505" s="2" t="s">
        <v>100</v>
      </c>
      <c r="BL505" s="2" t="s">
        <v>536</v>
      </c>
      <c r="BM505" s="2" t="s">
        <v>9574</v>
      </c>
      <c r="BN505" s="2" t="n">
        <v>29617859</v>
      </c>
      <c r="BO505" s="2" t="s">
        <v>656</v>
      </c>
      <c r="BP505" s="2"/>
      <c r="BQ505" s="2"/>
      <c r="BR505" s="2" t="s">
        <v>104</v>
      </c>
      <c r="BS505" s="2" t="s">
        <v>9575</v>
      </c>
      <c r="BT505" s="2" t="str">
        <f aca="false">HYPERLINK("https%3A%2F%2Fwww.webofscience.com%2Fwos%2Fwoscc%2Ffull-record%2FWOS:000439773200012","View Full Record in Web of Science")</f>
        <v>View Full Record in Web of Science</v>
      </c>
    </row>
    <row r="506" customFormat="false" ht="12.75" hidden="false" customHeight="false" outlineLevel="0" collapsed="false">
      <c r="A506" s="2" t="s">
        <v>72</v>
      </c>
      <c r="B506" s="2" t="s">
        <v>9576</v>
      </c>
      <c r="C506" s="2"/>
      <c r="D506" s="2"/>
      <c r="E506" s="2"/>
      <c r="F506" s="2" t="s">
        <v>9577</v>
      </c>
      <c r="G506" s="2"/>
      <c r="H506" s="2"/>
      <c r="I506" s="2" t="s">
        <v>9578</v>
      </c>
      <c r="J506" s="2" t="s">
        <v>9579</v>
      </c>
      <c r="K506" s="2"/>
      <c r="L506" s="2"/>
      <c r="M506" s="2" t="s">
        <v>77</v>
      </c>
      <c r="N506" s="2" t="s">
        <v>78</v>
      </c>
      <c r="O506" s="2"/>
      <c r="P506" s="2"/>
      <c r="Q506" s="2"/>
      <c r="R506" s="2"/>
      <c r="S506" s="2"/>
      <c r="T506" s="2" t="s">
        <v>9580</v>
      </c>
      <c r="U506" s="2" t="s">
        <v>9581</v>
      </c>
      <c r="V506" s="2" t="s">
        <v>9582</v>
      </c>
      <c r="W506" s="2" t="s">
        <v>9583</v>
      </c>
      <c r="X506" s="2" t="s">
        <v>9584</v>
      </c>
      <c r="Y506" s="2" t="s">
        <v>9585</v>
      </c>
      <c r="Z506" s="2" t="s">
        <v>9586</v>
      </c>
      <c r="AA506" s="2" t="s">
        <v>9587</v>
      </c>
      <c r="AB506" s="2" t="s">
        <v>9588</v>
      </c>
      <c r="AC506" s="2"/>
      <c r="AD506" s="2"/>
      <c r="AE506" s="2"/>
      <c r="AF506" s="2"/>
      <c r="AG506" s="2" t="n">
        <v>16</v>
      </c>
      <c r="AH506" s="2" t="n">
        <v>5</v>
      </c>
      <c r="AI506" s="2" t="n">
        <v>5</v>
      </c>
      <c r="AJ506" s="2" t="n">
        <v>0</v>
      </c>
      <c r="AK506" s="2" t="n">
        <v>2</v>
      </c>
      <c r="AL506" s="2" t="s">
        <v>9589</v>
      </c>
      <c r="AM506" s="2" t="s">
        <v>330</v>
      </c>
      <c r="AN506" s="2" t="s">
        <v>9590</v>
      </c>
      <c r="AO506" s="2" t="s">
        <v>9591</v>
      </c>
      <c r="AP506" s="2" t="s">
        <v>9592</v>
      </c>
      <c r="AQ506" s="2"/>
      <c r="AR506" s="2" t="s">
        <v>9593</v>
      </c>
      <c r="AS506" s="2" t="s">
        <v>9594</v>
      </c>
      <c r="AT506" s="2" t="s">
        <v>97</v>
      </c>
      <c r="AU506" s="2" t="n">
        <v>2016</v>
      </c>
      <c r="AV506" s="2" t="n">
        <v>48</v>
      </c>
      <c r="AW506" s="2" t="n">
        <v>1</v>
      </c>
      <c r="AX506" s="2"/>
      <c r="AY506" s="2"/>
      <c r="AZ506" s="2"/>
      <c r="BA506" s="2"/>
      <c r="BB506" s="2" t="n">
        <v>36</v>
      </c>
      <c r="BC506" s="2" t="n">
        <v>40</v>
      </c>
      <c r="BD506" s="2"/>
      <c r="BE506" s="2" t="s">
        <v>9595</v>
      </c>
      <c r="BF506" s="2" t="str">
        <f aca="false">HYPERLINK("http://dx.doi.org/10.3947/ic.2016.48.1.36","http://dx.doi.org/10.3947/ic.2016.48.1.36")</f>
        <v>http://dx.doi.org/10.3947/ic.2016.48.1.36</v>
      </c>
      <c r="BG506" s="2"/>
      <c r="BH506" s="2"/>
      <c r="BI506" s="2" t="n">
        <v>5</v>
      </c>
      <c r="BJ506" s="2" t="s">
        <v>575</v>
      </c>
      <c r="BK506" s="2" t="s">
        <v>339</v>
      </c>
      <c r="BL506" s="2" t="s">
        <v>575</v>
      </c>
      <c r="BM506" s="2" t="s">
        <v>9596</v>
      </c>
      <c r="BN506" s="2" t="n">
        <v>27104014</v>
      </c>
      <c r="BO506" s="2" t="s">
        <v>103</v>
      </c>
      <c r="BP506" s="2"/>
      <c r="BQ506" s="2"/>
      <c r="BR506" s="2" t="s">
        <v>104</v>
      </c>
      <c r="BS506" s="2" t="s">
        <v>9597</v>
      </c>
      <c r="BT506" s="2" t="str">
        <f aca="false">HYPERLINK("https%3A%2F%2Fwww.webofscience.com%2Fwos%2Fwoscc%2Ffull-record%2FWOS:000382492800005","View Full Record in Web of Science")</f>
        <v>View Full Record in Web of Science</v>
      </c>
    </row>
    <row r="507" customFormat="false" ht="12.75" hidden="false" customHeight="false" outlineLevel="0" collapsed="false">
      <c r="A507" s="2" t="s">
        <v>72</v>
      </c>
      <c r="B507" s="2" t="s">
        <v>9598</v>
      </c>
      <c r="C507" s="2"/>
      <c r="D507" s="2"/>
      <c r="E507" s="2"/>
      <c r="F507" s="2" t="s">
        <v>9598</v>
      </c>
      <c r="G507" s="2"/>
      <c r="H507" s="2"/>
      <c r="I507" s="2" t="s">
        <v>9599</v>
      </c>
      <c r="J507" s="2" t="s">
        <v>5575</v>
      </c>
      <c r="K507" s="2"/>
      <c r="L507" s="2"/>
      <c r="M507" s="2" t="s">
        <v>77</v>
      </c>
      <c r="N507" s="2" t="s">
        <v>78</v>
      </c>
      <c r="O507" s="2"/>
      <c r="P507" s="2"/>
      <c r="Q507" s="2"/>
      <c r="R507" s="2"/>
      <c r="S507" s="2"/>
      <c r="T507" s="2" t="s">
        <v>9600</v>
      </c>
      <c r="U507" s="2" t="s">
        <v>9601</v>
      </c>
      <c r="V507" s="2" t="s">
        <v>9602</v>
      </c>
      <c r="W507" s="2" t="s">
        <v>6707</v>
      </c>
      <c r="X507" s="2" t="s">
        <v>6708</v>
      </c>
      <c r="Y507" s="2" t="s">
        <v>9603</v>
      </c>
      <c r="Z507" s="2" t="s">
        <v>6710</v>
      </c>
      <c r="AA507" s="2" t="s">
        <v>6711</v>
      </c>
      <c r="AB507" s="2" t="s">
        <v>6712</v>
      </c>
      <c r="AC507" s="2"/>
      <c r="AD507" s="2"/>
      <c r="AE507" s="2"/>
      <c r="AF507" s="2"/>
      <c r="AG507" s="2" t="n">
        <v>30</v>
      </c>
      <c r="AH507" s="2" t="n">
        <v>102</v>
      </c>
      <c r="AI507" s="2" t="n">
        <v>122</v>
      </c>
      <c r="AJ507" s="2" t="n">
        <v>0</v>
      </c>
      <c r="AK507" s="2" t="n">
        <v>2</v>
      </c>
      <c r="AL507" s="2" t="s">
        <v>5588</v>
      </c>
      <c r="AM507" s="2" t="s">
        <v>5589</v>
      </c>
      <c r="AN507" s="2" t="s">
        <v>5590</v>
      </c>
      <c r="AO507" s="2" t="s">
        <v>5591</v>
      </c>
      <c r="AP507" s="2"/>
      <c r="AQ507" s="2"/>
      <c r="AR507" s="2" t="s">
        <v>5575</v>
      </c>
      <c r="AS507" s="2" t="s">
        <v>163</v>
      </c>
      <c r="AT507" s="2" t="s">
        <v>9604</v>
      </c>
      <c r="AU507" s="2" t="n">
        <v>2004</v>
      </c>
      <c r="AV507" s="2" t="n">
        <v>321</v>
      </c>
      <c r="AW507" s="2" t="n">
        <v>2</v>
      </c>
      <c r="AX507" s="2"/>
      <c r="AY507" s="2"/>
      <c r="AZ507" s="2"/>
      <c r="BA507" s="2"/>
      <c r="BB507" s="2" t="n">
        <v>247</v>
      </c>
      <c r="BC507" s="2" t="n">
        <v>259</v>
      </c>
      <c r="BD507" s="2"/>
      <c r="BE507" s="2" t="s">
        <v>9605</v>
      </c>
      <c r="BF507" s="2" t="str">
        <f aca="false">HYPERLINK("http://dx.doi.org/10.1016/j.virol.2003.12.020","http://dx.doi.org/10.1016/j.virol.2003.12.020")</f>
        <v>http://dx.doi.org/10.1016/j.virol.2003.12.020</v>
      </c>
      <c r="BG507" s="2"/>
      <c r="BH507" s="2"/>
      <c r="BI507" s="2" t="n">
        <v>13</v>
      </c>
      <c r="BJ507" s="2" t="s">
        <v>163</v>
      </c>
      <c r="BK507" s="2" t="s">
        <v>100</v>
      </c>
      <c r="BL507" s="2" t="s">
        <v>163</v>
      </c>
      <c r="BM507" s="2" t="s">
        <v>9606</v>
      </c>
      <c r="BN507" s="2" t="n">
        <v>15051385</v>
      </c>
      <c r="BO507" s="2" t="s">
        <v>656</v>
      </c>
      <c r="BP507" s="2"/>
      <c r="BQ507" s="2"/>
      <c r="BR507" s="2" t="s">
        <v>104</v>
      </c>
      <c r="BS507" s="2" t="s">
        <v>9607</v>
      </c>
      <c r="BT507" s="2" t="str">
        <f aca="false">HYPERLINK("https%3A%2F%2Fwww.webofscience.com%2Fwos%2Fwoscc%2Ffull-record%2FWOS:000220757900009","View Full Record in Web of Science")</f>
        <v>View Full Record in Web of Science</v>
      </c>
    </row>
    <row r="508" customFormat="false" ht="12.75" hidden="false" customHeight="false" outlineLevel="0" collapsed="false">
      <c r="A508" s="2" t="s">
        <v>72</v>
      </c>
      <c r="B508" s="2" t="s">
        <v>9608</v>
      </c>
      <c r="C508" s="2"/>
      <c r="D508" s="2"/>
      <c r="E508" s="2"/>
      <c r="F508" s="2" t="s">
        <v>9609</v>
      </c>
      <c r="G508" s="2"/>
      <c r="H508" s="2"/>
      <c r="I508" s="2" t="s">
        <v>9610</v>
      </c>
      <c r="J508" s="2" t="s">
        <v>5575</v>
      </c>
      <c r="K508" s="2"/>
      <c r="L508" s="2"/>
      <c r="M508" s="2" t="s">
        <v>77</v>
      </c>
      <c r="N508" s="2" t="s">
        <v>78</v>
      </c>
      <c r="O508" s="2"/>
      <c r="P508" s="2"/>
      <c r="Q508" s="2"/>
      <c r="R508" s="2"/>
      <c r="S508" s="2"/>
      <c r="T508" s="2" t="s">
        <v>9611</v>
      </c>
      <c r="U508" s="2" t="s">
        <v>9612</v>
      </c>
      <c r="V508" s="2" t="s">
        <v>9613</v>
      </c>
      <c r="W508" s="2" t="s">
        <v>9614</v>
      </c>
      <c r="X508" s="2" t="s">
        <v>9615</v>
      </c>
      <c r="Y508" s="2" t="s">
        <v>9616</v>
      </c>
      <c r="Z508" s="2" t="s">
        <v>749</v>
      </c>
      <c r="AA508" s="2" t="s">
        <v>750</v>
      </c>
      <c r="AB508" s="2" t="s">
        <v>9617</v>
      </c>
      <c r="AC508" s="2" t="s">
        <v>9618</v>
      </c>
      <c r="AD508" s="2" t="s">
        <v>9619</v>
      </c>
      <c r="AE508" s="2" t="s">
        <v>9620</v>
      </c>
      <c r="AF508" s="2"/>
      <c r="AG508" s="2" t="n">
        <v>77</v>
      </c>
      <c r="AH508" s="2" t="n">
        <v>22</v>
      </c>
      <c r="AI508" s="2" t="n">
        <v>25</v>
      </c>
      <c r="AJ508" s="2" t="n">
        <v>0</v>
      </c>
      <c r="AK508" s="2" t="n">
        <v>2</v>
      </c>
      <c r="AL508" s="2" t="s">
        <v>5588</v>
      </c>
      <c r="AM508" s="2" t="s">
        <v>5589</v>
      </c>
      <c r="AN508" s="2" t="s">
        <v>5590</v>
      </c>
      <c r="AO508" s="2" t="s">
        <v>5591</v>
      </c>
      <c r="AP508" s="2"/>
      <c r="AQ508" s="2"/>
      <c r="AR508" s="2" t="s">
        <v>5575</v>
      </c>
      <c r="AS508" s="2" t="s">
        <v>163</v>
      </c>
      <c r="AT508" s="2" t="s">
        <v>599</v>
      </c>
      <c r="AU508" s="2" t="n">
        <v>2016</v>
      </c>
      <c r="AV508" s="2" t="n">
        <v>494</v>
      </c>
      <c r="AW508" s="2"/>
      <c r="AX508" s="2"/>
      <c r="AY508" s="2"/>
      <c r="AZ508" s="2"/>
      <c r="BA508" s="2"/>
      <c r="BB508" s="2" t="n">
        <v>248</v>
      </c>
      <c r="BC508" s="2" t="n">
        <v>256</v>
      </c>
      <c r="BD508" s="2"/>
      <c r="BE508" s="2" t="s">
        <v>9621</v>
      </c>
      <c r="BF508" s="2" t="str">
        <f aca="false">HYPERLINK("http://dx.doi.org/10.1016/j.virol.2016.04.022","http://dx.doi.org/10.1016/j.virol.2016.04.022")</f>
        <v>http://dx.doi.org/10.1016/j.virol.2016.04.022</v>
      </c>
      <c r="BG508" s="2"/>
      <c r="BH508" s="2"/>
      <c r="BI508" s="2" t="n">
        <v>9</v>
      </c>
      <c r="BJ508" s="2" t="s">
        <v>163</v>
      </c>
      <c r="BK508" s="2" t="s">
        <v>100</v>
      </c>
      <c r="BL508" s="2" t="s">
        <v>163</v>
      </c>
      <c r="BM508" s="2" t="s">
        <v>9622</v>
      </c>
      <c r="BN508" s="2" t="n">
        <v>27131212</v>
      </c>
      <c r="BO508" s="2" t="s">
        <v>5372</v>
      </c>
      <c r="BP508" s="2"/>
      <c r="BQ508" s="2"/>
      <c r="BR508" s="2" t="s">
        <v>104</v>
      </c>
      <c r="BS508" s="2" t="s">
        <v>9623</v>
      </c>
      <c r="BT508" s="2" t="str">
        <f aca="false">HYPERLINK("https%3A%2F%2Fwww.webofscience.com%2Fwos%2Fwoscc%2Ffull-record%2FWOS:000377321200023","View Full Record in Web of Science")</f>
        <v>View Full Record in Web of Science</v>
      </c>
    </row>
    <row r="509" customFormat="false" ht="12.75" hidden="false" customHeight="false" outlineLevel="0" collapsed="false">
      <c r="A509" s="2" t="s">
        <v>72</v>
      </c>
      <c r="B509" s="2" t="s">
        <v>9624</v>
      </c>
      <c r="C509" s="2"/>
      <c r="D509" s="2"/>
      <c r="E509" s="2"/>
      <c r="F509" s="2" t="s">
        <v>9625</v>
      </c>
      <c r="G509" s="2"/>
      <c r="H509" s="2"/>
      <c r="I509" s="2" t="s">
        <v>9626</v>
      </c>
      <c r="J509" s="2" t="s">
        <v>1413</v>
      </c>
      <c r="K509" s="2"/>
      <c r="L509" s="2"/>
      <c r="M509" s="2" t="s">
        <v>77</v>
      </c>
      <c r="N509" s="2" t="s">
        <v>78</v>
      </c>
      <c r="O509" s="2"/>
      <c r="P509" s="2"/>
      <c r="Q509" s="2"/>
      <c r="R509" s="2"/>
      <c r="S509" s="2"/>
      <c r="T509" s="2" t="s">
        <v>9627</v>
      </c>
      <c r="U509" s="2" t="s">
        <v>9628</v>
      </c>
      <c r="V509" s="2" t="s">
        <v>9629</v>
      </c>
      <c r="W509" s="2" t="s">
        <v>9630</v>
      </c>
      <c r="X509" s="2" t="s">
        <v>9631</v>
      </c>
      <c r="Y509" s="2" t="s">
        <v>9632</v>
      </c>
      <c r="Z509" s="2" t="s">
        <v>6724</v>
      </c>
      <c r="AA509" s="2" t="s">
        <v>750</v>
      </c>
      <c r="AB509" s="2" t="s">
        <v>2851</v>
      </c>
      <c r="AC509" s="2" t="s">
        <v>9633</v>
      </c>
      <c r="AD509" s="2" t="s">
        <v>9634</v>
      </c>
      <c r="AE509" s="2" t="s">
        <v>9635</v>
      </c>
      <c r="AF509" s="2"/>
      <c r="AG509" s="2" t="n">
        <v>58</v>
      </c>
      <c r="AH509" s="2" t="n">
        <v>37</v>
      </c>
      <c r="AI509" s="2" t="n">
        <v>48</v>
      </c>
      <c r="AJ509" s="2" t="n">
        <v>0</v>
      </c>
      <c r="AK509" s="2" t="n">
        <v>7</v>
      </c>
      <c r="AL509" s="2" t="s">
        <v>549</v>
      </c>
      <c r="AM509" s="2" t="s">
        <v>384</v>
      </c>
      <c r="AN509" s="2" t="s">
        <v>550</v>
      </c>
      <c r="AO509" s="2" t="s">
        <v>1421</v>
      </c>
      <c r="AP509" s="2" t="s">
        <v>1422</v>
      </c>
      <c r="AQ509" s="2"/>
      <c r="AR509" s="2" t="s">
        <v>1423</v>
      </c>
      <c r="AS509" s="2" t="s">
        <v>1424</v>
      </c>
      <c r="AT509" s="2" t="s">
        <v>599</v>
      </c>
      <c r="AU509" s="2" t="n">
        <v>2010</v>
      </c>
      <c r="AV509" s="2" t="n">
        <v>151</v>
      </c>
      <c r="AW509" s="2" t="n">
        <v>1</v>
      </c>
      <c r="AX509" s="2"/>
      <c r="AY509" s="2"/>
      <c r="AZ509" s="2"/>
      <c r="BA509" s="2"/>
      <c r="BB509" s="2" t="n">
        <v>54</v>
      </c>
      <c r="BC509" s="2" t="n">
        <v>59</v>
      </c>
      <c r="BD509" s="2"/>
      <c r="BE509" s="2" t="s">
        <v>9636</v>
      </c>
      <c r="BF509" s="2" t="str">
        <f aca="false">HYPERLINK("http://dx.doi.org/10.1016/j.virusres.2010.03.018","http://dx.doi.org/10.1016/j.virusres.2010.03.018")</f>
        <v>http://dx.doi.org/10.1016/j.virusres.2010.03.018</v>
      </c>
      <c r="BG509" s="2"/>
      <c r="BH509" s="2"/>
      <c r="BI509" s="2" t="n">
        <v>6</v>
      </c>
      <c r="BJ509" s="2" t="s">
        <v>163</v>
      </c>
      <c r="BK509" s="2" t="s">
        <v>100</v>
      </c>
      <c r="BL509" s="2" t="s">
        <v>163</v>
      </c>
      <c r="BM509" s="2" t="s">
        <v>9637</v>
      </c>
      <c r="BN509" s="2" t="n">
        <v>20380856</v>
      </c>
      <c r="BO509" s="2" t="s">
        <v>695</v>
      </c>
      <c r="BP509" s="2"/>
      <c r="BQ509" s="2"/>
      <c r="BR509" s="2" t="s">
        <v>104</v>
      </c>
      <c r="BS509" s="2" t="s">
        <v>9638</v>
      </c>
      <c r="BT509" s="2" t="str">
        <f aca="false">HYPERLINK("https%3A%2F%2Fwww.webofscience.com%2Fwos%2Fwoscc%2Ffull-record%2FWOS:000278344200008","View Full Record in Web of Science")</f>
        <v>View Full Record in Web of Science</v>
      </c>
    </row>
    <row r="510" customFormat="false" ht="12.75" hidden="false" customHeight="false" outlineLevel="0" collapsed="false">
      <c r="A510" s="2" t="s">
        <v>72</v>
      </c>
      <c r="B510" s="2" t="s">
        <v>9639</v>
      </c>
      <c r="C510" s="2"/>
      <c r="D510" s="2"/>
      <c r="E510" s="2"/>
      <c r="F510" s="2" t="s">
        <v>9640</v>
      </c>
      <c r="G510" s="2"/>
      <c r="H510" s="2"/>
      <c r="I510" s="2" t="s">
        <v>9641</v>
      </c>
      <c r="J510" s="2" t="s">
        <v>9642</v>
      </c>
      <c r="K510" s="2"/>
      <c r="L510" s="2"/>
      <c r="M510" s="2" t="s">
        <v>77</v>
      </c>
      <c r="N510" s="2" t="s">
        <v>78</v>
      </c>
      <c r="O510" s="2"/>
      <c r="P510" s="2"/>
      <c r="Q510" s="2"/>
      <c r="R510" s="2"/>
      <c r="S510" s="2"/>
      <c r="T510" s="2" t="s">
        <v>9643</v>
      </c>
      <c r="U510" s="2"/>
      <c r="V510" s="2" t="s">
        <v>9644</v>
      </c>
      <c r="W510" s="2" t="s">
        <v>9645</v>
      </c>
      <c r="X510" s="2" t="s">
        <v>8669</v>
      </c>
      <c r="Y510" s="2" t="s">
        <v>9646</v>
      </c>
      <c r="Z510" s="2" t="s">
        <v>9647</v>
      </c>
      <c r="AA510" s="2" t="s">
        <v>9648</v>
      </c>
      <c r="AB510" s="2" t="s">
        <v>9649</v>
      </c>
      <c r="AC510" s="2"/>
      <c r="AD510" s="2"/>
      <c r="AE510" s="2"/>
      <c r="AF510" s="2"/>
      <c r="AG510" s="2" t="n">
        <v>20</v>
      </c>
      <c r="AH510" s="2" t="n">
        <v>1</v>
      </c>
      <c r="AI510" s="2" t="n">
        <v>1</v>
      </c>
      <c r="AJ510" s="2" t="n">
        <v>0</v>
      </c>
      <c r="AK510" s="2" t="n">
        <v>1</v>
      </c>
      <c r="AL510" s="2" t="s">
        <v>9650</v>
      </c>
      <c r="AM510" s="2" t="s">
        <v>330</v>
      </c>
      <c r="AN510" s="2" t="s">
        <v>9651</v>
      </c>
      <c r="AO510" s="2" t="s">
        <v>9652</v>
      </c>
      <c r="AP510" s="2" t="s">
        <v>9653</v>
      </c>
      <c r="AQ510" s="2"/>
      <c r="AR510" s="2" t="s">
        <v>9654</v>
      </c>
      <c r="AS510" s="2" t="s">
        <v>9655</v>
      </c>
      <c r="AT510" s="2" t="s">
        <v>390</v>
      </c>
      <c r="AU510" s="2" t="n">
        <v>2017</v>
      </c>
      <c r="AV510" s="2" t="n">
        <v>32</v>
      </c>
      <c r="AW510" s="2" t="n">
        <v>2</v>
      </c>
      <c r="AX510" s="2"/>
      <c r="AY510" s="2"/>
      <c r="AZ510" s="2"/>
      <c r="BA510" s="2"/>
      <c r="BB510" s="2" t="n">
        <v>182</v>
      </c>
      <c r="BC510" s="2" t="n">
        <v>189</v>
      </c>
      <c r="BD510" s="2"/>
      <c r="BE510" s="2" t="s">
        <v>9656</v>
      </c>
      <c r="BF510" s="2" t="str">
        <f aca="false">HYPERLINK("http://dx.doi.org/10.4266/kjccm.2017.00038","http://dx.doi.org/10.4266/kjccm.2017.00038")</f>
        <v>http://dx.doi.org/10.4266/kjccm.2017.00038</v>
      </c>
      <c r="BG510" s="2"/>
      <c r="BH510" s="2"/>
      <c r="BI510" s="2" t="n">
        <v>8</v>
      </c>
      <c r="BJ510" s="2" t="s">
        <v>473</v>
      </c>
      <c r="BK510" s="2" t="s">
        <v>339</v>
      </c>
      <c r="BL510" s="2" t="s">
        <v>364</v>
      </c>
      <c r="BM510" s="2" t="s">
        <v>9657</v>
      </c>
      <c r="BN510" s="2" t="n">
        <v>31723632</v>
      </c>
      <c r="BO510" s="2" t="s">
        <v>103</v>
      </c>
      <c r="BP510" s="2"/>
      <c r="BQ510" s="2"/>
      <c r="BR510" s="2" t="s">
        <v>104</v>
      </c>
      <c r="BS510" s="2" t="s">
        <v>9658</v>
      </c>
      <c r="BT510" s="2" t="str">
        <f aca="false">HYPERLINK("https%3A%2F%2Fwww.webofscience.com%2Fwos%2Fwoscc%2Ffull-record%2FWOS:000476994900009","View Full Record in Web of Science")</f>
        <v>View Full Record in Web of Science</v>
      </c>
    </row>
    <row r="511" customFormat="false" ht="12.75" hidden="false" customHeight="false" outlineLevel="0" collapsed="false">
      <c r="A511" s="2" t="s">
        <v>72</v>
      </c>
      <c r="B511" s="2" t="s">
        <v>9659</v>
      </c>
      <c r="C511" s="2"/>
      <c r="D511" s="2"/>
      <c r="E511" s="2"/>
      <c r="F511" s="2" t="s">
        <v>9660</v>
      </c>
      <c r="G511" s="2"/>
      <c r="H511" s="2"/>
      <c r="I511" s="2" t="s">
        <v>9661</v>
      </c>
      <c r="J511" s="2" t="s">
        <v>3719</v>
      </c>
      <c r="K511" s="2"/>
      <c r="L511" s="2"/>
      <c r="M511" s="2" t="s">
        <v>77</v>
      </c>
      <c r="N511" s="2" t="s">
        <v>78</v>
      </c>
      <c r="O511" s="2"/>
      <c r="P511" s="2"/>
      <c r="Q511" s="2"/>
      <c r="R511" s="2"/>
      <c r="S511" s="2"/>
      <c r="T511" s="2" t="s">
        <v>9662</v>
      </c>
      <c r="U511" s="2" t="s">
        <v>9663</v>
      </c>
      <c r="V511" s="2" t="s">
        <v>9664</v>
      </c>
      <c r="W511" s="2" t="s">
        <v>9665</v>
      </c>
      <c r="X511" s="2" t="s">
        <v>9666</v>
      </c>
      <c r="Y511" s="2" t="s">
        <v>9667</v>
      </c>
      <c r="Z511" s="2" t="s">
        <v>9668</v>
      </c>
      <c r="AA511" s="2"/>
      <c r="AB511" s="2"/>
      <c r="AC511" s="2" t="s">
        <v>9669</v>
      </c>
      <c r="AD511" s="2" t="s">
        <v>9670</v>
      </c>
      <c r="AE511" s="2"/>
      <c r="AF511" s="2"/>
      <c r="AG511" s="2" t="n">
        <v>30</v>
      </c>
      <c r="AH511" s="2" t="n">
        <v>65</v>
      </c>
      <c r="AI511" s="2" t="n">
        <v>69</v>
      </c>
      <c r="AJ511" s="2" t="n">
        <v>0</v>
      </c>
      <c r="AK511" s="2" t="n">
        <v>1</v>
      </c>
      <c r="AL511" s="2" t="s">
        <v>3584</v>
      </c>
      <c r="AM511" s="2" t="s">
        <v>303</v>
      </c>
      <c r="AN511" s="2" t="s">
        <v>3585</v>
      </c>
      <c r="AO511" s="2" t="s">
        <v>3732</v>
      </c>
      <c r="AP511" s="2" t="s">
        <v>4677</v>
      </c>
      <c r="AQ511" s="2"/>
      <c r="AR511" s="2" t="s">
        <v>3733</v>
      </c>
      <c r="AS511" s="2" t="s">
        <v>3734</v>
      </c>
      <c r="AT511" s="2" t="s">
        <v>336</v>
      </c>
      <c r="AU511" s="2" t="n">
        <v>2006</v>
      </c>
      <c r="AV511" s="2" t="n">
        <v>53</v>
      </c>
      <c r="AW511" s="2" t="n">
        <v>4</v>
      </c>
      <c r="AX511" s="2"/>
      <c r="AY511" s="2"/>
      <c r="AZ511" s="2"/>
      <c r="BA511" s="2"/>
      <c r="BB511" s="2" t="n">
        <v>248</v>
      </c>
      <c r="BC511" s="2" t="n">
        <v>254</v>
      </c>
      <c r="BD511" s="2"/>
      <c r="BE511" s="2" t="s">
        <v>9671</v>
      </c>
      <c r="BF511" s="2" t="str">
        <f aca="false">HYPERLINK("http://dx.doi.org/10.1016/j.jinf.2005.11.010","http://dx.doi.org/10.1016/j.jinf.2005.11.010")</f>
        <v>http://dx.doi.org/10.1016/j.jinf.2005.11.010</v>
      </c>
      <c r="BG511" s="2"/>
      <c r="BH511" s="2"/>
      <c r="BI511" s="2" t="n">
        <v>7</v>
      </c>
      <c r="BJ511" s="2" t="s">
        <v>575</v>
      </c>
      <c r="BK511" s="2" t="s">
        <v>100</v>
      </c>
      <c r="BL511" s="2" t="s">
        <v>575</v>
      </c>
      <c r="BM511" s="2" t="s">
        <v>9672</v>
      </c>
      <c r="BN511" s="2" t="n">
        <v>16412516</v>
      </c>
      <c r="BO511" s="2" t="s">
        <v>9673</v>
      </c>
      <c r="BP511" s="2"/>
      <c r="BQ511" s="2"/>
      <c r="BR511" s="2" t="s">
        <v>104</v>
      </c>
      <c r="BS511" s="2" t="s">
        <v>9674</v>
      </c>
      <c r="BT511" s="2" t="str">
        <f aca="false">HYPERLINK("https%3A%2F%2Fwww.webofscience.com%2Fwos%2Fwoscc%2Ffull-record%2FWOS:000241324100005","View Full Record in Web of Science")</f>
        <v>View Full Record in Web of Science</v>
      </c>
    </row>
    <row r="512" customFormat="false" ht="12.75" hidden="false" customHeight="false" outlineLevel="0" collapsed="false">
      <c r="A512" s="2" t="s">
        <v>72</v>
      </c>
      <c r="B512" s="2" t="s">
        <v>9675</v>
      </c>
      <c r="C512" s="2"/>
      <c r="D512" s="2"/>
      <c r="E512" s="2"/>
      <c r="F512" s="2" t="s">
        <v>9676</v>
      </c>
      <c r="G512" s="2"/>
      <c r="H512" s="2"/>
      <c r="I512" s="2" t="s">
        <v>9677</v>
      </c>
      <c r="J512" s="2" t="s">
        <v>370</v>
      </c>
      <c r="K512" s="2"/>
      <c r="L512" s="2"/>
      <c r="M512" s="2" t="s">
        <v>77</v>
      </c>
      <c r="N512" s="2" t="s">
        <v>78</v>
      </c>
      <c r="O512" s="2"/>
      <c r="P512" s="2"/>
      <c r="Q512" s="2"/>
      <c r="R512" s="2"/>
      <c r="S512" s="2"/>
      <c r="T512" s="2" t="s">
        <v>9678</v>
      </c>
      <c r="U512" s="2" t="s">
        <v>9679</v>
      </c>
      <c r="V512" s="2" t="s">
        <v>9680</v>
      </c>
      <c r="W512" s="2" t="s">
        <v>9681</v>
      </c>
      <c r="X512" s="2"/>
      <c r="Y512" s="2" t="s">
        <v>9682</v>
      </c>
      <c r="Z512" s="2" t="s">
        <v>9683</v>
      </c>
      <c r="AA512" s="2"/>
      <c r="AB512" s="2"/>
      <c r="AC512" s="2"/>
      <c r="AD512" s="2"/>
      <c r="AE512" s="2"/>
      <c r="AF512" s="2"/>
      <c r="AG512" s="2" t="n">
        <v>18</v>
      </c>
      <c r="AH512" s="2" t="n">
        <v>32</v>
      </c>
      <c r="AI512" s="2" t="n">
        <v>34</v>
      </c>
      <c r="AJ512" s="2" t="n">
        <v>0</v>
      </c>
      <c r="AK512" s="2" t="n">
        <v>3</v>
      </c>
      <c r="AL512" s="2" t="s">
        <v>549</v>
      </c>
      <c r="AM512" s="2" t="s">
        <v>384</v>
      </c>
      <c r="AN512" s="2" t="s">
        <v>550</v>
      </c>
      <c r="AO512" s="2" t="s">
        <v>386</v>
      </c>
      <c r="AP512" s="2"/>
      <c r="AQ512" s="2"/>
      <c r="AR512" s="2" t="s">
        <v>388</v>
      </c>
      <c r="AS512" s="2" t="s">
        <v>389</v>
      </c>
      <c r="AT512" s="2" t="s">
        <v>1041</v>
      </c>
      <c r="AU512" s="2" t="n">
        <v>2012</v>
      </c>
      <c r="AV512" s="2" t="n">
        <v>53</v>
      </c>
      <c r="AW512" s="2" t="n">
        <v>2</v>
      </c>
      <c r="AX512" s="2"/>
      <c r="AY512" s="2"/>
      <c r="AZ512" s="2"/>
      <c r="BA512" s="2"/>
      <c r="BB512" s="2" t="n">
        <v>171</v>
      </c>
      <c r="BC512" s="2" t="n">
        <v>173</v>
      </c>
      <c r="BD512" s="2"/>
      <c r="BE512" s="2" t="s">
        <v>9684</v>
      </c>
      <c r="BF512" s="2" t="str">
        <f aca="false">HYPERLINK("http://dx.doi.org/10.1016/j.jcv.2011.10.010","http://dx.doi.org/10.1016/j.jcv.2011.10.010")</f>
        <v>http://dx.doi.org/10.1016/j.jcv.2011.10.010</v>
      </c>
      <c r="BG512" s="2"/>
      <c r="BH512" s="2"/>
      <c r="BI512" s="2" t="n">
        <v>3</v>
      </c>
      <c r="BJ512" s="2" t="s">
        <v>163</v>
      </c>
      <c r="BK512" s="2" t="s">
        <v>100</v>
      </c>
      <c r="BL512" s="2" t="s">
        <v>163</v>
      </c>
      <c r="BM512" s="2" t="s">
        <v>9685</v>
      </c>
      <c r="BN512" s="2" t="n">
        <v>22078146</v>
      </c>
      <c r="BO512" s="2"/>
      <c r="BP512" s="2"/>
      <c r="BQ512" s="2"/>
      <c r="BR512" s="2" t="s">
        <v>104</v>
      </c>
      <c r="BS512" s="2" t="s">
        <v>9686</v>
      </c>
      <c r="BT512" s="2" t="str">
        <f aca="false">HYPERLINK("https%3A%2F%2Fwww.webofscience.com%2Fwos%2Fwoscc%2Ffull-record%2FWOS:000299069000017","View Full Record in Web of Science")</f>
        <v>View Full Record in Web of Science</v>
      </c>
    </row>
    <row r="513" customFormat="false" ht="12.75" hidden="false" customHeight="false" outlineLevel="0" collapsed="false">
      <c r="A513" s="2" t="s">
        <v>72</v>
      </c>
      <c r="B513" s="2" t="s">
        <v>9687</v>
      </c>
      <c r="C513" s="2"/>
      <c r="D513" s="2"/>
      <c r="E513" s="2"/>
      <c r="F513" s="2" t="s">
        <v>9688</v>
      </c>
      <c r="G513" s="2"/>
      <c r="H513" s="2"/>
      <c r="I513" s="2" t="s">
        <v>9689</v>
      </c>
      <c r="J513" s="2" t="s">
        <v>3780</v>
      </c>
      <c r="K513" s="2"/>
      <c r="L513" s="2"/>
      <c r="M513" s="2" t="s">
        <v>77</v>
      </c>
      <c r="N513" s="2" t="s">
        <v>78</v>
      </c>
      <c r="O513" s="2"/>
      <c r="P513" s="2"/>
      <c r="Q513" s="2"/>
      <c r="R513" s="2"/>
      <c r="S513" s="2"/>
      <c r="T513" s="2" t="s">
        <v>9690</v>
      </c>
      <c r="U513" s="2" t="s">
        <v>9691</v>
      </c>
      <c r="V513" s="2" t="s">
        <v>9692</v>
      </c>
      <c r="W513" s="2" t="s">
        <v>9693</v>
      </c>
      <c r="X513" s="2" t="s">
        <v>9462</v>
      </c>
      <c r="Y513" s="2" t="s">
        <v>9694</v>
      </c>
      <c r="Z513" s="2" t="s">
        <v>9464</v>
      </c>
      <c r="AA513" s="2" t="s">
        <v>9695</v>
      </c>
      <c r="AB513" s="2"/>
      <c r="AC513" s="2" t="s">
        <v>9696</v>
      </c>
      <c r="AD513" s="2" t="s">
        <v>9467</v>
      </c>
      <c r="AE513" s="2" t="s">
        <v>9697</v>
      </c>
      <c r="AF513" s="2"/>
      <c r="AG513" s="2" t="n">
        <v>16</v>
      </c>
      <c r="AH513" s="2" t="n">
        <v>10</v>
      </c>
      <c r="AI513" s="2" t="n">
        <v>11</v>
      </c>
      <c r="AJ513" s="2" t="n">
        <v>0</v>
      </c>
      <c r="AK513" s="2" t="n">
        <v>4</v>
      </c>
      <c r="AL513" s="2" t="s">
        <v>122</v>
      </c>
      <c r="AM513" s="2" t="s">
        <v>123</v>
      </c>
      <c r="AN513" s="2" t="s">
        <v>124</v>
      </c>
      <c r="AO513" s="2" t="s">
        <v>3795</v>
      </c>
      <c r="AP513" s="2" t="s">
        <v>9469</v>
      </c>
      <c r="AQ513" s="2"/>
      <c r="AR513" s="2" t="s">
        <v>3796</v>
      </c>
      <c r="AS513" s="2" t="s">
        <v>3797</v>
      </c>
      <c r="AT513" s="2" t="s">
        <v>9698</v>
      </c>
      <c r="AU513" s="2" t="n">
        <v>2008</v>
      </c>
      <c r="AV513" s="2" t="n">
        <v>121</v>
      </c>
      <c r="AW513" s="2" t="n">
        <v>22</v>
      </c>
      <c r="AX513" s="2"/>
      <c r="AY513" s="2"/>
      <c r="AZ513" s="2"/>
      <c r="BA513" s="2"/>
      <c r="BB513" s="2" t="n">
        <v>2254</v>
      </c>
      <c r="BC513" s="2" t="n">
        <v>2257</v>
      </c>
      <c r="BD513" s="2"/>
      <c r="BE513" s="2" t="s">
        <v>9699</v>
      </c>
      <c r="BF513" s="2" t="str">
        <f aca="false">HYPERLINK("http://dx.doi.org/10.1097/00029330-200811020-00009","http://dx.doi.org/10.1097/00029330-200811020-00009")</f>
        <v>http://dx.doi.org/10.1097/00029330-200811020-00009</v>
      </c>
      <c r="BG513" s="2"/>
      <c r="BH513" s="2"/>
      <c r="BI513" s="2" t="n">
        <v>4</v>
      </c>
      <c r="BJ513" s="2" t="s">
        <v>363</v>
      </c>
      <c r="BK513" s="2" t="s">
        <v>100</v>
      </c>
      <c r="BL513" s="2" t="s">
        <v>364</v>
      </c>
      <c r="BM513" s="2" t="s">
        <v>9700</v>
      </c>
      <c r="BN513" s="2" t="n">
        <v>19080329</v>
      </c>
      <c r="BO513" s="2" t="s">
        <v>1355</v>
      </c>
      <c r="BP513" s="2"/>
      <c r="BQ513" s="2"/>
      <c r="BR513" s="2" t="s">
        <v>104</v>
      </c>
      <c r="BS513" s="2" t="s">
        <v>9701</v>
      </c>
      <c r="BT513" s="2" t="str">
        <f aca="false">HYPERLINK("https%3A%2F%2Fwww.webofscience.com%2Fwos%2Fwoscc%2Ffull-record%2FWOS:000261364200009","View Full Record in Web of Science")</f>
        <v>View Full Record in Web of Science</v>
      </c>
    </row>
    <row r="514" customFormat="false" ht="12.75" hidden="false" customHeight="false" outlineLevel="0" collapsed="false">
      <c r="A514" s="2" t="s">
        <v>72</v>
      </c>
      <c r="B514" s="2" t="s">
        <v>9702</v>
      </c>
      <c r="C514" s="2"/>
      <c r="D514" s="2"/>
      <c r="E514" s="2"/>
      <c r="F514" s="2" t="s">
        <v>9702</v>
      </c>
      <c r="G514" s="2"/>
      <c r="H514" s="2"/>
      <c r="I514" s="2" t="s">
        <v>9703</v>
      </c>
      <c r="J514" s="2" t="s">
        <v>109</v>
      </c>
      <c r="K514" s="2"/>
      <c r="L514" s="2"/>
      <c r="M514" s="2" t="s">
        <v>77</v>
      </c>
      <c r="N514" s="2" t="s">
        <v>78</v>
      </c>
      <c r="O514" s="2"/>
      <c r="P514" s="2"/>
      <c r="Q514" s="2"/>
      <c r="R514" s="2"/>
      <c r="S514" s="2"/>
      <c r="T514" s="2" t="s">
        <v>9704</v>
      </c>
      <c r="U514" s="2" t="s">
        <v>9705</v>
      </c>
      <c r="V514" s="2" t="s">
        <v>9706</v>
      </c>
      <c r="W514" s="2" t="s">
        <v>9707</v>
      </c>
      <c r="X514" s="2" t="s">
        <v>9708</v>
      </c>
      <c r="Y514" s="2" t="s">
        <v>9709</v>
      </c>
      <c r="Z514" s="2" t="s">
        <v>9710</v>
      </c>
      <c r="AA514" s="2"/>
      <c r="AB514" s="2"/>
      <c r="AC514" s="2"/>
      <c r="AD514" s="2"/>
      <c r="AE514" s="2"/>
      <c r="AF514" s="2"/>
      <c r="AG514" s="2" t="n">
        <v>27</v>
      </c>
      <c r="AH514" s="2" t="n">
        <v>24</v>
      </c>
      <c r="AI514" s="2" t="n">
        <v>29</v>
      </c>
      <c r="AJ514" s="2" t="n">
        <v>0</v>
      </c>
      <c r="AK514" s="2" t="n">
        <v>0</v>
      </c>
      <c r="AL514" s="2" t="s">
        <v>122</v>
      </c>
      <c r="AM514" s="2" t="s">
        <v>123</v>
      </c>
      <c r="AN514" s="2" t="s">
        <v>124</v>
      </c>
      <c r="AO514" s="2" t="s">
        <v>125</v>
      </c>
      <c r="AP514" s="2" t="s">
        <v>126</v>
      </c>
      <c r="AQ514" s="2"/>
      <c r="AR514" s="2" t="s">
        <v>127</v>
      </c>
      <c r="AS514" s="2" t="s">
        <v>128</v>
      </c>
      <c r="AT514" s="2" t="s">
        <v>336</v>
      </c>
      <c r="AU514" s="2" t="n">
        <v>2005</v>
      </c>
      <c r="AV514" s="2" t="n">
        <v>24</v>
      </c>
      <c r="AW514" s="2" t="n">
        <v>10</v>
      </c>
      <c r="AX514" s="2"/>
      <c r="AY514" s="2"/>
      <c r="AZ514" s="2"/>
      <c r="BA514" s="2"/>
      <c r="BB514" s="2" t="n">
        <v>905</v>
      </c>
      <c r="BC514" s="2" t="n">
        <v>908</v>
      </c>
      <c r="BD514" s="2"/>
      <c r="BE514" s="2" t="s">
        <v>9711</v>
      </c>
      <c r="BF514" s="2" t="str">
        <f aca="false">HYPERLINK("http://dx.doi.org/10.1097/01.inf.0000180984.61778.1e","http://dx.doi.org/10.1097/01.inf.0000180984.61778.1e")</f>
        <v>http://dx.doi.org/10.1097/01.inf.0000180984.61778.1e</v>
      </c>
      <c r="BG514" s="2"/>
      <c r="BH514" s="2"/>
      <c r="BI514" s="2" t="n">
        <v>4</v>
      </c>
      <c r="BJ514" s="2" t="s">
        <v>134</v>
      </c>
      <c r="BK514" s="2" t="s">
        <v>100</v>
      </c>
      <c r="BL514" s="2" t="s">
        <v>134</v>
      </c>
      <c r="BM514" s="2" t="s">
        <v>9712</v>
      </c>
      <c r="BN514" s="2" t="n">
        <v>16220090</v>
      </c>
      <c r="BO514" s="2"/>
      <c r="BP514" s="2"/>
      <c r="BQ514" s="2"/>
      <c r="BR514" s="2" t="s">
        <v>104</v>
      </c>
      <c r="BS514" s="2" t="s">
        <v>9713</v>
      </c>
      <c r="BT514" s="2" t="str">
        <f aca="false">HYPERLINK("https%3A%2F%2Fwww.webofscience.com%2Fwos%2Fwoscc%2Ffull-record%2FWOS:000232727500009","View Full Record in Web of Science")</f>
        <v>View Full Record in Web of Science</v>
      </c>
    </row>
    <row r="515" customFormat="false" ht="12.75" hidden="false" customHeight="false" outlineLevel="0" collapsed="false">
      <c r="A515" s="2" t="s">
        <v>72</v>
      </c>
      <c r="B515" s="2" t="s">
        <v>9714</v>
      </c>
      <c r="C515" s="2"/>
      <c r="D515" s="2"/>
      <c r="E515" s="2"/>
      <c r="F515" s="2" t="s">
        <v>9715</v>
      </c>
      <c r="G515" s="2"/>
      <c r="H515" s="2"/>
      <c r="I515" s="2" t="s">
        <v>9716</v>
      </c>
      <c r="J515" s="2" t="s">
        <v>370</v>
      </c>
      <c r="K515" s="2"/>
      <c r="L515" s="2"/>
      <c r="M515" s="2" t="s">
        <v>77</v>
      </c>
      <c r="N515" s="2" t="s">
        <v>78</v>
      </c>
      <c r="O515" s="2"/>
      <c r="P515" s="2"/>
      <c r="Q515" s="2"/>
      <c r="R515" s="2"/>
      <c r="S515" s="2"/>
      <c r="T515" s="2" t="s">
        <v>9717</v>
      </c>
      <c r="U515" s="2" t="s">
        <v>9718</v>
      </c>
      <c r="V515" s="2" t="s">
        <v>9719</v>
      </c>
      <c r="W515" s="2" t="s">
        <v>9720</v>
      </c>
      <c r="X515" s="2" t="s">
        <v>8071</v>
      </c>
      <c r="Y515" s="2" t="s">
        <v>9721</v>
      </c>
      <c r="Z515" s="2" t="s">
        <v>9722</v>
      </c>
      <c r="AA515" s="2" t="s">
        <v>9723</v>
      </c>
      <c r="AB515" s="2" t="s">
        <v>9724</v>
      </c>
      <c r="AC515" s="2"/>
      <c r="AD515" s="2"/>
      <c r="AE515" s="2"/>
      <c r="AF515" s="2"/>
      <c r="AG515" s="2" t="n">
        <v>30</v>
      </c>
      <c r="AH515" s="2" t="n">
        <v>21</v>
      </c>
      <c r="AI515" s="2" t="n">
        <v>24</v>
      </c>
      <c r="AJ515" s="2" t="n">
        <v>0</v>
      </c>
      <c r="AK515" s="2" t="n">
        <v>2</v>
      </c>
      <c r="AL515" s="2" t="s">
        <v>549</v>
      </c>
      <c r="AM515" s="2" t="s">
        <v>384</v>
      </c>
      <c r="AN515" s="2" t="s">
        <v>550</v>
      </c>
      <c r="AO515" s="2" t="s">
        <v>386</v>
      </c>
      <c r="AP515" s="2" t="s">
        <v>387</v>
      </c>
      <c r="AQ515" s="2"/>
      <c r="AR515" s="2" t="s">
        <v>388</v>
      </c>
      <c r="AS515" s="2" t="s">
        <v>389</v>
      </c>
      <c r="AT515" s="2" t="s">
        <v>161</v>
      </c>
      <c r="AU515" s="2" t="n">
        <v>2008</v>
      </c>
      <c r="AV515" s="2" t="n">
        <v>41</v>
      </c>
      <c r="AW515" s="2" t="n">
        <v>1</v>
      </c>
      <c r="AX515" s="2"/>
      <c r="AY515" s="2"/>
      <c r="AZ515" s="2"/>
      <c r="BA515" s="2"/>
      <c r="BB515" s="2" t="n">
        <v>45</v>
      </c>
      <c r="BC515" s="2" t="n">
        <v>48</v>
      </c>
      <c r="BD515" s="2"/>
      <c r="BE515" s="2" t="s">
        <v>9725</v>
      </c>
      <c r="BF515" s="2" t="str">
        <f aca="false">HYPERLINK("http://dx.doi.org/10.1016/j.jcv.2007.10.022","http://dx.doi.org/10.1016/j.jcv.2007.10.022")</f>
        <v>http://dx.doi.org/10.1016/j.jcv.2007.10.022</v>
      </c>
      <c r="BG515" s="2"/>
      <c r="BH515" s="2"/>
      <c r="BI515" s="2" t="n">
        <v>4</v>
      </c>
      <c r="BJ515" s="2" t="s">
        <v>163</v>
      </c>
      <c r="BK515" s="2" t="s">
        <v>100</v>
      </c>
      <c r="BL515" s="2" t="s">
        <v>163</v>
      </c>
      <c r="BM515" s="2" t="s">
        <v>5570</v>
      </c>
      <c r="BN515" s="2" t="n">
        <v>18054841</v>
      </c>
      <c r="BO515" s="2"/>
      <c r="BP515" s="2"/>
      <c r="BQ515" s="2"/>
      <c r="BR515" s="2" t="s">
        <v>104</v>
      </c>
      <c r="BS515" s="2" t="s">
        <v>9726</v>
      </c>
      <c r="BT515" s="2" t="str">
        <f aca="false">HYPERLINK("https%3A%2F%2Fwww.webofscience.com%2Fwos%2Fwoscc%2Ffull-record%2FWOS:000253060400010","View Full Record in Web of Science")</f>
        <v>View Full Record in Web of Science</v>
      </c>
    </row>
    <row r="516" customFormat="false" ht="12.75" hidden="false" customHeight="false" outlineLevel="0" collapsed="false">
      <c r="A516" s="2" t="s">
        <v>72</v>
      </c>
      <c r="B516" s="2" t="s">
        <v>9727</v>
      </c>
      <c r="C516" s="2"/>
      <c r="D516" s="2"/>
      <c r="E516" s="2"/>
      <c r="F516" s="2" t="s">
        <v>9728</v>
      </c>
      <c r="G516" s="2"/>
      <c r="H516" s="2"/>
      <c r="I516" s="2" t="s">
        <v>9729</v>
      </c>
      <c r="J516" s="2" t="s">
        <v>1413</v>
      </c>
      <c r="K516" s="2"/>
      <c r="L516" s="2"/>
      <c r="M516" s="2" t="s">
        <v>77</v>
      </c>
      <c r="N516" s="2" t="s">
        <v>78</v>
      </c>
      <c r="O516" s="2"/>
      <c r="P516" s="2"/>
      <c r="Q516" s="2"/>
      <c r="R516" s="2"/>
      <c r="S516" s="2"/>
      <c r="T516" s="2" t="s">
        <v>9730</v>
      </c>
      <c r="U516" s="2" t="s">
        <v>9731</v>
      </c>
      <c r="V516" s="2" t="s">
        <v>9732</v>
      </c>
      <c r="W516" s="2" t="s">
        <v>9733</v>
      </c>
      <c r="X516" s="2" t="s">
        <v>9631</v>
      </c>
      <c r="Y516" s="2" t="s">
        <v>9734</v>
      </c>
      <c r="Z516" s="2" t="s">
        <v>6724</v>
      </c>
      <c r="AA516" s="2" t="s">
        <v>750</v>
      </c>
      <c r="AB516" s="2" t="s">
        <v>2851</v>
      </c>
      <c r="AC516" s="2" t="s">
        <v>9735</v>
      </c>
      <c r="AD516" s="2" t="s">
        <v>9736</v>
      </c>
      <c r="AE516" s="2" t="s">
        <v>9737</v>
      </c>
      <c r="AF516" s="2"/>
      <c r="AG516" s="2" t="n">
        <v>75</v>
      </c>
      <c r="AH516" s="2" t="n">
        <v>25</v>
      </c>
      <c r="AI516" s="2" t="n">
        <v>31</v>
      </c>
      <c r="AJ516" s="2" t="n">
        <v>0</v>
      </c>
      <c r="AK516" s="2" t="n">
        <v>1</v>
      </c>
      <c r="AL516" s="2" t="s">
        <v>383</v>
      </c>
      <c r="AM516" s="2" t="s">
        <v>384</v>
      </c>
      <c r="AN516" s="2" t="s">
        <v>385</v>
      </c>
      <c r="AO516" s="2" t="s">
        <v>1421</v>
      </c>
      <c r="AP516" s="2" t="s">
        <v>1422</v>
      </c>
      <c r="AQ516" s="2"/>
      <c r="AR516" s="2" t="s">
        <v>1423</v>
      </c>
      <c r="AS516" s="2" t="s">
        <v>1424</v>
      </c>
      <c r="AT516" s="2" t="s">
        <v>129</v>
      </c>
      <c r="AU516" s="2" t="n">
        <v>2011</v>
      </c>
      <c r="AV516" s="2" t="n">
        <v>160</v>
      </c>
      <c r="AW516" s="2" t="s">
        <v>1407</v>
      </c>
      <c r="AX516" s="2"/>
      <c r="AY516" s="2"/>
      <c r="AZ516" s="2"/>
      <c r="BA516" s="2"/>
      <c r="BB516" s="2" t="n">
        <v>200</v>
      </c>
      <c r="BC516" s="2" t="n">
        <v>205</v>
      </c>
      <c r="BD516" s="2"/>
      <c r="BE516" s="2" t="s">
        <v>9738</v>
      </c>
      <c r="BF516" s="2" t="str">
        <f aca="false">HYPERLINK("http://dx.doi.org/10.1016/j.virusres.2011.06.014","http://dx.doi.org/10.1016/j.virusres.2011.06.014")</f>
        <v>http://dx.doi.org/10.1016/j.virusres.2011.06.014</v>
      </c>
      <c r="BG516" s="2"/>
      <c r="BH516" s="2"/>
      <c r="BI516" s="2" t="n">
        <v>6</v>
      </c>
      <c r="BJ516" s="2" t="s">
        <v>163</v>
      </c>
      <c r="BK516" s="2" t="s">
        <v>100</v>
      </c>
      <c r="BL516" s="2" t="s">
        <v>163</v>
      </c>
      <c r="BM516" s="2" t="s">
        <v>9739</v>
      </c>
      <c r="BN516" s="2" t="n">
        <v>21740936</v>
      </c>
      <c r="BO516" s="2" t="s">
        <v>695</v>
      </c>
      <c r="BP516" s="2"/>
      <c r="BQ516" s="2"/>
      <c r="BR516" s="2" t="s">
        <v>104</v>
      </c>
      <c r="BS516" s="2" t="s">
        <v>9740</v>
      </c>
      <c r="BT516" s="2" t="str">
        <f aca="false">HYPERLINK("https%3A%2F%2Fwww.webofscience.com%2Fwos%2Fwoscc%2Ffull-record%2FWOS:000295345600025","View Full Record in Web of Science")</f>
        <v>View Full Record in Web of Science</v>
      </c>
    </row>
    <row r="517" customFormat="false" ht="12.75" hidden="false" customHeight="false" outlineLevel="0" collapsed="false">
      <c r="A517" s="2" t="s">
        <v>72</v>
      </c>
      <c r="B517" s="2" t="s">
        <v>9741</v>
      </c>
      <c r="C517" s="2"/>
      <c r="D517" s="2"/>
      <c r="E517" s="2"/>
      <c r="F517" s="2" t="s">
        <v>9742</v>
      </c>
      <c r="G517" s="2"/>
      <c r="H517" s="2"/>
      <c r="I517" s="2" t="s">
        <v>9743</v>
      </c>
      <c r="J517" s="2" t="s">
        <v>9744</v>
      </c>
      <c r="K517" s="2"/>
      <c r="L517" s="2"/>
      <c r="M517" s="2" t="s">
        <v>77</v>
      </c>
      <c r="N517" s="2" t="s">
        <v>78</v>
      </c>
      <c r="O517" s="2"/>
      <c r="P517" s="2"/>
      <c r="Q517" s="2"/>
      <c r="R517" s="2"/>
      <c r="S517" s="2"/>
      <c r="T517" s="2" t="s">
        <v>9745</v>
      </c>
      <c r="U517" s="2" t="s">
        <v>9746</v>
      </c>
      <c r="V517" s="2" t="s">
        <v>9747</v>
      </c>
      <c r="W517" s="2" t="s">
        <v>9748</v>
      </c>
      <c r="X517" s="2" t="s">
        <v>9749</v>
      </c>
      <c r="Y517" s="2" t="s">
        <v>9750</v>
      </c>
      <c r="Z517" s="2" t="s">
        <v>9751</v>
      </c>
      <c r="AA517" s="2" t="s">
        <v>9752</v>
      </c>
      <c r="AB517" s="2" t="s">
        <v>9753</v>
      </c>
      <c r="AC517" s="2" t="s">
        <v>9754</v>
      </c>
      <c r="AD517" s="2" t="s">
        <v>9755</v>
      </c>
      <c r="AE517" s="2" t="s">
        <v>9756</v>
      </c>
      <c r="AF517" s="2"/>
      <c r="AG517" s="2" t="n">
        <v>34</v>
      </c>
      <c r="AH517" s="2" t="n">
        <v>4</v>
      </c>
      <c r="AI517" s="2" t="n">
        <v>5</v>
      </c>
      <c r="AJ517" s="2" t="n">
        <v>0</v>
      </c>
      <c r="AK517" s="2" t="n">
        <v>5</v>
      </c>
      <c r="AL517" s="2" t="s">
        <v>302</v>
      </c>
      <c r="AM517" s="2" t="s">
        <v>303</v>
      </c>
      <c r="AN517" s="2" t="s">
        <v>304</v>
      </c>
      <c r="AO517" s="2" t="s">
        <v>9757</v>
      </c>
      <c r="AP517" s="2"/>
      <c r="AQ517" s="2"/>
      <c r="AR517" s="2" t="s">
        <v>9744</v>
      </c>
      <c r="AS517" s="2" t="s">
        <v>9758</v>
      </c>
      <c r="AT517" s="2" t="s">
        <v>2795</v>
      </c>
      <c r="AU517" s="2" t="n">
        <v>2020</v>
      </c>
      <c r="AV517" s="2" t="n">
        <v>21</v>
      </c>
      <c r="AW517" s="2" t="n">
        <v>1</v>
      </c>
      <c r="AX517" s="2"/>
      <c r="AY517" s="2"/>
      <c r="AZ517" s="2"/>
      <c r="BA517" s="2"/>
      <c r="BB517" s="2"/>
      <c r="BC517" s="2"/>
      <c r="BD517" s="2"/>
      <c r="BE517" s="2" t="s">
        <v>9759</v>
      </c>
      <c r="BF517" s="2" t="str">
        <f aca="false">HYPERLINK("http://dx.doi.org/10.1186/s12864-019-6400-z","http://dx.doi.org/10.1186/s12864-019-6400-z")</f>
        <v>http://dx.doi.org/10.1186/s12864-019-6400-z</v>
      </c>
      <c r="BG517" s="2"/>
      <c r="BH517" s="2"/>
      <c r="BI517" s="2" t="n">
        <v>10</v>
      </c>
      <c r="BJ517" s="2" t="s">
        <v>9760</v>
      </c>
      <c r="BK517" s="2" t="s">
        <v>100</v>
      </c>
      <c r="BL517" s="2" t="s">
        <v>9760</v>
      </c>
      <c r="BM517" s="2" t="s">
        <v>9761</v>
      </c>
      <c r="BN517" s="2" t="n">
        <v>31898474</v>
      </c>
      <c r="BO517" s="2" t="s">
        <v>190</v>
      </c>
      <c r="BP517" s="2"/>
      <c r="BQ517" s="2"/>
      <c r="BR517" s="2" t="s">
        <v>104</v>
      </c>
      <c r="BS517" s="2" t="s">
        <v>9762</v>
      </c>
      <c r="BT517" s="2" t="str">
        <f aca="false">HYPERLINK("https%3A%2F%2Fwww.webofscience.com%2Fwos%2Fwoscc%2Ffull-record%2FWOS:000513168400004","View Full Record in Web of Science")</f>
        <v>View Full Record in Web of Science</v>
      </c>
    </row>
    <row r="518" customFormat="false" ht="12.75" hidden="false" customHeight="false" outlineLevel="0" collapsed="false">
      <c r="A518" s="2" t="s">
        <v>72</v>
      </c>
      <c r="B518" s="2" t="s">
        <v>9763</v>
      </c>
      <c r="C518" s="2"/>
      <c r="D518" s="2"/>
      <c r="E518" s="2"/>
      <c r="F518" s="2" t="s">
        <v>9764</v>
      </c>
      <c r="G518" s="2"/>
      <c r="H518" s="2"/>
      <c r="I518" s="2" t="s">
        <v>9765</v>
      </c>
      <c r="J518" s="2" t="s">
        <v>370</v>
      </c>
      <c r="K518" s="2"/>
      <c r="L518" s="2"/>
      <c r="M518" s="2" t="s">
        <v>77</v>
      </c>
      <c r="N518" s="2" t="s">
        <v>78</v>
      </c>
      <c r="O518" s="2"/>
      <c r="P518" s="2"/>
      <c r="Q518" s="2"/>
      <c r="R518" s="2"/>
      <c r="S518" s="2"/>
      <c r="T518" s="2" t="s">
        <v>9766</v>
      </c>
      <c r="U518" s="2" t="s">
        <v>9767</v>
      </c>
      <c r="V518" s="2" t="s">
        <v>9768</v>
      </c>
      <c r="W518" s="2" t="s">
        <v>9769</v>
      </c>
      <c r="X518" s="2" t="s">
        <v>9770</v>
      </c>
      <c r="Y518" s="2" t="s">
        <v>9771</v>
      </c>
      <c r="Z518" s="2" t="s">
        <v>9772</v>
      </c>
      <c r="AA518" s="2" t="s">
        <v>9773</v>
      </c>
      <c r="AB518" s="2" t="s">
        <v>9774</v>
      </c>
      <c r="AC518" s="2"/>
      <c r="AD518" s="2"/>
      <c r="AE518" s="2"/>
      <c r="AF518" s="2"/>
      <c r="AG518" s="2" t="n">
        <v>13</v>
      </c>
      <c r="AH518" s="2" t="n">
        <v>24</v>
      </c>
      <c r="AI518" s="2" t="n">
        <v>24</v>
      </c>
      <c r="AJ518" s="2" t="n">
        <v>1</v>
      </c>
      <c r="AK518" s="2" t="n">
        <v>3</v>
      </c>
      <c r="AL518" s="2" t="s">
        <v>549</v>
      </c>
      <c r="AM518" s="2" t="s">
        <v>384</v>
      </c>
      <c r="AN518" s="2" t="s">
        <v>550</v>
      </c>
      <c r="AO518" s="2" t="s">
        <v>386</v>
      </c>
      <c r="AP518" s="2" t="s">
        <v>387</v>
      </c>
      <c r="AQ518" s="2"/>
      <c r="AR518" s="2" t="s">
        <v>388</v>
      </c>
      <c r="AS518" s="2" t="s">
        <v>389</v>
      </c>
      <c r="AT518" s="2" t="s">
        <v>446</v>
      </c>
      <c r="AU518" s="2" t="n">
        <v>2014</v>
      </c>
      <c r="AV518" s="2" t="n">
        <v>61</v>
      </c>
      <c r="AW518" s="2" t="n">
        <v>4</v>
      </c>
      <c r="AX518" s="2"/>
      <c r="AY518" s="2"/>
      <c r="AZ518" s="2"/>
      <c r="BA518" s="2"/>
      <c r="BB518" s="2" t="n">
        <v>593</v>
      </c>
      <c r="BC518" s="2" t="n">
        <v>596</v>
      </c>
      <c r="BD518" s="2"/>
      <c r="BE518" s="2" t="s">
        <v>9775</v>
      </c>
      <c r="BF518" s="2" t="str">
        <f aca="false">HYPERLINK("http://dx.doi.org/10.1016/j.jcv.2014.08.019","http://dx.doi.org/10.1016/j.jcv.2014.08.019")</f>
        <v>http://dx.doi.org/10.1016/j.jcv.2014.08.019</v>
      </c>
      <c r="BG518" s="2"/>
      <c r="BH518" s="2"/>
      <c r="BI518" s="2" t="n">
        <v>4</v>
      </c>
      <c r="BJ518" s="2" t="s">
        <v>163</v>
      </c>
      <c r="BK518" s="2" t="s">
        <v>100</v>
      </c>
      <c r="BL518" s="2" t="s">
        <v>163</v>
      </c>
      <c r="BM518" s="2" t="s">
        <v>9776</v>
      </c>
      <c r="BN518" s="2" t="n">
        <v>25440914</v>
      </c>
      <c r="BO518" s="2" t="s">
        <v>1227</v>
      </c>
      <c r="BP518" s="2"/>
      <c r="BQ518" s="2"/>
      <c r="BR518" s="2" t="s">
        <v>104</v>
      </c>
      <c r="BS518" s="2" t="s">
        <v>9777</v>
      </c>
      <c r="BT518" s="2" t="str">
        <f aca="false">HYPERLINK("https%3A%2F%2Fwww.webofscience.com%2Fwos%2Fwoscc%2Ffull-record%2FWOS:000345579900020","View Full Record in Web of Science")</f>
        <v>View Full Record in Web of Science</v>
      </c>
    </row>
    <row r="519" customFormat="false" ht="12.75" hidden="false" customHeight="false" outlineLevel="0" collapsed="false">
      <c r="A519" s="2" t="s">
        <v>72</v>
      </c>
      <c r="B519" s="2" t="s">
        <v>9778</v>
      </c>
      <c r="C519" s="2"/>
      <c r="D519" s="2"/>
      <c r="E519" s="2"/>
      <c r="F519" s="2" t="s">
        <v>9779</v>
      </c>
      <c r="G519" s="2"/>
      <c r="H519" s="2"/>
      <c r="I519" s="2" t="s">
        <v>9780</v>
      </c>
      <c r="J519" s="2" t="s">
        <v>3545</v>
      </c>
      <c r="K519" s="2"/>
      <c r="L519" s="2"/>
      <c r="M519" s="2" t="s">
        <v>77</v>
      </c>
      <c r="N519" s="2" t="s">
        <v>78</v>
      </c>
      <c r="O519" s="2"/>
      <c r="P519" s="2"/>
      <c r="Q519" s="2"/>
      <c r="R519" s="2"/>
      <c r="S519" s="2"/>
      <c r="T519" s="2" t="s">
        <v>9781</v>
      </c>
      <c r="U519" s="2" t="s">
        <v>9782</v>
      </c>
      <c r="V519" s="2" t="s">
        <v>9783</v>
      </c>
      <c r="W519" s="2" t="s">
        <v>9784</v>
      </c>
      <c r="X519" s="2" t="s">
        <v>221</v>
      </c>
      <c r="Y519" s="2" t="s">
        <v>9785</v>
      </c>
      <c r="Z519" s="2" t="s">
        <v>9786</v>
      </c>
      <c r="AA519" s="2" t="s">
        <v>224</v>
      </c>
      <c r="AB519" s="2" t="s">
        <v>9787</v>
      </c>
      <c r="AC519" s="2"/>
      <c r="AD519" s="2"/>
      <c r="AE519" s="2"/>
      <c r="AF519" s="2"/>
      <c r="AG519" s="2" t="n">
        <v>28</v>
      </c>
      <c r="AH519" s="2" t="n">
        <v>23</v>
      </c>
      <c r="AI519" s="2" t="n">
        <v>25</v>
      </c>
      <c r="AJ519" s="2" t="n">
        <v>0</v>
      </c>
      <c r="AK519" s="2" t="n">
        <v>1</v>
      </c>
      <c r="AL519" s="2" t="s">
        <v>3557</v>
      </c>
      <c r="AM519" s="2" t="s">
        <v>330</v>
      </c>
      <c r="AN519" s="2" t="s">
        <v>9451</v>
      </c>
      <c r="AO519" s="2" t="s">
        <v>3559</v>
      </c>
      <c r="AP519" s="2" t="s">
        <v>3560</v>
      </c>
      <c r="AQ519" s="2"/>
      <c r="AR519" s="2" t="s">
        <v>3561</v>
      </c>
      <c r="AS519" s="2" t="s">
        <v>3562</v>
      </c>
      <c r="AT519" s="2" t="s">
        <v>336</v>
      </c>
      <c r="AU519" s="2" t="n">
        <v>2006</v>
      </c>
      <c r="AV519" s="2" t="n">
        <v>21</v>
      </c>
      <c r="AW519" s="2" t="n">
        <v>5</v>
      </c>
      <c r="AX519" s="2"/>
      <c r="AY519" s="2"/>
      <c r="AZ519" s="2"/>
      <c r="BA519" s="2"/>
      <c r="BB519" s="2" t="n">
        <v>838</v>
      </c>
      <c r="BC519" s="2" t="n">
        <v>842</v>
      </c>
      <c r="BD519" s="2"/>
      <c r="BE519" s="2" t="s">
        <v>9788</v>
      </c>
      <c r="BF519" s="2" t="str">
        <f aca="false">HYPERLINK("http://dx.doi.org/10.3346/jkms.2006.21.5.838","http://dx.doi.org/10.3346/jkms.2006.21.5.838")</f>
        <v>http://dx.doi.org/10.3346/jkms.2006.21.5.838</v>
      </c>
      <c r="BG519" s="2"/>
      <c r="BH519" s="2"/>
      <c r="BI519" s="2" t="n">
        <v>5</v>
      </c>
      <c r="BJ519" s="2" t="s">
        <v>363</v>
      </c>
      <c r="BK519" s="2" t="s">
        <v>100</v>
      </c>
      <c r="BL519" s="2" t="s">
        <v>364</v>
      </c>
      <c r="BM519" s="2" t="s">
        <v>9789</v>
      </c>
      <c r="BN519" s="2" t="n">
        <v>17043416</v>
      </c>
      <c r="BO519" s="2" t="s">
        <v>3775</v>
      </c>
      <c r="BP519" s="2"/>
      <c r="BQ519" s="2"/>
      <c r="BR519" s="2" t="s">
        <v>104</v>
      </c>
      <c r="BS519" s="2" t="s">
        <v>9790</v>
      </c>
      <c r="BT519" s="2" t="str">
        <f aca="false">HYPERLINK("https%3A%2F%2Fwww.webofscience.com%2Fwos%2Fwoscc%2Ffull-record%2FWOS:000241592800011","View Full Record in Web of Science")</f>
        <v>View Full Record in Web of Science</v>
      </c>
    </row>
    <row r="520" customFormat="false" ht="12.75" hidden="false" customHeight="false" outlineLevel="0" collapsed="false">
      <c r="A520" s="2" t="s">
        <v>72</v>
      </c>
      <c r="B520" s="2" t="s">
        <v>9791</v>
      </c>
      <c r="C520" s="2"/>
      <c r="D520" s="2"/>
      <c r="E520" s="2"/>
      <c r="F520" s="2" t="s">
        <v>9792</v>
      </c>
      <c r="G520" s="2"/>
      <c r="H520" s="2"/>
      <c r="I520" s="2" t="s">
        <v>9793</v>
      </c>
      <c r="J520" s="2" t="s">
        <v>109</v>
      </c>
      <c r="K520" s="2"/>
      <c r="L520" s="2"/>
      <c r="M520" s="2" t="s">
        <v>77</v>
      </c>
      <c r="N520" s="2" t="s">
        <v>78</v>
      </c>
      <c r="O520" s="2"/>
      <c r="P520" s="2"/>
      <c r="Q520" s="2"/>
      <c r="R520" s="2"/>
      <c r="S520" s="2"/>
      <c r="T520" s="2" t="s">
        <v>9794</v>
      </c>
      <c r="U520" s="2" t="s">
        <v>9795</v>
      </c>
      <c r="V520" s="2" t="s">
        <v>9796</v>
      </c>
      <c r="W520" s="2" t="s">
        <v>9797</v>
      </c>
      <c r="X520" s="2" t="s">
        <v>9798</v>
      </c>
      <c r="Y520" s="2" t="s">
        <v>9799</v>
      </c>
      <c r="Z520" s="2" t="s">
        <v>9218</v>
      </c>
      <c r="AA520" s="2" t="s">
        <v>9800</v>
      </c>
      <c r="AB520" s="2" t="s">
        <v>9801</v>
      </c>
      <c r="AC520" s="2"/>
      <c r="AD520" s="2"/>
      <c r="AE520" s="2"/>
      <c r="AF520" s="2"/>
      <c r="AG520" s="2" t="n">
        <v>35</v>
      </c>
      <c r="AH520" s="2" t="n">
        <v>66</v>
      </c>
      <c r="AI520" s="2" t="n">
        <v>79</v>
      </c>
      <c r="AJ520" s="2" t="n">
        <v>0</v>
      </c>
      <c r="AK520" s="2" t="n">
        <v>1</v>
      </c>
      <c r="AL520" s="2" t="s">
        <v>122</v>
      </c>
      <c r="AM520" s="2" t="s">
        <v>123</v>
      </c>
      <c r="AN520" s="2" t="s">
        <v>124</v>
      </c>
      <c r="AO520" s="2" t="s">
        <v>125</v>
      </c>
      <c r="AP520" s="2" t="s">
        <v>126</v>
      </c>
      <c r="AQ520" s="2"/>
      <c r="AR520" s="2" t="s">
        <v>127</v>
      </c>
      <c r="AS520" s="2" t="s">
        <v>128</v>
      </c>
      <c r="AT520" s="2" t="s">
        <v>390</v>
      </c>
      <c r="AU520" s="2" t="n">
        <v>2008</v>
      </c>
      <c r="AV520" s="2" t="n">
        <v>27</v>
      </c>
      <c r="AW520" s="2" t="n">
        <v>5</v>
      </c>
      <c r="AX520" s="2"/>
      <c r="AY520" s="2"/>
      <c r="AZ520" s="2"/>
      <c r="BA520" s="2"/>
      <c r="BB520" s="2" t="n">
        <v>406</v>
      </c>
      <c r="BC520" s="2" t="n">
        <v>412</v>
      </c>
      <c r="BD520" s="2"/>
      <c r="BE520" s="2" t="s">
        <v>9802</v>
      </c>
      <c r="BF520" s="2" t="str">
        <f aca="false">HYPERLINK("http://dx.doi.org/10.1097/INF.0b013e318162a164","http://dx.doi.org/10.1097/INF.0b013e318162a164")</f>
        <v>http://dx.doi.org/10.1097/INF.0b013e318162a164</v>
      </c>
      <c r="BG520" s="2"/>
      <c r="BH520" s="2"/>
      <c r="BI520" s="2" t="n">
        <v>7</v>
      </c>
      <c r="BJ520" s="2" t="s">
        <v>134</v>
      </c>
      <c r="BK520" s="2" t="s">
        <v>100</v>
      </c>
      <c r="BL520" s="2" t="s">
        <v>134</v>
      </c>
      <c r="BM520" s="2" t="s">
        <v>9803</v>
      </c>
      <c r="BN520" s="2" t="n">
        <v>18382388</v>
      </c>
      <c r="BO520" s="2"/>
      <c r="BP520" s="2"/>
      <c r="BQ520" s="2"/>
      <c r="BR520" s="2" t="s">
        <v>104</v>
      </c>
      <c r="BS520" s="2" t="s">
        <v>9804</v>
      </c>
      <c r="BT520" s="2" t="str">
        <f aca="false">HYPERLINK("https%3A%2F%2Fwww.webofscience.com%2Fwos%2Fwoscc%2Ffull-record%2FWOS:000255534200006","View Full Record in Web of Science")</f>
        <v>View Full Record in Web of Science</v>
      </c>
    </row>
    <row r="521" customFormat="false" ht="12.75" hidden="false" customHeight="false" outlineLevel="0" collapsed="false">
      <c r="A521" s="2" t="s">
        <v>72</v>
      </c>
      <c r="B521" s="2" t="s">
        <v>9805</v>
      </c>
      <c r="C521" s="2"/>
      <c r="D521" s="2"/>
      <c r="E521" s="2"/>
      <c r="F521" s="2" t="s">
        <v>9806</v>
      </c>
      <c r="G521" s="2"/>
      <c r="H521" s="2"/>
      <c r="I521" s="2" t="s">
        <v>9807</v>
      </c>
      <c r="J521" s="2" t="s">
        <v>9808</v>
      </c>
      <c r="K521" s="2"/>
      <c r="L521" s="2"/>
      <c r="M521" s="2" t="s">
        <v>77</v>
      </c>
      <c r="N521" s="2" t="s">
        <v>78</v>
      </c>
      <c r="O521" s="2"/>
      <c r="P521" s="2"/>
      <c r="Q521" s="2"/>
      <c r="R521" s="2"/>
      <c r="S521" s="2"/>
      <c r="T521" s="2" t="s">
        <v>9809</v>
      </c>
      <c r="U521" s="2"/>
      <c r="V521" s="2" t="s">
        <v>9810</v>
      </c>
      <c r="W521" s="2" t="s">
        <v>9811</v>
      </c>
      <c r="X521" s="2" t="s">
        <v>9812</v>
      </c>
      <c r="Y521" s="2" t="s">
        <v>9813</v>
      </c>
      <c r="Z521" s="2" t="s">
        <v>9814</v>
      </c>
      <c r="AA521" s="2" t="s">
        <v>9815</v>
      </c>
      <c r="AB521" s="2" t="s">
        <v>9816</v>
      </c>
      <c r="AC521" s="2"/>
      <c r="AD521" s="2"/>
      <c r="AE521" s="2"/>
      <c r="AF521" s="2"/>
      <c r="AG521" s="2" t="n">
        <v>11</v>
      </c>
      <c r="AH521" s="2" t="n">
        <v>0</v>
      </c>
      <c r="AI521" s="2" t="n">
        <v>0</v>
      </c>
      <c r="AJ521" s="2" t="n">
        <v>0</v>
      </c>
      <c r="AK521" s="2" t="n">
        <v>4</v>
      </c>
      <c r="AL521" s="2" t="s">
        <v>9817</v>
      </c>
      <c r="AM521" s="2" t="s">
        <v>9818</v>
      </c>
      <c r="AN521" s="2" t="s">
        <v>9819</v>
      </c>
      <c r="AO521" s="2" t="s">
        <v>9820</v>
      </c>
      <c r="AP521" s="2"/>
      <c r="AQ521" s="2"/>
      <c r="AR521" s="2" t="s">
        <v>9821</v>
      </c>
      <c r="AS521" s="2" t="s">
        <v>9822</v>
      </c>
      <c r="AT521" s="2" t="s">
        <v>486</v>
      </c>
      <c r="AU521" s="2" t="n">
        <v>2021</v>
      </c>
      <c r="AV521" s="2" t="n">
        <v>19</v>
      </c>
      <c r="AW521" s="2" t="n">
        <v>2</v>
      </c>
      <c r="AX521" s="2"/>
      <c r="AY521" s="2"/>
      <c r="AZ521" s="2"/>
      <c r="BA521" s="2"/>
      <c r="BB521" s="2" t="n">
        <v>90</v>
      </c>
      <c r="BC521" s="2" t="n">
        <v>93</v>
      </c>
      <c r="BD521" s="2"/>
      <c r="BE521" s="2" t="s">
        <v>9823</v>
      </c>
      <c r="BF521" s="2" t="str">
        <f aca="false">HYPERLINK("http://dx.doi.org/10.4274/tybd.galenos.2020.62207","http://dx.doi.org/10.4274/tybd.galenos.2020.62207")</f>
        <v>http://dx.doi.org/10.4274/tybd.galenos.2020.62207</v>
      </c>
      <c r="BG521" s="2"/>
      <c r="BH521" s="2"/>
      <c r="BI521" s="2" t="n">
        <v>4</v>
      </c>
      <c r="BJ521" s="2" t="s">
        <v>473</v>
      </c>
      <c r="BK521" s="2" t="s">
        <v>339</v>
      </c>
      <c r="BL521" s="2" t="s">
        <v>364</v>
      </c>
      <c r="BM521" s="2" t="s">
        <v>9824</v>
      </c>
      <c r="BN521" s="2"/>
      <c r="BO521" s="2" t="s">
        <v>1355</v>
      </c>
      <c r="BP521" s="2"/>
      <c r="BQ521" s="2"/>
      <c r="BR521" s="2" t="s">
        <v>104</v>
      </c>
      <c r="BS521" s="2" t="s">
        <v>9825</v>
      </c>
      <c r="BT521" s="2" t="str">
        <f aca="false">HYPERLINK("https%3A%2F%2Fwww.webofscience.com%2Fwos%2Fwoscc%2Ffull-record%2FWOS:000657261400006","View Full Record in Web of Science")</f>
        <v>View Full Record in Web of Science</v>
      </c>
    </row>
    <row r="522" customFormat="false" ht="12.75" hidden="false" customHeight="false" outlineLevel="0" collapsed="false">
      <c r="A522" s="2" t="s">
        <v>72</v>
      </c>
      <c r="B522" s="2" t="s">
        <v>9826</v>
      </c>
      <c r="C522" s="2"/>
      <c r="D522" s="2"/>
      <c r="E522" s="2"/>
      <c r="F522" s="2" t="s">
        <v>9827</v>
      </c>
      <c r="G522" s="2"/>
      <c r="H522" s="2"/>
      <c r="I522" s="2" t="s">
        <v>9828</v>
      </c>
      <c r="J522" s="2" t="s">
        <v>4724</v>
      </c>
      <c r="K522" s="2"/>
      <c r="L522" s="2"/>
      <c r="M522" s="2" t="s">
        <v>77</v>
      </c>
      <c r="N522" s="2" t="s">
        <v>78</v>
      </c>
      <c r="O522" s="2"/>
      <c r="P522" s="2"/>
      <c r="Q522" s="2"/>
      <c r="R522" s="2"/>
      <c r="S522" s="2"/>
      <c r="T522" s="2" t="s">
        <v>9829</v>
      </c>
      <c r="U522" s="2" t="s">
        <v>9830</v>
      </c>
      <c r="V522" s="2" t="s">
        <v>9831</v>
      </c>
      <c r="W522" s="2" t="s">
        <v>9832</v>
      </c>
      <c r="X522" s="2" t="s">
        <v>9833</v>
      </c>
      <c r="Y522" s="2" t="s">
        <v>9834</v>
      </c>
      <c r="Z522" s="2"/>
      <c r="AA522" s="2" t="s">
        <v>9835</v>
      </c>
      <c r="AB522" s="2"/>
      <c r="AC522" s="2" t="s">
        <v>9836</v>
      </c>
      <c r="AD522" s="2" t="s">
        <v>9837</v>
      </c>
      <c r="AE522" s="2" t="s">
        <v>9838</v>
      </c>
      <c r="AF522" s="2"/>
      <c r="AG522" s="2" t="n">
        <v>40</v>
      </c>
      <c r="AH522" s="2" t="n">
        <v>2</v>
      </c>
      <c r="AI522" s="2" t="n">
        <v>2</v>
      </c>
      <c r="AJ522" s="2" t="n">
        <v>0</v>
      </c>
      <c r="AK522" s="2" t="n">
        <v>7</v>
      </c>
      <c r="AL522" s="2" t="s">
        <v>620</v>
      </c>
      <c r="AM522" s="2" t="s">
        <v>621</v>
      </c>
      <c r="AN522" s="2" t="s">
        <v>622</v>
      </c>
      <c r="AO522" s="2" t="s">
        <v>4737</v>
      </c>
      <c r="AP522" s="2"/>
      <c r="AQ522" s="2"/>
      <c r="AR522" s="2" t="s">
        <v>4738</v>
      </c>
      <c r="AS522" s="2" t="s">
        <v>4739</v>
      </c>
      <c r="AT522" s="2" t="s">
        <v>7237</v>
      </c>
      <c r="AU522" s="2" t="n">
        <v>2022</v>
      </c>
      <c r="AV522" s="2" t="n">
        <v>12</v>
      </c>
      <c r="AW522" s="2"/>
      <c r="AX522" s="2"/>
      <c r="AY522" s="2"/>
      <c r="AZ522" s="2"/>
      <c r="BA522" s="2"/>
      <c r="BB522" s="2"/>
      <c r="BC522" s="2"/>
      <c r="BD522" s="2" t="n">
        <v>929856</v>
      </c>
      <c r="BE522" s="2" t="s">
        <v>9839</v>
      </c>
      <c r="BF522" s="2" t="str">
        <f aca="false">HYPERLINK("http://dx.doi.org/10.3389/fcimb.2022.929856","http://dx.doi.org/10.3389/fcimb.2022.929856")</f>
        <v>http://dx.doi.org/10.3389/fcimb.2022.929856</v>
      </c>
      <c r="BG522" s="2"/>
      <c r="BH522" s="2"/>
      <c r="BI522" s="2" t="n">
        <v>11</v>
      </c>
      <c r="BJ522" s="2" t="s">
        <v>2364</v>
      </c>
      <c r="BK522" s="2" t="s">
        <v>100</v>
      </c>
      <c r="BL522" s="2" t="s">
        <v>2364</v>
      </c>
      <c r="BM522" s="2" t="s">
        <v>9840</v>
      </c>
      <c r="BN522" s="2" t="n">
        <v>36046746</v>
      </c>
      <c r="BO522" s="2" t="s">
        <v>190</v>
      </c>
      <c r="BP522" s="2"/>
      <c r="BQ522" s="2"/>
      <c r="BR522" s="2" t="s">
        <v>104</v>
      </c>
      <c r="BS522" s="2" t="s">
        <v>9841</v>
      </c>
      <c r="BT522" s="2" t="str">
        <f aca="false">HYPERLINK("https%3A%2F%2Fwww.webofscience.com%2Fwos%2Fwoscc%2Ffull-record%2FWOS:000847875600001","View Full Record in Web of Science")</f>
        <v>View Full Record in Web of Science</v>
      </c>
    </row>
    <row r="523" customFormat="false" ht="12.75" hidden="false" customHeight="false" outlineLevel="0" collapsed="false">
      <c r="A523" s="2" t="s">
        <v>72</v>
      </c>
      <c r="B523" s="2" t="s">
        <v>9842</v>
      </c>
      <c r="C523" s="2"/>
      <c r="D523" s="2"/>
      <c r="E523" s="2"/>
      <c r="F523" s="2" t="s">
        <v>9843</v>
      </c>
      <c r="G523" s="2"/>
      <c r="H523" s="2"/>
      <c r="I523" s="2" t="s">
        <v>9844</v>
      </c>
      <c r="J523" s="2" t="s">
        <v>3614</v>
      </c>
      <c r="K523" s="2"/>
      <c r="L523" s="2"/>
      <c r="M523" s="2" t="s">
        <v>77</v>
      </c>
      <c r="N523" s="2" t="s">
        <v>78</v>
      </c>
      <c r="O523" s="2"/>
      <c r="P523" s="2"/>
      <c r="Q523" s="2"/>
      <c r="R523" s="2"/>
      <c r="S523" s="2"/>
      <c r="T523" s="2" t="s">
        <v>9845</v>
      </c>
      <c r="U523" s="2" t="s">
        <v>9846</v>
      </c>
      <c r="V523" s="2" t="s">
        <v>9847</v>
      </c>
      <c r="W523" s="2" t="s">
        <v>9848</v>
      </c>
      <c r="X523" s="2" t="s">
        <v>9849</v>
      </c>
      <c r="Y523" s="2" t="s">
        <v>9850</v>
      </c>
      <c r="Z523" s="2" t="s">
        <v>9851</v>
      </c>
      <c r="AA523" s="2" t="s">
        <v>9852</v>
      </c>
      <c r="AB523" s="2"/>
      <c r="AC523" s="2"/>
      <c r="AD523" s="2"/>
      <c r="AE523" s="2"/>
      <c r="AF523" s="2"/>
      <c r="AG523" s="2" t="n">
        <v>45</v>
      </c>
      <c r="AH523" s="2" t="n">
        <v>4</v>
      </c>
      <c r="AI523" s="2" t="n">
        <v>4</v>
      </c>
      <c r="AJ523" s="2" t="n">
        <v>0</v>
      </c>
      <c r="AK523" s="2" t="n">
        <v>8</v>
      </c>
      <c r="AL523" s="2" t="s">
        <v>302</v>
      </c>
      <c r="AM523" s="2" t="s">
        <v>303</v>
      </c>
      <c r="AN523" s="2" t="s">
        <v>304</v>
      </c>
      <c r="AO523" s="2" t="s">
        <v>3627</v>
      </c>
      <c r="AP523" s="2" t="s">
        <v>3628</v>
      </c>
      <c r="AQ523" s="2"/>
      <c r="AR523" s="2" t="s">
        <v>3629</v>
      </c>
      <c r="AS523" s="2" t="s">
        <v>3630</v>
      </c>
      <c r="AT523" s="2" t="s">
        <v>9853</v>
      </c>
      <c r="AU523" s="2" t="n">
        <v>2023</v>
      </c>
      <c r="AV523" s="2" t="n">
        <v>49</v>
      </c>
      <c r="AW523" s="2" t="n">
        <v>1</v>
      </c>
      <c r="AX523" s="2"/>
      <c r="AY523" s="2"/>
      <c r="AZ523" s="2"/>
      <c r="BA523" s="2"/>
      <c r="BB523" s="2"/>
      <c r="BC523" s="2"/>
      <c r="BD523" s="2" t="n">
        <v>25</v>
      </c>
      <c r="BE523" s="2" t="s">
        <v>9854</v>
      </c>
      <c r="BF523" s="2" t="str">
        <f aca="false">HYPERLINK("http://dx.doi.org/10.1186/s13052-023-01431-w","http://dx.doi.org/10.1186/s13052-023-01431-w")</f>
        <v>http://dx.doi.org/10.1186/s13052-023-01431-w</v>
      </c>
      <c r="BG523" s="2"/>
      <c r="BH523" s="2"/>
      <c r="BI523" s="2" t="n">
        <v>13</v>
      </c>
      <c r="BJ523" s="2" t="s">
        <v>601</v>
      </c>
      <c r="BK523" s="2" t="s">
        <v>100</v>
      </c>
      <c r="BL523" s="2" t="s">
        <v>601</v>
      </c>
      <c r="BM523" s="2" t="s">
        <v>9855</v>
      </c>
      <c r="BN523" s="2" t="n">
        <v>36805803</v>
      </c>
      <c r="BO523" s="2" t="s">
        <v>341</v>
      </c>
      <c r="BP523" s="2"/>
      <c r="BQ523" s="2"/>
      <c r="BR523" s="2" t="s">
        <v>104</v>
      </c>
      <c r="BS523" s="2" t="s">
        <v>9856</v>
      </c>
      <c r="BT523" s="2" t="str">
        <f aca="false">HYPERLINK("https%3A%2F%2Fwww.webofscience.com%2Fwos%2Fwoscc%2Ffull-record%2FWOS:000934527000001","View Full Record in Web of Science")</f>
        <v>View Full Record in Web of Science</v>
      </c>
    </row>
    <row r="524" customFormat="false" ht="12.75" hidden="false" customHeight="false" outlineLevel="0" collapsed="false">
      <c r="A524" s="2" t="s">
        <v>72</v>
      </c>
      <c r="B524" s="2" t="s">
        <v>9857</v>
      </c>
      <c r="C524" s="2"/>
      <c r="D524" s="2"/>
      <c r="E524" s="2"/>
      <c r="F524" s="2" t="s">
        <v>9858</v>
      </c>
      <c r="G524" s="2"/>
      <c r="H524" s="2"/>
      <c r="I524" s="2" t="s">
        <v>9859</v>
      </c>
      <c r="J524" s="2" t="s">
        <v>141</v>
      </c>
      <c r="K524" s="2"/>
      <c r="L524" s="2"/>
      <c r="M524" s="2" t="s">
        <v>77</v>
      </c>
      <c r="N524" s="2" t="s">
        <v>78</v>
      </c>
      <c r="O524" s="2"/>
      <c r="P524" s="2"/>
      <c r="Q524" s="2"/>
      <c r="R524" s="2"/>
      <c r="S524" s="2"/>
      <c r="T524" s="2" t="s">
        <v>9860</v>
      </c>
      <c r="U524" s="2" t="s">
        <v>9861</v>
      </c>
      <c r="V524" s="2" t="s">
        <v>9862</v>
      </c>
      <c r="W524" s="2" t="s">
        <v>9863</v>
      </c>
      <c r="X524" s="2" t="s">
        <v>9864</v>
      </c>
      <c r="Y524" s="2" t="s">
        <v>9865</v>
      </c>
      <c r="Z524" s="2" t="s">
        <v>9866</v>
      </c>
      <c r="AA524" s="2" t="s">
        <v>9867</v>
      </c>
      <c r="AB524" s="2" t="s">
        <v>9868</v>
      </c>
      <c r="AC524" s="2"/>
      <c r="AD524" s="2"/>
      <c r="AE524" s="2"/>
      <c r="AF524" s="2"/>
      <c r="AG524" s="2" t="n">
        <v>29</v>
      </c>
      <c r="AH524" s="2" t="n">
        <v>14</v>
      </c>
      <c r="AI524" s="2" t="n">
        <v>16</v>
      </c>
      <c r="AJ524" s="2" t="n">
        <v>1</v>
      </c>
      <c r="AK524" s="2" t="n">
        <v>3</v>
      </c>
      <c r="AL524" s="2" t="s">
        <v>154</v>
      </c>
      <c r="AM524" s="2" t="s">
        <v>155</v>
      </c>
      <c r="AN524" s="2" t="s">
        <v>156</v>
      </c>
      <c r="AO524" s="2" t="s">
        <v>157</v>
      </c>
      <c r="AP524" s="2" t="s">
        <v>158</v>
      </c>
      <c r="AQ524" s="2"/>
      <c r="AR524" s="2" t="s">
        <v>159</v>
      </c>
      <c r="AS524" s="2" t="s">
        <v>160</v>
      </c>
      <c r="AT524" s="2" t="s">
        <v>161</v>
      </c>
      <c r="AU524" s="2" t="n">
        <v>2008</v>
      </c>
      <c r="AV524" s="2" t="n">
        <v>80</v>
      </c>
      <c r="AW524" s="2" t="n">
        <v>1</v>
      </c>
      <c r="AX524" s="2"/>
      <c r="AY524" s="2"/>
      <c r="AZ524" s="2"/>
      <c r="BA524" s="2"/>
      <c r="BB524" s="2" t="n">
        <v>154</v>
      </c>
      <c r="BC524" s="2" t="n">
        <v>158</v>
      </c>
      <c r="BD524" s="2"/>
      <c r="BE524" s="2" t="s">
        <v>9869</v>
      </c>
      <c r="BF524" s="2" t="str">
        <f aca="false">HYPERLINK("http://dx.doi.org/10.1002/jmv.21038","http://dx.doi.org/10.1002/jmv.21038")</f>
        <v>http://dx.doi.org/10.1002/jmv.21038</v>
      </c>
      <c r="BG524" s="2"/>
      <c r="BH524" s="2"/>
      <c r="BI524" s="2" t="n">
        <v>5</v>
      </c>
      <c r="BJ524" s="2" t="s">
        <v>163</v>
      </c>
      <c r="BK524" s="2" t="s">
        <v>100</v>
      </c>
      <c r="BL524" s="2" t="s">
        <v>163</v>
      </c>
      <c r="BM524" s="2" t="s">
        <v>9870</v>
      </c>
      <c r="BN524" s="2" t="n">
        <v>18041030</v>
      </c>
      <c r="BO524" s="2"/>
      <c r="BP524" s="2"/>
      <c r="BQ524" s="2"/>
      <c r="BR524" s="2" t="s">
        <v>104</v>
      </c>
      <c r="BS524" s="2" t="s">
        <v>9871</v>
      </c>
      <c r="BT524" s="2" t="str">
        <f aca="false">HYPERLINK("https%3A%2F%2Fwww.webofscience.com%2Fwos%2Fwoscc%2Ffull-record%2FWOS:000251335900020","View Full Record in Web of Science")</f>
        <v>View Full Record in Web of Science</v>
      </c>
    </row>
    <row r="525" customFormat="false" ht="12.75" hidden="false" customHeight="false" outlineLevel="0" collapsed="false">
      <c r="A525" s="2" t="s">
        <v>72</v>
      </c>
      <c r="B525" s="2" t="s">
        <v>9872</v>
      </c>
      <c r="C525" s="2"/>
      <c r="D525" s="2"/>
      <c r="E525" s="2"/>
      <c r="F525" s="2" t="s">
        <v>9873</v>
      </c>
      <c r="G525" s="2"/>
      <c r="H525" s="2"/>
      <c r="I525" s="2" t="s">
        <v>9874</v>
      </c>
      <c r="J525" s="2" t="s">
        <v>9875</v>
      </c>
      <c r="K525" s="2"/>
      <c r="L525" s="2"/>
      <c r="M525" s="2" t="s">
        <v>77</v>
      </c>
      <c r="N525" s="2" t="s">
        <v>78</v>
      </c>
      <c r="O525" s="2"/>
      <c r="P525" s="2"/>
      <c r="Q525" s="2"/>
      <c r="R525" s="2"/>
      <c r="S525" s="2"/>
      <c r="T525" s="2" t="s">
        <v>9876</v>
      </c>
      <c r="U525" s="2" t="s">
        <v>9877</v>
      </c>
      <c r="V525" s="2" t="s">
        <v>9878</v>
      </c>
      <c r="W525" s="2" t="s">
        <v>9879</v>
      </c>
      <c r="X525" s="2" t="s">
        <v>9880</v>
      </c>
      <c r="Y525" s="2" t="s">
        <v>9881</v>
      </c>
      <c r="Z525" s="2" t="s">
        <v>9882</v>
      </c>
      <c r="AA525" s="2"/>
      <c r="AB525" s="2" t="s">
        <v>9883</v>
      </c>
      <c r="AC525" s="2" t="s">
        <v>9884</v>
      </c>
      <c r="AD525" s="2" t="s">
        <v>9885</v>
      </c>
      <c r="AE525" s="2" t="s">
        <v>9886</v>
      </c>
      <c r="AF525" s="2"/>
      <c r="AG525" s="2" t="n">
        <v>15</v>
      </c>
      <c r="AH525" s="2" t="n">
        <v>10</v>
      </c>
      <c r="AI525" s="2" t="n">
        <v>11</v>
      </c>
      <c r="AJ525" s="2" t="n">
        <v>0</v>
      </c>
      <c r="AK525" s="2" t="n">
        <v>0</v>
      </c>
      <c r="AL525" s="2" t="s">
        <v>9887</v>
      </c>
      <c r="AM525" s="2" t="s">
        <v>9888</v>
      </c>
      <c r="AN525" s="2" t="s">
        <v>9889</v>
      </c>
      <c r="AO525" s="2" t="s">
        <v>9890</v>
      </c>
      <c r="AP525" s="2" t="s">
        <v>9891</v>
      </c>
      <c r="AQ525" s="2"/>
      <c r="AR525" s="2" t="s">
        <v>9892</v>
      </c>
      <c r="AS525" s="2" t="s">
        <v>9893</v>
      </c>
      <c r="AT525" s="2" t="s">
        <v>1041</v>
      </c>
      <c r="AU525" s="2" t="n">
        <v>2017</v>
      </c>
      <c r="AV525" s="2" t="n">
        <v>10</v>
      </c>
      <c r="AW525" s="2" t="n">
        <v>2</v>
      </c>
      <c r="AX525" s="2"/>
      <c r="AY525" s="2"/>
      <c r="AZ525" s="2"/>
      <c r="BA525" s="2"/>
      <c r="BB525" s="2" t="n">
        <v>164</v>
      </c>
      <c r="BC525" s="2" t="n">
        <v>167</v>
      </c>
      <c r="BD525" s="2"/>
      <c r="BE525" s="2" t="s">
        <v>9894</v>
      </c>
      <c r="BF525" s="2" t="str">
        <f aca="false">HYPERLINK("http://dx.doi.org/10.1016/j.apjtm.2017.01.015","http://dx.doi.org/10.1016/j.apjtm.2017.01.015")</f>
        <v>http://dx.doi.org/10.1016/j.apjtm.2017.01.015</v>
      </c>
      <c r="BG525" s="2"/>
      <c r="BH525" s="2"/>
      <c r="BI525" s="2" t="n">
        <v>4</v>
      </c>
      <c r="BJ525" s="2" t="s">
        <v>9015</v>
      </c>
      <c r="BK525" s="2" t="s">
        <v>100</v>
      </c>
      <c r="BL525" s="2" t="s">
        <v>9015</v>
      </c>
      <c r="BM525" s="2" t="s">
        <v>9895</v>
      </c>
      <c r="BN525" s="2" t="n">
        <v>28237484</v>
      </c>
      <c r="BO525" s="2" t="s">
        <v>1355</v>
      </c>
      <c r="BP525" s="2"/>
      <c r="BQ525" s="2"/>
      <c r="BR525" s="2" t="s">
        <v>104</v>
      </c>
      <c r="BS525" s="2" t="s">
        <v>9896</v>
      </c>
      <c r="BT525" s="2" t="str">
        <f aca="false">HYPERLINK("https%3A%2F%2Fwww.webofscience.com%2Fwos%2Fwoscc%2Ffull-record%2FWOS:000394733700012","View Full Record in Web of Science")</f>
        <v>View Full Record in Web of Science</v>
      </c>
    </row>
    <row r="526" customFormat="false" ht="12.75" hidden="false" customHeight="false" outlineLevel="0" collapsed="false">
      <c r="A526" s="2" t="s">
        <v>72</v>
      </c>
      <c r="B526" s="2" t="s">
        <v>9897</v>
      </c>
      <c r="C526" s="2"/>
      <c r="D526" s="2"/>
      <c r="E526" s="2"/>
      <c r="F526" s="2" t="s">
        <v>9898</v>
      </c>
      <c r="G526" s="2"/>
      <c r="H526" s="2"/>
      <c r="I526" s="2" t="s">
        <v>9899</v>
      </c>
      <c r="J526" s="2" t="s">
        <v>514</v>
      </c>
      <c r="K526" s="2"/>
      <c r="L526" s="2"/>
      <c r="M526" s="2" t="s">
        <v>77</v>
      </c>
      <c r="N526" s="2" t="s">
        <v>78</v>
      </c>
      <c r="O526" s="2"/>
      <c r="P526" s="2"/>
      <c r="Q526" s="2"/>
      <c r="R526" s="2"/>
      <c r="S526" s="2"/>
      <c r="T526" s="2" t="s">
        <v>9900</v>
      </c>
      <c r="U526" s="2" t="s">
        <v>9901</v>
      </c>
      <c r="V526" s="2" t="s">
        <v>9902</v>
      </c>
      <c r="W526" s="2" t="s">
        <v>9903</v>
      </c>
      <c r="X526" s="2" t="s">
        <v>9904</v>
      </c>
      <c r="Y526" s="2" t="s">
        <v>9905</v>
      </c>
      <c r="Z526" s="2" t="s">
        <v>9906</v>
      </c>
      <c r="AA526" s="2"/>
      <c r="AB526" s="2"/>
      <c r="AC526" s="2" t="s">
        <v>9907</v>
      </c>
      <c r="AD526" s="2" t="s">
        <v>9908</v>
      </c>
      <c r="AE526" s="2" t="s">
        <v>9909</v>
      </c>
      <c r="AF526" s="2"/>
      <c r="AG526" s="2" t="n">
        <v>39</v>
      </c>
      <c r="AH526" s="2" t="n">
        <v>33</v>
      </c>
      <c r="AI526" s="2" t="n">
        <v>35</v>
      </c>
      <c r="AJ526" s="2" t="n">
        <v>0</v>
      </c>
      <c r="AK526" s="2" t="n">
        <v>9</v>
      </c>
      <c r="AL526" s="2" t="s">
        <v>527</v>
      </c>
      <c r="AM526" s="2" t="s">
        <v>528</v>
      </c>
      <c r="AN526" s="2" t="s">
        <v>529</v>
      </c>
      <c r="AO526" s="2" t="s">
        <v>530</v>
      </c>
      <c r="AP526" s="2" t="s">
        <v>531</v>
      </c>
      <c r="AQ526" s="2"/>
      <c r="AR526" s="2" t="s">
        <v>532</v>
      </c>
      <c r="AS526" s="2" t="s">
        <v>533</v>
      </c>
      <c r="AT526" s="2" t="s">
        <v>4483</v>
      </c>
      <c r="AU526" s="2" t="n">
        <v>2018</v>
      </c>
      <c r="AV526" s="2" t="n">
        <v>218</v>
      </c>
      <c r="AW526" s="2" t="n">
        <v>2</v>
      </c>
      <c r="AX526" s="2"/>
      <c r="AY526" s="2"/>
      <c r="AZ526" s="2"/>
      <c r="BA526" s="2"/>
      <c r="BB526" s="2" t="n">
        <v>208</v>
      </c>
      <c r="BC526" s="2" t="n">
        <v>217</v>
      </c>
      <c r="BD526" s="2"/>
      <c r="BE526" s="2" t="s">
        <v>9910</v>
      </c>
      <c r="BF526" s="2" t="str">
        <f aca="false">HYPERLINK("http://dx.doi.org/10.1093/infdis/jiy106","http://dx.doi.org/10.1093/infdis/jiy106")</f>
        <v>http://dx.doi.org/10.1093/infdis/jiy106</v>
      </c>
      <c r="BG526" s="2"/>
      <c r="BH526" s="2"/>
      <c r="BI526" s="2" t="n">
        <v>10</v>
      </c>
      <c r="BJ526" s="2" t="s">
        <v>536</v>
      </c>
      <c r="BK526" s="2" t="s">
        <v>100</v>
      </c>
      <c r="BL526" s="2" t="s">
        <v>536</v>
      </c>
      <c r="BM526" s="2" t="s">
        <v>9911</v>
      </c>
      <c r="BN526" s="2" t="n">
        <v>29546402</v>
      </c>
      <c r="BO526" s="2" t="s">
        <v>1267</v>
      </c>
      <c r="BP526" s="2"/>
      <c r="BQ526" s="2"/>
      <c r="BR526" s="2" t="s">
        <v>104</v>
      </c>
      <c r="BS526" s="2" t="s">
        <v>9912</v>
      </c>
      <c r="BT526" s="2" t="str">
        <f aca="false">HYPERLINK("https%3A%2F%2Fwww.webofscience.com%2Fwos%2Fwoscc%2Ffull-record%2FWOS:000439703800006","View Full Record in Web of Science")</f>
        <v>View Full Record in Web of Science</v>
      </c>
    </row>
    <row r="527" customFormat="false" ht="12.75" hidden="false" customHeight="false" outlineLevel="0" collapsed="false">
      <c r="A527" s="2" t="s">
        <v>72</v>
      </c>
      <c r="B527" s="2" t="s">
        <v>9913</v>
      </c>
      <c r="C527" s="2"/>
      <c r="D527" s="2"/>
      <c r="E527" s="2"/>
      <c r="F527" s="2" t="s">
        <v>9914</v>
      </c>
      <c r="G527" s="2"/>
      <c r="H527" s="2"/>
      <c r="I527" s="2" t="s">
        <v>9915</v>
      </c>
      <c r="J527" s="2" t="s">
        <v>717</v>
      </c>
      <c r="K527" s="2"/>
      <c r="L527" s="2"/>
      <c r="M527" s="2" t="s">
        <v>77</v>
      </c>
      <c r="N527" s="2" t="s">
        <v>78</v>
      </c>
      <c r="O527" s="2"/>
      <c r="P527" s="2"/>
      <c r="Q527" s="2"/>
      <c r="R527" s="2"/>
      <c r="S527" s="2"/>
      <c r="T527" s="2" t="s">
        <v>9916</v>
      </c>
      <c r="U527" s="2" t="s">
        <v>9917</v>
      </c>
      <c r="V527" s="2" t="s">
        <v>9918</v>
      </c>
      <c r="W527" s="2" t="s">
        <v>9919</v>
      </c>
      <c r="X527" s="2" t="s">
        <v>9920</v>
      </c>
      <c r="Y527" s="2" t="s">
        <v>9921</v>
      </c>
      <c r="Z527" s="2" t="s">
        <v>9922</v>
      </c>
      <c r="AA527" s="2"/>
      <c r="AB527" s="2"/>
      <c r="AC527" s="2" t="s">
        <v>9923</v>
      </c>
      <c r="AD527" s="2" t="s">
        <v>9924</v>
      </c>
      <c r="AE527" s="2" t="s">
        <v>9925</v>
      </c>
      <c r="AF527" s="2"/>
      <c r="AG527" s="2" t="n">
        <v>26</v>
      </c>
      <c r="AH527" s="2" t="n">
        <v>27</v>
      </c>
      <c r="AI527" s="2" t="n">
        <v>31</v>
      </c>
      <c r="AJ527" s="2" t="n">
        <v>0</v>
      </c>
      <c r="AK527" s="2" t="n">
        <v>36</v>
      </c>
      <c r="AL527" s="2" t="s">
        <v>549</v>
      </c>
      <c r="AM527" s="2" t="s">
        <v>384</v>
      </c>
      <c r="AN527" s="2" t="s">
        <v>550</v>
      </c>
      <c r="AO527" s="2" t="s">
        <v>729</v>
      </c>
      <c r="AP527" s="2" t="s">
        <v>730</v>
      </c>
      <c r="AQ527" s="2"/>
      <c r="AR527" s="2" t="s">
        <v>731</v>
      </c>
      <c r="AS527" s="2" t="s">
        <v>732</v>
      </c>
      <c r="AT527" s="2" t="s">
        <v>733</v>
      </c>
      <c r="AU527" s="2" t="n">
        <v>2015</v>
      </c>
      <c r="AV527" s="2" t="n">
        <v>213</v>
      </c>
      <c r="AW527" s="2"/>
      <c r="AX527" s="2"/>
      <c r="AY527" s="2"/>
      <c r="AZ527" s="2"/>
      <c r="BA527" s="2"/>
      <c r="BB527" s="2" t="n">
        <v>75</v>
      </c>
      <c r="BC527" s="2" t="n">
        <v>83</v>
      </c>
      <c r="BD527" s="2"/>
      <c r="BE527" s="2" t="s">
        <v>9926</v>
      </c>
      <c r="BF527" s="2" t="str">
        <f aca="false">HYPERLINK("http://dx.doi.org/10.1016/j.jviromet.2014.11.014","http://dx.doi.org/10.1016/j.jviromet.2014.11.014")</f>
        <v>http://dx.doi.org/10.1016/j.jviromet.2014.11.014</v>
      </c>
      <c r="BG527" s="2"/>
      <c r="BH527" s="2"/>
      <c r="BI527" s="2" t="n">
        <v>9</v>
      </c>
      <c r="BJ527" s="2" t="s">
        <v>735</v>
      </c>
      <c r="BK527" s="2" t="s">
        <v>100</v>
      </c>
      <c r="BL527" s="2" t="s">
        <v>736</v>
      </c>
      <c r="BM527" s="2" t="s">
        <v>737</v>
      </c>
      <c r="BN527" s="2" t="n">
        <v>25500183</v>
      </c>
      <c r="BO527" s="2" t="s">
        <v>136</v>
      </c>
      <c r="BP527" s="2"/>
      <c r="BQ527" s="2"/>
      <c r="BR527" s="2" t="s">
        <v>104</v>
      </c>
      <c r="BS527" s="2" t="s">
        <v>9927</v>
      </c>
      <c r="BT527" s="2" t="str">
        <f aca="false">HYPERLINK("https%3A%2F%2Fwww.webofscience.com%2Fwos%2Fwoscc%2Ffull-record%2FWOS:000352923100012","View Full Record in Web of Science")</f>
        <v>View Full Record in Web of Science</v>
      </c>
    </row>
    <row r="528" customFormat="false" ht="12.75" hidden="false" customHeight="false" outlineLevel="0" collapsed="false">
      <c r="A528" s="2" t="s">
        <v>72</v>
      </c>
      <c r="B528" s="2" t="s">
        <v>9928</v>
      </c>
      <c r="C528" s="2"/>
      <c r="D528" s="2"/>
      <c r="E528" s="2"/>
      <c r="F528" s="2" t="s">
        <v>9929</v>
      </c>
      <c r="G528" s="2"/>
      <c r="H528" s="2"/>
      <c r="I528" s="2" t="s">
        <v>9930</v>
      </c>
      <c r="J528" s="2" t="s">
        <v>141</v>
      </c>
      <c r="K528" s="2"/>
      <c r="L528" s="2"/>
      <c r="M528" s="2" t="s">
        <v>77</v>
      </c>
      <c r="N528" s="2" t="s">
        <v>78</v>
      </c>
      <c r="O528" s="2"/>
      <c r="P528" s="2"/>
      <c r="Q528" s="2"/>
      <c r="R528" s="2"/>
      <c r="S528" s="2"/>
      <c r="T528" s="2" t="s">
        <v>9931</v>
      </c>
      <c r="U528" s="2" t="s">
        <v>9932</v>
      </c>
      <c r="V528" s="2" t="s">
        <v>9933</v>
      </c>
      <c r="W528" s="2" t="s">
        <v>9934</v>
      </c>
      <c r="X528" s="2" t="s">
        <v>9935</v>
      </c>
      <c r="Y528" s="2" t="s">
        <v>9936</v>
      </c>
      <c r="Z528" s="2" t="s">
        <v>9937</v>
      </c>
      <c r="AA528" s="2"/>
      <c r="AB528" s="2"/>
      <c r="AC528" s="2"/>
      <c r="AD528" s="2"/>
      <c r="AE528" s="2"/>
      <c r="AF528" s="2"/>
      <c r="AG528" s="2" t="n">
        <v>20</v>
      </c>
      <c r="AH528" s="2" t="n">
        <v>37</v>
      </c>
      <c r="AI528" s="2" t="n">
        <v>41</v>
      </c>
      <c r="AJ528" s="2" t="n">
        <v>0</v>
      </c>
      <c r="AK528" s="2" t="n">
        <v>0</v>
      </c>
      <c r="AL528" s="2" t="s">
        <v>2746</v>
      </c>
      <c r="AM528" s="2" t="s">
        <v>155</v>
      </c>
      <c r="AN528" s="2" t="s">
        <v>2747</v>
      </c>
      <c r="AO528" s="2" t="s">
        <v>157</v>
      </c>
      <c r="AP528" s="2"/>
      <c r="AQ528" s="2"/>
      <c r="AR528" s="2" t="s">
        <v>159</v>
      </c>
      <c r="AS528" s="2" t="s">
        <v>160</v>
      </c>
      <c r="AT528" s="2" t="s">
        <v>486</v>
      </c>
      <c r="AU528" s="2" t="n">
        <v>2008</v>
      </c>
      <c r="AV528" s="2" t="n">
        <v>80</v>
      </c>
      <c r="AW528" s="2" t="n">
        <v>6</v>
      </c>
      <c r="AX528" s="2"/>
      <c r="AY528" s="2"/>
      <c r="AZ528" s="2"/>
      <c r="BA528" s="2"/>
      <c r="BB528" s="2" t="n">
        <v>1084</v>
      </c>
      <c r="BC528" s="2" t="n">
        <v>1089</v>
      </c>
      <c r="BD528" s="2"/>
      <c r="BE528" s="2" t="s">
        <v>9938</v>
      </c>
      <c r="BF528" s="2" t="str">
        <f aca="false">HYPERLINK("http://dx.doi.org/10.1002/jmv.21194","http://dx.doi.org/10.1002/jmv.21194")</f>
        <v>http://dx.doi.org/10.1002/jmv.21194</v>
      </c>
      <c r="BG528" s="2"/>
      <c r="BH528" s="2"/>
      <c r="BI528" s="2" t="n">
        <v>6</v>
      </c>
      <c r="BJ528" s="2" t="s">
        <v>163</v>
      </c>
      <c r="BK528" s="2" t="s">
        <v>100</v>
      </c>
      <c r="BL528" s="2" t="s">
        <v>163</v>
      </c>
      <c r="BM528" s="2" t="s">
        <v>9939</v>
      </c>
      <c r="BN528" s="2" t="n">
        <v>18428137</v>
      </c>
      <c r="BO528" s="2"/>
      <c r="BP528" s="2"/>
      <c r="BQ528" s="2"/>
      <c r="BR528" s="2" t="s">
        <v>104</v>
      </c>
      <c r="BS528" s="2" t="s">
        <v>9940</v>
      </c>
      <c r="BT528" s="2" t="str">
        <f aca="false">HYPERLINK("https%3A%2F%2Fwww.webofscience.com%2Fwos%2Fwoscc%2Ffull-record%2FWOS:000255307500023","View Full Record in Web of Science")</f>
        <v>View Full Record in Web of Science</v>
      </c>
    </row>
    <row r="529" customFormat="false" ht="12.75" hidden="false" customHeight="false" outlineLevel="0" collapsed="false">
      <c r="A529" s="2" t="s">
        <v>72</v>
      </c>
      <c r="B529" s="2" t="s">
        <v>9941</v>
      </c>
      <c r="C529" s="2"/>
      <c r="D529" s="2"/>
      <c r="E529" s="2"/>
      <c r="F529" s="2" t="s">
        <v>9942</v>
      </c>
      <c r="G529" s="2"/>
      <c r="H529" s="2"/>
      <c r="I529" s="2" t="s">
        <v>9943</v>
      </c>
      <c r="J529" s="2" t="s">
        <v>607</v>
      </c>
      <c r="K529" s="2"/>
      <c r="L529" s="2"/>
      <c r="M529" s="2" t="s">
        <v>77</v>
      </c>
      <c r="N529" s="2" t="s">
        <v>78</v>
      </c>
      <c r="O529" s="2"/>
      <c r="P529" s="2"/>
      <c r="Q529" s="2"/>
      <c r="R529" s="2"/>
      <c r="S529" s="2"/>
      <c r="T529" s="2" t="s">
        <v>9944</v>
      </c>
      <c r="U529" s="2" t="s">
        <v>9945</v>
      </c>
      <c r="V529" s="2" t="s">
        <v>9946</v>
      </c>
      <c r="W529" s="2" t="s">
        <v>9947</v>
      </c>
      <c r="X529" s="2" t="s">
        <v>9948</v>
      </c>
      <c r="Y529" s="2" t="s">
        <v>9949</v>
      </c>
      <c r="Z529" s="2" t="s">
        <v>9950</v>
      </c>
      <c r="AA529" s="2"/>
      <c r="AB529" s="2"/>
      <c r="AC529" s="2" t="s">
        <v>9951</v>
      </c>
      <c r="AD529" s="2" t="s">
        <v>9952</v>
      </c>
      <c r="AE529" s="2" t="s">
        <v>9953</v>
      </c>
      <c r="AF529" s="2"/>
      <c r="AG529" s="2" t="n">
        <v>41</v>
      </c>
      <c r="AH529" s="2" t="n">
        <v>3</v>
      </c>
      <c r="AI529" s="2" t="n">
        <v>5</v>
      </c>
      <c r="AJ529" s="2" t="n">
        <v>2</v>
      </c>
      <c r="AK529" s="2" t="n">
        <v>11</v>
      </c>
      <c r="AL529" s="2" t="s">
        <v>620</v>
      </c>
      <c r="AM529" s="2" t="s">
        <v>621</v>
      </c>
      <c r="AN529" s="2" t="s">
        <v>622</v>
      </c>
      <c r="AO529" s="2" t="s">
        <v>623</v>
      </c>
      <c r="AP529" s="2"/>
      <c r="AQ529" s="2"/>
      <c r="AR529" s="2" t="s">
        <v>624</v>
      </c>
      <c r="AS529" s="2" t="s">
        <v>625</v>
      </c>
      <c r="AT529" s="2" t="s">
        <v>7237</v>
      </c>
      <c r="AU529" s="2" t="n">
        <v>2022</v>
      </c>
      <c r="AV529" s="2" t="n">
        <v>13</v>
      </c>
      <c r="AW529" s="2"/>
      <c r="AX529" s="2"/>
      <c r="AY529" s="2"/>
      <c r="AZ529" s="2"/>
      <c r="BA529" s="2"/>
      <c r="BB529" s="2"/>
      <c r="BC529" s="2"/>
      <c r="BD529" s="2" t="n">
        <v>970750</v>
      </c>
      <c r="BE529" s="2" t="s">
        <v>9954</v>
      </c>
      <c r="BF529" s="2" t="str">
        <f aca="false">HYPERLINK("http://dx.doi.org/10.3389/fimmu.2022.970750","http://dx.doi.org/10.3389/fimmu.2022.970750")</f>
        <v>http://dx.doi.org/10.3389/fimmu.2022.970750</v>
      </c>
      <c r="BG529" s="2"/>
      <c r="BH529" s="2"/>
      <c r="BI529" s="2" t="n">
        <v>15</v>
      </c>
      <c r="BJ529" s="2" t="s">
        <v>628</v>
      </c>
      <c r="BK529" s="2" t="s">
        <v>100</v>
      </c>
      <c r="BL529" s="2" t="s">
        <v>628</v>
      </c>
      <c r="BM529" s="2" t="s">
        <v>9955</v>
      </c>
      <c r="BN529" s="2" t="n">
        <v>36045682</v>
      </c>
      <c r="BO529" s="2" t="s">
        <v>103</v>
      </c>
      <c r="BP529" s="2"/>
      <c r="BQ529" s="2"/>
      <c r="BR529" s="2" t="s">
        <v>104</v>
      </c>
      <c r="BS529" s="2" t="s">
        <v>9956</v>
      </c>
      <c r="BT529" s="2" t="str">
        <f aca="false">HYPERLINK("https%3A%2F%2Fwww.webofscience.com%2Fwos%2Fwoscc%2Ffull-record%2FWOS:000847880500001","View Full Record in Web of Science")</f>
        <v>View Full Record in Web of Science</v>
      </c>
    </row>
    <row r="530" customFormat="false" ht="12.75" hidden="false" customHeight="false" outlineLevel="0" collapsed="false">
      <c r="A530" s="2" t="s">
        <v>72</v>
      </c>
      <c r="B530" s="2" t="s">
        <v>9957</v>
      </c>
      <c r="C530" s="2"/>
      <c r="D530" s="2"/>
      <c r="E530" s="2"/>
      <c r="F530" s="2" t="s">
        <v>9958</v>
      </c>
      <c r="G530" s="2"/>
      <c r="H530" s="2"/>
      <c r="I530" s="2" t="s">
        <v>9959</v>
      </c>
      <c r="J530" s="2" t="s">
        <v>889</v>
      </c>
      <c r="K530" s="2"/>
      <c r="L530" s="2"/>
      <c r="M530" s="2" t="s">
        <v>77</v>
      </c>
      <c r="N530" s="2" t="s">
        <v>78</v>
      </c>
      <c r="O530" s="2"/>
      <c r="P530" s="2"/>
      <c r="Q530" s="2"/>
      <c r="R530" s="2"/>
      <c r="S530" s="2"/>
      <c r="T530" s="2" t="s">
        <v>9960</v>
      </c>
      <c r="U530" s="2" t="s">
        <v>9961</v>
      </c>
      <c r="V530" s="2" t="s">
        <v>9962</v>
      </c>
      <c r="W530" s="2" t="s">
        <v>9963</v>
      </c>
      <c r="X530" s="2" t="s">
        <v>9964</v>
      </c>
      <c r="Y530" s="2" t="s">
        <v>8896</v>
      </c>
      <c r="Z530" s="2" t="s">
        <v>8897</v>
      </c>
      <c r="AA530" s="2" t="s">
        <v>4026</v>
      </c>
      <c r="AB530" s="2" t="s">
        <v>9965</v>
      </c>
      <c r="AC530" s="2" t="s">
        <v>9966</v>
      </c>
      <c r="AD530" s="2" t="s">
        <v>9967</v>
      </c>
      <c r="AE530" s="2" t="s">
        <v>9968</v>
      </c>
      <c r="AF530" s="2"/>
      <c r="AG530" s="2" t="n">
        <v>59</v>
      </c>
      <c r="AH530" s="2" t="n">
        <v>20</v>
      </c>
      <c r="AI530" s="2" t="n">
        <v>21</v>
      </c>
      <c r="AJ530" s="2" t="n">
        <v>0</v>
      </c>
      <c r="AK530" s="2" t="n">
        <v>23</v>
      </c>
      <c r="AL530" s="2" t="s">
        <v>5070</v>
      </c>
      <c r="AM530" s="2" t="s">
        <v>5071</v>
      </c>
      <c r="AN530" s="2" t="s">
        <v>5072</v>
      </c>
      <c r="AO530" s="2" t="s">
        <v>5073</v>
      </c>
      <c r="AP530" s="2" t="s">
        <v>5074</v>
      </c>
      <c r="AQ530" s="2"/>
      <c r="AR530" s="2" t="s">
        <v>889</v>
      </c>
      <c r="AS530" s="2" t="s">
        <v>5075</v>
      </c>
      <c r="AT530" s="2" t="s">
        <v>1041</v>
      </c>
      <c r="AU530" s="2" t="n">
        <v>2013</v>
      </c>
      <c r="AV530" s="2" t="n">
        <v>41</v>
      </c>
      <c r="AW530" s="2" t="n">
        <v>1</v>
      </c>
      <c r="AX530" s="2"/>
      <c r="AY530" s="2"/>
      <c r="AZ530" s="2"/>
      <c r="BA530" s="2"/>
      <c r="BB530" s="2" t="n">
        <v>77</v>
      </c>
      <c r="BC530" s="2" t="n">
        <v>91</v>
      </c>
      <c r="BD530" s="2"/>
      <c r="BE530" s="2" t="s">
        <v>9969</v>
      </c>
      <c r="BF530" s="2" t="str">
        <f aca="false">HYPERLINK("http://dx.doi.org/10.1007/s15010-012-0298-6","http://dx.doi.org/10.1007/s15010-012-0298-6")</f>
        <v>http://dx.doi.org/10.1007/s15010-012-0298-6</v>
      </c>
      <c r="BG530" s="2"/>
      <c r="BH530" s="2"/>
      <c r="BI530" s="2" t="n">
        <v>15</v>
      </c>
      <c r="BJ530" s="2" t="s">
        <v>575</v>
      </c>
      <c r="BK530" s="2" t="s">
        <v>100</v>
      </c>
      <c r="BL530" s="2" t="s">
        <v>575</v>
      </c>
      <c r="BM530" s="2" t="s">
        <v>9970</v>
      </c>
      <c r="BN530" s="2" t="n">
        <v>22847627</v>
      </c>
      <c r="BO530" s="2" t="s">
        <v>538</v>
      </c>
      <c r="BP530" s="2"/>
      <c r="BQ530" s="2"/>
      <c r="BR530" s="2" t="s">
        <v>104</v>
      </c>
      <c r="BS530" s="2" t="s">
        <v>9971</v>
      </c>
      <c r="BT530" s="2" t="str">
        <f aca="false">HYPERLINK("https%3A%2F%2Fwww.webofscience.com%2Fwos%2Fwoscc%2Ffull-record%2FWOS:000315756200012","View Full Record in Web of Science")</f>
        <v>View Full Record in Web of Science</v>
      </c>
    </row>
    <row r="531" customFormat="false" ht="12.75" hidden="false" customHeight="false" outlineLevel="0" collapsed="false">
      <c r="A531" s="2" t="s">
        <v>72</v>
      </c>
      <c r="B531" s="2" t="s">
        <v>9972</v>
      </c>
      <c r="C531" s="2"/>
      <c r="D531" s="2"/>
      <c r="E531" s="2"/>
      <c r="F531" s="2" t="s">
        <v>9973</v>
      </c>
      <c r="G531" s="2"/>
      <c r="H531" s="2"/>
      <c r="I531" s="2" t="s">
        <v>9974</v>
      </c>
      <c r="J531" s="2" t="s">
        <v>1473</v>
      </c>
      <c r="K531" s="2"/>
      <c r="L531" s="2"/>
      <c r="M531" s="2" t="s">
        <v>77</v>
      </c>
      <c r="N531" s="2" t="s">
        <v>78</v>
      </c>
      <c r="O531" s="2"/>
      <c r="P531" s="2"/>
      <c r="Q531" s="2"/>
      <c r="R531" s="2"/>
      <c r="S531" s="2"/>
      <c r="T531" s="2" t="s">
        <v>9975</v>
      </c>
      <c r="U531" s="2" t="s">
        <v>9976</v>
      </c>
      <c r="V531" s="2" t="s">
        <v>9977</v>
      </c>
      <c r="W531" s="2" t="s">
        <v>9978</v>
      </c>
      <c r="X531" s="2" t="s">
        <v>9979</v>
      </c>
      <c r="Y531" s="2" t="s">
        <v>9980</v>
      </c>
      <c r="Z531" s="2" t="s">
        <v>9981</v>
      </c>
      <c r="AA531" s="2" t="s">
        <v>9982</v>
      </c>
      <c r="AB531" s="2" t="s">
        <v>9983</v>
      </c>
      <c r="AC531" s="2" t="s">
        <v>9984</v>
      </c>
      <c r="AD531" s="2" t="s">
        <v>9985</v>
      </c>
      <c r="AE531" s="2" t="s">
        <v>9986</v>
      </c>
      <c r="AF531" s="2"/>
      <c r="AG531" s="2" t="n">
        <v>33</v>
      </c>
      <c r="AH531" s="2" t="n">
        <v>61</v>
      </c>
      <c r="AI531" s="2" t="n">
        <v>68</v>
      </c>
      <c r="AJ531" s="2" t="n">
        <v>0</v>
      </c>
      <c r="AK531" s="2" t="n">
        <v>1</v>
      </c>
      <c r="AL531" s="2" t="s">
        <v>154</v>
      </c>
      <c r="AM531" s="2" t="s">
        <v>155</v>
      </c>
      <c r="AN531" s="2" t="s">
        <v>156</v>
      </c>
      <c r="AO531" s="2" t="s">
        <v>1485</v>
      </c>
      <c r="AP531" s="2" t="s">
        <v>1486</v>
      </c>
      <c r="AQ531" s="2"/>
      <c r="AR531" s="2" t="s">
        <v>1487</v>
      </c>
      <c r="AS531" s="2" t="s">
        <v>1488</v>
      </c>
      <c r="AT531" s="2" t="s">
        <v>185</v>
      </c>
      <c r="AU531" s="2" t="n">
        <v>2009</v>
      </c>
      <c r="AV531" s="2" t="n">
        <v>11</v>
      </c>
      <c r="AW531" s="2" t="n">
        <v>4</v>
      </c>
      <c r="AX531" s="2"/>
      <c r="AY531" s="2"/>
      <c r="AZ531" s="2"/>
      <c r="BA531" s="2"/>
      <c r="BB531" s="2" t="n">
        <v>304</v>
      </c>
      <c r="BC531" s="2" t="n">
        <v>312</v>
      </c>
      <c r="BD531" s="2"/>
      <c r="BE531" s="2" t="s">
        <v>9987</v>
      </c>
      <c r="BF531" s="2" t="str">
        <f aca="false">HYPERLINK("http://dx.doi.org/10.1111/j.1399-3062.2009.00397.x","http://dx.doi.org/10.1111/j.1399-3062.2009.00397.x")</f>
        <v>http://dx.doi.org/10.1111/j.1399-3062.2009.00397.x</v>
      </c>
      <c r="BG531" s="2"/>
      <c r="BH531" s="2"/>
      <c r="BI531" s="2" t="n">
        <v>9</v>
      </c>
      <c r="BJ531" s="2" t="s">
        <v>1490</v>
      </c>
      <c r="BK531" s="2" t="s">
        <v>100</v>
      </c>
      <c r="BL531" s="2" t="s">
        <v>1490</v>
      </c>
      <c r="BM531" s="2" t="s">
        <v>1491</v>
      </c>
      <c r="BN531" s="2" t="n">
        <v>19422670</v>
      </c>
      <c r="BO531" s="2" t="s">
        <v>1267</v>
      </c>
      <c r="BP531" s="2"/>
      <c r="BQ531" s="2"/>
      <c r="BR531" s="2" t="s">
        <v>104</v>
      </c>
      <c r="BS531" s="2" t="s">
        <v>9988</v>
      </c>
      <c r="BT531" s="2" t="str">
        <f aca="false">HYPERLINK("https%3A%2F%2Fwww.webofscience.com%2Fwos%2Fwoscc%2Ffull-record%2FWOS:000268714600004","View Full Record in Web of Science")</f>
        <v>View Full Record in Web of Science</v>
      </c>
    </row>
    <row r="532" customFormat="false" ht="12.75" hidden="false" customHeight="false" outlineLevel="0" collapsed="false">
      <c r="A532" s="2" t="s">
        <v>72</v>
      </c>
      <c r="B532" s="2" t="s">
        <v>9989</v>
      </c>
      <c r="C532" s="2"/>
      <c r="D532" s="2"/>
      <c r="E532" s="2"/>
      <c r="F532" s="2" t="s">
        <v>9990</v>
      </c>
      <c r="G532" s="2"/>
      <c r="H532" s="2"/>
      <c r="I532" s="2" t="s">
        <v>9991</v>
      </c>
      <c r="J532" s="2" t="s">
        <v>9992</v>
      </c>
      <c r="K532" s="2"/>
      <c r="L532" s="2"/>
      <c r="M532" s="2" t="s">
        <v>77</v>
      </c>
      <c r="N532" s="2" t="s">
        <v>78</v>
      </c>
      <c r="O532" s="2"/>
      <c r="P532" s="2"/>
      <c r="Q532" s="2"/>
      <c r="R532" s="2"/>
      <c r="S532" s="2"/>
      <c r="T532" s="2" t="s">
        <v>9993</v>
      </c>
      <c r="U532" s="2" t="s">
        <v>9994</v>
      </c>
      <c r="V532" s="2" t="s">
        <v>9995</v>
      </c>
      <c r="W532" s="2" t="s">
        <v>9996</v>
      </c>
      <c r="X532" s="2" t="s">
        <v>9997</v>
      </c>
      <c r="Y532" s="2" t="s">
        <v>9998</v>
      </c>
      <c r="Z532" s="2" t="s">
        <v>9999</v>
      </c>
      <c r="AA532" s="2" t="s">
        <v>10000</v>
      </c>
      <c r="AB532" s="2" t="s">
        <v>10001</v>
      </c>
      <c r="AC532" s="2" t="s">
        <v>10002</v>
      </c>
      <c r="AD532" s="2" t="s">
        <v>10003</v>
      </c>
      <c r="AE532" s="2" t="s">
        <v>10004</v>
      </c>
      <c r="AF532" s="2"/>
      <c r="AG532" s="2" t="n">
        <v>27</v>
      </c>
      <c r="AH532" s="2" t="n">
        <v>27</v>
      </c>
      <c r="AI532" s="2" t="n">
        <v>30</v>
      </c>
      <c r="AJ532" s="2" t="n">
        <v>0</v>
      </c>
      <c r="AK532" s="2" t="n">
        <v>4</v>
      </c>
      <c r="AL532" s="2" t="s">
        <v>3813</v>
      </c>
      <c r="AM532" s="2" t="s">
        <v>4498</v>
      </c>
      <c r="AN532" s="2" t="s">
        <v>4499</v>
      </c>
      <c r="AO532" s="2" t="s">
        <v>10005</v>
      </c>
      <c r="AP532" s="2"/>
      <c r="AQ532" s="2"/>
      <c r="AR532" s="2" t="s">
        <v>10006</v>
      </c>
      <c r="AS532" s="2" t="s">
        <v>10007</v>
      </c>
      <c r="AT532" s="2" t="s">
        <v>390</v>
      </c>
      <c r="AU532" s="2" t="n">
        <v>2010</v>
      </c>
      <c r="AV532" s="2" t="n">
        <v>14</v>
      </c>
      <c r="AW532" s="2" t="n">
        <v>3</v>
      </c>
      <c r="AX532" s="2"/>
      <c r="AY532" s="2"/>
      <c r="AZ532" s="2"/>
      <c r="BA532" s="2"/>
      <c r="BB532" s="2" t="n">
        <v>431</v>
      </c>
      <c r="BC532" s="2" t="n">
        <v>436</v>
      </c>
      <c r="BD532" s="2"/>
      <c r="BE532" s="2" t="s">
        <v>10008</v>
      </c>
      <c r="BF532" s="2" t="str">
        <f aca="false">HYPERLINK("http://dx.doi.org/10.1111/j.1399-3046.2010.01296.x","http://dx.doi.org/10.1111/j.1399-3046.2010.01296.x")</f>
        <v>http://dx.doi.org/10.1111/j.1399-3046.2010.01296.x</v>
      </c>
      <c r="BG532" s="2"/>
      <c r="BH532" s="2"/>
      <c r="BI532" s="2" t="n">
        <v>6</v>
      </c>
      <c r="BJ532" s="2" t="s">
        <v>10009</v>
      </c>
      <c r="BK532" s="2" t="s">
        <v>100</v>
      </c>
      <c r="BL532" s="2" t="s">
        <v>10009</v>
      </c>
      <c r="BM532" s="2" t="s">
        <v>10010</v>
      </c>
      <c r="BN532" s="2" t="n">
        <v>20214745</v>
      </c>
      <c r="BO532" s="2" t="s">
        <v>695</v>
      </c>
      <c r="BP532" s="2"/>
      <c r="BQ532" s="2"/>
      <c r="BR532" s="2" t="s">
        <v>104</v>
      </c>
      <c r="BS532" s="2" t="s">
        <v>10011</v>
      </c>
      <c r="BT532" s="2" t="str">
        <f aca="false">HYPERLINK("https%3A%2F%2Fwww.webofscience.com%2Fwos%2Fwoscc%2Ffull-record%2FWOS:000276495900026","View Full Record in Web of Science")</f>
        <v>View Full Record in Web of Science</v>
      </c>
    </row>
    <row r="533" customFormat="false" ht="12.75" hidden="false" customHeight="false" outlineLevel="0" collapsed="false">
      <c r="A533" s="2" t="s">
        <v>72</v>
      </c>
      <c r="B533" s="2" t="s">
        <v>10012</v>
      </c>
      <c r="C533" s="2"/>
      <c r="D533" s="2"/>
      <c r="E533" s="2"/>
      <c r="F533" s="2" t="s">
        <v>10013</v>
      </c>
      <c r="G533" s="2"/>
      <c r="H533" s="2"/>
      <c r="I533" s="2" t="s">
        <v>10014</v>
      </c>
      <c r="J533" s="2" t="s">
        <v>2944</v>
      </c>
      <c r="K533" s="2"/>
      <c r="L533" s="2"/>
      <c r="M533" s="2" t="s">
        <v>77</v>
      </c>
      <c r="N533" s="2" t="s">
        <v>78</v>
      </c>
      <c r="O533" s="2"/>
      <c r="P533" s="2"/>
      <c r="Q533" s="2"/>
      <c r="R533" s="2"/>
      <c r="S533" s="2"/>
      <c r="T533" s="2" t="s">
        <v>10015</v>
      </c>
      <c r="U533" s="2" t="s">
        <v>10016</v>
      </c>
      <c r="V533" s="2" t="s">
        <v>10017</v>
      </c>
      <c r="W533" s="2" t="s">
        <v>10018</v>
      </c>
      <c r="X533" s="2" t="s">
        <v>10019</v>
      </c>
      <c r="Y533" s="2" t="s">
        <v>10020</v>
      </c>
      <c r="Z533" s="2" t="s">
        <v>10021</v>
      </c>
      <c r="AA533" s="2" t="s">
        <v>10022</v>
      </c>
      <c r="AB533" s="2" t="s">
        <v>10023</v>
      </c>
      <c r="AC533" s="2"/>
      <c r="AD533" s="2"/>
      <c r="AE533" s="2"/>
      <c r="AF533" s="2"/>
      <c r="AG533" s="2" t="n">
        <v>53</v>
      </c>
      <c r="AH533" s="2" t="n">
        <v>160</v>
      </c>
      <c r="AI533" s="2" t="n">
        <v>168</v>
      </c>
      <c r="AJ533" s="2" t="n">
        <v>0</v>
      </c>
      <c r="AK533" s="2" t="n">
        <v>7</v>
      </c>
      <c r="AL533" s="2" t="s">
        <v>2954</v>
      </c>
      <c r="AM533" s="2" t="s">
        <v>593</v>
      </c>
      <c r="AN533" s="2" t="s">
        <v>6063</v>
      </c>
      <c r="AO533" s="2" t="s">
        <v>2956</v>
      </c>
      <c r="AP533" s="2"/>
      <c r="AQ533" s="2"/>
      <c r="AR533" s="2" t="s">
        <v>2958</v>
      </c>
      <c r="AS533" s="2" t="s">
        <v>2959</v>
      </c>
      <c r="AT533" s="2" t="s">
        <v>10024</v>
      </c>
      <c r="AU533" s="2" t="n">
        <v>2006</v>
      </c>
      <c r="AV533" s="2" t="n">
        <v>174</v>
      </c>
      <c r="AW533" s="2" t="n">
        <v>12</v>
      </c>
      <c r="AX533" s="2"/>
      <c r="AY533" s="2"/>
      <c r="AZ533" s="2"/>
      <c r="BA533" s="2"/>
      <c r="BB533" s="2" t="n">
        <v>1392</v>
      </c>
      <c r="BC533" s="2" t="n">
        <v>1399</v>
      </c>
      <c r="BD533" s="2"/>
      <c r="BE533" s="2" t="s">
        <v>10025</v>
      </c>
      <c r="BF533" s="2" t="str">
        <f aca="false">HYPERLINK("http://dx.doi.org/10.1164/rccm.200604-489OC","http://dx.doi.org/10.1164/rccm.200604-489OC")</f>
        <v>http://dx.doi.org/10.1164/rccm.200604-489OC</v>
      </c>
      <c r="BG533" s="2"/>
      <c r="BH533" s="2"/>
      <c r="BI533" s="2" t="n">
        <v>8</v>
      </c>
      <c r="BJ533" s="2" t="s">
        <v>2962</v>
      </c>
      <c r="BK533" s="2" t="s">
        <v>100</v>
      </c>
      <c r="BL533" s="2" t="s">
        <v>2963</v>
      </c>
      <c r="BM533" s="2" t="s">
        <v>10026</v>
      </c>
      <c r="BN533" s="2" t="n">
        <v>17008640</v>
      </c>
      <c r="BO533" s="2"/>
      <c r="BP533" s="2"/>
      <c r="BQ533" s="2"/>
      <c r="BR533" s="2" t="s">
        <v>104</v>
      </c>
      <c r="BS533" s="2" t="s">
        <v>10027</v>
      </c>
      <c r="BT533" s="2" t="str">
        <f aca="false">HYPERLINK("https%3A%2F%2Fwww.webofscience.com%2Fwos%2Fwoscc%2Ffull-record%2FWOS:000242889400017","View Full Record in Web of Science")</f>
        <v>View Full Record in Web of Science</v>
      </c>
    </row>
    <row r="534" customFormat="false" ht="12.75" hidden="false" customHeight="false" outlineLevel="0" collapsed="false">
      <c r="A534" s="2" t="s">
        <v>72</v>
      </c>
      <c r="B534" s="2" t="s">
        <v>10028</v>
      </c>
      <c r="C534" s="2"/>
      <c r="D534" s="2"/>
      <c r="E534" s="2"/>
      <c r="F534" s="2" t="s">
        <v>10029</v>
      </c>
      <c r="G534" s="2"/>
      <c r="H534" s="2"/>
      <c r="I534" s="2" t="s">
        <v>10030</v>
      </c>
      <c r="J534" s="2" t="s">
        <v>10031</v>
      </c>
      <c r="K534" s="2"/>
      <c r="L534" s="2"/>
      <c r="M534" s="2" t="s">
        <v>77</v>
      </c>
      <c r="N534" s="2" t="s">
        <v>78</v>
      </c>
      <c r="O534" s="2"/>
      <c r="P534" s="2"/>
      <c r="Q534" s="2"/>
      <c r="R534" s="2"/>
      <c r="S534" s="2"/>
      <c r="T534" s="2" t="s">
        <v>10032</v>
      </c>
      <c r="U534" s="2" t="s">
        <v>10033</v>
      </c>
      <c r="V534" s="2" t="s">
        <v>10034</v>
      </c>
      <c r="W534" s="2" t="s">
        <v>10035</v>
      </c>
      <c r="X534" s="2" t="s">
        <v>2825</v>
      </c>
      <c r="Y534" s="2" t="s">
        <v>10036</v>
      </c>
      <c r="Z534" s="2" t="s">
        <v>10037</v>
      </c>
      <c r="AA534" s="2"/>
      <c r="AB534" s="2" t="s">
        <v>10038</v>
      </c>
      <c r="AC534" s="2"/>
      <c r="AD534" s="2"/>
      <c r="AE534" s="2"/>
      <c r="AF534" s="2"/>
      <c r="AG534" s="2" t="n">
        <v>25</v>
      </c>
      <c r="AH534" s="2" t="n">
        <v>80</v>
      </c>
      <c r="AI534" s="2" t="n">
        <v>84</v>
      </c>
      <c r="AJ534" s="2" t="n">
        <v>1</v>
      </c>
      <c r="AK534" s="2" t="n">
        <v>1</v>
      </c>
      <c r="AL534" s="2" t="s">
        <v>10039</v>
      </c>
      <c r="AM534" s="2" t="s">
        <v>10040</v>
      </c>
      <c r="AN534" s="2" t="s">
        <v>10041</v>
      </c>
      <c r="AO534" s="2" t="s">
        <v>10042</v>
      </c>
      <c r="AP534" s="2"/>
      <c r="AQ534" s="2"/>
      <c r="AR534" s="2" t="s">
        <v>10043</v>
      </c>
      <c r="AS534" s="2" t="s">
        <v>10044</v>
      </c>
      <c r="AT534" s="2" t="s">
        <v>599</v>
      </c>
      <c r="AU534" s="2" t="n">
        <v>2006</v>
      </c>
      <c r="AV534" s="2" t="n">
        <v>28</v>
      </c>
      <c r="AW534" s="2" t="n">
        <v>1</v>
      </c>
      <c r="AX534" s="2"/>
      <c r="AY534" s="2"/>
      <c r="AZ534" s="2"/>
      <c r="BA534" s="2"/>
      <c r="BB534" s="2" t="n">
        <v>131</v>
      </c>
      <c r="BC534" s="2" t="n">
        <v>137</v>
      </c>
      <c r="BD534" s="2"/>
      <c r="BE534" s="2" t="s">
        <v>10045</v>
      </c>
      <c r="BF534" s="2" t="str">
        <f aca="false">HYPERLINK("http://dx.doi.org/10.1183/09031936.06.00105505","http://dx.doi.org/10.1183/09031936.06.00105505")</f>
        <v>http://dx.doi.org/10.1183/09031936.06.00105505</v>
      </c>
      <c r="BG534" s="2"/>
      <c r="BH534" s="2"/>
      <c r="BI534" s="2" t="n">
        <v>7</v>
      </c>
      <c r="BJ534" s="2" t="s">
        <v>338</v>
      </c>
      <c r="BK534" s="2" t="s">
        <v>100</v>
      </c>
      <c r="BL534" s="2" t="s">
        <v>338</v>
      </c>
      <c r="BM534" s="2" t="s">
        <v>10046</v>
      </c>
      <c r="BN534" s="2" t="n">
        <v>16510454</v>
      </c>
      <c r="BO534" s="2" t="s">
        <v>656</v>
      </c>
      <c r="BP534" s="2"/>
      <c r="BQ534" s="2"/>
      <c r="BR534" s="2" t="s">
        <v>104</v>
      </c>
      <c r="BS534" s="2" t="s">
        <v>10047</v>
      </c>
      <c r="BT534" s="2" t="str">
        <f aca="false">HYPERLINK("https%3A%2F%2Fwww.webofscience.com%2Fwos%2Fwoscc%2Ffull-record%2FWOS:000239066500020","View Full Record in Web of Science")</f>
        <v>View Full Record in Web of Science</v>
      </c>
    </row>
    <row r="535" customFormat="false" ht="12.75" hidden="false" customHeight="false" outlineLevel="0" collapsed="false">
      <c r="A535" s="2" t="s">
        <v>72</v>
      </c>
      <c r="B535" s="2" t="s">
        <v>10048</v>
      </c>
      <c r="C535" s="2"/>
      <c r="D535" s="2"/>
      <c r="E535" s="2"/>
      <c r="F535" s="2" t="s">
        <v>10049</v>
      </c>
      <c r="G535" s="2"/>
      <c r="H535" s="2"/>
      <c r="I535" s="2" t="s">
        <v>10050</v>
      </c>
      <c r="J535" s="2" t="s">
        <v>10051</v>
      </c>
      <c r="K535" s="2"/>
      <c r="L535" s="2"/>
      <c r="M535" s="2" t="s">
        <v>77</v>
      </c>
      <c r="N535" s="2" t="s">
        <v>78</v>
      </c>
      <c r="O535" s="2"/>
      <c r="P535" s="2"/>
      <c r="Q535" s="2"/>
      <c r="R535" s="2"/>
      <c r="S535" s="2"/>
      <c r="T535" s="2" t="s">
        <v>10052</v>
      </c>
      <c r="U535" s="2" t="s">
        <v>10053</v>
      </c>
      <c r="V535" s="2" t="s">
        <v>10054</v>
      </c>
      <c r="W535" s="2" t="s">
        <v>10055</v>
      </c>
      <c r="X535" s="2" t="s">
        <v>10056</v>
      </c>
      <c r="Y535" s="2" t="s">
        <v>10057</v>
      </c>
      <c r="Z535" s="2" t="s">
        <v>10058</v>
      </c>
      <c r="AA535" s="2"/>
      <c r="AB535" s="2"/>
      <c r="AC535" s="2" t="s">
        <v>10059</v>
      </c>
      <c r="AD535" s="2" t="s">
        <v>10059</v>
      </c>
      <c r="AE535" s="2" t="s">
        <v>10060</v>
      </c>
      <c r="AF535" s="2"/>
      <c r="AG535" s="2" t="n">
        <v>47</v>
      </c>
      <c r="AH535" s="2" t="n">
        <v>3</v>
      </c>
      <c r="AI535" s="2" t="n">
        <v>3</v>
      </c>
      <c r="AJ535" s="2" t="n">
        <v>0</v>
      </c>
      <c r="AK535" s="2" t="n">
        <v>0</v>
      </c>
      <c r="AL535" s="2" t="s">
        <v>592</v>
      </c>
      <c r="AM535" s="2" t="s">
        <v>593</v>
      </c>
      <c r="AN535" s="2" t="s">
        <v>859</v>
      </c>
      <c r="AO535" s="2"/>
      <c r="AP535" s="2" t="s">
        <v>10061</v>
      </c>
      <c r="AQ535" s="2"/>
      <c r="AR535" s="2" t="s">
        <v>10062</v>
      </c>
      <c r="AS535" s="2" t="s">
        <v>10063</v>
      </c>
      <c r="AT535" s="2" t="s">
        <v>129</v>
      </c>
      <c r="AU535" s="2" t="n">
        <v>2012</v>
      </c>
      <c r="AV535" s="2" t="n">
        <v>1</v>
      </c>
      <c r="AW535" s="2" t="n">
        <v>3</v>
      </c>
      <c r="AX535" s="2"/>
      <c r="AY535" s="2"/>
      <c r="AZ535" s="2"/>
      <c r="BA535" s="2"/>
      <c r="BB535" s="2" t="n">
        <v>162</v>
      </c>
      <c r="BC535" s="2" t="n">
        <v>167</v>
      </c>
      <c r="BD535" s="2"/>
      <c r="BE535" s="2" t="s">
        <v>10064</v>
      </c>
      <c r="BF535" s="2" t="str">
        <f aca="false">HYPERLINK("http://dx.doi.org/10.1007/s13665-012-0017-x","http://dx.doi.org/10.1007/s13665-012-0017-x")</f>
        <v>http://dx.doi.org/10.1007/s13665-012-0017-x</v>
      </c>
      <c r="BG535" s="2"/>
      <c r="BH535" s="2"/>
      <c r="BI535" s="2" t="n">
        <v>6</v>
      </c>
      <c r="BJ535" s="2" t="s">
        <v>338</v>
      </c>
      <c r="BK535" s="2" t="s">
        <v>339</v>
      </c>
      <c r="BL535" s="2" t="s">
        <v>338</v>
      </c>
      <c r="BM535" s="2" t="s">
        <v>10065</v>
      </c>
      <c r="BN535" s="2" t="n">
        <v>32226645</v>
      </c>
      <c r="BO535" s="2" t="s">
        <v>538</v>
      </c>
      <c r="BP535" s="2"/>
      <c r="BQ535" s="2"/>
      <c r="BR535" s="2" t="s">
        <v>104</v>
      </c>
      <c r="BS535" s="2" t="s">
        <v>10066</v>
      </c>
      <c r="BT535" s="2" t="str">
        <f aca="false">HYPERLINK("https%3A%2F%2Fwww.webofscience.com%2Fwos%2Fwoscc%2Ffull-record%2FWOS:000434625500003","View Full Record in Web of Science")</f>
        <v>View Full Record in Web of Science</v>
      </c>
    </row>
    <row r="536" customFormat="false" ht="12.75" hidden="false" customHeight="false" outlineLevel="0" collapsed="false">
      <c r="A536" s="2" t="s">
        <v>72</v>
      </c>
      <c r="B536" s="2" t="s">
        <v>10067</v>
      </c>
      <c r="C536" s="2"/>
      <c r="D536" s="2"/>
      <c r="E536" s="2"/>
      <c r="F536" s="2" t="s">
        <v>10068</v>
      </c>
      <c r="G536" s="2"/>
      <c r="H536" s="2"/>
      <c r="I536" s="2" t="s">
        <v>10069</v>
      </c>
      <c r="J536" s="2" t="s">
        <v>1473</v>
      </c>
      <c r="K536" s="2"/>
      <c r="L536" s="2"/>
      <c r="M536" s="2" t="s">
        <v>77</v>
      </c>
      <c r="N536" s="2" t="s">
        <v>78</v>
      </c>
      <c r="O536" s="2"/>
      <c r="P536" s="2"/>
      <c r="Q536" s="2"/>
      <c r="R536" s="2"/>
      <c r="S536" s="2"/>
      <c r="T536" s="2" t="s">
        <v>10070</v>
      </c>
      <c r="U536" s="2" t="s">
        <v>10071</v>
      </c>
      <c r="V536" s="2" t="s">
        <v>10072</v>
      </c>
      <c r="W536" s="2" t="s">
        <v>10073</v>
      </c>
      <c r="X536" s="2" t="s">
        <v>10074</v>
      </c>
      <c r="Y536" s="2" t="s">
        <v>10075</v>
      </c>
      <c r="Z536" s="2" t="s">
        <v>10076</v>
      </c>
      <c r="AA536" s="2" t="s">
        <v>10077</v>
      </c>
      <c r="AB536" s="2" t="s">
        <v>10078</v>
      </c>
      <c r="AC536" s="2"/>
      <c r="AD536" s="2"/>
      <c r="AE536" s="2"/>
      <c r="AF536" s="2"/>
      <c r="AG536" s="2" t="n">
        <v>27</v>
      </c>
      <c r="AH536" s="2" t="n">
        <v>61</v>
      </c>
      <c r="AI536" s="2" t="n">
        <v>64</v>
      </c>
      <c r="AJ536" s="2" t="n">
        <v>0</v>
      </c>
      <c r="AK536" s="2" t="n">
        <v>2</v>
      </c>
      <c r="AL536" s="2" t="s">
        <v>10079</v>
      </c>
      <c r="AM536" s="2" t="s">
        <v>4498</v>
      </c>
      <c r="AN536" s="2" t="s">
        <v>4499</v>
      </c>
      <c r="AO536" s="2" t="s">
        <v>1485</v>
      </c>
      <c r="AP536" s="2"/>
      <c r="AQ536" s="2"/>
      <c r="AR536" s="2" t="s">
        <v>1487</v>
      </c>
      <c r="AS536" s="2" t="s">
        <v>1488</v>
      </c>
      <c r="AT536" s="2" t="s">
        <v>1041</v>
      </c>
      <c r="AU536" s="2" t="n">
        <v>2010</v>
      </c>
      <c r="AV536" s="2" t="n">
        <v>12</v>
      </c>
      <c r="AW536" s="2" t="n">
        <v>1</v>
      </c>
      <c r="AX536" s="2"/>
      <c r="AY536" s="2"/>
      <c r="AZ536" s="2"/>
      <c r="BA536" s="2"/>
      <c r="BB536" s="2" t="n">
        <v>38</v>
      </c>
      <c r="BC536" s="2" t="n">
        <v>44</v>
      </c>
      <c r="BD536" s="2"/>
      <c r="BE536" s="2" t="s">
        <v>10080</v>
      </c>
      <c r="BF536" s="2" t="str">
        <f aca="false">HYPERLINK("http://dx.doi.org/10.1111/j.1399-3062.2009.00453.x","http://dx.doi.org/10.1111/j.1399-3062.2009.00453.x")</f>
        <v>http://dx.doi.org/10.1111/j.1399-3062.2009.00453.x</v>
      </c>
      <c r="BG536" s="2"/>
      <c r="BH536" s="2"/>
      <c r="BI536" s="2" t="n">
        <v>7</v>
      </c>
      <c r="BJ536" s="2" t="s">
        <v>1490</v>
      </c>
      <c r="BK536" s="2" t="s">
        <v>100</v>
      </c>
      <c r="BL536" s="2" t="s">
        <v>1490</v>
      </c>
      <c r="BM536" s="2" t="s">
        <v>10081</v>
      </c>
      <c r="BN536" s="2" t="n">
        <v>19761558</v>
      </c>
      <c r="BO536" s="2"/>
      <c r="BP536" s="2"/>
      <c r="BQ536" s="2"/>
      <c r="BR536" s="2" t="s">
        <v>104</v>
      </c>
      <c r="BS536" s="2" t="s">
        <v>10082</v>
      </c>
      <c r="BT536" s="2" t="str">
        <f aca="false">HYPERLINK("https%3A%2F%2Fwww.webofscience.com%2Fwos%2Fwoscc%2Ffull-record%2FWOS:000273823500006","View Full Record in Web of Science")</f>
        <v>View Full Record in Web of Science</v>
      </c>
    </row>
    <row r="537" customFormat="false" ht="12.75" hidden="false" customHeight="false" outlineLevel="0" collapsed="false">
      <c r="A537" s="2" t="s">
        <v>72</v>
      </c>
      <c r="B537" s="2" t="s">
        <v>10083</v>
      </c>
      <c r="C537" s="2"/>
      <c r="D537" s="2"/>
      <c r="E537" s="2"/>
      <c r="F537" s="2" t="s">
        <v>10084</v>
      </c>
      <c r="G537" s="2"/>
      <c r="H537" s="2"/>
      <c r="I537" s="2" t="s">
        <v>10085</v>
      </c>
      <c r="J537" s="2" t="s">
        <v>10086</v>
      </c>
      <c r="K537" s="2"/>
      <c r="L537" s="2"/>
      <c r="M537" s="2" t="s">
        <v>77</v>
      </c>
      <c r="N537" s="2" t="s">
        <v>78</v>
      </c>
      <c r="O537" s="2"/>
      <c r="P537" s="2"/>
      <c r="Q537" s="2"/>
      <c r="R537" s="2"/>
      <c r="S537" s="2"/>
      <c r="T537" s="2" t="s">
        <v>10087</v>
      </c>
      <c r="U537" s="2" t="s">
        <v>10088</v>
      </c>
      <c r="V537" s="2" t="s">
        <v>10089</v>
      </c>
      <c r="W537" s="2" t="s">
        <v>10090</v>
      </c>
      <c r="X537" s="2" t="s">
        <v>10091</v>
      </c>
      <c r="Y537" s="2" t="s">
        <v>10092</v>
      </c>
      <c r="Z537" s="2" t="s">
        <v>10093</v>
      </c>
      <c r="AA537" s="2" t="s">
        <v>10094</v>
      </c>
      <c r="AB537" s="2" t="s">
        <v>10095</v>
      </c>
      <c r="AC537" s="2"/>
      <c r="AD537" s="2"/>
      <c r="AE537" s="2"/>
      <c r="AF537" s="2"/>
      <c r="AG537" s="2" t="n">
        <v>38</v>
      </c>
      <c r="AH537" s="2" t="n">
        <v>123</v>
      </c>
      <c r="AI537" s="2" t="n">
        <v>125</v>
      </c>
      <c r="AJ537" s="2" t="n">
        <v>0</v>
      </c>
      <c r="AK537" s="2" t="n">
        <v>2</v>
      </c>
      <c r="AL537" s="2" t="s">
        <v>122</v>
      </c>
      <c r="AM537" s="2" t="s">
        <v>123</v>
      </c>
      <c r="AN537" s="2" t="s">
        <v>124</v>
      </c>
      <c r="AO537" s="2" t="s">
        <v>10096</v>
      </c>
      <c r="AP537" s="2" t="s">
        <v>10097</v>
      </c>
      <c r="AQ537" s="2"/>
      <c r="AR537" s="2" t="s">
        <v>10086</v>
      </c>
      <c r="AS537" s="2" t="s">
        <v>10098</v>
      </c>
      <c r="AT537" s="2" t="s">
        <v>7940</v>
      </c>
      <c r="AU537" s="2" t="n">
        <v>2009</v>
      </c>
      <c r="AV537" s="2" t="n">
        <v>87</v>
      </c>
      <c r="AW537" s="2" t="n">
        <v>10</v>
      </c>
      <c r="AX537" s="2"/>
      <c r="AY537" s="2"/>
      <c r="AZ537" s="2"/>
      <c r="BA537" s="2"/>
      <c r="BB537" s="2" t="n">
        <v>1530</v>
      </c>
      <c r="BC537" s="2" t="n">
        <v>1537</v>
      </c>
      <c r="BD537" s="2"/>
      <c r="BE537" s="2" t="s">
        <v>10099</v>
      </c>
      <c r="BF537" s="2" t="str">
        <f aca="false">HYPERLINK("http://dx.doi.org/10.1097/TP.0b013e3181a4857d","http://dx.doi.org/10.1097/TP.0b013e3181a4857d")</f>
        <v>http://dx.doi.org/10.1097/TP.0b013e3181a4857d</v>
      </c>
      <c r="BG537" s="2"/>
      <c r="BH537" s="2"/>
      <c r="BI537" s="2" t="n">
        <v>8</v>
      </c>
      <c r="BJ537" s="2" t="s">
        <v>10100</v>
      </c>
      <c r="BK537" s="2" t="s">
        <v>100</v>
      </c>
      <c r="BL537" s="2" t="s">
        <v>10100</v>
      </c>
      <c r="BM537" s="2" t="s">
        <v>10101</v>
      </c>
      <c r="BN537" s="2" t="n">
        <v>19461490</v>
      </c>
      <c r="BO537" s="2" t="s">
        <v>656</v>
      </c>
      <c r="BP537" s="2"/>
      <c r="BQ537" s="2"/>
      <c r="BR537" s="2" t="s">
        <v>104</v>
      </c>
      <c r="BS537" s="2" t="s">
        <v>10102</v>
      </c>
      <c r="BT537" s="2" t="str">
        <f aca="false">HYPERLINK("https%3A%2F%2Fwww.webofscience.com%2Fwos%2Fwoscc%2Ffull-record%2FWOS:000266431500015","View Full Record in Web of Science")</f>
        <v>View Full Record in Web of Science</v>
      </c>
    </row>
    <row r="538" customFormat="false" ht="12.75" hidden="false" customHeight="false" outlineLevel="0" collapsed="false">
      <c r="A538" s="2" t="s">
        <v>72</v>
      </c>
      <c r="B538" s="2" t="s">
        <v>10103</v>
      </c>
      <c r="C538" s="2"/>
      <c r="D538" s="2"/>
      <c r="E538" s="2"/>
      <c r="F538" s="2" t="s">
        <v>10104</v>
      </c>
      <c r="G538" s="2"/>
      <c r="H538" s="2"/>
      <c r="I538" s="2" t="s">
        <v>10105</v>
      </c>
      <c r="J538" s="2" t="s">
        <v>493</v>
      </c>
      <c r="K538" s="2"/>
      <c r="L538" s="2"/>
      <c r="M538" s="2" t="s">
        <v>77</v>
      </c>
      <c r="N538" s="2" t="s">
        <v>78</v>
      </c>
      <c r="O538" s="2"/>
      <c r="P538" s="2"/>
      <c r="Q538" s="2"/>
      <c r="R538" s="2"/>
      <c r="S538" s="2"/>
      <c r="T538" s="2" t="s">
        <v>10106</v>
      </c>
      <c r="U538" s="2" t="s">
        <v>10107</v>
      </c>
      <c r="V538" s="2" t="s">
        <v>10108</v>
      </c>
      <c r="W538" s="2" t="s">
        <v>10109</v>
      </c>
      <c r="X538" s="2" t="s">
        <v>10110</v>
      </c>
      <c r="Y538" s="2" t="s">
        <v>10111</v>
      </c>
      <c r="Z538" s="2" t="s">
        <v>10112</v>
      </c>
      <c r="AA538" s="2"/>
      <c r="AB538" s="2" t="s">
        <v>10113</v>
      </c>
      <c r="AC538" s="2" t="s">
        <v>10114</v>
      </c>
      <c r="AD538" s="2" t="s">
        <v>10115</v>
      </c>
      <c r="AE538" s="2" t="s">
        <v>10116</v>
      </c>
      <c r="AF538" s="2"/>
      <c r="AG538" s="2" t="n">
        <v>37</v>
      </c>
      <c r="AH538" s="2" t="n">
        <v>0</v>
      </c>
      <c r="AI538" s="2" t="n">
        <v>0</v>
      </c>
      <c r="AJ538" s="2" t="n">
        <v>0</v>
      </c>
      <c r="AK538" s="2" t="n">
        <v>0</v>
      </c>
      <c r="AL538" s="2" t="s">
        <v>91</v>
      </c>
      <c r="AM538" s="2" t="s">
        <v>92</v>
      </c>
      <c r="AN538" s="2" t="s">
        <v>93</v>
      </c>
      <c r="AO538" s="2"/>
      <c r="AP538" s="2" t="s">
        <v>506</v>
      </c>
      <c r="AQ538" s="2"/>
      <c r="AR538" s="2" t="s">
        <v>493</v>
      </c>
      <c r="AS538" s="2" t="s">
        <v>507</v>
      </c>
      <c r="AT538" s="2" t="s">
        <v>336</v>
      </c>
      <c r="AU538" s="2" t="n">
        <v>2024</v>
      </c>
      <c r="AV538" s="2" t="n">
        <v>16</v>
      </c>
      <c r="AW538" s="2" t="n">
        <v>10</v>
      </c>
      <c r="AX538" s="2"/>
      <c r="AY538" s="2"/>
      <c r="AZ538" s="2"/>
      <c r="BA538" s="2"/>
      <c r="BB538" s="2"/>
      <c r="BC538" s="2"/>
      <c r="BD538" s="2" t="n">
        <v>1574</v>
      </c>
      <c r="BE538" s="2" t="s">
        <v>10117</v>
      </c>
      <c r="BF538" s="2" t="str">
        <f aca="false">HYPERLINK("http://dx.doi.org/10.3390/v16101574","http://dx.doi.org/10.3390/v16101574")</f>
        <v>http://dx.doi.org/10.3390/v16101574</v>
      </c>
      <c r="BG538" s="2"/>
      <c r="BH538" s="2"/>
      <c r="BI538" s="2" t="n">
        <v>10</v>
      </c>
      <c r="BJ538" s="2" t="s">
        <v>163</v>
      </c>
      <c r="BK538" s="2" t="s">
        <v>100</v>
      </c>
      <c r="BL538" s="2" t="s">
        <v>163</v>
      </c>
      <c r="BM538" s="2" t="s">
        <v>10118</v>
      </c>
      <c r="BN538" s="2" t="n">
        <v>39459908</v>
      </c>
      <c r="BO538" s="2" t="s">
        <v>1355</v>
      </c>
      <c r="BP538" s="2"/>
      <c r="BQ538" s="2"/>
      <c r="BR538" s="2" t="s">
        <v>104</v>
      </c>
      <c r="BS538" s="2" t="s">
        <v>10119</v>
      </c>
      <c r="BT538" s="2" t="str">
        <f aca="false">HYPERLINK("https%3A%2F%2Fwww.webofscience.com%2Fwos%2Fwoscc%2Ffull-record%2FWOS:001341885900001","View Full Record in Web of Science")</f>
        <v>View Full Record in Web of Science</v>
      </c>
    </row>
    <row r="539" customFormat="false" ht="12.75" hidden="false" customHeight="false" outlineLevel="0" collapsed="false">
      <c r="A539" s="2" t="s">
        <v>72</v>
      </c>
      <c r="B539" s="2" t="s">
        <v>10120</v>
      </c>
      <c r="C539" s="2"/>
      <c r="D539" s="2"/>
      <c r="E539" s="2"/>
      <c r="F539" s="2" t="s">
        <v>10121</v>
      </c>
      <c r="G539" s="2"/>
      <c r="H539" s="2"/>
      <c r="I539" s="2" t="s">
        <v>10122</v>
      </c>
      <c r="J539" s="2" t="s">
        <v>717</v>
      </c>
      <c r="K539" s="2"/>
      <c r="L539" s="2"/>
      <c r="M539" s="2" t="s">
        <v>77</v>
      </c>
      <c r="N539" s="2" t="s">
        <v>78</v>
      </c>
      <c r="O539" s="2"/>
      <c r="P539" s="2"/>
      <c r="Q539" s="2"/>
      <c r="R539" s="2"/>
      <c r="S539" s="2"/>
      <c r="T539" s="2" t="s">
        <v>10123</v>
      </c>
      <c r="U539" s="2" t="s">
        <v>10124</v>
      </c>
      <c r="V539" s="2" t="s">
        <v>10125</v>
      </c>
      <c r="W539" s="2" t="s">
        <v>10126</v>
      </c>
      <c r="X539" s="2" t="s">
        <v>10127</v>
      </c>
      <c r="Y539" s="2" t="s">
        <v>10128</v>
      </c>
      <c r="Z539" s="2" t="s">
        <v>10129</v>
      </c>
      <c r="AA539" s="2" t="s">
        <v>10130</v>
      </c>
      <c r="AB539" s="2" t="s">
        <v>10131</v>
      </c>
      <c r="AC539" s="2" t="s">
        <v>10132</v>
      </c>
      <c r="AD539" s="2" t="s">
        <v>10133</v>
      </c>
      <c r="AE539" s="2" t="s">
        <v>10134</v>
      </c>
      <c r="AF539" s="2"/>
      <c r="AG539" s="2" t="n">
        <v>28</v>
      </c>
      <c r="AH539" s="2" t="n">
        <v>25</v>
      </c>
      <c r="AI539" s="2" t="n">
        <v>26</v>
      </c>
      <c r="AJ539" s="2" t="n">
        <v>0</v>
      </c>
      <c r="AK539" s="2" t="n">
        <v>18</v>
      </c>
      <c r="AL539" s="2" t="s">
        <v>383</v>
      </c>
      <c r="AM539" s="2" t="s">
        <v>384</v>
      </c>
      <c r="AN539" s="2" t="s">
        <v>385</v>
      </c>
      <c r="AO539" s="2" t="s">
        <v>729</v>
      </c>
      <c r="AP539" s="2" t="s">
        <v>730</v>
      </c>
      <c r="AQ539" s="2"/>
      <c r="AR539" s="2" t="s">
        <v>731</v>
      </c>
      <c r="AS539" s="2" t="s">
        <v>732</v>
      </c>
      <c r="AT539" s="2" t="s">
        <v>336</v>
      </c>
      <c r="AU539" s="2" t="n">
        <v>2013</v>
      </c>
      <c r="AV539" s="2" t="n">
        <v>193</v>
      </c>
      <c r="AW539" s="2" t="n">
        <v>1</v>
      </c>
      <c r="AX539" s="2"/>
      <c r="AY539" s="2"/>
      <c r="AZ539" s="2"/>
      <c r="BA539" s="2"/>
      <c r="BB539" s="2" t="n">
        <v>159</v>
      </c>
      <c r="BC539" s="2" t="n">
        <v>165</v>
      </c>
      <c r="BD539" s="2"/>
      <c r="BE539" s="2" t="s">
        <v>10135</v>
      </c>
      <c r="BF539" s="2" t="str">
        <f aca="false">HYPERLINK("http://dx.doi.org/10.1016/j.jviromet.2013.06.016","http://dx.doi.org/10.1016/j.jviromet.2013.06.016")</f>
        <v>http://dx.doi.org/10.1016/j.jviromet.2013.06.016</v>
      </c>
      <c r="BG539" s="2"/>
      <c r="BH539" s="2"/>
      <c r="BI539" s="2" t="n">
        <v>7</v>
      </c>
      <c r="BJ539" s="2" t="s">
        <v>735</v>
      </c>
      <c r="BK539" s="2" t="s">
        <v>100</v>
      </c>
      <c r="BL539" s="2" t="s">
        <v>736</v>
      </c>
      <c r="BM539" s="2" t="s">
        <v>10136</v>
      </c>
      <c r="BN539" s="2" t="n">
        <v>23777750</v>
      </c>
      <c r="BO539" s="2" t="s">
        <v>165</v>
      </c>
      <c r="BP539" s="2"/>
      <c r="BQ539" s="2"/>
      <c r="BR539" s="2" t="s">
        <v>104</v>
      </c>
      <c r="BS539" s="2" t="s">
        <v>10137</v>
      </c>
      <c r="BT539" s="2" t="str">
        <f aca="false">HYPERLINK("https%3A%2F%2Fwww.webofscience.com%2Fwos%2Fwoscc%2Ffull-record%2FWOS:000323362100025","View Full Record in Web of Science")</f>
        <v>View Full Record in Web of Science</v>
      </c>
    </row>
    <row r="540" customFormat="false" ht="12.75" hidden="false" customHeight="false" outlineLevel="0" collapsed="false">
      <c r="A540" s="2" t="s">
        <v>72</v>
      </c>
      <c r="B540" s="2" t="s">
        <v>10138</v>
      </c>
      <c r="C540" s="2"/>
      <c r="D540" s="2"/>
      <c r="E540" s="2"/>
      <c r="F540" s="2" t="s">
        <v>10139</v>
      </c>
      <c r="G540" s="2"/>
      <c r="H540" s="2"/>
      <c r="I540" s="2" t="s">
        <v>10140</v>
      </c>
      <c r="J540" s="2" t="s">
        <v>10141</v>
      </c>
      <c r="K540" s="2"/>
      <c r="L540" s="2"/>
      <c r="M540" s="2" t="s">
        <v>77</v>
      </c>
      <c r="N540" s="2" t="s">
        <v>78</v>
      </c>
      <c r="O540" s="2"/>
      <c r="P540" s="2"/>
      <c r="Q540" s="2"/>
      <c r="R540" s="2"/>
      <c r="S540" s="2"/>
      <c r="T540" s="2" t="s">
        <v>10142</v>
      </c>
      <c r="U540" s="2" t="s">
        <v>10143</v>
      </c>
      <c r="V540" s="2" t="s">
        <v>10144</v>
      </c>
      <c r="W540" s="2" t="s">
        <v>10145</v>
      </c>
      <c r="X540" s="2" t="s">
        <v>10146</v>
      </c>
      <c r="Y540" s="2" t="s">
        <v>10147</v>
      </c>
      <c r="Z540" s="2" t="s">
        <v>10148</v>
      </c>
      <c r="AA540" s="2"/>
      <c r="AB540" s="2"/>
      <c r="AC540" s="2" t="s">
        <v>10149</v>
      </c>
      <c r="AD540" s="2" t="s">
        <v>10150</v>
      </c>
      <c r="AE540" s="2" t="s">
        <v>10151</v>
      </c>
      <c r="AF540" s="2"/>
      <c r="AG540" s="2" t="n">
        <v>40</v>
      </c>
      <c r="AH540" s="2" t="n">
        <v>17</v>
      </c>
      <c r="AI540" s="2" t="n">
        <v>19</v>
      </c>
      <c r="AJ540" s="2" t="n">
        <v>2</v>
      </c>
      <c r="AK540" s="2" t="n">
        <v>17</v>
      </c>
      <c r="AL540" s="2" t="s">
        <v>10152</v>
      </c>
      <c r="AM540" s="2" t="s">
        <v>10153</v>
      </c>
      <c r="AN540" s="2" t="s">
        <v>10154</v>
      </c>
      <c r="AO540" s="2"/>
      <c r="AP540" s="2" t="s">
        <v>10155</v>
      </c>
      <c r="AQ540" s="2"/>
      <c r="AR540" s="2" t="s">
        <v>10141</v>
      </c>
      <c r="AS540" s="2" t="s">
        <v>10156</v>
      </c>
      <c r="AT540" s="2" t="s">
        <v>10157</v>
      </c>
      <c r="AU540" s="2" t="n">
        <v>2017</v>
      </c>
      <c r="AV540" s="2" t="n">
        <v>8</v>
      </c>
      <c r="AW540" s="2" t="n">
        <v>57</v>
      </c>
      <c r="AX540" s="2"/>
      <c r="AY540" s="2"/>
      <c r="AZ540" s="2"/>
      <c r="BA540" s="2"/>
      <c r="BB540" s="2" t="n">
        <v>96913</v>
      </c>
      <c r="BC540" s="2" t="n">
        <v>96923</v>
      </c>
      <c r="BD540" s="2"/>
      <c r="BE540" s="2" t="s">
        <v>10158</v>
      </c>
      <c r="BF540" s="2" t="str">
        <f aca="false">HYPERLINK("http://dx.doi.org/10.18632/oncotarget.18533","http://dx.doi.org/10.18632/oncotarget.18533")</f>
        <v>http://dx.doi.org/10.18632/oncotarget.18533</v>
      </c>
      <c r="BG540" s="2"/>
      <c r="BH540" s="2"/>
      <c r="BI540" s="2" t="n">
        <v>11</v>
      </c>
      <c r="BJ540" s="2" t="s">
        <v>10159</v>
      </c>
      <c r="BK540" s="2" t="s">
        <v>100</v>
      </c>
      <c r="BL540" s="2" t="s">
        <v>10159</v>
      </c>
      <c r="BM540" s="2" t="s">
        <v>10160</v>
      </c>
      <c r="BN540" s="2" t="n">
        <v>29228581</v>
      </c>
      <c r="BO540" s="2" t="s">
        <v>103</v>
      </c>
      <c r="BP540" s="2"/>
      <c r="BQ540" s="2"/>
      <c r="BR540" s="2" t="s">
        <v>104</v>
      </c>
      <c r="BS540" s="2" t="s">
        <v>10161</v>
      </c>
      <c r="BT540" s="2" t="str">
        <f aca="false">HYPERLINK("https%3A%2F%2Fwww.webofscience.com%2Fwos%2Fwoscc%2Ffull-record%2FWOS:000419395000046","View Full Record in Web of Science")</f>
        <v>View Full Record in Web of Science</v>
      </c>
    </row>
    <row r="541" customFormat="false" ht="12.75" hidden="false" customHeight="false" outlineLevel="0" collapsed="false">
      <c r="A541" s="2" t="s">
        <v>72</v>
      </c>
      <c r="B541" s="2" t="s">
        <v>10162</v>
      </c>
      <c r="C541" s="2"/>
      <c r="D541" s="2"/>
      <c r="E541" s="2"/>
      <c r="F541" s="2" t="s">
        <v>10163</v>
      </c>
      <c r="G541" s="2"/>
      <c r="H541" s="2"/>
      <c r="I541" s="2" t="s">
        <v>10164</v>
      </c>
      <c r="J541" s="2" t="s">
        <v>10165</v>
      </c>
      <c r="K541" s="2"/>
      <c r="L541" s="2"/>
      <c r="M541" s="2" t="s">
        <v>77</v>
      </c>
      <c r="N541" s="2" t="s">
        <v>78</v>
      </c>
      <c r="O541" s="2"/>
      <c r="P541" s="2"/>
      <c r="Q541" s="2"/>
      <c r="R541" s="2"/>
      <c r="S541" s="2"/>
      <c r="T541" s="2" t="s">
        <v>10166</v>
      </c>
      <c r="U541" s="2" t="s">
        <v>10167</v>
      </c>
      <c r="V541" s="2" t="s">
        <v>10168</v>
      </c>
      <c r="W541" s="2" t="s">
        <v>10169</v>
      </c>
      <c r="X541" s="2" t="s">
        <v>10170</v>
      </c>
      <c r="Y541" s="2" t="s">
        <v>10171</v>
      </c>
      <c r="Z541" s="2" t="s">
        <v>10172</v>
      </c>
      <c r="AA541" s="2" t="s">
        <v>10173</v>
      </c>
      <c r="AB541" s="2"/>
      <c r="AC541" s="2" t="s">
        <v>10174</v>
      </c>
      <c r="AD541" s="2" t="s">
        <v>10175</v>
      </c>
      <c r="AE541" s="2" t="s">
        <v>10176</v>
      </c>
      <c r="AF541" s="2"/>
      <c r="AG541" s="2" t="n">
        <v>34</v>
      </c>
      <c r="AH541" s="2" t="n">
        <v>3</v>
      </c>
      <c r="AI541" s="2" t="n">
        <v>4</v>
      </c>
      <c r="AJ541" s="2" t="n">
        <v>1</v>
      </c>
      <c r="AK541" s="2" t="n">
        <v>10</v>
      </c>
      <c r="AL541" s="2" t="s">
        <v>10177</v>
      </c>
      <c r="AM541" s="2" t="s">
        <v>5071</v>
      </c>
      <c r="AN541" s="2" t="s">
        <v>10178</v>
      </c>
      <c r="AO541" s="2" t="s">
        <v>10179</v>
      </c>
      <c r="AP541" s="2"/>
      <c r="AQ541" s="2"/>
      <c r="AR541" s="2" t="s">
        <v>10180</v>
      </c>
      <c r="AS541" s="2" t="s">
        <v>10181</v>
      </c>
      <c r="AT541" s="2"/>
      <c r="AU541" s="2" t="n">
        <v>2014</v>
      </c>
      <c r="AV541" s="2" t="n">
        <v>60</v>
      </c>
      <c r="AW541" s="2" t="n">
        <v>3</v>
      </c>
      <c r="AX541" s="2"/>
      <c r="AY541" s="2"/>
      <c r="AZ541" s="2"/>
      <c r="BA541" s="2"/>
      <c r="BB541" s="2" t="n">
        <v>347</v>
      </c>
      <c r="BC541" s="2" t="n">
        <v>361</v>
      </c>
      <c r="BD541" s="2"/>
      <c r="BE541" s="2" t="s">
        <v>10182</v>
      </c>
      <c r="BF541" s="2" t="str">
        <f aca="false">HYPERLINK("http://dx.doi.org/10.7754/Clin.Lab.2013.130334","http://dx.doi.org/10.7754/Clin.Lab.2013.130334")</f>
        <v>http://dx.doi.org/10.7754/Clin.Lab.2013.130334</v>
      </c>
      <c r="BG541" s="2"/>
      <c r="BH541" s="2"/>
      <c r="BI541" s="2" t="n">
        <v>15</v>
      </c>
      <c r="BJ541" s="2" t="s">
        <v>3122</v>
      </c>
      <c r="BK541" s="2" t="s">
        <v>100</v>
      </c>
      <c r="BL541" s="2" t="s">
        <v>3122</v>
      </c>
      <c r="BM541" s="2" t="s">
        <v>10183</v>
      </c>
      <c r="BN541" s="2" t="n">
        <v>24697109</v>
      </c>
      <c r="BO541" s="2"/>
      <c r="BP541" s="2"/>
      <c r="BQ541" s="2"/>
      <c r="BR541" s="2" t="s">
        <v>104</v>
      </c>
      <c r="BS541" s="2" t="s">
        <v>10184</v>
      </c>
      <c r="BT541" s="2" t="str">
        <f aca="false">HYPERLINK("https%3A%2F%2Fwww.webofscience.com%2Fwos%2Fwoscc%2Ffull-record%2FWOS:000342857300001","View Full Record in Web of Science")</f>
        <v>View Full Record in Web of Science</v>
      </c>
    </row>
    <row r="542" customFormat="false" ht="12.75" hidden="false" customHeight="false" outlineLevel="0" collapsed="false">
      <c r="A542" s="2" t="s">
        <v>72</v>
      </c>
      <c r="B542" s="2" t="s">
        <v>10185</v>
      </c>
      <c r="C542" s="2"/>
      <c r="D542" s="2"/>
      <c r="E542" s="2"/>
      <c r="F542" s="2" t="s">
        <v>10186</v>
      </c>
      <c r="G542" s="2"/>
      <c r="H542" s="2"/>
      <c r="I542" s="2" t="s">
        <v>10187</v>
      </c>
      <c r="J542" s="2" t="s">
        <v>514</v>
      </c>
      <c r="K542" s="2"/>
      <c r="L542" s="2"/>
      <c r="M542" s="2" t="s">
        <v>77</v>
      </c>
      <c r="N542" s="2" t="s">
        <v>78</v>
      </c>
      <c r="O542" s="2"/>
      <c r="P542" s="2"/>
      <c r="Q542" s="2"/>
      <c r="R542" s="2"/>
      <c r="S542" s="2"/>
      <c r="T542" s="2" t="s">
        <v>10188</v>
      </c>
      <c r="U542" s="2" t="s">
        <v>10189</v>
      </c>
      <c r="V542" s="2" t="s">
        <v>10190</v>
      </c>
      <c r="W542" s="2" t="s">
        <v>10191</v>
      </c>
      <c r="X542" s="2" t="s">
        <v>10192</v>
      </c>
      <c r="Y542" s="2" t="s">
        <v>10193</v>
      </c>
      <c r="Z542" s="2" t="s">
        <v>10194</v>
      </c>
      <c r="AA542" s="2" t="s">
        <v>10195</v>
      </c>
      <c r="AB542" s="2" t="s">
        <v>10196</v>
      </c>
      <c r="AC542" s="2" t="s">
        <v>10197</v>
      </c>
      <c r="AD542" s="2" t="s">
        <v>10198</v>
      </c>
      <c r="AE542" s="2" t="s">
        <v>10199</v>
      </c>
      <c r="AF542" s="2"/>
      <c r="AG542" s="2" t="n">
        <v>50</v>
      </c>
      <c r="AH542" s="2" t="n">
        <v>1</v>
      </c>
      <c r="AI542" s="2" t="n">
        <v>1</v>
      </c>
      <c r="AJ542" s="2" t="n">
        <v>3</v>
      </c>
      <c r="AK542" s="2" t="n">
        <v>4</v>
      </c>
      <c r="AL542" s="2" t="s">
        <v>527</v>
      </c>
      <c r="AM542" s="2" t="s">
        <v>528</v>
      </c>
      <c r="AN542" s="2" t="s">
        <v>529</v>
      </c>
      <c r="AO542" s="2" t="s">
        <v>530</v>
      </c>
      <c r="AP542" s="2" t="s">
        <v>531</v>
      </c>
      <c r="AQ542" s="2"/>
      <c r="AR542" s="2" t="s">
        <v>532</v>
      </c>
      <c r="AS542" s="2" t="s">
        <v>533</v>
      </c>
      <c r="AT542" s="2" t="s">
        <v>2461</v>
      </c>
      <c r="AU542" s="2" t="n">
        <v>2024</v>
      </c>
      <c r="AV542" s="2" t="n">
        <v>230</v>
      </c>
      <c r="AW542" s="2" t="n">
        <v>3</v>
      </c>
      <c r="AX542" s="2"/>
      <c r="AY542" s="2"/>
      <c r="AZ542" s="2"/>
      <c r="BA542" s="2"/>
      <c r="BB542" s="2" t="s">
        <v>10200</v>
      </c>
      <c r="BC542" s="2" t="s">
        <v>10201</v>
      </c>
      <c r="BD542" s="2"/>
      <c r="BE542" s="2" t="s">
        <v>10202</v>
      </c>
      <c r="BF542" s="2" t="str">
        <f aca="false">HYPERLINK("http://dx.doi.org/10.1093/infdis/jiae125","http://dx.doi.org/10.1093/infdis/jiae125")</f>
        <v>http://dx.doi.org/10.1093/infdis/jiae125</v>
      </c>
      <c r="BG542" s="2"/>
      <c r="BH542" s="2" t="s">
        <v>10203</v>
      </c>
      <c r="BI542" s="2" t="n">
        <v>11</v>
      </c>
      <c r="BJ542" s="2" t="s">
        <v>536</v>
      </c>
      <c r="BK542" s="2" t="s">
        <v>100</v>
      </c>
      <c r="BL542" s="2" t="s">
        <v>536</v>
      </c>
      <c r="BM542" s="2" t="s">
        <v>10204</v>
      </c>
      <c r="BN542" s="2" t="n">
        <v>38462672</v>
      </c>
      <c r="BO542" s="2" t="s">
        <v>2278</v>
      </c>
      <c r="BP542" s="2"/>
      <c r="BQ542" s="2"/>
      <c r="BR542" s="2" t="s">
        <v>104</v>
      </c>
      <c r="BS542" s="2" t="s">
        <v>10205</v>
      </c>
      <c r="BT542" s="2" t="str">
        <f aca="false">HYPERLINK("https%3A%2F%2Fwww.webofscience.com%2Fwos%2Fwoscc%2Ffull-record%2FWOS:001191350000001","View Full Record in Web of Science")</f>
        <v>View Full Record in Web of Science</v>
      </c>
    </row>
    <row r="543" customFormat="false" ht="12.75" hidden="false" customHeight="false" outlineLevel="0" collapsed="false">
      <c r="A543" s="2" t="s">
        <v>72</v>
      </c>
      <c r="B543" s="2" t="s">
        <v>10206</v>
      </c>
      <c r="C543" s="2"/>
      <c r="D543" s="2"/>
      <c r="E543" s="2"/>
      <c r="F543" s="2" t="s">
        <v>10207</v>
      </c>
      <c r="G543" s="2"/>
      <c r="H543" s="2"/>
      <c r="I543" s="2" t="s">
        <v>10208</v>
      </c>
      <c r="J543" s="2" t="s">
        <v>9419</v>
      </c>
      <c r="K543" s="2"/>
      <c r="L543" s="2"/>
      <c r="M543" s="2" t="s">
        <v>77</v>
      </c>
      <c r="N543" s="2" t="s">
        <v>78</v>
      </c>
      <c r="O543" s="2"/>
      <c r="P543" s="2"/>
      <c r="Q543" s="2"/>
      <c r="R543" s="2"/>
      <c r="S543" s="2"/>
      <c r="T543" s="2" t="s">
        <v>10209</v>
      </c>
      <c r="U543" s="2" t="s">
        <v>10210</v>
      </c>
      <c r="V543" s="2" t="s">
        <v>10211</v>
      </c>
      <c r="W543" s="2" t="s">
        <v>10212</v>
      </c>
      <c r="X543" s="2" t="s">
        <v>10213</v>
      </c>
      <c r="Y543" s="2" t="s">
        <v>10214</v>
      </c>
      <c r="Z543" s="2" t="s">
        <v>10215</v>
      </c>
      <c r="AA543" s="2"/>
      <c r="AB543" s="2"/>
      <c r="AC543" s="2" t="s">
        <v>10216</v>
      </c>
      <c r="AD543" s="2" t="s">
        <v>10217</v>
      </c>
      <c r="AE543" s="2" t="s">
        <v>10218</v>
      </c>
      <c r="AF543" s="2"/>
      <c r="AG543" s="2" t="n">
        <v>23</v>
      </c>
      <c r="AH543" s="2" t="n">
        <v>1</v>
      </c>
      <c r="AI543" s="2" t="n">
        <v>1</v>
      </c>
      <c r="AJ543" s="2" t="n">
        <v>0</v>
      </c>
      <c r="AK543" s="2" t="n">
        <v>1</v>
      </c>
      <c r="AL543" s="2" t="s">
        <v>2788</v>
      </c>
      <c r="AM543" s="2" t="s">
        <v>2789</v>
      </c>
      <c r="AN543" s="2" t="s">
        <v>2790</v>
      </c>
      <c r="AO543" s="2" t="s">
        <v>9428</v>
      </c>
      <c r="AP543" s="2" t="s">
        <v>9429</v>
      </c>
      <c r="AQ543" s="2"/>
      <c r="AR543" s="2" t="s">
        <v>9430</v>
      </c>
      <c r="AS543" s="2" t="s">
        <v>9431</v>
      </c>
      <c r="AT543" s="2"/>
      <c r="AU543" s="2" t="n">
        <v>2016</v>
      </c>
      <c r="AV543" s="2" t="n">
        <v>36</v>
      </c>
      <c r="AW543" s="2" t="n">
        <v>4</v>
      </c>
      <c r="AX543" s="2"/>
      <c r="AY543" s="2"/>
      <c r="AZ543" s="2"/>
      <c r="BA543" s="2"/>
      <c r="BB543" s="2" t="n">
        <v>275</v>
      </c>
      <c r="BC543" s="2" t="n">
        <v>281</v>
      </c>
      <c r="BD543" s="2"/>
      <c r="BE543" s="2" t="s">
        <v>10219</v>
      </c>
      <c r="BF543" s="2" t="str">
        <f aca="false">HYPERLINK("http://dx.doi.org/10.1179/2046905515Y.0000000052","http://dx.doi.org/10.1179/2046905515Y.0000000052")</f>
        <v>http://dx.doi.org/10.1179/2046905515Y.0000000052</v>
      </c>
      <c r="BG543" s="2"/>
      <c r="BH543" s="2"/>
      <c r="BI543" s="2" t="n">
        <v>7</v>
      </c>
      <c r="BJ543" s="2" t="s">
        <v>601</v>
      </c>
      <c r="BK543" s="2" t="s">
        <v>100</v>
      </c>
      <c r="BL543" s="2" t="s">
        <v>601</v>
      </c>
      <c r="BM543" s="2" t="s">
        <v>10220</v>
      </c>
      <c r="BN543" s="2" t="n">
        <v>26293663</v>
      </c>
      <c r="BO543" s="2" t="s">
        <v>2278</v>
      </c>
      <c r="BP543" s="2"/>
      <c r="BQ543" s="2"/>
      <c r="BR543" s="2" t="s">
        <v>104</v>
      </c>
      <c r="BS543" s="2" t="s">
        <v>10221</v>
      </c>
      <c r="BT543" s="2" t="str">
        <f aca="false">HYPERLINK("https%3A%2F%2Fwww.webofscience.com%2Fwos%2Fwoscc%2Ffull-record%2FWOS:000390990500005","View Full Record in Web of Science")</f>
        <v>View Full Record in Web of Science</v>
      </c>
    </row>
    <row r="544" customFormat="false" ht="12.75" hidden="false" customHeight="false" outlineLevel="0" collapsed="false">
      <c r="A544" s="2" t="s">
        <v>72</v>
      </c>
      <c r="B544" s="2" t="s">
        <v>10222</v>
      </c>
      <c r="C544" s="2"/>
      <c r="D544" s="2"/>
      <c r="E544" s="2"/>
      <c r="F544" s="2" t="s">
        <v>10223</v>
      </c>
      <c r="G544" s="2"/>
      <c r="H544" s="2"/>
      <c r="I544" s="2" t="s">
        <v>10224</v>
      </c>
      <c r="J544" s="2" t="s">
        <v>2061</v>
      </c>
      <c r="K544" s="2"/>
      <c r="L544" s="2"/>
      <c r="M544" s="2" t="s">
        <v>77</v>
      </c>
      <c r="N544" s="2" t="s">
        <v>78</v>
      </c>
      <c r="O544" s="2"/>
      <c r="P544" s="2"/>
      <c r="Q544" s="2"/>
      <c r="R544" s="2"/>
      <c r="S544" s="2"/>
      <c r="T544" s="2" t="s">
        <v>10225</v>
      </c>
      <c r="U544" s="2" t="s">
        <v>10226</v>
      </c>
      <c r="V544" s="2" t="s">
        <v>10227</v>
      </c>
      <c r="W544" s="2" t="s">
        <v>10228</v>
      </c>
      <c r="X544" s="2" t="s">
        <v>10229</v>
      </c>
      <c r="Y544" s="2" t="s">
        <v>10230</v>
      </c>
      <c r="Z544" s="2" t="s">
        <v>10231</v>
      </c>
      <c r="AA544" s="2"/>
      <c r="AB544" s="2" t="s">
        <v>10232</v>
      </c>
      <c r="AC544" s="2"/>
      <c r="AD544" s="2"/>
      <c r="AE544" s="2"/>
      <c r="AF544" s="2"/>
      <c r="AG544" s="2" t="n">
        <v>31</v>
      </c>
      <c r="AH544" s="2" t="n">
        <v>12</v>
      </c>
      <c r="AI544" s="2" t="n">
        <v>14</v>
      </c>
      <c r="AJ544" s="2" t="n">
        <v>0</v>
      </c>
      <c r="AK544" s="2" t="n">
        <v>3</v>
      </c>
      <c r="AL544" s="2" t="s">
        <v>2070</v>
      </c>
      <c r="AM544" s="2" t="s">
        <v>2071</v>
      </c>
      <c r="AN544" s="2" t="s">
        <v>2072</v>
      </c>
      <c r="AO544" s="2" t="s">
        <v>2073</v>
      </c>
      <c r="AP544" s="2"/>
      <c r="AQ544" s="2"/>
      <c r="AR544" s="2" t="s">
        <v>2074</v>
      </c>
      <c r="AS544" s="2" t="s">
        <v>2075</v>
      </c>
      <c r="AT544" s="2" t="s">
        <v>97</v>
      </c>
      <c r="AU544" s="2" t="n">
        <v>2016</v>
      </c>
      <c r="AV544" s="2" t="n">
        <v>10</v>
      </c>
      <c r="AW544" s="2" t="n">
        <v>3</v>
      </c>
      <c r="AX544" s="2"/>
      <c r="AY544" s="2"/>
      <c r="AZ544" s="2"/>
      <c r="BA544" s="2"/>
      <c r="BB544" s="2" t="n">
        <v>283</v>
      </c>
      <c r="BC544" s="2" t="n">
        <v>289</v>
      </c>
      <c r="BD544" s="2"/>
      <c r="BE544" s="2" t="s">
        <v>10233</v>
      </c>
      <c r="BF544" s="2" t="str">
        <f aca="false">HYPERLINK("http://dx.doi.org/10.3855/jidc.7087","http://dx.doi.org/10.3855/jidc.7087")</f>
        <v>http://dx.doi.org/10.3855/jidc.7087</v>
      </c>
      <c r="BG544" s="2"/>
      <c r="BH544" s="2"/>
      <c r="BI544" s="2" t="n">
        <v>7</v>
      </c>
      <c r="BJ544" s="2" t="s">
        <v>575</v>
      </c>
      <c r="BK544" s="2" t="s">
        <v>100</v>
      </c>
      <c r="BL544" s="2" t="s">
        <v>575</v>
      </c>
      <c r="BM544" s="2" t="s">
        <v>10234</v>
      </c>
      <c r="BN544" s="2" t="n">
        <v>27031461</v>
      </c>
      <c r="BO544" s="2" t="s">
        <v>3652</v>
      </c>
      <c r="BP544" s="2"/>
      <c r="BQ544" s="2"/>
      <c r="BR544" s="2" t="s">
        <v>104</v>
      </c>
      <c r="BS544" s="2" t="s">
        <v>10235</v>
      </c>
      <c r="BT544" s="2" t="str">
        <f aca="false">HYPERLINK("https%3A%2F%2Fwww.webofscience.com%2Fwos%2Fwoscc%2Ffull-record%2FWOS:000373446200012","View Full Record in Web of Science")</f>
        <v>View Full Record in Web of Science</v>
      </c>
    </row>
    <row r="545" customFormat="false" ht="12.75" hidden="false" customHeight="false" outlineLevel="0" collapsed="false">
      <c r="A545" s="2" t="s">
        <v>72</v>
      </c>
      <c r="B545" s="2" t="s">
        <v>10236</v>
      </c>
      <c r="C545" s="2"/>
      <c r="D545" s="2"/>
      <c r="E545" s="2"/>
      <c r="F545" s="2" t="s">
        <v>10237</v>
      </c>
      <c r="G545" s="2"/>
      <c r="H545" s="2"/>
      <c r="I545" s="2" t="s">
        <v>10238</v>
      </c>
      <c r="J545" s="2" t="s">
        <v>109</v>
      </c>
      <c r="K545" s="2"/>
      <c r="L545" s="2"/>
      <c r="M545" s="2" t="s">
        <v>77</v>
      </c>
      <c r="N545" s="2" t="s">
        <v>78</v>
      </c>
      <c r="O545" s="2"/>
      <c r="P545" s="2"/>
      <c r="Q545" s="2"/>
      <c r="R545" s="2"/>
      <c r="S545" s="2"/>
      <c r="T545" s="2" t="s">
        <v>10239</v>
      </c>
      <c r="U545" s="2" t="s">
        <v>10240</v>
      </c>
      <c r="V545" s="2" t="s">
        <v>10241</v>
      </c>
      <c r="W545" s="2" t="s">
        <v>10242</v>
      </c>
      <c r="X545" s="2" t="s">
        <v>10243</v>
      </c>
      <c r="Y545" s="2" t="s">
        <v>10244</v>
      </c>
      <c r="Z545" s="2" t="s">
        <v>10245</v>
      </c>
      <c r="AA545" s="2" t="s">
        <v>3171</v>
      </c>
      <c r="AB545" s="2" t="s">
        <v>3172</v>
      </c>
      <c r="AC545" s="2" t="s">
        <v>10246</v>
      </c>
      <c r="AD545" s="2" t="s">
        <v>10247</v>
      </c>
      <c r="AE545" s="2" t="s">
        <v>10248</v>
      </c>
      <c r="AF545" s="2"/>
      <c r="AG545" s="2" t="n">
        <v>20</v>
      </c>
      <c r="AH545" s="2" t="n">
        <v>28</v>
      </c>
      <c r="AI545" s="2" t="n">
        <v>34</v>
      </c>
      <c r="AJ545" s="2" t="n">
        <v>0</v>
      </c>
      <c r="AK545" s="2" t="n">
        <v>2</v>
      </c>
      <c r="AL545" s="2" t="s">
        <v>122</v>
      </c>
      <c r="AM545" s="2" t="s">
        <v>123</v>
      </c>
      <c r="AN545" s="2" t="s">
        <v>124</v>
      </c>
      <c r="AO545" s="2" t="s">
        <v>125</v>
      </c>
      <c r="AP545" s="2" t="s">
        <v>126</v>
      </c>
      <c r="AQ545" s="2"/>
      <c r="AR545" s="2" t="s">
        <v>127</v>
      </c>
      <c r="AS545" s="2" t="s">
        <v>128</v>
      </c>
      <c r="AT545" s="2" t="s">
        <v>185</v>
      </c>
      <c r="AU545" s="2" t="n">
        <v>2010</v>
      </c>
      <c r="AV545" s="2" t="n">
        <v>29</v>
      </c>
      <c r="AW545" s="2" t="n">
        <v>8</v>
      </c>
      <c r="AX545" s="2"/>
      <c r="AY545" s="2"/>
      <c r="AZ545" s="2"/>
      <c r="BA545" s="2"/>
      <c r="BB545" s="2" t="n">
        <v>731</v>
      </c>
      <c r="BC545" s="2" t="n">
        <v>735</v>
      </c>
      <c r="BD545" s="2"/>
      <c r="BE545" s="2" t="s">
        <v>10249</v>
      </c>
      <c r="BF545" s="2" t="str">
        <f aca="false">HYPERLINK("http://dx.doi.org/10.1097/INF.0b013e3181d9bcce","http://dx.doi.org/10.1097/INF.0b013e3181d9bcce")</f>
        <v>http://dx.doi.org/10.1097/INF.0b013e3181d9bcce</v>
      </c>
      <c r="BG545" s="2"/>
      <c r="BH545" s="2"/>
      <c r="BI545" s="2" t="n">
        <v>5</v>
      </c>
      <c r="BJ545" s="2" t="s">
        <v>134</v>
      </c>
      <c r="BK545" s="2" t="s">
        <v>100</v>
      </c>
      <c r="BL545" s="2" t="s">
        <v>134</v>
      </c>
      <c r="BM545" s="2" t="s">
        <v>10250</v>
      </c>
      <c r="BN545" s="2" t="n">
        <v>20351618</v>
      </c>
      <c r="BO545" s="2" t="s">
        <v>765</v>
      </c>
      <c r="BP545" s="2"/>
      <c r="BQ545" s="2"/>
      <c r="BR545" s="2" t="s">
        <v>104</v>
      </c>
      <c r="BS545" s="2" t="s">
        <v>10251</v>
      </c>
      <c r="BT545" s="2" t="str">
        <f aca="false">HYPERLINK("https%3A%2F%2Fwww.webofscience.com%2Fwos%2Fwoscc%2Ffull-record%2FWOS:000280314900011","View Full Record in Web of Science")</f>
        <v>View Full Record in Web of Science</v>
      </c>
    </row>
    <row r="546" customFormat="false" ht="12.75" hidden="false" customHeight="false" outlineLevel="0" collapsed="false">
      <c r="A546" s="2" t="s">
        <v>72</v>
      </c>
      <c r="B546" s="2" t="s">
        <v>10252</v>
      </c>
      <c r="C546" s="2"/>
      <c r="D546" s="2"/>
      <c r="E546" s="2"/>
      <c r="F546" s="2" t="s">
        <v>10253</v>
      </c>
      <c r="G546" s="2"/>
      <c r="H546" s="2"/>
      <c r="I546" s="2" t="s">
        <v>10254</v>
      </c>
      <c r="J546" s="2" t="s">
        <v>1048</v>
      </c>
      <c r="K546" s="2"/>
      <c r="L546" s="2"/>
      <c r="M546" s="2" t="s">
        <v>77</v>
      </c>
      <c r="N546" s="2" t="s">
        <v>78</v>
      </c>
      <c r="O546" s="2"/>
      <c r="P546" s="2"/>
      <c r="Q546" s="2"/>
      <c r="R546" s="2"/>
      <c r="S546" s="2"/>
      <c r="T546" s="2" t="s">
        <v>10255</v>
      </c>
      <c r="U546" s="2" t="s">
        <v>10256</v>
      </c>
      <c r="V546" s="2" t="s">
        <v>10257</v>
      </c>
      <c r="W546" s="2" t="s">
        <v>10258</v>
      </c>
      <c r="X546" s="2" t="s">
        <v>10259</v>
      </c>
      <c r="Y546" s="2" t="s">
        <v>10260</v>
      </c>
      <c r="Z546" s="2" t="s">
        <v>10261</v>
      </c>
      <c r="AA546" s="2" t="s">
        <v>10262</v>
      </c>
      <c r="AB546" s="2" t="s">
        <v>10263</v>
      </c>
      <c r="AC546" s="2" t="s">
        <v>10264</v>
      </c>
      <c r="AD546" s="2" t="s">
        <v>10265</v>
      </c>
      <c r="AE546" s="2" t="s">
        <v>10266</v>
      </c>
      <c r="AF546" s="2"/>
      <c r="AG546" s="2" t="n">
        <v>51</v>
      </c>
      <c r="AH546" s="2" t="n">
        <v>4</v>
      </c>
      <c r="AI546" s="2" t="n">
        <v>4</v>
      </c>
      <c r="AJ546" s="2" t="n">
        <v>0</v>
      </c>
      <c r="AK546" s="2" t="n">
        <v>5</v>
      </c>
      <c r="AL546" s="2" t="s">
        <v>91</v>
      </c>
      <c r="AM546" s="2" t="s">
        <v>92</v>
      </c>
      <c r="AN546" s="2" t="s">
        <v>93</v>
      </c>
      <c r="AO546" s="2"/>
      <c r="AP546" s="2" t="s">
        <v>1061</v>
      </c>
      <c r="AQ546" s="2"/>
      <c r="AR546" s="2" t="s">
        <v>1048</v>
      </c>
      <c r="AS546" s="2" t="s">
        <v>1062</v>
      </c>
      <c r="AT546" s="2" t="s">
        <v>599</v>
      </c>
      <c r="AU546" s="2" t="n">
        <v>2021</v>
      </c>
      <c r="AV546" s="2" t="n">
        <v>9</v>
      </c>
      <c r="AW546" s="2" t="n">
        <v>7</v>
      </c>
      <c r="AX546" s="2"/>
      <c r="AY546" s="2"/>
      <c r="AZ546" s="2"/>
      <c r="BA546" s="2"/>
      <c r="BB546" s="2"/>
      <c r="BC546" s="2"/>
      <c r="BD546" s="2" t="n">
        <v>1446</v>
      </c>
      <c r="BE546" s="2" t="s">
        <v>10267</v>
      </c>
      <c r="BF546" s="2" t="str">
        <f aca="false">HYPERLINK("http://dx.doi.org/10.3390/microorganisms9071446","http://dx.doi.org/10.3390/microorganisms9071446")</f>
        <v>http://dx.doi.org/10.3390/microorganisms9071446</v>
      </c>
      <c r="BG546" s="2"/>
      <c r="BH546" s="2"/>
      <c r="BI546" s="2" t="n">
        <v>14</v>
      </c>
      <c r="BJ546" s="2" t="s">
        <v>211</v>
      </c>
      <c r="BK546" s="2" t="s">
        <v>100</v>
      </c>
      <c r="BL546" s="2" t="s">
        <v>211</v>
      </c>
      <c r="BM546" s="2" t="s">
        <v>10268</v>
      </c>
      <c r="BN546" s="2" t="n">
        <v>34361882</v>
      </c>
      <c r="BO546" s="2" t="s">
        <v>103</v>
      </c>
      <c r="BP546" s="2"/>
      <c r="BQ546" s="2"/>
      <c r="BR546" s="2" t="s">
        <v>104</v>
      </c>
      <c r="BS546" s="2" t="s">
        <v>10269</v>
      </c>
      <c r="BT546" s="2" t="str">
        <f aca="false">HYPERLINK("https%3A%2F%2Fwww.webofscience.com%2Fwos%2Fwoscc%2Ffull-record%2FWOS:000676397700001","View Full Record in Web of Science")</f>
        <v>View Full Record in Web of Science</v>
      </c>
    </row>
    <row r="547" customFormat="false" ht="12.75" hidden="false" customHeight="false" outlineLevel="0" collapsed="false">
      <c r="A547" s="2" t="s">
        <v>72</v>
      </c>
      <c r="B547" s="2" t="s">
        <v>10270</v>
      </c>
      <c r="C547" s="2"/>
      <c r="D547" s="2"/>
      <c r="E547" s="2"/>
      <c r="F547" s="2" t="s">
        <v>10271</v>
      </c>
      <c r="G547" s="2"/>
      <c r="H547" s="2"/>
      <c r="I547" s="2" t="s">
        <v>10272</v>
      </c>
      <c r="J547" s="2" t="s">
        <v>3928</v>
      </c>
      <c r="K547" s="2"/>
      <c r="L547" s="2"/>
      <c r="M547" s="2" t="s">
        <v>77</v>
      </c>
      <c r="N547" s="2" t="s">
        <v>78</v>
      </c>
      <c r="O547" s="2"/>
      <c r="P547" s="2"/>
      <c r="Q547" s="2"/>
      <c r="R547" s="2"/>
      <c r="S547" s="2"/>
      <c r="T547" s="2" t="s">
        <v>10273</v>
      </c>
      <c r="U547" s="2" t="s">
        <v>10274</v>
      </c>
      <c r="V547" s="2" t="s">
        <v>10275</v>
      </c>
      <c r="W547" s="2" t="s">
        <v>10276</v>
      </c>
      <c r="X547" s="2" t="s">
        <v>10277</v>
      </c>
      <c r="Y547" s="2" t="s">
        <v>10278</v>
      </c>
      <c r="Z547" s="2" t="s">
        <v>10279</v>
      </c>
      <c r="AA547" s="2" t="s">
        <v>10280</v>
      </c>
      <c r="AB547" s="2" t="s">
        <v>10281</v>
      </c>
      <c r="AC547" s="2" t="s">
        <v>10282</v>
      </c>
      <c r="AD547" s="2" t="s">
        <v>10283</v>
      </c>
      <c r="AE547" s="2" t="s">
        <v>10284</v>
      </c>
      <c r="AF547" s="2"/>
      <c r="AG547" s="2" t="n">
        <v>92</v>
      </c>
      <c r="AH547" s="2" t="n">
        <v>12</v>
      </c>
      <c r="AI547" s="2" t="n">
        <v>16</v>
      </c>
      <c r="AJ547" s="2" t="n">
        <v>1</v>
      </c>
      <c r="AK547" s="2" t="n">
        <v>6</v>
      </c>
      <c r="AL547" s="2" t="s">
        <v>592</v>
      </c>
      <c r="AM547" s="2" t="s">
        <v>593</v>
      </c>
      <c r="AN547" s="2" t="s">
        <v>594</v>
      </c>
      <c r="AO547" s="2" t="s">
        <v>3936</v>
      </c>
      <c r="AP547" s="2" t="s">
        <v>3937</v>
      </c>
      <c r="AQ547" s="2"/>
      <c r="AR547" s="2" t="s">
        <v>3938</v>
      </c>
      <c r="AS547" s="2" t="s">
        <v>3939</v>
      </c>
      <c r="AT547" s="2" t="s">
        <v>486</v>
      </c>
      <c r="AU547" s="2" t="n">
        <v>2012</v>
      </c>
      <c r="AV547" s="2" t="n">
        <v>14</v>
      </c>
      <c r="AW547" s="2" t="n">
        <v>3</v>
      </c>
      <c r="AX547" s="2"/>
      <c r="AY547" s="2"/>
      <c r="AZ547" s="2"/>
      <c r="BA547" s="2"/>
      <c r="BB547" s="2" t="n">
        <v>284</v>
      </c>
      <c r="BC547" s="2" t="n">
        <v>291</v>
      </c>
      <c r="BD547" s="2"/>
      <c r="BE547" s="2" t="s">
        <v>10285</v>
      </c>
      <c r="BF547" s="2" t="str">
        <f aca="false">HYPERLINK("http://dx.doi.org/10.1007/s11908-012-0258-4","http://dx.doi.org/10.1007/s11908-012-0258-4")</f>
        <v>http://dx.doi.org/10.1007/s11908-012-0258-4</v>
      </c>
      <c r="BG547" s="2"/>
      <c r="BH547" s="2"/>
      <c r="BI547" s="2" t="n">
        <v>8</v>
      </c>
      <c r="BJ547" s="2" t="s">
        <v>575</v>
      </c>
      <c r="BK547" s="2" t="s">
        <v>100</v>
      </c>
      <c r="BL547" s="2" t="s">
        <v>575</v>
      </c>
      <c r="BM547" s="2" t="s">
        <v>10286</v>
      </c>
      <c r="BN547" s="2" t="n">
        <v>22456860</v>
      </c>
      <c r="BO547" s="2" t="s">
        <v>538</v>
      </c>
      <c r="BP547" s="2"/>
      <c r="BQ547" s="2"/>
      <c r="BR547" s="2" t="s">
        <v>104</v>
      </c>
      <c r="BS547" s="2" t="s">
        <v>10287</v>
      </c>
      <c r="BT547" s="2" t="str">
        <f aca="false">HYPERLINK("https%3A%2F%2Fwww.webofscience.com%2Fwos%2Fwoscc%2Ffull-record%2FWOS:000208983100008","View Full Record in Web of Science")</f>
        <v>View Full Record in Web of Science</v>
      </c>
    </row>
    <row r="548" customFormat="false" ht="12.75" hidden="false" customHeight="false" outlineLevel="0" collapsed="false">
      <c r="A548" s="2" t="s">
        <v>72</v>
      </c>
      <c r="B548" s="2" t="s">
        <v>10288</v>
      </c>
      <c r="C548" s="2"/>
      <c r="D548" s="2"/>
      <c r="E548" s="2"/>
      <c r="F548" s="2" t="s">
        <v>10289</v>
      </c>
      <c r="G548" s="2"/>
      <c r="H548" s="2"/>
      <c r="I548" s="2" t="s">
        <v>10290</v>
      </c>
      <c r="J548" s="2" t="s">
        <v>557</v>
      </c>
      <c r="K548" s="2"/>
      <c r="L548" s="2"/>
      <c r="M548" s="2" t="s">
        <v>77</v>
      </c>
      <c r="N548" s="2" t="s">
        <v>78</v>
      </c>
      <c r="O548" s="2"/>
      <c r="P548" s="2"/>
      <c r="Q548" s="2"/>
      <c r="R548" s="2"/>
      <c r="S548" s="2"/>
      <c r="T548" s="2" t="s">
        <v>10291</v>
      </c>
      <c r="U548" s="2" t="s">
        <v>10292</v>
      </c>
      <c r="V548" s="2" t="s">
        <v>10293</v>
      </c>
      <c r="W548" s="2" t="s">
        <v>10294</v>
      </c>
      <c r="X548" s="2" t="s">
        <v>10295</v>
      </c>
      <c r="Y548" s="2" t="s">
        <v>10296</v>
      </c>
      <c r="Z548" s="2" t="s">
        <v>10297</v>
      </c>
      <c r="AA548" s="2" t="s">
        <v>10298</v>
      </c>
      <c r="AB548" s="2" t="s">
        <v>10299</v>
      </c>
      <c r="AC548" s="2" t="s">
        <v>10300</v>
      </c>
      <c r="AD548" s="2" t="s">
        <v>10301</v>
      </c>
      <c r="AE548" s="2" t="s">
        <v>10302</v>
      </c>
      <c r="AF548" s="2"/>
      <c r="AG548" s="2" t="n">
        <v>27</v>
      </c>
      <c r="AH548" s="2" t="n">
        <v>16</v>
      </c>
      <c r="AI548" s="2" t="n">
        <v>18</v>
      </c>
      <c r="AJ548" s="2" t="n">
        <v>0</v>
      </c>
      <c r="AK548" s="2" t="n">
        <v>15</v>
      </c>
      <c r="AL548" s="2" t="s">
        <v>302</v>
      </c>
      <c r="AM548" s="2" t="s">
        <v>303</v>
      </c>
      <c r="AN548" s="2" t="s">
        <v>304</v>
      </c>
      <c r="AO548" s="2" t="s">
        <v>570</v>
      </c>
      <c r="AP548" s="2"/>
      <c r="AQ548" s="2"/>
      <c r="AR548" s="2" t="s">
        <v>571</v>
      </c>
      <c r="AS548" s="2" t="s">
        <v>572</v>
      </c>
      <c r="AT548" s="2" t="s">
        <v>2960</v>
      </c>
      <c r="AU548" s="2" t="n">
        <v>2015</v>
      </c>
      <c r="AV548" s="2" t="n">
        <v>15</v>
      </c>
      <c r="AW548" s="2"/>
      <c r="AX548" s="2"/>
      <c r="AY548" s="2"/>
      <c r="AZ548" s="2"/>
      <c r="BA548" s="2"/>
      <c r="BB548" s="2"/>
      <c r="BC548" s="2"/>
      <c r="BD548" s="2" t="n">
        <v>431</v>
      </c>
      <c r="BE548" s="2" t="s">
        <v>10303</v>
      </c>
      <c r="BF548" s="2" t="str">
        <f aca="false">HYPERLINK("http://dx.doi.org/10.1186/s12879-015-1155-x","http://dx.doi.org/10.1186/s12879-015-1155-x")</f>
        <v>http://dx.doi.org/10.1186/s12879-015-1155-x</v>
      </c>
      <c r="BG548" s="2"/>
      <c r="BH548" s="2"/>
      <c r="BI548" s="2" t="n">
        <v>7</v>
      </c>
      <c r="BJ548" s="2" t="s">
        <v>575</v>
      </c>
      <c r="BK548" s="2" t="s">
        <v>100</v>
      </c>
      <c r="BL548" s="2" t="s">
        <v>575</v>
      </c>
      <c r="BM548" s="2" t="s">
        <v>10304</v>
      </c>
      <c r="BN548" s="2" t="n">
        <v>26470889</v>
      </c>
      <c r="BO548" s="2" t="s">
        <v>103</v>
      </c>
      <c r="BP548" s="2"/>
      <c r="BQ548" s="2"/>
      <c r="BR548" s="2" t="s">
        <v>104</v>
      </c>
      <c r="BS548" s="2" t="s">
        <v>10305</v>
      </c>
      <c r="BT548" s="2" t="str">
        <f aca="false">HYPERLINK("https%3A%2F%2Fwww.webofscience.com%2Fwos%2Fwoscc%2Ffull-record%2FWOS:000363099800001","View Full Record in Web of Science")</f>
        <v>View Full Record in Web of Science</v>
      </c>
    </row>
    <row r="549" customFormat="false" ht="12.75" hidden="false" customHeight="false" outlineLevel="0" collapsed="false">
      <c r="A549" s="2" t="s">
        <v>72</v>
      </c>
      <c r="B549" s="2" t="s">
        <v>10306</v>
      </c>
      <c r="C549" s="2"/>
      <c r="D549" s="2"/>
      <c r="E549" s="2"/>
      <c r="F549" s="2" t="s">
        <v>10307</v>
      </c>
      <c r="G549" s="2"/>
      <c r="H549" s="2"/>
      <c r="I549" s="2" t="s">
        <v>10308</v>
      </c>
      <c r="J549" s="2" t="s">
        <v>3141</v>
      </c>
      <c r="K549" s="2"/>
      <c r="L549" s="2"/>
      <c r="M549" s="2" t="s">
        <v>77</v>
      </c>
      <c r="N549" s="2" t="s">
        <v>78</v>
      </c>
      <c r="O549" s="2"/>
      <c r="P549" s="2"/>
      <c r="Q549" s="2"/>
      <c r="R549" s="2"/>
      <c r="S549" s="2"/>
      <c r="T549" s="2" t="s">
        <v>10309</v>
      </c>
      <c r="U549" s="2" t="s">
        <v>10310</v>
      </c>
      <c r="V549" s="2" t="s">
        <v>10311</v>
      </c>
      <c r="W549" s="2" t="s">
        <v>10312</v>
      </c>
      <c r="X549" s="2" t="s">
        <v>10313</v>
      </c>
      <c r="Y549" s="2" t="s">
        <v>10314</v>
      </c>
      <c r="Z549" s="2" t="s">
        <v>10315</v>
      </c>
      <c r="AA549" s="2" t="s">
        <v>10316</v>
      </c>
      <c r="AB549" s="2" t="s">
        <v>10317</v>
      </c>
      <c r="AC549" s="2" t="s">
        <v>10318</v>
      </c>
      <c r="AD549" s="2" t="s">
        <v>10319</v>
      </c>
      <c r="AE549" s="2" t="s">
        <v>10320</v>
      </c>
      <c r="AF549" s="2"/>
      <c r="AG549" s="2" t="n">
        <v>32</v>
      </c>
      <c r="AH549" s="2" t="n">
        <v>9</v>
      </c>
      <c r="AI549" s="2" t="n">
        <v>9</v>
      </c>
      <c r="AJ549" s="2" t="n">
        <v>1</v>
      </c>
      <c r="AK549" s="2" t="n">
        <v>7</v>
      </c>
      <c r="AL549" s="2" t="s">
        <v>3150</v>
      </c>
      <c r="AM549" s="2" t="s">
        <v>3151</v>
      </c>
      <c r="AN549" s="2" t="s">
        <v>3152</v>
      </c>
      <c r="AO549" s="2" t="s">
        <v>3153</v>
      </c>
      <c r="AP549" s="2" t="s">
        <v>3154</v>
      </c>
      <c r="AQ549" s="2"/>
      <c r="AR549" s="2" t="s">
        <v>3155</v>
      </c>
      <c r="AS549" s="2" t="s">
        <v>3156</v>
      </c>
      <c r="AT549" s="2" t="s">
        <v>446</v>
      </c>
      <c r="AU549" s="2" t="n">
        <v>2013</v>
      </c>
      <c r="AV549" s="2" t="n">
        <v>46</v>
      </c>
      <c r="AW549" s="2" t="n">
        <v>6</v>
      </c>
      <c r="AX549" s="2"/>
      <c r="AY549" s="2"/>
      <c r="AZ549" s="2"/>
      <c r="BA549" s="2"/>
      <c r="BB549" s="2" t="n">
        <v>413</v>
      </c>
      <c r="BC549" s="2" t="n">
        <v>418</v>
      </c>
      <c r="BD549" s="2"/>
      <c r="BE549" s="2" t="s">
        <v>10321</v>
      </c>
      <c r="BF549" s="2" t="str">
        <f aca="false">HYPERLINK("http://dx.doi.org/10.1016/j.jmii.2012.07.016","http://dx.doi.org/10.1016/j.jmii.2012.07.016")</f>
        <v>http://dx.doi.org/10.1016/j.jmii.2012.07.016</v>
      </c>
      <c r="BG549" s="2"/>
      <c r="BH549" s="2"/>
      <c r="BI549" s="2" t="n">
        <v>6</v>
      </c>
      <c r="BJ549" s="2" t="s">
        <v>536</v>
      </c>
      <c r="BK549" s="2" t="s">
        <v>100</v>
      </c>
      <c r="BL549" s="2" t="s">
        <v>536</v>
      </c>
      <c r="BM549" s="2" t="s">
        <v>10322</v>
      </c>
      <c r="BN549" s="2" t="n">
        <v>23031535</v>
      </c>
      <c r="BO549" s="2" t="s">
        <v>656</v>
      </c>
      <c r="BP549" s="2"/>
      <c r="BQ549" s="2"/>
      <c r="BR549" s="2" t="s">
        <v>104</v>
      </c>
      <c r="BS549" s="2" t="s">
        <v>10323</v>
      </c>
      <c r="BT549" s="2" t="str">
        <f aca="false">HYPERLINK("https%3A%2F%2Fwww.webofscience.com%2Fwos%2Fwoscc%2Ffull-record%2FWOS:000329598800002","View Full Record in Web of Science")</f>
        <v>View Full Record in Web of Science</v>
      </c>
    </row>
    <row r="550" customFormat="false" ht="12.75" hidden="false" customHeight="false" outlineLevel="0" collapsed="false">
      <c r="A550" s="2" t="s">
        <v>72</v>
      </c>
      <c r="B550" s="2" t="s">
        <v>10324</v>
      </c>
      <c r="C550" s="2"/>
      <c r="D550" s="2"/>
      <c r="E550" s="2"/>
      <c r="F550" s="2" t="s">
        <v>10325</v>
      </c>
      <c r="G550" s="2"/>
      <c r="H550" s="2"/>
      <c r="I550" s="2" t="s">
        <v>10326</v>
      </c>
      <c r="J550" s="2" t="s">
        <v>557</v>
      </c>
      <c r="K550" s="2"/>
      <c r="L550" s="2"/>
      <c r="M550" s="2" t="s">
        <v>77</v>
      </c>
      <c r="N550" s="2" t="s">
        <v>78</v>
      </c>
      <c r="O550" s="2"/>
      <c r="P550" s="2"/>
      <c r="Q550" s="2"/>
      <c r="R550" s="2"/>
      <c r="S550" s="2"/>
      <c r="T550" s="2" t="s">
        <v>10327</v>
      </c>
      <c r="U550" s="2" t="s">
        <v>10328</v>
      </c>
      <c r="V550" s="2" t="s">
        <v>10329</v>
      </c>
      <c r="W550" s="2" t="s">
        <v>10330</v>
      </c>
      <c r="X550" s="2" t="s">
        <v>10331</v>
      </c>
      <c r="Y550" s="2" t="s">
        <v>10332</v>
      </c>
      <c r="Z550" s="2" t="s">
        <v>10333</v>
      </c>
      <c r="AA550" s="2" t="s">
        <v>10334</v>
      </c>
      <c r="AB550" s="2" t="s">
        <v>10335</v>
      </c>
      <c r="AC550" s="2" t="s">
        <v>10336</v>
      </c>
      <c r="AD550" s="2" t="s">
        <v>10337</v>
      </c>
      <c r="AE550" s="2" t="s">
        <v>10338</v>
      </c>
      <c r="AF550" s="2"/>
      <c r="AG550" s="2" t="n">
        <v>52</v>
      </c>
      <c r="AH550" s="2" t="n">
        <v>1</v>
      </c>
      <c r="AI550" s="2" t="n">
        <v>2</v>
      </c>
      <c r="AJ550" s="2" t="n">
        <v>0</v>
      </c>
      <c r="AK550" s="2" t="n">
        <v>0</v>
      </c>
      <c r="AL550" s="2" t="s">
        <v>302</v>
      </c>
      <c r="AM550" s="2" t="s">
        <v>303</v>
      </c>
      <c r="AN550" s="2" t="s">
        <v>304</v>
      </c>
      <c r="AO550" s="2"/>
      <c r="AP550" s="2" t="s">
        <v>570</v>
      </c>
      <c r="AQ550" s="2"/>
      <c r="AR550" s="2" t="s">
        <v>571</v>
      </c>
      <c r="AS550" s="2" t="s">
        <v>572</v>
      </c>
      <c r="AT550" s="2" t="s">
        <v>8076</v>
      </c>
      <c r="AU550" s="2" t="n">
        <v>2022</v>
      </c>
      <c r="AV550" s="2" t="n">
        <v>22</v>
      </c>
      <c r="AW550" s="2" t="n">
        <v>1</v>
      </c>
      <c r="AX550" s="2"/>
      <c r="AY550" s="2"/>
      <c r="AZ550" s="2"/>
      <c r="BA550" s="2"/>
      <c r="BB550" s="2"/>
      <c r="BC550" s="2"/>
      <c r="BD550" s="2" t="n">
        <v>313</v>
      </c>
      <c r="BE550" s="2" t="s">
        <v>10339</v>
      </c>
      <c r="BF550" s="2" t="str">
        <f aca="false">HYPERLINK("http://dx.doi.org/10.1186/s12879-022-07289-3","http://dx.doi.org/10.1186/s12879-022-07289-3")</f>
        <v>http://dx.doi.org/10.1186/s12879-022-07289-3</v>
      </c>
      <c r="BG550" s="2"/>
      <c r="BH550" s="2"/>
      <c r="BI550" s="2" t="n">
        <v>11</v>
      </c>
      <c r="BJ550" s="2" t="s">
        <v>575</v>
      </c>
      <c r="BK550" s="2" t="s">
        <v>100</v>
      </c>
      <c r="BL550" s="2" t="s">
        <v>575</v>
      </c>
      <c r="BM550" s="2" t="s">
        <v>10340</v>
      </c>
      <c r="BN550" s="2" t="n">
        <v>35354368</v>
      </c>
      <c r="BO550" s="2" t="s">
        <v>190</v>
      </c>
      <c r="BP550" s="2"/>
      <c r="BQ550" s="2"/>
      <c r="BR550" s="2" t="s">
        <v>104</v>
      </c>
      <c r="BS550" s="2" t="s">
        <v>10341</v>
      </c>
      <c r="BT550" s="2" t="str">
        <f aca="false">HYPERLINK("https%3A%2F%2Fwww.webofscience.com%2Fwos%2Fwoscc%2Ffull-record%2FWOS:000776081700002","View Full Record in Web of Science")</f>
        <v>View Full Record in Web of Science</v>
      </c>
    </row>
    <row r="551" customFormat="false" ht="12.75" hidden="false" customHeight="false" outlineLevel="0" collapsed="false">
      <c r="A551" s="2" t="s">
        <v>72</v>
      </c>
      <c r="B551" s="2" t="s">
        <v>10342</v>
      </c>
      <c r="C551" s="2"/>
      <c r="D551" s="2"/>
      <c r="E551" s="2"/>
      <c r="F551" s="2" t="s">
        <v>10343</v>
      </c>
      <c r="G551" s="2"/>
      <c r="H551" s="2"/>
      <c r="I551" s="2" t="s">
        <v>10344</v>
      </c>
      <c r="J551" s="2" t="s">
        <v>7060</v>
      </c>
      <c r="K551" s="2"/>
      <c r="L551" s="2"/>
      <c r="M551" s="2" t="s">
        <v>77</v>
      </c>
      <c r="N551" s="2" t="s">
        <v>78</v>
      </c>
      <c r="O551" s="2"/>
      <c r="P551" s="2"/>
      <c r="Q551" s="2"/>
      <c r="R551" s="2"/>
      <c r="S551" s="2"/>
      <c r="T551" s="2" t="s">
        <v>10345</v>
      </c>
      <c r="U551" s="2" t="s">
        <v>10346</v>
      </c>
      <c r="V551" s="2" t="s">
        <v>10347</v>
      </c>
      <c r="W551" s="2" t="s">
        <v>10348</v>
      </c>
      <c r="X551" s="2" t="s">
        <v>10349</v>
      </c>
      <c r="Y551" s="2" t="s">
        <v>10350</v>
      </c>
      <c r="Z551" s="2" t="s">
        <v>10351</v>
      </c>
      <c r="AA551" s="2" t="s">
        <v>10352</v>
      </c>
      <c r="AB551" s="2" t="s">
        <v>10353</v>
      </c>
      <c r="AC551" s="2" t="s">
        <v>10354</v>
      </c>
      <c r="AD551" s="2" t="s">
        <v>10355</v>
      </c>
      <c r="AE551" s="2"/>
      <c r="AF551" s="2"/>
      <c r="AG551" s="2" t="n">
        <v>42</v>
      </c>
      <c r="AH551" s="2" t="n">
        <v>34</v>
      </c>
      <c r="AI551" s="2" t="n">
        <v>39</v>
      </c>
      <c r="AJ551" s="2" t="n">
        <v>0</v>
      </c>
      <c r="AK551" s="2" t="n">
        <v>7</v>
      </c>
      <c r="AL551" s="2" t="s">
        <v>7073</v>
      </c>
      <c r="AM551" s="2" t="s">
        <v>7074</v>
      </c>
      <c r="AN551" s="2" t="s">
        <v>7075</v>
      </c>
      <c r="AO551" s="2" t="s">
        <v>7076</v>
      </c>
      <c r="AP551" s="2"/>
      <c r="AQ551" s="2"/>
      <c r="AR551" s="2" t="s">
        <v>7060</v>
      </c>
      <c r="AS551" s="2" t="s">
        <v>601</v>
      </c>
      <c r="AT551" s="2" t="s">
        <v>486</v>
      </c>
      <c r="AU551" s="2" t="n">
        <v>2008</v>
      </c>
      <c r="AV551" s="2" t="n">
        <v>121</v>
      </c>
      <c r="AW551" s="2" t="n">
        <v>6</v>
      </c>
      <c r="AX551" s="2"/>
      <c r="AY551" s="2"/>
      <c r="AZ551" s="2"/>
      <c r="BA551" s="2"/>
      <c r="BB551" s="2" t="s">
        <v>10356</v>
      </c>
      <c r="BC551" s="2" t="s">
        <v>10357</v>
      </c>
      <c r="BD551" s="2"/>
      <c r="BE551" s="2" t="s">
        <v>10358</v>
      </c>
      <c r="BF551" s="2" t="str">
        <f aca="false">HYPERLINK("http://dx.doi.org/10.1542/peds.2007-1757","http://dx.doi.org/10.1542/peds.2007-1757")</f>
        <v>http://dx.doi.org/10.1542/peds.2007-1757</v>
      </c>
      <c r="BG551" s="2"/>
      <c r="BH551" s="2"/>
      <c r="BI551" s="2" t="n">
        <v>7</v>
      </c>
      <c r="BJ551" s="2" t="s">
        <v>601</v>
      </c>
      <c r="BK551" s="2" t="s">
        <v>100</v>
      </c>
      <c r="BL551" s="2" t="s">
        <v>601</v>
      </c>
      <c r="BM551" s="2" t="s">
        <v>10359</v>
      </c>
      <c r="BN551" s="2" t="n">
        <v>18519454</v>
      </c>
      <c r="BO551" s="2" t="s">
        <v>695</v>
      </c>
      <c r="BP551" s="2"/>
      <c r="BQ551" s="2"/>
      <c r="BR551" s="2" t="s">
        <v>104</v>
      </c>
      <c r="BS551" s="2" t="s">
        <v>10360</v>
      </c>
      <c r="BT551" s="2" t="str">
        <f aca="false">HYPERLINK("https%3A%2F%2Fwww.webofscience.com%2Fwos%2Fwoscc%2Ffull-record%2FWOS:000256313700007","View Full Record in Web of Science")</f>
        <v>View Full Record in Web of Science</v>
      </c>
    </row>
    <row r="552" customFormat="false" ht="12.75" hidden="false" customHeight="false" outlineLevel="0" collapsed="false">
      <c r="A552" s="2" t="s">
        <v>72</v>
      </c>
      <c r="B552" s="2" t="s">
        <v>10361</v>
      </c>
      <c r="C552" s="2"/>
      <c r="D552" s="2"/>
      <c r="E552" s="2"/>
      <c r="F552" s="2" t="s">
        <v>10362</v>
      </c>
      <c r="G552" s="2"/>
      <c r="H552" s="2"/>
      <c r="I552" s="2" t="s">
        <v>10363</v>
      </c>
      <c r="J552" s="2" t="s">
        <v>8339</v>
      </c>
      <c r="K552" s="2"/>
      <c r="L552" s="2"/>
      <c r="M552" s="2" t="s">
        <v>77</v>
      </c>
      <c r="N552" s="2" t="s">
        <v>78</v>
      </c>
      <c r="O552" s="2"/>
      <c r="P552" s="2"/>
      <c r="Q552" s="2"/>
      <c r="R552" s="2"/>
      <c r="S552" s="2"/>
      <c r="T552" s="2" t="s">
        <v>10364</v>
      </c>
      <c r="U552" s="2" t="s">
        <v>10365</v>
      </c>
      <c r="V552" s="2" t="s">
        <v>10366</v>
      </c>
      <c r="W552" s="2" t="s">
        <v>10367</v>
      </c>
      <c r="X552" s="2" t="s">
        <v>10368</v>
      </c>
      <c r="Y552" s="2" t="s">
        <v>10369</v>
      </c>
      <c r="Z552" s="2" t="s">
        <v>10370</v>
      </c>
      <c r="AA552" s="2" t="s">
        <v>10371</v>
      </c>
      <c r="AB552" s="2"/>
      <c r="AC552" s="2" t="s">
        <v>10372</v>
      </c>
      <c r="AD552" s="2" t="s">
        <v>10372</v>
      </c>
      <c r="AE552" s="2" t="s">
        <v>10373</v>
      </c>
      <c r="AF552" s="2"/>
      <c r="AG552" s="2" t="n">
        <v>19</v>
      </c>
      <c r="AH552" s="2" t="n">
        <v>11</v>
      </c>
      <c r="AI552" s="2" t="n">
        <v>13</v>
      </c>
      <c r="AJ552" s="2" t="n">
        <v>0</v>
      </c>
      <c r="AK552" s="2" t="n">
        <v>25</v>
      </c>
      <c r="AL552" s="2" t="s">
        <v>1460</v>
      </c>
      <c r="AM552" s="2" t="s">
        <v>593</v>
      </c>
      <c r="AN552" s="2" t="s">
        <v>2088</v>
      </c>
      <c r="AO552" s="2" t="s">
        <v>8349</v>
      </c>
      <c r="AP552" s="2" t="s">
        <v>8350</v>
      </c>
      <c r="AQ552" s="2"/>
      <c r="AR552" s="2" t="s">
        <v>8351</v>
      </c>
      <c r="AS552" s="2" t="s">
        <v>8352</v>
      </c>
      <c r="AT552" s="2" t="s">
        <v>161</v>
      </c>
      <c r="AU552" s="2" t="n">
        <v>2020</v>
      </c>
      <c r="AV552" s="2" t="n">
        <v>21</v>
      </c>
      <c r="AW552" s="2" t="n">
        <v>1</v>
      </c>
      <c r="AX552" s="2"/>
      <c r="AY552" s="2"/>
      <c r="AZ552" s="2"/>
      <c r="BA552" s="2"/>
      <c r="BB552" s="2" t="n">
        <v>29</v>
      </c>
      <c r="BC552" s="2" t="n">
        <v>33</v>
      </c>
      <c r="BD552" s="2"/>
      <c r="BE552" s="2" t="s">
        <v>10374</v>
      </c>
      <c r="BF552" s="2" t="str">
        <f aca="false">HYPERLINK("http://dx.doi.org/10.1016/j.jamda.2019.09.003","http://dx.doi.org/10.1016/j.jamda.2019.09.003")</f>
        <v>http://dx.doi.org/10.1016/j.jamda.2019.09.003</v>
      </c>
      <c r="BG552" s="2"/>
      <c r="BH552" s="2"/>
      <c r="BI552" s="2" t="n">
        <v>5</v>
      </c>
      <c r="BJ552" s="2" t="s">
        <v>1087</v>
      </c>
      <c r="BK552" s="2" t="s">
        <v>100</v>
      </c>
      <c r="BL552" s="2" t="s">
        <v>1087</v>
      </c>
      <c r="BM552" s="2" t="s">
        <v>8354</v>
      </c>
      <c r="BN552" s="2" t="n">
        <v>31636034</v>
      </c>
      <c r="BO552" s="2" t="s">
        <v>165</v>
      </c>
      <c r="BP552" s="2"/>
      <c r="BQ552" s="2"/>
      <c r="BR552" s="2" t="s">
        <v>104</v>
      </c>
      <c r="BS552" s="2" t="s">
        <v>10375</v>
      </c>
      <c r="BT552" s="2" t="str">
        <f aca="false">HYPERLINK("https%3A%2F%2Fwww.webofscience.com%2Fwos%2Fwoscc%2Ffull-record%2FWOS:000504685400006","View Full Record in Web of Science")</f>
        <v>View Full Record in Web of Science</v>
      </c>
    </row>
    <row r="553" customFormat="false" ht="12.75" hidden="false" customHeight="false" outlineLevel="0" collapsed="false">
      <c r="A553" s="2" t="s">
        <v>72</v>
      </c>
      <c r="B553" s="2" t="s">
        <v>10376</v>
      </c>
      <c r="C553" s="2"/>
      <c r="D553" s="2"/>
      <c r="E553" s="2"/>
      <c r="F553" s="2" t="s">
        <v>10377</v>
      </c>
      <c r="G553" s="2"/>
      <c r="H553" s="2"/>
      <c r="I553" s="2" t="s">
        <v>10378</v>
      </c>
      <c r="J553" s="2" t="s">
        <v>2547</v>
      </c>
      <c r="K553" s="2"/>
      <c r="L553" s="2"/>
      <c r="M553" s="2" t="s">
        <v>77</v>
      </c>
      <c r="N553" s="2" t="s">
        <v>78</v>
      </c>
      <c r="O553" s="2"/>
      <c r="P553" s="2"/>
      <c r="Q553" s="2"/>
      <c r="R553" s="2"/>
      <c r="S553" s="2"/>
      <c r="T553" s="2" t="s">
        <v>10379</v>
      </c>
      <c r="U553" s="2" t="s">
        <v>10380</v>
      </c>
      <c r="V553" s="2" t="s">
        <v>10381</v>
      </c>
      <c r="W553" s="2" t="s">
        <v>10382</v>
      </c>
      <c r="X553" s="2" t="s">
        <v>10383</v>
      </c>
      <c r="Y553" s="2" t="s">
        <v>10384</v>
      </c>
      <c r="Z553" s="2" t="s">
        <v>10129</v>
      </c>
      <c r="AA553" s="2" t="s">
        <v>10385</v>
      </c>
      <c r="AB553" s="2" t="s">
        <v>10386</v>
      </c>
      <c r="AC553" s="2" t="s">
        <v>10387</v>
      </c>
      <c r="AD553" s="2" t="s">
        <v>10388</v>
      </c>
      <c r="AE553" s="2" t="s">
        <v>10389</v>
      </c>
      <c r="AF553" s="2"/>
      <c r="AG553" s="2" t="n">
        <v>31</v>
      </c>
      <c r="AH553" s="2" t="n">
        <v>10</v>
      </c>
      <c r="AI553" s="2" t="n">
        <v>11</v>
      </c>
      <c r="AJ553" s="2" t="n">
        <v>0</v>
      </c>
      <c r="AK553" s="2" t="n">
        <v>9</v>
      </c>
      <c r="AL553" s="2" t="s">
        <v>782</v>
      </c>
      <c r="AM553" s="2" t="s">
        <v>783</v>
      </c>
      <c r="AN553" s="2" t="s">
        <v>784</v>
      </c>
      <c r="AO553" s="2" t="s">
        <v>2556</v>
      </c>
      <c r="AP553" s="2" t="s">
        <v>2557</v>
      </c>
      <c r="AQ553" s="2"/>
      <c r="AR553" s="2" t="s">
        <v>2547</v>
      </c>
      <c r="AS553" s="2" t="s">
        <v>2558</v>
      </c>
      <c r="AT553" s="2" t="s">
        <v>278</v>
      </c>
      <c r="AU553" s="2" t="n">
        <v>2012</v>
      </c>
      <c r="AV553" s="2" t="n">
        <v>30</v>
      </c>
      <c r="AW553" s="2" t="n">
        <v>34</v>
      </c>
      <c r="AX553" s="2"/>
      <c r="AY553" s="2"/>
      <c r="AZ553" s="2"/>
      <c r="BA553" s="2"/>
      <c r="BB553" s="2" t="n">
        <v>5073</v>
      </c>
      <c r="BC553" s="2" t="n">
        <v>5080</v>
      </c>
      <c r="BD553" s="2"/>
      <c r="BE553" s="2" t="s">
        <v>10390</v>
      </c>
      <c r="BF553" s="2" t="str">
        <f aca="false">HYPERLINK("http://dx.doi.org/10.1016/j.vaccine.2012.05.079","http://dx.doi.org/10.1016/j.vaccine.2012.05.079")</f>
        <v>http://dx.doi.org/10.1016/j.vaccine.2012.05.079</v>
      </c>
      <c r="BG553" s="2"/>
      <c r="BH553" s="2"/>
      <c r="BI553" s="2" t="n">
        <v>8</v>
      </c>
      <c r="BJ553" s="2" t="s">
        <v>187</v>
      </c>
      <c r="BK553" s="2" t="s">
        <v>100</v>
      </c>
      <c r="BL553" s="2" t="s">
        <v>188</v>
      </c>
      <c r="BM553" s="2" t="s">
        <v>10391</v>
      </c>
      <c r="BN553" s="2" t="n">
        <v>22705079</v>
      </c>
      <c r="BO553" s="2"/>
      <c r="BP553" s="2"/>
      <c r="BQ553" s="2"/>
      <c r="BR553" s="2" t="s">
        <v>104</v>
      </c>
      <c r="BS553" s="2" t="s">
        <v>10392</v>
      </c>
      <c r="BT553" s="2" t="str">
        <f aca="false">HYPERLINK("https%3A%2F%2Fwww.webofscience.com%2Fwos%2Fwoscc%2Ffull-record%2FWOS:000306982000004","View Full Record in Web of Science")</f>
        <v>View Full Record in Web of Science</v>
      </c>
    </row>
    <row r="554" customFormat="false" ht="12.75" hidden="false" customHeight="false" outlineLevel="0" collapsed="false">
      <c r="A554" s="2" t="s">
        <v>72</v>
      </c>
      <c r="B554" s="2" t="s">
        <v>10393</v>
      </c>
      <c r="C554" s="2"/>
      <c r="D554" s="2"/>
      <c r="E554" s="2"/>
      <c r="F554" s="2" t="s">
        <v>10394</v>
      </c>
      <c r="G554" s="2"/>
      <c r="H554" s="2"/>
      <c r="I554" s="2" t="s">
        <v>10395</v>
      </c>
      <c r="J554" s="2" t="s">
        <v>911</v>
      </c>
      <c r="K554" s="2"/>
      <c r="L554" s="2"/>
      <c r="M554" s="2" t="s">
        <v>77</v>
      </c>
      <c r="N554" s="2" t="s">
        <v>78</v>
      </c>
      <c r="O554" s="2"/>
      <c r="P554" s="2"/>
      <c r="Q554" s="2"/>
      <c r="R554" s="2"/>
      <c r="S554" s="2"/>
      <c r="T554" s="2" t="s">
        <v>10396</v>
      </c>
      <c r="U554" s="2" t="s">
        <v>10397</v>
      </c>
      <c r="V554" s="2" t="s">
        <v>10398</v>
      </c>
      <c r="W554" s="2" t="s">
        <v>10399</v>
      </c>
      <c r="X554" s="2" t="s">
        <v>916</v>
      </c>
      <c r="Y554" s="2" t="s">
        <v>10400</v>
      </c>
      <c r="Z554" s="2" t="s">
        <v>10401</v>
      </c>
      <c r="AA554" s="2"/>
      <c r="AB554" s="2"/>
      <c r="AC554" s="2"/>
      <c r="AD554" s="2"/>
      <c r="AE554" s="2"/>
      <c r="AF554" s="2"/>
      <c r="AG554" s="2" t="n">
        <v>20</v>
      </c>
      <c r="AH554" s="2" t="n">
        <v>3</v>
      </c>
      <c r="AI554" s="2" t="n">
        <v>3</v>
      </c>
      <c r="AJ554" s="2" t="n">
        <v>0</v>
      </c>
      <c r="AK554" s="2" t="n">
        <v>1</v>
      </c>
      <c r="AL554" s="2" t="s">
        <v>919</v>
      </c>
      <c r="AM554" s="2" t="s">
        <v>593</v>
      </c>
      <c r="AN554" s="2" t="s">
        <v>920</v>
      </c>
      <c r="AO554" s="2" t="s">
        <v>921</v>
      </c>
      <c r="AP554" s="2" t="s">
        <v>922</v>
      </c>
      <c r="AQ554" s="2"/>
      <c r="AR554" s="2" t="s">
        <v>923</v>
      </c>
      <c r="AS554" s="2" t="s">
        <v>924</v>
      </c>
      <c r="AT554" s="2" t="s">
        <v>362</v>
      </c>
      <c r="AU554" s="2" t="n">
        <v>2016</v>
      </c>
      <c r="AV554" s="2" t="n">
        <v>45</v>
      </c>
      <c r="AW554" s="2" t="n">
        <v>3</v>
      </c>
      <c r="AX554" s="2"/>
      <c r="AY554" s="2"/>
      <c r="AZ554" s="2"/>
      <c r="BA554" s="2"/>
      <c r="BB554" s="2" t="n">
        <v>270</v>
      </c>
      <c r="BC554" s="2" t="n">
        <v>272</v>
      </c>
      <c r="BD554" s="2"/>
      <c r="BE554" s="2" t="s">
        <v>10402</v>
      </c>
      <c r="BF554" s="2" t="str">
        <f aca="false">HYPERLINK("http://dx.doi.org/10.1016/j.hrtlng.2016.02.006","http://dx.doi.org/10.1016/j.hrtlng.2016.02.006")</f>
        <v>http://dx.doi.org/10.1016/j.hrtlng.2016.02.006</v>
      </c>
      <c r="BG554" s="2"/>
      <c r="BH554" s="2"/>
      <c r="BI554" s="2" t="n">
        <v>3</v>
      </c>
      <c r="BJ554" s="2" t="s">
        <v>927</v>
      </c>
      <c r="BK554" s="2" t="s">
        <v>100</v>
      </c>
      <c r="BL554" s="2" t="s">
        <v>928</v>
      </c>
      <c r="BM554" s="2" t="s">
        <v>10403</v>
      </c>
      <c r="BN554" s="2" t="n">
        <v>26988110</v>
      </c>
      <c r="BO554" s="2" t="s">
        <v>1089</v>
      </c>
      <c r="BP554" s="2"/>
      <c r="BQ554" s="2"/>
      <c r="BR554" s="2" t="s">
        <v>104</v>
      </c>
      <c r="BS554" s="2" t="s">
        <v>10404</v>
      </c>
      <c r="BT554" s="2" t="str">
        <f aca="false">HYPERLINK("https%3A%2F%2Fwww.webofscience.com%2Fwos%2Fwoscc%2Ffull-record%2FWOS:000375819900017","View Full Record in Web of Science")</f>
        <v>View Full Record in Web of Science</v>
      </c>
    </row>
    <row r="555" customFormat="false" ht="12.75" hidden="false" customHeight="false" outlineLevel="0" collapsed="false">
      <c r="A555" s="2" t="s">
        <v>72</v>
      </c>
      <c r="B555" s="2" t="s">
        <v>10405</v>
      </c>
      <c r="C555" s="2"/>
      <c r="D555" s="2"/>
      <c r="E555" s="2"/>
      <c r="F555" s="2" t="s">
        <v>10406</v>
      </c>
      <c r="G555" s="2"/>
      <c r="H555" s="2"/>
      <c r="I555" s="2" t="s">
        <v>10407</v>
      </c>
      <c r="J555" s="2" t="s">
        <v>7060</v>
      </c>
      <c r="K555" s="2"/>
      <c r="L555" s="2"/>
      <c r="M555" s="2" t="s">
        <v>77</v>
      </c>
      <c r="N555" s="2" t="s">
        <v>78</v>
      </c>
      <c r="O555" s="2"/>
      <c r="P555" s="2"/>
      <c r="Q555" s="2"/>
      <c r="R555" s="2"/>
      <c r="S555" s="2"/>
      <c r="T555" s="2" t="s">
        <v>10408</v>
      </c>
      <c r="U555" s="2" t="s">
        <v>10409</v>
      </c>
      <c r="V555" s="2" t="s">
        <v>10410</v>
      </c>
      <c r="W555" s="2" t="s">
        <v>10411</v>
      </c>
      <c r="X555" s="2" t="s">
        <v>10412</v>
      </c>
      <c r="Y555" s="2" t="s">
        <v>10413</v>
      </c>
      <c r="Z555" s="2" t="s">
        <v>10414</v>
      </c>
      <c r="AA555" s="2" t="s">
        <v>2617</v>
      </c>
      <c r="AB555" s="2"/>
      <c r="AC555" s="2" t="s">
        <v>10415</v>
      </c>
      <c r="AD555" s="2" t="s">
        <v>10416</v>
      </c>
      <c r="AE555" s="2"/>
      <c r="AF555" s="2"/>
      <c r="AG555" s="2" t="n">
        <v>35</v>
      </c>
      <c r="AH555" s="2" t="n">
        <v>37</v>
      </c>
      <c r="AI555" s="2" t="n">
        <v>39</v>
      </c>
      <c r="AJ555" s="2" t="n">
        <v>0</v>
      </c>
      <c r="AK555" s="2" t="n">
        <v>6</v>
      </c>
      <c r="AL555" s="2" t="s">
        <v>7073</v>
      </c>
      <c r="AM555" s="2" t="s">
        <v>7074</v>
      </c>
      <c r="AN555" s="2" t="s">
        <v>7075</v>
      </c>
      <c r="AO555" s="2" t="s">
        <v>7076</v>
      </c>
      <c r="AP555" s="2"/>
      <c r="AQ555" s="2"/>
      <c r="AR555" s="2" t="s">
        <v>7060</v>
      </c>
      <c r="AS555" s="2" t="s">
        <v>601</v>
      </c>
      <c r="AT555" s="2" t="s">
        <v>1041</v>
      </c>
      <c r="AU555" s="2" t="n">
        <v>2010</v>
      </c>
      <c r="AV555" s="2" t="n">
        <v>125</v>
      </c>
      <c r="AW555" s="2" t="n">
        <v>2</v>
      </c>
      <c r="AX555" s="2"/>
      <c r="AY555" s="2"/>
      <c r="AZ555" s="2"/>
      <c r="BA555" s="2"/>
      <c r="BB555" s="2" t="s">
        <v>10417</v>
      </c>
      <c r="BC555" s="2" t="s">
        <v>10418</v>
      </c>
      <c r="BD555" s="2"/>
      <c r="BE555" s="2" t="s">
        <v>10419</v>
      </c>
      <c r="BF555" s="2" t="str">
        <f aca="false">HYPERLINK("http://dx.doi.org/10.1542/peds.2009-0411","http://dx.doi.org/10.1542/peds.2009-0411")</f>
        <v>http://dx.doi.org/10.1542/peds.2009-0411</v>
      </c>
      <c r="BG555" s="2"/>
      <c r="BH555" s="2"/>
      <c r="BI555" s="2" t="n">
        <v>9</v>
      </c>
      <c r="BJ555" s="2" t="s">
        <v>601</v>
      </c>
      <c r="BK555" s="2" t="s">
        <v>100</v>
      </c>
      <c r="BL555" s="2" t="s">
        <v>601</v>
      </c>
      <c r="BM555" s="2" t="s">
        <v>10420</v>
      </c>
      <c r="BN555" s="2" t="n">
        <v>20100751</v>
      </c>
      <c r="BO555" s="2" t="s">
        <v>695</v>
      </c>
      <c r="BP555" s="2"/>
      <c r="BQ555" s="2"/>
      <c r="BR555" s="2" t="s">
        <v>104</v>
      </c>
      <c r="BS555" s="2" t="s">
        <v>10421</v>
      </c>
      <c r="BT555" s="2" t="str">
        <f aca="false">HYPERLINK("https%3A%2F%2Fwww.webofscience.com%2Fwos%2Fwoscc%2Ffull-record%2FWOS:000275942900035","View Full Record in Web of Science")</f>
        <v>View Full Record in Web of Science</v>
      </c>
    </row>
    <row r="556" customFormat="false" ht="12.75" hidden="false" customHeight="false" outlineLevel="0" collapsed="false">
      <c r="A556" s="2" t="s">
        <v>72</v>
      </c>
      <c r="B556" s="2" t="s">
        <v>10422</v>
      </c>
      <c r="C556" s="2"/>
      <c r="D556" s="2"/>
      <c r="E556" s="2"/>
      <c r="F556" s="2" t="s">
        <v>10423</v>
      </c>
      <c r="G556" s="2"/>
      <c r="H556" s="2"/>
      <c r="I556" s="2" t="s">
        <v>10424</v>
      </c>
      <c r="J556" s="2" t="s">
        <v>141</v>
      </c>
      <c r="K556" s="2"/>
      <c r="L556" s="2"/>
      <c r="M556" s="2" t="s">
        <v>77</v>
      </c>
      <c r="N556" s="2" t="s">
        <v>78</v>
      </c>
      <c r="O556" s="2"/>
      <c r="P556" s="2"/>
      <c r="Q556" s="2"/>
      <c r="R556" s="2"/>
      <c r="S556" s="2"/>
      <c r="T556" s="2" t="s">
        <v>10425</v>
      </c>
      <c r="U556" s="2" t="s">
        <v>10426</v>
      </c>
      <c r="V556" s="2" t="s">
        <v>10427</v>
      </c>
      <c r="W556" s="2" t="s">
        <v>10428</v>
      </c>
      <c r="X556" s="2" t="s">
        <v>10429</v>
      </c>
      <c r="Y556" s="2" t="s">
        <v>10430</v>
      </c>
      <c r="Z556" s="2" t="s">
        <v>10431</v>
      </c>
      <c r="AA556" s="2" t="s">
        <v>10432</v>
      </c>
      <c r="AB556" s="2"/>
      <c r="AC556" s="2" t="s">
        <v>10433</v>
      </c>
      <c r="AD556" s="2" t="s">
        <v>10433</v>
      </c>
      <c r="AE556" s="2" t="s">
        <v>10434</v>
      </c>
      <c r="AF556" s="2"/>
      <c r="AG556" s="2" t="n">
        <v>45</v>
      </c>
      <c r="AH556" s="2" t="n">
        <v>15</v>
      </c>
      <c r="AI556" s="2" t="n">
        <v>15</v>
      </c>
      <c r="AJ556" s="2" t="n">
        <v>0</v>
      </c>
      <c r="AK556" s="2" t="n">
        <v>10</v>
      </c>
      <c r="AL556" s="2" t="s">
        <v>3813</v>
      </c>
      <c r="AM556" s="2" t="s">
        <v>155</v>
      </c>
      <c r="AN556" s="2" t="s">
        <v>156</v>
      </c>
      <c r="AO556" s="2" t="s">
        <v>157</v>
      </c>
      <c r="AP556" s="2" t="s">
        <v>158</v>
      </c>
      <c r="AQ556" s="2"/>
      <c r="AR556" s="2" t="s">
        <v>159</v>
      </c>
      <c r="AS556" s="2" t="s">
        <v>160</v>
      </c>
      <c r="AT556" s="2" t="s">
        <v>804</v>
      </c>
      <c r="AU556" s="2" t="n">
        <v>2014</v>
      </c>
      <c r="AV556" s="2" t="n">
        <v>86</v>
      </c>
      <c r="AW556" s="2" t="n">
        <v>11</v>
      </c>
      <c r="AX556" s="2"/>
      <c r="AY556" s="2"/>
      <c r="AZ556" s="2"/>
      <c r="BA556" s="2"/>
      <c r="BB556" s="2" t="n">
        <v>1944</v>
      </c>
      <c r="BC556" s="2" t="n">
        <v>1952</v>
      </c>
      <c r="BD556" s="2"/>
      <c r="BE556" s="2" t="s">
        <v>10435</v>
      </c>
      <c r="BF556" s="2" t="str">
        <f aca="false">HYPERLINK("http://dx.doi.org/10.1002/jmv.23850","http://dx.doi.org/10.1002/jmv.23850")</f>
        <v>http://dx.doi.org/10.1002/jmv.23850</v>
      </c>
      <c r="BG556" s="2"/>
      <c r="BH556" s="2"/>
      <c r="BI556" s="2" t="n">
        <v>9</v>
      </c>
      <c r="BJ556" s="2" t="s">
        <v>163</v>
      </c>
      <c r="BK556" s="2" t="s">
        <v>100</v>
      </c>
      <c r="BL556" s="2" t="s">
        <v>163</v>
      </c>
      <c r="BM556" s="2" t="s">
        <v>10436</v>
      </c>
      <c r="BN556" s="2" t="n">
        <v>24374757</v>
      </c>
      <c r="BO556" s="2" t="s">
        <v>165</v>
      </c>
      <c r="BP556" s="2"/>
      <c r="BQ556" s="2"/>
      <c r="BR556" s="2" t="s">
        <v>104</v>
      </c>
      <c r="BS556" s="2" t="s">
        <v>10437</v>
      </c>
      <c r="BT556" s="2" t="str">
        <f aca="false">HYPERLINK("https%3A%2F%2Fwww.webofscience.com%2Fwos%2Fwoscc%2Ffull-record%2FWOS:000342681200016","View Full Record in Web of Science")</f>
        <v>View Full Record in Web of Science</v>
      </c>
    </row>
    <row r="557" customFormat="false" ht="12.75" hidden="false" customHeight="false" outlineLevel="0" collapsed="false">
      <c r="A557" s="2" t="s">
        <v>72</v>
      </c>
      <c r="B557" s="2" t="s">
        <v>10438</v>
      </c>
      <c r="C557" s="2"/>
      <c r="D557" s="2"/>
      <c r="E557" s="2"/>
      <c r="F557" s="2" t="s">
        <v>10439</v>
      </c>
      <c r="G557" s="2"/>
      <c r="H557" s="2"/>
      <c r="I557" s="2" t="s">
        <v>10440</v>
      </c>
      <c r="J557" s="2" t="s">
        <v>10441</v>
      </c>
      <c r="K557" s="2"/>
      <c r="L557" s="2"/>
      <c r="M557" s="2" t="s">
        <v>77</v>
      </c>
      <c r="N557" s="2" t="s">
        <v>78</v>
      </c>
      <c r="O557" s="2"/>
      <c r="P557" s="2"/>
      <c r="Q557" s="2"/>
      <c r="R557" s="2"/>
      <c r="S557" s="2"/>
      <c r="T557" s="2" t="s">
        <v>10442</v>
      </c>
      <c r="U557" s="2" t="s">
        <v>10443</v>
      </c>
      <c r="V557" s="2" t="s">
        <v>10444</v>
      </c>
      <c r="W557" s="2" t="s">
        <v>10445</v>
      </c>
      <c r="X557" s="2" t="s">
        <v>10446</v>
      </c>
      <c r="Y557" s="2" t="s">
        <v>10447</v>
      </c>
      <c r="Z557" s="2" t="s">
        <v>10448</v>
      </c>
      <c r="AA557" s="2" t="s">
        <v>10449</v>
      </c>
      <c r="AB557" s="2"/>
      <c r="AC557" s="2" t="s">
        <v>10450</v>
      </c>
      <c r="AD557" s="2" t="s">
        <v>10451</v>
      </c>
      <c r="AE557" s="2" t="s">
        <v>10452</v>
      </c>
      <c r="AF557" s="2"/>
      <c r="AG557" s="2" t="n">
        <v>34</v>
      </c>
      <c r="AH557" s="2" t="n">
        <v>22</v>
      </c>
      <c r="AI557" s="2" t="n">
        <v>25</v>
      </c>
      <c r="AJ557" s="2" t="n">
        <v>0</v>
      </c>
      <c r="AK557" s="2" t="n">
        <v>1</v>
      </c>
      <c r="AL557" s="2" t="s">
        <v>3813</v>
      </c>
      <c r="AM557" s="2" t="s">
        <v>4498</v>
      </c>
      <c r="AN557" s="2" t="s">
        <v>4499</v>
      </c>
      <c r="AO557" s="2" t="s">
        <v>10453</v>
      </c>
      <c r="AP557" s="2"/>
      <c r="AQ557" s="2"/>
      <c r="AR557" s="2" t="s">
        <v>10454</v>
      </c>
      <c r="AS557" s="2" t="s">
        <v>10455</v>
      </c>
      <c r="AT557" s="2" t="s">
        <v>599</v>
      </c>
      <c r="AU557" s="2" t="n">
        <v>2011</v>
      </c>
      <c r="AV557" s="2" t="n">
        <v>55</v>
      </c>
      <c r="AW557" s="2" t="n">
        <v>7</v>
      </c>
      <c r="AX557" s="2"/>
      <c r="AY557" s="2"/>
      <c r="AZ557" s="2"/>
      <c r="BA557" s="2"/>
      <c r="BB557" s="2" t="n">
        <v>525</v>
      </c>
      <c r="BC557" s="2" t="n">
        <v>530</v>
      </c>
      <c r="BD557" s="2"/>
      <c r="BE557" s="2" t="s">
        <v>10456</v>
      </c>
      <c r="BF557" s="2" t="str">
        <f aca="false">HYPERLINK("http://dx.doi.org/10.1111/j.1348-0421.2011.00346.x","http://dx.doi.org/10.1111/j.1348-0421.2011.00346.x")</f>
        <v>http://dx.doi.org/10.1111/j.1348-0421.2011.00346.x</v>
      </c>
      <c r="BG557" s="2"/>
      <c r="BH557" s="2"/>
      <c r="BI557" s="2" t="n">
        <v>6</v>
      </c>
      <c r="BJ557" s="2" t="s">
        <v>2364</v>
      </c>
      <c r="BK557" s="2" t="s">
        <v>100</v>
      </c>
      <c r="BL557" s="2" t="s">
        <v>2364</v>
      </c>
      <c r="BM557" s="2" t="s">
        <v>10457</v>
      </c>
      <c r="BN557" s="2" t="n">
        <v>21545509</v>
      </c>
      <c r="BO557" s="2" t="s">
        <v>538</v>
      </c>
      <c r="BP557" s="2"/>
      <c r="BQ557" s="2"/>
      <c r="BR557" s="2" t="s">
        <v>104</v>
      </c>
      <c r="BS557" s="2" t="s">
        <v>10458</v>
      </c>
      <c r="BT557" s="2" t="str">
        <f aca="false">HYPERLINK("https%3A%2F%2Fwww.webofscience.com%2Fwos%2Fwoscc%2Ffull-record%2FWOS:000292164400010","View Full Record in Web of Science")</f>
        <v>View Full Record in Web of Science</v>
      </c>
    </row>
    <row r="558" customFormat="false" ht="12.75" hidden="false" customHeight="false" outlineLevel="0" collapsed="false">
      <c r="A558" s="2" t="s">
        <v>72</v>
      </c>
      <c r="B558" s="2" t="s">
        <v>10459</v>
      </c>
      <c r="C558" s="2"/>
      <c r="D558" s="2"/>
      <c r="E558" s="2"/>
      <c r="F558" s="2" t="s">
        <v>10460</v>
      </c>
      <c r="G558" s="2"/>
      <c r="H558" s="2"/>
      <c r="I558" s="2" t="s">
        <v>10461</v>
      </c>
      <c r="J558" s="2" t="s">
        <v>10462</v>
      </c>
      <c r="K558" s="2"/>
      <c r="L558" s="2"/>
      <c r="M558" s="2" t="s">
        <v>77</v>
      </c>
      <c r="N558" s="2" t="s">
        <v>78</v>
      </c>
      <c r="O558" s="2"/>
      <c r="P558" s="2"/>
      <c r="Q558" s="2"/>
      <c r="R558" s="2"/>
      <c r="S558" s="2"/>
      <c r="T558" s="2" t="s">
        <v>10463</v>
      </c>
      <c r="U558" s="2" t="s">
        <v>10464</v>
      </c>
      <c r="V558" s="2" t="s">
        <v>10465</v>
      </c>
      <c r="W558" s="2" t="s">
        <v>10466</v>
      </c>
      <c r="X558" s="2" t="s">
        <v>10467</v>
      </c>
      <c r="Y558" s="2" t="s">
        <v>10468</v>
      </c>
      <c r="Z558" s="2" t="s">
        <v>10469</v>
      </c>
      <c r="AA558" s="2"/>
      <c r="AB558" s="2"/>
      <c r="AC558" s="2"/>
      <c r="AD558" s="2"/>
      <c r="AE558" s="2"/>
      <c r="AF558" s="2"/>
      <c r="AG558" s="2" t="n">
        <v>35</v>
      </c>
      <c r="AH558" s="2" t="n">
        <v>2</v>
      </c>
      <c r="AI558" s="2" t="n">
        <v>2</v>
      </c>
      <c r="AJ558" s="2" t="n">
        <v>3</v>
      </c>
      <c r="AK558" s="2" t="n">
        <v>3</v>
      </c>
      <c r="AL558" s="2" t="s">
        <v>10470</v>
      </c>
      <c r="AM558" s="2" t="s">
        <v>10471</v>
      </c>
      <c r="AN558" s="2" t="s">
        <v>10472</v>
      </c>
      <c r="AO558" s="2" t="s">
        <v>10473</v>
      </c>
      <c r="AP558" s="2"/>
      <c r="AQ558" s="2"/>
      <c r="AR558" s="2" t="s">
        <v>10474</v>
      </c>
      <c r="AS558" s="2" t="s">
        <v>10475</v>
      </c>
      <c r="AT558" s="2" t="s">
        <v>97</v>
      </c>
      <c r="AU558" s="2" t="n">
        <v>2024</v>
      </c>
      <c r="AV558" s="2" t="n">
        <v>47</v>
      </c>
      <c r="AW558" s="2" t="n">
        <v>1</v>
      </c>
      <c r="AX558" s="2"/>
      <c r="AY558" s="2"/>
      <c r="AZ558" s="2"/>
      <c r="BA558" s="2"/>
      <c r="BB558" s="2" t="n">
        <v>80</v>
      </c>
      <c r="BC558" s="2" t="n">
        <v>87</v>
      </c>
      <c r="BD558" s="2"/>
      <c r="BE558" s="2"/>
      <c r="BF558" s="2"/>
      <c r="BG558" s="2"/>
      <c r="BH558" s="2"/>
      <c r="BI558" s="2" t="n">
        <v>8</v>
      </c>
      <c r="BJ558" s="2" t="s">
        <v>211</v>
      </c>
      <c r="BK558" s="2" t="s">
        <v>100</v>
      </c>
      <c r="BL558" s="2" t="s">
        <v>211</v>
      </c>
      <c r="BM558" s="2" t="s">
        <v>10476</v>
      </c>
      <c r="BN558" s="2" t="n">
        <v>38700887</v>
      </c>
      <c r="BO558" s="2"/>
      <c r="BP558" s="2"/>
      <c r="BQ558" s="2"/>
      <c r="BR558" s="2" t="s">
        <v>104</v>
      </c>
      <c r="BS558" s="2" t="s">
        <v>10477</v>
      </c>
      <c r="BT558" s="2" t="str">
        <f aca="false">HYPERLINK("https%3A%2F%2Fwww.webofscience.com%2Fwos%2Fwoscc%2Ffull-record%2FWOS:001227560600005","View Full Record in Web of Science")</f>
        <v>View Full Record in Web of Science</v>
      </c>
    </row>
    <row r="559" customFormat="false" ht="12.75" hidden="false" customHeight="false" outlineLevel="0" collapsed="false">
      <c r="A559" s="2" t="s">
        <v>72</v>
      </c>
      <c r="B559" s="2" t="s">
        <v>10478</v>
      </c>
      <c r="C559" s="2"/>
      <c r="D559" s="2"/>
      <c r="E559" s="2"/>
      <c r="F559" s="2" t="s">
        <v>10479</v>
      </c>
      <c r="G559" s="2"/>
      <c r="H559" s="2"/>
      <c r="I559" s="2" t="s">
        <v>10480</v>
      </c>
      <c r="J559" s="2" t="s">
        <v>10481</v>
      </c>
      <c r="K559" s="2"/>
      <c r="L559" s="2"/>
      <c r="M559" s="2" t="s">
        <v>77</v>
      </c>
      <c r="N559" s="2" t="s">
        <v>78</v>
      </c>
      <c r="O559" s="2"/>
      <c r="P559" s="2"/>
      <c r="Q559" s="2"/>
      <c r="R559" s="2"/>
      <c r="S559" s="2"/>
      <c r="T559" s="2" t="s">
        <v>10482</v>
      </c>
      <c r="U559" s="2" t="s">
        <v>10483</v>
      </c>
      <c r="V559" s="2" t="s">
        <v>10484</v>
      </c>
      <c r="W559" s="2" t="s">
        <v>10485</v>
      </c>
      <c r="X559" s="2" t="s">
        <v>10486</v>
      </c>
      <c r="Y559" s="2" t="s">
        <v>10487</v>
      </c>
      <c r="Z559" s="2" t="s">
        <v>10488</v>
      </c>
      <c r="AA559" s="2" t="s">
        <v>10489</v>
      </c>
      <c r="AB559" s="2" t="s">
        <v>10490</v>
      </c>
      <c r="AC559" s="2"/>
      <c r="AD559" s="2"/>
      <c r="AE559" s="2"/>
      <c r="AF559" s="2"/>
      <c r="AG559" s="2" t="n">
        <v>38</v>
      </c>
      <c r="AH559" s="2" t="n">
        <v>19</v>
      </c>
      <c r="AI559" s="2" t="n">
        <v>19</v>
      </c>
      <c r="AJ559" s="2" t="n">
        <v>3</v>
      </c>
      <c r="AK559" s="2" t="n">
        <v>7</v>
      </c>
      <c r="AL559" s="2" t="s">
        <v>91</v>
      </c>
      <c r="AM559" s="2" t="s">
        <v>92</v>
      </c>
      <c r="AN559" s="2" t="s">
        <v>93</v>
      </c>
      <c r="AO559" s="2"/>
      <c r="AP559" s="2" t="s">
        <v>10491</v>
      </c>
      <c r="AQ559" s="2"/>
      <c r="AR559" s="2" t="s">
        <v>10492</v>
      </c>
      <c r="AS559" s="2" t="s">
        <v>10493</v>
      </c>
      <c r="AT559" s="2" t="s">
        <v>185</v>
      </c>
      <c r="AU559" s="2" t="n">
        <v>2021</v>
      </c>
      <c r="AV559" s="2" t="n">
        <v>10</v>
      </c>
      <c r="AW559" s="2" t="n">
        <v>15</v>
      </c>
      <c r="AX559" s="2"/>
      <c r="AY559" s="2"/>
      <c r="AZ559" s="2"/>
      <c r="BA559" s="2"/>
      <c r="BB559" s="2"/>
      <c r="BC559" s="2"/>
      <c r="BD559" s="2" t="n">
        <v>3301</v>
      </c>
      <c r="BE559" s="2" t="s">
        <v>10494</v>
      </c>
      <c r="BF559" s="2" t="str">
        <f aca="false">HYPERLINK("http://dx.doi.org/10.3390/jcm10153301","http://dx.doi.org/10.3390/jcm10153301")</f>
        <v>http://dx.doi.org/10.3390/jcm10153301</v>
      </c>
      <c r="BG559" s="2"/>
      <c r="BH559" s="2"/>
      <c r="BI559" s="2" t="n">
        <v>11</v>
      </c>
      <c r="BJ559" s="2" t="s">
        <v>363</v>
      </c>
      <c r="BK559" s="2" t="s">
        <v>100</v>
      </c>
      <c r="BL559" s="2" t="s">
        <v>364</v>
      </c>
      <c r="BM559" s="2" t="s">
        <v>10495</v>
      </c>
      <c r="BN559" s="2" t="n">
        <v>34362085</v>
      </c>
      <c r="BO559" s="2" t="s">
        <v>103</v>
      </c>
      <c r="BP559" s="2"/>
      <c r="BQ559" s="2"/>
      <c r="BR559" s="2" t="s">
        <v>104</v>
      </c>
      <c r="BS559" s="2" t="s">
        <v>10496</v>
      </c>
      <c r="BT559" s="2" t="str">
        <f aca="false">HYPERLINK("https%3A%2F%2Fwww.webofscience.com%2Fwos%2Fwoscc%2Ffull-record%2FWOS:000682084400001","View Full Record in Web of Science")</f>
        <v>View Full Record in Web of Science</v>
      </c>
    </row>
    <row r="560" customFormat="false" ht="12.75" hidden="false" customHeight="false" outlineLevel="0" collapsed="false">
      <c r="A560" s="2" t="s">
        <v>72</v>
      </c>
      <c r="B560" s="2" t="s">
        <v>10497</v>
      </c>
      <c r="C560" s="2"/>
      <c r="D560" s="2"/>
      <c r="E560" s="2"/>
      <c r="F560" s="2" t="s">
        <v>10498</v>
      </c>
      <c r="G560" s="2"/>
      <c r="H560" s="2"/>
      <c r="I560" s="2" t="s">
        <v>10499</v>
      </c>
      <c r="J560" s="2" t="s">
        <v>10500</v>
      </c>
      <c r="K560" s="2"/>
      <c r="L560" s="2"/>
      <c r="M560" s="2" t="s">
        <v>77</v>
      </c>
      <c r="N560" s="2" t="s">
        <v>78</v>
      </c>
      <c r="O560" s="2"/>
      <c r="P560" s="2"/>
      <c r="Q560" s="2"/>
      <c r="R560" s="2"/>
      <c r="S560" s="2"/>
      <c r="T560" s="2" t="s">
        <v>10501</v>
      </c>
      <c r="U560" s="2" t="s">
        <v>10502</v>
      </c>
      <c r="V560" s="2" t="s">
        <v>10503</v>
      </c>
      <c r="W560" s="2" t="s">
        <v>10504</v>
      </c>
      <c r="X560" s="2" t="s">
        <v>10505</v>
      </c>
      <c r="Y560" s="2" t="s">
        <v>10506</v>
      </c>
      <c r="Z560" s="2" t="s">
        <v>10507</v>
      </c>
      <c r="AA560" s="2" t="s">
        <v>10508</v>
      </c>
      <c r="AB560" s="2" t="s">
        <v>10509</v>
      </c>
      <c r="AC560" s="2"/>
      <c r="AD560" s="2"/>
      <c r="AE560" s="2" t="s">
        <v>10510</v>
      </c>
      <c r="AF560" s="2"/>
      <c r="AG560" s="2" t="n">
        <v>49</v>
      </c>
      <c r="AH560" s="2" t="n">
        <v>1</v>
      </c>
      <c r="AI560" s="2" t="n">
        <v>1</v>
      </c>
      <c r="AJ560" s="2" t="n">
        <v>1</v>
      </c>
      <c r="AK560" s="2" t="n">
        <v>1</v>
      </c>
      <c r="AL560" s="2" t="s">
        <v>10511</v>
      </c>
      <c r="AM560" s="2" t="s">
        <v>10512</v>
      </c>
      <c r="AN560" s="2" t="s">
        <v>10513</v>
      </c>
      <c r="AO560" s="2" t="s">
        <v>10514</v>
      </c>
      <c r="AP560" s="2"/>
      <c r="AQ560" s="2"/>
      <c r="AR560" s="2" t="s">
        <v>10515</v>
      </c>
      <c r="AS560" s="2" t="s">
        <v>10516</v>
      </c>
      <c r="AT560" s="2"/>
      <c r="AU560" s="2" t="n">
        <v>2024</v>
      </c>
      <c r="AV560" s="2" t="n">
        <v>10</v>
      </c>
      <c r="AW560" s="2"/>
      <c r="AX560" s="2"/>
      <c r="AY560" s="2"/>
      <c r="AZ560" s="2"/>
      <c r="BA560" s="2"/>
      <c r="BB560" s="2"/>
      <c r="BC560" s="2"/>
      <c r="BD560" s="2" t="s">
        <v>10517</v>
      </c>
      <c r="BE560" s="2" t="s">
        <v>10518</v>
      </c>
      <c r="BF560" s="2" t="str">
        <f aca="false">HYPERLINK("http://dx.doi.org/10.2196/49648","http://dx.doi.org/10.2196/49648")</f>
        <v>http://dx.doi.org/10.2196/49648</v>
      </c>
      <c r="BG560" s="2"/>
      <c r="BH560" s="2"/>
      <c r="BI560" s="2" t="n">
        <v>9</v>
      </c>
      <c r="BJ560" s="2" t="s">
        <v>1353</v>
      </c>
      <c r="BK560" s="2" t="s">
        <v>1086</v>
      </c>
      <c r="BL560" s="2" t="s">
        <v>1353</v>
      </c>
      <c r="BM560" s="2" t="s">
        <v>10519</v>
      </c>
      <c r="BN560" s="2" t="n">
        <v>39056286</v>
      </c>
      <c r="BO560" s="2" t="s">
        <v>103</v>
      </c>
      <c r="BP560" s="2"/>
      <c r="BQ560" s="2"/>
      <c r="BR560" s="2" t="s">
        <v>104</v>
      </c>
      <c r="BS560" s="2" t="s">
        <v>10520</v>
      </c>
      <c r="BT560" s="2" t="str">
        <f aca="false">HYPERLINK("https%3A%2F%2Fwww.webofscience.com%2Fwos%2Fwoscc%2Ffull-record%2FWOS:001308107100021","View Full Record in Web of Science")</f>
        <v>View Full Record in Web of Science</v>
      </c>
    </row>
    <row r="561" customFormat="false" ht="12.75" hidden="false" customHeight="false" outlineLevel="0" collapsed="false">
      <c r="A561" s="2" t="s">
        <v>72</v>
      </c>
      <c r="B561" s="2" t="s">
        <v>10521</v>
      </c>
      <c r="C561" s="2"/>
      <c r="D561" s="2"/>
      <c r="E561" s="2"/>
      <c r="F561" s="2" t="s">
        <v>10522</v>
      </c>
      <c r="G561" s="2"/>
      <c r="H561" s="2"/>
      <c r="I561" s="2" t="s">
        <v>10523</v>
      </c>
      <c r="J561" s="2" t="s">
        <v>742</v>
      </c>
      <c r="K561" s="2"/>
      <c r="L561" s="2"/>
      <c r="M561" s="2" t="s">
        <v>77</v>
      </c>
      <c r="N561" s="2" t="s">
        <v>78</v>
      </c>
      <c r="O561" s="2"/>
      <c r="P561" s="2"/>
      <c r="Q561" s="2"/>
      <c r="R561" s="2"/>
      <c r="S561" s="2"/>
      <c r="T561" s="2" t="s">
        <v>10524</v>
      </c>
      <c r="U561" s="2" t="s">
        <v>10525</v>
      </c>
      <c r="V561" s="2" t="s">
        <v>10526</v>
      </c>
      <c r="W561" s="2" t="s">
        <v>10527</v>
      </c>
      <c r="X561" s="2" t="s">
        <v>10528</v>
      </c>
      <c r="Y561" s="2" t="s">
        <v>10529</v>
      </c>
      <c r="Z561" s="2" t="s">
        <v>10530</v>
      </c>
      <c r="AA561" s="2" t="s">
        <v>10531</v>
      </c>
      <c r="AB561" s="2" t="s">
        <v>10532</v>
      </c>
      <c r="AC561" s="2" t="s">
        <v>10533</v>
      </c>
      <c r="AD561" s="2" t="s">
        <v>10534</v>
      </c>
      <c r="AE561" s="2" t="s">
        <v>10535</v>
      </c>
      <c r="AF561" s="2"/>
      <c r="AG561" s="2" t="n">
        <v>90</v>
      </c>
      <c r="AH561" s="2" t="n">
        <v>49</v>
      </c>
      <c r="AI561" s="2" t="n">
        <v>51</v>
      </c>
      <c r="AJ561" s="2" t="n">
        <v>0</v>
      </c>
      <c r="AK561" s="2" t="n">
        <v>11</v>
      </c>
      <c r="AL561" s="2" t="s">
        <v>755</v>
      </c>
      <c r="AM561" s="2" t="s">
        <v>273</v>
      </c>
      <c r="AN561" s="2" t="s">
        <v>756</v>
      </c>
      <c r="AO561" s="2" t="s">
        <v>757</v>
      </c>
      <c r="AP561" s="2" t="s">
        <v>758</v>
      </c>
      <c r="AQ561" s="2"/>
      <c r="AR561" s="2" t="s">
        <v>759</v>
      </c>
      <c r="AS561" s="2" t="s">
        <v>760</v>
      </c>
      <c r="AT561" s="2" t="s">
        <v>185</v>
      </c>
      <c r="AU561" s="2" t="n">
        <v>2020</v>
      </c>
      <c r="AV561" s="2" t="n">
        <v>94</v>
      </c>
      <c r="AW561" s="2" t="n">
        <v>16</v>
      </c>
      <c r="AX561" s="2"/>
      <c r="AY561" s="2"/>
      <c r="AZ561" s="2"/>
      <c r="BA561" s="2"/>
      <c r="BB561" s="2"/>
      <c r="BC561" s="2"/>
      <c r="BD561" s="2" t="s">
        <v>10536</v>
      </c>
      <c r="BE561" s="2" t="s">
        <v>10537</v>
      </c>
      <c r="BF561" s="2" t="str">
        <f aca="false">HYPERLINK("http://dx.doi.org/10.1128/JVI.00326-20","http://dx.doi.org/10.1128/JVI.00326-20")</f>
        <v>http://dx.doi.org/10.1128/JVI.00326-20</v>
      </c>
      <c r="BG561" s="2"/>
      <c r="BH561" s="2"/>
      <c r="BI561" s="2" t="n">
        <v>13</v>
      </c>
      <c r="BJ561" s="2" t="s">
        <v>163</v>
      </c>
      <c r="BK561" s="2" t="s">
        <v>100</v>
      </c>
      <c r="BL561" s="2" t="s">
        <v>163</v>
      </c>
      <c r="BM561" s="2" t="s">
        <v>10538</v>
      </c>
      <c r="BN561" s="2" t="n">
        <v>32461320</v>
      </c>
      <c r="BO561" s="2" t="s">
        <v>165</v>
      </c>
      <c r="BP561" s="2"/>
      <c r="BQ561" s="2"/>
      <c r="BR561" s="2" t="s">
        <v>104</v>
      </c>
      <c r="BS561" s="2" t="s">
        <v>10539</v>
      </c>
      <c r="BT561" s="2" t="str">
        <f aca="false">HYPERLINK("https%3A%2F%2Fwww.webofscience.com%2Fwos%2Fwoscc%2Ffull-record%2FWOS:000555110200001","View Full Record in Web of Science")</f>
        <v>View Full Record in Web of Science</v>
      </c>
    </row>
    <row r="562" customFormat="false" ht="12.75" hidden="false" customHeight="false" outlineLevel="0" collapsed="false">
      <c r="A562" s="2" t="s">
        <v>72</v>
      </c>
      <c r="B562" s="2" t="s">
        <v>10540</v>
      </c>
      <c r="C562" s="2"/>
      <c r="D562" s="2"/>
      <c r="E562" s="2"/>
      <c r="F562" s="2" t="s">
        <v>10541</v>
      </c>
      <c r="G562" s="2"/>
      <c r="H562" s="2"/>
      <c r="I562" s="2" t="s">
        <v>10542</v>
      </c>
      <c r="J562" s="2" t="s">
        <v>742</v>
      </c>
      <c r="K562" s="2"/>
      <c r="L562" s="2"/>
      <c r="M562" s="2" t="s">
        <v>77</v>
      </c>
      <c r="N562" s="2" t="s">
        <v>78</v>
      </c>
      <c r="O562" s="2"/>
      <c r="P562" s="2"/>
      <c r="Q562" s="2"/>
      <c r="R562" s="2"/>
      <c r="S562" s="2"/>
      <c r="T562" s="2" t="s">
        <v>10543</v>
      </c>
      <c r="U562" s="2" t="s">
        <v>10544</v>
      </c>
      <c r="V562" s="2" t="s">
        <v>10545</v>
      </c>
      <c r="W562" s="2" t="s">
        <v>10546</v>
      </c>
      <c r="X562" s="2" t="s">
        <v>10547</v>
      </c>
      <c r="Y562" s="2" t="s">
        <v>10548</v>
      </c>
      <c r="Z562" s="2" t="s">
        <v>10549</v>
      </c>
      <c r="AA562" s="2"/>
      <c r="AB562" s="2"/>
      <c r="AC562" s="2" t="s">
        <v>10550</v>
      </c>
      <c r="AD562" s="2" t="s">
        <v>10551</v>
      </c>
      <c r="AE562" s="2" t="s">
        <v>10552</v>
      </c>
      <c r="AF562" s="2"/>
      <c r="AG562" s="2" t="n">
        <v>46</v>
      </c>
      <c r="AH562" s="2" t="n">
        <v>14</v>
      </c>
      <c r="AI562" s="2" t="n">
        <v>19</v>
      </c>
      <c r="AJ562" s="2" t="n">
        <v>0</v>
      </c>
      <c r="AK562" s="2" t="n">
        <v>4</v>
      </c>
      <c r="AL562" s="2" t="s">
        <v>755</v>
      </c>
      <c r="AM562" s="2" t="s">
        <v>273</v>
      </c>
      <c r="AN562" s="2" t="s">
        <v>756</v>
      </c>
      <c r="AO562" s="2" t="s">
        <v>757</v>
      </c>
      <c r="AP562" s="2" t="s">
        <v>758</v>
      </c>
      <c r="AQ562" s="2"/>
      <c r="AR562" s="2" t="s">
        <v>759</v>
      </c>
      <c r="AS562" s="2" t="s">
        <v>760</v>
      </c>
      <c r="AT562" s="2" t="s">
        <v>336</v>
      </c>
      <c r="AU562" s="2" t="n">
        <v>2017</v>
      </c>
      <c r="AV562" s="2" t="n">
        <v>91</v>
      </c>
      <c r="AW562" s="2" t="n">
        <v>20</v>
      </c>
      <c r="AX562" s="2"/>
      <c r="AY562" s="2"/>
      <c r="AZ562" s="2"/>
      <c r="BA562" s="2"/>
      <c r="BB562" s="2"/>
      <c r="BC562" s="2"/>
      <c r="BD562" s="2" t="s">
        <v>10553</v>
      </c>
      <c r="BE562" s="2" t="s">
        <v>10554</v>
      </c>
      <c r="BF562" s="2" t="str">
        <f aca="false">HYPERLINK("http://dx.doi.org/10.1128/JVI.00579-17","http://dx.doi.org/10.1128/JVI.00579-17")</f>
        <v>http://dx.doi.org/10.1128/JVI.00579-17</v>
      </c>
      <c r="BG562" s="2"/>
      <c r="BH562" s="2"/>
      <c r="BI562" s="2" t="n">
        <v>15</v>
      </c>
      <c r="BJ562" s="2" t="s">
        <v>163</v>
      </c>
      <c r="BK562" s="2" t="s">
        <v>100</v>
      </c>
      <c r="BL562" s="2" t="s">
        <v>163</v>
      </c>
      <c r="BM562" s="2" t="s">
        <v>10555</v>
      </c>
      <c r="BN562" s="2" t="n">
        <v>28768858</v>
      </c>
      <c r="BO562" s="2" t="s">
        <v>1267</v>
      </c>
      <c r="BP562" s="2"/>
      <c r="BQ562" s="2"/>
      <c r="BR562" s="2" t="s">
        <v>104</v>
      </c>
      <c r="BS562" s="2" t="s">
        <v>10556</v>
      </c>
      <c r="BT562" s="2" t="str">
        <f aca="false">HYPERLINK("https%3A%2F%2Fwww.webofscience.com%2Fwos%2Fwoscc%2Ffull-record%2FWOS:000411845000005","View Full Record in Web of Science")</f>
        <v>View Full Record in Web of Science</v>
      </c>
    </row>
    <row r="563" customFormat="false" ht="12.75" hidden="false" customHeight="false" outlineLevel="0" collapsed="false">
      <c r="A563" s="2" t="s">
        <v>72</v>
      </c>
      <c r="B563" s="2" t="s">
        <v>10557</v>
      </c>
      <c r="C563" s="2"/>
      <c r="D563" s="2"/>
      <c r="E563" s="2"/>
      <c r="F563" s="2" t="s">
        <v>10558</v>
      </c>
      <c r="G563" s="2"/>
      <c r="H563" s="2"/>
      <c r="I563" s="2" t="s">
        <v>10559</v>
      </c>
      <c r="J563" s="2" t="s">
        <v>7060</v>
      </c>
      <c r="K563" s="2"/>
      <c r="L563" s="2"/>
      <c r="M563" s="2" t="s">
        <v>77</v>
      </c>
      <c r="N563" s="2" t="s">
        <v>78</v>
      </c>
      <c r="O563" s="2"/>
      <c r="P563" s="2"/>
      <c r="Q563" s="2"/>
      <c r="R563" s="2"/>
      <c r="S563" s="2"/>
      <c r="T563" s="2" t="s">
        <v>10560</v>
      </c>
      <c r="U563" s="2" t="s">
        <v>10561</v>
      </c>
      <c r="V563" s="2" t="s">
        <v>10562</v>
      </c>
      <c r="W563" s="2" t="s">
        <v>10563</v>
      </c>
      <c r="X563" s="2" t="s">
        <v>10564</v>
      </c>
      <c r="Y563" s="2" t="s">
        <v>10565</v>
      </c>
      <c r="Z563" s="2" t="s">
        <v>10566</v>
      </c>
      <c r="AA563" s="2" t="s">
        <v>10567</v>
      </c>
      <c r="AB563" s="2" t="s">
        <v>10568</v>
      </c>
      <c r="AC563" s="2"/>
      <c r="AD563" s="2"/>
      <c r="AE563" s="2"/>
      <c r="AF563" s="2"/>
      <c r="AG563" s="2" t="n">
        <v>57</v>
      </c>
      <c r="AH563" s="2" t="n">
        <v>114</v>
      </c>
      <c r="AI563" s="2" t="n">
        <v>132</v>
      </c>
      <c r="AJ563" s="2" t="n">
        <v>0</v>
      </c>
      <c r="AK563" s="2" t="n">
        <v>8</v>
      </c>
      <c r="AL563" s="2" t="s">
        <v>7073</v>
      </c>
      <c r="AM563" s="2" t="s">
        <v>7074</v>
      </c>
      <c r="AN563" s="2" t="s">
        <v>7075</v>
      </c>
      <c r="AO563" s="2" t="s">
        <v>7076</v>
      </c>
      <c r="AP563" s="2"/>
      <c r="AQ563" s="2"/>
      <c r="AR563" s="2" t="s">
        <v>7060</v>
      </c>
      <c r="AS563" s="2" t="s">
        <v>601</v>
      </c>
      <c r="AT563" s="2" t="s">
        <v>185</v>
      </c>
      <c r="AU563" s="2" t="n">
        <v>2008</v>
      </c>
      <c r="AV563" s="2" t="n">
        <v>122</v>
      </c>
      <c r="AW563" s="2" t="n">
        <v>2</v>
      </c>
      <c r="AX563" s="2"/>
      <c r="AY563" s="2"/>
      <c r="AZ563" s="2"/>
      <c r="BA563" s="2"/>
      <c r="BB563" s="2" t="n">
        <v>229</v>
      </c>
      <c r="BC563" s="2" t="n">
        <v>237</v>
      </c>
      <c r="BD563" s="2"/>
      <c r="BE563" s="2" t="s">
        <v>10569</v>
      </c>
      <c r="BF563" s="2" t="str">
        <f aca="false">HYPERLINK("http://dx.doi.org/10.1542/peds.2007-3192","http://dx.doi.org/10.1542/peds.2007-3192")</f>
        <v>http://dx.doi.org/10.1542/peds.2007-3192</v>
      </c>
      <c r="BG563" s="2"/>
      <c r="BH563" s="2"/>
      <c r="BI563" s="2" t="n">
        <v>9</v>
      </c>
      <c r="BJ563" s="2" t="s">
        <v>601</v>
      </c>
      <c r="BK563" s="2" t="s">
        <v>100</v>
      </c>
      <c r="BL563" s="2" t="s">
        <v>601</v>
      </c>
      <c r="BM563" s="2" t="s">
        <v>10570</v>
      </c>
      <c r="BN563" s="2" t="n">
        <v>18676537</v>
      </c>
      <c r="BO563" s="2"/>
      <c r="BP563" s="2"/>
      <c r="BQ563" s="2"/>
      <c r="BR563" s="2" t="s">
        <v>104</v>
      </c>
      <c r="BS563" s="2" t="s">
        <v>10571</v>
      </c>
      <c r="BT563" s="2" t="str">
        <f aca="false">HYPERLINK("https%3A%2F%2Fwww.webofscience.com%2Fwos%2Fwoscc%2Ffull-record%2FWOS:000258142500001","View Full Record in Web of Science")</f>
        <v>View Full Record in Web of Science</v>
      </c>
    </row>
    <row r="564" customFormat="false" ht="12.75" hidden="false" customHeight="false" outlineLevel="0" collapsed="false">
      <c r="A564" s="2" t="s">
        <v>72</v>
      </c>
      <c r="B564" s="2" t="s">
        <v>10572</v>
      </c>
      <c r="C564" s="2"/>
      <c r="D564" s="2"/>
      <c r="E564" s="2"/>
      <c r="F564" s="2" t="s">
        <v>10573</v>
      </c>
      <c r="G564" s="2"/>
      <c r="H564" s="2"/>
      <c r="I564" s="2" t="s">
        <v>10574</v>
      </c>
      <c r="J564" s="2" t="s">
        <v>9159</v>
      </c>
      <c r="K564" s="2"/>
      <c r="L564" s="2"/>
      <c r="M564" s="2" t="s">
        <v>77</v>
      </c>
      <c r="N564" s="2" t="s">
        <v>78</v>
      </c>
      <c r="O564" s="2"/>
      <c r="P564" s="2"/>
      <c r="Q564" s="2"/>
      <c r="R564" s="2"/>
      <c r="S564" s="2"/>
      <c r="T564" s="2" t="s">
        <v>10575</v>
      </c>
      <c r="U564" s="2"/>
      <c r="V564" s="2" t="s">
        <v>10576</v>
      </c>
      <c r="W564" s="2" t="s">
        <v>10577</v>
      </c>
      <c r="X564" s="2"/>
      <c r="Y564" s="2" t="s">
        <v>10578</v>
      </c>
      <c r="Z564" s="2" t="s">
        <v>10579</v>
      </c>
      <c r="AA564" s="2"/>
      <c r="AB564" s="2" t="s">
        <v>10580</v>
      </c>
      <c r="AC564" s="2"/>
      <c r="AD564" s="2"/>
      <c r="AE564" s="2"/>
      <c r="AF564" s="2"/>
      <c r="AG564" s="2" t="n">
        <v>11</v>
      </c>
      <c r="AH564" s="2" t="n">
        <v>2</v>
      </c>
      <c r="AI564" s="2" t="n">
        <v>2</v>
      </c>
      <c r="AJ564" s="2" t="n">
        <v>0</v>
      </c>
      <c r="AK564" s="2" t="n">
        <v>1</v>
      </c>
      <c r="AL564" s="2" t="s">
        <v>9169</v>
      </c>
      <c r="AM564" s="2" t="s">
        <v>9170</v>
      </c>
      <c r="AN564" s="2" t="s">
        <v>9171</v>
      </c>
      <c r="AO564" s="2" t="s">
        <v>9172</v>
      </c>
      <c r="AP564" s="2" t="s">
        <v>9173</v>
      </c>
      <c r="AQ564" s="2"/>
      <c r="AR564" s="2" t="s">
        <v>9174</v>
      </c>
      <c r="AS564" s="2" t="s">
        <v>9175</v>
      </c>
      <c r="AT564" s="2" t="s">
        <v>486</v>
      </c>
      <c r="AU564" s="2" t="n">
        <v>2022</v>
      </c>
      <c r="AV564" s="2" t="n">
        <v>26</v>
      </c>
      <c r="AW564" s="2" t="n">
        <v>6</v>
      </c>
      <c r="AX564" s="2"/>
      <c r="AY564" s="2"/>
      <c r="AZ564" s="2"/>
      <c r="BA564" s="2"/>
      <c r="BB564" s="2"/>
      <c r="BC564" s="2"/>
      <c r="BD564" s="2"/>
      <c r="BE564" s="2" t="s">
        <v>10581</v>
      </c>
      <c r="BF564" s="2" t="str">
        <f aca="false">HYPERLINK("http://dx.doi.org/10.5005/jp-journals-10071-24255","http://dx.doi.org/10.5005/jp-journals-10071-24255")</f>
        <v>http://dx.doi.org/10.5005/jp-journals-10071-24255</v>
      </c>
      <c r="BG564" s="2"/>
      <c r="BH564" s="2"/>
      <c r="BI564" s="2" t="n">
        <v>3</v>
      </c>
      <c r="BJ564" s="2" t="s">
        <v>473</v>
      </c>
      <c r="BK564" s="2" t="s">
        <v>339</v>
      </c>
      <c r="BL564" s="2" t="s">
        <v>364</v>
      </c>
      <c r="BM564" s="2" t="s">
        <v>10582</v>
      </c>
      <c r="BN564" s="2" t="n">
        <v>35836619</v>
      </c>
      <c r="BO564" s="2" t="s">
        <v>103</v>
      </c>
      <c r="BP564" s="2"/>
      <c r="BQ564" s="2"/>
      <c r="BR564" s="2" t="s">
        <v>104</v>
      </c>
      <c r="BS564" s="2" t="s">
        <v>10583</v>
      </c>
      <c r="BT564" s="2" t="str">
        <f aca="false">HYPERLINK("https%3A%2F%2Fwww.webofscience.com%2Fwos%2Fwoscc%2Ffull-record%2FWOS:000809731000024","View Full Record in Web of Science")</f>
        <v>View Full Record in Web of Science</v>
      </c>
    </row>
    <row r="565" customFormat="false" ht="12.75" hidden="false" customHeight="false" outlineLevel="0" collapsed="false">
      <c r="A565" s="2" t="s">
        <v>72</v>
      </c>
      <c r="B565" s="2" t="s">
        <v>10584</v>
      </c>
      <c r="C565" s="2"/>
      <c r="D565" s="2"/>
      <c r="E565" s="2"/>
      <c r="F565" s="2" t="s">
        <v>10585</v>
      </c>
      <c r="G565" s="2"/>
      <c r="H565" s="2"/>
      <c r="I565" s="2" t="s">
        <v>10586</v>
      </c>
      <c r="J565" s="2" t="s">
        <v>10587</v>
      </c>
      <c r="K565" s="2"/>
      <c r="L565" s="2"/>
      <c r="M565" s="2" t="s">
        <v>77</v>
      </c>
      <c r="N565" s="2" t="s">
        <v>78</v>
      </c>
      <c r="O565" s="2"/>
      <c r="P565" s="2"/>
      <c r="Q565" s="2"/>
      <c r="R565" s="2"/>
      <c r="S565" s="2"/>
      <c r="T565" s="2" t="s">
        <v>10588</v>
      </c>
      <c r="U565" s="2" t="s">
        <v>10589</v>
      </c>
      <c r="V565" s="2" t="s">
        <v>10590</v>
      </c>
      <c r="W565" s="2" t="s">
        <v>10591</v>
      </c>
      <c r="X565" s="2" t="s">
        <v>10592</v>
      </c>
      <c r="Y565" s="2" t="s">
        <v>10593</v>
      </c>
      <c r="Z565" s="2" t="s">
        <v>10594</v>
      </c>
      <c r="AA565" s="2"/>
      <c r="AB565" s="2"/>
      <c r="AC565" s="2"/>
      <c r="AD565" s="2"/>
      <c r="AE565" s="2"/>
      <c r="AF565" s="2"/>
      <c r="AG565" s="2" t="n">
        <v>16</v>
      </c>
      <c r="AH565" s="2" t="n">
        <v>0</v>
      </c>
      <c r="AI565" s="2" t="n">
        <v>0</v>
      </c>
      <c r="AJ565" s="2" t="n">
        <v>0</v>
      </c>
      <c r="AK565" s="2" t="n">
        <v>2</v>
      </c>
      <c r="AL565" s="2" t="s">
        <v>10595</v>
      </c>
      <c r="AM565" s="2" t="s">
        <v>10596</v>
      </c>
      <c r="AN565" s="2" t="s">
        <v>10597</v>
      </c>
      <c r="AO565" s="2" t="s">
        <v>10598</v>
      </c>
      <c r="AP565" s="2"/>
      <c r="AQ565" s="2"/>
      <c r="AR565" s="2" t="s">
        <v>10599</v>
      </c>
      <c r="AS565" s="2" t="s">
        <v>10600</v>
      </c>
      <c r="AT565" s="2" t="s">
        <v>10601</v>
      </c>
      <c r="AU565" s="2" t="n">
        <v>2018</v>
      </c>
      <c r="AV565" s="2" t="n">
        <v>19</v>
      </c>
      <c r="AW565" s="2"/>
      <c r="AX565" s="2"/>
      <c r="AY565" s="2"/>
      <c r="AZ565" s="2"/>
      <c r="BA565" s="2"/>
      <c r="BB565" s="2" t="n">
        <v>301</v>
      </c>
      <c r="BC565" s="2" t="n">
        <v>303</v>
      </c>
      <c r="BD565" s="2"/>
      <c r="BE565" s="2" t="s">
        <v>10602</v>
      </c>
      <c r="BF565" s="2" t="str">
        <f aca="false">HYPERLINK("http://dx.doi.org/10.12659/AJCR.907604","http://dx.doi.org/10.12659/AJCR.907604")</f>
        <v>http://dx.doi.org/10.12659/AJCR.907604</v>
      </c>
      <c r="BG565" s="2"/>
      <c r="BH565" s="2"/>
      <c r="BI565" s="2" t="n">
        <v>3</v>
      </c>
      <c r="BJ565" s="2" t="s">
        <v>363</v>
      </c>
      <c r="BK565" s="2" t="s">
        <v>339</v>
      </c>
      <c r="BL565" s="2" t="s">
        <v>364</v>
      </c>
      <c r="BM565" s="2" t="s">
        <v>10603</v>
      </c>
      <c r="BN565" s="2" t="n">
        <v>29545513</v>
      </c>
      <c r="BO565" s="2" t="s">
        <v>3775</v>
      </c>
      <c r="BP565" s="2"/>
      <c r="BQ565" s="2"/>
      <c r="BR565" s="2" t="s">
        <v>104</v>
      </c>
      <c r="BS565" s="2" t="s">
        <v>10604</v>
      </c>
      <c r="BT565" s="2" t="str">
        <f aca="false">HYPERLINK("https%3A%2F%2Fwww.webofscience.com%2Fwos%2Fwoscc%2Ffull-record%2FWOS:000427513900001","View Full Record in Web of Science")</f>
        <v>View Full Record in Web of Science</v>
      </c>
    </row>
    <row r="566" customFormat="false" ht="12.75" hidden="false" customHeight="false" outlineLevel="0" collapsed="false">
      <c r="A566" s="2" t="s">
        <v>72</v>
      </c>
      <c r="B566" s="2" t="s">
        <v>10605</v>
      </c>
      <c r="C566" s="2"/>
      <c r="D566" s="2"/>
      <c r="E566" s="2"/>
      <c r="F566" s="2" t="s">
        <v>10606</v>
      </c>
      <c r="G566" s="2"/>
      <c r="H566" s="2"/>
      <c r="I566" s="2" t="s">
        <v>10607</v>
      </c>
      <c r="J566" s="2" t="s">
        <v>3415</v>
      </c>
      <c r="K566" s="2"/>
      <c r="L566" s="2"/>
      <c r="M566" s="2" t="s">
        <v>77</v>
      </c>
      <c r="N566" s="2" t="s">
        <v>78</v>
      </c>
      <c r="O566" s="2"/>
      <c r="P566" s="2"/>
      <c r="Q566" s="2"/>
      <c r="R566" s="2"/>
      <c r="S566" s="2"/>
      <c r="T566" s="2" t="s">
        <v>10608</v>
      </c>
      <c r="U566" s="2" t="s">
        <v>10609</v>
      </c>
      <c r="V566" s="2" t="s">
        <v>10610</v>
      </c>
      <c r="W566" s="2" t="s">
        <v>10611</v>
      </c>
      <c r="X566" s="2" t="s">
        <v>10612</v>
      </c>
      <c r="Y566" s="2" t="s">
        <v>10613</v>
      </c>
      <c r="Z566" s="2" t="s">
        <v>10614</v>
      </c>
      <c r="AA566" s="2" t="s">
        <v>10615</v>
      </c>
      <c r="AB566" s="2" t="s">
        <v>10616</v>
      </c>
      <c r="AC566" s="2" t="s">
        <v>10617</v>
      </c>
      <c r="AD566" s="2" t="s">
        <v>10618</v>
      </c>
      <c r="AE566" s="2" t="s">
        <v>10619</v>
      </c>
      <c r="AF566" s="2"/>
      <c r="AG566" s="2" t="n">
        <v>31</v>
      </c>
      <c r="AH566" s="2" t="n">
        <v>3</v>
      </c>
      <c r="AI566" s="2" t="n">
        <v>3</v>
      </c>
      <c r="AJ566" s="2" t="n">
        <v>0</v>
      </c>
      <c r="AK566" s="2" t="n">
        <v>4</v>
      </c>
      <c r="AL566" s="2" t="s">
        <v>3426</v>
      </c>
      <c r="AM566" s="2" t="s">
        <v>303</v>
      </c>
      <c r="AN566" s="2" t="s">
        <v>10620</v>
      </c>
      <c r="AO566" s="2" t="s">
        <v>3428</v>
      </c>
      <c r="AP566" s="2" t="s">
        <v>3429</v>
      </c>
      <c r="AQ566" s="2"/>
      <c r="AR566" s="2" t="s">
        <v>3430</v>
      </c>
      <c r="AS566" s="2" t="s">
        <v>3431</v>
      </c>
      <c r="AT566" s="2"/>
      <c r="AU566" s="2" t="n">
        <v>2021</v>
      </c>
      <c r="AV566" s="2" t="n">
        <v>70</v>
      </c>
      <c r="AW566" s="2" t="n">
        <v>11</v>
      </c>
      <c r="AX566" s="2"/>
      <c r="AY566" s="2"/>
      <c r="AZ566" s="2"/>
      <c r="BA566" s="2"/>
      <c r="BB566" s="2"/>
      <c r="BC566" s="2"/>
      <c r="BD566" s="2" t="n">
        <v>1449</v>
      </c>
      <c r="BE566" s="2" t="s">
        <v>10621</v>
      </c>
      <c r="BF566" s="2" t="str">
        <f aca="false">HYPERLINK("http://dx.doi.org/10.1099/jmm.0.001449","http://dx.doi.org/10.1099/jmm.0.001449")</f>
        <v>http://dx.doi.org/10.1099/jmm.0.001449</v>
      </c>
      <c r="BG566" s="2"/>
      <c r="BH566" s="2"/>
      <c r="BI566" s="2" t="n">
        <v>14</v>
      </c>
      <c r="BJ566" s="2" t="s">
        <v>211</v>
      </c>
      <c r="BK566" s="2" t="s">
        <v>100</v>
      </c>
      <c r="BL566" s="2" t="s">
        <v>211</v>
      </c>
      <c r="BM566" s="2" t="s">
        <v>10622</v>
      </c>
      <c r="BN566" s="2" t="n">
        <v>34738890</v>
      </c>
      <c r="BO566" s="2" t="s">
        <v>165</v>
      </c>
      <c r="BP566" s="2"/>
      <c r="BQ566" s="2"/>
      <c r="BR566" s="2" t="s">
        <v>104</v>
      </c>
      <c r="BS566" s="2" t="s">
        <v>10623</v>
      </c>
      <c r="BT566" s="2" t="str">
        <f aca="false">HYPERLINK("https%3A%2F%2Fwww.webofscience.com%2Fwos%2Fwoscc%2Ffull-record%2FWOS:000718015700001","View Full Record in Web of Science")</f>
        <v>View Full Record in Web of Science</v>
      </c>
    </row>
    <row r="567" customFormat="false" ht="12.75" hidden="false" customHeight="false" outlineLevel="0" collapsed="false">
      <c r="A567" s="2" t="s">
        <v>72</v>
      </c>
      <c r="B567" s="2" t="s">
        <v>10624</v>
      </c>
      <c r="C567" s="2"/>
      <c r="D567" s="2"/>
      <c r="E567" s="2"/>
      <c r="F567" s="2" t="s">
        <v>10625</v>
      </c>
      <c r="G567" s="2"/>
      <c r="H567" s="2"/>
      <c r="I567" s="2" t="s">
        <v>10626</v>
      </c>
      <c r="J567" s="2" t="s">
        <v>607</v>
      </c>
      <c r="K567" s="2"/>
      <c r="L567" s="2"/>
      <c r="M567" s="2" t="s">
        <v>77</v>
      </c>
      <c r="N567" s="2" t="s">
        <v>78</v>
      </c>
      <c r="O567" s="2"/>
      <c r="P567" s="2"/>
      <c r="Q567" s="2"/>
      <c r="R567" s="2"/>
      <c r="S567" s="2"/>
      <c r="T567" s="2" t="s">
        <v>10627</v>
      </c>
      <c r="U567" s="2" t="s">
        <v>10628</v>
      </c>
      <c r="V567" s="2" t="s">
        <v>10629</v>
      </c>
      <c r="W567" s="2" t="s">
        <v>10630</v>
      </c>
      <c r="X567" s="2" t="s">
        <v>10631</v>
      </c>
      <c r="Y567" s="2" t="s">
        <v>10632</v>
      </c>
      <c r="Z567" s="2" t="s">
        <v>10633</v>
      </c>
      <c r="AA567" s="2" t="s">
        <v>10634</v>
      </c>
      <c r="AB567" s="2" t="s">
        <v>10635</v>
      </c>
      <c r="AC567" s="2" t="s">
        <v>10636</v>
      </c>
      <c r="AD567" s="2" t="s">
        <v>10637</v>
      </c>
      <c r="AE567" s="2" t="s">
        <v>10638</v>
      </c>
      <c r="AF567" s="2"/>
      <c r="AG567" s="2" t="n">
        <v>87</v>
      </c>
      <c r="AH567" s="2" t="n">
        <v>24</v>
      </c>
      <c r="AI567" s="2" t="n">
        <v>24</v>
      </c>
      <c r="AJ567" s="2" t="n">
        <v>0</v>
      </c>
      <c r="AK567" s="2" t="n">
        <v>3</v>
      </c>
      <c r="AL567" s="2" t="s">
        <v>620</v>
      </c>
      <c r="AM567" s="2" t="s">
        <v>621</v>
      </c>
      <c r="AN567" s="2" t="s">
        <v>10639</v>
      </c>
      <c r="AO567" s="2" t="s">
        <v>623</v>
      </c>
      <c r="AP567" s="2"/>
      <c r="AQ567" s="2"/>
      <c r="AR567" s="2" t="s">
        <v>624</v>
      </c>
      <c r="AS567" s="2" t="s">
        <v>625</v>
      </c>
      <c r="AT567" s="2" t="s">
        <v>6563</v>
      </c>
      <c r="AU567" s="2" t="n">
        <v>2018</v>
      </c>
      <c r="AV567" s="2" t="n">
        <v>9</v>
      </c>
      <c r="AW567" s="2"/>
      <c r="AX567" s="2"/>
      <c r="AY567" s="2"/>
      <c r="AZ567" s="2"/>
      <c r="BA567" s="2"/>
      <c r="BB567" s="2"/>
      <c r="BC567" s="2"/>
      <c r="BD567" s="2" t="n">
        <v>94</v>
      </c>
      <c r="BE567" s="2" t="s">
        <v>10640</v>
      </c>
      <c r="BF567" s="2" t="str">
        <f aca="false">HYPERLINK("http://dx.doi.org/10.3389/fimmu.2018.00094","http://dx.doi.org/10.3389/fimmu.2018.00094")</f>
        <v>http://dx.doi.org/10.3389/fimmu.2018.00094</v>
      </c>
      <c r="BG567" s="2"/>
      <c r="BH567" s="2"/>
      <c r="BI567" s="2" t="n">
        <v>17</v>
      </c>
      <c r="BJ567" s="2" t="s">
        <v>628</v>
      </c>
      <c r="BK567" s="2" t="s">
        <v>100</v>
      </c>
      <c r="BL567" s="2" t="s">
        <v>628</v>
      </c>
      <c r="BM567" s="2" t="s">
        <v>10641</v>
      </c>
      <c r="BN567" s="2" t="n">
        <v>29441069</v>
      </c>
      <c r="BO567" s="2" t="s">
        <v>103</v>
      </c>
      <c r="BP567" s="2"/>
      <c r="BQ567" s="2"/>
      <c r="BR567" s="2" t="s">
        <v>104</v>
      </c>
      <c r="BS567" s="2" t="s">
        <v>10642</v>
      </c>
      <c r="BT567" s="2" t="str">
        <f aca="false">HYPERLINK("https%3A%2F%2Fwww.webofscience.com%2Fwos%2Fwoscc%2Ffull-record%2FWOS:000423557500001","View Full Record in Web of Science")</f>
        <v>View Full Record in Web of Science</v>
      </c>
    </row>
    <row r="568" customFormat="false" ht="12.75" hidden="false" customHeight="false" outlineLevel="0" collapsed="false">
      <c r="A568" s="2" t="s">
        <v>72</v>
      </c>
      <c r="B568" s="2" t="s">
        <v>10643</v>
      </c>
      <c r="C568" s="2"/>
      <c r="D568" s="2"/>
      <c r="E568" s="2"/>
      <c r="F568" s="2" t="s">
        <v>10644</v>
      </c>
      <c r="G568" s="2"/>
      <c r="H568" s="2"/>
      <c r="I568" s="2" t="s">
        <v>10645</v>
      </c>
      <c r="J568" s="2" t="s">
        <v>7102</v>
      </c>
      <c r="K568" s="2"/>
      <c r="L568" s="2"/>
      <c r="M568" s="2" t="s">
        <v>77</v>
      </c>
      <c r="N568" s="2" t="s">
        <v>78</v>
      </c>
      <c r="O568" s="2"/>
      <c r="P568" s="2"/>
      <c r="Q568" s="2"/>
      <c r="R568" s="2"/>
      <c r="S568" s="2"/>
      <c r="T568" s="2" t="s">
        <v>10646</v>
      </c>
      <c r="U568" s="2" t="s">
        <v>10647</v>
      </c>
      <c r="V568" s="2" t="s">
        <v>10648</v>
      </c>
      <c r="W568" s="2" t="s">
        <v>10649</v>
      </c>
      <c r="X568" s="2" t="s">
        <v>10650</v>
      </c>
      <c r="Y568" s="2" t="s">
        <v>10651</v>
      </c>
      <c r="Z568" s="2" t="s">
        <v>6556</v>
      </c>
      <c r="AA568" s="2" t="s">
        <v>4709</v>
      </c>
      <c r="AB568" s="2" t="s">
        <v>10652</v>
      </c>
      <c r="AC568" s="2" t="s">
        <v>10653</v>
      </c>
      <c r="AD568" s="2" t="s">
        <v>10654</v>
      </c>
      <c r="AE568" s="2" t="s">
        <v>10655</v>
      </c>
      <c r="AF568" s="2"/>
      <c r="AG568" s="2" t="n">
        <v>66</v>
      </c>
      <c r="AH568" s="2" t="n">
        <v>1</v>
      </c>
      <c r="AI568" s="2" t="n">
        <v>1</v>
      </c>
      <c r="AJ568" s="2" t="n">
        <v>0</v>
      </c>
      <c r="AK568" s="2" t="n">
        <v>0</v>
      </c>
      <c r="AL568" s="2" t="s">
        <v>755</v>
      </c>
      <c r="AM568" s="2" t="s">
        <v>273</v>
      </c>
      <c r="AN568" s="2" t="s">
        <v>756</v>
      </c>
      <c r="AO568" s="2" t="s">
        <v>7114</v>
      </c>
      <c r="AP568" s="2"/>
      <c r="AQ568" s="2"/>
      <c r="AR568" s="2" t="s">
        <v>7102</v>
      </c>
      <c r="AS568" s="2" t="s">
        <v>7115</v>
      </c>
      <c r="AT568" s="2" t="s">
        <v>10656</v>
      </c>
      <c r="AU568" s="2" t="n">
        <v>2024</v>
      </c>
      <c r="AV568" s="2" t="n">
        <v>15</v>
      </c>
      <c r="AW568" s="2" t="n">
        <v>5</v>
      </c>
      <c r="AX568" s="2"/>
      <c r="AY568" s="2"/>
      <c r="AZ568" s="2"/>
      <c r="BA568" s="2"/>
      <c r="BB568" s="2"/>
      <c r="BC568" s="2"/>
      <c r="BD568" s="2"/>
      <c r="BE568" s="2" t="s">
        <v>10657</v>
      </c>
      <c r="BF568" s="2" t="str">
        <f aca="false">HYPERLINK("http://dx.doi.org/10.1128/mbio.00550-24","http://dx.doi.org/10.1128/mbio.00550-24")</f>
        <v>http://dx.doi.org/10.1128/mbio.00550-24</v>
      </c>
      <c r="BG568" s="2"/>
      <c r="BH568" s="2" t="s">
        <v>10203</v>
      </c>
      <c r="BI568" s="2" t="n">
        <v>19</v>
      </c>
      <c r="BJ568" s="2" t="s">
        <v>211</v>
      </c>
      <c r="BK568" s="2" t="s">
        <v>100</v>
      </c>
      <c r="BL568" s="2" t="s">
        <v>211</v>
      </c>
      <c r="BM568" s="2" t="s">
        <v>10658</v>
      </c>
      <c r="BN568" s="2" t="n">
        <v>38530032</v>
      </c>
      <c r="BO568" s="2" t="s">
        <v>1355</v>
      </c>
      <c r="BP568" s="2"/>
      <c r="BQ568" s="2"/>
      <c r="BR568" s="2" t="s">
        <v>104</v>
      </c>
      <c r="BS568" s="2" t="s">
        <v>10659</v>
      </c>
      <c r="BT568" s="2" t="str">
        <f aca="false">HYPERLINK("https%3A%2F%2Fwww.webofscience.com%2Fwos%2Fwoscc%2Ffull-record%2FWOS:001192150000004","View Full Record in Web of Science")</f>
        <v>View Full Record in Web of Science</v>
      </c>
    </row>
    <row r="569" customFormat="false" ht="12.75" hidden="false" customHeight="false" outlineLevel="0" collapsed="false">
      <c r="A569" s="2" t="s">
        <v>72</v>
      </c>
      <c r="B569" s="2" t="s">
        <v>10660</v>
      </c>
      <c r="C569" s="2"/>
      <c r="D569" s="2"/>
      <c r="E569" s="2"/>
      <c r="F569" s="2" t="s">
        <v>10661</v>
      </c>
      <c r="G569" s="2"/>
      <c r="H569" s="2"/>
      <c r="I569" s="2" t="s">
        <v>10662</v>
      </c>
      <c r="J569" s="2" t="s">
        <v>170</v>
      </c>
      <c r="K569" s="2"/>
      <c r="L569" s="2"/>
      <c r="M569" s="2" t="s">
        <v>77</v>
      </c>
      <c r="N569" s="2" t="s">
        <v>78</v>
      </c>
      <c r="O569" s="2"/>
      <c r="P569" s="2"/>
      <c r="Q569" s="2"/>
      <c r="R569" s="2"/>
      <c r="S569" s="2"/>
      <c r="T569" s="2" t="s">
        <v>10663</v>
      </c>
      <c r="U569" s="2" t="s">
        <v>10664</v>
      </c>
      <c r="V569" s="2" t="s">
        <v>10665</v>
      </c>
      <c r="W569" s="2" t="s">
        <v>10666</v>
      </c>
      <c r="X569" s="2" t="s">
        <v>10667</v>
      </c>
      <c r="Y569" s="2" t="s">
        <v>9288</v>
      </c>
      <c r="Z569" s="2" t="s">
        <v>10668</v>
      </c>
      <c r="AA569" s="2"/>
      <c r="AB569" s="2" t="s">
        <v>10669</v>
      </c>
      <c r="AC569" s="2" t="s">
        <v>10670</v>
      </c>
      <c r="AD569" s="2" t="s">
        <v>10671</v>
      </c>
      <c r="AE569" s="2" t="s">
        <v>10672</v>
      </c>
      <c r="AF569" s="2"/>
      <c r="AG569" s="2" t="n">
        <v>90</v>
      </c>
      <c r="AH569" s="2" t="n">
        <v>0</v>
      </c>
      <c r="AI569" s="2" t="n">
        <v>0</v>
      </c>
      <c r="AJ569" s="2" t="n">
        <v>0</v>
      </c>
      <c r="AK569" s="2" t="n">
        <v>0</v>
      </c>
      <c r="AL569" s="2" t="s">
        <v>91</v>
      </c>
      <c r="AM569" s="2" t="s">
        <v>92</v>
      </c>
      <c r="AN569" s="2" t="s">
        <v>93</v>
      </c>
      <c r="AO569" s="2"/>
      <c r="AP569" s="2" t="s">
        <v>182</v>
      </c>
      <c r="AQ569" s="2"/>
      <c r="AR569" s="2" t="s">
        <v>183</v>
      </c>
      <c r="AS569" s="2" t="s">
        <v>184</v>
      </c>
      <c r="AT569" s="2" t="s">
        <v>336</v>
      </c>
      <c r="AU569" s="2" t="n">
        <v>2024</v>
      </c>
      <c r="AV569" s="2" t="n">
        <v>12</v>
      </c>
      <c r="AW569" s="2" t="n">
        <v>10</v>
      </c>
      <c r="AX569" s="2"/>
      <c r="AY569" s="2"/>
      <c r="AZ569" s="2"/>
      <c r="BA569" s="2"/>
      <c r="BB569" s="2"/>
      <c r="BC569" s="2"/>
      <c r="BD569" s="2" t="n">
        <v>1198</v>
      </c>
      <c r="BE569" s="2" t="s">
        <v>10673</v>
      </c>
      <c r="BF569" s="2" t="str">
        <f aca="false">HYPERLINK("http://dx.doi.org/10.3390/vaccines12101198","http://dx.doi.org/10.3390/vaccines12101198")</f>
        <v>http://dx.doi.org/10.3390/vaccines12101198</v>
      </c>
      <c r="BG569" s="2"/>
      <c r="BH569" s="2"/>
      <c r="BI569" s="2" t="n">
        <v>18</v>
      </c>
      <c r="BJ569" s="2" t="s">
        <v>187</v>
      </c>
      <c r="BK569" s="2" t="s">
        <v>100</v>
      </c>
      <c r="BL569" s="2" t="s">
        <v>188</v>
      </c>
      <c r="BM569" s="2" t="s">
        <v>10674</v>
      </c>
      <c r="BN569" s="2" t="n">
        <v>39460364</v>
      </c>
      <c r="BO569" s="2" t="s">
        <v>1355</v>
      </c>
      <c r="BP569" s="2"/>
      <c r="BQ569" s="2"/>
      <c r="BR569" s="2" t="s">
        <v>104</v>
      </c>
      <c r="BS569" s="2" t="s">
        <v>10675</v>
      </c>
      <c r="BT569" s="2" t="str">
        <f aca="false">HYPERLINK("https%3A%2F%2Fwww.webofscience.com%2Fwos%2Fwoscc%2Ffull-record%2FWOS:001342902600001","View Full Record in Web of Science")</f>
        <v>View Full Record in Web of Science</v>
      </c>
    </row>
    <row r="570" customFormat="false" ht="12.75" hidden="false" customHeight="false" outlineLevel="0" collapsed="false">
      <c r="A570" s="2" t="s">
        <v>72</v>
      </c>
      <c r="B570" s="2" t="s">
        <v>10676</v>
      </c>
      <c r="C570" s="2"/>
      <c r="D570" s="2"/>
      <c r="E570" s="2"/>
      <c r="F570" s="2" t="s">
        <v>10677</v>
      </c>
      <c r="G570" s="2"/>
      <c r="H570" s="2"/>
      <c r="I570" s="2" t="s">
        <v>10678</v>
      </c>
      <c r="J570" s="2" t="s">
        <v>10679</v>
      </c>
      <c r="K570" s="2"/>
      <c r="L570" s="2"/>
      <c r="M570" s="2" t="s">
        <v>77</v>
      </c>
      <c r="N570" s="2" t="s">
        <v>78</v>
      </c>
      <c r="O570" s="2"/>
      <c r="P570" s="2"/>
      <c r="Q570" s="2"/>
      <c r="R570" s="2"/>
      <c r="S570" s="2"/>
      <c r="T570" s="2" t="s">
        <v>10680</v>
      </c>
      <c r="U570" s="2" t="s">
        <v>10681</v>
      </c>
      <c r="V570" s="2" t="s">
        <v>10682</v>
      </c>
      <c r="W570" s="2" t="s">
        <v>10683</v>
      </c>
      <c r="X570" s="2" t="s">
        <v>10684</v>
      </c>
      <c r="Y570" s="2" t="s">
        <v>10685</v>
      </c>
      <c r="Z570" s="2" t="s">
        <v>10686</v>
      </c>
      <c r="AA570" s="2" t="s">
        <v>10687</v>
      </c>
      <c r="AB570" s="2" t="s">
        <v>10688</v>
      </c>
      <c r="AC570" s="2" t="s">
        <v>10689</v>
      </c>
      <c r="AD570" s="2" t="s">
        <v>10690</v>
      </c>
      <c r="AE570" s="2" t="s">
        <v>10691</v>
      </c>
      <c r="AF570" s="2"/>
      <c r="AG570" s="2" t="n">
        <v>31</v>
      </c>
      <c r="AH570" s="2" t="n">
        <v>37</v>
      </c>
      <c r="AI570" s="2" t="n">
        <v>38</v>
      </c>
      <c r="AJ570" s="2" t="n">
        <v>0</v>
      </c>
      <c r="AK570" s="2" t="n">
        <v>3</v>
      </c>
      <c r="AL570" s="2" t="s">
        <v>122</v>
      </c>
      <c r="AM570" s="2" t="s">
        <v>123</v>
      </c>
      <c r="AN570" s="2" t="s">
        <v>839</v>
      </c>
      <c r="AO570" s="2" t="s">
        <v>10692</v>
      </c>
      <c r="AP570" s="2"/>
      <c r="AQ570" s="2"/>
      <c r="AR570" s="2" t="s">
        <v>10693</v>
      </c>
      <c r="AS570" s="2" t="s">
        <v>10694</v>
      </c>
      <c r="AT570" s="2" t="s">
        <v>129</v>
      </c>
      <c r="AU570" s="2" t="n">
        <v>2012</v>
      </c>
      <c r="AV570" s="2" t="n">
        <v>13</v>
      </c>
      <c r="AW570" s="2" t="n">
        <v>5</v>
      </c>
      <c r="AX570" s="2"/>
      <c r="AY570" s="2"/>
      <c r="AZ570" s="2"/>
      <c r="BA570" s="2"/>
      <c r="BB570" s="2" t="s">
        <v>10695</v>
      </c>
      <c r="BC570" s="2" t="s">
        <v>10696</v>
      </c>
      <c r="BD570" s="2"/>
      <c r="BE570" s="2" t="s">
        <v>10697</v>
      </c>
      <c r="BF570" s="2" t="str">
        <f aca="false">HYPERLINK("http://dx.doi.org/10.1097/PCC.0b013e3182417848","http://dx.doi.org/10.1097/PCC.0b013e3182417848")</f>
        <v>http://dx.doi.org/10.1097/PCC.0b013e3182417848</v>
      </c>
      <c r="BG570" s="2"/>
      <c r="BH570" s="2"/>
      <c r="BI570" s="2" t="n">
        <v>7</v>
      </c>
      <c r="BJ570" s="2" t="s">
        <v>10698</v>
      </c>
      <c r="BK570" s="2" t="s">
        <v>100</v>
      </c>
      <c r="BL570" s="2" t="s">
        <v>10699</v>
      </c>
      <c r="BM570" s="2" t="s">
        <v>10700</v>
      </c>
      <c r="BN570" s="2" t="n">
        <v>22596071</v>
      </c>
      <c r="BO570" s="2"/>
      <c r="BP570" s="2"/>
      <c r="BQ570" s="2"/>
      <c r="BR570" s="2" t="s">
        <v>104</v>
      </c>
      <c r="BS570" s="2" t="s">
        <v>10701</v>
      </c>
      <c r="BT570" s="2" t="str">
        <f aca="false">HYPERLINK("https%3A%2F%2Fwww.webofscience.com%2Fwos%2Fwoscc%2Ffull-record%2FWOS:000308537800001","View Full Record in Web of Science")</f>
        <v>View Full Record in Web of Science</v>
      </c>
    </row>
    <row r="571" customFormat="false" ht="12.75" hidden="false" customHeight="false" outlineLevel="0" collapsed="false">
      <c r="A571" s="2" t="s">
        <v>72</v>
      </c>
      <c r="B571" s="2" t="s">
        <v>10702</v>
      </c>
      <c r="C571" s="2"/>
      <c r="D571" s="2"/>
      <c r="E571" s="2"/>
      <c r="F571" s="2" t="s">
        <v>10703</v>
      </c>
      <c r="G571" s="2"/>
      <c r="H571" s="2"/>
      <c r="I571" s="2" t="s">
        <v>10704</v>
      </c>
      <c r="J571" s="2" t="s">
        <v>6785</v>
      </c>
      <c r="K571" s="2"/>
      <c r="L571" s="2"/>
      <c r="M571" s="2" t="s">
        <v>77</v>
      </c>
      <c r="N571" s="2" t="s">
        <v>78</v>
      </c>
      <c r="O571" s="2"/>
      <c r="P571" s="2"/>
      <c r="Q571" s="2"/>
      <c r="R571" s="2"/>
      <c r="S571" s="2"/>
      <c r="T571" s="2" t="s">
        <v>10705</v>
      </c>
      <c r="U571" s="2" t="s">
        <v>10706</v>
      </c>
      <c r="V571" s="2" t="s">
        <v>10707</v>
      </c>
      <c r="W571" s="2" t="s">
        <v>10708</v>
      </c>
      <c r="X571" s="2" t="s">
        <v>10709</v>
      </c>
      <c r="Y571" s="2" t="s">
        <v>10710</v>
      </c>
      <c r="Z571" s="2" t="s">
        <v>10711</v>
      </c>
      <c r="AA571" s="2"/>
      <c r="AB571" s="2"/>
      <c r="AC571" s="2"/>
      <c r="AD571" s="2"/>
      <c r="AE571" s="2"/>
      <c r="AF571" s="2"/>
      <c r="AG571" s="2" t="n">
        <v>79</v>
      </c>
      <c r="AH571" s="2" t="n">
        <v>16</v>
      </c>
      <c r="AI571" s="2" t="n">
        <v>20</v>
      </c>
      <c r="AJ571" s="2" t="n">
        <v>0</v>
      </c>
      <c r="AK571" s="2" t="n">
        <v>4</v>
      </c>
      <c r="AL571" s="2" t="s">
        <v>782</v>
      </c>
      <c r="AM571" s="2" t="s">
        <v>783</v>
      </c>
      <c r="AN571" s="2" t="s">
        <v>784</v>
      </c>
      <c r="AO571" s="2" t="s">
        <v>6794</v>
      </c>
      <c r="AP571" s="2" t="s">
        <v>6795</v>
      </c>
      <c r="AQ571" s="2"/>
      <c r="AR571" s="2" t="s">
        <v>6796</v>
      </c>
      <c r="AS571" s="2" t="s">
        <v>6797</v>
      </c>
      <c r="AT571" s="2" t="s">
        <v>446</v>
      </c>
      <c r="AU571" s="2" t="n">
        <v>2008</v>
      </c>
      <c r="AV571" s="2" t="n">
        <v>9</v>
      </c>
      <c r="AW571" s="2" t="n">
        <v>4</v>
      </c>
      <c r="AX571" s="2"/>
      <c r="AY571" s="2"/>
      <c r="AZ571" s="2"/>
      <c r="BA571" s="2"/>
      <c r="BB571" s="2" t="n">
        <v>251</v>
      </c>
      <c r="BC571" s="2" t="n">
        <v>262</v>
      </c>
      <c r="BD571" s="2"/>
      <c r="BE571" s="2" t="s">
        <v>10712</v>
      </c>
      <c r="BF571" s="2" t="str">
        <f aca="false">HYPERLINK("http://dx.doi.org/10.1016/j.prrv.2008.05.005","http://dx.doi.org/10.1016/j.prrv.2008.05.005")</f>
        <v>http://dx.doi.org/10.1016/j.prrv.2008.05.005</v>
      </c>
      <c r="BG571" s="2"/>
      <c r="BH571" s="2"/>
      <c r="BI571" s="2" t="n">
        <v>12</v>
      </c>
      <c r="BJ571" s="2" t="s">
        <v>1307</v>
      </c>
      <c r="BK571" s="2" t="s">
        <v>100</v>
      </c>
      <c r="BL571" s="2" t="s">
        <v>1307</v>
      </c>
      <c r="BM571" s="2" t="s">
        <v>10713</v>
      </c>
      <c r="BN571" s="2" t="n">
        <v>19026366</v>
      </c>
      <c r="BO571" s="2" t="s">
        <v>165</v>
      </c>
      <c r="BP571" s="2"/>
      <c r="BQ571" s="2"/>
      <c r="BR571" s="2" t="s">
        <v>104</v>
      </c>
      <c r="BS571" s="2" t="s">
        <v>10714</v>
      </c>
      <c r="BT571" s="2" t="str">
        <f aca="false">HYPERLINK("https%3A%2F%2Fwww.webofscience.com%2Fwos%2Fwoscc%2Ffull-record%2FWOS:000261853600004","View Full Record in Web of Science")</f>
        <v>View Full Record in Web of Science</v>
      </c>
    </row>
    <row r="572" customFormat="false" ht="12.75" hidden="false" customHeight="false" outlineLevel="0" collapsed="false">
      <c r="A572" s="2" t="s">
        <v>72</v>
      </c>
      <c r="B572" s="2" t="s">
        <v>10715</v>
      </c>
      <c r="C572" s="2"/>
      <c r="D572" s="2"/>
      <c r="E572" s="2"/>
      <c r="F572" s="2" t="s">
        <v>10716</v>
      </c>
      <c r="G572" s="2"/>
      <c r="H572" s="2"/>
      <c r="I572" s="2" t="s">
        <v>10717</v>
      </c>
      <c r="J572" s="2" t="s">
        <v>493</v>
      </c>
      <c r="K572" s="2"/>
      <c r="L572" s="2"/>
      <c r="M572" s="2" t="s">
        <v>77</v>
      </c>
      <c r="N572" s="2" t="s">
        <v>78</v>
      </c>
      <c r="O572" s="2"/>
      <c r="P572" s="2"/>
      <c r="Q572" s="2"/>
      <c r="R572" s="2"/>
      <c r="S572" s="2"/>
      <c r="T572" s="2" t="s">
        <v>10718</v>
      </c>
      <c r="U572" s="2" t="s">
        <v>10719</v>
      </c>
      <c r="V572" s="2" t="s">
        <v>10720</v>
      </c>
      <c r="W572" s="2" t="s">
        <v>10721</v>
      </c>
      <c r="X572" s="2" t="s">
        <v>10722</v>
      </c>
      <c r="Y572" s="2" t="s">
        <v>10723</v>
      </c>
      <c r="Z572" s="2" t="s">
        <v>10724</v>
      </c>
      <c r="AA572" s="2" t="s">
        <v>10725</v>
      </c>
      <c r="AB572" s="2" t="s">
        <v>10726</v>
      </c>
      <c r="AC572" s="2" t="s">
        <v>10727</v>
      </c>
      <c r="AD572" s="2" t="s">
        <v>10727</v>
      </c>
      <c r="AE572" s="2" t="s">
        <v>10728</v>
      </c>
      <c r="AF572" s="2"/>
      <c r="AG572" s="2" t="n">
        <v>28</v>
      </c>
      <c r="AH572" s="2" t="n">
        <v>5</v>
      </c>
      <c r="AI572" s="2" t="n">
        <v>5</v>
      </c>
      <c r="AJ572" s="2" t="n">
        <v>1</v>
      </c>
      <c r="AK572" s="2" t="n">
        <v>4</v>
      </c>
      <c r="AL572" s="2" t="s">
        <v>91</v>
      </c>
      <c r="AM572" s="2" t="s">
        <v>92</v>
      </c>
      <c r="AN572" s="2" t="s">
        <v>93</v>
      </c>
      <c r="AO572" s="2"/>
      <c r="AP572" s="2" t="s">
        <v>506</v>
      </c>
      <c r="AQ572" s="2"/>
      <c r="AR572" s="2" t="s">
        <v>493</v>
      </c>
      <c r="AS572" s="2" t="s">
        <v>507</v>
      </c>
      <c r="AT572" s="2" t="s">
        <v>97</v>
      </c>
      <c r="AU572" s="2" t="n">
        <v>2020</v>
      </c>
      <c r="AV572" s="2" t="n">
        <v>12</v>
      </c>
      <c r="AW572" s="2" t="n">
        <v>3</v>
      </c>
      <c r="AX572" s="2"/>
      <c r="AY572" s="2"/>
      <c r="AZ572" s="2"/>
      <c r="BA572" s="2"/>
      <c r="BB572" s="2"/>
      <c r="BC572" s="2"/>
      <c r="BD572" s="2" t="n">
        <v>275</v>
      </c>
      <c r="BE572" s="2" t="s">
        <v>10729</v>
      </c>
      <c r="BF572" s="2" t="str">
        <f aca="false">HYPERLINK("http://dx.doi.org/10.3390/v12030275","http://dx.doi.org/10.3390/v12030275")</f>
        <v>http://dx.doi.org/10.3390/v12030275</v>
      </c>
      <c r="BG572" s="2"/>
      <c r="BH572" s="2"/>
      <c r="BI572" s="2" t="n">
        <v>18</v>
      </c>
      <c r="BJ572" s="2" t="s">
        <v>163</v>
      </c>
      <c r="BK572" s="2" t="s">
        <v>100</v>
      </c>
      <c r="BL572" s="2" t="s">
        <v>163</v>
      </c>
      <c r="BM572" s="2" t="s">
        <v>10730</v>
      </c>
      <c r="BN572" s="2" t="n">
        <v>32121465</v>
      </c>
      <c r="BO572" s="2" t="s">
        <v>103</v>
      </c>
      <c r="BP572" s="2"/>
      <c r="BQ572" s="2"/>
      <c r="BR572" s="2" t="s">
        <v>104</v>
      </c>
      <c r="BS572" s="2" t="s">
        <v>10731</v>
      </c>
      <c r="BT572" s="2" t="str">
        <f aca="false">HYPERLINK("https%3A%2F%2Fwww.webofscience.com%2Fwos%2Fwoscc%2Ffull-record%2FWOS:000525486800054","View Full Record in Web of Science")</f>
        <v>View Full Record in Web of Science</v>
      </c>
    </row>
    <row r="573" customFormat="false" ht="12.75" hidden="false" customHeight="false" outlineLevel="0" collapsed="false">
      <c r="A573" s="2" t="s">
        <v>72</v>
      </c>
      <c r="B573" s="2" t="s">
        <v>10732</v>
      </c>
      <c r="C573" s="2"/>
      <c r="D573" s="2"/>
      <c r="E573" s="2"/>
      <c r="F573" s="2" t="s">
        <v>10733</v>
      </c>
      <c r="G573" s="2"/>
      <c r="H573" s="2"/>
      <c r="I573" s="2" t="s">
        <v>10734</v>
      </c>
      <c r="J573" s="2" t="s">
        <v>4309</v>
      </c>
      <c r="K573" s="2"/>
      <c r="L573" s="2"/>
      <c r="M573" s="2" t="s">
        <v>77</v>
      </c>
      <c r="N573" s="2" t="s">
        <v>78</v>
      </c>
      <c r="O573" s="2"/>
      <c r="P573" s="2"/>
      <c r="Q573" s="2"/>
      <c r="R573" s="2"/>
      <c r="S573" s="2"/>
      <c r="T573" s="2" t="s">
        <v>10735</v>
      </c>
      <c r="U573" s="2" t="s">
        <v>10736</v>
      </c>
      <c r="V573" s="2" t="s">
        <v>10737</v>
      </c>
      <c r="W573" s="2" t="s">
        <v>10738</v>
      </c>
      <c r="X573" s="2" t="s">
        <v>10739</v>
      </c>
      <c r="Y573" s="2" t="s">
        <v>10740</v>
      </c>
      <c r="Z573" s="2" t="s">
        <v>10741</v>
      </c>
      <c r="AA573" s="2"/>
      <c r="AB573" s="2" t="s">
        <v>10742</v>
      </c>
      <c r="AC573" s="2"/>
      <c r="AD573" s="2"/>
      <c r="AE573" s="2"/>
      <c r="AF573" s="2"/>
      <c r="AG573" s="2" t="n">
        <v>26</v>
      </c>
      <c r="AH573" s="2" t="n">
        <v>20</v>
      </c>
      <c r="AI573" s="2" t="n">
        <v>24</v>
      </c>
      <c r="AJ573" s="2" t="n">
        <v>0</v>
      </c>
      <c r="AK573" s="2" t="n">
        <v>2</v>
      </c>
      <c r="AL573" s="2" t="s">
        <v>2788</v>
      </c>
      <c r="AM573" s="2" t="s">
        <v>2789</v>
      </c>
      <c r="AN573" s="2" t="s">
        <v>2790</v>
      </c>
      <c r="AO573" s="2" t="s">
        <v>4319</v>
      </c>
      <c r="AP573" s="2" t="s">
        <v>4320</v>
      </c>
      <c r="AQ573" s="2"/>
      <c r="AR573" s="2" t="s">
        <v>4321</v>
      </c>
      <c r="AS573" s="2" t="s">
        <v>4322</v>
      </c>
      <c r="AT573" s="2" t="s">
        <v>9432</v>
      </c>
      <c r="AU573" s="2" t="n">
        <v>2019</v>
      </c>
      <c r="AV573" s="2" t="n">
        <v>51</v>
      </c>
      <c r="AW573" s="2" t="n">
        <v>4</v>
      </c>
      <c r="AX573" s="2"/>
      <c r="AY573" s="2"/>
      <c r="AZ573" s="2"/>
      <c r="BA573" s="2"/>
      <c r="BB573" s="2" t="n">
        <v>241</v>
      </c>
      <c r="BC573" s="2" t="n">
        <v>248</v>
      </c>
      <c r="BD573" s="2"/>
      <c r="BE573" s="2" t="s">
        <v>10743</v>
      </c>
      <c r="BF573" s="2" t="str">
        <f aca="false">HYPERLINK("http://dx.doi.org/10.1080/23744235.2018.1546055","http://dx.doi.org/10.1080/23744235.2018.1546055")</f>
        <v>http://dx.doi.org/10.1080/23744235.2018.1546055</v>
      </c>
      <c r="BG573" s="2"/>
      <c r="BH573" s="2"/>
      <c r="BI573" s="2" t="n">
        <v>8</v>
      </c>
      <c r="BJ573" s="2" t="s">
        <v>575</v>
      </c>
      <c r="BK573" s="2" t="s">
        <v>100</v>
      </c>
      <c r="BL573" s="2" t="s">
        <v>575</v>
      </c>
      <c r="BM573" s="2" t="s">
        <v>10744</v>
      </c>
      <c r="BN573" s="2" t="n">
        <v>30760088</v>
      </c>
      <c r="BO573" s="2" t="s">
        <v>2278</v>
      </c>
      <c r="BP573" s="2"/>
      <c r="BQ573" s="2"/>
      <c r="BR573" s="2" t="s">
        <v>104</v>
      </c>
      <c r="BS573" s="2" t="s">
        <v>10745</v>
      </c>
      <c r="BT573" s="2" t="str">
        <f aca="false">HYPERLINK("https%3A%2F%2Fwww.webofscience.com%2Fwos%2Fwoscc%2Ffull-record%2FWOS:000465440800001","View Full Record in Web of Science")</f>
        <v>View Full Record in Web of Science</v>
      </c>
    </row>
    <row r="574" customFormat="false" ht="12.75" hidden="false" customHeight="false" outlineLevel="0" collapsed="false">
      <c r="A574" s="2" t="s">
        <v>72</v>
      </c>
      <c r="B574" s="2" t="s">
        <v>10746</v>
      </c>
      <c r="C574" s="2"/>
      <c r="D574" s="2"/>
      <c r="E574" s="2"/>
      <c r="F574" s="2" t="s">
        <v>10747</v>
      </c>
      <c r="G574" s="2"/>
      <c r="H574" s="2"/>
      <c r="I574" s="2" t="s">
        <v>10748</v>
      </c>
      <c r="J574" s="2" t="s">
        <v>2021</v>
      </c>
      <c r="K574" s="2"/>
      <c r="L574" s="2"/>
      <c r="M574" s="2" t="s">
        <v>77</v>
      </c>
      <c r="N574" s="2" t="s">
        <v>78</v>
      </c>
      <c r="O574" s="2"/>
      <c r="P574" s="2"/>
      <c r="Q574" s="2"/>
      <c r="R574" s="2"/>
      <c r="S574" s="2"/>
      <c r="T574" s="2" t="s">
        <v>10749</v>
      </c>
      <c r="U574" s="2" t="s">
        <v>10750</v>
      </c>
      <c r="V574" s="2" t="s">
        <v>10751</v>
      </c>
      <c r="W574" s="2" t="s">
        <v>10752</v>
      </c>
      <c r="X574" s="2" t="s">
        <v>10753</v>
      </c>
      <c r="Y574" s="2" t="s">
        <v>10754</v>
      </c>
      <c r="Z574" s="2" t="s">
        <v>10755</v>
      </c>
      <c r="AA574" s="2" t="s">
        <v>10756</v>
      </c>
      <c r="AB574" s="2" t="s">
        <v>10757</v>
      </c>
      <c r="AC574" s="2" t="s">
        <v>10758</v>
      </c>
      <c r="AD574" s="2" t="s">
        <v>6184</v>
      </c>
      <c r="AE574" s="2" t="s">
        <v>10759</v>
      </c>
      <c r="AF574" s="2"/>
      <c r="AG574" s="2" t="n">
        <v>47</v>
      </c>
      <c r="AH574" s="2" t="n">
        <v>9</v>
      </c>
      <c r="AI574" s="2" t="n">
        <v>9</v>
      </c>
      <c r="AJ574" s="2" t="n">
        <v>0</v>
      </c>
      <c r="AK574" s="2" t="n">
        <v>0</v>
      </c>
      <c r="AL574" s="2" t="s">
        <v>527</v>
      </c>
      <c r="AM574" s="2" t="s">
        <v>528</v>
      </c>
      <c r="AN574" s="2" t="s">
        <v>529</v>
      </c>
      <c r="AO574" s="2" t="s">
        <v>2033</v>
      </c>
      <c r="AP574" s="2" t="s">
        <v>2034</v>
      </c>
      <c r="AQ574" s="2"/>
      <c r="AR574" s="2" t="s">
        <v>2035</v>
      </c>
      <c r="AS574" s="2" t="s">
        <v>2036</v>
      </c>
      <c r="AT574" s="2" t="s">
        <v>10760</v>
      </c>
      <c r="AU574" s="2" t="n">
        <v>2022</v>
      </c>
      <c r="AV574" s="2" t="n">
        <v>75</v>
      </c>
      <c r="AW574" s="2" t="n">
        <v>6</v>
      </c>
      <c r="AX574" s="2"/>
      <c r="AY574" s="2"/>
      <c r="AZ574" s="2"/>
      <c r="BA574" s="2"/>
      <c r="BB574" s="2" t="n">
        <v>987</v>
      </c>
      <c r="BC574" s="2" t="n">
        <v>995</v>
      </c>
      <c r="BD574" s="2"/>
      <c r="BE574" s="2" t="s">
        <v>10761</v>
      </c>
      <c r="BF574" s="2" t="str">
        <f aca="false">HYPERLINK("http://dx.doi.org/10.1093/cid/ciac027","http://dx.doi.org/10.1093/cid/ciac027")</f>
        <v>http://dx.doi.org/10.1093/cid/ciac027</v>
      </c>
      <c r="BG574" s="2"/>
      <c r="BH574" s="2" t="s">
        <v>10762</v>
      </c>
      <c r="BI574" s="2" t="n">
        <v>9</v>
      </c>
      <c r="BJ574" s="2" t="s">
        <v>536</v>
      </c>
      <c r="BK574" s="2" t="s">
        <v>100</v>
      </c>
      <c r="BL574" s="2" t="s">
        <v>536</v>
      </c>
      <c r="BM574" s="2" t="s">
        <v>10763</v>
      </c>
      <c r="BN574" s="2" t="n">
        <v>35037056</v>
      </c>
      <c r="BO574" s="2" t="s">
        <v>165</v>
      </c>
      <c r="BP574" s="2"/>
      <c r="BQ574" s="2"/>
      <c r="BR574" s="2" t="s">
        <v>104</v>
      </c>
      <c r="BS574" s="2" t="s">
        <v>10764</v>
      </c>
      <c r="BT574" s="2" t="str">
        <f aca="false">HYPERLINK("https%3A%2F%2Fwww.webofscience.com%2Fwos%2Fwoscc%2Ffull-record%2FWOS:000759659300001","View Full Record in Web of Science")</f>
        <v>View Full Record in Web of Science</v>
      </c>
    </row>
    <row r="575" customFormat="false" ht="12.75" hidden="false" customHeight="false" outlineLevel="0" collapsed="false">
      <c r="A575" s="2" t="s">
        <v>72</v>
      </c>
      <c r="B575" s="2" t="s">
        <v>10765</v>
      </c>
      <c r="C575" s="2"/>
      <c r="D575" s="2"/>
      <c r="E575" s="2"/>
      <c r="F575" s="2" t="s">
        <v>10766</v>
      </c>
      <c r="G575" s="2"/>
      <c r="H575" s="2"/>
      <c r="I575" s="2" t="s">
        <v>10767</v>
      </c>
      <c r="J575" s="2" t="s">
        <v>949</v>
      </c>
      <c r="K575" s="2"/>
      <c r="L575" s="2"/>
      <c r="M575" s="2" t="s">
        <v>77</v>
      </c>
      <c r="N575" s="2" t="s">
        <v>78</v>
      </c>
      <c r="O575" s="2"/>
      <c r="P575" s="2"/>
      <c r="Q575" s="2"/>
      <c r="R575" s="2"/>
      <c r="S575" s="2"/>
      <c r="T575" s="2" t="s">
        <v>10768</v>
      </c>
      <c r="U575" s="2" t="s">
        <v>10769</v>
      </c>
      <c r="V575" s="2"/>
      <c r="W575" s="2" t="s">
        <v>10770</v>
      </c>
      <c r="X575" s="2" t="s">
        <v>10771</v>
      </c>
      <c r="Y575" s="2" t="s">
        <v>10772</v>
      </c>
      <c r="Z575" s="2" t="s">
        <v>10773</v>
      </c>
      <c r="AA575" s="2" t="s">
        <v>10774</v>
      </c>
      <c r="AB575" s="2" t="s">
        <v>10775</v>
      </c>
      <c r="AC575" s="2" t="s">
        <v>10776</v>
      </c>
      <c r="AD575" s="2" t="s">
        <v>10777</v>
      </c>
      <c r="AE575" s="2" t="s">
        <v>10778</v>
      </c>
      <c r="AF575" s="2"/>
      <c r="AG575" s="2" t="n">
        <v>146</v>
      </c>
      <c r="AH575" s="2" t="n">
        <v>7</v>
      </c>
      <c r="AI575" s="2" t="n">
        <v>7</v>
      </c>
      <c r="AJ575" s="2" t="n">
        <v>0</v>
      </c>
      <c r="AK575" s="2" t="n">
        <v>1</v>
      </c>
      <c r="AL575" s="2" t="s">
        <v>957</v>
      </c>
      <c r="AM575" s="2" t="s">
        <v>123</v>
      </c>
      <c r="AN575" s="2" t="s">
        <v>958</v>
      </c>
      <c r="AO575" s="2" t="s">
        <v>959</v>
      </c>
      <c r="AP575" s="2" t="s">
        <v>960</v>
      </c>
      <c r="AQ575" s="2"/>
      <c r="AR575" s="2" t="s">
        <v>961</v>
      </c>
      <c r="AS575" s="2" t="s">
        <v>962</v>
      </c>
      <c r="AT575" s="2" t="s">
        <v>446</v>
      </c>
      <c r="AU575" s="2" t="n">
        <v>2021</v>
      </c>
      <c r="AV575" s="2" t="n">
        <v>35</v>
      </c>
      <c r="AW575" s="2" t="n">
        <v>4</v>
      </c>
      <c r="AX575" s="2"/>
      <c r="AY575" s="2"/>
      <c r="AZ575" s="2" t="s">
        <v>1627</v>
      </c>
      <c r="BA575" s="2"/>
      <c r="BB575" s="2" t="n">
        <v>1055</v>
      </c>
      <c r="BC575" s="2" t="n">
        <v>1075</v>
      </c>
      <c r="BD575" s="2"/>
      <c r="BE575" s="2" t="s">
        <v>10779</v>
      </c>
      <c r="BF575" s="2" t="str">
        <f aca="false">HYPERLINK("http://dx.doi.org/10.1016/j.idc.2021.07.007","http://dx.doi.org/10.1016/j.idc.2021.07.007")</f>
        <v>http://dx.doi.org/10.1016/j.idc.2021.07.007</v>
      </c>
      <c r="BG575" s="2"/>
      <c r="BH575" s="2" t="s">
        <v>3158</v>
      </c>
      <c r="BI575" s="2" t="n">
        <v>21</v>
      </c>
      <c r="BJ575" s="2" t="s">
        <v>965</v>
      </c>
      <c r="BK575" s="2" t="s">
        <v>100</v>
      </c>
      <c r="BL575" s="2" t="s">
        <v>965</v>
      </c>
      <c r="BM575" s="2" t="s">
        <v>10780</v>
      </c>
      <c r="BN575" s="2" t="n">
        <v>34752220</v>
      </c>
      <c r="BO575" s="2" t="s">
        <v>165</v>
      </c>
      <c r="BP575" s="2"/>
      <c r="BQ575" s="2"/>
      <c r="BR575" s="2" t="s">
        <v>104</v>
      </c>
      <c r="BS575" s="2" t="s">
        <v>10781</v>
      </c>
      <c r="BT575" s="2" t="str">
        <f aca="false">HYPERLINK("https%3A%2F%2Fwww.webofscience.com%2Fwos%2Fwoscc%2Ffull-record%2FWOS:000729191300012","View Full Record in Web of Science")</f>
        <v>View Full Record in Web of Science</v>
      </c>
    </row>
    <row r="576" customFormat="false" ht="12.75" hidden="false" customHeight="false" outlineLevel="0" collapsed="false">
      <c r="A576" s="2" t="s">
        <v>72</v>
      </c>
      <c r="B576" s="2" t="s">
        <v>10782</v>
      </c>
      <c r="C576" s="2"/>
      <c r="D576" s="2"/>
      <c r="E576" s="2"/>
      <c r="F576" s="2" t="s">
        <v>10783</v>
      </c>
      <c r="G576" s="2"/>
      <c r="H576" s="2"/>
      <c r="I576" s="2" t="s">
        <v>10784</v>
      </c>
      <c r="J576" s="2" t="s">
        <v>770</v>
      </c>
      <c r="K576" s="2"/>
      <c r="L576" s="2"/>
      <c r="M576" s="2" t="s">
        <v>77</v>
      </c>
      <c r="N576" s="2" t="s">
        <v>78</v>
      </c>
      <c r="O576" s="2"/>
      <c r="P576" s="2"/>
      <c r="Q576" s="2"/>
      <c r="R576" s="2"/>
      <c r="S576" s="2"/>
      <c r="T576" s="2" t="s">
        <v>10785</v>
      </c>
      <c r="U576" s="2" t="s">
        <v>10786</v>
      </c>
      <c r="V576" s="2" t="s">
        <v>10787</v>
      </c>
      <c r="W576" s="2" t="s">
        <v>10788</v>
      </c>
      <c r="X576" s="2" t="s">
        <v>10789</v>
      </c>
      <c r="Y576" s="2" t="s">
        <v>10790</v>
      </c>
      <c r="Z576" s="2" t="s">
        <v>4617</v>
      </c>
      <c r="AA576" s="2" t="s">
        <v>10791</v>
      </c>
      <c r="AB576" s="2" t="s">
        <v>10792</v>
      </c>
      <c r="AC576" s="2" t="s">
        <v>10793</v>
      </c>
      <c r="AD576" s="2" t="s">
        <v>10793</v>
      </c>
      <c r="AE576" s="2" t="s">
        <v>10794</v>
      </c>
      <c r="AF576" s="2"/>
      <c r="AG576" s="2" t="n">
        <v>29</v>
      </c>
      <c r="AH576" s="2" t="n">
        <v>8</v>
      </c>
      <c r="AI576" s="2" t="n">
        <v>8</v>
      </c>
      <c r="AJ576" s="2" t="n">
        <v>4</v>
      </c>
      <c r="AK576" s="2" t="n">
        <v>4</v>
      </c>
      <c r="AL576" s="2" t="s">
        <v>782</v>
      </c>
      <c r="AM576" s="2" t="s">
        <v>2193</v>
      </c>
      <c r="AN576" s="2" t="s">
        <v>2194</v>
      </c>
      <c r="AO576" s="2" t="s">
        <v>785</v>
      </c>
      <c r="AP576" s="2" t="s">
        <v>786</v>
      </c>
      <c r="AQ576" s="2"/>
      <c r="AR576" s="2" t="s">
        <v>787</v>
      </c>
      <c r="AS576" s="2" t="s">
        <v>788</v>
      </c>
      <c r="AT576" s="2" t="s">
        <v>599</v>
      </c>
      <c r="AU576" s="2" t="n">
        <v>2024</v>
      </c>
      <c r="AV576" s="2" t="n">
        <v>144</v>
      </c>
      <c r="AW576" s="2"/>
      <c r="AX576" s="2"/>
      <c r="AY576" s="2"/>
      <c r="AZ576" s="2"/>
      <c r="BA576" s="2"/>
      <c r="BB576" s="2"/>
      <c r="BC576" s="2"/>
      <c r="BD576" s="2" t="n">
        <v>107052</v>
      </c>
      <c r="BE576" s="2" t="s">
        <v>10795</v>
      </c>
      <c r="BF576" s="2" t="str">
        <f aca="false">HYPERLINK("http://dx.doi.org/10.1016/j.ijid.2024.107052","http://dx.doi.org/10.1016/j.ijid.2024.107052")</f>
        <v>http://dx.doi.org/10.1016/j.ijid.2024.107052</v>
      </c>
      <c r="BG576" s="2"/>
      <c r="BH576" s="2" t="s">
        <v>2310</v>
      </c>
      <c r="BI576" s="2" t="n">
        <v>8</v>
      </c>
      <c r="BJ576" s="2" t="s">
        <v>575</v>
      </c>
      <c r="BK576" s="2" t="s">
        <v>100</v>
      </c>
      <c r="BL576" s="2" t="s">
        <v>575</v>
      </c>
      <c r="BM576" s="2" t="s">
        <v>10796</v>
      </c>
      <c r="BN576" s="2" t="n">
        <v>38636684</v>
      </c>
      <c r="BO576" s="2" t="s">
        <v>165</v>
      </c>
      <c r="BP576" s="2"/>
      <c r="BQ576" s="2"/>
      <c r="BR576" s="2" t="s">
        <v>104</v>
      </c>
      <c r="BS576" s="2" t="s">
        <v>10797</v>
      </c>
      <c r="BT576" s="2" t="str">
        <f aca="false">HYPERLINK("https%3A%2F%2Fwww.webofscience.com%2Fwos%2Fwoscc%2Ffull-record%2FWOS:001241088400001","View Full Record in Web of Science")</f>
        <v>View Full Record in Web of Science</v>
      </c>
    </row>
    <row r="577" customFormat="false" ht="12.75" hidden="false" customHeight="false" outlineLevel="0" collapsed="false">
      <c r="A577" s="2" t="s">
        <v>72</v>
      </c>
      <c r="B577" s="2" t="s">
        <v>10798</v>
      </c>
      <c r="C577" s="2"/>
      <c r="D577" s="2"/>
      <c r="E577" s="2"/>
      <c r="F577" s="2" t="s">
        <v>10799</v>
      </c>
      <c r="G577" s="2"/>
      <c r="H577" s="2"/>
      <c r="I577" s="2" t="s">
        <v>10800</v>
      </c>
      <c r="J577" s="2" t="s">
        <v>141</v>
      </c>
      <c r="K577" s="2"/>
      <c r="L577" s="2"/>
      <c r="M577" s="2" t="s">
        <v>77</v>
      </c>
      <c r="N577" s="2" t="s">
        <v>78</v>
      </c>
      <c r="O577" s="2"/>
      <c r="P577" s="2"/>
      <c r="Q577" s="2"/>
      <c r="R577" s="2"/>
      <c r="S577" s="2"/>
      <c r="T577" s="2" t="s">
        <v>10801</v>
      </c>
      <c r="U577" s="2" t="s">
        <v>10802</v>
      </c>
      <c r="V577" s="2" t="s">
        <v>10803</v>
      </c>
      <c r="W577" s="2" t="s">
        <v>10804</v>
      </c>
      <c r="X577" s="2" t="s">
        <v>10805</v>
      </c>
      <c r="Y577" s="2" t="s">
        <v>10806</v>
      </c>
      <c r="Z577" s="2" t="s">
        <v>10807</v>
      </c>
      <c r="AA577" s="2" t="s">
        <v>10808</v>
      </c>
      <c r="AB577" s="2" t="s">
        <v>10809</v>
      </c>
      <c r="AC577" s="2"/>
      <c r="AD577" s="2"/>
      <c r="AE577" s="2"/>
      <c r="AF577" s="2"/>
      <c r="AG577" s="2" t="n">
        <v>33</v>
      </c>
      <c r="AH577" s="2" t="n">
        <v>25</v>
      </c>
      <c r="AI577" s="2" t="n">
        <v>25</v>
      </c>
      <c r="AJ577" s="2" t="n">
        <v>12</v>
      </c>
      <c r="AK577" s="2" t="n">
        <v>26</v>
      </c>
      <c r="AL577" s="2" t="s">
        <v>154</v>
      </c>
      <c r="AM577" s="2" t="s">
        <v>155</v>
      </c>
      <c r="AN577" s="2" t="s">
        <v>156</v>
      </c>
      <c r="AO577" s="2" t="s">
        <v>157</v>
      </c>
      <c r="AP577" s="2" t="s">
        <v>158</v>
      </c>
      <c r="AQ577" s="2"/>
      <c r="AR577" s="2" t="s">
        <v>159</v>
      </c>
      <c r="AS577" s="2" t="s">
        <v>160</v>
      </c>
      <c r="AT577" s="2" t="s">
        <v>390</v>
      </c>
      <c r="AU577" s="2" t="n">
        <v>2014</v>
      </c>
      <c r="AV577" s="2" t="n">
        <v>86</v>
      </c>
      <c r="AW577" s="2" t="n">
        <v>5</v>
      </c>
      <c r="AX577" s="2"/>
      <c r="AY577" s="2"/>
      <c r="AZ577" s="2"/>
      <c r="BA577" s="2"/>
      <c r="BB577" s="2" t="n">
        <v>865</v>
      </c>
      <c r="BC577" s="2" t="n">
        <v>871</v>
      </c>
      <c r="BD577" s="2"/>
      <c r="BE577" s="2" t="s">
        <v>10810</v>
      </c>
      <c r="BF577" s="2" t="str">
        <f aca="false">HYPERLINK("http://dx.doi.org/10.1002/jmv.23747","http://dx.doi.org/10.1002/jmv.23747")</f>
        <v>http://dx.doi.org/10.1002/jmv.23747</v>
      </c>
      <c r="BG577" s="2"/>
      <c r="BH577" s="2"/>
      <c r="BI577" s="2" t="n">
        <v>7</v>
      </c>
      <c r="BJ577" s="2" t="s">
        <v>163</v>
      </c>
      <c r="BK577" s="2" t="s">
        <v>100</v>
      </c>
      <c r="BL577" s="2" t="s">
        <v>163</v>
      </c>
      <c r="BM577" s="2" t="s">
        <v>10811</v>
      </c>
      <c r="BN577" s="2" t="n">
        <v>24105787</v>
      </c>
      <c r="BO577" s="2" t="s">
        <v>538</v>
      </c>
      <c r="BP577" s="2"/>
      <c r="BQ577" s="2"/>
      <c r="BR577" s="2" t="s">
        <v>104</v>
      </c>
      <c r="BS577" s="2" t="s">
        <v>10812</v>
      </c>
      <c r="BT577" s="2" t="str">
        <f aca="false">HYPERLINK("https%3A%2F%2Fwww.webofscience.com%2Fwos%2Fwoscc%2Ffull-record%2FWOS:000332675600020","View Full Record in Web of Science")</f>
        <v>View Full Record in Web of Science</v>
      </c>
    </row>
    <row r="578" customFormat="false" ht="12.75" hidden="false" customHeight="false" outlineLevel="0" collapsed="false">
      <c r="A578" s="2" t="s">
        <v>72</v>
      </c>
      <c r="B578" s="2" t="s">
        <v>10813</v>
      </c>
      <c r="C578" s="2"/>
      <c r="D578" s="2"/>
      <c r="E578" s="2"/>
      <c r="F578" s="2" t="s">
        <v>10814</v>
      </c>
      <c r="G578" s="2"/>
      <c r="H578" s="2"/>
      <c r="I578" s="2" t="s">
        <v>10815</v>
      </c>
      <c r="J578" s="2" t="s">
        <v>10816</v>
      </c>
      <c r="K578" s="2"/>
      <c r="L578" s="2"/>
      <c r="M578" s="2" t="s">
        <v>77</v>
      </c>
      <c r="N578" s="2" t="s">
        <v>78</v>
      </c>
      <c r="O578" s="2"/>
      <c r="P578" s="2"/>
      <c r="Q578" s="2"/>
      <c r="R578" s="2"/>
      <c r="S578" s="2"/>
      <c r="T578" s="2" t="s">
        <v>10817</v>
      </c>
      <c r="U578" s="2" t="s">
        <v>10818</v>
      </c>
      <c r="V578" s="2" t="s">
        <v>10819</v>
      </c>
      <c r="W578" s="2" t="s">
        <v>10820</v>
      </c>
      <c r="X578" s="2" t="s">
        <v>10821</v>
      </c>
      <c r="Y578" s="2" t="s">
        <v>10822</v>
      </c>
      <c r="Z578" s="2" t="s">
        <v>10823</v>
      </c>
      <c r="AA578" s="2" t="s">
        <v>10824</v>
      </c>
      <c r="AB578" s="2" t="s">
        <v>10825</v>
      </c>
      <c r="AC578" s="2" t="s">
        <v>2052</v>
      </c>
      <c r="AD578" s="2" t="s">
        <v>2053</v>
      </c>
      <c r="AE578" s="2" t="s">
        <v>10826</v>
      </c>
      <c r="AF578" s="2"/>
      <c r="AG578" s="2" t="n">
        <v>37</v>
      </c>
      <c r="AH578" s="2" t="n">
        <v>2</v>
      </c>
      <c r="AI578" s="2" t="n">
        <v>2</v>
      </c>
      <c r="AJ578" s="2" t="n">
        <v>0</v>
      </c>
      <c r="AK578" s="2" t="n">
        <v>0</v>
      </c>
      <c r="AL578" s="2" t="s">
        <v>383</v>
      </c>
      <c r="AM578" s="2" t="s">
        <v>384</v>
      </c>
      <c r="AN578" s="2" t="s">
        <v>385</v>
      </c>
      <c r="AO578" s="2" t="s">
        <v>10827</v>
      </c>
      <c r="AP578" s="2"/>
      <c r="AQ578" s="2"/>
      <c r="AR578" s="2" t="s">
        <v>10828</v>
      </c>
      <c r="AS578" s="2" t="s">
        <v>10829</v>
      </c>
      <c r="AT578" s="2" t="s">
        <v>129</v>
      </c>
      <c r="AU578" s="2" t="n">
        <v>2022</v>
      </c>
      <c r="AV578" s="2" t="n">
        <v>13</v>
      </c>
      <c r="AW578" s="2"/>
      <c r="AX578" s="2"/>
      <c r="AY578" s="2"/>
      <c r="AZ578" s="2"/>
      <c r="BA578" s="2"/>
      <c r="BB578" s="2"/>
      <c r="BC578" s="2"/>
      <c r="BD578" s="2" t="n">
        <v>100304</v>
      </c>
      <c r="BE578" s="2" t="s">
        <v>10830</v>
      </c>
      <c r="BF578" s="2" t="str">
        <f aca="false">HYPERLINK("http://dx.doi.org/10.1016/j.lana.2022.100304","http://dx.doi.org/10.1016/j.lana.2022.100304")</f>
        <v>http://dx.doi.org/10.1016/j.lana.2022.100304</v>
      </c>
      <c r="BG578" s="2"/>
      <c r="BH578" s="2"/>
      <c r="BI578" s="2" t="n">
        <v>12</v>
      </c>
      <c r="BJ578" s="2" t="s">
        <v>10831</v>
      </c>
      <c r="BK578" s="2" t="s">
        <v>339</v>
      </c>
      <c r="BL578" s="2" t="s">
        <v>10831</v>
      </c>
      <c r="BM578" s="2" t="s">
        <v>10832</v>
      </c>
      <c r="BN578" s="2" t="n">
        <v>36189114</v>
      </c>
      <c r="BO578" s="2" t="s">
        <v>190</v>
      </c>
      <c r="BP578" s="2"/>
      <c r="BQ578" s="2"/>
      <c r="BR578" s="2" t="s">
        <v>104</v>
      </c>
      <c r="BS578" s="2" t="s">
        <v>10833</v>
      </c>
      <c r="BT578" s="2" t="str">
        <f aca="false">HYPERLINK("https%3A%2F%2Fwww.webofscience.com%2Fwos%2Fwoscc%2Ffull-record%2FWOS:000904632700010","View Full Record in Web of Science")</f>
        <v>View Full Record in Web of Science</v>
      </c>
    </row>
    <row r="579" customFormat="false" ht="12.75" hidden="false" customHeight="false" outlineLevel="0" collapsed="false">
      <c r="A579" s="2" t="s">
        <v>72</v>
      </c>
      <c r="B579" s="2" t="s">
        <v>10834</v>
      </c>
      <c r="C579" s="2"/>
      <c r="D579" s="2"/>
      <c r="E579" s="2"/>
      <c r="F579" s="2" t="s">
        <v>10835</v>
      </c>
      <c r="G579" s="2"/>
      <c r="H579" s="2"/>
      <c r="I579" s="2" t="s">
        <v>10836</v>
      </c>
      <c r="J579" s="2" t="s">
        <v>10837</v>
      </c>
      <c r="K579" s="2"/>
      <c r="L579" s="2"/>
      <c r="M579" s="2" t="s">
        <v>77</v>
      </c>
      <c r="N579" s="2" t="s">
        <v>78</v>
      </c>
      <c r="O579" s="2"/>
      <c r="P579" s="2"/>
      <c r="Q579" s="2"/>
      <c r="R579" s="2"/>
      <c r="S579" s="2"/>
      <c r="T579" s="2" t="s">
        <v>10838</v>
      </c>
      <c r="U579" s="2"/>
      <c r="V579" s="2" t="s">
        <v>10839</v>
      </c>
      <c r="W579" s="2" t="s">
        <v>10840</v>
      </c>
      <c r="X579" s="2" t="s">
        <v>10841</v>
      </c>
      <c r="Y579" s="2" t="s">
        <v>10842</v>
      </c>
      <c r="Z579" s="2" t="s">
        <v>10843</v>
      </c>
      <c r="AA579" s="2"/>
      <c r="AB579" s="2"/>
      <c r="AC579" s="2" t="s">
        <v>10844</v>
      </c>
      <c r="AD579" s="2" t="s">
        <v>10844</v>
      </c>
      <c r="AE579" s="2" t="s">
        <v>10845</v>
      </c>
      <c r="AF579" s="2"/>
      <c r="AG579" s="2" t="n">
        <v>40</v>
      </c>
      <c r="AH579" s="2" t="n">
        <v>39</v>
      </c>
      <c r="AI579" s="2" t="n">
        <v>41</v>
      </c>
      <c r="AJ579" s="2" t="n">
        <v>0</v>
      </c>
      <c r="AK579" s="2" t="n">
        <v>0</v>
      </c>
      <c r="AL579" s="2" t="s">
        <v>527</v>
      </c>
      <c r="AM579" s="2" t="s">
        <v>528</v>
      </c>
      <c r="AN579" s="2" t="s">
        <v>529</v>
      </c>
      <c r="AO579" s="2" t="s">
        <v>10846</v>
      </c>
      <c r="AP579" s="2"/>
      <c r="AQ579" s="2"/>
      <c r="AR579" s="2" t="s">
        <v>10847</v>
      </c>
      <c r="AS579" s="2" t="s">
        <v>10848</v>
      </c>
      <c r="AT579" s="2" t="s">
        <v>10849</v>
      </c>
      <c r="AU579" s="2" t="n">
        <v>2014</v>
      </c>
      <c r="AV579" s="2" t="n">
        <v>1</v>
      </c>
      <c r="AW579" s="2" t="n">
        <v>2</v>
      </c>
      <c r="AX579" s="2"/>
      <c r="AY579" s="2"/>
      <c r="AZ579" s="2"/>
      <c r="BA579" s="2"/>
      <c r="BB579" s="2"/>
      <c r="BC579" s="2"/>
      <c r="BD579" s="2"/>
      <c r="BE579" s="2" t="s">
        <v>10850</v>
      </c>
      <c r="BF579" s="2" t="str">
        <f aca="false">HYPERLINK("http://dx.doi.org/10.1093/ofid/ofu086","http://dx.doi.org/10.1093/ofid/ofu086")</f>
        <v>http://dx.doi.org/10.1093/ofid/ofu086</v>
      </c>
      <c r="BG579" s="2"/>
      <c r="BH579" s="2"/>
      <c r="BI579" s="2" t="n">
        <v>10</v>
      </c>
      <c r="BJ579" s="2" t="s">
        <v>536</v>
      </c>
      <c r="BK579" s="2" t="s">
        <v>339</v>
      </c>
      <c r="BL579" s="2" t="s">
        <v>536</v>
      </c>
      <c r="BM579" s="2" t="s">
        <v>10851</v>
      </c>
      <c r="BN579" s="2" t="n">
        <v>25734152</v>
      </c>
      <c r="BO579" s="2" t="s">
        <v>6349</v>
      </c>
      <c r="BP579" s="2"/>
      <c r="BQ579" s="2"/>
      <c r="BR579" s="2" t="s">
        <v>104</v>
      </c>
      <c r="BS579" s="2" t="s">
        <v>10852</v>
      </c>
      <c r="BT579" s="2" t="str">
        <f aca="false">HYPERLINK("https%3A%2F%2Fwww.webofscience.com%2Fwos%2Fwoscc%2Ffull-record%2FWOS:000218560200045","View Full Record in Web of Science")</f>
        <v>View Full Record in Web of Science</v>
      </c>
    </row>
    <row r="580" customFormat="false" ht="12.75" hidden="false" customHeight="false" outlineLevel="0" collapsed="false">
      <c r="A580" s="2" t="s">
        <v>72</v>
      </c>
      <c r="B580" s="2" t="s">
        <v>10853</v>
      </c>
      <c r="C580" s="2"/>
      <c r="D580" s="2"/>
      <c r="E580" s="2"/>
      <c r="F580" s="2" t="s">
        <v>10854</v>
      </c>
      <c r="G580" s="2"/>
      <c r="H580" s="2"/>
      <c r="I580" s="2" t="s">
        <v>10855</v>
      </c>
      <c r="J580" s="2" t="s">
        <v>557</v>
      </c>
      <c r="K580" s="2"/>
      <c r="L580" s="2"/>
      <c r="M580" s="2" t="s">
        <v>77</v>
      </c>
      <c r="N580" s="2" t="s">
        <v>78</v>
      </c>
      <c r="O580" s="2"/>
      <c r="P580" s="2"/>
      <c r="Q580" s="2"/>
      <c r="R580" s="2"/>
      <c r="S580" s="2"/>
      <c r="T580" s="2" t="s">
        <v>10856</v>
      </c>
      <c r="U580" s="2" t="s">
        <v>10857</v>
      </c>
      <c r="V580" s="2" t="s">
        <v>10858</v>
      </c>
      <c r="W580" s="2" t="s">
        <v>10859</v>
      </c>
      <c r="X580" s="2" t="s">
        <v>10860</v>
      </c>
      <c r="Y580" s="2" t="s">
        <v>10861</v>
      </c>
      <c r="Z580" s="2" t="s">
        <v>10862</v>
      </c>
      <c r="AA580" s="2"/>
      <c r="AB580" s="2" t="s">
        <v>10863</v>
      </c>
      <c r="AC580" s="2" t="s">
        <v>10864</v>
      </c>
      <c r="AD580" s="2" t="s">
        <v>10864</v>
      </c>
      <c r="AE580" s="2" t="s">
        <v>10865</v>
      </c>
      <c r="AF580" s="2"/>
      <c r="AG580" s="2" t="n">
        <v>27</v>
      </c>
      <c r="AH580" s="2" t="n">
        <v>17</v>
      </c>
      <c r="AI580" s="2" t="n">
        <v>18</v>
      </c>
      <c r="AJ580" s="2" t="n">
        <v>0</v>
      </c>
      <c r="AK580" s="2" t="n">
        <v>3</v>
      </c>
      <c r="AL580" s="2" t="s">
        <v>2337</v>
      </c>
      <c r="AM580" s="2" t="s">
        <v>303</v>
      </c>
      <c r="AN580" s="2" t="s">
        <v>2338</v>
      </c>
      <c r="AO580" s="2" t="s">
        <v>570</v>
      </c>
      <c r="AP580" s="2"/>
      <c r="AQ580" s="2"/>
      <c r="AR580" s="2" t="s">
        <v>571</v>
      </c>
      <c r="AS580" s="2" t="s">
        <v>572</v>
      </c>
      <c r="AT580" s="2" t="s">
        <v>10866</v>
      </c>
      <c r="AU580" s="2" t="n">
        <v>2014</v>
      </c>
      <c r="AV580" s="2" t="n">
        <v>14</v>
      </c>
      <c r="AW580" s="2"/>
      <c r="AX580" s="2"/>
      <c r="AY580" s="2"/>
      <c r="AZ580" s="2"/>
      <c r="BA580" s="2"/>
      <c r="BB580" s="2"/>
      <c r="BC580" s="2"/>
      <c r="BD580" s="2" t="n">
        <v>189</v>
      </c>
      <c r="BE580" s="2" t="s">
        <v>10867</v>
      </c>
      <c r="BF580" s="2" t="str">
        <f aca="false">HYPERLINK("http://dx.doi.org/10.1186/1471-2334-14-189","http://dx.doi.org/10.1186/1471-2334-14-189")</f>
        <v>http://dx.doi.org/10.1186/1471-2334-14-189</v>
      </c>
      <c r="BG580" s="2"/>
      <c r="BH580" s="2"/>
      <c r="BI580" s="2" t="n">
        <v>6</v>
      </c>
      <c r="BJ580" s="2" t="s">
        <v>575</v>
      </c>
      <c r="BK580" s="2" t="s">
        <v>100</v>
      </c>
      <c r="BL580" s="2" t="s">
        <v>575</v>
      </c>
      <c r="BM580" s="2" t="s">
        <v>10868</v>
      </c>
      <c r="BN580" s="2" t="n">
        <v>24712515</v>
      </c>
      <c r="BO580" s="2" t="s">
        <v>103</v>
      </c>
      <c r="BP580" s="2"/>
      <c r="BQ580" s="2"/>
      <c r="BR580" s="2" t="s">
        <v>104</v>
      </c>
      <c r="BS580" s="2" t="s">
        <v>10869</v>
      </c>
      <c r="BT580" s="2" t="str">
        <f aca="false">HYPERLINK("https%3A%2F%2Fwww.webofscience.com%2Fwos%2Fwoscc%2Ffull-record%2FWOS:000336065700001","View Full Record in Web of Science")</f>
        <v>View Full Record in Web of Science</v>
      </c>
    </row>
    <row r="581" customFormat="false" ht="12.75" hidden="false" customHeight="false" outlineLevel="0" collapsed="false">
      <c r="A581" s="2" t="s">
        <v>72</v>
      </c>
      <c r="B581" s="2" t="s">
        <v>10870</v>
      </c>
      <c r="C581" s="2"/>
      <c r="D581" s="2"/>
      <c r="E581" s="2"/>
      <c r="F581" s="2" t="s">
        <v>10871</v>
      </c>
      <c r="G581" s="2"/>
      <c r="H581" s="2" t="s">
        <v>10872</v>
      </c>
      <c r="I581" s="2" t="s">
        <v>10873</v>
      </c>
      <c r="J581" s="2" t="s">
        <v>10874</v>
      </c>
      <c r="K581" s="2"/>
      <c r="L581" s="2"/>
      <c r="M581" s="2" t="s">
        <v>77</v>
      </c>
      <c r="N581" s="2" t="s">
        <v>78</v>
      </c>
      <c r="O581" s="2"/>
      <c r="P581" s="2"/>
      <c r="Q581" s="2"/>
      <c r="R581" s="2"/>
      <c r="S581" s="2"/>
      <c r="T581" s="2" t="s">
        <v>10875</v>
      </c>
      <c r="U581" s="2" t="s">
        <v>10876</v>
      </c>
      <c r="V581" s="2" t="s">
        <v>10877</v>
      </c>
      <c r="W581" s="2" t="s">
        <v>10878</v>
      </c>
      <c r="X581" s="2" t="s">
        <v>10879</v>
      </c>
      <c r="Y581" s="2" t="s">
        <v>10880</v>
      </c>
      <c r="Z581" s="2"/>
      <c r="AA581" s="2" t="s">
        <v>10881</v>
      </c>
      <c r="AB581" s="2" t="s">
        <v>10882</v>
      </c>
      <c r="AC581" s="2"/>
      <c r="AD581" s="2"/>
      <c r="AE581" s="2"/>
      <c r="AF581" s="2"/>
      <c r="AG581" s="2" t="n">
        <v>87</v>
      </c>
      <c r="AH581" s="2" t="n">
        <v>35</v>
      </c>
      <c r="AI581" s="2" t="n">
        <v>36</v>
      </c>
      <c r="AJ581" s="2" t="n">
        <v>0</v>
      </c>
      <c r="AK581" s="2" t="n">
        <v>7</v>
      </c>
      <c r="AL581" s="2" t="s">
        <v>154</v>
      </c>
      <c r="AM581" s="2" t="s">
        <v>155</v>
      </c>
      <c r="AN581" s="2" t="s">
        <v>156</v>
      </c>
      <c r="AO581" s="2" t="s">
        <v>10883</v>
      </c>
      <c r="AP581" s="2" t="s">
        <v>10884</v>
      </c>
      <c r="AQ581" s="2"/>
      <c r="AR581" s="2" t="s">
        <v>10885</v>
      </c>
      <c r="AS581" s="2" t="s">
        <v>10886</v>
      </c>
      <c r="AT581" s="2" t="s">
        <v>390</v>
      </c>
      <c r="AU581" s="2" t="n">
        <v>2016</v>
      </c>
      <c r="AV581" s="2" t="n">
        <v>173</v>
      </c>
      <c r="AW581" s="2" t="n">
        <v>3</v>
      </c>
      <c r="AX581" s="2"/>
      <c r="AY581" s="2"/>
      <c r="AZ581" s="2"/>
      <c r="BA581" s="2"/>
      <c r="BB581" s="2" t="n">
        <v>380</v>
      </c>
      <c r="BC581" s="2" t="n">
        <v>393</v>
      </c>
      <c r="BD581" s="2"/>
      <c r="BE581" s="2" t="s">
        <v>10887</v>
      </c>
      <c r="BF581" s="2" t="str">
        <f aca="false">HYPERLINK("http://dx.doi.org/10.1111/bjh.14027","http://dx.doi.org/10.1111/bjh.14027")</f>
        <v>http://dx.doi.org/10.1111/bjh.14027</v>
      </c>
      <c r="BG581" s="2"/>
      <c r="BH581" s="2"/>
      <c r="BI581" s="2" t="n">
        <v>14</v>
      </c>
      <c r="BJ581" s="2" t="s">
        <v>10888</v>
      </c>
      <c r="BK581" s="2" t="s">
        <v>100</v>
      </c>
      <c r="BL581" s="2" t="s">
        <v>10888</v>
      </c>
      <c r="BM581" s="2" t="s">
        <v>10889</v>
      </c>
      <c r="BN581" s="2" t="n">
        <v>27060988</v>
      </c>
      <c r="BO581" s="2" t="s">
        <v>538</v>
      </c>
      <c r="BP581" s="2"/>
      <c r="BQ581" s="2"/>
      <c r="BR581" s="2" t="s">
        <v>104</v>
      </c>
      <c r="BS581" s="2" t="s">
        <v>10890</v>
      </c>
      <c r="BT581" s="2" t="str">
        <f aca="false">HYPERLINK("https%3A%2F%2Fwww.webofscience.com%2Fwos%2Fwoscc%2Ffull-record%2FWOS:000375480600006","View Full Record in Web of Science")</f>
        <v>View Full Record in Web of Science</v>
      </c>
    </row>
    <row r="582" customFormat="false" ht="12.75" hidden="false" customHeight="false" outlineLevel="0" collapsed="false">
      <c r="A582" s="2" t="s">
        <v>72</v>
      </c>
      <c r="B582" s="2" t="s">
        <v>10891</v>
      </c>
      <c r="C582" s="2"/>
      <c r="D582" s="2"/>
      <c r="E582" s="2"/>
      <c r="F582" s="2" t="s">
        <v>10892</v>
      </c>
      <c r="G582" s="2"/>
      <c r="H582" s="2"/>
      <c r="I582" s="2" t="s">
        <v>10893</v>
      </c>
      <c r="J582" s="2" t="s">
        <v>10894</v>
      </c>
      <c r="K582" s="2"/>
      <c r="L582" s="2"/>
      <c r="M582" s="2" t="s">
        <v>77</v>
      </c>
      <c r="N582" s="2" t="s">
        <v>78</v>
      </c>
      <c r="O582" s="2"/>
      <c r="P582" s="2"/>
      <c r="Q582" s="2"/>
      <c r="R582" s="2"/>
      <c r="S582" s="2"/>
      <c r="T582" s="2" t="s">
        <v>10895</v>
      </c>
      <c r="U582" s="2" t="s">
        <v>10896</v>
      </c>
      <c r="V582" s="2" t="s">
        <v>10897</v>
      </c>
      <c r="W582" s="2" t="s">
        <v>10898</v>
      </c>
      <c r="X582" s="2" t="s">
        <v>10899</v>
      </c>
      <c r="Y582" s="2" t="s">
        <v>7990</v>
      </c>
      <c r="Z582" s="2" t="s">
        <v>7991</v>
      </c>
      <c r="AA582" s="2" t="s">
        <v>7992</v>
      </c>
      <c r="AB582" s="2"/>
      <c r="AC582" s="2" t="s">
        <v>7994</v>
      </c>
      <c r="AD582" s="2" t="s">
        <v>7995</v>
      </c>
      <c r="AE582" s="2" t="s">
        <v>10900</v>
      </c>
      <c r="AF582" s="2"/>
      <c r="AG582" s="2" t="n">
        <v>48</v>
      </c>
      <c r="AH582" s="2" t="n">
        <v>11</v>
      </c>
      <c r="AI582" s="2" t="n">
        <v>11</v>
      </c>
      <c r="AJ582" s="2" t="n">
        <v>1</v>
      </c>
      <c r="AK582" s="2" t="n">
        <v>8</v>
      </c>
      <c r="AL582" s="2" t="s">
        <v>2788</v>
      </c>
      <c r="AM582" s="2" t="s">
        <v>2789</v>
      </c>
      <c r="AN582" s="2" t="s">
        <v>2790</v>
      </c>
      <c r="AO582" s="2" t="s">
        <v>10901</v>
      </c>
      <c r="AP582" s="2" t="s">
        <v>10902</v>
      </c>
      <c r="AQ582" s="2"/>
      <c r="AR582" s="2" t="s">
        <v>10903</v>
      </c>
      <c r="AS582" s="2" t="s">
        <v>10904</v>
      </c>
      <c r="AT582" s="2" t="s">
        <v>10905</v>
      </c>
      <c r="AU582" s="2" t="n">
        <v>2021</v>
      </c>
      <c r="AV582" s="2" t="n">
        <v>19</v>
      </c>
      <c r="AW582" s="2" t="n">
        <v>6</v>
      </c>
      <c r="AX582" s="2"/>
      <c r="AY582" s="2"/>
      <c r="AZ582" s="2"/>
      <c r="BA582" s="2"/>
      <c r="BB582" s="2" t="n">
        <v>787</v>
      </c>
      <c r="BC582" s="2" t="n">
        <v>796</v>
      </c>
      <c r="BD582" s="2"/>
      <c r="BE582" s="2" t="s">
        <v>10906</v>
      </c>
      <c r="BF582" s="2" t="str">
        <f aca="false">HYPERLINK("http://dx.doi.org/10.1080/14787210.2021.1846520","http://dx.doi.org/10.1080/14787210.2021.1846520")</f>
        <v>http://dx.doi.org/10.1080/14787210.2021.1846520</v>
      </c>
      <c r="BG582" s="2"/>
      <c r="BH582" s="2" t="s">
        <v>10907</v>
      </c>
      <c r="BI582" s="2" t="n">
        <v>10</v>
      </c>
      <c r="BJ582" s="2" t="s">
        <v>10908</v>
      </c>
      <c r="BK582" s="2" t="s">
        <v>100</v>
      </c>
      <c r="BL582" s="2" t="s">
        <v>10908</v>
      </c>
      <c r="BM582" s="2" t="s">
        <v>10909</v>
      </c>
      <c r="BN582" s="2" t="n">
        <v>33141622</v>
      </c>
      <c r="BO582" s="2"/>
      <c r="BP582" s="2"/>
      <c r="BQ582" s="2"/>
      <c r="BR582" s="2" t="s">
        <v>104</v>
      </c>
      <c r="BS582" s="2" t="s">
        <v>10910</v>
      </c>
      <c r="BT582" s="2" t="str">
        <f aca="false">HYPERLINK("https%3A%2F%2Fwww.webofscience.com%2Fwos%2Fwoscc%2Ffull-record%2FWOS:000589861200001","View Full Record in Web of Science")</f>
        <v>View Full Record in Web of Science</v>
      </c>
    </row>
    <row r="583" customFormat="false" ht="12.75" hidden="false" customHeight="false" outlineLevel="0" collapsed="false">
      <c r="A583" s="2" t="s">
        <v>72</v>
      </c>
      <c r="B583" s="2" t="s">
        <v>10911</v>
      </c>
      <c r="C583" s="2"/>
      <c r="D583" s="2"/>
      <c r="E583" s="2"/>
      <c r="F583" s="2" t="s">
        <v>10912</v>
      </c>
      <c r="G583" s="2"/>
      <c r="H583" s="2" t="s">
        <v>10913</v>
      </c>
      <c r="I583" s="2" t="s">
        <v>10914</v>
      </c>
      <c r="J583" s="2" t="s">
        <v>109</v>
      </c>
      <c r="K583" s="2"/>
      <c r="L583" s="2"/>
      <c r="M583" s="2" t="s">
        <v>77</v>
      </c>
      <c r="N583" s="2" t="s">
        <v>78</v>
      </c>
      <c r="O583" s="2"/>
      <c r="P583" s="2"/>
      <c r="Q583" s="2"/>
      <c r="R583" s="2"/>
      <c r="S583" s="2"/>
      <c r="T583" s="2" t="s">
        <v>10915</v>
      </c>
      <c r="U583" s="2" t="s">
        <v>10916</v>
      </c>
      <c r="V583" s="2" t="s">
        <v>10917</v>
      </c>
      <c r="W583" s="2" t="s">
        <v>10918</v>
      </c>
      <c r="X583" s="2" t="s">
        <v>10919</v>
      </c>
      <c r="Y583" s="2" t="s">
        <v>10920</v>
      </c>
      <c r="Z583" s="2" t="s">
        <v>4264</v>
      </c>
      <c r="AA583" s="2" t="s">
        <v>10921</v>
      </c>
      <c r="AB583" s="2" t="s">
        <v>10922</v>
      </c>
      <c r="AC583" s="2" t="s">
        <v>10923</v>
      </c>
      <c r="AD583" s="2" t="s">
        <v>10924</v>
      </c>
      <c r="AE583" s="2" t="s">
        <v>10925</v>
      </c>
      <c r="AF583" s="2"/>
      <c r="AG583" s="2" t="n">
        <v>42</v>
      </c>
      <c r="AH583" s="2" t="n">
        <v>32</v>
      </c>
      <c r="AI583" s="2" t="n">
        <v>33</v>
      </c>
      <c r="AJ583" s="2" t="n">
        <v>0</v>
      </c>
      <c r="AK583" s="2" t="n">
        <v>8</v>
      </c>
      <c r="AL583" s="2" t="s">
        <v>122</v>
      </c>
      <c r="AM583" s="2" t="s">
        <v>123</v>
      </c>
      <c r="AN583" s="2" t="s">
        <v>124</v>
      </c>
      <c r="AO583" s="2" t="s">
        <v>125</v>
      </c>
      <c r="AP583" s="2" t="s">
        <v>126</v>
      </c>
      <c r="AQ583" s="2"/>
      <c r="AR583" s="2" t="s">
        <v>127</v>
      </c>
      <c r="AS583" s="2" t="s">
        <v>128</v>
      </c>
      <c r="AT583" s="2" t="s">
        <v>390</v>
      </c>
      <c r="AU583" s="2" t="n">
        <v>2014</v>
      </c>
      <c r="AV583" s="2" t="n">
        <v>33</v>
      </c>
      <c r="AW583" s="2" t="n">
        <v>5</v>
      </c>
      <c r="AX583" s="2"/>
      <c r="AY583" s="2"/>
      <c r="AZ583" s="2"/>
      <c r="BA583" s="2"/>
      <c r="BB583" s="2" t="n">
        <v>443</v>
      </c>
      <c r="BC583" s="2" t="n">
        <v>447</v>
      </c>
      <c r="BD583" s="2"/>
      <c r="BE583" s="2" t="s">
        <v>10926</v>
      </c>
      <c r="BF583" s="2" t="str">
        <f aca="false">HYPERLINK("http://dx.doi.org/10.1097/INF.0000000000000135","http://dx.doi.org/10.1097/INF.0000000000000135")</f>
        <v>http://dx.doi.org/10.1097/INF.0000000000000135</v>
      </c>
      <c r="BG583" s="2"/>
      <c r="BH583" s="2"/>
      <c r="BI583" s="2" t="n">
        <v>5</v>
      </c>
      <c r="BJ583" s="2" t="s">
        <v>134</v>
      </c>
      <c r="BK583" s="2" t="s">
        <v>100</v>
      </c>
      <c r="BL583" s="2" t="s">
        <v>134</v>
      </c>
      <c r="BM583" s="2" t="s">
        <v>10927</v>
      </c>
      <c r="BN583" s="2" t="n">
        <v>24378948</v>
      </c>
      <c r="BO583" s="2" t="s">
        <v>695</v>
      </c>
      <c r="BP583" s="2"/>
      <c r="BQ583" s="2"/>
      <c r="BR583" s="2" t="s">
        <v>104</v>
      </c>
      <c r="BS583" s="2" t="s">
        <v>10928</v>
      </c>
      <c r="BT583" s="2" t="str">
        <f aca="false">HYPERLINK("https%3A%2F%2Fwww.webofscience.com%2Fwos%2Fwoscc%2Ffull-record%2FWOS:000335750600006","View Full Record in Web of Science")</f>
        <v>View Full Record in Web of Science</v>
      </c>
    </row>
    <row r="584" customFormat="false" ht="12.75" hidden="false" customHeight="false" outlineLevel="0" collapsed="false">
      <c r="A584" s="2" t="s">
        <v>72</v>
      </c>
      <c r="B584" s="2" t="s">
        <v>10929</v>
      </c>
      <c r="C584" s="2"/>
      <c r="D584" s="2"/>
      <c r="E584" s="2"/>
      <c r="F584" s="2" t="s">
        <v>10930</v>
      </c>
      <c r="G584" s="2"/>
      <c r="H584" s="2"/>
      <c r="I584" s="2" t="s">
        <v>10931</v>
      </c>
      <c r="J584" s="2" t="s">
        <v>10932</v>
      </c>
      <c r="K584" s="2"/>
      <c r="L584" s="2"/>
      <c r="M584" s="2" t="s">
        <v>77</v>
      </c>
      <c r="N584" s="2" t="s">
        <v>78</v>
      </c>
      <c r="O584" s="2"/>
      <c r="P584" s="2"/>
      <c r="Q584" s="2"/>
      <c r="R584" s="2"/>
      <c r="S584" s="2"/>
      <c r="T584" s="2" t="s">
        <v>10933</v>
      </c>
      <c r="U584" s="2" t="s">
        <v>10934</v>
      </c>
      <c r="V584" s="2" t="s">
        <v>10935</v>
      </c>
      <c r="W584" s="2" t="s">
        <v>10936</v>
      </c>
      <c r="X584" s="2" t="s">
        <v>10937</v>
      </c>
      <c r="Y584" s="2" t="s">
        <v>10938</v>
      </c>
      <c r="Z584" s="2" t="s">
        <v>10939</v>
      </c>
      <c r="AA584" s="2" t="s">
        <v>10940</v>
      </c>
      <c r="AB584" s="2" t="s">
        <v>10941</v>
      </c>
      <c r="AC584" s="2" t="s">
        <v>10942</v>
      </c>
      <c r="AD584" s="2" t="s">
        <v>10942</v>
      </c>
      <c r="AE584" s="2" t="s">
        <v>10943</v>
      </c>
      <c r="AF584" s="2"/>
      <c r="AG584" s="2" t="n">
        <v>355</v>
      </c>
      <c r="AH584" s="2" t="n">
        <v>8</v>
      </c>
      <c r="AI584" s="2" t="n">
        <v>8</v>
      </c>
      <c r="AJ584" s="2" t="n">
        <v>2</v>
      </c>
      <c r="AK584" s="2" t="n">
        <v>97</v>
      </c>
      <c r="AL584" s="2" t="s">
        <v>302</v>
      </c>
      <c r="AM584" s="2" t="s">
        <v>303</v>
      </c>
      <c r="AN584" s="2" t="s">
        <v>304</v>
      </c>
      <c r="AO584" s="2" t="s">
        <v>10944</v>
      </c>
      <c r="AP584" s="2"/>
      <c r="AQ584" s="2"/>
      <c r="AR584" s="2" t="s">
        <v>10945</v>
      </c>
      <c r="AS584" s="2" t="s">
        <v>10946</v>
      </c>
      <c r="AT584" s="2" t="s">
        <v>10947</v>
      </c>
      <c r="AU584" s="2" t="n">
        <v>2021</v>
      </c>
      <c r="AV584" s="2" t="n">
        <v>19</v>
      </c>
      <c r="AW584" s="2" t="n">
        <v>1</v>
      </c>
      <c r="AX584" s="2"/>
      <c r="AY584" s="2"/>
      <c r="AZ584" s="2"/>
      <c r="BA584" s="2"/>
      <c r="BB584" s="2"/>
      <c r="BC584" s="2"/>
      <c r="BD584" s="2" t="n">
        <v>31</v>
      </c>
      <c r="BE584" s="2" t="s">
        <v>10948</v>
      </c>
      <c r="BF584" s="2" t="str">
        <f aca="false">HYPERLINK("http://dx.doi.org/10.1186/s12963-021-00252-5","http://dx.doi.org/10.1186/s12963-021-00252-5")</f>
        <v>http://dx.doi.org/10.1186/s12963-021-00252-5</v>
      </c>
      <c r="BG584" s="2"/>
      <c r="BH584" s="2"/>
      <c r="BI584" s="2" t="n">
        <v>22</v>
      </c>
      <c r="BJ584" s="2" t="s">
        <v>1353</v>
      </c>
      <c r="BK584" s="2" t="s">
        <v>5167</v>
      </c>
      <c r="BL584" s="2" t="s">
        <v>1353</v>
      </c>
      <c r="BM584" s="2" t="s">
        <v>10949</v>
      </c>
      <c r="BN584" s="2" t="n">
        <v>34126993</v>
      </c>
      <c r="BO584" s="2" t="s">
        <v>103</v>
      </c>
      <c r="BP584" s="2"/>
      <c r="BQ584" s="2"/>
      <c r="BR584" s="2" t="s">
        <v>104</v>
      </c>
      <c r="BS584" s="2" t="s">
        <v>10950</v>
      </c>
      <c r="BT584" s="2" t="str">
        <f aca="false">HYPERLINK("https%3A%2F%2Fwww.webofscience.com%2Fwos%2Fwoscc%2Ffull-record%2FWOS:000663293700001","View Full Record in Web of Science")</f>
        <v>View Full Record in Web of Science</v>
      </c>
    </row>
    <row r="585" customFormat="false" ht="12.75" hidden="false" customHeight="false" outlineLevel="0" collapsed="false">
      <c r="A585" s="2" t="s">
        <v>72</v>
      </c>
      <c r="B585" s="2" t="s">
        <v>10951</v>
      </c>
      <c r="C585" s="2"/>
      <c r="D585" s="2"/>
      <c r="E585" s="2"/>
      <c r="F585" s="2" t="s">
        <v>10952</v>
      </c>
      <c r="G585" s="2"/>
      <c r="H585" s="2"/>
      <c r="I585" s="2" t="s">
        <v>10953</v>
      </c>
      <c r="J585" s="2" t="s">
        <v>370</v>
      </c>
      <c r="K585" s="2"/>
      <c r="L585" s="2"/>
      <c r="M585" s="2" t="s">
        <v>77</v>
      </c>
      <c r="N585" s="2" t="s">
        <v>78</v>
      </c>
      <c r="O585" s="2"/>
      <c r="P585" s="2"/>
      <c r="Q585" s="2"/>
      <c r="R585" s="2"/>
      <c r="S585" s="2"/>
      <c r="T585" s="2" t="s">
        <v>10954</v>
      </c>
      <c r="U585" s="2" t="s">
        <v>10955</v>
      </c>
      <c r="V585" s="2" t="s">
        <v>10956</v>
      </c>
      <c r="W585" s="2" t="s">
        <v>10957</v>
      </c>
      <c r="X585" s="2" t="s">
        <v>10958</v>
      </c>
      <c r="Y585" s="2" t="s">
        <v>10959</v>
      </c>
      <c r="Z585" s="2" t="s">
        <v>10960</v>
      </c>
      <c r="AA585" s="2" t="s">
        <v>10961</v>
      </c>
      <c r="AB585" s="2" t="s">
        <v>10962</v>
      </c>
      <c r="AC585" s="2"/>
      <c r="AD585" s="2"/>
      <c r="AE585" s="2"/>
      <c r="AF585" s="2"/>
      <c r="AG585" s="2" t="n">
        <v>5</v>
      </c>
      <c r="AH585" s="2" t="n">
        <v>12</v>
      </c>
      <c r="AI585" s="2" t="n">
        <v>14</v>
      </c>
      <c r="AJ585" s="2" t="n">
        <v>1</v>
      </c>
      <c r="AK585" s="2" t="n">
        <v>6</v>
      </c>
      <c r="AL585" s="2" t="s">
        <v>549</v>
      </c>
      <c r="AM585" s="2" t="s">
        <v>384</v>
      </c>
      <c r="AN585" s="2" t="s">
        <v>550</v>
      </c>
      <c r="AO585" s="2" t="s">
        <v>386</v>
      </c>
      <c r="AP585" s="2"/>
      <c r="AQ585" s="2"/>
      <c r="AR585" s="2" t="s">
        <v>388</v>
      </c>
      <c r="AS585" s="2" t="s">
        <v>389</v>
      </c>
      <c r="AT585" s="2" t="s">
        <v>599</v>
      </c>
      <c r="AU585" s="2" t="n">
        <v>2010</v>
      </c>
      <c r="AV585" s="2" t="n">
        <v>48</v>
      </c>
      <c r="AW585" s="2" t="n">
        <v>3</v>
      </c>
      <c r="AX585" s="2"/>
      <c r="AY585" s="2"/>
      <c r="AZ585" s="2"/>
      <c r="BA585" s="2"/>
      <c r="BB585" s="2" t="n">
        <v>193</v>
      </c>
      <c r="BC585" s="2" t="n">
        <v>197</v>
      </c>
      <c r="BD585" s="2"/>
      <c r="BE585" s="2" t="s">
        <v>10963</v>
      </c>
      <c r="BF585" s="2" t="str">
        <f aca="false">HYPERLINK("http://dx.doi.org/10.1016/j.jcv.2010.03.022","http://dx.doi.org/10.1016/j.jcv.2010.03.022")</f>
        <v>http://dx.doi.org/10.1016/j.jcv.2010.03.022</v>
      </c>
      <c r="BG585" s="2"/>
      <c r="BH585" s="2"/>
      <c r="BI585" s="2" t="n">
        <v>5</v>
      </c>
      <c r="BJ585" s="2" t="s">
        <v>163</v>
      </c>
      <c r="BK585" s="2" t="s">
        <v>100</v>
      </c>
      <c r="BL585" s="2" t="s">
        <v>163</v>
      </c>
      <c r="BM585" s="2" t="s">
        <v>10964</v>
      </c>
      <c r="BN585" s="2" t="n">
        <v>20417151</v>
      </c>
      <c r="BO585" s="2"/>
      <c r="BP585" s="2"/>
      <c r="BQ585" s="2"/>
      <c r="BR585" s="2" t="s">
        <v>104</v>
      </c>
      <c r="BS585" s="2" t="s">
        <v>10965</v>
      </c>
      <c r="BT585" s="2" t="str">
        <f aca="false">HYPERLINK("https%3A%2F%2Fwww.webofscience.com%2Fwos%2Fwoscc%2Ffull-record%2FWOS:000278658600008","View Full Record in Web of Science")</f>
        <v>View Full Record in Web of Science</v>
      </c>
    </row>
    <row r="586" customFormat="false" ht="12.75" hidden="false" customHeight="false" outlineLevel="0" collapsed="false">
      <c r="A586" s="2" t="s">
        <v>72</v>
      </c>
      <c r="B586" s="2" t="s">
        <v>10966</v>
      </c>
      <c r="C586" s="2"/>
      <c r="D586" s="2"/>
      <c r="E586" s="2"/>
      <c r="F586" s="2" t="s">
        <v>10967</v>
      </c>
      <c r="G586" s="2"/>
      <c r="H586" s="2"/>
      <c r="I586" s="2" t="s">
        <v>10968</v>
      </c>
      <c r="J586" s="2" t="s">
        <v>370</v>
      </c>
      <c r="K586" s="2"/>
      <c r="L586" s="2"/>
      <c r="M586" s="2" t="s">
        <v>77</v>
      </c>
      <c r="N586" s="2" t="s">
        <v>78</v>
      </c>
      <c r="O586" s="2"/>
      <c r="P586" s="2"/>
      <c r="Q586" s="2"/>
      <c r="R586" s="2"/>
      <c r="S586" s="2"/>
      <c r="T586" s="2" t="s">
        <v>10969</v>
      </c>
      <c r="U586" s="2" t="s">
        <v>10970</v>
      </c>
      <c r="V586" s="2" t="s">
        <v>10971</v>
      </c>
      <c r="W586" s="2" t="s">
        <v>10972</v>
      </c>
      <c r="X586" s="2" t="s">
        <v>6753</v>
      </c>
      <c r="Y586" s="2" t="s">
        <v>10973</v>
      </c>
      <c r="Z586" s="2" t="s">
        <v>10974</v>
      </c>
      <c r="AA586" s="2" t="s">
        <v>10975</v>
      </c>
      <c r="AB586" s="2" t="s">
        <v>10976</v>
      </c>
      <c r="AC586" s="2"/>
      <c r="AD586" s="2"/>
      <c r="AE586" s="2"/>
      <c r="AF586" s="2"/>
      <c r="AG586" s="2" t="n">
        <v>26</v>
      </c>
      <c r="AH586" s="2" t="n">
        <v>31</v>
      </c>
      <c r="AI586" s="2" t="n">
        <v>32</v>
      </c>
      <c r="AJ586" s="2" t="n">
        <v>0</v>
      </c>
      <c r="AK586" s="2" t="n">
        <v>3</v>
      </c>
      <c r="AL586" s="2" t="s">
        <v>383</v>
      </c>
      <c r="AM586" s="2" t="s">
        <v>384</v>
      </c>
      <c r="AN586" s="2" t="s">
        <v>385</v>
      </c>
      <c r="AO586" s="2" t="s">
        <v>386</v>
      </c>
      <c r="AP586" s="2" t="s">
        <v>387</v>
      </c>
      <c r="AQ586" s="2"/>
      <c r="AR586" s="2" t="s">
        <v>388</v>
      </c>
      <c r="AS586" s="2" t="s">
        <v>389</v>
      </c>
      <c r="AT586" s="2" t="s">
        <v>161</v>
      </c>
      <c r="AU586" s="2" t="n">
        <v>2008</v>
      </c>
      <c r="AV586" s="2" t="n">
        <v>41</v>
      </c>
      <c r="AW586" s="2" t="n">
        <v>1</v>
      </c>
      <c r="AX586" s="2"/>
      <c r="AY586" s="2"/>
      <c r="AZ586" s="2"/>
      <c r="BA586" s="2"/>
      <c r="BB586" s="2" t="n">
        <v>7</v>
      </c>
      <c r="BC586" s="2" t="n">
        <v>12</v>
      </c>
      <c r="BD586" s="2"/>
      <c r="BE586" s="2" t="s">
        <v>10977</v>
      </c>
      <c r="BF586" s="2" t="str">
        <f aca="false">HYPERLINK("http://dx.doi.org/10.1016/j.jcv.2007.10.023","http://dx.doi.org/10.1016/j.jcv.2007.10.023")</f>
        <v>http://dx.doi.org/10.1016/j.jcv.2007.10.023</v>
      </c>
      <c r="BG586" s="2"/>
      <c r="BH586" s="2"/>
      <c r="BI586" s="2" t="n">
        <v>6</v>
      </c>
      <c r="BJ586" s="2" t="s">
        <v>163</v>
      </c>
      <c r="BK586" s="2" t="s">
        <v>100</v>
      </c>
      <c r="BL586" s="2" t="s">
        <v>163</v>
      </c>
      <c r="BM586" s="2" t="s">
        <v>5570</v>
      </c>
      <c r="BN586" s="2" t="n">
        <v>18065263</v>
      </c>
      <c r="BO586" s="2"/>
      <c r="BP586" s="2"/>
      <c r="BQ586" s="2"/>
      <c r="BR586" s="2" t="s">
        <v>104</v>
      </c>
      <c r="BS586" s="2" t="s">
        <v>10978</v>
      </c>
      <c r="BT586" s="2" t="str">
        <f aca="false">HYPERLINK("https%3A%2F%2Fwww.webofscience.com%2Fwos%2Fwoscc%2Ffull-record%2FWOS:000253060400003","View Full Record in Web of Science")</f>
        <v>View Full Record in Web of Science</v>
      </c>
    </row>
    <row r="587" customFormat="false" ht="12.75" hidden="false" customHeight="false" outlineLevel="0" collapsed="false">
      <c r="A587" s="2" t="s">
        <v>72</v>
      </c>
      <c r="B587" s="2" t="s">
        <v>10979</v>
      </c>
      <c r="C587" s="2"/>
      <c r="D587" s="2"/>
      <c r="E587" s="2"/>
      <c r="F587" s="2" t="s">
        <v>10980</v>
      </c>
      <c r="G587" s="2"/>
      <c r="H587" s="2"/>
      <c r="I587" s="2" t="s">
        <v>10981</v>
      </c>
      <c r="J587" s="2" t="s">
        <v>2021</v>
      </c>
      <c r="K587" s="2"/>
      <c r="L587" s="2"/>
      <c r="M587" s="2" t="s">
        <v>77</v>
      </c>
      <c r="N587" s="2" t="s">
        <v>78</v>
      </c>
      <c r="O587" s="2"/>
      <c r="P587" s="2"/>
      <c r="Q587" s="2"/>
      <c r="R587" s="2"/>
      <c r="S587" s="2"/>
      <c r="T587" s="2" t="s">
        <v>10982</v>
      </c>
      <c r="U587" s="2" t="s">
        <v>10983</v>
      </c>
      <c r="V587" s="2" t="s">
        <v>10984</v>
      </c>
      <c r="W587" s="2" t="s">
        <v>10985</v>
      </c>
      <c r="X587" s="2" t="s">
        <v>10986</v>
      </c>
      <c r="Y587" s="2" t="s">
        <v>10987</v>
      </c>
      <c r="Z587" s="2" t="s">
        <v>10988</v>
      </c>
      <c r="AA587" s="2" t="s">
        <v>10989</v>
      </c>
      <c r="AB587" s="2" t="s">
        <v>10990</v>
      </c>
      <c r="AC587" s="2" t="s">
        <v>10991</v>
      </c>
      <c r="AD587" s="2" t="s">
        <v>10992</v>
      </c>
      <c r="AE587" s="2" t="s">
        <v>10993</v>
      </c>
      <c r="AF587" s="2"/>
      <c r="AG587" s="2" t="n">
        <v>37</v>
      </c>
      <c r="AH587" s="2" t="n">
        <v>60</v>
      </c>
      <c r="AI587" s="2" t="n">
        <v>71</v>
      </c>
      <c r="AJ587" s="2" t="n">
        <v>0</v>
      </c>
      <c r="AK587" s="2" t="n">
        <v>9</v>
      </c>
      <c r="AL587" s="2" t="s">
        <v>527</v>
      </c>
      <c r="AM587" s="2" t="s">
        <v>528</v>
      </c>
      <c r="AN587" s="2" t="s">
        <v>529</v>
      </c>
      <c r="AO587" s="2" t="s">
        <v>2033</v>
      </c>
      <c r="AP587" s="2" t="s">
        <v>2034</v>
      </c>
      <c r="AQ587" s="2"/>
      <c r="AR587" s="2" t="s">
        <v>2035</v>
      </c>
      <c r="AS587" s="2" t="s">
        <v>2036</v>
      </c>
      <c r="AT587" s="2" t="s">
        <v>10994</v>
      </c>
      <c r="AU587" s="2" t="n">
        <v>2014</v>
      </c>
      <c r="AV587" s="2" t="n">
        <v>58</v>
      </c>
      <c r="AW587" s="2" t="n">
        <v>10</v>
      </c>
      <c r="AX587" s="2"/>
      <c r="AY587" s="2"/>
      <c r="AZ587" s="2"/>
      <c r="BA587" s="2"/>
      <c r="BB587" s="2" t="n">
        <v>1369</v>
      </c>
      <c r="BC587" s="2" t="n">
        <v>1376</v>
      </c>
      <c r="BD587" s="2"/>
      <c r="BE587" s="2" t="s">
        <v>10995</v>
      </c>
      <c r="BF587" s="2" t="str">
        <f aca="false">HYPERLINK("http://dx.doi.org/10.1093/cid/ciu148","http://dx.doi.org/10.1093/cid/ciu148")</f>
        <v>http://dx.doi.org/10.1093/cid/ciu148</v>
      </c>
      <c r="BG587" s="2"/>
      <c r="BH587" s="2"/>
      <c r="BI587" s="2" t="n">
        <v>8</v>
      </c>
      <c r="BJ587" s="2" t="s">
        <v>536</v>
      </c>
      <c r="BK587" s="2" t="s">
        <v>100</v>
      </c>
      <c r="BL587" s="2" t="s">
        <v>536</v>
      </c>
      <c r="BM587" s="2" t="s">
        <v>10996</v>
      </c>
      <c r="BN587" s="2" t="n">
        <v>24621951</v>
      </c>
      <c r="BO587" s="2" t="s">
        <v>538</v>
      </c>
      <c r="BP587" s="2"/>
      <c r="BQ587" s="2"/>
      <c r="BR587" s="2" t="s">
        <v>104</v>
      </c>
      <c r="BS587" s="2" t="s">
        <v>10997</v>
      </c>
      <c r="BT587" s="2" t="str">
        <f aca="false">HYPERLINK("https%3A%2F%2Fwww.webofscience.com%2Fwos%2Fwoscc%2Ffull-record%2FWOS:000336044200008","View Full Record in Web of Science")</f>
        <v>View Full Record in Web of Science</v>
      </c>
    </row>
    <row r="588" customFormat="false" ht="12.75" hidden="false" customHeight="false" outlineLevel="0" collapsed="false">
      <c r="A588" s="2" t="s">
        <v>72</v>
      </c>
      <c r="B588" s="2" t="s">
        <v>10998</v>
      </c>
      <c r="C588" s="2"/>
      <c r="D588" s="2"/>
      <c r="E588" s="2"/>
      <c r="F588" s="2" t="s">
        <v>10999</v>
      </c>
      <c r="G588" s="2"/>
      <c r="H588" s="2"/>
      <c r="I588" s="2" t="s">
        <v>11000</v>
      </c>
      <c r="J588" s="2" t="s">
        <v>7244</v>
      </c>
      <c r="K588" s="2"/>
      <c r="L588" s="2"/>
      <c r="M588" s="2" t="s">
        <v>77</v>
      </c>
      <c r="N588" s="2" t="s">
        <v>78</v>
      </c>
      <c r="O588" s="2"/>
      <c r="P588" s="2"/>
      <c r="Q588" s="2"/>
      <c r="R588" s="2"/>
      <c r="S588" s="2"/>
      <c r="T588" s="2" t="s">
        <v>11001</v>
      </c>
      <c r="U588" s="2" t="s">
        <v>11002</v>
      </c>
      <c r="V588" s="2" t="s">
        <v>11003</v>
      </c>
      <c r="W588" s="2" t="s">
        <v>11004</v>
      </c>
      <c r="X588" s="2" t="s">
        <v>11005</v>
      </c>
      <c r="Y588" s="2" t="s">
        <v>11006</v>
      </c>
      <c r="Z588" s="2" t="s">
        <v>11007</v>
      </c>
      <c r="AA588" s="2"/>
      <c r="AB588" s="2" t="s">
        <v>11008</v>
      </c>
      <c r="AC588" s="2" t="s">
        <v>11009</v>
      </c>
      <c r="AD588" s="2" t="s">
        <v>11010</v>
      </c>
      <c r="AE588" s="2"/>
      <c r="AF588" s="2"/>
      <c r="AG588" s="2" t="n">
        <v>23</v>
      </c>
      <c r="AH588" s="2" t="n">
        <v>19</v>
      </c>
      <c r="AI588" s="2" t="n">
        <v>21</v>
      </c>
      <c r="AJ588" s="2" t="n">
        <v>0</v>
      </c>
      <c r="AK588" s="2" t="n">
        <v>1</v>
      </c>
      <c r="AL588" s="2" t="s">
        <v>782</v>
      </c>
      <c r="AM588" s="2" t="s">
        <v>783</v>
      </c>
      <c r="AN588" s="2" t="s">
        <v>784</v>
      </c>
      <c r="AO588" s="2" t="s">
        <v>7252</v>
      </c>
      <c r="AP588" s="2" t="s">
        <v>7253</v>
      </c>
      <c r="AQ588" s="2"/>
      <c r="AR588" s="2" t="s">
        <v>7254</v>
      </c>
      <c r="AS588" s="2" t="s">
        <v>7255</v>
      </c>
      <c r="AT588" s="2" t="s">
        <v>692</v>
      </c>
      <c r="AU588" s="2" t="n">
        <v>2016</v>
      </c>
      <c r="AV588" s="2" t="n">
        <v>22</v>
      </c>
      <c r="AW588" s="2" t="n">
        <v>4</v>
      </c>
      <c r="AX588" s="2"/>
      <c r="AY588" s="2"/>
      <c r="AZ588" s="2"/>
      <c r="BA588" s="2"/>
      <c r="BB588" s="2"/>
      <c r="BC588" s="2"/>
      <c r="BD588" s="2" t="s">
        <v>11011</v>
      </c>
      <c r="BE588" s="2" t="s">
        <v>11012</v>
      </c>
      <c r="BF588" s="2" t="str">
        <f aca="false">HYPERLINK("http://dx.doi.org/10.1016/j.cmi.2015.12.012","http://dx.doi.org/10.1016/j.cmi.2015.12.012")</f>
        <v>http://dx.doi.org/10.1016/j.cmi.2015.12.012</v>
      </c>
      <c r="BG588" s="2"/>
      <c r="BH588" s="2"/>
      <c r="BI588" s="2" t="n">
        <v>7</v>
      </c>
      <c r="BJ588" s="2" t="s">
        <v>1467</v>
      </c>
      <c r="BK588" s="2" t="s">
        <v>100</v>
      </c>
      <c r="BL588" s="2" t="s">
        <v>1467</v>
      </c>
      <c r="BM588" s="2" t="s">
        <v>11013</v>
      </c>
      <c r="BN588" s="2" t="n">
        <v>26711433</v>
      </c>
      <c r="BO588" s="2" t="s">
        <v>11014</v>
      </c>
      <c r="BP588" s="2"/>
      <c r="BQ588" s="2"/>
      <c r="BR588" s="2" t="s">
        <v>104</v>
      </c>
      <c r="BS588" s="2" t="s">
        <v>11015</v>
      </c>
      <c r="BT588" s="2" t="str">
        <f aca="false">HYPERLINK("https%3A%2F%2Fwww.webofscience.com%2Fwos%2Fwoscc%2Ffull-record%2FWOS:000375399900016","View Full Record in Web of Science")</f>
        <v>View Full Record in Web of Science</v>
      </c>
    </row>
    <row r="589" customFormat="false" ht="12.75" hidden="false" customHeight="false" outlineLevel="0" collapsed="false">
      <c r="A589" s="2" t="s">
        <v>72</v>
      </c>
      <c r="B589" s="2" t="s">
        <v>11016</v>
      </c>
      <c r="C589" s="2"/>
      <c r="D589" s="2"/>
      <c r="E589" s="2"/>
      <c r="F589" s="2" t="s">
        <v>11017</v>
      </c>
      <c r="G589" s="2"/>
      <c r="H589" s="2"/>
      <c r="I589" s="2" t="s">
        <v>11018</v>
      </c>
      <c r="J589" s="2" t="s">
        <v>11019</v>
      </c>
      <c r="K589" s="2"/>
      <c r="L589" s="2"/>
      <c r="M589" s="2" t="s">
        <v>77</v>
      </c>
      <c r="N589" s="2" t="s">
        <v>78</v>
      </c>
      <c r="O589" s="2"/>
      <c r="P589" s="2"/>
      <c r="Q589" s="2"/>
      <c r="R589" s="2"/>
      <c r="S589" s="2"/>
      <c r="T589" s="2" t="s">
        <v>11020</v>
      </c>
      <c r="U589" s="2" t="s">
        <v>11021</v>
      </c>
      <c r="V589" s="2" t="s">
        <v>11022</v>
      </c>
      <c r="W589" s="2" t="s">
        <v>11023</v>
      </c>
      <c r="X589" s="2" t="s">
        <v>11024</v>
      </c>
      <c r="Y589" s="2" t="s">
        <v>11025</v>
      </c>
      <c r="Z589" s="2" t="s">
        <v>11026</v>
      </c>
      <c r="AA589" s="2"/>
      <c r="AB589" s="2" t="s">
        <v>11027</v>
      </c>
      <c r="AC589" s="2"/>
      <c r="AD589" s="2"/>
      <c r="AE589" s="2"/>
      <c r="AF589" s="2"/>
      <c r="AG589" s="2" t="n">
        <v>38</v>
      </c>
      <c r="AH589" s="2" t="n">
        <v>6</v>
      </c>
      <c r="AI589" s="2" t="n">
        <v>6</v>
      </c>
      <c r="AJ589" s="2" t="n">
        <v>0</v>
      </c>
      <c r="AK589" s="2" t="n">
        <v>3</v>
      </c>
      <c r="AL589" s="2" t="s">
        <v>154</v>
      </c>
      <c r="AM589" s="2" t="s">
        <v>155</v>
      </c>
      <c r="AN589" s="2" t="s">
        <v>156</v>
      </c>
      <c r="AO589" s="2" t="s">
        <v>11028</v>
      </c>
      <c r="AP589" s="2" t="s">
        <v>11029</v>
      </c>
      <c r="AQ589" s="2"/>
      <c r="AR589" s="2" t="s">
        <v>11030</v>
      </c>
      <c r="AS589" s="2" t="s">
        <v>11031</v>
      </c>
      <c r="AT589" s="2" t="s">
        <v>161</v>
      </c>
      <c r="AU589" s="2" t="n">
        <v>2024</v>
      </c>
      <c r="AV589" s="2" t="n">
        <v>18</v>
      </c>
      <c r="AW589" s="2" t="n">
        <v>1</v>
      </c>
      <c r="AX589" s="2"/>
      <c r="AY589" s="2"/>
      <c r="AZ589" s="2"/>
      <c r="BA589" s="2"/>
      <c r="BB589" s="2"/>
      <c r="BC589" s="2"/>
      <c r="BD589" s="2" t="s">
        <v>11032</v>
      </c>
      <c r="BE589" s="2" t="s">
        <v>11033</v>
      </c>
      <c r="BF589" s="2" t="str">
        <f aca="false">HYPERLINK("http://dx.doi.org/10.1111/irv.13237","http://dx.doi.org/10.1111/irv.13237")</f>
        <v>http://dx.doi.org/10.1111/irv.13237</v>
      </c>
      <c r="BG589" s="2"/>
      <c r="BH589" s="2"/>
      <c r="BI589" s="2" t="n">
        <v>10</v>
      </c>
      <c r="BJ589" s="2" t="s">
        <v>8287</v>
      </c>
      <c r="BK589" s="2" t="s">
        <v>100</v>
      </c>
      <c r="BL589" s="2" t="s">
        <v>8287</v>
      </c>
      <c r="BM589" s="2" t="s">
        <v>11034</v>
      </c>
      <c r="BN589" s="2" t="n">
        <v>38249443</v>
      </c>
      <c r="BO589" s="2" t="s">
        <v>1355</v>
      </c>
      <c r="BP589" s="2"/>
      <c r="BQ589" s="2"/>
      <c r="BR589" s="2" t="s">
        <v>104</v>
      </c>
      <c r="BS589" s="2" t="s">
        <v>11035</v>
      </c>
      <c r="BT589" s="2" t="str">
        <f aca="false">HYPERLINK("https%3A%2F%2Fwww.webofscience.com%2Fwos%2Fwoscc%2Ffull-record%2FWOS:001144222500001","View Full Record in Web of Science")</f>
        <v>View Full Record in Web of Science</v>
      </c>
    </row>
    <row r="590" customFormat="false" ht="12.75" hidden="false" customHeight="false" outlineLevel="0" collapsed="false">
      <c r="A590" s="2" t="s">
        <v>72</v>
      </c>
      <c r="B590" s="2" t="s">
        <v>11036</v>
      </c>
      <c r="C590" s="2"/>
      <c r="D590" s="2"/>
      <c r="E590" s="2"/>
      <c r="F590" s="2" t="s">
        <v>11037</v>
      </c>
      <c r="G590" s="2"/>
      <c r="H590" s="2"/>
      <c r="I590" s="2" t="s">
        <v>11038</v>
      </c>
      <c r="J590" s="2" t="s">
        <v>11019</v>
      </c>
      <c r="K590" s="2"/>
      <c r="L590" s="2"/>
      <c r="M590" s="2" t="s">
        <v>77</v>
      </c>
      <c r="N590" s="2" t="s">
        <v>78</v>
      </c>
      <c r="O590" s="2"/>
      <c r="P590" s="2"/>
      <c r="Q590" s="2"/>
      <c r="R590" s="2"/>
      <c r="S590" s="2"/>
      <c r="T590" s="2" t="s">
        <v>11039</v>
      </c>
      <c r="U590" s="2" t="s">
        <v>11040</v>
      </c>
      <c r="V590" s="2" t="s">
        <v>11041</v>
      </c>
      <c r="W590" s="2" t="s">
        <v>11042</v>
      </c>
      <c r="X590" s="2" t="s">
        <v>11043</v>
      </c>
      <c r="Y590" s="2" t="s">
        <v>11044</v>
      </c>
      <c r="Z590" s="2" t="s">
        <v>11045</v>
      </c>
      <c r="AA590" s="2" t="s">
        <v>11046</v>
      </c>
      <c r="AB590" s="2" t="s">
        <v>11047</v>
      </c>
      <c r="AC590" s="2" t="s">
        <v>11048</v>
      </c>
      <c r="AD590" s="2" t="s">
        <v>11049</v>
      </c>
      <c r="AE590" s="2" t="s">
        <v>11050</v>
      </c>
      <c r="AF590" s="2"/>
      <c r="AG590" s="2" t="n">
        <v>36</v>
      </c>
      <c r="AH590" s="2" t="n">
        <v>12</v>
      </c>
      <c r="AI590" s="2" t="n">
        <v>14</v>
      </c>
      <c r="AJ590" s="2" t="n">
        <v>0</v>
      </c>
      <c r="AK590" s="2" t="n">
        <v>3</v>
      </c>
      <c r="AL590" s="2" t="s">
        <v>154</v>
      </c>
      <c r="AM590" s="2" t="s">
        <v>155</v>
      </c>
      <c r="AN590" s="2" t="s">
        <v>156</v>
      </c>
      <c r="AO590" s="2" t="s">
        <v>11028</v>
      </c>
      <c r="AP590" s="2" t="s">
        <v>11029</v>
      </c>
      <c r="AQ590" s="2"/>
      <c r="AR590" s="2" t="s">
        <v>11030</v>
      </c>
      <c r="AS590" s="2" t="s">
        <v>11031</v>
      </c>
      <c r="AT590" s="2" t="s">
        <v>161</v>
      </c>
      <c r="AU590" s="2" t="n">
        <v>2015</v>
      </c>
      <c r="AV590" s="2" t="n">
        <v>9</v>
      </c>
      <c r="AW590" s="2" t="n">
        <v>1</v>
      </c>
      <c r="AX590" s="2"/>
      <c r="AY590" s="2"/>
      <c r="AZ590" s="2"/>
      <c r="BA590" s="2"/>
      <c r="BB590" s="2" t="n">
        <v>1</v>
      </c>
      <c r="BC590" s="2" t="n">
        <v>13</v>
      </c>
      <c r="BD590" s="2"/>
      <c r="BE590" s="2" t="s">
        <v>11051</v>
      </c>
      <c r="BF590" s="2" t="str">
        <f aca="false">HYPERLINK("http://dx.doi.org/10.1111/irv.12271","http://dx.doi.org/10.1111/irv.12271")</f>
        <v>http://dx.doi.org/10.1111/irv.12271</v>
      </c>
      <c r="BG590" s="2"/>
      <c r="BH590" s="2"/>
      <c r="BI590" s="2" t="n">
        <v>13</v>
      </c>
      <c r="BJ590" s="2" t="s">
        <v>8287</v>
      </c>
      <c r="BK590" s="2" t="s">
        <v>100</v>
      </c>
      <c r="BL590" s="2" t="s">
        <v>8287</v>
      </c>
      <c r="BM590" s="2" t="s">
        <v>11052</v>
      </c>
      <c r="BN590" s="2" t="n">
        <v>25100179</v>
      </c>
      <c r="BO590" s="2" t="s">
        <v>190</v>
      </c>
      <c r="BP590" s="2"/>
      <c r="BQ590" s="2"/>
      <c r="BR590" s="2" t="s">
        <v>104</v>
      </c>
      <c r="BS590" s="2" t="s">
        <v>11053</v>
      </c>
      <c r="BT590" s="2" t="str">
        <f aca="false">HYPERLINK("https%3A%2F%2Fwww.webofscience.com%2Fwos%2Fwoscc%2Ffull-record%2FWOS:000346653800001","View Full Record in Web of Science")</f>
        <v>View Full Record in Web of Science</v>
      </c>
    </row>
    <row r="591" customFormat="false" ht="12.75" hidden="false" customHeight="false" outlineLevel="0" collapsed="false">
      <c r="A591" s="2" t="s">
        <v>72</v>
      </c>
      <c r="B591" s="2" t="s">
        <v>11054</v>
      </c>
      <c r="C591" s="2"/>
      <c r="D591" s="2"/>
      <c r="E591" s="2"/>
      <c r="F591" s="2" t="s">
        <v>11055</v>
      </c>
      <c r="G591" s="2"/>
      <c r="H591" s="2"/>
      <c r="I591" s="2" t="s">
        <v>11056</v>
      </c>
      <c r="J591" s="2" t="s">
        <v>10086</v>
      </c>
      <c r="K591" s="2"/>
      <c r="L591" s="2"/>
      <c r="M591" s="2" t="s">
        <v>77</v>
      </c>
      <c r="N591" s="2" t="s">
        <v>78</v>
      </c>
      <c r="O591" s="2"/>
      <c r="P591" s="2"/>
      <c r="Q591" s="2"/>
      <c r="R591" s="2"/>
      <c r="S591" s="2"/>
      <c r="T591" s="2" t="s">
        <v>11057</v>
      </c>
      <c r="U591" s="2" t="s">
        <v>11058</v>
      </c>
      <c r="V591" s="2" t="s">
        <v>11059</v>
      </c>
      <c r="W591" s="2" t="s">
        <v>11060</v>
      </c>
      <c r="X591" s="2" t="s">
        <v>11061</v>
      </c>
      <c r="Y591" s="2" t="s">
        <v>11062</v>
      </c>
      <c r="Z591" s="2" t="s">
        <v>11063</v>
      </c>
      <c r="AA591" s="2" t="s">
        <v>11064</v>
      </c>
      <c r="AB591" s="2" t="s">
        <v>11065</v>
      </c>
      <c r="AC591" s="2"/>
      <c r="AD591" s="2"/>
      <c r="AE591" s="2"/>
      <c r="AF591" s="2"/>
      <c r="AG591" s="2" t="n">
        <v>23</v>
      </c>
      <c r="AH591" s="2" t="n">
        <v>129</v>
      </c>
      <c r="AI591" s="2" t="n">
        <v>130</v>
      </c>
      <c r="AJ591" s="2" t="n">
        <v>0</v>
      </c>
      <c r="AK591" s="2" t="n">
        <v>2</v>
      </c>
      <c r="AL591" s="2" t="s">
        <v>122</v>
      </c>
      <c r="AM591" s="2" t="s">
        <v>123</v>
      </c>
      <c r="AN591" s="2" t="s">
        <v>839</v>
      </c>
      <c r="AO591" s="2" t="s">
        <v>10096</v>
      </c>
      <c r="AP591" s="2"/>
      <c r="AQ591" s="2"/>
      <c r="AR591" s="2" t="s">
        <v>10086</v>
      </c>
      <c r="AS591" s="2" t="s">
        <v>10098</v>
      </c>
      <c r="AT591" s="2" t="s">
        <v>1005</v>
      </c>
      <c r="AU591" s="2" t="n">
        <v>2010</v>
      </c>
      <c r="AV591" s="2" t="n">
        <v>89</v>
      </c>
      <c r="AW591" s="2" t="n">
        <v>8</v>
      </c>
      <c r="AX591" s="2"/>
      <c r="AY591" s="2"/>
      <c r="AZ591" s="2"/>
      <c r="BA591" s="2"/>
      <c r="BB591" s="2" t="n">
        <v>1028</v>
      </c>
      <c r="BC591" s="2" t="n">
        <v>1033</v>
      </c>
      <c r="BD591" s="2"/>
      <c r="BE591" s="2" t="s">
        <v>11066</v>
      </c>
      <c r="BF591" s="2" t="str">
        <f aca="false">HYPERLINK("http://dx.doi.org/10.1097/TP.0b013e3181d05a71","http://dx.doi.org/10.1097/TP.0b013e3181d05a71")</f>
        <v>http://dx.doi.org/10.1097/TP.0b013e3181d05a71</v>
      </c>
      <c r="BG591" s="2"/>
      <c r="BH591" s="2"/>
      <c r="BI591" s="2" t="n">
        <v>6</v>
      </c>
      <c r="BJ591" s="2" t="s">
        <v>10100</v>
      </c>
      <c r="BK591" s="2" t="s">
        <v>100</v>
      </c>
      <c r="BL591" s="2" t="s">
        <v>10100</v>
      </c>
      <c r="BM591" s="2" t="s">
        <v>11067</v>
      </c>
      <c r="BN591" s="2" t="n">
        <v>20075787</v>
      </c>
      <c r="BO591" s="2" t="s">
        <v>656</v>
      </c>
      <c r="BP591" s="2"/>
      <c r="BQ591" s="2"/>
      <c r="BR591" s="2" t="s">
        <v>104</v>
      </c>
      <c r="BS591" s="2" t="s">
        <v>11068</v>
      </c>
      <c r="BT591" s="2" t="str">
        <f aca="false">HYPERLINK("https%3A%2F%2Fwww.webofscience.com%2Fwos%2Fwoscc%2Ffull-record%2FWOS:000277220200017","View Full Record in Web of Science")</f>
        <v>View Full Record in Web of Science</v>
      </c>
    </row>
    <row r="592" customFormat="false" ht="12.75" hidden="false" customHeight="false" outlineLevel="0" collapsed="false">
      <c r="A592" s="2" t="s">
        <v>72</v>
      </c>
      <c r="B592" s="2" t="s">
        <v>11069</v>
      </c>
      <c r="C592" s="2"/>
      <c r="D592" s="2"/>
      <c r="E592" s="2"/>
      <c r="F592" s="2" t="s">
        <v>11070</v>
      </c>
      <c r="G592" s="2"/>
      <c r="H592" s="2"/>
      <c r="I592" s="2" t="s">
        <v>11071</v>
      </c>
      <c r="J592" s="2" t="s">
        <v>2001</v>
      </c>
      <c r="K592" s="2"/>
      <c r="L592" s="2"/>
      <c r="M592" s="2" t="s">
        <v>77</v>
      </c>
      <c r="N592" s="2" t="s">
        <v>78</v>
      </c>
      <c r="O592" s="2"/>
      <c r="P592" s="2"/>
      <c r="Q592" s="2"/>
      <c r="R592" s="2"/>
      <c r="S592" s="2"/>
      <c r="T592" s="2" t="s">
        <v>11072</v>
      </c>
      <c r="U592" s="2" t="s">
        <v>11073</v>
      </c>
      <c r="V592" s="2" t="s">
        <v>11074</v>
      </c>
      <c r="W592" s="2" t="s">
        <v>11075</v>
      </c>
      <c r="X592" s="2" t="s">
        <v>11076</v>
      </c>
      <c r="Y592" s="2" t="s">
        <v>11077</v>
      </c>
      <c r="Z592" s="2" t="s">
        <v>11078</v>
      </c>
      <c r="AA592" s="2" t="s">
        <v>11079</v>
      </c>
      <c r="AB592" s="2" t="s">
        <v>11080</v>
      </c>
      <c r="AC592" s="2" t="s">
        <v>11081</v>
      </c>
      <c r="AD592" s="2" t="s">
        <v>11082</v>
      </c>
      <c r="AE592" s="2" t="s">
        <v>11083</v>
      </c>
      <c r="AF592" s="2"/>
      <c r="AG592" s="2" t="n">
        <v>73</v>
      </c>
      <c r="AH592" s="2" t="n">
        <v>15</v>
      </c>
      <c r="AI592" s="2" t="n">
        <v>17</v>
      </c>
      <c r="AJ592" s="2" t="n">
        <v>0</v>
      </c>
      <c r="AK592" s="2" t="n">
        <v>8</v>
      </c>
      <c r="AL592" s="2" t="s">
        <v>91</v>
      </c>
      <c r="AM592" s="2" t="s">
        <v>92</v>
      </c>
      <c r="AN592" s="2" t="s">
        <v>93</v>
      </c>
      <c r="AO592" s="2"/>
      <c r="AP592" s="2" t="s">
        <v>2013</v>
      </c>
      <c r="AQ592" s="2"/>
      <c r="AR592" s="2" t="s">
        <v>2001</v>
      </c>
      <c r="AS592" s="2" t="s">
        <v>2014</v>
      </c>
      <c r="AT592" s="2" t="s">
        <v>486</v>
      </c>
      <c r="AU592" s="2" t="n">
        <v>2021</v>
      </c>
      <c r="AV592" s="2" t="n">
        <v>10</v>
      </c>
      <c r="AW592" s="2" t="n">
        <v>6</v>
      </c>
      <c r="AX592" s="2"/>
      <c r="AY592" s="2"/>
      <c r="AZ592" s="2"/>
      <c r="BA592" s="2"/>
      <c r="BB592" s="2"/>
      <c r="BC592" s="2"/>
      <c r="BD592" s="2" t="n">
        <v>761</v>
      </c>
      <c r="BE592" s="2" t="s">
        <v>11084</v>
      </c>
      <c r="BF592" s="2" t="str">
        <f aca="false">HYPERLINK("http://dx.doi.org/10.3390/pathogens10060761","http://dx.doi.org/10.3390/pathogens10060761")</f>
        <v>http://dx.doi.org/10.3390/pathogens10060761</v>
      </c>
      <c r="BG592" s="2"/>
      <c r="BH592" s="2"/>
      <c r="BI592" s="2" t="n">
        <v>16</v>
      </c>
      <c r="BJ592" s="2" t="s">
        <v>211</v>
      </c>
      <c r="BK592" s="2" t="s">
        <v>100</v>
      </c>
      <c r="BL592" s="2" t="s">
        <v>211</v>
      </c>
      <c r="BM592" s="2" t="s">
        <v>11085</v>
      </c>
      <c r="BN592" s="2" t="n">
        <v>34204203</v>
      </c>
      <c r="BO592" s="2" t="s">
        <v>190</v>
      </c>
      <c r="BP592" s="2"/>
      <c r="BQ592" s="2"/>
      <c r="BR592" s="2" t="s">
        <v>104</v>
      </c>
      <c r="BS592" s="2" t="s">
        <v>11086</v>
      </c>
      <c r="BT592" s="2" t="str">
        <f aca="false">HYPERLINK("https%3A%2F%2Fwww.webofscience.com%2Fwos%2Fwoscc%2Ffull-record%2FWOS:000666114000001","View Full Record in Web of Science")</f>
        <v>View Full Record in Web of Science</v>
      </c>
    </row>
    <row r="593" customFormat="false" ht="12.75" hidden="false" customHeight="false" outlineLevel="0" collapsed="false">
      <c r="A593" s="2" t="s">
        <v>72</v>
      </c>
      <c r="B593" s="2" t="s">
        <v>11087</v>
      </c>
      <c r="C593" s="2"/>
      <c r="D593" s="2"/>
      <c r="E593" s="2"/>
      <c r="F593" s="2" t="s">
        <v>11088</v>
      </c>
      <c r="G593" s="2"/>
      <c r="H593" s="2"/>
      <c r="I593" s="2" t="s">
        <v>11089</v>
      </c>
      <c r="J593" s="2" t="s">
        <v>11019</v>
      </c>
      <c r="K593" s="2"/>
      <c r="L593" s="2"/>
      <c r="M593" s="2" t="s">
        <v>77</v>
      </c>
      <c r="N593" s="2" t="s">
        <v>78</v>
      </c>
      <c r="O593" s="2"/>
      <c r="P593" s="2"/>
      <c r="Q593" s="2"/>
      <c r="R593" s="2"/>
      <c r="S593" s="2"/>
      <c r="T593" s="2" t="s">
        <v>11090</v>
      </c>
      <c r="U593" s="2" t="s">
        <v>11091</v>
      </c>
      <c r="V593" s="2" t="s">
        <v>11092</v>
      </c>
      <c r="W593" s="2" t="s">
        <v>11093</v>
      </c>
      <c r="X593" s="2" t="s">
        <v>11094</v>
      </c>
      <c r="Y593" s="2" t="s">
        <v>11095</v>
      </c>
      <c r="Z593" s="2" t="s">
        <v>11096</v>
      </c>
      <c r="AA593" s="2"/>
      <c r="AB593" s="2"/>
      <c r="AC593" s="2"/>
      <c r="AD593" s="2"/>
      <c r="AE593" s="2"/>
      <c r="AF593" s="2"/>
      <c r="AG593" s="2" t="n">
        <v>26</v>
      </c>
      <c r="AH593" s="2" t="n">
        <v>16</v>
      </c>
      <c r="AI593" s="2" t="n">
        <v>16</v>
      </c>
      <c r="AJ593" s="2" t="n">
        <v>0</v>
      </c>
      <c r="AK593" s="2" t="n">
        <v>6</v>
      </c>
      <c r="AL593" s="2" t="s">
        <v>154</v>
      </c>
      <c r="AM593" s="2" t="s">
        <v>155</v>
      </c>
      <c r="AN593" s="2" t="s">
        <v>156</v>
      </c>
      <c r="AO593" s="2" t="s">
        <v>11028</v>
      </c>
      <c r="AP593" s="2" t="s">
        <v>11029</v>
      </c>
      <c r="AQ593" s="2"/>
      <c r="AR593" s="2" t="s">
        <v>11030</v>
      </c>
      <c r="AS593" s="2" t="s">
        <v>11031</v>
      </c>
      <c r="AT593" s="2" t="s">
        <v>161</v>
      </c>
      <c r="AU593" s="2" t="n">
        <v>2021</v>
      </c>
      <c r="AV593" s="2" t="n">
        <v>15</v>
      </c>
      <c r="AW593" s="2" t="n">
        <v>1</v>
      </c>
      <c r="AX593" s="2"/>
      <c r="AY593" s="2"/>
      <c r="AZ593" s="2"/>
      <c r="BA593" s="2"/>
      <c r="BB593" s="2" t="n">
        <v>72</v>
      </c>
      <c r="BC593" s="2" t="n">
        <v>80</v>
      </c>
      <c r="BD593" s="2"/>
      <c r="BE593" s="2" t="s">
        <v>11097</v>
      </c>
      <c r="BF593" s="2" t="str">
        <f aca="false">HYPERLINK("http://dx.doi.org/10.1111/irv.12791","http://dx.doi.org/10.1111/irv.12791")</f>
        <v>http://dx.doi.org/10.1111/irv.12791</v>
      </c>
      <c r="BG593" s="2"/>
      <c r="BH593" s="2" t="s">
        <v>9434</v>
      </c>
      <c r="BI593" s="2" t="n">
        <v>9</v>
      </c>
      <c r="BJ593" s="2" t="s">
        <v>8287</v>
      </c>
      <c r="BK593" s="2" t="s">
        <v>100</v>
      </c>
      <c r="BL593" s="2" t="s">
        <v>8287</v>
      </c>
      <c r="BM593" s="2" t="s">
        <v>11098</v>
      </c>
      <c r="BN593" s="2" t="n">
        <v>32881286</v>
      </c>
      <c r="BO593" s="2" t="s">
        <v>103</v>
      </c>
      <c r="BP593" s="2"/>
      <c r="BQ593" s="2"/>
      <c r="BR593" s="2" t="s">
        <v>104</v>
      </c>
      <c r="BS593" s="2" t="s">
        <v>11099</v>
      </c>
      <c r="BT593" s="2" t="str">
        <f aca="false">HYPERLINK("https%3A%2F%2Fwww.webofscience.com%2Fwos%2Fwoscc%2Ffull-record%2FWOS:000565315500001","View Full Record in Web of Science")</f>
        <v>View Full Record in Web of Science</v>
      </c>
    </row>
    <row r="594" customFormat="false" ht="12.75" hidden="false" customHeight="false" outlineLevel="0" collapsed="false">
      <c r="A594" s="2" t="s">
        <v>72</v>
      </c>
      <c r="B594" s="2" t="s">
        <v>11100</v>
      </c>
      <c r="C594" s="2"/>
      <c r="D594" s="2"/>
      <c r="E594" s="2"/>
      <c r="F594" s="2" t="s">
        <v>11101</v>
      </c>
      <c r="G594" s="2"/>
      <c r="H594" s="2"/>
      <c r="I594" s="2" t="s">
        <v>11102</v>
      </c>
      <c r="J594" s="2" t="s">
        <v>7244</v>
      </c>
      <c r="K594" s="2"/>
      <c r="L594" s="2"/>
      <c r="M594" s="2" t="s">
        <v>77</v>
      </c>
      <c r="N594" s="2" t="s">
        <v>78</v>
      </c>
      <c r="O594" s="2"/>
      <c r="P594" s="2"/>
      <c r="Q594" s="2"/>
      <c r="R594" s="2"/>
      <c r="S594" s="2"/>
      <c r="T594" s="2" t="s">
        <v>11103</v>
      </c>
      <c r="U594" s="2" t="s">
        <v>11104</v>
      </c>
      <c r="V594" s="2" t="s">
        <v>11105</v>
      </c>
      <c r="W594" s="2" t="s">
        <v>11106</v>
      </c>
      <c r="X594" s="2" t="s">
        <v>11107</v>
      </c>
      <c r="Y594" s="2" t="s">
        <v>11108</v>
      </c>
      <c r="Z594" s="2" t="s">
        <v>11109</v>
      </c>
      <c r="AA594" s="2" t="s">
        <v>11110</v>
      </c>
      <c r="AB594" s="2" t="s">
        <v>11111</v>
      </c>
      <c r="AC594" s="2" t="s">
        <v>11112</v>
      </c>
      <c r="AD594" s="2" t="s">
        <v>11113</v>
      </c>
      <c r="AE594" s="2" t="s">
        <v>11114</v>
      </c>
      <c r="AF594" s="2"/>
      <c r="AG594" s="2" t="n">
        <v>25</v>
      </c>
      <c r="AH594" s="2" t="n">
        <v>27</v>
      </c>
      <c r="AI594" s="2" t="n">
        <v>29</v>
      </c>
      <c r="AJ594" s="2" t="n">
        <v>0</v>
      </c>
      <c r="AK594" s="2" t="n">
        <v>3</v>
      </c>
      <c r="AL594" s="2" t="s">
        <v>782</v>
      </c>
      <c r="AM594" s="2" t="s">
        <v>783</v>
      </c>
      <c r="AN594" s="2" t="s">
        <v>784</v>
      </c>
      <c r="AO594" s="2" t="s">
        <v>7252</v>
      </c>
      <c r="AP594" s="2" t="s">
        <v>7253</v>
      </c>
      <c r="AQ594" s="2"/>
      <c r="AR594" s="2" t="s">
        <v>7254</v>
      </c>
      <c r="AS594" s="2" t="s">
        <v>7255</v>
      </c>
      <c r="AT594" s="2" t="s">
        <v>129</v>
      </c>
      <c r="AU594" s="2" t="n">
        <v>2019</v>
      </c>
      <c r="AV594" s="2" t="n">
        <v>25</v>
      </c>
      <c r="AW594" s="2" t="n">
        <v>9</v>
      </c>
      <c r="AX594" s="2"/>
      <c r="AY594" s="2"/>
      <c r="AZ594" s="2"/>
      <c r="BA594" s="2"/>
      <c r="BB594" s="2" t="n">
        <v>1147</v>
      </c>
      <c r="BC594" s="2" t="n">
        <v>1153</v>
      </c>
      <c r="BD594" s="2"/>
      <c r="BE594" s="2" t="s">
        <v>11115</v>
      </c>
      <c r="BF594" s="2" t="str">
        <f aca="false">HYPERLINK("http://dx.doi.org/10.1016/j.cmi.2019.01.014","http://dx.doi.org/10.1016/j.cmi.2019.01.014")</f>
        <v>http://dx.doi.org/10.1016/j.cmi.2019.01.014</v>
      </c>
      <c r="BG594" s="2"/>
      <c r="BH594" s="2"/>
      <c r="BI594" s="2" t="n">
        <v>7</v>
      </c>
      <c r="BJ594" s="2" t="s">
        <v>1467</v>
      </c>
      <c r="BK594" s="2" t="s">
        <v>100</v>
      </c>
      <c r="BL594" s="2" t="s">
        <v>1467</v>
      </c>
      <c r="BM594" s="2" t="s">
        <v>11116</v>
      </c>
      <c r="BN594" s="2" t="n">
        <v>30703528</v>
      </c>
      <c r="BO594" s="2" t="s">
        <v>11117</v>
      </c>
      <c r="BP594" s="2"/>
      <c r="BQ594" s="2"/>
      <c r="BR594" s="2" t="s">
        <v>104</v>
      </c>
      <c r="BS594" s="2" t="s">
        <v>11118</v>
      </c>
      <c r="BT594" s="2" t="str">
        <f aca="false">HYPERLINK("https%3A%2F%2Fwww.webofscience.com%2Fwos%2Fwoscc%2Ffull-record%2FWOS:000481643000014","View Full Record in Web of Science")</f>
        <v>View Full Record in Web of Science</v>
      </c>
    </row>
    <row r="595" customFormat="false" ht="12.75" hidden="false" customHeight="false" outlineLevel="0" collapsed="false">
      <c r="A595" s="2" t="s">
        <v>72</v>
      </c>
      <c r="B595" s="2" t="s">
        <v>11119</v>
      </c>
      <c r="C595" s="2"/>
      <c r="D595" s="2"/>
      <c r="E595" s="2"/>
      <c r="F595" s="2" t="s">
        <v>11120</v>
      </c>
      <c r="G595" s="2"/>
      <c r="H595" s="2"/>
      <c r="I595" s="2" t="s">
        <v>11121</v>
      </c>
      <c r="J595" s="2" t="s">
        <v>3304</v>
      </c>
      <c r="K595" s="2"/>
      <c r="L595" s="2"/>
      <c r="M595" s="2" t="s">
        <v>77</v>
      </c>
      <c r="N595" s="2" t="s">
        <v>78</v>
      </c>
      <c r="O595" s="2"/>
      <c r="P595" s="2"/>
      <c r="Q595" s="2"/>
      <c r="R595" s="2"/>
      <c r="S595" s="2"/>
      <c r="T595" s="2" t="s">
        <v>11122</v>
      </c>
      <c r="U595" s="2" t="s">
        <v>11123</v>
      </c>
      <c r="V595" s="2" t="s">
        <v>11124</v>
      </c>
      <c r="W595" s="2" t="s">
        <v>11125</v>
      </c>
      <c r="X595" s="2" t="s">
        <v>11126</v>
      </c>
      <c r="Y595" s="2" t="s">
        <v>11127</v>
      </c>
      <c r="Z595" s="2" t="s">
        <v>11128</v>
      </c>
      <c r="AA595" s="2" t="s">
        <v>11129</v>
      </c>
      <c r="AB595" s="2" t="s">
        <v>11130</v>
      </c>
      <c r="AC595" s="2" t="s">
        <v>11131</v>
      </c>
      <c r="AD595" s="2" t="s">
        <v>11132</v>
      </c>
      <c r="AE595" s="2" t="s">
        <v>11133</v>
      </c>
      <c r="AF595" s="2"/>
      <c r="AG595" s="2" t="n">
        <v>64</v>
      </c>
      <c r="AH595" s="2" t="n">
        <v>30</v>
      </c>
      <c r="AI595" s="2" t="n">
        <v>30</v>
      </c>
      <c r="AJ595" s="2" t="n">
        <v>0</v>
      </c>
      <c r="AK595" s="2" t="n">
        <v>3</v>
      </c>
      <c r="AL595" s="2" t="s">
        <v>957</v>
      </c>
      <c r="AM595" s="2" t="s">
        <v>123</v>
      </c>
      <c r="AN595" s="2" t="s">
        <v>958</v>
      </c>
      <c r="AO595" s="2" t="s">
        <v>3312</v>
      </c>
      <c r="AP595" s="2" t="s">
        <v>3313</v>
      </c>
      <c r="AQ595" s="2"/>
      <c r="AR595" s="2" t="s">
        <v>3314</v>
      </c>
      <c r="AS595" s="2" t="s">
        <v>3315</v>
      </c>
      <c r="AT595" s="2" t="s">
        <v>446</v>
      </c>
      <c r="AU595" s="2" t="n">
        <v>2009</v>
      </c>
      <c r="AV595" s="2" t="n">
        <v>29</v>
      </c>
      <c r="AW595" s="2" t="n">
        <v>4</v>
      </c>
      <c r="AX595" s="2"/>
      <c r="AY595" s="2"/>
      <c r="AZ595" s="2"/>
      <c r="BA595" s="2"/>
      <c r="BB595" s="2" t="n">
        <v>649</v>
      </c>
      <c r="BC595" s="2" t="s">
        <v>986</v>
      </c>
      <c r="BD595" s="2"/>
      <c r="BE595" s="2" t="s">
        <v>11134</v>
      </c>
      <c r="BF595" s="2" t="str">
        <f aca="false">HYPERLINK("http://dx.doi.org/10.1016/j.cll.2009.07.006","http://dx.doi.org/10.1016/j.cll.2009.07.006")</f>
        <v>http://dx.doi.org/10.1016/j.cll.2009.07.006</v>
      </c>
      <c r="BG595" s="2"/>
      <c r="BH595" s="2"/>
      <c r="BI595" s="2" t="n">
        <v>14</v>
      </c>
      <c r="BJ595" s="2" t="s">
        <v>3122</v>
      </c>
      <c r="BK595" s="2" t="s">
        <v>100</v>
      </c>
      <c r="BL595" s="2" t="s">
        <v>3122</v>
      </c>
      <c r="BM595" s="2" t="s">
        <v>8555</v>
      </c>
      <c r="BN595" s="2" t="n">
        <v>19892226</v>
      </c>
      <c r="BO595" s="2"/>
      <c r="BP595" s="2"/>
      <c r="BQ595" s="2"/>
      <c r="BR595" s="2" t="s">
        <v>104</v>
      </c>
      <c r="BS595" s="2" t="s">
        <v>11135</v>
      </c>
      <c r="BT595" s="2" t="str">
        <f aca="false">HYPERLINK("https%3A%2F%2Fwww.webofscience.com%2Fwos%2Fwoscc%2Ffull-record%2FWOS:000272162100004","View Full Record in Web of Science")</f>
        <v>View Full Record in Web of Science</v>
      </c>
    </row>
    <row r="596" customFormat="false" ht="12.75" hidden="false" customHeight="false" outlineLevel="0" collapsed="false">
      <c r="A596" s="2" t="s">
        <v>72</v>
      </c>
      <c r="B596" s="2" t="s">
        <v>11136</v>
      </c>
      <c r="C596" s="2"/>
      <c r="D596" s="2"/>
      <c r="E596" s="2"/>
      <c r="F596" s="2" t="s">
        <v>11137</v>
      </c>
      <c r="G596" s="2"/>
      <c r="H596" s="2"/>
      <c r="I596" s="2" t="s">
        <v>11138</v>
      </c>
      <c r="J596" s="2" t="s">
        <v>2547</v>
      </c>
      <c r="K596" s="2"/>
      <c r="L596" s="2"/>
      <c r="M596" s="2" t="s">
        <v>77</v>
      </c>
      <c r="N596" s="2" t="s">
        <v>78</v>
      </c>
      <c r="O596" s="2"/>
      <c r="P596" s="2"/>
      <c r="Q596" s="2"/>
      <c r="R596" s="2"/>
      <c r="S596" s="2"/>
      <c r="T596" s="2" t="s">
        <v>11139</v>
      </c>
      <c r="U596" s="2"/>
      <c r="V596" s="2" t="s">
        <v>11140</v>
      </c>
      <c r="W596" s="2" t="s">
        <v>11141</v>
      </c>
      <c r="X596" s="2"/>
      <c r="Y596" s="2" t="s">
        <v>11142</v>
      </c>
      <c r="Z596" s="2" t="s">
        <v>11143</v>
      </c>
      <c r="AA596" s="2" t="s">
        <v>11144</v>
      </c>
      <c r="AB596" s="2" t="s">
        <v>11145</v>
      </c>
      <c r="AC596" s="2"/>
      <c r="AD596" s="2"/>
      <c r="AE596" s="2"/>
      <c r="AF596" s="2"/>
      <c r="AG596" s="2" t="n">
        <v>21</v>
      </c>
      <c r="AH596" s="2" t="n">
        <v>0</v>
      </c>
      <c r="AI596" s="2" t="n">
        <v>0</v>
      </c>
      <c r="AJ596" s="2" t="n">
        <v>0</v>
      </c>
      <c r="AK596" s="2" t="n">
        <v>4</v>
      </c>
      <c r="AL596" s="2" t="s">
        <v>782</v>
      </c>
      <c r="AM596" s="2" t="s">
        <v>783</v>
      </c>
      <c r="AN596" s="2" t="s">
        <v>784</v>
      </c>
      <c r="AO596" s="2" t="s">
        <v>2556</v>
      </c>
      <c r="AP596" s="2" t="s">
        <v>2557</v>
      </c>
      <c r="AQ596" s="2"/>
      <c r="AR596" s="2" t="s">
        <v>2547</v>
      </c>
      <c r="AS596" s="2" t="s">
        <v>2558</v>
      </c>
      <c r="AT596" s="2" t="s">
        <v>11146</v>
      </c>
      <c r="AU596" s="2" t="n">
        <v>2021</v>
      </c>
      <c r="AV596" s="2" t="n">
        <v>39</v>
      </c>
      <c r="AW596" s="2" t="n">
        <v>25</v>
      </c>
      <c r="AX596" s="2"/>
      <c r="AY596" s="2"/>
      <c r="AZ596" s="2"/>
      <c r="BA596" s="2"/>
      <c r="BB596" s="2" t="n">
        <v>3372</v>
      </c>
      <c r="BC596" s="2" t="n">
        <v>3378</v>
      </c>
      <c r="BD596" s="2"/>
      <c r="BE596" s="2" t="s">
        <v>11147</v>
      </c>
      <c r="BF596" s="2" t="str">
        <f aca="false">HYPERLINK("http://dx.doi.org/10.1016/j.vaccine.2021.04.059","http://dx.doi.org/10.1016/j.vaccine.2021.04.059")</f>
        <v>http://dx.doi.org/10.1016/j.vaccine.2021.04.059</v>
      </c>
      <c r="BG596" s="2"/>
      <c r="BH596" s="2" t="s">
        <v>11148</v>
      </c>
      <c r="BI596" s="2" t="n">
        <v>7</v>
      </c>
      <c r="BJ596" s="2" t="s">
        <v>187</v>
      </c>
      <c r="BK596" s="2" t="s">
        <v>100</v>
      </c>
      <c r="BL596" s="2" t="s">
        <v>188</v>
      </c>
      <c r="BM596" s="2" t="s">
        <v>11149</v>
      </c>
      <c r="BN596" s="2" t="n">
        <v>34016472</v>
      </c>
      <c r="BO596" s="2"/>
      <c r="BP596" s="2"/>
      <c r="BQ596" s="2"/>
      <c r="BR596" s="2" t="s">
        <v>104</v>
      </c>
      <c r="BS596" s="2" t="s">
        <v>11150</v>
      </c>
      <c r="BT596" s="2" t="str">
        <f aca="false">HYPERLINK("https%3A%2F%2Fwww.webofscience.com%2Fwos%2Fwoscc%2Ffull-record%2FWOS:000657001300012","View Full Record in Web of Science")</f>
        <v>View Full Record in Web of Science</v>
      </c>
    </row>
    <row r="597" customFormat="false" ht="12.75" hidden="false" customHeight="false" outlineLevel="0" collapsed="false">
      <c r="A597" s="2" t="s">
        <v>72</v>
      </c>
      <c r="B597" s="2" t="s">
        <v>11151</v>
      </c>
      <c r="C597" s="2"/>
      <c r="D597" s="2"/>
      <c r="E597" s="2"/>
      <c r="F597" s="2" t="s">
        <v>11152</v>
      </c>
      <c r="G597" s="2"/>
      <c r="H597" s="2"/>
      <c r="I597" s="2" t="s">
        <v>11153</v>
      </c>
      <c r="J597" s="2" t="s">
        <v>1048</v>
      </c>
      <c r="K597" s="2"/>
      <c r="L597" s="2"/>
      <c r="M597" s="2" t="s">
        <v>77</v>
      </c>
      <c r="N597" s="2" t="s">
        <v>78</v>
      </c>
      <c r="O597" s="2"/>
      <c r="P597" s="2"/>
      <c r="Q597" s="2"/>
      <c r="R597" s="2"/>
      <c r="S597" s="2"/>
      <c r="T597" s="2" t="s">
        <v>11154</v>
      </c>
      <c r="U597" s="2" t="s">
        <v>11155</v>
      </c>
      <c r="V597" s="2" t="s">
        <v>11156</v>
      </c>
      <c r="W597" s="2" t="s">
        <v>11157</v>
      </c>
      <c r="X597" s="2" t="s">
        <v>11158</v>
      </c>
      <c r="Y597" s="2" t="s">
        <v>11159</v>
      </c>
      <c r="Z597" s="2" t="s">
        <v>11160</v>
      </c>
      <c r="AA597" s="2" t="s">
        <v>11161</v>
      </c>
      <c r="AB597" s="2" t="s">
        <v>11162</v>
      </c>
      <c r="AC597" s="2"/>
      <c r="AD597" s="2"/>
      <c r="AE597" s="2"/>
      <c r="AF597" s="2"/>
      <c r="AG597" s="2" t="n">
        <v>40</v>
      </c>
      <c r="AH597" s="2" t="n">
        <v>10</v>
      </c>
      <c r="AI597" s="2" t="n">
        <v>11</v>
      </c>
      <c r="AJ597" s="2" t="n">
        <v>0</v>
      </c>
      <c r="AK597" s="2" t="n">
        <v>3</v>
      </c>
      <c r="AL597" s="2" t="s">
        <v>91</v>
      </c>
      <c r="AM597" s="2" t="s">
        <v>92</v>
      </c>
      <c r="AN597" s="2" t="s">
        <v>93</v>
      </c>
      <c r="AO597" s="2"/>
      <c r="AP597" s="2" t="s">
        <v>1061</v>
      </c>
      <c r="AQ597" s="2"/>
      <c r="AR597" s="2" t="s">
        <v>1048</v>
      </c>
      <c r="AS597" s="2" t="s">
        <v>1062</v>
      </c>
      <c r="AT597" s="2" t="s">
        <v>692</v>
      </c>
      <c r="AU597" s="2" t="n">
        <v>2020</v>
      </c>
      <c r="AV597" s="2" t="n">
        <v>8</v>
      </c>
      <c r="AW597" s="2" t="n">
        <v>4</v>
      </c>
      <c r="AX597" s="2"/>
      <c r="AY597" s="2"/>
      <c r="AZ597" s="2"/>
      <c r="BA597" s="2"/>
      <c r="BB597" s="2"/>
      <c r="BC597" s="2"/>
      <c r="BD597" s="2" t="n">
        <v>501</v>
      </c>
      <c r="BE597" s="2" t="s">
        <v>11163</v>
      </c>
      <c r="BF597" s="2" t="str">
        <f aca="false">HYPERLINK("http://dx.doi.org/10.3390/microorganisms8040501","http://dx.doi.org/10.3390/microorganisms8040501")</f>
        <v>http://dx.doi.org/10.3390/microorganisms8040501</v>
      </c>
      <c r="BG597" s="2"/>
      <c r="BH597" s="2"/>
      <c r="BI597" s="2" t="n">
        <v>13</v>
      </c>
      <c r="BJ597" s="2" t="s">
        <v>211</v>
      </c>
      <c r="BK597" s="2" t="s">
        <v>100</v>
      </c>
      <c r="BL597" s="2" t="s">
        <v>211</v>
      </c>
      <c r="BM597" s="2" t="s">
        <v>11164</v>
      </c>
      <c r="BN597" s="2" t="n">
        <v>32244685</v>
      </c>
      <c r="BO597" s="2" t="s">
        <v>103</v>
      </c>
      <c r="BP597" s="2"/>
      <c r="BQ597" s="2"/>
      <c r="BR597" s="2" t="s">
        <v>104</v>
      </c>
      <c r="BS597" s="2" t="s">
        <v>11165</v>
      </c>
      <c r="BT597" s="2" t="str">
        <f aca="false">HYPERLINK("https%3A%2F%2Fwww.webofscience.com%2Fwos%2Fwoscc%2Ffull-record%2FWOS:000533510400157","View Full Record in Web of Science")</f>
        <v>View Full Record in Web of Science</v>
      </c>
    </row>
    <row r="598" customFormat="false" ht="12.75" hidden="false" customHeight="false" outlineLevel="0" collapsed="false">
      <c r="A598" s="2" t="s">
        <v>72</v>
      </c>
      <c r="B598" s="2" t="s">
        <v>11166</v>
      </c>
      <c r="C598" s="2"/>
      <c r="D598" s="2"/>
      <c r="E598" s="2"/>
      <c r="F598" s="2" t="s">
        <v>11167</v>
      </c>
      <c r="G598" s="2"/>
      <c r="H598" s="2"/>
      <c r="I598" s="2" t="s">
        <v>11168</v>
      </c>
      <c r="J598" s="2" t="s">
        <v>3719</v>
      </c>
      <c r="K598" s="2"/>
      <c r="L598" s="2"/>
      <c r="M598" s="2" t="s">
        <v>77</v>
      </c>
      <c r="N598" s="2" t="s">
        <v>78</v>
      </c>
      <c r="O598" s="2"/>
      <c r="P598" s="2"/>
      <c r="Q598" s="2"/>
      <c r="R598" s="2"/>
      <c r="S598" s="2"/>
      <c r="T598" s="2" t="s">
        <v>11169</v>
      </c>
      <c r="U598" s="2" t="s">
        <v>11170</v>
      </c>
      <c r="V598" s="2" t="s">
        <v>11171</v>
      </c>
      <c r="W598" s="2" t="s">
        <v>11172</v>
      </c>
      <c r="X598" s="2" t="s">
        <v>11173</v>
      </c>
      <c r="Y598" s="2" t="s">
        <v>11174</v>
      </c>
      <c r="Z598" s="2" t="s">
        <v>11175</v>
      </c>
      <c r="AA598" s="2" t="s">
        <v>11176</v>
      </c>
      <c r="AB598" s="2"/>
      <c r="AC598" s="2" t="s">
        <v>11177</v>
      </c>
      <c r="AD598" s="2" t="s">
        <v>11178</v>
      </c>
      <c r="AE598" s="2" t="s">
        <v>11179</v>
      </c>
      <c r="AF598" s="2"/>
      <c r="AG598" s="2" t="n">
        <v>52</v>
      </c>
      <c r="AH598" s="2" t="n">
        <v>81</v>
      </c>
      <c r="AI598" s="2" t="n">
        <v>84</v>
      </c>
      <c r="AJ598" s="2" t="n">
        <v>1</v>
      </c>
      <c r="AK598" s="2" t="n">
        <v>21</v>
      </c>
      <c r="AL598" s="2" t="s">
        <v>3584</v>
      </c>
      <c r="AM598" s="2" t="s">
        <v>303</v>
      </c>
      <c r="AN598" s="2" t="s">
        <v>3585</v>
      </c>
      <c r="AO598" s="2" t="s">
        <v>3732</v>
      </c>
      <c r="AP598" s="2" t="s">
        <v>4677</v>
      </c>
      <c r="AQ598" s="2"/>
      <c r="AR598" s="2" t="s">
        <v>3733</v>
      </c>
      <c r="AS598" s="2" t="s">
        <v>3734</v>
      </c>
      <c r="AT598" s="2" t="s">
        <v>336</v>
      </c>
      <c r="AU598" s="2" t="n">
        <v>2011</v>
      </c>
      <c r="AV598" s="2" t="n">
        <v>63</v>
      </c>
      <c r="AW598" s="2" t="n">
        <v>4</v>
      </c>
      <c r="AX598" s="2"/>
      <c r="AY598" s="2"/>
      <c r="AZ598" s="2" t="s">
        <v>1627</v>
      </c>
      <c r="BA598" s="2"/>
      <c r="BB598" s="2" t="n">
        <v>260</v>
      </c>
      <c r="BC598" s="2" t="n">
        <v>266</v>
      </c>
      <c r="BD598" s="2"/>
      <c r="BE598" s="2" t="s">
        <v>11180</v>
      </c>
      <c r="BF598" s="2" t="str">
        <f aca="false">HYPERLINK("http://dx.doi.org/10.1016/j.jinf.2011.04.004","http://dx.doi.org/10.1016/j.jinf.2011.04.004")</f>
        <v>http://dx.doi.org/10.1016/j.jinf.2011.04.004</v>
      </c>
      <c r="BG598" s="2"/>
      <c r="BH598" s="2"/>
      <c r="BI598" s="2" t="n">
        <v>7</v>
      </c>
      <c r="BJ598" s="2" t="s">
        <v>575</v>
      </c>
      <c r="BK598" s="2" t="s">
        <v>100</v>
      </c>
      <c r="BL598" s="2" t="s">
        <v>575</v>
      </c>
      <c r="BM598" s="2" t="s">
        <v>11181</v>
      </c>
      <c r="BN598" s="2" t="n">
        <v>21546090</v>
      </c>
      <c r="BO598" s="2" t="s">
        <v>3505</v>
      </c>
      <c r="BP598" s="2"/>
      <c r="BQ598" s="2"/>
      <c r="BR598" s="2" t="s">
        <v>104</v>
      </c>
      <c r="BS598" s="2" t="s">
        <v>11182</v>
      </c>
      <c r="BT598" s="2" t="str">
        <f aca="false">HYPERLINK("https%3A%2F%2Fwww.webofscience.com%2Fwos%2Fwoscc%2Ffull-record%2FWOS:000295830200003","View Full Record in Web of Science")</f>
        <v>View Full Record in Web of Science</v>
      </c>
    </row>
    <row r="599" customFormat="false" ht="12.75" hidden="false" customHeight="false" outlineLevel="0" collapsed="false">
      <c r="A599" s="2" t="s">
        <v>72</v>
      </c>
      <c r="B599" s="2" t="s">
        <v>11183</v>
      </c>
      <c r="C599" s="2"/>
      <c r="D599" s="2"/>
      <c r="E599" s="2"/>
      <c r="F599" s="2" t="s">
        <v>11184</v>
      </c>
      <c r="G599" s="2"/>
      <c r="H599" s="2"/>
      <c r="I599" s="2" t="s">
        <v>11185</v>
      </c>
      <c r="J599" s="2" t="s">
        <v>5575</v>
      </c>
      <c r="K599" s="2"/>
      <c r="L599" s="2"/>
      <c r="M599" s="2" t="s">
        <v>77</v>
      </c>
      <c r="N599" s="2" t="s">
        <v>78</v>
      </c>
      <c r="O599" s="2"/>
      <c r="P599" s="2"/>
      <c r="Q599" s="2"/>
      <c r="R599" s="2"/>
      <c r="S599" s="2"/>
      <c r="T599" s="2" t="s">
        <v>11186</v>
      </c>
      <c r="U599" s="2" t="s">
        <v>11187</v>
      </c>
      <c r="V599" s="2" t="s">
        <v>11188</v>
      </c>
      <c r="W599" s="2" t="s">
        <v>11189</v>
      </c>
      <c r="X599" s="2" t="s">
        <v>11190</v>
      </c>
      <c r="Y599" s="2" t="s">
        <v>11191</v>
      </c>
      <c r="Z599" s="2" t="s">
        <v>11192</v>
      </c>
      <c r="AA599" s="2"/>
      <c r="AB599" s="2" t="s">
        <v>11193</v>
      </c>
      <c r="AC599" s="2" t="s">
        <v>11194</v>
      </c>
      <c r="AD599" s="2" t="s">
        <v>11195</v>
      </c>
      <c r="AE599" s="2" t="s">
        <v>11196</v>
      </c>
      <c r="AF599" s="2"/>
      <c r="AG599" s="2" t="n">
        <v>61</v>
      </c>
      <c r="AH599" s="2" t="n">
        <v>15</v>
      </c>
      <c r="AI599" s="2" t="n">
        <v>17</v>
      </c>
      <c r="AJ599" s="2" t="n">
        <v>0</v>
      </c>
      <c r="AK599" s="2" t="n">
        <v>6</v>
      </c>
      <c r="AL599" s="2" t="s">
        <v>5588</v>
      </c>
      <c r="AM599" s="2" t="s">
        <v>5589</v>
      </c>
      <c r="AN599" s="2" t="s">
        <v>5590</v>
      </c>
      <c r="AO599" s="2" t="s">
        <v>5591</v>
      </c>
      <c r="AP599" s="2"/>
      <c r="AQ599" s="2"/>
      <c r="AR599" s="2" t="s">
        <v>5575</v>
      </c>
      <c r="AS599" s="2" t="s">
        <v>163</v>
      </c>
      <c r="AT599" s="2" t="s">
        <v>692</v>
      </c>
      <c r="AU599" s="2" t="n">
        <v>2020</v>
      </c>
      <c r="AV599" s="2" t="n">
        <v>543</v>
      </c>
      <c r="AW599" s="2"/>
      <c r="AX599" s="2"/>
      <c r="AY599" s="2"/>
      <c r="AZ599" s="2"/>
      <c r="BA599" s="2"/>
      <c r="BB599" s="2" t="n">
        <v>43</v>
      </c>
      <c r="BC599" s="2" t="n">
        <v>53</v>
      </c>
      <c r="BD599" s="2"/>
      <c r="BE599" s="2" t="s">
        <v>11197</v>
      </c>
      <c r="BF599" s="2" t="str">
        <f aca="false">HYPERLINK("http://dx.doi.org/10.1016/j.virol.2020.01.004","http://dx.doi.org/10.1016/j.virol.2020.01.004")</f>
        <v>http://dx.doi.org/10.1016/j.virol.2020.01.004</v>
      </c>
      <c r="BG599" s="2"/>
      <c r="BH599" s="2"/>
      <c r="BI599" s="2" t="n">
        <v>11</v>
      </c>
      <c r="BJ599" s="2" t="s">
        <v>163</v>
      </c>
      <c r="BK599" s="2" t="s">
        <v>100</v>
      </c>
      <c r="BL599" s="2" t="s">
        <v>163</v>
      </c>
      <c r="BM599" s="2" t="s">
        <v>11198</v>
      </c>
      <c r="BN599" s="2" t="n">
        <v>32056846</v>
      </c>
      <c r="BO599" s="2" t="s">
        <v>11199</v>
      </c>
      <c r="BP599" s="2"/>
      <c r="BQ599" s="2"/>
      <c r="BR599" s="2" t="s">
        <v>104</v>
      </c>
      <c r="BS599" s="2" t="s">
        <v>11200</v>
      </c>
      <c r="BT599" s="2" t="str">
        <f aca="false">HYPERLINK("https%3A%2F%2Fwww.webofscience.com%2Fwos%2Fwoscc%2Ffull-record%2FWOS:000526889900007","View Full Record in Web of Science")</f>
        <v>View Full Record in Web of Science</v>
      </c>
    </row>
    <row r="600" customFormat="false" ht="12.75" hidden="false" customHeight="false" outlineLevel="0" collapsed="false">
      <c r="A600" s="2" t="s">
        <v>72</v>
      </c>
      <c r="B600" s="2" t="s">
        <v>11201</v>
      </c>
      <c r="C600" s="2"/>
      <c r="D600" s="2"/>
      <c r="E600" s="2"/>
      <c r="F600" s="2" t="s">
        <v>11202</v>
      </c>
      <c r="G600" s="2"/>
      <c r="H600" s="2"/>
      <c r="I600" s="2" t="s">
        <v>11203</v>
      </c>
      <c r="J600" s="2" t="s">
        <v>11204</v>
      </c>
      <c r="K600" s="2"/>
      <c r="L600" s="2"/>
      <c r="M600" s="2" t="s">
        <v>77</v>
      </c>
      <c r="N600" s="2" t="s">
        <v>78</v>
      </c>
      <c r="O600" s="2"/>
      <c r="P600" s="2"/>
      <c r="Q600" s="2"/>
      <c r="R600" s="2"/>
      <c r="S600" s="2"/>
      <c r="T600" s="2" t="s">
        <v>11205</v>
      </c>
      <c r="U600" s="2"/>
      <c r="V600" s="2" t="s">
        <v>11206</v>
      </c>
      <c r="W600" s="2" t="s">
        <v>11207</v>
      </c>
      <c r="X600" s="2" t="s">
        <v>11208</v>
      </c>
      <c r="Y600" s="2" t="s">
        <v>11209</v>
      </c>
      <c r="Z600" s="2" t="s">
        <v>11210</v>
      </c>
      <c r="AA600" s="2"/>
      <c r="AB600" s="2"/>
      <c r="AC600" s="2"/>
      <c r="AD600" s="2"/>
      <c r="AE600" s="2"/>
      <c r="AF600" s="2"/>
      <c r="AG600" s="2" t="n">
        <v>19</v>
      </c>
      <c r="AH600" s="2" t="n">
        <v>1</v>
      </c>
      <c r="AI600" s="2" t="n">
        <v>1</v>
      </c>
      <c r="AJ600" s="2" t="n">
        <v>0</v>
      </c>
      <c r="AK600" s="2" t="n">
        <v>2</v>
      </c>
      <c r="AL600" s="2" t="s">
        <v>11211</v>
      </c>
      <c r="AM600" s="2" t="s">
        <v>11212</v>
      </c>
      <c r="AN600" s="2" t="s">
        <v>11213</v>
      </c>
      <c r="AO600" s="2" t="s">
        <v>11214</v>
      </c>
      <c r="AP600" s="2" t="s">
        <v>11215</v>
      </c>
      <c r="AQ600" s="2"/>
      <c r="AR600" s="2" t="s">
        <v>11216</v>
      </c>
      <c r="AS600" s="2" t="s">
        <v>11217</v>
      </c>
      <c r="AT600" s="2" t="s">
        <v>3673</v>
      </c>
      <c r="AU600" s="2" t="n">
        <v>2023</v>
      </c>
      <c r="AV600" s="2" t="n">
        <v>81</v>
      </c>
      <c r="AW600" s="2" t="n">
        <v>4</v>
      </c>
      <c r="AX600" s="2"/>
      <c r="AY600" s="2"/>
      <c r="AZ600" s="2"/>
      <c r="BA600" s="2"/>
      <c r="BB600" s="2" t="n">
        <v>403</v>
      </c>
      <c r="BC600" s="2" t="n">
        <v>409</v>
      </c>
      <c r="BD600" s="2"/>
      <c r="BE600" s="2" t="s">
        <v>11218</v>
      </c>
      <c r="BF600" s="2" t="str">
        <f aca="false">HYPERLINK("http://dx.doi.org/10.1684/abc.2023.1827","http://dx.doi.org/10.1684/abc.2023.1827")</f>
        <v>http://dx.doi.org/10.1684/abc.2023.1827</v>
      </c>
      <c r="BG600" s="2"/>
      <c r="BH600" s="2"/>
      <c r="BI600" s="2" t="n">
        <v>7</v>
      </c>
      <c r="BJ600" s="2" t="s">
        <v>11219</v>
      </c>
      <c r="BK600" s="2" t="s">
        <v>100</v>
      </c>
      <c r="BL600" s="2" t="s">
        <v>11220</v>
      </c>
      <c r="BM600" s="2" t="s">
        <v>11221</v>
      </c>
      <c r="BN600" s="2" t="n">
        <v>37864446</v>
      </c>
      <c r="BO600" s="2"/>
      <c r="BP600" s="2"/>
      <c r="BQ600" s="2"/>
      <c r="BR600" s="2" t="s">
        <v>104</v>
      </c>
      <c r="BS600" s="2" t="s">
        <v>11222</v>
      </c>
      <c r="BT600" s="2" t="str">
        <f aca="false">HYPERLINK("https%3A%2F%2Fwww.webofscience.com%2Fwos%2Fwoscc%2Ffull-record%2FWOS:001101905700007","View Full Record in Web of Science")</f>
        <v>View Full Record in Web of Science</v>
      </c>
    </row>
    <row r="601" customFormat="false" ht="12.75" hidden="false" customHeight="false" outlineLevel="0" collapsed="false">
      <c r="A601" s="2" t="s">
        <v>72</v>
      </c>
      <c r="B601" s="2" t="s">
        <v>11223</v>
      </c>
      <c r="C601" s="2"/>
      <c r="D601" s="2"/>
      <c r="E601" s="2"/>
      <c r="F601" s="2" t="s">
        <v>11223</v>
      </c>
      <c r="G601" s="2"/>
      <c r="H601" s="2"/>
      <c r="I601" s="2" t="s">
        <v>11224</v>
      </c>
      <c r="J601" s="2" t="s">
        <v>2547</v>
      </c>
      <c r="K601" s="2"/>
      <c r="L601" s="2"/>
      <c r="M601" s="2" t="s">
        <v>77</v>
      </c>
      <c r="N601" s="2" t="s">
        <v>78</v>
      </c>
      <c r="O601" s="2"/>
      <c r="P601" s="2"/>
      <c r="Q601" s="2"/>
      <c r="R601" s="2"/>
      <c r="S601" s="2"/>
      <c r="T601" s="2" t="s">
        <v>11225</v>
      </c>
      <c r="U601" s="2" t="s">
        <v>11226</v>
      </c>
      <c r="V601" s="2" t="s">
        <v>11227</v>
      </c>
      <c r="W601" s="2" t="s">
        <v>11228</v>
      </c>
      <c r="X601" s="2"/>
      <c r="Y601" s="2" t="s">
        <v>11229</v>
      </c>
      <c r="Z601" s="2" t="s">
        <v>11230</v>
      </c>
      <c r="AA601" s="2"/>
      <c r="AB601" s="2" t="s">
        <v>11231</v>
      </c>
      <c r="AC601" s="2"/>
      <c r="AD601" s="2"/>
      <c r="AE601" s="2"/>
      <c r="AF601" s="2"/>
      <c r="AG601" s="2" t="n">
        <v>93</v>
      </c>
      <c r="AH601" s="2" t="n">
        <v>69</v>
      </c>
      <c r="AI601" s="2" t="n">
        <v>79</v>
      </c>
      <c r="AJ601" s="2" t="n">
        <v>1</v>
      </c>
      <c r="AK601" s="2" t="n">
        <v>8</v>
      </c>
      <c r="AL601" s="2" t="s">
        <v>782</v>
      </c>
      <c r="AM601" s="2" t="s">
        <v>783</v>
      </c>
      <c r="AN601" s="2" t="s">
        <v>784</v>
      </c>
      <c r="AO601" s="2" t="s">
        <v>2556</v>
      </c>
      <c r="AP601" s="2" t="s">
        <v>2557</v>
      </c>
      <c r="AQ601" s="2"/>
      <c r="AR601" s="2" t="s">
        <v>2547</v>
      </c>
      <c r="AS601" s="2" t="s">
        <v>2558</v>
      </c>
      <c r="AT601" s="2" t="s">
        <v>11232</v>
      </c>
      <c r="AU601" s="2" t="n">
        <v>2005</v>
      </c>
      <c r="AV601" s="2" t="n">
        <v>23</v>
      </c>
      <c r="AW601" s="2"/>
      <c r="AX601" s="2"/>
      <c r="AY601" s="2" t="n">
        <v>1</v>
      </c>
      <c r="AZ601" s="2"/>
      <c r="BA601" s="2"/>
      <c r="BB601" s="2" t="s">
        <v>5280</v>
      </c>
      <c r="BC601" s="2" t="s">
        <v>11233</v>
      </c>
      <c r="BD601" s="2"/>
      <c r="BE601" s="2" t="s">
        <v>11234</v>
      </c>
      <c r="BF601" s="2" t="str">
        <f aca="false">HYPERLINK("http://dx.doi.org/10.1016/j.vaccine.2005.04.018","http://dx.doi.org/10.1016/j.vaccine.2005.04.018")</f>
        <v>http://dx.doi.org/10.1016/j.vaccine.2005.04.018</v>
      </c>
      <c r="BG601" s="2"/>
      <c r="BH601" s="2"/>
      <c r="BI601" s="2" t="n">
        <v>9</v>
      </c>
      <c r="BJ601" s="2" t="s">
        <v>187</v>
      </c>
      <c r="BK601" s="2" t="s">
        <v>1086</v>
      </c>
      <c r="BL601" s="2" t="s">
        <v>188</v>
      </c>
      <c r="BM601" s="2" t="s">
        <v>11235</v>
      </c>
      <c r="BN601" s="2" t="n">
        <v>15908058</v>
      </c>
      <c r="BO601" s="2"/>
      <c r="BP601" s="2"/>
      <c r="BQ601" s="2"/>
      <c r="BR601" s="2" t="s">
        <v>104</v>
      </c>
      <c r="BS601" s="2" t="s">
        <v>11236</v>
      </c>
      <c r="BT601" s="2" t="str">
        <f aca="false">HYPERLINK("https%3A%2F%2Fwww.webofscience.com%2Fwos%2Fwoscc%2Ffull-record%2FWOS:000231364600001","View Full Record in Web of Science")</f>
        <v>View Full Record in Web of Science</v>
      </c>
    </row>
    <row r="602" customFormat="false" ht="12.75" hidden="false" customHeight="false" outlineLevel="0" collapsed="false">
      <c r="A602" s="2" t="s">
        <v>72</v>
      </c>
      <c r="B602" s="2" t="s">
        <v>11237</v>
      </c>
      <c r="C602" s="2"/>
      <c r="D602" s="2"/>
      <c r="E602" s="2"/>
      <c r="F602" s="2" t="s">
        <v>11238</v>
      </c>
      <c r="G602" s="2"/>
      <c r="H602" s="2"/>
      <c r="I602" s="2" t="s">
        <v>11239</v>
      </c>
      <c r="J602" s="2" t="s">
        <v>141</v>
      </c>
      <c r="K602" s="2"/>
      <c r="L602" s="2"/>
      <c r="M602" s="2" t="s">
        <v>77</v>
      </c>
      <c r="N602" s="2" t="s">
        <v>78</v>
      </c>
      <c r="O602" s="2"/>
      <c r="P602" s="2"/>
      <c r="Q602" s="2"/>
      <c r="R602" s="2"/>
      <c r="S602" s="2"/>
      <c r="T602" s="2" t="s">
        <v>11240</v>
      </c>
      <c r="U602" s="2" t="s">
        <v>11241</v>
      </c>
      <c r="V602" s="2" t="s">
        <v>11242</v>
      </c>
      <c r="W602" s="2" t="s">
        <v>11243</v>
      </c>
      <c r="X602" s="2" t="s">
        <v>11244</v>
      </c>
      <c r="Y602" s="2" t="s">
        <v>11245</v>
      </c>
      <c r="Z602" s="2" t="s">
        <v>11246</v>
      </c>
      <c r="AA602" s="2" t="s">
        <v>11247</v>
      </c>
      <c r="AB602" s="2"/>
      <c r="AC602" s="2" t="s">
        <v>11248</v>
      </c>
      <c r="AD602" s="2" t="s">
        <v>11249</v>
      </c>
      <c r="AE602" s="2" t="s">
        <v>11250</v>
      </c>
      <c r="AF602" s="2"/>
      <c r="AG602" s="2" t="n">
        <v>29</v>
      </c>
      <c r="AH602" s="2" t="n">
        <v>8</v>
      </c>
      <c r="AI602" s="2" t="n">
        <v>8</v>
      </c>
      <c r="AJ602" s="2" t="n">
        <v>1</v>
      </c>
      <c r="AK602" s="2" t="n">
        <v>4</v>
      </c>
      <c r="AL602" s="2" t="s">
        <v>3813</v>
      </c>
      <c r="AM602" s="2" t="s">
        <v>155</v>
      </c>
      <c r="AN602" s="2" t="s">
        <v>156</v>
      </c>
      <c r="AO602" s="2" t="s">
        <v>157</v>
      </c>
      <c r="AP602" s="2" t="s">
        <v>158</v>
      </c>
      <c r="AQ602" s="2"/>
      <c r="AR602" s="2" t="s">
        <v>159</v>
      </c>
      <c r="AS602" s="2" t="s">
        <v>160</v>
      </c>
      <c r="AT602" s="2" t="s">
        <v>185</v>
      </c>
      <c r="AU602" s="2" t="n">
        <v>2016</v>
      </c>
      <c r="AV602" s="2" t="n">
        <v>88</v>
      </c>
      <c r="AW602" s="2" t="n">
        <v>8</v>
      </c>
      <c r="AX602" s="2"/>
      <c r="AY602" s="2"/>
      <c r="AZ602" s="2"/>
      <c r="BA602" s="2"/>
      <c r="BB602" s="2" t="n">
        <v>1325</v>
      </c>
      <c r="BC602" s="2" t="n">
        <v>1333</v>
      </c>
      <c r="BD602" s="2"/>
      <c r="BE602" s="2" t="s">
        <v>11251</v>
      </c>
      <c r="BF602" s="2" t="str">
        <f aca="false">HYPERLINK("http://dx.doi.org/10.1002/jmv.24477","http://dx.doi.org/10.1002/jmv.24477")</f>
        <v>http://dx.doi.org/10.1002/jmv.24477</v>
      </c>
      <c r="BG602" s="2"/>
      <c r="BH602" s="2"/>
      <c r="BI602" s="2" t="n">
        <v>9</v>
      </c>
      <c r="BJ602" s="2" t="s">
        <v>163</v>
      </c>
      <c r="BK602" s="2" t="s">
        <v>100</v>
      </c>
      <c r="BL602" s="2" t="s">
        <v>163</v>
      </c>
      <c r="BM602" s="2" t="s">
        <v>11252</v>
      </c>
      <c r="BN602" s="2" t="n">
        <v>26773605</v>
      </c>
      <c r="BO602" s="2" t="s">
        <v>538</v>
      </c>
      <c r="BP602" s="2"/>
      <c r="BQ602" s="2"/>
      <c r="BR602" s="2" t="s">
        <v>104</v>
      </c>
      <c r="BS602" s="2" t="s">
        <v>11253</v>
      </c>
      <c r="BT602" s="2" t="str">
        <f aca="false">HYPERLINK("https%3A%2F%2Fwww.webofscience.com%2Fwos%2Fwoscc%2Ffull-record%2FWOS:000383669500008","View Full Record in Web of Science")</f>
        <v>View Full Record in Web of Science</v>
      </c>
    </row>
    <row r="603" customFormat="false" ht="12.75" hidden="false" customHeight="false" outlineLevel="0" collapsed="false">
      <c r="A603" s="2" t="s">
        <v>72</v>
      </c>
      <c r="B603" s="2" t="s">
        <v>11254</v>
      </c>
      <c r="C603" s="2"/>
      <c r="D603" s="2"/>
      <c r="E603" s="2"/>
      <c r="F603" s="2" t="s">
        <v>11254</v>
      </c>
      <c r="G603" s="2"/>
      <c r="H603" s="2"/>
      <c r="I603" s="2" t="s">
        <v>11255</v>
      </c>
      <c r="J603" s="2" t="s">
        <v>2547</v>
      </c>
      <c r="K603" s="2"/>
      <c r="L603" s="2"/>
      <c r="M603" s="2" t="s">
        <v>77</v>
      </c>
      <c r="N603" s="2" t="s">
        <v>78</v>
      </c>
      <c r="O603" s="2"/>
      <c r="P603" s="2"/>
      <c r="Q603" s="2"/>
      <c r="R603" s="2"/>
      <c r="S603" s="2"/>
      <c r="T603" s="2" t="s">
        <v>11256</v>
      </c>
      <c r="U603" s="2" t="s">
        <v>11257</v>
      </c>
      <c r="V603" s="2" t="s">
        <v>11258</v>
      </c>
      <c r="W603" s="2" t="s">
        <v>11259</v>
      </c>
      <c r="X603" s="2" t="s">
        <v>11260</v>
      </c>
      <c r="Y603" s="2" t="s">
        <v>11261</v>
      </c>
      <c r="Z603" s="2" t="s">
        <v>11262</v>
      </c>
      <c r="AA603" s="2"/>
      <c r="AB603" s="2"/>
      <c r="AC603" s="2"/>
      <c r="AD603" s="2"/>
      <c r="AE603" s="2"/>
      <c r="AF603" s="2"/>
      <c r="AG603" s="2" t="n">
        <v>29</v>
      </c>
      <c r="AH603" s="2" t="n">
        <v>81</v>
      </c>
      <c r="AI603" s="2" t="n">
        <v>89</v>
      </c>
      <c r="AJ603" s="2" t="n">
        <v>0</v>
      </c>
      <c r="AK603" s="2" t="n">
        <v>4</v>
      </c>
      <c r="AL603" s="2" t="s">
        <v>782</v>
      </c>
      <c r="AM603" s="2" t="s">
        <v>783</v>
      </c>
      <c r="AN603" s="2" t="s">
        <v>784</v>
      </c>
      <c r="AO603" s="2" t="s">
        <v>2556</v>
      </c>
      <c r="AP603" s="2"/>
      <c r="AQ603" s="2"/>
      <c r="AR603" s="2" t="s">
        <v>2547</v>
      </c>
      <c r="AS603" s="2" t="s">
        <v>2558</v>
      </c>
      <c r="AT603" s="2" t="s">
        <v>8428</v>
      </c>
      <c r="AU603" s="2" t="n">
        <v>2006</v>
      </c>
      <c r="AV603" s="2" t="n">
        <v>24</v>
      </c>
      <c r="AW603" s="2" t="n">
        <v>1</v>
      </c>
      <c r="AX603" s="2"/>
      <c r="AY603" s="2"/>
      <c r="AZ603" s="2"/>
      <c r="BA603" s="2"/>
      <c r="BB603" s="2" t="n">
        <v>102</v>
      </c>
      <c r="BC603" s="2" t="n">
        <v>108</v>
      </c>
      <c r="BD603" s="2"/>
      <c r="BE603" s="2" t="s">
        <v>11263</v>
      </c>
      <c r="BF603" s="2" t="str">
        <f aca="false">HYPERLINK("http://dx.doi.org/10.1016/j.vaccine.2005.02.004","http://dx.doi.org/10.1016/j.vaccine.2005.02.004")</f>
        <v>http://dx.doi.org/10.1016/j.vaccine.2005.02.004</v>
      </c>
      <c r="BG603" s="2"/>
      <c r="BH603" s="2"/>
      <c r="BI603" s="2" t="n">
        <v>7</v>
      </c>
      <c r="BJ603" s="2" t="s">
        <v>187</v>
      </c>
      <c r="BK603" s="2" t="s">
        <v>100</v>
      </c>
      <c r="BL603" s="2" t="s">
        <v>188</v>
      </c>
      <c r="BM603" s="2" t="s">
        <v>11264</v>
      </c>
      <c r="BN603" s="2" t="n">
        <v>16310899</v>
      </c>
      <c r="BO603" s="2"/>
      <c r="BP603" s="2"/>
      <c r="BQ603" s="2"/>
      <c r="BR603" s="2" t="s">
        <v>104</v>
      </c>
      <c r="BS603" s="2" t="s">
        <v>11265</v>
      </c>
      <c r="BT603" s="2" t="str">
        <f aca="false">HYPERLINK("https%3A%2F%2Fwww.webofscience.com%2Fwos%2Fwoscc%2Ffull-record%2FWOS:000234777600013","View Full Record in Web of Science")</f>
        <v>View Full Record in Web of Science</v>
      </c>
    </row>
    <row r="604" customFormat="false" ht="12.75" hidden="false" customHeight="false" outlineLevel="0" collapsed="false">
      <c r="A604" s="2" t="s">
        <v>72</v>
      </c>
      <c r="B604" s="2" t="s">
        <v>11266</v>
      </c>
      <c r="C604" s="2"/>
      <c r="D604" s="2"/>
      <c r="E604" s="2"/>
      <c r="F604" s="2" t="s">
        <v>11267</v>
      </c>
      <c r="G604" s="2"/>
      <c r="H604" s="2"/>
      <c r="I604" s="2" t="s">
        <v>11268</v>
      </c>
      <c r="J604" s="2" t="s">
        <v>1863</v>
      </c>
      <c r="K604" s="2"/>
      <c r="L604" s="2"/>
      <c r="M604" s="2" t="s">
        <v>77</v>
      </c>
      <c r="N604" s="2" t="s">
        <v>78</v>
      </c>
      <c r="O604" s="2"/>
      <c r="P604" s="2"/>
      <c r="Q604" s="2"/>
      <c r="R604" s="2"/>
      <c r="S604" s="2"/>
      <c r="T604" s="2" t="s">
        <v>11269</v>
      </c>
      <c r="U604" s="2" t="s">
        <v>11270</v>
      </c>
      <c r="V604" s="2" t="s">
        <v>11271</v>
      </c>
      <c r="W604" s="2" t="s">
        <v>11272</v>
      </c>
      <c r="X604" s="2" t="s">
        <v>11273</v>
      </c>
      <c r="Y604" s="2" t="s">
        <v>11274</v>
      </c>
      <c r="Z604" s="2" t="s">
        <v>11275</v>
      </c>
      <c r="AA604" s="2" t="s">
        <v>11276</v>
      </c>
      <c r="AB604" s="2" t="s">
        <v>11277</v>
      </c>
      <c r="AC604" s="2"/>
      <c r="AD604" s="2"/>
      <c r="AE604" s="2"/>
      <c r="AF604" s="2"/>
      <c r="AG604" s="2" t="n">
        <v>16</v>
      </c>
      <c r="AH604" s="2" t="n">
        <v>16</v>
      </c>
      <c r="AI604" s="2" t="n">
        <v>19</v>
      </c>
      <c r="AJ604" s="2" t="n">
        <v>0</v>
      </c>
      <c r="AK604" s="2" t="n">
        <v>5</v>
      </c>
      <c r="AL604" s="2" t="s">
        <v>302</v>
      </c>
      <c r="AM604" s="2" t="s">
        <v>303</v>
      </c>
      <c r="AN604" s="2" t="s">
        <v>304</v>
      </c>
      <c r="AO604" s="2"/>
      <c r="AP604" s="2" t="s">
        <v>1876</v>
      </c>
      <c r="AQ604" s="2"/>
      <c r="AR604" s="2" t="s">
        <v>1877</v>
      </c>
      <c r="AS604" s="2" t="s">
        <v>1878</v>
      </c>
      <c r="AT604" s="2" t="s">
        <v>2602</v>
      </c>
      <c r="AU604" s="2" t="n">
        <v>2014</v>
      </c>
      <c r="AV604" s="2" t="n">
        <v>11</v>
      </c>
      <c r="AW604" s="2"/>
      <c r="AX604" s="2"/>
      <c r="AY604" s="2"/>
      <c r="AZ604" s="2"/>
      <c r="BA604" s="2"/>
      <c r="BB604" s="2"/>
      <c r="BC604" s="2"/>
      <c r="BD604" s="2" t="n">
        <v>113</v>
      </c>
      <c r="BE604" s="2" t="s">
        <v>11278</v>
      </c>
      <c r="BF604" s="2" t="str">
        <f aca="false">HYPERLINK("http://dx.doi.org/10.1186/1743-422X-11-113","http://dx.doi.org/10.1186/1743-422X-11-113")</f>
        <v>http://dx.doi.org/10.1186/1743-422X-11-113</v>
      </c>
      <c r="BG604" s="2"/>
      <c r="BH604" s="2"/>
      <c r="BI604" s="2" t="n">
        <v>5</v>
      </c>
      <c r="BJ604" s="2" t="s">
        <v>163</v>
      </c>
      <c r="BK604" s="2" t="s">
        <v>100</v>
      </c>
      <c r="BL604" s="2" t="s">
        <v>163</v>
      </c>
      <c r="BM604" s="2" t="s">
        <v>11279</v>
      </c>
      <c r="BN604" s="2" t="n">
        <v>24942807</v>
      </c>
      <c r="BO604" s="2" t="s">
        <v>103</v>
      </c>
      <c r="BP604" s="2"/>
      <c r="BQ604" s="2"/>
      <c r="BR604" s="2" t="s">
        <v>104</v>
      </c>
      <c r="BS604" s="2" t="s">
        <v>11280</v>
      </c>
      <c r="BT604" s="2" t="str">
        <f aca="false">HYPERLINK("https%3A%2F%2Fwww.webofscience.com%2Fwos%2Fwoscc%2Ffull-record%2FWOS:000338459300001","View Full Record in Web of Science")</f>
        <v>View Full Record in Web of Science</v>
      </c>
    </row>
    <row r="605" customFormat="false" ht="12.75" hidden="false" customHeight="false" outlineLevel="0" collapsed="false">
      <c r="A605" s="2" t="s">
        <v>72</v>
      </c>
      <c r="B605" s="2" t="s">
        <v>11281</v>
      </c>
      <c r="C605" s="2"/>
      <c r="D605" s="2"/>
      <c r="E605" s="2"/>
      <c r="F605" s="2" t="s">
        <v>11282</v>
      </c>
      <c r="G605" s="2"/>
      <c r="H605" s="2"/>
      <c r="I605" s="2" t="s">
        <v>11283</v>
      </c>
      <c r="J605" s="2" t="s">
        <v>514</v>
      </c>
      <c r="K605" s="2"/>
      <c r="L605" s="2"/>
      <c r="M605" s="2" t="s">
        <v>77</v>
      </c>
      <c r="N605" s="2" t="s">
        <v>78</v>
      </c>
      <c r="O605" s="2"/>
      <c r="P605" s="2"/>
      <c r="Q605" s="2"/>
      <c r="R605" s="2"/>
      <c r="S605" s="2"/>
      <c r="T605" s="2" t="s">
        <v>11284</v>
      </c>
      <c r="U605" s="2" t="s">
        <v>11285</v>
      </c>
      <c r="V605" s="2" t="s">
        <v>11286</v>
      </c>
      <c r="W605" s="2" t="s">
        <v>11287</v>
      </c>
      <c r="X605" s="2" t="s">
        <v>11288</v>
      </c>
      <c r="Y605" s="2" t="s">
        <v>11289</v>
      </c>
      <c r="Z605" s="2" t="s">
        <v>11290</v>
      </c>
      <c r="AA605" s="2"/>
      <c r="AB605" s="2" t="s">
        <v>11291</v>
      </c>
      <c r="AC605" s="2" t="s">
        <v>11292</v>
      </c>
      <c r="AD605" s="2" t="s">
        <v>11293</v>
      </c>
      <c r="AE605" s="2" t="s">
        <v>11294</v>
      </c>
      <c r="AF605" s="2"/>
      <c r="AG605" s="2" t="n">
        <v>11</v>
      </c>
      <c r="AH605" s="2" t="n">
        <v>12</v>
      </c>
      <c r="AI605" s="2" t="n">
        <v>12</v>
      </c>
      <c r="AJ605" s="2" t="n">
        <v>0</v>
      </c>
      <c r="AK605" s="2" t="n">
        <v>4</v>
      </c>
      <c r="AL605" s="2" t="s">
        <v>527</v>
      </c>
      <c r="AM605" s="2" t="s">
        <v>528</v>
      </c>
      <c r="AN605" s="2" t="s">
        <v>529</v>
      </c>
      <c r="AO605" s="2" t="s">
        <v>530</v>
      </c>
      <c r="AP605" s="2" t="s">
        <v>531</v>
      </c>
      <c r="AQ605" s="2"/>
      <c r="AR605" s="2" t="s">
        <v>532</v>
      </c>
      <c r="AS605" s="2" t="s">
        <v>533</v>
      </c>
      <c r="AT605" s="2" t="s">
        <v>4756</v>
      </c>
      <c r="AU605" s="2" t="n">
        <v>2015</v>
      </c>
      <c r="AV605" s="2" t="n">
        <v>212</v>
      </c>
      <c r="AW605" s="2" t="n">
        <v>10</v>
      </c>
      <c r="AX605" s="2"/>
      <c r="AY605" s="2"/>
      <c r="AZ605" s="2"/>
      <c r="BA605" s="2"/>
      <c r="BB605" s="2" t="n">
        <v>1600</v>
      </c>
      <c r="BC605" s="2" t="n">
        <v>1603</v>
      </c>
      <c r="BD605" s="2"/>
      <c r="BE605" s="2" t="s">
        <v>11295</v>
      </c>
      <c r="BF605" s="2" t="str">
        <f aca="false">HYPERLINK("http://dx.doi.org/10.1093/infdis/jiv265","http://dx.doi.org/10.1093/infdis/jiv265")</f>
        <v>http://dx.doi.org/10.1093/infdis/jiv265</v>
      </c>
      <c r="BG605" s="2"/>
      <c r="BH605" s="2"/>
      <c r="BI605" s="2" t="n">
        <v>4</v>
      </c>
      <c r="BJ605" s="2" t="s">
        <v>536</v>
      </c>
      <c r="BK605" s="2" t="s">
        <v>100</v>
      </c>
      <c r="BL605" s="2" t="s">
        <v>536</v>
      </c>
      <c r="BM605" s="2" t="s">
        <v>11296</v>
      </c>
      <c r="BN605" s="2" t="n">
        <v>25943205</v>
      </c>
      <c r="BO605" s="2" t="s">
        <v>2278</v>
      </c>
      <c r="BP605" s="2"/>
      <c r="BQ605" s="2"/>
      <c r="BR605" s="2" t="s">
        <v>104</v>
      </c>
      <c r="BS605" s="2" t="s">
        <v>11297</v>
      </c>
      <c r="BT605" s="2" t="str">
        <f aca="false">HYPERLINK("https%3A%2F%2Fwww.webofscience.com%2Fwos%2Fwoscc%2Ffull-record%2FWOS:000368668600012","View Full Record in Web of Science")</f>
        <v>View Full Record in Web of Science</v>
      </c>
    </row>
    <row r="606" customFormat="false" ht="12.75" hidden="false" customHeight="false" outlineLevel="0" collapsed="false">
      <c r="A606" s="2" t="s">
        <v>72</v>
      </c>
      <c r="B606" s="2" t="s">
        <v>11298</v>
      </c>
      <c r="C606" s="2"/>
      <c r="D606" s="2"/>
      <c r="E606" s="2"/>
      <c r="F606" s="2" t="s">
        <v>11299</v>
      </c>
      <c r="G606" s="2"/>
      <c r="H606" s="2"/>
      <c r="I606" s="2" t="s">
        <v>11300</v>
      </c>
      <c r="J606" s="2" t="s">
        <v>493</v>
      </c>
      <c r="K606" s="2"/>
      <c r="L606" s="2"/>
      <c r="M606" s="2" t="s">
        <v>77</v>
      </c>
      <c r="N606" s="2" t="s">
        <v>78</v>
      </c>
      <c r="O606" s="2"/>
      <c r="P606" s="2"/>
      <c r="Q606" s="2"/>
      <c r="R606" s="2"/>
      <c r="S606" s="2"/>
      <c r="T606" s="2" t="s">
        <v>11301</v>
      </c>
      <c r="U606" s="2" t="s">
        <v>11302</v>
      </c>
      <c r="V606" s="2" t="s">
        <v>11303</v>
      </c>
      <c r="W606" s="2" t="s">
        <v>11304</v>
      </c>
      <c r="X606" s="2" t="s">
        <v>11305</v>
      </c>
      <c r="Y606" s="2" t="s">
        <v>11306</v>
      </c>
      <c r="Z606" s="2" t="s">
        <v>11307</v>
      </c>
      <c r="AA606" s="2" t="s">
        <v>11308</v>
      </c>
      <c r="AB606" s="2" t="s">
        <v>11309</v>
      </c>
      <c r="AC606" s="2" t="s">
        <v>11310</v>
      </c>
      <c r="AD606" s="2" t="s">
        <v>11311</v>
      </c>
      <c r="AE606" s="2" t="s">
        <v>11312</v>
      </c>
      <c r="AF606" s="2"/>
      <c r="AG606" s="2" t="n">
        <v>62</v>
      </c>
      <c r="AH606" s="2" t="n">
        <v>0</v>
      </c>
      <c r="AI606" s="2" t="n">
        <v>0</v>
      </c>
      <c r="AJ606" s="2" t="n">
        <v>0</v>
      </c>
      <c r="AK606" s="2" t="n">
        <v>0</v>
      </c>
      <c r="AL606" s="2" t="s">
        <v>91</v>
      </c>
      <c r="AM606" s="2" t="s">
        <v>92</v>
      </c>
      <c r="AN606" s="2" t="s">
        <v>93</v>
      </c>
      <c r="AO606" s="2"/>
      <c r="AP606" s="2" t="s">
        <v>506</v>
      </c>
      <c r="AQ606" s="2"/>
      <c r="AR606" s="2" t="s">
        <v>493</v>
      </c>
      <c r="AS606" s="2" t="s">
        <v>507</v>
      </c>
      <c r="AT606" s="2" t="s">
        <v>692</v>
      </c>
      <c r="AU606" s="2" t="n">
        <v>2024</v>
      </c>
      <c r="AV606" s="2" t="n">
        <v>16</v>
      </c>
      <c r="AW606" s="2" t="n">
        <v>4</v>
      </c>
      <c r="AX606" s="2"/>
      <c r="AY606" s="2"/>
      <c r="AZ606" s="2"/>
      <c r="BA606" s="2"/>
      <c r="BB606" s="2"/>
      <c r="BC606" s="2"/>
      <c r="BD606" s="2" t="n">
        <v>507</v>
      </c>
      <c r="BE606" s="2" t="s">
        <v>11313</v>
      </c>
      <c r="BF606" s="2" t="str">
        <f aca="false">HYPERLINK("http://dx.doi.org/10.3390/v16040507","http://dx.doi.org/10.3390/v16040507")</f>
        <v>http://dx.doi.org/10.3390/v16040507</v>
      </c>
      <c r="BG606" s="2"/>
      <c r="BH606" s="2"/>
      <c r="BI606" s="2" t="n">
        <v>21</v>
      </c>
      <c r="BJ606" s="2" t="s">
        <v>163</v>
      </c>
      <c r="BK606" s="2" t="s">
        <v>100</v>
      </c>
      <c r="BL606" s="2" t="s">
        <v>163</v>
      </c>
      <c r="BM606" s="2" t="s">
        <v>11314</v>
      </c>
      <c r="BN606" s="2" t="n">
        <v>38675850</v>
      </c>
      <c r="BO606" s="2" t="s">
        <v>11315</v>
      </c>
      <c r="BP606" s="2"/>
      <c r="BQ606" s="2"/>
      <c r="BR606" s="2" t="s">
        <v>104</v>
      </c>
      <c r="BS606" s="2" t="s">
        <v>11316</v>
      </c>
      <c r="BT606" s="2" t="str">
        <f aca="false">HYPERLINK("https%3A%2F%2Fwww.webofscience.com%2Fwos%2Fwoscc%2Ffull-record%2FWOS:001220190400001","View Full Record in Web of Science")</f>
        <v>View Full Record in Web of Science</v>
      </c>
    </row>
    <row r="607" customFormat="false" ht="12.75" hidden="false" customHeight="false" outlineLevel="0" collapsed="false">
      <c r="A607" s="2" t="s">
        <v>72</v>
      </c>
      <c r="B607" s="2" t="s">
        <v>11317</v>
      </c>
      <c r="C607" s="2"/>
      <c r="D607" s="2"/>
      <c r="E607" s="2"/>
      <c r="F607" s="2" t="s">
        <v>11318</v>
      </c>
      <c r="G607" s="2"/>
      <c r="H607" s="2"/>
      <c r="I607" s="2" t="s">
        <v>11319</v>
      </c>
      <c r="J607" s="2" t="s">
        <v>141</v>
      </c>
      <c r="K607" s="2"/>
      <c r="L607" s="2"/>
      <c r="M607" s="2" t="s">
        <v>77</v>
      </c>
      <c r="N607" s="2" t="s">
        <v>78</v>
      </c>
      <c r="O607" s="2"/>
      <c r="P607" s="2"/>
      <c r="Q607" s="2"/>
      <c r="R607" s="2"/>
      <c r="S607" s="2"/>
      <c r="T607" s="2" t="s">
        <v>11320</v>
      </c>
      <c r="U607" s="2" t="s">
        <v>11321</v>
      </c>
      <c r="V607" s="2" t="s">
        <v>11322</v>
      </c>
      <c r="W607" s="2" t="s">
        <v>11323</v>
      </c>
      <c r="X607" s="2" t="s">
        <v>11324</v>
      </c>
      <c r="Y607" s="2" t="s">
        <v>11325</v>
      </c>
      <c r="Z607" s="2" t="s">
        <v>11326</v>
      </c>
      <c r="AA607" s="2" t="s">
        <v>11327</v>
      </c>
      <c r="AB607" s="2" t="s">
        <v>11328</v>
      </c>
      <c r="AC607" s="2" t="s">
        <v>11329</v>
      </c>
      <c r="AD607" s="2" t="s">
        <v>11330</v>
      </c>
      <c r="AE607" s="2" t="s">
        <v>11331</v>
      </c>
      <c r="AF607" s="2"/>
      <c r="AG607" s="2" t="n">
        <v>43</v>
      </c>
      <c r="AH607" s="2" t="n">
        <v>26</v>
      </c>
      <c r="AI607" s="2" t="n">
        <v>27</v>
      </c>
      <c r="AJ607" s="2" t="n">
        <v>0</v>
      </c>
      <c r="AK607" s="2" t="n">
        <v>18</v>
      </c>
      <c r="AL607" s="2" t="s">
        <v>154</v>
      </c>
      <c r="AM607" s="2" t="s">
        <v>155</v>
      </c>
      <c r="AN607" s="2" t="s">
        <v>156</v>
      </c>
      <c r="AO607" s="2" t="s">
        <v>157</v>
      </c>
      <c r="AP607" s="2" t="s">
        <v>158</v>
      </c>
      <c r="AQ607" s="2"/>
      <c r="AR607" s="2" t="s">
        <v>159</v>
      </c>
      <c r="AS607" s="2" t="s">
        <v>160</v>
      </c>
      <c r="AT607" s="2" t="s">
        <v>692</v>
      </c>
      <c r="AU607" s="2" t="n">
        <v>2012</v>
      </c>
      <c r="AV607" s="2" t="n">
        <v>84</v>
      </c>
      <c r="AW607" s="2" t="n">
        <v>4</v>
      </c>
      <c r="AX607" s="2"/>
      <c r="AY607" s="2"/>
      <c r="AZ607" s="2"/>
      <c r="BA607" s="2"/>
      <c r="BB607" s="2" t="n">
        <v>672</v>
      </c>
      <c r="BC607" s="2" t="n">
        <v>678</v>
      </c>
      <c r="BD607" s="2"/>
      <c r="BE607" s="2" t="s">
        <v>11332</v>
      </c>
      <c r="BF607" s="2" t="str">
        <f aca="false">HYPERLINK("http://dx.doi.org/10.1002/jmv.22247","http://dx.doi.org/10.1002/jmv.22247")</f>
        <v>http://dx.doi.org/10.1002/jmv.22247</v>
      </c>
      <c r="BG607" s="2"/>
      <c r="BH607" s="2"/>
      <c r="BI607" s="2" t="n">
        <v>7</v>
      </c>
      <c r="BJ607" s="2" t="s">
        <v>163</v>
      </c>
      <c r="BK607" s="2" t="s">
        <v>100</v>
      </c>
      <c r="BL607" s="2" t="s">
        <v>163</v>
      </c>
      <c r="BM607" s="2" t="s">
        <v>11333</v>
      </c>
      <c r="BN607" s="2" t="n">
        <v>22337308</v>
      </c>
      <c r="BO607" s="2" t="s">
        <v>1267</v>
      </c>
      <c r="BP607" s="2"/>
      <c r="BQ607" s="2"/>
      <c r="BR607" s="2" t="s">
        <v>104</v>
      </c>
      <c r="BS607" s="2" t="s">
        <v>11334</v>
      </c>
      <c r="BT607" s="2" t="str">
        <f aca="false">HYPERLINK("https%3A%2F%2Fwww.webofscience.com%2Fwos%2Fwoscc%2Ffull-record%2FWOS:000300696200017","View Full Record in Web of Science")</f>
        <v>View Full Record in Web of Science</v>
      </c>
    </row>
    <row r="608" customFormat="false" ht="12.75" hidden="false" customHeight="false" outlineLevel="0" collapsed="false">
      <c r="A608" s="2" t="s">
        <v>72</v>
      </c>
      <c r="B608" s="2" t="s">
        <v>11335</v>
      </c>
      <c r="C608" s="2"/>
      <c r="D608" s="2"/>
      <c r="E608" s="2"/>
      <c r="F608" s="2" t="s">
        <v>11336</v>
      </c>
      <c r="G608" s="2"/>
      <c r="H608" s="2" t="s">
        <v>11337</v>
      </c>
      <c r="I608" s="2" t="s">
        <v>11338</v>
      </c>
      <c r="J608" s="2" t="s">
        <v>889</v>
      </c>
      <c r="K608" s="2"/>
      <c r="L608" s="2"/>
      <c r="M608" s="2" t="s">
        <v>77</v>
      </c>
      <c r="N608" s="2" t="s">
        <v>78</v>
      </c>
      <c r="O608" s="2"/>
      <c r="P608" s="2"/>
      <c r="Q608" s="2"/>
      <c r="R608" s="2"/>
      <c r="S608" s="2"/>
      <c r="T608" s="2" t="s">
        <v>11339</v>
      </c>
      <c r="U608" s="2" t="s">
        <v>11340</v>
      </c>
      <c r="V608" s="2" t="s">
        <v>11341</v>
      </c>
      <c r="W608" s="2" t="s">
        <v>11342</v>
      </c>
      <c r="X608" s="2" t="s">
        <v>11343</v>
      </c>
      <c r="Y608" s="2" t="s">
        <v>11344</v>
      </c>
      <c r="Z608" s="2" t="s">
        <v>11345</v>
      </c>
      <c r="AA608" s="2" t="s">
        <v>11346</v>
      </c>
      <c r="AB608" s="2" t="s">
        <v>11347</v>
      </c>
      <c r="AC608" s="2" t="s">
        <v>11348</v>
      </c>
      <c r="AD608" s="2" t="s">
        <v>11348</v>
      </c>
      <c r="AE608" s="2" t="s">
        <v>11349</v>
      </c>
      <c r="AF608" s="2"/>
      <c r="AG608" s="2" t="n">
        <v>21</v>
      </c>
      <c r="AH608" s="2" t="n">
        <v>24</v>
      </c>
      <c r="AI608" s="2" t="n">
        <v>24</v>
      </c>
      <c r="AJ608" s="2" t="n">
        <v>0</v>
      </c>
      <c r="AK608" s="2" t="n">
        <v>5</v>
      </c>
      <c r="AL608" s="2" t="s">
        <v>5070</v>
      </c>
      <c r="AM608" s="2" t="s">
        <v>5071</v>
      </c>
      <c r="AN608" s="2" t="s">
        <v>5072</v>
      </c>
      <c r="AO608" s="2" t="s">
        <v>5073</v>
      </c>
      <c r="AP608" s="2" t="s">
        <v>5074</v>
      </c>
      <c r="AQ608" s="2"/>
      <c r="AR608" s="2" t="s">
        <v>889</v>
      </c>
      <c r="AS608" s="2" t="s">
        <v>5075</v>
      </c>
      <c r="AT608" s="2" t="s">
        <v>185</v>
      </c>
      <c r="AU608" s="2" t="n">
        <v>2020</v>
      </c>
      <c r="AV608" s="2" t="n">
        <v>48</v>
      </c>
      <c r="AW608" s="2" t="n">
        <v>4</v>
      </c>
      <c r="AX608" s="2"/>
      <c r="AY608" s="2"/>
      <c r="AZ608" s="2"/>
      <c r="BA608" s="2"/>
      <c r="BB608" s="2" t="n">
        <v>489</v>
      </c>
      <c r="BC608" s="2" t="n">
        <v>495</v>
      </c>
      <c r="BD608" s="2"/>
      <c r="BE608" s="2" t="s">
        <v>11350</v>
      </c>
      <c r="BF608" s="2" t="str">
        <f aca="false">HYPERLINK("http://dx.doi.org/10.1007/s15010-019-01388-1","http://dx.doi.org/10.1007/s15010-019-01388-1")</f>
        <v>http://dx.doi.org/10.1007/s15010-019-01388-1</v>
      </c>
      <c r="BG608" s="2"/>
      <c r="BH608" s="2" t="s">
        <v>11351</v>
      </c>
      <c r="BI608" s="2" t="n">
        <v>7</v>
      </c>
      <c r="BJ608" s="2" t="s">
        <v>575</v>
      </c>
      <c r="BK608" s="2" t="s">
        <v>100</v>
      </c>
      <c r="BL608" s="2" t="s">
        <v>575</v>
      </c>
      <c r="BM608" s="2" t="s">
        <v>11352</v>
      </c>
      <c r="BN608" s="2" t="n">
        <v>32056143</v>
      </c>
      <c r="BO608" s="2" t="s">
        <v>7591</v>
      </c>
      <c r="BP608" s="2"/>
      <c r="BQ608" s="2"/>
      <c r="BR608" s="2" t="s">
        <v>104</v>
      </c>
      <c r="BS608" s="2" t="s">
        <v>11353</v>
      </c>
      <c r="BT608" s="2" t="str">
        <f aca="false">HYPERLINK("https%3A%2F%2Fwww.webofscience.com%2Fwos%2Fwoscc%2Ffull-record%2FWOS:000516117500001","View Full Record in Web of Science")</f>
        <v>View Full Record in Web of Science</v>
      </c>
    </row>
    <row r="609" customFormat="false" ht="12.75" hidden="false" customHeight="false" outlineLevel="0" collapsed="false">
      <c r="A609" s="2" t="s">
        <v>72</v>
      </c>
      <c r="B609" s="2" t="s">
        <v>11354</v>
      </c>
      <c r="C609" s="2"/>
      <c r="D609" s="2"/>
      <c r="E609" s="2"/>
      <c r="F609" s="2" t="s">
        <v>11355</v>
      </c>
      <c r="G609" s="2"/>
      <c r="H609" s="2"/>
      <c r="I609" s="2" t="s">
        <v>11356</v>
      </c>
      <c r="J609" s="2" t="s">
        <v>109</v>
      </c>
      <c r="K609" s="2"/>
      <c r="L609" s="2"/>
      <c r="M609" s="2" t="s">
        <v>77</v>
      </c>
      <c r="N609" s="2" t="s">
        <v>78</v>
      </c>
      <c r="O609" s="2"/>
      <c r="P609" s="2"/>
      <c r="Q609" s="2"/>
      <c r="R609" s="2"/>
      <c r="S609" s="2"/>
      <c r="T609" s="2" t="s">
        <v>11357</v>
      </c>
      <c r="U609" s="2" t="s">
        <v>11358</v>
      </c>
      <c r="V609" s="2" t="s">
        <v>11359</v>
      </c>
      <c r="W609" s="2" t="s">
        <v>11360</v>
      </c>
      <c r="X609" s="2" t="s">
        <v>11361</v>
      </c>
      <c r="Y609" s="2" t="s">
        <v>11362</v>
      </c>
      <c r="Z609" s="2" t="s">
        <v>11363</v>
      </c>
      <c r="AA609" s="2" t="s">
        <v>11364</v>
      </c>
      <c r="AB609" s="2" t="s">
        <v>11365</v>
      </c>
      <c r="AC609" s="2" t="s">
        <v>11366</v>
      </c>
      <c r="AD609" s="2" t="s">
        <v>11367</v>
      </c>
      <c r="AE609" s="2" t="s">
        <v>11368</v>
      </c>
      <c r="AF609" s="2"/>
      <c r="AG609" s="2" t="n">
        <v>36</v>
      </c>
      <c r="AH609" s="2" t="n">
        <v>6</v>
      </c>
      <c r="AI609" s="2" t="n">
        <v>6</v>
      </c>
      <c r="AJ609" s="2" t="n">
        <v>0</v>
      </c>
      <c r="AK609" s="2" t="n">
        <v>4</v>
      </c>
      <c r="AL609" s="2" t="s">
        <v>122</v>
      </c>
      <c r="AM609" s="2" t="s">
        <v>123</v>
      </c>
      <c r="AN609" s="2" t="s">
        <v>124</v>
      </c>
      <c r="AO609" s="2" t="s">
        <v>125</v>
      </c>
      <c r="AP609" s="2" t="s">
        <v>126</v>
      </c>
      <c r="AQ609" s="2"/>
      <c r="AR609" s="2" t="s">
        <v>127</v>
      </c>
      <c r="AS609" s="2" t="s">
        <v>128</v>
      </c>
      <c r="AT609" s="2" t="s">
        <v>336</v>
      </c>
      <c r="AU609" s="2" t="n">
        <v>2020</v>
      </c>
      <c r="AV609" s="2" t="n">
        <v>39</v>
      </c>
      <c r="AW609" s="2" t="n">
        <v>10</v>
      </c>
      <c r="AX609" s="2"/>
      <c r="AY609" s="2"/>
      <c r="AZ609" s="2"/>
      <c r="BA609" s="2"/>
      <c r="BB609" s="2" t="n">
        <v>925</v>
      </c>
      <c r="BC609" s="2" t="n">
        <v>930</v>
      </c>
      <c r="BD609" s="2"/>
      <c r="BE609" s="2" t="s">
        <v>11369</v>
      </c>
      <c r="BF609" s="2" t="str">
        <f aca="false">HYPERLINK("http://dx.doi.org/10.1097/INF.0000000000002761","http://dx.doi.org/10.1097/INF.0000000000002761")</f>
        <v>http://dx.doi.org/10.1097/INF.0000000000002761</v>
      </c>
      <c r="BG609" s="2"/>
      <c r="BH609" s="2"/>
      <c r="BI609" s="2" t="n">
        <v>6</v>
      </c>
      <c r="BJ609" s="2" t="s">
        <v>134</v>
      </c>
      <c r="BK609" s="2" t="s">
        <v>100</v>
      </c>
      <c r="BL609" s="2" t="s">
        <v>134</v>
      </c>
      <c r="BM609" s="2" t="s">
        <v>11370</v>
      </c>
      <c r="BN609" s="2" t="n">
        <v>32453201</v>
      </c>
      <c r="BO609" s="2"/>
      <c r="BP609" s="2"/>
      <c r="BQ609" s="2"/>
      <c r="BR609" s="2" t="s">
        <v>104</v>
      </c>
      <c r="BS609" s="2" t="s">
        <v>11371</v>
      </c>
      <c r="BT609" s="2" t="str">
        <f aca="false">HYPERLINK("https%3A%2F%2Fwww.webofscience.com%2Fwos%2Fwoscc%2Ffull-record%2FWOS:000573923900024","View Full Record in Web of Science")</f>
        <v>View Full Record in Web of Science</v>
      </c>
    </row>
    <row r="610" customFormat="false" ht="12.75" hidden="false" customHeight="false" outlineLevel="0" collapsed="false">
      <c r="A610" s="2" t="s">
        <v>72</v>
      </c>
      <c r="B610" s="2" t="s">
        <v>11372</v>
      </c>
      <c r="C610" s="2"/>
      <c r="D610" s="2"/>
      <c r="E610" s="2"/>
      <c r="F610" s="2" t="s">
        <v>11373</v>
      </c>
      <c r="G610" s="2"/>
      <c r="H610" s="2"/>
      <c r="I610" s="2" t="s">
        <v>11374</v>
      </c>
      <c r="J610" s="2" t="s">
        <v>1863</v>
      </c>
      <c r="K610" s="2"/>
      <c r="L610" s="2"/>
      <c r="M610" s="2" t="s">
        <v>77</v>
      </c>
      <c r="N610" s="2" t="s">
        <v>78</v>
      </c>
      <c r="O610" s="2"/>
      <c r="P610" s="2"/>
      <c r="Q610" s="2"/>
      <c r="R610" s="2"/>
      <c r="S610" s="2"/>
      <c r="T610" s="2" t="s">
        <v>11375</v>
      </c>
      <c r="U610" s="2" t="s">
        <v>11376</v>
      </c>
      <c r="V610" s="2" t="s">
        <v>11377</v>
      </c>
      <c r="W610" s="2" t="s">
        <v>11378</v>
      </c>
      <c r="X610" s="2" t="s">
        <v>3851</v>
      </c>
      <c r="Y610" s="2" t="s">
        <v>11379</v>
      </c>
      <c r="Z610" s="2" t="s">
        <v>11380</v>
      </c>
      <c r="AA610" s="2" t="s">
        <v>11381</v>
      </c>
      <c r="AB610" s="2" t="s">
        <v>11382</v>
      </c>
      <c r="AC610" s="2" t="s">
        <v>11383</v>
      </c>
      <c r="AD610" s="2" t="s">
        <v>11384</v>
      </c>
      <c r="AE610" s="2" t="s">
        <v>11385</v>
      </c>
      <c r="AF610" s="2"/>
      <c r="AG610" s="2" t="n">
        <v>52</v>
      </c>
      <c r="AH610" s="2" t="n">
        <v>29</v>
      </c>
      <c r="AI610" s="2" t="n">
        <v>35</v>
      </c>
      <c r="AJ610" s="2" t="n">
        <v>1</v>
      </c>
      <c r="AK610" s="2" t="n">
        <v>16</v>
      </c>
      <c r="AL610" s="2" t="s">
        <v>302</v>
      </c>
      <c r="AM610" s="2" t="s">
        <v>303</v>
      </c>
      <c r="AN610" s="2" t="s">
        <v>304</v>
      </c>
      <c r="AO610" s="2"/>
      <c r="AP610" s="2" t="s">
        <v>1876</v>
      </c>
      <c r="AQ610" s="2"/>
      <c r="AR610" s="2" t="s">
        <v>1877</v>
      </c>
      <c r="AS610" s="2" t="s">
        <v>1878</v>
      </c>
      <c r="AT610" s="2" t="s">
        <v>6411</v>
      </c>
      <c r="AU610" s="2" t="n">
        <v>2013</v>
      </c>
      <c r="AV610" s="2" t="n">
        <v>10</v>
      </c>
      <c r="AW610" s="2"/>
      <c r="AX610" s="2"/>
      <c r="AY610" s="2"/>
      <c r="AZ610" s="2"/>
      <c r="BA610" s="2"/>
      <c r="BB610" s="2"/>
      <c r="BC610" s="2"/>
      <c r="BD610" s="2" t="n">
        <v>143</v>
      </c>
      <c r="BE610" s="2" t="s">
        <v>11386</v>
      </c>
      <c r="BF610" s="2" t="str">
        <f aca="false">HYPERLINK("http://dx.doi.org/10.1186/1743-422X-10-143","http://dx.doi.org/10.1186/1743-422X-10-143")</f>
        <v>http://dx.doi.org/10.1186/1743-422X-10-143</v>
      </c>
      <c r="BG610" s="2"/>
      <c r="BH610" s="2"/>
      <c r="BI610" s="2" t="n">
        <v>9</v>
      </c>
      <c r="BJ610" s="2" t="s">
        <v>163</v>
      </c>
      <c r="BK610" s="2" t="s">
        <v>100</v>
      </c>
      <c r="BL610" s="2" t="s">
        <v>163</v>
      </c>
      <c r="BM610" s="2" t="s">
        <v>11387</v>
      </c>
      <c r="BN610" s="2" t="n">
        <v>23651577</v>
      </c>
      <c r="BO610" s="2" t="s">
        <v>103</v>
      </c>
      <c r="BP610" s="2"/>
      <c r="BQ610" s="2"/>
      <c r="BR610" s="2" t="s">
        <v>104</v>
      </c>
      <c r="BS610" s="2" t="s">
        <v>11388</v>
      </c>
      <c r="BT610" s="2" t="str">
        <f aca="false">HYPERLINK("https%3A%2F%2Fwww.webofscience.com%2Fwos%2Fwoscc%2Ffull-record%2FWOS:000318976200001","View Full Record in Web of Science")</f>
        <v>View Full Record in Web of Science</v>
      </c>
    </row>
    <row r="611" customFormat="false" ht="12.75" hidden="false" customHeight="false" outlineLevel="0" collapsed="false">
      <c r="A611" s="2" t="s">
        <v>72</v>
      </c>
      <c r="B611" s="2" t="s">
        <v>11389</v>
      </c>
      <c r="C611" s="2"/>
      <c r="D611" s="2"/>
      <c r="E611" s="2"/>
      <c r="F611" s="2" t="s">
        <v>11390</v>
      </c>
      <c r="G611" s="2"/>
      <c r="H611" s="2"/>
      <c r="I611" s="2" t="s">
        <v>11391</v>
      </c>
      <c r="J611" s="2" t="s">
        <v>5653</v>
      </c>
      <c r="K611" s="2"/>
      <c r="L611" s="2"/>
      <c r="M611" s="2" t="s">
        <v>77</v>
      </c>
      <c r="N611" s="2" t="s">
        <v>78</v>
      </c>
      <c r="O611" s="2"/>
      <c r="P611" s="2"/>
      <c r="Q611" s="2"/>
      <c r="R611" s="2"/>
      <c r="S611" s="2"/>
      <c r="T611" s="2" t="s">
        <v>11392</v>
      </c>
      <c r="U611" s="2" t="s">
        <v>11393</v>
      </c>
      <c r="V611" s="2" t="s">
        <v>11394</v>
      </c>
      <c r="W611" s="2" t="s">
        <v>11395</v>
      </c>
      <c r="X611" s="2" t="s">
        <v>11396</v>
      </c>
      <c r="Y611" s="2" t="s">
        <v>11397</v>
      </c>
      <c r="Z611" s="2" t="s">
        <v>11398</v>
      </c>
      <c r="AA611" s="2" t="s">
        <v>11399</v>
      </c>
      <c r="AB611" s="2" t="s">
        <v>1674</v>
      </c>
      <c r="AC611" s="2" t="s">
        <v>11400</v>
      </c>
      <c r="AD611" s="2" t="s">
        <v>1676</v>
      </c>
      <c r="AE611" s="2" t="s">
        <v>11401</v>
      </c>
      <c r="AF611" s="2"/>
      <c r="AG611" s="2" t="n">
        <v>35</v>
      </c>
      <c r="AH611" s="2" t="n">
        <v>3</v>
      </c>
      <c r="AI611" s="2" t="n">
        <v>3</v>
      </c>
      <c r="AJ611" s="2" t="n">
        <v>0</v>
      </c>
      <c r="AK611" s="2" t="n">
        <v>3</v>
      </c>
      <c r="AL611" s="2" t="s">
        <v>4987</v>
      </c>
      <c r="AM611" s="2" t="s">
        <v>2438</v>
      </c>
      <c r="AN611" s="2" t="s">
        <v>4988</v>
      </c>
      <c r="AO611" s="2" t="s">
        <v>5662</v>
      </c>
      <c r="AP611" s="2" t="s">
        <v>5663</v>
      </c>
      <c r="AQ611" s="2"/>
      <c r="AR611" s="2" t="s">
        <v>5664</v>
      </c>
      <c r="AS611" s="2" t="s">
        <v>5665</v>
      </c>
      <c r="AT611" s="2" t="s">
        <v>1041</v>
      </c>
      <c r="AU611" s="2" t="n">
        <v>2018</v>
      </c>
      <c r="AV611" s="2" t="n">
        <v>28</v>
      </c>
      <c r="AW611" s="2" t="n">
        <v>1</v>
      </c>
      <c r="AX611" s="2"/>
      <c r="AY611" s="2"/>
      <c r="AZ611" s="2"/>
      <c r="BA611" s="2"/>
      <c r="BB611" s="2"/>
      <c r="BC611" s="2"/>
      <c r="BD611" s="2" t="s">
        <v>11402</v>
      </c>
      <c r="BE611" s="2" t="s">
        <v>11403</v>
      </c>
      <c r="BF611" s="2" t="str">
        <f aca="false">HYPERLINK("http://dx.doi.org/10.5812/ijp.60948","http://dx.doi.org/10.5812/ijp.60948")</f>
        <v>http://dx.doi.org/10.5812/ijp.60948</v>
      </c>
      <c r="BG611" s="2"/>
      <c r="BH611" s="2"/>
      <c r="BI611" s="2" t="n">
        <v>5</v>
      </c>
      <c r="BJ611" s="2" t="s">
        <v>601</v>
      </c>
      <c r="BK611" s="2" t="s">
        <v>100</v>
      </c>
      <c r="BL611" s="2" t="s">
        <v>601</v>
      </c>
      <c r="BM611" s="2" t="s">
        <v>11404</v>
      </c>
      <c r="BN611" s="2"/>
      <c r="BO611" s="2" t="s">
        <v>1355</v>
      </c>
      <c r="BP611" s="2"/>
      <c r="BQ611" s="2"/>
      <c r="BR611" s="2" t="s">
        <v>104</v>
      </c>
      <c r="BS611" s="2" t="s">
        <v>11405</v>
      </c>
      <c r="BT611" s="2" t="str">
        <f aca="false">HYPERLINK("https%3A%2F%2Fwww.webofscience.com%2Fwos%2Fwoscc%2Ffull-record%2FWOS:000428106000012","View Full Record in Web of Science")</f>
        <v>View Full Record in Web of Science</v>
      </c>
    </row>
    <row r="612" customFormat="false" ht="12.75" hidden="false" customHeight="false" outlineLevel="0" collapsed="false">
      <c r="A612" s="2" t="s">
        <v>72</v>
      </c>
      <c r="B612" s="2" t="s">
        <v>11406</v>
      </c>
      <c r="C612" s="2"/>
      <c r="D612" s="2"/>
      <c r="E612" s="2"/>
      <c r="F612" s="2" t="s">
        <v>11407</v>
      </c>
      <c r="G612" s="2"/>
      <c r="H612" s="2"/>
      <c r="I612" s="2" t="s">
        <v>11408</v>
      </c>
      <c r="J612" s="2" t="s">
        <v>8412</v>
      </c>
      <c r="K612" s="2"/>
      <c r="L612" s="2"/>
      <c r="M612" s="2" t="s">
        <v>77</v>
      </c>
      <c r="N612" s="2" t="s">
        <v>78</v>
      </c>
      <c r="O612" s="2"/>
      <c r="P612" s="2"/>
      <c r="Q612" s="2"/>
      <c r="R612" s="2"/>
      <c r="S612" s="2"/>
      <c r="T612" s="2" t="s">
        <v>11409</v>
      </c>
      <c r="U612" s="2" t="s">
        <v>11410</v>
      </c>
      <c r="V612" s="2" t="s">
        <v>11411</v>
      </c>
      <c r="W612" s="2" t="s">
        <v>11412</v>
      </c>
      <c r="X612" s="2" t="s">
        <v>11413</v>
      </c>
      <c r="Y612" s="2" t="s">
        <v>11414</v>
      </c>
      <c r="Z612" s="2" t="s">
        <v>11415</v>
      </c>
      <c r="AA612" s="2" t="s">
        <v>11416</v>
      </c>
      <c r="AB612" s="2"/>
      <c r="AC612" s="2" t="s">
        <v>11417</v>
      </c>
      <c r="AD612" s="2" t="s">
        <v>11417</v>
      </c>
      <c r="AE612" s="2" t="s">
        <v>3970</v>
      </c>
      <c r="AF612" s="2"/>
      <c r="AG612" s="2" t="n">
        <v>33</v>
      </c>
      <c r="AH612" s="2" t="n">
        <v>0</v>
      </c>
      <c r="AI612" s="2" t="n">
        <v>0</v>
      </c>
      <c r="AJ612" s="2" t="n">
        <v>0</v>
      </c>
      <c r="AK612" s="2" t="n">
        <v>3</v>
      </c>
      <c r="AL612" s="2" t="s">
        <v>620</v>
      </c>
      <c r="AM612" s="2" t="s">
        <v>621</v>
      </c>
      <c r="AN612" s="2" t="s">
        <v>622</v>
      </c>
      <c r="AO612" s="2"/>
      <c r="AP612" s="2" t="s">
        <v>8425</v>
      </c>
      <c r="AQ612" s="2"/>
      <c r="AR612" s="2" t="s">
        <v>8426</v>
      </c>
      <c r="AS612" s="2" t="s">
        <v>8427</v>
      </c>
      <c r="AT612" s="2" t="s">
        <v>11418</v>
      </c>
      <c r="AU612" s="2" t="n">
        <v>2023</v>
      </c>
      <c r="AV612" s="2" t="n">
        <v>13</v>
      </c>
      <c r="AW612" s="2"/>
      <c r="AX612" s="2"/>
      <c r="AY612" s="2"/>
      <c r="AZ612" s="2"/>
      <c r="BA612" s="2"/>
      <c r="BB612" s="2"/>
      <c r="BC612" s="2"/>
      <c r="BD612" s="2" t="n">
        <v>1012873</v>
      </c>
      <c r="BE612" s="2" t="s">
        <v>11419</v>
      </c>
      <c r="BF612" s="2" t="str">
        <f aca="false">HYPERLINK("http://dx.doi.org/10.3389/fmicb.2022.1012873","http://dx.doi.org/10.3389/fmicb.2022.1012873")</f>
        <v>http://dx.doi.org/10.3389/fmicb.2022.1012873</v>
      </c>
      <c r="BG612" s="2"/>
      <c r="BH612" s="2"/>
      <c r="BI612" s="2" t="n">
        <v>11</v>
      </c>
      <c r="BJ612" s="2" t="s">
        <v>211</v>
      </c>
      <c r="BK612" s="2" t="s">
        <v>100</v>
      </c>
      <c r="BL612" s="2" t="s">
        <v>211</v>
      </c>
      <c r="BM612" s="2" t="s">
        <v>11420</v>
      </c>
      <c r="BN612" s="2" t="n">
        <v>38155756</v>
      </c>
      <c r="BO612" s="2" t="s">
        <v>103</v>
      </c>
      <c r="BP612" s="2"/>
      <c r="BQ612" s="2"/>
      <c r="BR612" s="2" t="s">
        <v>104</v>
      </c>
      <c r="BS612" s="2" t="s">
        <v>11421</v>
      </c>
      <c r="BT612" s="2" t="str">
        <f aca="false">HYPERLINK("https%3A%2F%2Fwww.webofscience.com%2Fwos%2Fwoscc%2Ffull-record%2FWOS:001131666800001","View Full Record in Web of Science")</f>
        <v>View Full Record in Web of Science</v>
      </c>
    </row>
    <row r="613" customFormat="false" ht="12.75" hidden="false" customHeight="false" outlineLevel="0" collapsed="false">
      <c r="A613" s="2" t="s">
        <v>72</v>
      </c>
      <c r="B613" s="2" t="s">
        <v>11422</v>
      </c>
      <c r="C613" s="2"/>
      <c r="D613" s="2"/>
      <c r="E613" s="2"/>
      <c r="F613" s="2" t="s">
        <v>11423</v>
      </c>
      <c r="G613" s="2"/>
      <c r="H613" s="2"/>
      <c r="I613" s="2" t="s">
        <v>11424</v>
      </c>
      <c r="J613" s="2" t="s">
        <v>10165</v>
      </c>
      <c r="K613" s="2"/>
      <c r="L613" s="2"/>
      <c r="M613" s="2" t="s">
        <v>77</v>
      </c>
      <c r="N613" s="2" t="s">
        <v>78</v>
      </c>
      <c r="O613" s="2"/>
      <c r="P613" s="2"/>
      <c r="Q613" s="2"/>
      <c r="R613" s="2"/>
      <c r="S613" s="2"/>
      <c r="T613" s="2" t="s">
        <v>11425</v>
      </c>
      <c r="U613" s="2" t="s">
        <v>11426</v>
      </c>
      <c r="V613" s="2" t="s">
        <v>11427</v>
      </c>
      <c r="W613" s="2" t="s">
        <v>11428</v>
      </c>
      <c r="X613" s="2" t="s">
        <v>11429</v>
      </c>
      <c r="Y613" s="2" t="s">
        <v>11430</v>
      </c>
      <c r="Z613" s="2" t="s">
        <v>6502</v>
      </c>
      <c r="AA613" s="2"/>
      <c r="AB613" s="2" t="s">
        <v>11431</v>
      </c>
      <c r="AC613" s="2"/>
      <c r="AD613" s="2"/>
      <c r="AE613" s="2"/>
      <c r="AF613" s="2"/>
      <c r="AG613" s="2" t="n">
        <v>37</v>
      </c>
      <c r="AH613" s="2" t="n">
        <v>3</v>
      </c>
      <c r="AI613" s="2" t="n">
        <v>3</v>
      </c>
      <c r="AJ613" s="2" t="n">
        <v>0</v>
      </c>
      <c r="AK613" s="2" t="n">
        <v>2</v>
      </c>
      <c r="AL613" s="2" t="s">
        <v>10177</v>
      </c>
      <c r="AM613" s="2" t="s">
        <v>5071</v>
      </c>
      <c r="AN613" s="2" t="s">
        <v>10178</v>
      </c>
      <c r="AO613" s="2" t="s">
        <v>10179</v>
      </c>
      <c r="AP613" s="2"/>
      <c r="AQ613" s="2"/>
      <c r="AR613" s="2" t="s">
        <v>10180</v>
      </c>
      <c r="AS613" s="2" t="s">
        <v>10181</v>
      </c>
      <c r="AT613" s="2"/>
      <c r="AU613" s="2" t="n">
        <v>2015</v>
      </c>
      <c r="AV613" s="2" t="n">
        <v>61</v>
      </c>
      <c r="AW613" s="2" t="s">
        <v>11432</v>
      </c>
      <c r="AX613" s="2"/>
      <c r="AY613" s="2"/>
      <c r="AZ613" s="2"/>
      <c r="BA613" s="2"/>
      <c r="BB613" s="2" t="n">
        <v>219</v>
      </c>
      <c r="BC613" s="2" t="n">
        <v>226</v>
      </c>
      <c r="BD613" s="2"/>
      <c r="BE613" s="2" t="s">
        <v>11433</v>
      </c>
      <c r="BF613" s="2" t="str">
        <f aca="false">HYPERLINK("http://dx.doi.org/10.7754/Clin.Lab.2014.140804","http://dx.doi.org/10.7754/Clin.Lab.2014.140804")</f>
        <v>http://dx.doi.org/10.7754/Clin.Lab.2014.140804</v>
      </c>
      <c r="BG613" s="2"/>
      <c r="BH613" s="2"/>
      <c r="BI613" s="2" t="n">
        <v>8</v>
      </c>
      <c r="BJ613" s="2" t="s">
        <v>3122</v>
      </c>
      <c r="BK613" s="2" t="s">
        <v>100</v>
      </c>
      <c r="BL613" s="2" t="s">
        <v>3122</v>
      </c>
      <c r="BM613" s="2" t="s">
        <v>11434</v>
      </c>
      <c r="BN613" s="2" t="n">
        <v>25974986</v>
      </c>
      <c r="BO613" s="2"/>
      <c r="BP613" s="2"/>
      <c r="BQ613" s="2"/>
      <c r="BR613" s="2" t="s">
        <v>104</v>
      </c>
      <c r="BS613" s="2" t="s">
        <v>11435</v>
      </c>
      <c r="BT613" s="2" t="str">
        <f aca="false">HYPERLINK("https%3A%2F%2Fwww.webofscience.com%2Fwos%2Fwoscc%2Ffull-record%2FWOS:000353008800002","View Full Record in Web of Science")</f>
        <v>View Full Record in Web of Science</v>
      </c>
    </row>
    <row r="614" customFormat="false" ht="12.75" hidden="false" customHeight="false" outlineLevel="0" collapsed="false">
      <c r="A614" s="2" t="s">
        <v>72</v>
      </c>
      <c r="B614" s="2" t="s">
        <v>11436</v>
      </c>
      <c r="C614" s="2"/>
      <c r="D614" s="2"/>
      <c r="E614" s="2"/>
      <c r="F614" s="2" t="s">
        <v>11437</v>
      </c>
      <c r="G614" s="2"/>
      <c r="H614" s="2"/>
      <c r="I614" s="2" t="s">
        <v>11438</v>
      </c>
      <c r="J614" s="2" t="s">
        <v>141</v>
      </c>
      <c r="K614" s="2"/>
      <c r="L614" s="2"/>
      <c r="M614" s="2" t="s">
        <v>77</v>
      </c>
      <c r="N614" s="2" t="s">
        <v>78</v>
      </c>
      <c r="O614" s="2"/>
      <c r="P614" s="2"/>
      <c r="Q614" s="2"/>
      <c r="R614" s="2"/>
      <c r="S614" s="2"/>
      <c r="T614" s="2" t="s">
        <v>11439</v>
      </c>
      <c r="U614" s="2" t="s">
        <v>11440</v>
      </c>
      <c r="V614" s="2" t="s">
        <v>11441</v>
      </c>
      <c r="W614" s="2" t="s">
        <v>11442</v>
      </c>
      <c r="X614" s="2" t="s">
        <v>11443</v>
      </c>
      <c r="Y614" s="2" t="s">
        <v>11444</v>
      </c>
      <c r="Z614" s="2" t="s">
        <v>11445</v>
      </c>
      <c r="AA614" s="2" t="s">
        <v>11446</v>
      </c>
      <c r="AB614" s="2"/>
      <c r="AC614" s="2" t="s">
        <v>11447</v>
      </c>
      <c r="AD614" s="2" t="s">
        <v>11448</v>
      </c>
      <c r="AE614" s="2" t="s">
        <v>11449</v>
      </c>
      <c r="AF614" s="2"/>
      <c r="AG614" s="2" t="n">
        <v>27</v>
      </c>
      <c r="AH614" s="2" t="n">
        <v>21</v>
      </c>
      <c r="AI614" s="2" t="n">
        <v>23</v>
      </c>
      <c r="AJ614" s="2" t="n">
        <v>0</v>
      </c>
      <c r="AK614" s="2" t="n">
        <v>12</v>
      </c>
      <c r="AL614" s="2" t="s">
        <v>3813</v>
      </c>
      <c r="AM614" s="2" t="s">
        <v>155</v>
      </c>
      <c r="AN614" s="2" t="s">
        <v>156</v>
      </c>
      <c r="AO614" s="2" t="s">
        <v>157</v>
      </c>
      <c r="AP614" s="2" t="s">
        <v>158</v>
      </c>
      <c r="AQ614" s="2"/>
      <c r="AR614" s="2" t="s">
        <v>159</v>
      </c>
      <c r="AS614" s="2" t="s">
        <v>160</v>
      </c>
      <c r="AT614" s="2" t="s">
        <v>185</v>
      </c>
      <c r="AU614" s="2" t="n">
        <v>2016</v>
      </c>
      <c r="AV614" s="2" t="n">
        <v>88</v>
      </c>
      <c r="AW614" s="2" t="n">
        <v>8</v>
      </c>
      <c r="AX614" s="2"/>
      <c r="AY614" s="2"/>
      <c r="AZ614" s="2"/>
      <c r="BA614" s="2"/>
      <c r="BB614" s="2" t="n">
        <v>1334</v>
      </c>
      <c r="BC614" s="2" t="n">
        <v>1340</v>
      </c>
      <c r="BD614" s="2"/>
      <c r="BE614" s="2" t="s">
        <v>11450</v>
      </c>
      <c r="BF614" s="2" t="str">
        <f aca="false">HYPERLINK("http://dx.doi.org/10.1002/jmv.24480","http://dx.doi.org/10.1002/jmv.24480")</f>
        <v>http://dx.doi.org/10.1002/jmv.24480</v>
      </c>
      <c r="BG614" s="2"/>
      <c r="BH614" s="2"/>
      <c r="BI614" s="2" t="n">
        <v>7</v>
      </c>
      <c r="BJ614" s="2" t="s">
        <v>163</v>
      </c>
      <c r="BK614" s="2" t="s">
        <v>100</v>
      </c>
      <c r="BL614" s="2" t="s">
        <v>163</v>
      </c>
      <c r="BM614" s="2" t="s">
        <v>11252</v>
      </c>
      <c r="BN614" s="2" t="n">
        <v>26792409</v>
      </c>
      <c r="BO614" s="2" t="s">
        <v>1267</v>
      </c>
      <c r="BP614" s="2"/>
      <c r="BQ614" s="2"/>
      <c r="BR614" s="2" t="s">
        <v>104</v>
      </c>
      <c r="BS614" s="2" t="s">
        <v>11451</v>
      </c>
      <c r="BT614" s="2" t="str">
        <f aca="false">HYPERLINK("https%3A%2F%2Fwww.webofscience.com%2Fwos%2Fwoscc%2Ffull-record%2FWOS:000383669500009","View Full Record in Web of Science")</f>
        <v>View Full Record in Web of Science</v>
      </c>
    </row>
    <row r="615" customFormat="false" ht="12.75" hidden="false" customHeight="false" outlineLevel="0" collapsed="false">
      <c r="A615" s="2" t="s">
        <v>72</v>
      </c>
      <c r="B615" s="2" t="s">
        <v>11452</v>
      </c>
      <c r="C615" s="2"/>
      <c r="D615" s="2"/>
      <c r="E615" s="2"/>
      <c r="F615" s="2" t="s">
        <v>11453</v>
      </c>
      <c r="G615" s="2"/>
      <c r="H615" s="2"/>
      <c r="I615" s="2" t="s">
        <v>11454</v>
      </c>
      <c r="J615" s="2" t="s">
        <v>141</v>
      </c>
      <c r="K615" s="2"/>
      <c r="L615" s="2"/>
      <c r="M615" s="2" t="s">
        <v>77</v>
      </c>
      <c r="N615" s="2" t="s">
        <v>78</v>
      </c>
      <c r="O615" s="2"/>
      <c r="P615" s="2"/>
      <c r="Q615" s="2"/>
      <c r="R615" s="2"/>
      <c r="S615" s="2"/>
      <c r="T615" s="2" t="s">
        <v>11455</v>
      </c>
      <c r="U615" s="2" t="s">
        <v>11456</v>
      </c>
      <c r="V615" s="2" t="s">
        <v>11457</v>
      </c>
      <c r="W615" s="2" t="s">
        <v>11458</v>
      </c>
      <c r="X615" s="2" t="s">
        <v>11459</v>
      </c>
      <c r="Y615" s="2" t="s">
        <v>11460</v>
      </c>
      <c r="Z615" s="2" t="s">
        <v>11461</v>
      </c>
      <c r="AA615" s="2" t="s">
        <v>11462</v>
      </c>
      <c r="AB615" s="2" t="s">
        <v>11463</v>
      </c>
      <c r="AC615" s="2" t="s">
        <v>11464</v>
      </c>
      <c r="AD615" s="2" t="s">
        <v>11465</v>
      </c>
      <c r="AE615" s="2" t="s">
        <v>11466</v>
      </c>
      <c r="AF615" s="2"/>
      <c r="AG615" s="2" t="n">
        <v>30</v>
      </c>
      <c r="AH615" s="2" t="n">
        <v>13</v>
      </c>
      <c r="AI615" s="2" t="n">
        <v>14</v>
      </c>
      <c r="AJ615" s="2" t="n">
        <v>2</v>
      </c>
      <c r="AK615" s="2" t="n">
        <v>27</v>
      </c>
      <c r="AL615" s="2" t="s">
        <v>154</v>
      </c>
      <c r="AM615" s="2" t="s">
        <v>155</v>
      </c>
      <c r="AN615" s="2" t="s">
        <v>156</v>
      </c>
      <c r="AO615" s="2" t="s">
        <v>157</v>
      </c>
      <c r="AP615" s="2" t="s">
        <v>158</v>
      </c>
      <c r="AQ615" s="2"/>
      <c r="AR615" s="2" t="s">
        <v>159</v>
      </c>
      <c r="AS615" s="2" t="s">
        <v>160</v>
      </c>
      <c r="AT615" s="2" t="s">
        <v>336</v>
      </c>
      <c r="AU615" s="2" t="n">
        <v>2017</v>
      </c>
      <c r="AV615" s="2" t="n">
        <v>89</v>
      </c>
      <c r="AW615" s="2" t="n">
        <v>10</v>
      </c>
      <c r="AX615" s="2"/>
      <c r="AY615" s="2"/>
      <c r="AZ615" s="2"/>
      <c r="BA615" s="2"/>
      <c r="BB615" s="2" t="n">
        <v>1700</v>
      </c>
      <c r="BC615" s="2" t="n">
        <v>1706</v>
      </c>
      <c r="BD615" s="2"/>
      <c r="BE615" s="2" t="s">
        <v>11467</v>
      </c>
      <c r="BF615" s="2" t="str">
        <f aca="false">HYPERLINK("http://dx.doi.org/10.1002/jmv.24751","http://dx.doi.org/10.1002/jmv.24751")</f>
        <v>http://dx.doi.org/10.1002/jmv.24751</v>
      </c>
      <c r="BG615" s="2"/>
      <c r="BH615" s="2"/>
      <c r="BI615" s="2" t="n">
        <v>7</v>
      </c>
      <c r="BJ615" s="2" t="s">
        <v>163</v>
      </c>
      <c r="BK615" s="2" t="s">
        <v>100</v>
      </c>
      <c r="BL615" s="2" t="s">
        <v>163</v>
      </c>
      <c r="BM615" s="2" t="s">
        <v>11468</v>
      </c>
      <c r="BN615" s="2" t="n">
        <v>27943329</v>
      </c>
      <c r="BO615" s="2" t="s">
        <v>11469</v>
      </c>
      <c r="BP615" s="2"/>
      <c r="BQ615" s="2"/>
      <c r="BR615" s="2" t="s">
        <v>104</v>
      </c>
      <c r="BS615" s="2" t="s">
        <v>11470</v>
      </c>
      <c r="BT615" s="2" t="str">
        <f aca="false">HYPERLINK("https%3A%2F%2Fwww.webofscience.com%2Fwos%2Fwoscc%2Ffull-record%2FWOS:000409231100003","View Full Record in Web of Science")</f>
        <v>View Full Record in Web of Science</v>
      </c>
    </row>
    <row r="616" customFormat="false" ht="12.75" hidden="false" customHeight="false" outlineLevel="0" collapsed="false">
      <c r="A616" s="2" t="s">
        <v>72</v>
      </c>
      <c r="B616" s="2" t="s">
        <v>11471</v>
      </c>
      <c r="C616" s="2"/>
      <c r="D616" s="2"/>
      <c r="E616" s="2"/>
      <c r="F616" s="2" t="s">
        <v>11472</v>
      </c>
      <c r="G616" s="2"/>
      <c r="H616" s="2"/>
      <c r="I616" s="2" t="s">
        <v>11473</v>
      </c>
      <c r="J616" s="2" t="s">
        <v>11474</v>
      </c>
      <c r="K616" s="2"/>
      <c r="L616" s="2"/>
      <c r="M616" s="2" t="s">
        <v>77</v>
      </c>
      <c r="N616" s="2" t="s">
        <v>78</v>
      </c>
      <c r="O616" s="2"/>
      <c r="P616" s="2"/>
      <c r="Q616" s="2"/>
      <c r="R616" s="2"/>
      <c r="S616" s="2"/>
      <c r="T616" s="2" t="s">
        <v>11475</v>
      </c>
      <c r="U616" s="2" t="s">
        <v>11476</v>
      </c>
      <c r="V616" s="2" t="s">
        <v>11477</v>
      </c>
      <c r="W616" s="2" t="s">
        <v>11478</v>
      </c>
      <c r="X616" s="2" t="s">
        <v>11479</v>
      </c>
      <c r="Y616" s="2" t="s">
        <v>11480</v>
      </c>
      <c r="Z616" s="2" t="s">
        <v>11481</v>
      </c>
      <c r="AA616" s="2" t="s">
        <v>11482</v>
      </c>
      <c r="AB616" s="2"/>
      <c r="AC616" s="2" t="s">
        <v>11483</v>
      </c>
      <c r="AD616" s="2" t="s">
        <v>11483</v>
      </c>
      <c r="AE616" s="2" t="s">
        <v>11484</v>
      </c>
      <c r="AF616" s="2"/>
      <c r="AG616" s="2" t="n">
        <v>58</v>
      </c>
      <c r="AH616" s="2" t="n">
        <v>96</v>
      </c>
      <c r="AI616" s="2" t="n">
        <v>104</v>
      </c>
      <c r="AJ616" s="2" t="n">
        <v>1</v>
      </c>
      <c r="AK616" s="2" t="n">
        <v>36</v>
      </c>
      <c r="AL616" s="2" t="s">
        <v>11485</v>
      </c>
      <c r="AM616" s="2" t="s">
        <v>303</v>
      </c>
      <c r="AN616" s="2" t="s">
        <v>11486</v>
      </c>
      <c r="AO616" s="2" t="s">
        <v>11487</v>
      </c>
      <c r="AP616" s="2"/>
      <c r="AQ616" s="2"/>
      <c r="AR616" s="2" t="s">
        <v>11488</v>
      </c>
      <c r="AS616" s="2" t="s">
        <v>11489</v>
      </c>
      <c r="AT616" s="2" t="s">
        <v>673</v>
      </c>
      <c r="AU616" s="2" t="n">
        <v>2013</v>
      </c>
      <c r="AV616" s="2" t="n">
        <v>452</v>
      </c>
      <c r="AW616" s="2"/>
      <c r="AX616" s="2" t="n">
        <v>2</v>
      </c>
      <c r="AY616" s="2"/>
      <c r="AZ616" s="2"/>
      <c r="BA616" s="2"/>
      <c r="BB616" s="2" t="n">
        <v>331</v>
      </c>
      <c r="BC616" s="2" t="n">
        <v>343</v>
      </c>
      <c r="BD616" s="2"/>
      <c r="BE616" s="2" t="s">
        <v>11490</v>
      </c>
      <c r="BF616" s="2" t="str">
        <f aca="false">HYPERLINK("http://dx.doi.org/10.1042/BJ20130101","http://dx.doi.org/10.1042/BJ20130101")</f>
        <v>http://dx.doi.org/10.1042/BJ20130101</v>
      </c>
      <c r="BG616" s="2"/>
      <c r="BH616" s="2"/>
      <c r="BI616" s="2" t="n">
        <v>13</v>
      </c>
      <c r="BJ616" s="2" t="s">
        <v>4523</v>
      </c>
      <c r="BK616" s="2" t="s">
        <v>100</v>
      </c>
      <c r="BL616" s="2" t="s">
        <v>4523</v>
      </c>
      <c r="BM616" s="2" t="s">
        <v>11491</v>
      </c>
      <c r="BN616" s="2" t="n">
        <v>23527573</v>
      </c>
      <c r="BO616" s="2"/>
      <c r="BP616" s="2"/>
      <c r="BQ616" s="2"/>
      <c r="BR616" s="2" t="s">
        <v>104</v>
      </c>
      <c r="BS616" s="2" t="s">
        <v>11492</v>
      </c>
      <c r="BT616" s="2" t="str">
        <f aca="false">HYPERLINK("https%3A%2F%2Fwww.webofscience.com%2Fwos%2Fwoscc%2Ffull-record%2FWOS:000319635800016","View Full Record in Web of Science")</f>
        <v>View Full Record in Web of Science</v>
      </c>
    </row>
    <row r="617" customFormat="false" ht="12.75" hidden="false" customHeight="false" outlineLevel="0" collapsed="false">
      <c r="A617" s="2" t="s">
        <v>72</v>
      </c>
      <c r="B617" s="2" t="s">
        <v>11493</v>
      </c>
      <c r="C617" s="2"/>
      <c r="D617" s="2"/>
      <c r="E617" s="2"/>
      <c r="F617" s="2" t="s">
        <v>11494</v>
      </c>
      <c r="G617" s="2"/>
      <c r="H617" s="2"/>
      <c r="I617" s="2" t="s">
        <v>11495</v>
      </c>
      <c r="J617" s="2" t="s">
        <v>11496</v>
      </c>
      <c r="K617" s="2"/>
      <c r="L617" s="2"/>
      <c r="M617" s="2" t="s">
        <v>77</v>
      </c>
      <c r="N617" s="2" t="s">
        <v>78</v>
      </c>
      <c r="O617" s="2"/>
      <c r="P617" s="2"/>
      <c r="Q617" s="2"/>
      <c r="R617" s="2"/>
      <c r="S617" s="2"/>
      <c r="T617" s="2" t="s">
        <v>11497</v>
      </c>
      <c r="U617" s="2" t="s">
        <v>11498</v>
      </c>
      <c r="V617" s="2" t="s">
        <v>11499</v>
      </c>
      <c r="W617" s="2" t="s">
        <v>11500</v>
      </c>
      <c r="X617" s="2" t="s">
        <v>11501</v>
      </c>
      <c r="Y617" s="2" t="s">
        <v>11502</v>
      </c>
      <c r="Z617" s="2" t="s">
        <v>11503</v>
      </c>
      <c r="AA617" s="2" t="s">
        <v>11504</v>
      </c>
      <c r="AB617" s="2" t="s">
        <v>11505</v>
      </c>
      <c r="AC617" s="2" t="s">
        <v>8509</v>
      </c>
      <c r="AD617" s="2" t="s">
        <v>8510</v>
      </c>
      <c r="AE617" s="2" t="s">
        <v>11506</v>
      </c>
      <c r="AF617" s="2"/>
      <c r="AG617" s="2" t="n">
        <v>49</v>
      </c>
      <c r="AH617" s="2" t="n">
        <v>21</v>
      </c>
      <c r="AI617" s="2" t="n">
        <v>21</v>
      </c>
      <c r="AJ617" s="2" t="n">
        <v>1</v>
      </c>
      <c r="AK617" s="2" t="n">
        <v>8</v>
      </c>
      <c r="AL617" s="2" t="s">
        <v>1565</v>
      </c>
      <c r="AM617" s="2" t="s">
        <v>1566</v>
      </c>
      <c r="AN617" s="2" t="s">
        <v>1567</v>
      </c>
      <c r="AO617" s="2" t="s">
        <v>11507</v>
      </c>
      <c r="AP617" s="2" t="s">
        <v>11508</v>
      </c>
      <c r="AQ617" s="2"/>
      <c r="AR617" s="2" t="s">
        <v>11509</v>
      </c>
      <c r="AS617" s="2" t="s">
        <v>11510</v>
      </c>
      <c r="AT617" s="2" t="s">
        <v>161</v>
      </c>
      <c r="AU617" s="2" t="n">
        <v>2017</v>
      </c>
      <c r="AV617" s="2" t="n">
        <v>32</v>
      </c>
      <c r="AW617" s="2" t="n">
        <v>1</v>
      </c>
      <c r="AX617" s="2"/>
      <c r="AY617" s="2"/>
      <c r="AZ617" s="2"/>
      <c r="BA617" s="2"/>
      <c r="BB617" s="2" t="n">
        <v>84</v>
      </c>
      <c r="BC617" s="2" t="n">
        <v>93</v>
      </c>
      <c r="BD617" s="2"/>
      <c r="BE617" s="2" t="s">
        <v>11511</v>
      </c>
      <c r="BF617" s="2" t="str">
        <f aca="false">HYPERLINK("http://dx.doi.org/10.1177/0883073816670820","http://dx.doi.org/10.1177/0883073816670820")</f>
        <v>http://dx.doi.org/10.1177/0883073816670820</v>
      </c>
      <c r="BG617" s="2"/>
      <c r="BH617" s="2"/>
      <c r="BI617" s="2" t="n">
        <v>10</v>
      </c>
      <c r="BJ617" s="2" t="s">
        <v>11512</v>
      </c>
      <c r="BK617" s="2" t="s">
        <v>100</v>
      </c>
      <c r="BL617" s="2" t="s">
        <v>11513</v>
      </c>
      <c r="BM617" s="2" t="s">
        <v>11514</v>
      </c>
      <c r="BN617" s="2" t="n">
        <v>27698149</v>
      </c>
      <c r="BO617" s="2"/>
      <c r="BP617" s="2"/>
      <c r="BQ617" s="2"/>
      <c r="BR617" s="2" t="s">
        <v>104</v>
      </c>
      <c r="BS617" s="2" t="s">
        <v>11515</v>
      </c>
      <c r="BT617" s="2" t="str">
        <f aca="false">HYPERLINK("https%3A%2F%2Fwww.webofscience.com%2Fwos%2Fwoscc%2Ffull-record%2FWOS:000397213000011","View Full Record in Web of Science")</f>
        <v>View Full Record in Web of Science</v>
      </c>
    </row>
    <row r="618" customFormat="false" ht="12.75" hidden="false" customHeight="false" outlineLevel="0" collapsed="false">
      <c r="A618" s="2" t="s">
        <v>72</v>
      </c>
      <c r="B618" s="2" t="s">
        <v>11516</v>
      </c>
      <c r="C618" s="2"/>
      <c r="D618" s="2"/>
      <c r="E618" s="2"/>
      <c r="F618" s="2" t="s">
        <v>11517</v>
      </c>
      <c r="G618" s="2"/>
      <c r="H618" s="2"/>
      <c r="I618" s="2" t="s">
        <v>11518</v>
      </c>
      <c r="J618" s="2" t="s">
        <v>557</v>
      </c>
      <c r="K618" s="2"/>
      <c r="L618" s="2"/>
      <c r="M618" s="2" t="s">
        <v>77</v>
      </c>
      <c r="N618" s="2" t="s">
        <v>78</v>
      </c>
      <c r="O618" s="2"/>
      <c r="P618" s="2"/>
      <c r="Q618" s="2"/>
      <c r="R618" s="2"/>
      <c r="S618" s="2"/>
      <c r="T618" s="2" t="s">
        <v>11519</v>
      </c>
      <c r="U618" s="2" t="s">
        <v>11520</v>
      </c>
      <c r="V618" s="2" t="s">
        <v>11521</v>
      </c>
      <c r="W618" s="2" t="s">
        <v>11522</v>
      </c>
      <c r="X618" s="2" t="s">
        <v>11523</v>
      </c>
      <c r="Y618" s="2" t="s">
        <v>11524</v>
      </c>
      <c r="Z618" s="2" t="s">
        <v>11525</v>
      </c>
      <c r="AA618" s="2"/>
      <c r="AB618" s="2" t="s">
        <v>11526</v>
      </c>
      <c r="AC618" s="2" t="s">
        <v>11527</v>
      </c>
      <c r="AD618" s="2" t="s">
        <v>11527</v>
      </c>
      <c r="AE618" s="2" t="s">
        <v>11528</v>
      </c>
      <c r="AF618" s="2"/>
      <c r="AG618" s="2" t="n">
        <v>31</v>
      </c>
      <c r="AH618" s="2" t="n">
        <v>2</v>
      </c>
      <c r="AI618" s="2" t="n">
        <v>2</v>
      </c>
      <c r="AJ618" s="2" t="n">
        <v>0</v>
      </c>
      <c r="AK618" s="2" t="n">
        <v>2</v>
      </c>
      <c r="AL618" s="2" t="s">
        <v>302</v>
      </c>
      <c r="AM618" s="2" t="s">
        <v>303</v>
      </c>
      <c r="AN618" s="2" t="s">
        <v>304</v>
      </c>
      <c r="AO618" s="2"/>
      <c r="AP618" s="2" t="s">
        <v>570</v>
      </c>
      <c r="AQ618" s="2"/>
      <c r="AR618" s="2" t="s">
        <v>571</v>
      </c>
      <c r="AS618" s="2" t="s">
        <v>572</v>
      </c>
      <c r="AT618" s="2" t="s">
        <v>2602</v>
      </c>
      <c r="AU618" s="2" t="n">
        <v>2016</v>
      </c>
      <c r="AV618" s="2" t="n">
        <v>16</v>
      </c>
      <c r="AW618" s="2"/>
      <c r="AX618" s="2"/>
      <c r="AY618" s="2"/>
      <c r="AZ618" s="2"/>
      <c r="BA618" s="2"/>
      <c r="BB618" s="2"/>
      <c r="BC618" s="2"/>
      <c r="BD618" s="2" t="n">
        <v>304</v>
      </c>
      <c r="BE618" s="2" t="s">
        <v>11529</v>
      </c>
      <c r="BF618" s="2" t="str">
        <f aca="false">HYPERLINK("http://dx.doi.org/10.1186/s12879-016-1642-8","http://dx.doi.org/10.1186/s12879-016-1642-8")</f>
        <v>http://dx.doi.org/10.1186/s12879-016-1642-8</v>
      </c>
      <c r="BG618" s="2"/>
      <c r="BH618" s="2"/>
      <c r="BI618" s="2" t="n">
        <v>7</v>
      </c>
      <c r="BJ618" s="2" t="s">
        <v>575</v>
      </c>
      <c r="BK618" s="2" t="s">
        <v>100</v>
      </c>
      <c r="BL618" s="2" t="s">
        <v>575</v>
      </c>
      <c r="BM618" s="2" t="s">
        <v>11530</v>
      </c>
      <c r="BN618" s="2" t="n">
        <v>27317396</v>
      </c>
      <c r="BO618" s="2" t="s">
        <v>190</v>
      </c>
      <c r="BP618" s="2"/>
      <c r="BQ618" s="2"/>
      <c r="BR618" s="2" t="s">
        <v>104</v>
      </c>
      <c r="BS618" s="2" t="s">
        <v>11531</v>
      </c>
      <c r="BT618" s="2" t="str">
        <f aca="false">HYPERLINK("https%3A%2F%2Fwww.webofscience.com%2Fwos%2Fwoscc%2Ffull-record%2FWOS:000377951100003","View Full Record in Web of Science")</f>
        <v>View Full Record in Web of Science</v>
      </c>
    </row>
    <row r="619" customFormat="false" ht="12.75" hidden="false" customHeight="false" outlineLevel="0" collapsed="false">
      <c r="A619" s="2" t="s">
        <v>72</v>
      </c>
      <c r="B619" s="2" t="s">
        <v>11532</v>
      </c>
      <c r="C619" s="2"/>
      <c r="D619" s="2"/>
      <c r="E619" s="2"/>
      <c r="F619" s="2" t="s">
        <v>11533</v>
      </c>
      <c r="G619" s="2"/>
      <c r="H619" s="2"/>
      <c r="I619" s="2" t="s">
        <v>11534</v>
      </c>
      <c r="J619" s="2" t="s">
        <v>514</v>
      </c>
      <c r="K619" s="2"/>
      <c r="L619" s="2"/>
      <c r="M619" s="2" t="s">
        <v>77</v>
      </c>
      <c r="N619" s="2" t="s">
        <v>78</v>
      </c>
      <c r="O619" s="2"/>
      <c r="P619" s="2"/>
      <c r="Q619" s="2"/>
      <c r="R619" s="2"/>
      <c r="S619" s="2"/>
      <c r="T619" s="2" t="s">
        <v>11535</v>
      </c>
      <c r="U619" s="2" t="s">
        <v>11536</v>
      </c>
      <c r="V619" s="2" t="s">
        <v>11537</v>
      </c>
      <c r="W619" s="2" t="s">
        <v>11538</v>
      </c>
      <c r="X619" s="2" t="s">
        <v>11539</v>
      </c>
      <c r="Y619" s="2" t="s">
        <v>11540</v>
      </c>
      <c r="Z619" s="2" t="s">
        <v>11541</v>
      </c>
      <c r="AA619" s="2"/>
      <c r="AB619" s="2"/>
      <c r="AC619" s="2" t="s">
        <v>11542</v>
      </c>
      <c r="AD619" s="2" t="s">
        <v>11542</v>
      </c>
      <c r="AE619" s="2" t="s">
        <v>11543</v>
      </c>
      <c r="AF619" s="2"/>
      <c r="AG619" s="2" t="n">
        <v>29</v>
      </c>
      <c r="AH619" s="2" t="n">
        <v>47</v>
      </c>
      <c r="AI619" s="2" t="n">
        <v>48</v>
      </c>
      <c r="AJ619" s="2" t="n">
        <v>0</v>
      </c>
      <c r="AK619" s="2" t="n">
        <v>1</v>
      </c>
      <c r="AL619" s="2" t="s">
        <v>527</v>
      </c>
      <c r="AM619" s="2" t="s">
        <v>528</v>
      </c>
      <c r="AN619" s="2" t="s">
        <v>529</v>
      </c>
      <c r="AO619" s="2" t="s">
        <v>530</v>
      </c>
      <c r="AP619" s="2" t="s">
        <v>531</v>
      </c>
      <c r="AQ619" s="2"/>
      <c r="AR619" s="2" t="s">
        <v>532</v>
      </c>
      <c r="AS619" s="2" t="s">
        <v>533</v>
      </c>
      <c r="AT619" s="2" t="s">
        <v>7237</v>
      </c>
      <c r="AU619" s="2" t="n">
        <v>2017</v>
      </c>
      <c r="AV619" s="2" t="n">
        <v>216</v>
      </c>
      <c r="AW619" s="2" t="n">
        <v>4</v>
      </c>
      <c r="AX619" s="2"/>
      <c r="AY619" s="2"/>
      <c r="AZ619" s="2"/>
      <c r="BA619" s="2"/>
      <c r="BB619" s="2" t="n">
        <v>415</v>
      </c>
      <c r="BC619" s="2" t="n">
        <v>424</v>
      </c>
      <c r="BD619" s="2"/>
      <c r="BE619" s="2" t="s">
        <v>11544</v>
      </c>
      <c r="BF619" s="2" t="str">
        <f aca="false">HYPERLINK("http://dx.doi.org/10.1093/infdis/jix268","http://dx.doi.org/10.1093/infdis/jix268")</f>
        <v>http://dx.doi.org/10.1093/infdis/jix268</v>
      </c>
      <c r="BG619" s="2"/>
      <c r="BH619" s="2"/>
      <c r="BI619" s="2" t="n">
        <v>10</v>
      </c>
      <c r="BJ619" s="2" t="s">
        <v>536</v>
      </c>
      <c r="BK619" s="2" t="s">
        <v>100</v>
      </c>
      <c r="BL619" s="2" t="s">
        <v>536</v>
      </c>
      <c r="BM619" s="2" t="s">
        <v>11545</v>
      </c>
      <c r="BN619" s="2" t="n">
        <v>28931240</v>
      </c>
      <c r="BO619" s="2" t="s">
        <v>1267</v>
      </c>
      <c r="BP619" s="2"/>
      <c r="BQ619" s="2"/>
      <c r="BR619" s="2" t="s">
        <v>104</v>
      </c>
      <c r="BS619" s="2" t="s">
        <v>11546</v>
      </c>
      <c r="BT619" s="2" t="str">
        <f aca="false">HYPERLINK("https%3A%2F%2Fwww.webofscience.com%2Fwos%2Fwoscc%2Ffull-record%2FWOS:000410526900005","View Full Record in Web of Science")</f>
        <v>View Full Record in Web of Science</v>
      </c>
    </row>
    <row r="620" customFormat="false" ht="12.75" hidden="false" customHeight="false" outlineLevel="0" collapsed="false">
      <c r="A620" s="2" t="s">
        <v>72</v>
      </c>
      <c r="B620" s="2" t="s">
        <v>11547</v>
      </c>
      <c r="C620" s="2"/>
      <c r="D620" s="2"/>
      <c r="E620" s="2"/>
      <c r="F620" s="2" t="s">
        <v>11548</v>
      </c>
      <c r="G620" s="2"/>
      <c r="H620" s="2"/>
      <c r="I620" s="2" t="s">
        <v>11549</v>
      </c>
      <c r="J620" s="2" t="s">
        <v>2754</v>
      </c>
      <c r="K620" s="2"/>
      <c r="L620" s="2"/>
      <c r="M620" s="2" t="s">
        <v>77</v>
      </c>
      <c r="N620" s="2" t="s">
        <v>78</v>
      </c>
      <c r="O620" s="2"/>
      <c r="P620" s="2"/>
      <c r="Q620" s="2"/>
      <c r="R620" s="2"/>
      <c r="S620" s="2"/>
      <c r="T620" s="2" t="s">
        <v>11550</v>
      </c>
      <c r="U620" s="2" t="s">
        <v>11551</v>
      </c>
      <c r="V620" s="2" t="s">
        <v>11552</v>
      </c>
      <c r="W620" s="2" t="s">
        <v>11553</v>
      </c>
      <c r="X620" s="2" t="s">
        <v>11554</v>
      </c>
      <c r="Y620" s="2" t="s">
        <v>11555</v>
      </c>
      <c r="Z620" s="2" t="s">
        <v>11556</v>
      </c>
      <c r="AA620" s="2" t="s">
        <v>11557</v>
      </c>
      <c r="AB620" s="2" t="s">
        <v>11558</v>
      </c>
      <c r="AC620" s="2" t="s">
        <v>11559</v>
      </c>
      <c r="AD620" s="2" t="s">
        <v>11560</v>
      </c>
      <c r="AE620" s="2" t="s">
        <v>11561</v>
      </c>
      <c r="AF620" s="2"/>
      <c r="AG620" s="2" t="n">
        <v>20</v>
      </c>
      <c r="AH620" s="2" t="n">
        <v>16</v>
      </c>
      <c r="AI620" s="2" t="n">
        <v>18</v>
      </c>
      <c r="AJ620" s="2" t="n">
        <v>1</v>
      </c>
      <c r="AK620" s="2" t="n">
        <v>4</v>
      </c>
      <c r="AL620" s="2" t="s">
        <v>2763</v>
      </c>
      <c r="AM620" s="2" t="s">
        <v>2764</v>
      </c>
      <c r="AN620" s="2" t="s">
        <v>2765</v>
      </c>
      <c r="AO620" s="2" t="s">
        <v>2766</v>
      </c>
      <c r="AP620" s="2" t="s">
        <v>2767</v>
      </c>
      <c r="AQ620" s="2"/>
      <c r="AR620" s="2" t="s">
        <v>2768</v>
      </c>
      <c r="AS620" s="2" t="s">
        <v>2769</v>
      </c>
      <c r="AT620" s="2" t="s">
        <v>362</v>
      </c>
      <c r="AU620" s="2" t="n">
        <v>2011</v>
      </c>
      <c r="AV620" s="2" t="n">
        <v>15</v>
      </c>
      <c r="AW620" s="2" t="n">
        <v>3</v>
      </c>
      <c r="AX620" s="2"/>
      <c r="AY620" s="2"/>
      <c r="AZ620" s="2"/>
      <c r="BA620" s="2"/>
      <c r="BB620" s="2" t="n">
        <v>220</v>
      </c>
      <c r="BC620" s="2" t="n">
        <v>224</v>
      </c>
      <c r="BD620" s="2"/>
      <c r="BE620" s="2" t="s">
        <v>11562</v>
      </c>
      <c r="BF620" s="2" t="str">
        <f aca="false">HYPERLINK("http://dx.doi.org/10.1590/S1413-86702011000300007","http://dx.doi.org/10.1590/S1413-86702011000300007")</f>
        <v>http://dx.doi.org/10.1590/S1413-86702011000300007</v>
      </c>
      <c r="BG620" s="2"/>
      <c r="BH620" s="2"/>
      <c r="BI620" s="2" t="n">
        <v>5</v>
      </c>
      <c r="BJ620" s="2" t="s">
        <v>575</v>
      </c>
      <c r="BK620" s="2" t="s">
        <v>100</v>
      </c>
      <c r="BL620" s="2" t="s">
        <v>575</v>
      </c>
      <c r="BM620" s="2" t="s">
        <v>11563</v>
      </c>
      <c r="BN620" s="2" t="n">
        <v>21670921</v>
      </c>
      <c r="BO620" s="2" t="s">
        <v>103</v>
      </c>
      <c r="BP620" s="2"/>
      <c r="BQ620" s="2"/>
      <c r="BR620" s="2" t="s">
        <v>104</v>
      </c>
      <c r="BS620" s="2" t="s">
        <v>11564</v>
      </c>
      <c r="BT620" s="2" t="str">
        <f aca="false">HYPERLINK("https%3A%2F%2Fwww.webofscience.com%2Fwos%2Fwoscc%2Ffull-record%2FWOS:000291613000007","View Full Record in Web of Science")</f>
        <v>View Full Record in Web of Science</v>
      </c>
    </row>
    <row r="621" customFormat="false" ht="12.75" hidden="false" customHeight="false" outlineLevel="0" collapsed="false">
      <c r="A621" s="2" t="s">
        <v>72</v>
      </c>
      <c r="B621" s="2" t="s">
        <v>11565</v>
      </c>
      <c r="C621" s="2"/>
      <c r="D621" s="2"/>
      <c r="E621" s="2"/>
      <c r="F621" s="2" t="s">
        <v>11566</v>
      </c>
      <c r="G621" s="2"/>
      <c r="H621" s="2"/>
      <c r="I621" s="2" t="s">
        <v>11567</v>
      </c>
      <c r="J621" s="2" t="s">
        <v>1336</v>
      </c>
      <c r="K621" s="2"/>
      <c r="L621" s="2"/>
      <c r="M621" s="2" t="s">
        <v>77</v>
      </c>
      <c r="N621" s="2" t="s">
        <v>78</v>
      </c>
      <c r="O621" s="2"/>
      <c r="P621" s="2"/>
      <c r="Q621" s="2"/>
      <c r="R621" s="2"/>
      <c r="S621" s="2"/>
      <c r="T621" s="2" t="s">
        <v>11568</v>
      </c>
      <c r="U621" s="2" t="s">
        <v>11569</v>
      </c>
      <c r="V621" s="2" t="s">
        <v>11570</v>
      </c>
      <c r="W621" s="2" t="s">
        <v>11571</v>
      </c>
      <c r="X621" s="2" t="s">
        <v>11572</v>
      </c>
      <c r="Y621" s="2" t="s">
        <v>11573</v>
      </c>
      <c r="Z621" s="2" t="s">
        <v>11574</v>
      </c>
      <c r="AA621" s="2" t="s">
        <v>11575</v>
      </c>
      <c r="AB621" s="2"/>
      <c r="AC621" s="2" t="s">
        <v>11576</v>
      </c>
      <c r="AD621" s="2" t="s">
        <v>11576</v>
      </c>
      <c r="AE621" s="2" t="s">
        <v>11577</v>
      </c>
      <c r="AF621" s="2"/>
      <c r="AG621" s="2" t="n">
        <v>55</v>
      </c>
      <c r="AH621" s="2" t="n">
        <v>6</v>
      </c>
      <c r="AI621" s="2" t="n">
        <v>6</v>
      </c>
      <c r="AJ621" s="2" t="n">
        <v>0</v>
      </c>
      <c r="AK621" s="2" t="n">
        <v>3</v>
      </c>
      <c r="AL621" s="2" t="s">
        <v>1344</v>
      </c>
      <c r="AM621" s="2" t="s">
        <v>1345</v>
      </c>
      <c r="AN621" s="2" t="s">
        <v>1346</v>
      </c>
      <c r="AO621" s="2" t="s">
        <v>1347</v>
      </c>
      <c r="AP621" s="2" t="s">
        <v>1348</v>
      </c>
      <c r="AQ621" s="2"/>
      <c r="AR621" s="2" t="s">
        <v>1349</v>
      </c>
      <c r="AS621" s="2" t="s">
        <v>1350</v>
      </c>
      <c r="AT621" s="2" t="s">
        <v>446</v>
      </c>
      <c r="AU621" s="2" t="n">
        <v>2020</v>
      </c>
      <c r="AV621" s="2" t="n">
        <v>8</v>
      </c>
      <c r="AW621" s="2" t="n">
        <v>4</v>
      </c>
      <c r="AX621" s="2"/>
      <c r="AY621" s="2"/>
      <c r="AZ621" s="2"/>
      <c r="BA621" s="2"/>
      <c r="BB621" s="2" t="n">
        <v>1225</v>
      </c>
      <c r="BC621" s="2" t="n">
        <v>1235</v>
      </c>
      <c r="BD621" s="2"/>
      <c r="BE621" s="2" t="s">
        <v>11578</v>
      </c>
      <c r="BF621" s="2" t="str">
        <f aca="false">HYPERLINK("http://dx.doi.org/10.1016/j.cegh.2020.04.019","http://dx.doi.org/10.1016/j.cegh.2020.04.019")</f>
        <v>http://dx.doi.org/10.1016/j.cegh.2020.04.019</v>
      </c>
      <c r="BG621" s="2"/>
      <c r="BH621" s="2"/>
      <c r="BI621" s="2" t="n">
        <v>11</v>
      </c>
      <c r="BJ621" s="2" t="s">
        <v>1353</v>
      </c>
      <c r="BK621" s="2" t="s">
        <v>339</v>
      </c>
      <c r="BL621" s="2" t="s">
        <v>1353</v>
      </c>
      <c r="BM621" s="2" t="s">
        <v>11579</v>
      </c>
      <c r="BN621" s="2" t="n">
        <v>32346655</v>
      </c>
      <c r="BO621" s="2" t="s">
        <v>284</v>
      </c>
      <c r="BP621" s="2"/>
      <c r="BQ621" s="2"/>
      <c r="BR621" s="2" t="s">
        <v>104</v>
      </c>
      <c r="BS621" s="2" t="s">
        <v>11580</v>
      </c>
      <c r="BT621" s="2" t="str">
        <f aca="false">HYPERLINK("https%3A%2F%2Fwww.webofscience.com%2Fwos%2Fwoscc%2Ffull-record%2FWOS:000577473100040","View Full Record in Web of Science")</f>
        <v>View Full Record in Web of Science</v>
      </c>
    </row>
    <row r="622" customFormat="false" ht="12.75" hidden="false" customHeight="false" outlineLevel="0" collapsed="false">
      <c r="A622" s="2" t="s">
        <v>72</v>
      </c>
      <c r="B622" s="2" t="s">
        <v>11581</v>
      </c>
      <c r="C622" s="2"/>
      <c r="D622" s="2"/>
      <c r="E622" s="2"/>
      <c r="F622" s="2" t="s">
        <v>11582</v>
      </c>
      <c r="G622" s="2"/>
      <c r="H622" s="2"/>
      <c r="I622" s="2" t="s">
        <v>11583</v>
      </c>
      <c r="J622" s="2" t="s">
        <v>141</v>
      </c>
      <c r="K622" s="2"/>
      <c r="L622" s="2"/>
      <c r="M622" s="2" t="s">
        <v>77</v>
      </c>
      <c r="N622" s="2" t="s">
        <v>78</v>
      </c>
      <c r="O622" s="2"/>
      <c r="P622" s="2"/>
      <c r="Q622" s="2"/>
      <c r="R622" s="2"/>
      <c r="S622" s="2"/>
      <c r="T622" s="2" t="s">
        <v>11584</v>
      </c>
      <c r="U622" s="2" t="s">
        <v>11585</v>
      </c>
      <c r="V622" s="2" t="s">
        <v>11586</v>
      </c>
      <c r="W622" s="2" t="s">
        <v>11587</v>
      </c>
      <c r="X622" s="2" t="s">
        <v>11588</v>
      </c>
      <c r="Y622" s="2" t="s">
        <v>11589</v>
      </c>
      <c r="Z622" s="2" t="s">
        <v>11590</v>
      </c>
      <c r="AA622" s="2"/>
      <c r="AB622" s="2" t="s">
        <v>11591</v>
      </c>
      <c r="AC622" s="2" t="s">
        <v>11592</v>
      </c>
      <c r="AD622" s="2" t="s">
        <v>11593</v>
      </c>
      <c r="AE622" s="2" t="s">
        <v>11594</v>
      </c>
      <c r="AF622" s="2"/>
      <c r="AG622" s="2" t="n">
        <v>31</v>
      </c>
      <c r="AH622" s="2" t="n">
        <v>19</v>
      </c>
      <c r="AI622" s="2" t="n">
        <v>20</v>
      </c>
      <c r="AJ622" s="2" t="n">
        <v>0</v>
      </c>
      <c r="AK622" s="2" t="n">
        <v>27</v>
      </c>
      <c r="AL622" s="2" t="s">
        <v>3813</v>
      </c>
      <c r="AM622" s="2" t="s">
        <v>155</v>
      </c>
      <c r="AN622" s="2" t="s">
        <v>156</v>
      </c>
      <c r="AO622" s="2" t="s">
        <v>157</v>
      </c>
      <c r="AP622" s="2" t="s">
        <v>158</v>
      </c>
      <c r="AQ622" s="2"/>
      <c r="AR622" s="2" t="s">
        <v>159</v>
      </c>
      <c r="AS622" s="2" t="s">
        <v>160</v>
      </c>
      <c r="AT622" s="2" t="s">
        <v>161</v>
      </c>
      <c r="AU622" s="2" t="n">
        <v>2017</v>
      </c>
      <c r="AV622" s="2" t="n">
        <v>89</v>
      </c>
      <c r="AW622" s="2" t="n">
        <v>1</v>
      </c>
      <c r="AX622" s="2"/>
      <c r="AY622" s="2"/>
      <c r="AZ622" s="2"/>
      <c r="BA622" s="2"/>
      <c r="BB622" s="2" t="n">
        <v>49</v>
      </c>
      <c r="BC622" s="2" t="n">
        <v>54</v>
      </c>
      <c r="BD622" s="2"/>
      <c r="BE622" s="2" t="s">
        <v>11595</v>
      </c>
      <c r="BF622" s="2" t="str">
        <f aca="false">HYPERLINK("http://dx.doi.org/10.1002/jmv.24607","http://dx.doi.org/10.1002/jmv.24607")</f>
        <v>http://dx.doi.org/10.1002/jmv.24607</v>
      </c>
      <c r="BG622" s="2"/>
      <c r="BH622" s="2"/>
      <c r="BI622" s="2" t="n">
        <v>6</v>
      </c>
      <c r="BJ622" s="2" t="s">
        <v>163</v>
      </c>
      <c r="BK622" s="2" t="s">
        <v>100</v>
      </c>
      <c r="BL622" s="2" t="s">
        <v>163</v>
      </c>
      <c r="BM622" s="2" t="s">
        <v>11596</v>
      </c>
      <c r="BN622" s="2" t="n">
        <v>27329816</v>
      </c>
      <c r="BO622" s="2"/>
      <c r="BP622" s="2"/>
      <c r="BQ622" s="2"/>
      <c r="BR622" s="2" t="s">
        <v>104</v>
      </c>
      <c r="BS622" s="2" t="s">
        <v>11597</v>
      </c>
      <c r="BT622" s="2" t="str">
        <f aca="false">HYPERLINK("https%3A%2F%2Fwww.webofscience.com%2Fwos%2Fwoscc%2Ffull-record%2FWOS:000387165200008","View Full Record in Web of Science")</f>
        <v>View Full Record in Web of Science</v>
      </c>
    </row>
    <row r="623" customFormat="false" ht="12.75" hidden="false" customHeight="false" outlineLevel="0" collapsed="false">
      <c r="A623" s="2" t="s">
        <v>72</v>
      </c>
      <c r="B623" s="2" t="s">
        <v>11598</v>
      </c>
      <c r="C623" s="2"/>
      <c r="D623" s="2"/>
      <c r="E623" s="2"/>
      <c r="F623" s="2" t="s">
        <v>11599</v>
      </c>
      <c r="G623" s="2"/>
      <c r="H623" s="2"/>
      <c r="I623" s="2" t="s">
        <v>11600</v>
      </c>
      <c r="J623" s="2" t="s">
        <v>493</v>
      </c>
      <c r="K623" s="2"/>
      <c r="L623" s="2"/>
      <c r="M623" s="2" t="s">
        <v>77</v>
      </c>
      <c r="N623" s="2" t="s">
        <v>78</v>
      </c>
      <c r="O623" s="2"/>
      <c r="P623" s="2"/>
      <c r="Q623" s="2"/>
      <c r="R623" s="2"/>
      <c r="S623" s="2"/>
      <c r="T623" s="2" t="s">
        <v>11601</v>
      </c>
      <c r="U623" s="2" t="s">
        <v>11602</v>
      </c>
      <c r="V623" s="2" t="s">
        <v>11603</v>
      </c>
      <c r="W623" s="2" t="s">
        <v>11604</v>
      </c>
      <c r="X623" s="2" t="s">
        <v>11605</v>
      </c>
      <c r="Y623" s="2" t="s">
        <v>11606</v>
      </c>
      <c r="Z623" s="2" t="s">
        <v>11607</v>
      </c>
      <c r="AA623" s="2"/>
      <c r="AB623" s="2" t="s">
        <v>11608</v>
      </c>
      <c r="AC623" s="2" t="s">
        <v>11542</v>
      </c>
      <c r="AD623" s="2" t="s">
        <v>11542</v>
      </c>
      <c r="AE623" s="2" t="s">
        <v>11609</v>
      </c>
      <c r="AF623" s="2"/>
      <c r="AG623" s="2" t="n">
        <v>30</v>
      </c>
      <c r="AH623" s="2" t="n">
        <v>15</v>
      </c>
      <c r="AI623" s="2" t="n">
        <v>15</v>
      </c>
      <c r="AJ623" s="2" t="n">
        <v>0</v>
      </c>
      <c r="AK623" s="2" t="n">
        <v>2</v>
      </c>
      <c r="AL623" s="2" t="s">
        <v>91</v>
      </c>
      <c r="AM623" s="2" t="s">
        <v>92</v>
      </c>
      <c r="AN623" s="2" t="s">
        <v>93</v>
      </c>
      <c r="AO623" s="2"/>
      <c r="AP623" s="2" t="s">
        <v>506</v>
      </c>
      <c r="AQ623" s="2"/>
      <c r="AR623" s="2" t="s">
        <v>493</v>
      </c>
      <c r="AS623" s="2" t="s">
        <v>507</v>
      </c>
      <c r="AT623" s="2" t="s">
        <v>692</v>
      </c>
      <c r="AU623" s="2" t="n">
        <v>2022</v>
      </c>
      <c r="AV623" s="2" t="n">
        <v>14</v>
      </c>
      <c r="AW623" s="2" t="n">
        <v>4</v>
      </c>
      <c r="AX623" s="2"/>
      <c r="AY623" s="2"/>
      <c r="AZ623" s="2"/>
      <c r="BA623" s="2"/>
      <c r="BB623" s="2"/>
      <c r="BC623" s="2"/>
      <c r="BD623" s="2" t="n">
        <v>797</v>
      </c>
      <c r="BE623" s="2" t="s">
        <v>11610</v>
      </c>
      <c r="BF623" s="2" t="str">
        <f aca="false">HYPERLINK("http://dx.doi.org/10.3390/v14040797","http://dx.doi.org/10.3390/v14040797")</f>
        <v>http://dx.doi.org/10.3390/v14040797</v>
      </c>
      <c r="BG623" s="2"/>
      <c r="BH623" s="2"/>
      <c r="BI623" s="2" t="n">
        <v>13</v>
      </c>
      <c r="BJ623" s="2" t="s">
        <v>163</v>
      </c>
      <c r="BK623" s="2" t="s">
        <v>100</v>
      </c>
      <c r="BL623" s="2" t="s">
        <v>163</v>
      </c>
      <c r="BM623" s="2" t="s">
        <v>11611</v>
      </c>
      <c r="BN623" s="2" t="n">
        <v>35458527</v>
      </c>
      <c r="BO623" s="2" t="s">
        <v>103</v>
      </c>
      <c r="BP623" s="2"/>
      <c r="BQ623" s="2"/>
      <c r="BR623" s="2" t="s">
        <v>104</v>
      </c>
      <c r="BS623" s="2" t="s">
        <v>11612</v>
      </c>
      <c r="BT623" s="2" t="str">
        <f aca="false">HYPERLINK("https%3A%2F%2Fwww.webofscience.com%2Fwos%2Fwoscc%2Ffull-record%2FWOS:000785459600001","View Full Record in Web of Science")</f>
        <v>View Full Record in Web of Science</v>
      </c>
    </row>
    <row r="624" customFormat="false" ht="12.75" hidden="false" customHeight="false" outlineLevel="0" collapsed="false">
      <c r="A624" s="2" t="s">
        <v>72</v>
      </c>
      <c r="B624" s="2" t="s">
        <v>11613</v>
      </c>
      <c r="C624" s="2"/>
      <c r="D624" s="2"/>
      <c r="E624" s="2"/>
      <c r="F624" s="2" t="s">
        <v>11614</v>
      </c>
      <c r="G624" s="2"/>
      <c r="H624" s="2"/>
      <c r="I624" s="2" t="s">
        <v>11615</v>
      </c>
      <c r="J624" s="2" t="s">
        <v>10462</v>
      </c>
      <c r="K624" s="2"/>
      <c r="L624" s="2"/>
      <c r="M624" s="2" t="s">
        <v>77</v>
      </c>
      <c r="N624" s="2" t="s">
        <v>78</v>
      </c>
      <c r="O624" s="2"/>
      <c r="P624" s="2"/>
      <c r="Q624" s="2"/>
      <c r="R624" s="2"/>
      <c r="S624" s="2"/>
      <c r="T624" s="2" t="s">
        <v>11616</v>
      </c>
      <c r="U624" s="2" t="s">
        <v>11617</v>
      </c>
      <c r="V624" s="2" t="s">
        <v>11618</v>
      </c>
      <c r="W624" s="2" t="s">
        <v>11619</v>
      </c>
      <c r="X624" s="2" t="s">
        <v>11620</v>
      </c>
      <c r="Y624" s="2" t="s">
        <v>11621</v>
      </c>
      <c r="Z624" s="2" t="s">
        <v>5566</v>
      </c>
      <c r="AA624" s="2" t="s">
        <v>11622</v>
      </c>
      <c r="AB624" s="2" t="s">
        <v>11623</v>
      </c>
      <c r="AC624" s="2" t="s">
        <v>11624</v>
      </c>
      <c r="AD624" s="2" t="s">
        <v>11625</v>
      </c>
      <c r="AE624" s="2" t="s">
        <v>11626</v>
      </c>
      <c r="AF624" s="2"/>
      <c r="AG624" s="2" t="n">
        <v>22</v>
      </c>
      <c r="AH624" s="2" t="n">
        <v>0</v>
      </c>
      <c r="AI624" s="2" t="n">
        <v>0</v>
      </c>
      <c r="AJ624" s="2" t="n">
        <v>0</v>
      </c>
      <c r="AK624" s="2" t="n">
        <v>0</v>
      </c>
      <c r="AL624" s="2" t="s">
        <v>10470</v>
      </c>
      <c r="AM624" s="2" t="s">
        <v>11627</v>
      </c>
      <c r="AN624" s="2" t="s">
        <v>11628</v>
      </c>
      <c r="AO624" s="2" t="s">
        <v>10473</v>
      </c>
      <c r="AP624" s="2"/>
      <c r="AQ624" s="2"/>
      <c r="AR624" s="2" t="s">
        <v>10474</v>
      </c>
      <c r="AS624" s="2" t="s">
        <v>10475</v>
      </c>
      <c r="AT624" s="2" t="s">
        <v>336</v>
      </c>
      <c r="AU624" s="2" t="n">
        <v>2009</v>
      </c>
      <c r="AV624" s="2" t="n">
        <v>32</v>
      </c>
      <c r="AW624" s="2" t="n">
        <v>4</v>
      </c>
      <c r="AX624" s="2"/>
      <c r="AY624" s="2"/>
      <c r="AZ624" s="2"/>
      <c r="BA624" s="2"/>
      <c r="BB624" s="2" t="n">
        <v>405</v>
      </c>
      <c r="BC624" s="2" t="n">
        <v>410</v>
      </c>
      <c r="BD624" s="2"/>
      <c r="BE624" s="2"/>
      <c r="BF624" s="2"/>
      <c r="BG624" s="2"/>
      <c r="BH624" s="2"/>
      <c r="BI624" s="2" t="n">
        <v>6</v>
      </c>
      <c r="BJ624" s="2" t="s">
        <v>211</v>
      </c>
      <c r="BK624" s="2" t="s">
        <v>100</v>
      </c>
      <c r="BL624" s="2" t="s">
        <v>211</v>
      </c>
      <c r="BM624" s="2" t="s">
        <v>11629</v>
      </c>
      <c r="BN624" s="2" t="n">
        <v>20128448</v>
      </c>
      <c r="BO624" s="2"/>
      <c r="BP624" s="2"/>
      <c r="BQ624" s="2"/>
      <c r="BR624" s="2" t="s">
        <v>104</v>
      </c>
      <c r="BS624" s="2" t="s">
        <v>11630</v>
      </c>
      <c r="BT624" s="2" t="str">
        <f aca="false">HYPERLINK("https%3A%2F%2Fwww.webofscience.com%2Fwos%2Fwoscc%2Ffull-record%2FWOS:000273203100012","View Full Record in Web of Science")</f>
        <v>View Full Record in Web of Science</v>
      </c>
    </row>
    <row r="625" customFormat="false" ht="12.75" hidden="false" customHeight="false" outlineLevel="0" collapsed="false">
      <c r="A625" s="2" t="s">
        <v>72</v>
      </c>
      <c r="B625" s="2" t="s">
        <v>11631</v>
      </c>
      <c r="C625" s="2"/>
      <c r="D625" s="2"/>
      <c r="E625" s="2"/>
      <c r="F625" s="2" t="s">
        <v>11632</v>
      </c>
      <c r="G625" s="2"/>
      <c r="H625" s="2"/>
      <c r="I625" s="2" t="s">
        <v>11633</v>
      </c>
      <c r="J625" s="2" t="s">
        <v>10462</v>
      </c>
      <c r="K625" s="2"/>
      <c r="L625" s="2"/>
      <c r="M625" s="2" t="s">
        <v>77</v>
      </c>
      <c r="N625" s="2" t="s">
        <v>78</v>
      </c>
      <c r="O625" s="2"/>
      <c r="P625" s="2"/>
      <c r="Q625" s="2"/>
      <c r="R625" s="2"/>
      <c r="S625" s="2"/>
      <c r="T625" s="2" t="s">
        <v>11634</v>
      </c>
      <c r="U625" s="2" t="s">
        <v>11635</v>
      </c>
      <c r="V625" s="2" t="s">
        <v>11636</v>
      </c>
      <c r="W625" s="2" t="s">
        <v>11637</v>
      </c>
      <c r="X625" s="2" t="s">
        <v>3705</v>
      </c>
      <c r="Y625" s="2" t="s">
        <v>11638</v>
      </c>
      <c r="Z625" s="2" t="s">
        <v>5566</v>
      </c>
      <c r="AA625" s="2" t="s">
        <v>11639</v>
      </c>
      <c r="AB625" s="2" t="s">
        <v>11640</v>
      </c>
      <c r="AC625" s="2" t="s">
        <v>11641</v>
      </c>
      <c r="AD625" s="2" t="s">
        <v>11642</v>
      </c>
      <c r="AE625" s="2" t="s">
        <v>11643</v>
      </c>
      <c r="AF625" s="2"/>
      <c r="AG625" s="2" t="n">
        <v>19</v>
      </c>
      <c r="AH625" s="2" t="n">
        <v>10</v>
      </c>
      <c r="AI625" s="2" t="n">
        <v>11</v>
      </c>
      <c r="AJ625" s="2" t="n">
        <v>0</v>
      </c>
      <c r="AK625" s="2" t="n">
        <v>2</v>
      </c>
      <c r="AL625" s="2" t="s">
        <v>10470</v>
      </c>
      <c r="AM625" s="2" t="s">
        <v>11627</v>
      </c>
      <c r="AN625" s="2" t="s">
        <v>11628</v>
      </c>
      <c r="AO625" s="2" t="s">
        <v>10473</v>
      </c>
      <c r="AP625" s="2"/>
      <c r="AQ625" s="2"/>
      <c r="AR625" s="2" t="s">
        <v>10474</v>
      </c>
      <c r="AS625" s="2" t="s">
        <v>10475</v>
      </c>
      <c r="AT625" s="2" t="s">
        <v>599</v>
      </c>
      <c r="AU625" s="2" t="n">
        <v>2008</v>
      </c>
      <c r="AV625" s="2" t="n">
        <v>31</v>
      </c>
      <c r="AW625" s="2" t="n">
        <v>3</v>
      </c>
      <c r="AX625" s="2"/>
      <c r="AY625" s="2"/>
      <c r="AZ625" s="2"/>
      <c r="BA625" s="2"/>
      <c r="BB625" s="2" t="n">
        <v>319</v>
      </c>
      <c r="BC625" s="2" t="n">
        <v>327</v>
      </c>
      <c r="BD625" s="2"/>
      <c r="BE625" s="2"/>
      <c r="BF625" s="2"/>
      <c r="BG625" s="2"/>
      <c r="BH625" s="2"/>
      <c r="BI625" s="2" t="n">
        <v>9</v>
      </c>
      <c r="BJ625" s="2" t="s">
        <v>211</v>
      </c>
      <c r="BK625" s="2" t="s">
        <v>100</v>
      </c>
      <c r="BL625" s="2" t="s">
        <v>211</v>
      </c>
      <c r="BM625" s="2" t="s">
        <v>11644</v>
      </c>
      <c r="BN625" s="2" t="n">
        <v>18843885</v>
      </c>
      <c r="BO625" s="2"/>
      <c r="BP625" s="2"/>
      <c r="BQ625" s="2"/>
      <c r="BR625" s="2" t="s">
        <v>104</v>
      </c>
      <c r="BS625" s="2" t="s">
        <v>11645</v>
      </c>
      <c r="BT625" s="2" t="str">
        <f aca="false">HYPERLINK("https%3A%2F%2Fwww.webofscience.com%2Fwos%2Fwoscc%2Ffull-record%2FWOS:000259559800003","View Full Record in Web of Science")</f>
        <v>View Full Record in Web of Science</v>
      </c>
    </row>
    <row r="626" customFormat="false" ht="12.75" hidden="false" customHeight="false" outlineLevel="0" collapsed="false">
      <c r="A626" s="2" t="s">
        <v>72</v>
      </c>
      <c r="B626" s="2" t="s">
        <v>11646</v>
      </c>
      <c r="C626" s="2"/>
      <c r="D626" s="2"/>
      <c r="E626" s="2"/>
      <c r="F626" s="2" t="s">
        <v>11647</v>
      </c>
      <c r="G626" s="2"/>
      <c r="H626" s="2"/>
      <c r="I626" s="2" t="s">
        <v>11648</v>
      </c>
      <c r="J626" s="2" t="s">
        <v>2547</v>
      </c>
      <c r="K626" s="2"/>
      <c r="L626" s="2"/>
      <c r="M626" s="2" t="s">
        <v>77</v>
      </c>
      <c r="N626" s="2" t="s">
        <v>78</v>
      </c>
      <c r="O626" s="2"/>
      <c r="P626" s="2"/>
      <c r="Q626" s="2"/>
      <c r="R626" s="2"/>
      <c r="S626" s="2"/>
      <c r="T626" s="2" t="s">
        <v>11649</v>
      </c>
      <c r="U626" s="2" t="s">
        <v>11650</v>
      </c>
      <c r="V626" s="2" t="s">
        <v>11651</v>
      </c>
      <c r="W626" s="2" t="s">
        <v>11652</v>
      </c>
      <c r="X626" s="2" t="s">
        <v>11653</v>
      </c>
      <c r="Y626" s="2" t="s">
        <v>11654</v>
      </c>
      <c r="Z626" s="2" t="s">
        <v>11655</v>
      </c>
      <c r="AA626" s="2"/>
      <c r="AB626" s="2"/>
      <c r="AC626" s="2"/>
      <c r="AD626" s="2"/>
      <c r="AE626" s="2"/>
      <c r="AF626" s="2"/>
      <c r="AG626" s="2" t="n">
        <v>28</v>
      </c>
      <c r="AH626" s="2" t="n">
        <v>16</v>
      </c>
      <c r="AI626" s="2" t="n">
        <v>20</v>
      </c>
      <c r="AJ626" s="2" t="n">
        <v>0</v>
      </c>
      <c r="AK626" s="2" t="n">
        <v>3</v>
      </c>
      <c r="AL626" s="2" t="s">
        <v>782</v>
      </c>
      <c r="AM626" s="2" t="s">
        <v>783</v>
      </c>
      <c r="AN626" s="2" t="s">
        <v>784</v>
      </c>
      <c r="AO626" s="2" t="s">
        <v>2556</v>
      </c>
      <c r="AP626" s="2"/>
      <c r="AQ626" s="2"/>
      <c r="AR626" s="2" t="s">
        <v>2547</v>
      </c>
      <c r="AS626" s="2" t="s">
        <v>2558</v>
      </c>
      <c r="AT626" s="2" t="s">
        <v>5011</v>
      </c>
      <c r="AU626" s="2" t="n">
        <v>2012</v>
      </c>
      <c r="AV626" s="2" t="n">
        <v>30</v>
      </c>
      <c r="AW626" s="2" t="n">
        <v>3</v>
      </c>
      <c r="AX626" s="2"/>
      <c r="AY626" s="2"/>
      <c r="AZ626" s="2"/>
      <c r="BA626" s="2"/>
      <c r="BB626" s="2" t="n">
        <v>517</v>
      </c>
      <c r="BC626" s="2" t="n">
        <v>522</v>
      </c>
      <c r="BD626" s="2"/>
      <c r="BE626" s="2" t="s">
        <v>11656</v>
      </c>
      <c r="BF626" s="2" t="str">
        <f aca="false">HYPERLINK("http://dx.doi.org/10.1016/j.vaccine.2011.11.063","http://dx.doi.org/10.1016/j.vaccine.2011.11.063")</f>
        <v>http://dx.doi.org/10.1016/j.vaccine.2011.11.063</v>
      </c>
      <c r="BG626" s="2"/>
      <c r="BH626" s="2"/>
      <c r="BI626" s="2" t="n">
        <v>6</v>
      </c>
      <c r="BJ626" s="2" t="s">
        <v>187</v>
      </c>
      <c r="BK626" s="2" t="s">
        <v>100</v>
      </c>
      <c r="BL626" s="2" t="s">
        <v>188</v>
      </c>
      <c r="BM626" s="2" t="s">
        <v>11657</v>
      </c>
      <c r="BN626" s="2" t="n">
        <v>22119922</v>
      </c>
      <c r="BO626" s="2" t="s">
        <v>136</v>
      </c>
      <c r="BP626" s="2"/>
      <c r="BQ626" s="2"/>
      <c r="BR626" s="2" t="s">
        <v>104</v>
      </c>
      <c r="BS626" s="2" t="s">
        <v>11658</v>
      </c>
      <c r="BT626" s="2" t="str">
        <f aca="false">HYPERLINK("https%3A%2F%2Fwww.webofscience.com%2Fwos%2Fwoscc%2Ffull-record%2FWOS:000301812300005","View Full Record in Web of Science")</f>
        <v>View Full Record in Web of Science</v>
      </c>
    </row>
    <row r="627" customFormat="false" ht="12.75" hidden="false" customHeight="false" outlineLevel="0" collapsed="false">
      <c r="A627" s="2" t="s">
        <v>72</v>
      </c>
      <c r="B627" s="2" t="s">
        <v>11659</v>
      </c>
      <c r="C627" s="2"/>
      <c r="D627" s="2"/>
      <c r="E627" s="2"/>
      <c r="F627" s="2" t="s">
        <v>11660</v>
      </c>
      <c r="G627" s="2"/>
      <c r="H627" s="2"/>
      <c r="I627" s="2" t="s">
        <v>11661</v>
      </c>
      <c r="J627" s="2" t="s">
        <v>2547</v>
      </c>
      <c r="K627" s="2"/>
      <c r="L627" s="2"/>
      <c r="M627" s="2" t="s">
        <v>77</v>
      </c>
      <c r="N627" s="2" t="s">
        <v>78</v>
      </c>
      <c r="O627" s="2"/>
      <c r="P627" s="2"/>
      <c r="Q627" s="2"/>
      <c r="R627" s="2"/>
      <c r="S627" s="2"/>
      <c r="T627" s="2" t="s">
        <v>11662</v>
      </c>
      <c r="U627" s="2" t="s">
        <v>11663</v>
      </c>
      <c r="V627" s="2" t="s">
        <v>11664</v>
      </c>
      <c r="W627" s="2" t="s">
        <v>11665</v>
      </c>
      <c r="X627" s="2"/>
      <c r="Y627" s="2" t="s">
        <v>11666</v>
      </c>
      <c r="Z627" s="2" t="s">
        <v>11667</v>
      </c>
      <c r="AA627" s="2"/>
      <c r="AB627" s="2" t="s">
        <v>11668</v>
      </c>
      <c r="AC627" s="2"/>
      <c r="AD627" s="2"/>
      <c r="AE627" s="2"/>
      <c r="AF627" s="2"/>
      <c r="AG627" s="2" t="n">
        <v>23</v>
      </c>
      <c r="AH627" s="2" t="n">
        <v>68</v>
      </c>
      <c r="AI627" s="2" t="n">
        <v>72</v>
      </c>
      <c r="AJ627" s="2" t="n">
        <v>1</v>
      </c>
      <c r="AK627" s="2" t="n">
        <v>25</v>
      </c>
      <c r="AL627" s="2" t="s">
        <v>782</v>
      </c>
      <c r="AM627" s="2" t="s">
        <v>783</v>
      </c>
      <c r="AN627" s="2" t="s">
        <v>784</v>
      </c>
      <c r="AO627" s="2" t="s">
        <v>2556</v>
      </c>
      <c r="AP627" s="2" t="s">
        <v>2557</v>
      </c>
      <c r="AQ627" s="2"/>
      <c r="AR627" s="2" t="s">
        <v>2547</v>
      </c>
      <c r="AS627" s="2" t="s">
        <v>2558</v>
      </c>
      <c r="AT627" s="2" t="s">
        <v>11669</v>
      </c>
      <c r="AU627" s="2" t="n">
        <v>2020</v>
      </c>
      <c r="AV627" s="2" t="n">
        <v>38</v>
      </c>
      <c r="AW627" s="2" t="n">
        <v>2</v>
      </c>
      <c r="AX627" s="2"/>
      <c r="AY627" s="2"/>
      <c r="AZ627" s="2"/>
      <c r="BA627" s="2"/>
      <c r="BB627" s="2" t="n">
        <v>350</v>
      </c>
      <c r="BC627" s="2" t="n">
        <v>354</v>
      </c>
      <c r="BD627" s="2"/>
      <c r="BE627" s="2" t="s">
        <v>11670</v>
      </c>
      <c r="BF627" s="2" t="str">
        <f aca="false">HYPERLINK("http://dx.doi.org/10.1016/j.vaccine.2019.10.005","http://dx.doi.org/10.1016/j.vaccine.2019.10.005")</f>
        <v>http://dx.doi.org/10.1016/j.vaccine.2019.10.005</v>
      </c>
      <c r="BG627" s="2"/>
      <c r="BH627" s="2"/>
      <c r="BI627" s="2" t="n">
        <v>5</v>
      </c>
      <c r="BJ627" s="2" t="s">
        <v>187</v>
      </c>
      <c r="BK627" s="2" t="s">
        <v>100</v>
      </c>
      <c r="BL627" s="2" t="s">
        <v>188</v>
      </c>
      <c r="BM627" s="2" t="s">
        <v>11671</v>
      </c>
      <c r="BN627" s="2" t="n">
        <v>31607599</v>
      </c>
      <c r="BO627" s="2" t="s">
        <v>165</v>
      </c>
      <c r="BP627" s="2"/>
      <c r="BQ627" s="2"/>
      <c r="BR627" s="2" t="s">
        <v>104</v>
      </c>
      <c r="BS627" s="2" t="s">
        <v>11672</v>
      </c>
      <c r="BT627" s="2" t="str">
        <f aca="false">HYPERLINK("https%3A%2F%2Fwww.webofscience.com%2Fwos%2Fwoscc%2Ffull-record%2FWOS:000509612700033","View Full Record in Web of Science")</f>
        <v>View Full Record in Web of Science</v>
      </c>
    </row>
    <row r="628" customFormat="false" ht="12.75" hidden="false" customHeight="false" outlineLevel="0" collapsed="false">
      <c r="A628" s="2" t="s">
        <v>72</v>
      </c>
      <c r="B628" s="2" t="s">
        <v>11673</v>
      </c>
      <c r="C628" s="2"/>
      <c r="D628" s="2"/>
      <c r="E628" s="2"/>
      <c r="F628" s="2" t="s">
        <v>11674</v>
      </c>
      <c r="G628" s="2"/>
      <c r="H628" s="2"/>
      <c r="I628" s="2" t="s">
        <v>11675</v>
      </c>
      <c r="J628" s="2" t="s">
        <v>1232</v>
      </c>
      <c r="K628" s="2"/>
      <c r="L628" s="2"/>
      <c r="M628" s="2" t="s">
        <v>77</v>
      </c>
      <c r="N628" s="2" t="s">
        <v>78</v>
      </c>
      <c r="O628" s="2"/>
      <c r="P628" s="2"/>
      <c r="Q628" s="2"/>
      <c r="R628" s="2"/>
      <c r="S628" s="2"/>
      <c r="T628" s="2" t="s">
        <v>11676</v>
      </c>
      <c r="U628" s="2"/>
      <c r="V628" s="2" t="s">
        <v>11677</v>
      </c>
      <c r="W628" s="2" t="s">
        <v>11678</v>
      </c>
      <c r="X628" s="2" t="s">
        <v>11679</v>
      </c>
      <c r="Y628" s="2" t="s">
        <v>11680</v>
      </c>
      <c r="Z628" s="2" t="s">
        <v>11681</v>
      </c>
      <c r="AA628" s="2" t="s">
        <v>11682</v>
      </c>
      <c r="AB628" s="2" t="s">
        <v>11683</v>
      </c>
      <c r="AC628" s="2"/>
      <c r="AD628" s="2"/>
      <c r="AE628" s="2"/>
      <c r="AF628" s="2"/>
      <c r="AG628" s="2" t="n">
        <v>13</v>
      </c>
      <c r="AH628" s="2" t="n">
        <v>13</v>
      </c>
      <c r="AI628" s="2" t="n">
        <v>13</v>
      </c>
      <c r="AJ628" s="2" t="n">
        <v>1</v>
      </c>
      <c r="AK628" s="2" t="n">
        <v>13</v>
      </c>
      <c r="AL628" s="2" t="s">
        <v>1242</v>
      </c>
      <c r="AM628" s="2" t="s">
        <v>303</v>
      </c>
      <c r="AN628" s="2" t="s">
        <v>467</v>
      </c>
      <c r="AO628" s="2"/>
      <c r="AP628" s="2" t="s">
        <v>1243</v>
      </c>
      <c r="AQ628" s="2"/>
      <c r="AR628" s="2" t="s">
        <v>1244</v>
      </c>
      <c r="AS628" s="2" t="s">
        <v>1245</v>
      </c>
      <c r="AT628" s="2" t="s">
        <v>10601</v>
      </c>
      <c r="AU628" s="2" t="n">
        <v>2023</v>
      </c>
      <c r="AV628" s="2" t="n">
        <v>15</v>
      </c>
      <c r="AW628" s="2" t="n">
        <v>3</v>
      </c>
      <c r="AX628" s="2"/>
      <c r="AY628" s="2"/>
      <c r="AZ628" s="2"/>
      <c r="BA628" s="2"/>
      <c r="BB628" s="2"/>
      <c r="BC628" s="2"/>
      <c r="BD628" s="2" t="s">
        <v>11684</v>
      </c>
      <c r="BE628" s="2" t="s">
        <v>11685</v>
      </c>
      <c r="BF628" s="2" t="str">
        <f aca="false">HYPERLINK("http://dx.doi.org/10.7759/cureus.36263","http://dx.doi.org/10.7759/cureus.36263")</f>
        <v>http://dx.doi.org/10.7759/cureus.36263</v>
      </c>
      <c r="BG628" s="2"/>
      <c r="BH628" s="2"/>
      <c r="BI628" s="2" t="n">
        <v>3</v>
      </c>
      <c r="BJ628" s="2" t="s">
        <v>363</v>
      </c>
      <c r="BK628" s="2" t="s">
        <v>339</v>
      </c>
      <c r="BL628" s="2" t="s">
        <v>364</v>
      </c>
      <c r="BM628" s="2" t="s">
        <v>11686</v>
      </c>
      <c r="BN628" s="2" t="n">
        <v>37073200</v>
      </c>
      <c r="BO628" s="2" t="s">
        <v>103</v>
      </c>
      <c r="BP628" s="2"/>
      <c r="BQ628" s="2"/>
      <c r="BR628" s="2" t="s">
        <v>104</v>
      </c>
      <c r="BS628" s="2" t="s">
        <v>11687</v>
      </c>
      <c r="BT628" s="2" t="str">
        <f aca="false">HYPERLINK("https%3A%2F%2Fwww.webofscience.com%2Fwos%2Fwoscc%2Ffull-record%2FWOS:000993824800020","View Full Record in Web of Science")</f>
        <v>View Full Record in Web of Science</v>
      </c>
    </row>
    <row r="629" customFormat="false" ht="12.75" hidden="false" customHeight="false" outlineLevel="0" collapsed="false">
      <c r="A629" s="2" t="s">
        <v>72</v>
      </c>
      <c r="B629" s="2" t="s">
        <v>11688</v>
      </c>
      <c r="C629" s="2"/>
      <c r="D629" s="2"/>
      <c r="E629" s="2"/>
      <c r="F629" s="2" t="s">
        <v>11689</v>
      </c>
      <c r="G629" s="2"/>
      <c r="H629" s="2"/>
      <c r="I629" s="2" t="s">
        <v>11690</v>
      </c>
      <c r="J629" s="2" t="s">
        <v>581</v>
      </c>
      <c r="K629" s="2"/>
      <c r="L629" s="2"/>
      <c r="M629" s="2" t="s">
        <v>77</v>
      </c>
      <c r="N629" s="2" t="s">
        <v>78</v>
      </c>
      <c r="O629" s="2"/>
      <c r="P629" s="2"/>
      <c r="Q629" s="2"/>
      <c r="R629" s="2"/>
      <c r="S629" s="2"/>
      <c r="T629" s="2" t="s">
        <v>11691</v>
      </c>
      <c r="U629" s="2" t="s">
        <v>11692</v>
      </c>
      <c r="V629" s="2" t="s">
        <v>11693</v>
      </c>
      <c r="W629" s="2" t="s">
        <v>11694</v>
      </c>
      <c r="X629" s="2" t="s">
        <v>11695</v>
      </c>
      <c r="Y629" s="2" t="s">
        <v>11696</v>
      </c>
      <c r="Z629" s="2" t="s">
        <v>11697</v>
      </c>
      <c r="AA629" s="2" t="s">
        <v>11698</v>
      </c>
      <c r="AB629" s="2" t="s">
        <v>11699</v>
      </c>
      <c r="AC629" s="2" t="s">
        <v>11700</v>
      </c>
      <c r="AD629" s="2" t="s">
        <v>11701</v>
      </c>
      <c r="AE629" s="2" t="s">
        <v>11702</v>
      </c>
      <c r="AF629" s="2"/>
      <c r="AG629" s="2" t="n">
        <v>17</v>
      </c>
      <c r="AH629" s="2" t="n">
        <v>4</v>
      </c>
      <c r="AI629" s="2" t="n">
        <v>4</v>
      </c>
      <c r="AJ629" s="2" t="n">
        <v>0</v>
      </c>
      <c r="AK629" s="2" t="n">
        <v>4</v>
      </c>
      <c r="AL629" s="2" t="s">
        <v>592</v>
      </c>
      <c r="AM629" s="2" t="s">
        <v>593</v>
      </c>
      <c r="AN629" s="2" t="s">
        <v>594</v>
      </c>
      <c r="AO629" s="2" t="s">
        <v>595</v>
      </c>
      <c r="AP629" s="2" t="s">
        <v>596</v>
      </c>
      <c r="AQ629" s="2"/>
      <c r="AR629" s="2" t="s">
        <v>597</v>
      </c>
      <c r="AS629" s="2" t="s">
        <v>598</v>
      </c>
      <c r="AT629" s="2" t="s">
        <v>185</v>
      </c>
      <c r="AU629" s="2" t="n">
        <v>2014</v>
      </c>
      <c r="AV629" s="2" t="n">
        <v>173</v>
      </c>
      <c r="AW629" s="2" t="n">
        <v>8</v>
      </c>
      <c r="AX629" s="2"/>
      <c r="AY629" s="2"/>
      <c r="AZ629" s="2"/>
      <c r="BA629" s="2"/>
      <c r="BB629" s="2" t="n">
        <v>1059</v>
      </c>
      <c r="BC629" s="2" t="n">
        <v>1065</v>
      </c>
      <c r="BD629" s="2"/>
      <c r="BE629" s="2" t="s">
        <v>11703</v>
      </c>
      <c r="BF629" s="2" t="str">
        <f aca="false">HYPERLINK("http://dx.doi.org/10.1007/s00431-014-2285-7","http://dx.doi.org/10.1007/s00431-014-2285-7")</f>
        <v>http://dx.doi.org/10.1007/s00431-014-2285-7</v>
      </c>
      <c r="BG629" s="2"/>
      <c r="BH629" s="2"/>
      <c r="BI629" s="2" t="n">
        <v>7</v>
      </c>
      <c r="BJ629" s="2" t="s">
        <v>601</v>
      </c>
      <c r="BK629" s="2" t="s">
        <v>100</v>
      </c>
      <c r="BL629" s="2" t="s">
        <v>601</v>
      </c>
      <c r="BM629" s="2" t="s">
        <v>11704</v>
      </c>
      <c r="BN629" s="2" t="n">
        <v>24599798</v>
      </c>
      <c r="BO629" s="2" t="s">
        <v>538</v>
      </c>
      <c r="BP629" s="2"/>
      <c r="BQ629" s="2"/>
      <c r="BR629" s="2" t="s">
        <v>104</v>
      </c>
      <c r="BS629" s="2" t="s">
        <v>11705</v>
      </c>
      <c r="BT629" s="2" t="str">
        <f aca="false">HYPERLINK("https%3A%2F%2Fwww.webofscience.com%2Fwos%2Fwoscc%2Ffull-record%2FWOS:000339806900011","View Full Record in Web of Science")</f>
        <v>View Full Record in Web of Science</v>
      </c>
    </row>
    <row r="630" customFormat="false" ht="12.75" hidden="false" customHeight="false" outlineLevel="0" collapsed="false">
      <c r="A630" s="2" t="s">
        <v>72</v>
      </c>
      <c r="B630" s="2" t="s">
        <v>11706</v>
      </c>
      <c r="C630" s="2"/>
      <c r="D630" s="2"/>
      <c r="E630" s="2"/>
      <c r="F630" s="2" t="s">
        <v>11707</v>
      </c>
      <c r="G630" s="2"/>
      <c r="H630" s="2"/>
      <c r="I630" s="2" t="s">
        <v>11708</v>
      </c>
      <c r="J630" s="2" t="s">
        <v>141</v>
      </c>
      <c r="K630" s="2"/>
      <c r="L630" s="2"/>
      <c r="M630" s="2" t="s">
        <v>77</v>
      </c>
      <c r="N630" s="2" t="s">
        <v>78</v>
      </c>
      <c r="O630" s="2"/>
      <c r="P630" s="2"/>
      <c r="Q630" s="2"/>
      <c r="R630" s="2"/>
      <c r="S630" s="2"/>
      <c r="T630" s="2" t="s">
        <v>11709</v>
      </c>
      <c r="U630" s="2" t="s">
        <v>11710</v>
      </c>
      <c r="V630" s="2" t="s">
        <v>11711</v>
      </c>
      <c r="W630" s="2" t="s">
        <v>11712</v>
      </c>
      <c r="X630" s="2" t="s">
        <v>11713</v>
      </c>
      <c r="Y630" s="2" t="s">
        <v>11714</v>
      </c>
      <c r="Z630" s="2" t="s">
        <v>11715</v>
      </c>
      <c r="AA630" s="2"/>
      <c r="AB630" s="2"/>
      <c r="AC630" s="2" t="s">
        <v>11716</v>
      </c>
      <c r="AD630" s="2" t="s">
        <v>11717</v>
      </c>
      <c r="AE630" s="2" t="s">
        <v>11718</v>
      </c>
      <c r="AF630" s="2"/>
      <c r="AG630" s="2" t="n">
        <v>60</v>
      </c>
      <c r="AH630" s="2" t="n">
        <v>7</v>
      </c>
      <c r="AI630" s="2" t="n">
        <v>8</v>
      </c>
      <c r="AJ630" s="2" t="n">
        <v>0</v>
      </c>
      <c r="AK630" s="2" t="n">
        <v>6</v>
      </c>
      <c r="AL630" s="2" t="s">
        <v>154</v>
      </c>
      <c r="AM630" s="2" t="s">
        <v>155</v>
      </c>
      <c r="AN630" s="2" t="s">
        <v>156</v>
      </c>
      <c r="AO630" s="2" t="s">
        <v>157</v>
      </c>
      <c r="AP630" s="2" t="s">
        <v>158</v>
      </c>
      <c r="AQ630" s="2"/>
      <c r="AR630" s="2" t="s">
        <v>159</v>
      </c>
      <c r="AS630" s="2" t="s">
        <v>160</v>
      </c>
      <c r="AT630" s="2" t="s">
        <v>185</v>
      </c>
      <c r="AU630" s="2" t="n">
        <v>2013</v>
      </c>
      <c r="AV630" s="2" t="n">
        <v>85</v>
      </c>
      <c r="AW630" s="2" t="n">
        <v>8</v>
      </c>
      <c r="AX630" s="2"/>
      <c r="AY630" s="2"/>
      <c r="AZ630" s="2"/>
      <c r="BA630" s="2"/>
      <c r="BB630" s="2" t="n">
        <v>1459</v>
      </c>
      <c r="BC630" s="2" t="n">
        <v>1465</v>
      </c>
      <c r="BD630" s="2"/>
      <c r="BE630" s="2" t="s">
        <v>11719</v>
      </c>
      <c r="BF630" s="2" t="str">
        <f aca="false">HYPERLINK("http://dx.doi.org/10.1002/jmv.23607","http://dx.doi.org/10.1002/jmv.23607")</f>
        <v>http://dx.doi.org/10.1002/jmv.23607</v>
      </c>
      <c r="BG630" s="2"/>
      <c r="BH630" s="2"/>
      <c r="BI630" s="2" t="n">
        <v>7</v>
      </c>
      <c r="BJ630" s="2" t="s">
        <v>163</v>
      </c>
      <c r="BK630" s="2" t="s">
        <v>100</v>
      </c>
      <c r="BL630" s="2" t="s">
        <v>163</v>
      </c>
      <c r="BM630" s="2" t="s">
        <v>11720</v>
      </c>
      <c r="BN630" s="2" t="n">
        <v>23765782</v>
      </c>
      <c r="BO630" s="2" t="s">
        <v>165</v>
      </c>
      <c r="BP630" s="2"/>
      <c r="BQ630" s="2"/>
      <c r="BR630" s="2" t="s">
        <v>104</v>
      </c>
      <c r="BS630" s="2" t="s">
        <v>11721</v>
      </c>
      <c r="BT630" s="2" t="str">
        <f aca="false">HYPERLINK("https%3A%2F%2Fwww.webofscience.com%2Fwos%2Fwoscc%2Ffull-record%2FWOS:000320403800021","View Full Record in Web of Science")</f>
        <v>View Full Record in Web of Science</v>
      </c>
    </row>
    <row r="631" customFormat="false" ht="12.75" hidden="false" customHeight="false" outlineLevel="0" collapsed="false">
      <c r="A631" s="2" t="s">
        <v>72</v>
      </c>
      <c r="B631" s="2" t="s">
        <v>11722</v>
      </c>
      <c r="C631" s="2"/>
      <c r="D631" s="2"/>
      <c r="E631" s="2"/>
      <c r="F631" s="2" t="s">
        <v>11723</v>
      </c>
      <c r="G631" s="2"/>
      <c r="H631" s="2"/>
      <c r="I631" s="2" t="s">
        <v>11724</v>
      </c>
      <c r="J631" s="2" t="s">
        <v>8645</v>
      </c>
      <c r="K631" s="2"/>
      <c r="L631" s="2"/>
      <c r="M631" s="2" t="s">
        <v>77</v>
      </c>
      <c r="N631" s="2" t="s">
        <v>78</v>
      </c>
      <c r="O631" s="2"/>
      <c r="P631" s="2"/>
      <c r="Q631" s="2"/>
      <c r="R631" s="2"/>
      <c r="S631" s="2"/>
      <c r="T631" s="2" t="s">
        <v>11725</v>
      </c>
      <c r="U631" s="2" t="s">
        <v>11726</v>
      </c>
      <c r="V631" s="2" t="s">
        <v>11727</v>
      </c>
      <c r="W631" s="2" t="s">
        <v>11728</v>
      </c>
      <c r="X631" s="2" t="s">
        <v>11729</v>
      </c>
      <c r="Y631" s="2" t="s">
        <v>11730</v>
      </c>
      <c r="Z631" s="2" t="s">
        <v>11731</v>
      </c>
      <c r="AA631" s="2" t="s">
        <v>11732</v>
      </c>
      <c r="AB631" s="2" t="s">
        <v>11733</v>
      </c>
      <c r="AC631" s="2" t="s">
        <v>11734</v>
      </c>
      <c r="AD631" s="2" t="s">
        <v>11735</v>
      </c>
      <c r="AE631" s="2" t="s">
        <v>11736</v>
      </c>
      <c r="AF631" s="2"/>
      <c r="AG631" s="2" t="n">
        <v>46</v>
      </c>
      <c r="AH631" s="2" t="n">
        <v>2</v>
      </c>
      <c r="AI631" s="2" t="n">
        <v>2</v>
      </c>
      <c r="AJ631" s="2" t="n">
        <v>3</v>
      </c>
      <c r="AK631" s="2" t="n">
        <v>9</v>
      </c>
      <c r="AL631" s="2" t="s">
        <v>302</v>
      </c>
      <c r="AM631" s="2" t="s">
        <v>303</v>
      </c>
      <c r="AN631" s="2" t="s">
        <v>304</v>
      </c>
      <c r="AO631" s="2"/>
      <c r="AP631" s="2" t="s">
        <v>8656</v>
      </c>
      <c r="AQ631" s="2"/>
      <c r="AR631" s="2" t="s">
        <v>8645</v>
      </c>
      <c r="AS631" s="2" t="s">
        <v>8657</v>
      </c>
      <c r="AT631" s="2" t="s">
        <v>11737</v>
      </c>
      <c r="AU631" s="2" t="n">
        <v>2022</v>
      </c>
      <c r="AV631" s="2" t="n">
        <v>22</v>
      </c>
      <c r="AW631" s="2" t="n">
        <v>1</v>
      </c>
      <c r="AX631" s="2"/>
      <c r="AY631" s="2"/>
      <c r="AZ631" s="2"/>
      <c r="BA631" s="2"/>
      <c r="BB631" s="2"/>
      <c r="BC631" s="2"/>
      <c r="BD631" s="2" t="n">
        <v>1541</v>
      </c>
      <c r="BE631" s="2" t="s">
        <v>11738</v>
      </c>
      <c r="BF631" s="2" t="str">
        <f aca="false">HYPERLINK("http://dx.doi.org/10.1186/s12889-022-13962-8","http://dx.doi.org/10.1186/s12889-022-13962-8")</f>
        <v>http://dx.doi.org/10.1186/s12889-022-13962-8</v>
      </c>
      <c r="BG631" s="2"/>
      <c r="BH631" s="2"/>
      <c r="BI631" s="2" t="n">
        <v>10</v>
      </c>
      <c r="BJ631" s="2" t="s">
        <v>1353</v>
      </c>
      <c r="BK631" s="2" t="s">
        <v>100</v>
      </c>
      <c r="BL631" s="2" t="s">
        <v>1353</v>
      </c>
      <c r="BM631" s="2" t="s">
        <v>11739</v>
      </c>
      <c r="BN631" s="2" t="n">
        <v>35962425</v>
      </c>
      <c r="BO631" s="2" t="s">
        <v>190</v>
      </c>
      <c r="BP631" s="2"/>
      <c r="BQ631" s="2"/>
      <c r="BR631" s="2" t="s">
        <v>104</v>
      </c>
      <c r="BS631" s="2" t="s">
        <v>11740</v>
      </c>
      <c r="BT631" s="2" t="str">
        <f aca="false">HYPERLINK("https%3A%2F%2Fwww.webofscience.com%2Fwos%2Fwoscc%2Ffull-record%2FWOS:000840081200001","View Full Record in Web of Science")</f>
        <v>View Full Record in Web of Science</v>
      </c>
    </row>
    <row r="632" customFormat="false" ht="12.75" hidden="false" customHeight="false" outlineLevel="0" collapsed="false">
      <c r="A632" s="2" t="s">
        <v>72</v>
      </c>
      <c r="B632" s="2" t="s">
        <v>11741</v>
      </c>
      <c r="C632" s="2"/>
      <c r="D632" s="2"/>
      <c r="E632" s="2"/>
      <c r="F632" s="2" t="s">
        <v>11742</v>
      </c>
      <c r="G632" s="2"/>
      <c r="H632" s="2"/>
      <c r="I632" s="2" t="s">
        <v>11743</v>
      </c>
      <c r="J632" s="2" t="s">
        <v>109</v>
      </c>
      <c r="K632" s="2"/>
      <c r="L632" s="2"/>
      <c r="M632" s="2" t="s">
        <v>77</v>
      </c>
      <c r="N632" s="2" t="s">
        <v>78</v>
      </c>
      <c r="O632" s="2"/>
      <c r="P632" s="2"/>
      <c r="Q632" s="2"/>
      <c r="R632" s="2"/>
      <c r="S632" s="2"/>
      <c r="T632" s="2" t="s">
        <v>11744</v>
      </c>
      <c r="U632" s="2" t="s">
        <v>11745</v>
      </c>
      <c r="V632" s="2" t="s">
        <v>11746</v>
      </c>
      <c r="W632" s="2" t="s">
        <v>11747</v>
      </c>
      <c r="X632" s="2" t="s">
        <v>9935</v>
      </c>
      <c r="Y632" s="2" t="s">
        <v>11748</v>
      </c>
      <c r="Z632" s="2" t="s">
        <v>9937</v>
      </c>
      <c r="AA632" s="2"/>
      <c r="AB632" s="2"/>
      <c r="AC632" s="2" t="s">
        <v>11749</v>
      </c>
      <c r="AD632" s="2" t="s">
        <v>11750</v>
      </c>
      <c r="AE632" s="2" t="s">
        <v>11751</v>
      </c>
      <c r="AF632" s="2"/>
      <c r="AG632" s="2" t="n">
        <v>15</v>
      </c>
      <c r="AH632" s="2" t="n">
        <v>22</v>
      </c>
      <c r="AI632" s="2" t="n">
        <v>24</v>
      </c>
      <c r="AJ632" s="2" t="n">
        <v>0</v>
      </c>
      <c r="AK632" s="2" t="n">
        <v>1</v>
      </c>
      <c r="AL632" s="2" t="s">
        <v>122</v>
      </c>
      <c r="AM632" s="2" t="s">
        <v>123</v>
      </c>
      <c r="AN632" s="2" t="s">
        <v>124</v>
      </c>
      <c r="AO632" s="2" t="s">
        <v>125</v>
      </c>
      <c r="AP632" s="2" t="s">
        <v>126</v>
      </c>
      <c r="AQ632" s="2"/>
      <c r="AR632" s="2" t="s">
        <v>127</v>
      </c>
      <c r="AS632" s="2" t="s">
        <v>128</v>
      </c>
      <c r="AT632" s="2" t="s">
        <v>804</v>
      </c>
      <c r="AU632" s="2" t="n">
        <v>2015</v>
      </c>
      <c r="AV632" s="2" t="n">
        <v>34</v>
      </c>
      <c r="AW632" s="2" t="n">
        <v>11</v>
      </c>
      <c r="AX632" s="2"/>
      <c r="AY632" s="2"/>
      <c r="AZ632" s="2"/>
      <c r="BA632" s="2"/>
      <c r="BB632" s="2" t="n">
        <v>1273</v>
      </c>
      <c r="BC632" s="2" t="n">
        <v>1275</v>
      </c>
      <c r="BD632" s="2"/>
      <c r="BE632" s="2" t="s">
        <v>11752</v>
      </c>
      <c r="BF632" s="2" t="str">
        <f aca="false">HYPERLINK("http://dx.doi.org/10.1097/INF.0000000000000863","http://dx.doi.org/10.1097/INF.0000000000000863")</f>
        <v>http://dx.doi.org/10.1097/INF.0000000000000863</v>
      </c>
      <c r="BG632" s="2"/>
      <c r="BH632" s="2"/>
      <c r="BI632" s="2" t="n">
        <v>3</v>
      </c>
      <c r="BJ632" s="2" t="s">
        <v>134</v>
      </c>
      <c r="BK632" s="2" t="s">
        <v>100</v>
      </c>
      <c r="BL632" s="2" t="s">
        <v>134</v>
      </c>
      <c r="BM632" s="2" t="s">
        <v>11753</v>
      </c>
      <c r="BN632" s="2" t="n">
        <v>26244834</v>
      </c>
      <c r="BO632" s="2" t="s">
        <v>656</v>
      </c>
      <c r="BP632" s="2"/>
      <c r="BQ632" s="2"/>
      <c r="BR632" s="2" t="s">
        <v>104</v>
      </c>
      <c r="BS632" s="2" t="s">
        <v>11754</v>
      </c>
      <c r="BT632" s="2" t="str">
        <f aca="false">HYPERLINK("https%3A%2F%2Fwww.webofscience.com%2Fwos%2Fwoscc%2Ffull-record%2FWOS:000363530500028","View Full Record in Web of Science")</f>
        <v>View Full Record in Web of Science</v>
      </c>
    </row>
    <row r="633" customFormat="false" ht="12.75" hidden="false" customHeight="false" outlineLevel="0" collapsed="false">
      <c r="A633" s="2" t="s">
        <v>72</v>
      </c>
      <c r="B633" s="2" t="s">
        <v>11755</v>
      </c>
      <c r="C633" s="2"/>
      <c r="D633" s="2"/>
      <c r="E633" s="2"/>
      <c r="F633" s="2" t="s">
        <v>11756</v>
      </c>
      <c r="G633" s="2"/>
      <c r="H633" s="2"/>
      <c r="I633" s="2" t="s">
        <v>11757</v>
      </c>
      <c r="J633" s="2" t="s">
        <v>1473</v>
      </c>
      <c r="K633" s="2"/>
      <c r="L633" s="2"/>
      <c r="M633" s="2" t="s">
        <v>77</v>
      </c>
      <c r="N633" s="2" t="s">
        <v>78</v>
      </c>
      <c r="O633" s="2"/>
      <c r="P633" s="2"/>
      <c r="Q633" s="2"/>
      <c r="R633" s="2"/>
      <c r="S633" s="2"/>
      <c r="T633" s="2" t="s">
        <v>11758</v>
      </c>
      <c r="U633" s="2" t="s">
        <v>11759</v>
      </c>
      <c r="V633" s="2" t="s">
        <v>11760</v>
      </c>
      <c r="W633" s="2" t="s">
        <v>11761</v>
      </c>
      <c r="X633" s="2" t="s">
        <v>11762</v>
      </c>
      <c r="Y633" s="2" t="s">
        <v>11763</v>
      </c>
      <c r="Z633" s="2" t="s">
        <v>11764</v>
      </c>
      <c r="AA633" s="2"/>
      <c r="AB633" s="2"/>
      <c r="AC633" s="2" t="s">
        <v>11765</v>
      </c>
      <c r="AD633" s="2" t="s">
        <v>11766</v>
      </c>
      <c r="AE633" s="2" t="s">
        <v>11767</v>
      </c>
      <c r="AF633" s="2"/>
      <c r="AG633" s="2" t="n">
        <v>6</v>
      </c>
      <c r="AH633" s="2" t="n">
        <v>6</v>
      </c>
      <c r="AI633" s="2" t="n">
        <v>7</v>
      </c>
      <c r="AJ633" s="2" t="n">
        <v>0</v>
      </c>
      <c r="AK633" s="2" t="n">
        <v>3</v>
      </c>
      <c r="AL633" s="2" t="s">
        <v>3813</v>
      </c>
      <c r="AM633" s="2" t="s">
        <v>155</v>
      </c>
      <c r="AN633" s="2" t="s">
        <v>156</v>
      </c>
      <c r="AO633" s="2" t="s">
        <v>1485</v>
      </c>
      <c r="AP633" s="2"/>
      <c r="AQ633" s="2"/>
      <c r="AR633" s="2" t="s">
        <v>1487</v>
      </c>
      <c r="AS633" s="2" t="s">
        <v>1488</v>
      </c>
      <c r="AT633" s="2" t="s">
        <v>336</v>
      </c>
      <c r="AU633" s="2" t="n">
        <v>2012</v>
      </c>
      <c r="AV633" s="2" t="n">
        <v>14</v>
      </c>
      <c r="AW633" s="2" t="n">
        <v>5</v>
      </c>
      <c r="AX633" s="2"/>
      <c r="AY633" s="2"/>
      <c r="AZ633" s="2"/>
      <c r="BA633" s="2"/>
      <c r="BB633" s="2" t="s">
        <v>11768</v>
      </c>
      <c r="BC633" s="2" t="s">
        <v>11769</v>
      </c>
      <c r="BD633" s="2"/>
      <c r="BE633" s="2" t="s">
        <v>11770</v>
      </c>
      <c r="BF633" s="2" t="str">
        <f aca="false">HYPERLINK("http://dx.doi.org/10.1111/j.1399-3062.2012.00766.x","http://dx.doi.org/10.1111/j.1399-3062.2012.00766.x")</f>
        <v>http://dx.doi.org/10.1111/j.1399-3062.2012.00766.x</v>
      </c>
      <c r="BG633" s="2"/>
      <c r="BH633" s="2"/>
      <c r="BI633" s="2" t="n">
        <v>3</v>
      </c>
      <c r="BJ633" s="2" t="s">
        <v>1490</v>
      </c>
      <c r="BK633" s="2" t="s">
        <v>100</v>
      </c>
      <c r="BL633" s="2" t="s">
        <v>1490</v>
      </c>
      <c r="BM633" s="2" t="s">
        <v>11771</v>
      </c>
      <c r="BN633" s="2" t="n">
        <v>22823898</v>
      </c>
      <c r="BO633" s="2"/>
      <c r="BP633" s="2"/>
      <c r="BQ633" s="2"/>
      <c r="BR633" s="2" t="s">
        <v>104</v>
      </c>
      <c r="BS633" s="2" t="s">
        <v>11772</v>
      </c>
      <c r="BT633" s="2" t="str">
        <f aca="false">HYPERLINK("https%3A%2F%2Fwww.webofscience.com%2Fwos%2Fwoscc%2Ffull-record%2FWOS:000309239500001","View Full Record in Web of Science")</f>
        <v>View Full Record in Web of Science</v>
      </c>
    </row>
    <row r="634" customFormat="false" ht="12.75" hidden="false" customHeight="false" outlineLevel="0" collapsed="false">
      <c r="A634" s="2" t="s">
        <v>72</v>
      </c>
      <c r="B634" s="2" t="s">
        <v>11773</v>
      </c>
      <c r="C634" s="2"/>
      <c r="D634" s="2"/>
      <c r="E634" s="2"/>
      <c r="F634" s="2" t="s">
        <v>11774</v>
      </c>
      <c r="G634" s="2"/>
      <c r="H634" s="2"/>
      <c r="I634" s="2" t="s">
        <v>11775</v>
      </c>
      <c r="J634" s="2" t="s">
        <v>370</v>
      </c>
      <c r="K634" s="2"/>
      <c r="L634" s="2"/>
      <c r="M634" s="2" t="s">
        <v>77</v>
      </c>
      <c r="N634" s="2" t="s">
        <v>78</v>
      </c>
      <c r="O634" s="2"/>
      <c r="P634" s="2"/>
      <c r="Q634" s="2"/>
      <c r="R634" s="2"/>
      <c r="S634" s="2"/>
      <c r="T634" s="2" t="s">
        <v>11776</v>
      </c>
      <c r="U634" s="2" t="s">
        <v>11777</v>
      </c>
      <c r="V634" s="2" t="s">
        <v>11778</v>
      </c>
      <c r="W634" s="2" t="s">
        <v>11779</v>
      </c>
      <c r="X634" s="2" t="s">
        <v>11780</v>
      </c>
      <c r="Y634" s="2" t="s">
        <v>11781</v>
      </c>
      <c r="Z634" s="2" t="s">
        <v>11782</v>
      </c>
      <c r="AA634" s="2" t="s">
        <v>8953</v>
      </c>
      <c r="AB634" s="2"/>
      <c r="AC634" s="2" t="s">
        <v>11783</v>
      </c>
      <c r="AD634" s="2" t="s">
        <v>11784</v>
      </c>
      <c r="AE634" s="2" t="s">
        <v>11785</v>
      </c>
      <c r="AF634" s="2"/>
      <c r="AG634" s="2" t="n">
        <v>47</v>
      </c>
      <c r="AH634" s="2" t="n">
        <v>60</v>
      </c>
      <c r="AI634" s="2" t="n">
        <v>66</v>
      </c>
      <c r="AJ634" s="2" t="n">
        <v>1</v>
      </c>
      <c r="AK634" s="2" t="n">
        <v>18</v>
      </c>
      <c r="AL634" s="2" t="s">
        <v>383</v>
      </c>
      <c r="AM634" s="2" t="s">
        <v>384</v>
      </c>
      <c r="AN634" s="2" t="s">
        <v>385</v>
      </c>
      <c r="AO634" s="2" t="s">
        <v>386</v>
      </c>
      <c r="AP634" s="2" t="s">
        <v>387</v>
      </c>
      <c r="AQ634" s="2"/>
      <c r="AR634" s="2" t="s">
        <v>388</v>
      </c>
      <c r="AS634" s="2" t="s">
        <v>389</v>
      </c>
      <c r="AT634" s="2" t="s">
        <v>804</v>
      </c>
      <c r="AU634" s="2" t="n">
        <v>2016</v>
      </c>
      <c r="AV634" s="2" t="n">
        <v>84</v>
      </c>
      <c r="AW634" s="2"/>
      <c r="AX634" s="2"/>
      <c r="AY634" s="2"/>
      <c r="AZ634" s="2"/>
      <c r="BA634" s="2"/>
      <c r="BB634" s="2" t="n">
        <v>59</v>
      </c>
      <c r="BC634" s="2" t="n">
        <v>63</v>
      </c>
      <c r="BD634" s="2"/>
      <c r="BE634" s="2" t="s">
        <v>11786</v>
      </c>
      <c r="BF634" s="2" t="str">
        <f aca="false">HYPERLINK("http://dx.doi.org/10.1016/j.jcv.2016.10.005","http://dx.doi.org/10.1016/j.jcv.2016.10.005")</f>
        <v>http://dx.doi.org/10.1016/j.jcv.2016.10.005</v>
      </c>
      <c r="BG634" s="2"/>
      <c r="BH634" s="2"/>
      <c r="BI634" s="2" t="n">
        <v>5</v>
      </c>
      <c r="BJ634" s="2" t="s">
        <v>163</v>
      </c>
      <c r="BK634" s="2" t="s">
        <v>100</v>
      </c>
      <c r="BL634" s="2" t="s">
        <v>163</v>
      </c>
      <c r="BM634" s="2" t="s">
        <v>11787</v>
      </c>
      <c r="BN634" s="2" t="n">
        <v>27723525</v>
      </c>
      <c r="BO634" s="2" t="s">
        <v>165</v>
      </c>
      <c r="BP634" s="2"/>
      <c r="BQ634" s="2"/>
      <c r="BR634" s="2" t="s">
        <v>104</v>
      </c>
      <c r="BS634" s="2" t="s">
        <v>11788</v>
      </c>
      <c r="BT634" s="2" t="str">
        <f aca="false">HYPERLINK("https%3A%2F%2Fwww.webofscience.com%2Fwos%2Fwoscc%2Ffull-record%2FWOS:000388456200012","View Full Record in Web of Science")</f>
        <v>View Full Record in Web of Science</v>
      </c>
    </row>
    <row r="635" customFormat="false" ht="12.75" hidden="false" customHeight="false" outlineLevel="0" collapsed="false">
      <c r="A635" s="2" t="s">
        <v>72</v>
      </c>
      <c r="B635" s="2" t="s">
        <v>11789</v>
      </c>
      <c r="C635" s="2"/>
      <c r="D635" s="2"/>
      <c r="E635" s="2"/>
      <c r="F635" s="2" t="s">
        <v>11790</v>
      </c>
      <c r="G635" s="2"/>
      <c r="H635" s="2"/>
      <c r="I635" s="2" t="s">
        <v>11791</v>
      </c>
      <c r="J635" s="2" t="s">
        <v>2061</v>
      </c>
      <c r="K635" s="2"/>
      <c r="L635" s="2"/>
      <c r="M635" s="2" t="s">
        <v>77</v>
      </c>
      <c r="N635" s="2" t="s">
        <v>78</v>
      </c>
      <c r="O635" s="2"/>
      <c r="P635" s="2"/>
      <c r="Q635" s="2"/>
      <c r="R635" s="2"/>
      <c r="S635" s="2"/>
      <c r="T635" s="2" t="s">
        <v>11792</v>
      </c>
      <c r="U635" s="2" t="s">
        <v>11793</v>
      </c>
      <c r="V635" s="2" t="s">
        <v>11794</v>
      </c>
      <c r="W635" s="2" t="s">
        <v>11795</v>
      </c>
      <c r="X635" s="2" t="s">
        <v>11796</v>
      </c>
      <c r="Y635" s="2" t="s">
        <v>11797</v>
      </c>
      <c r="Z635" s="2" t="s">
        <v>11798</v>
      </c>
      <c r="AA635" s="2" t="s">
        <v>11799</v>
      </c>
      <c r="AB635" s="2" t="s">
        <v>11800</v>
      </c>
      <c r="AC635" s="2"/>
      <c r="AD635" s="2"/>
      <c r="AE635" s="2"/>
      <c r="AF635" s="2"/>
      <c r="AG635" s="2" t="n">
        <v>24</v>
      </c>
      <c r="AH635" s="2" t="n">
        <v>2</v>
      </c>
      <c r="AI635" s="2" t="n">
        <v>2</v>
      </c>
      <c r="AJ635" s="2" t="n">
        <v>0</v>
      </c>
      <c r="AK635" s="2" t="n">
        <v>6</v>
      </c>
      <c r="AL635" s="2" t="s">
        <v>2070</v>
      </c>
      <c r="AM635" s="2" t="s">
        <v>2071</v>
      </c>
      <c r="AN635" s="2" t="s">
        <v>2072</v>
      </c>
      <c r="AO635" s="2" t="s">
        <v>2073</v>
      </c>
      <c r="AP635" s="2"/>
      <c r="AQ635" s="2"/>
      <c r="AR635" s="2" t="s">
        <v>2074</v>
      </c>
      <c r="AS635" s="2" t="s">
        <v>2075</v>
      </c>
      <c r="AT635" s="2" t="s">
        <v>446</v>
      </c>
      <c r="AU635" s="2" t="n">
        <v>2017</v>
      </c>
      <c r="AV635" s="2" t="n">
        <v>11</v>
      </c>
      <c r="AW635" s="2" t="n">
        <v>12</v>
      </c>
      <c r="AX635" s="2"/>
      <c r="AY635" s="2"/>
      <c r="AZ635" s="2"/>
      <c r="BA635" s="2"/>
      <c r="BB635" s="2" t="n">
        <v>944</v>
      </c>
      <c r="BC635" s="2" t="n">
        <v>949</v>
      </c>
      <c r="BD635" s="2"/>
      <c r="BE635" s="2" t="s">
        <v>11801</v>
      </c>
      <c r="BF635" s="2" t="str">
        <f aca="false">HYPERLINK("http://dx.doi.org/10.3855/jidc.8867","http://dx.doi.org/10.3855/jidc.8867")</f>
        <v>http://dx.doi.org/10.3855/jidc.8867</v>
      </c>
      <c r="BG635" s="2"/>
      <c r="BH635" s="2"/>
      <c r="BI635" s="2" t="n">
        <v>6</v>
      </c>
      <c r="BJ635" s="2" t="s">
        <v>575</v>
      </c>
      <c r="BK635" s="2" t="s">
        <v>100</v>
      </c>
      <c r="BL635" s="2" t="s">
        <v>575</v>
      </c>
      <c r="BM635" s="2" t="s">
        <v>11802</v>
      </c>
      <c r="BN635" s="2" t="n">
        <v>31626600</v>
      </c>
      <c r="BO635" s="2" t="s">
        <v>1355</v>
      </c>
      <c r="BP635" s="2"/>
      <c r="BQ635" s="2"/>
      <c r="BR635" s="2" t="s">
        <v>104</v>
      </c>
      <c r="BS635" s="2" t="s">
        <v>11803</v>
      </c>
      <c r="BT635" s="2" t="str">
        <f aca="false">HYPERLINK("https%3A%2F%2Fwww.webofscience.com%2Fwos%2Fwoscc%2Ffull-record%2FWOS:000419863200006","View Full Record in Web of Science")</f>
        <v>View Full Record in Web of Science</v>
      </c>
    </row>
    <row r="636" customFormat="false" ht="12.75" hidden="false" customHeight="false" outlineLevel="0" collapsed="false">
      <c r="A636" s="2" t="s">
        <v>72</v>
      </c>
      <c r="B636" s="2" t="s">
        <v>11804</v>
      </c>
      <c r="C636" s="2"/>
      <c r="D636" s="2"/>
      <c r="E636" s="2"/>
      <c r="F636" s="2" t="s">
        <v>11805</v>
      </c>
      <c r="G636" s="2"/>
      <c r="H636" s="2"/>
      <c r="I636" s="2" t="s">
        <v>11806</v>
      </c>
      <c r="J636" s="2" t="s">
        <v>2346</v>
      </c>
      <c r="K636" s="2"/>
      <c r="L636" s="2"/>
      <c r="M636" s="2" t="s">
        <v>77</v>
      </c>
      <c r="N636" s="2" t="s">
        <v>78</v>
      </c>
      <c r="O636" s="2"/>
      <c r="P636" s="2"/>
      <c r="Q636" s="2"/>
      <c r="R636" s="2"/>
      <c r="S636" s="2"/>
      <c r="T636" s="2" t="s">
        <v>11807</v>
      </c>
      <c r="U636" s="2" t="s">
        <v>11808</v>
      </c>
      <c r="V636" s="2" t="s">
        <v>11809</v>
      </c>
      <c r="W636" s="2" t="s">
        <v>11810</v>
      </c>
      <c r="X636" s="2" t="s">
        <v>11811</v>
      </c>
      <c r="Y636" s="2" t="s">
        <v>11812</v>
      </c>
      <c r="Z636" s="2" t="s">
        <v>11813</v>
      </c>
      <c r="AA636" s="2"/>
      <c r="AB636" s="2"/>
      <c r="AC636" s="2" t="s">
        <v>11814</v>
      </c>
      <c r="AD636" s="2" t="s">
        <v>11815</v>
      </c>
      <c r="AE636" s="2" t="s">
        <v>11816</v>
      </c>
      <c r="AF636" s="2"/>
      <c r="AG636" s="2" t="n">
        <v>52</v>
      </c>
      <c r="AH636" s="2" t="n">
        <v>31</v>
      </c>
      <c r="AI636" s="2" t="n">
        <v>35</v>
      </c>
      <c r="AJ636" s="2" t="n">
        <v>1</v>
      </c>
      <c r="AK636" s="2" t="n">
        <v>19</v>
      </c>
      <c r="AL636" s="2" t="s">
        <v>592</v>
      </c>
      <c r="AM636" s="2" t="s">
        <v>593</v>
      </c>
      <c r="AN636" s="2" t="s">
        <v>594</v>
      </c>
      <c r="AO636" s="2" t="s">
        <v>2359</v>
      </c>
      <c r="AP636" s="2" t="s">
        <v>2360</v>
      </c>
      <c r="AQ636" s="2"/>
      <c r="AR636" s="2" t="s">
        <v>2361</v>
      </c>
      <c r="AS636" s="2" t="s">
        <v>2362</v>
      </c>
      <c r="AT636" s="2" t="s">
        <v>486</v>
      </c>
      <c r="AU636" s="2" t="n">
        <v>2016</v>
      </c>
      <c r="AV636" s="2" t="n">
        <v>205</v>
      </c>
      <c r="AW636" s="2" t="n">
        <v>3</v>
      </c>
      <c r="AX636" s="2"/>
      <c r="AY636" s="2"/>
      <c r="AZ636" s="2"/>
      <c r="BA636" s="2"/>
      <c r="BB636" s="2" t="n">
        <v>209</v>
      </c>
      <c r="BC636" s="2" t="n">
        <v>218</v>
      </c>
      <c r="BD636" s="2"/>
      <c r="BE636" s="2" t="s">
        <v>11817</v>
      </c>
      <c r="BF636" s="2" t="str">
        <f aca="false">HYPERLINK("http://dx.doi.org/10.1007/s00430-015-0441-y","http://dx.doi.org/10.1007/s00430-015-0441-y")</f>
        <v>http://dx.doi.org/10.1007/s00430-015-0441-y</v>
      </c>
      <c r="BG636" s="2"/>
      <c r="BH636" s="2"/>
      <c r="BI636" s="2" t="n">
        <v>10</v>
      </c>
      <c r="BJ636" s="2" t="s">
        <v>2364</v>
      </c>
      <c r="BK636" s="2" t="s">
        <v>100</v>
      </c>
      <c r="BL636" s="2" t="s">
        <v>2364</v>
      </c>
      <c r="BM636" s="2" t="s">
        <v>11818</v>
      </c>
      <c r="BN636" s="2" t="n">
        <v>26582554</v>
      </c>
      <c r="BO636" s="2" t="s">
        <v>538</v>
      </c>
      <c r="BP636" s="2"/>
      <c r="BQ636" s="2"/>
      <c r="BR636" s="2" t="s">
        <v>104</v>
      </c>
      <c r="BS636" s="2" t="s">
        <v>11819</v>
      </c>
      <c r="BT636" s="2" t="str">
        <f aca="false">HYPERLINK("https%3A%2F%2Fwww.webofscience.com%2Fwos%2Fwoscc%2Ffull-record%2FWOS:000376261700002","View Full Record in Web of Science")</f>
        <v>View Full Record in Web of Science</v>
      </c>
    </row>
    <row r="637" customFormat="false" ht="12.75" hidden="false" customHeight="false" outlineLevel="0" collapsed="false">
      <c r="A637" s="2" t="s">
        <v>72</v>
      </c>
      <c r="B637" s="2" t="s">
        <v>11820</v>
      </c>
      <c r="C637" s="2"/>
      <c r="D637" s="2"/>
      <c r="E637" s="2"/>
      <c r="F637" s="2" t="s">
        <v>11821</v>
      </c>
      <c r="G637" s="2"/>
      <c r="H637" s="2"/>
      <c r="I637" s="2" t="s">
        <v>11822</v>
      </c>
      <c r="J637" s="2" t="s">
        <v>3719</v>
      </c>
      <c r="K637" s="2"/>
      <c r="L637" s="2"/>
      <c r="M637" s="2" t="s">
        <v>77</v>
      </c>
      <c r="N637" s="2" t="s">
        <v>78</v>
      </c>
      <c r="O637" s="2"/>
      <c r="P637" s="2"/>
      <c r="Q637" s="2"/>
      <c r="R637" s="2"/>
      <c r="S637" s="2"/>
      <c r="T637" s="2" t="s">
        <v>11823</v>
      </c>
      <c r="U637" s="2" t="s">
        <v>11824</v>
      </c>
      <c r="V637" s="2" t="s">
        <v>11825</v>
      </c>
      <c r="W637" s="2" t="s">
        <v>11826</v>
      </c>
      <c r="X637" s="2" t="s">
        <v>11827</v>
      </c>
      <c r="Y637" s="2" t="s">
        <v>11828</v>
      </c>
      <c r="Z637" s="2" t="s">
        <v>11829</v>
      </c>
      <c r="AA637" s="2" t="s">
        <v>11830</v>
      </c>
      <c r="AB637" s="2"/>
      <c r="AC637" s="2"/>
      <c r="AD637" s="2"/>
      <c r="AE637" s="2"/>
      <c r="AF637" s="2"/>
      <c r="AG637" s="2" t="n">
        <v>25</v>
      </c>
      <c r="AH637" s="2" t="n">
        <v>12</v>
      </c>
      <c r="AI637" s="2" t="n">
        <v>12</v>
      </c>
      <c r="AJ637" s="2" t="n">
        <v>1</v>
      </c>
      <c r="AK637" s="2" t="n">
        <v>2</v>
      </c>
      <c r="AL637" s="2" t="s">
        <v>3584</v>
      </c>
      <c r="AM637" s="2" t="s">
        <v>303</v>
      </c>
      <c r="AN637" s="2" t="s">
        <v>3585</v>
      </c>
      <c r="AO637" s="2" t="s">
        <v>3732</v>
      </c>
      <c r="AP637" s="2" t="s">
        <v>4677</v>
      </c>
      <c r="AQ637" s="2"/>
      <c r="AR637" s="2" t="s">
        <v>3733</v>
      </c>
      <c r="AS637" s="2" t="s">
        <v>3734</v>
      </c>
      <c r="AT637" s="2" t="s">
        <v>390</v>
      </c>
      <c r="AU637" s="2" t="n">
        <v>2011</v>
      </c>
      <c r="AV637" s="2" t="n">
        <v>62</v>
      </c>
      <c r="AW637" s="2" t="n">
        <v>5</v>
      </c>
      <c r="AX637" s="2"/>
      <c r="AY637" s="2"/>
      <c r="AZ637" s="2"/>
      <c r="BA637" s="2"/>
      <c r="BB637" s="2" t="n">
        <v>371</v>
      </c>
      <c r="BC637" s="2" t="n">
        <v>378</v>
      </c>
      <c r="BD637" s="2"/>
      <c r="BE637" s="2" t="s">
        <v>11831</v>
      </c>
      <c r="BF637" s="2" t="str">
        <f aca="false">HYPERLINK("http://dx.doi.org/10.1016/j.jinf.2011.03.005","http://dx.doi.org/10.1016/j.jinf.2011.03.005")</f>
        <v>http://dx.doi.org/10.1016/j.jinf.2011.03.005</v>
      </c>
      <c r="BG637" s="2"/>
      <c r="BH637" s="2"/>
      <c r="BI637" s="2" t="n">
        <v>8</v>
      </c>
      <c r="BJ637" s="2" t="s">
        <v>575</v>
      </c>
      <c r="BK637" s="2" t="s">
        <v>100</v>
      </c>
      <c r="BL637" s="2" t="s">
        <v>575</v>
      </c>
      <c r="BM637" s="2" t="s">
        <v>11832</v>
      </c>
      <c r="BN637" s="2" t="n">
        <v>21420427</v>
      </c>
      <c r="BO637" s="2" t="s">
        <v>165</v>
      </c>
      <c r="BP637" s="2"/>
      <c r="BQ637" s="2"/>
      <c r="BR637" s="2" t="s">
        <v>104</v>
      </c>
      <c r="BS637" s="2" t="s">
        <v>11833</v>
      </c>
      <c r="BT637" s="2" t="str">
        <f aca="false">HYPERLINK("https%3A%2F%2Fwww.webofscience.com%2Fwos%2Fwoscc%2Ffull-record%2FWOS:000290790800006","View Full Record in Web of Science")</f>
        <v>View Full Record in Web of Science</v>
      </c>
    </row>
    <row r="638" customFormat="false" ht="12.75" hidden="false" customHeight="false" outlineLevel="0" collapsed="false">
      <c r="A638" s="2" t="s">
        <v>72</v>
      </c>
      <c r="B638" s="2" t="s">
        <v>11834</v>
      </c>
      <c r="C638" s="2"/>
      <c r="D638" s="2"/>
      <c r="E638" s="2"/>
      <c r="F638" s="2" t="s">
        <v>11835</v>
      </c>
      <c r="G638" s="2"/>
      <c r="H638" s="2"/>
      <c r="I638" s="2" t="s">
        <v>11836</v>
      </c>
      <c r="J638" s="2" t="s">
        <v>1290</v>
      </c>
      <c r="K638" s="2"/>
      <c r="L638" s="2"/>
      <c r="M638" s="2" t="s">
        <v>77</v>
      </c>
      <c r="N638" s="2" t="s">
        <v>78</v>
      </c>
      <c r="O638" s="2"/>
      <c r="P638" s="2"/>
      <c r="Q638" s="2"/>
      <c r="R638" s="2"/>
      <c r="S638" s="2"/>
      <c r="T638" s="2" t="s">
        <v>11837</v>
      </c>
      <c r="U638" s="2" t="s">
        <v>11838</v>
      </c>
      <c r="V638" s="2" t="s">
        <v>11839</v>
      </c>
      <c r="W638" s="2" t="s">
        <v>11840</v>
      </c>
      <c r="X638" s="2" t="s">
        <v>11841</v>
      </c>
      <c r="Y638" s="2" t="s">
        <v>11842</v>
      </c>
      <c r="Z638" s="2" t="s">
        <v>11843</v>
      </c>
      <c r="AA638" s="2" t="s">
        <v>11844</v>
      </c>
      <c r="AB638" s="2"/>
      <c r="AC638" s="2" t="s">
        <v>11845</v>
      </c>
      <c r="AD638" s="2" t="s">
        <v>11846</v>
      </c>
      <c r="AE638" s="2" t="s">
        <v>11847</v>
      </c>
      <c r="AF638" s="2"/>
      <c r="AG638" s="2" t="n">
        <v>55</v>
      </c>
      <c r="AH638" s="2" t="n">
        <v>17</v>
      </c>
      <c r="AI638" s="2" t="n">
        <v>20</v>
      </c>
      <c r="AJ638" s="2" t="n">
        <v>0</v>
      </c>
      <c r="AK638" s="2" t="n">
        <v>7</v>
      </c>
      <c r="AL638" s="2" t="s">
        <v>154</v>
      </c>
      <c r="AM638" s="2" t="s">
        <v>155</v>
      </c>
      <c r="AN638" s="2" t="s">
        <v>156</v>
      </c>
      <c r="AO638" s="2" t="s">
        <v>1302</v>
      </c>
      <c r="AP638" s="2" t="s">
        <v>1303</v>
      </c>
      <c r="AQ638" s="2"/>
      <c r="AR638" s="2" t="s">
        <v>1304</v>
      </c>
      <c r="AS638" s="2" t="s">
        <v>1305</v>
      </c>
      <c r="AT638" s="2" t="s">
        <v>1041</v>
      </c>
      <c r="AU638" s="2" t="n">
        <v>2015</v>
      </c>
      <c r="AV638" s="2" t="n">
        <v>50</v>
      </c>
      <c r="AW638" s="2" t="n">
        <v>2</v>
      </c>
      <c r="AX638" s="2"/>
      <c r="AY638" s="2"/>
      <c r="AZ638" s="2"/>
      <c r="BA638" s="2"/>
      <c r="BB638" s="2" t="n">
        <v>187</v>
      </c>
      <c r="BC638" s="2" t="n">
        <v>195</v>
      </c>
      <c r="BD638" s="2"/>
      <c r="BE638" s="2" t="s">
        <v>11848</v>
      </c>
      <c r="BF638" s="2" t="str">
        <f aca="false">HYPERLINK("http://dx.doi.org/10.1002/ppul.23005","http://dx.doi.org/10.1002/ppul.23005")</f>
        <v>http://dx.doi.org/10.1002/ppul.23005</v>
      </c>
      <c r="BG638" s="2"/>
      <c r="BH638" s="2"/>
      <c r="BI638" s="2" t="n">
        <v>9</v>
      </c>
      <c r="BJ638" s="2" t="s">
        <v>1307</v>
      </c>
      <c r="BK638" s="2" t="s">
        <v>100</v>
      </c>
      <c r="BL638" s="2" t="s">
        <v>1307</v>
      </c>
      <c r="BM638" s="2" t="s">
        <v>11849</v>
      </c>
      <c r="BN638" s="2" t="n">
        <v>24574078</v>
      </c>
      <c r="BO638" s="2" t="s">
        <v>538</v>
      </c>
      <c r="BP638" s="2"/>
      <c r="BQ638" s="2"/>
      <c r="BR638" s="2" t="s">
        <v>104</v>
      </c>
      <c r="BS638" s="2" t="s">
        <v>11850</v>
      </c>
      <c r="BT638" s="2" t="str">
        <f aca="false">HYPERLINK("https%3A%2F%2Fwww.webofscience.com%2Fwos%2Fwoscc%2Ffull-record%2FWOS:000347875900012","View Full Record in Web of Science")</f>
        <v>View Full Record in Web of Science</v>
      </c>
    </row>
    <row r="639" customFormat="false" ht="12.75" hidden="false" customHeight="false" outlineLevel="0" collapsed="false">
      <c r="A639" s="2" t="s">
        <v>72</v>
      </c>
      <c r="B639" s="2" t="s">
        <v>11851</v>
      </c>
      <c r="C639" s="2"/>
      <c r="D639" s="2"/>
      <c r="E639" s="2"/>
      <c r="F639" s="2" t="s">
        <v>11852</v>
      </c>
      <c r="G639" s="2"/>
      <c r="H639" s="2"/>
      <c r="I639" s="2" t="s">
        <v>11853</v>
      </c>
      <c r="J639" s="2" t="s">
        <v>398</v>
      </c>
      <c r="K639" s="2"/>
      <c r="L639" s="2"/>
      <c r="M639" s="2" t="s">
        <v>77</v>
      </c>
      <c r="N639" s="2" t="s">
        <v>78</v>
      </c>
      <c r="O639" s="2"/>
      <c r="P639" s="2"/>
      <c r="Q639" s="2"/>
      <c r="R639" s="2"/>
      <c r="S639" s="2"/>
      <c r="T639" s="2" t="s">
        <v>11854</v>
      </c>
      <c r="U639" s="2" t="s">
        <v>11855</v>
      </c>
      <c r="V639" s="2" t="s">
        <v>11856</v>
      </c>
      <c r="W639" s="2" t="s">
        <v>11857</v>
      </c>
      <c r="X639" s="2" t="s">
        <v>11858</v>
      </c>
      <c r="Y639" s="2" t="s">
        <v>11859</v>
      </c>
      <c r="Z639" s="2" t="s">
        <v>11860</v>
      </c>
      <c r="AA639" s="2" t="s">
        <v>11861</v>
      </c>
      <c r="AB639" s="2"/>
      <c r="AC639" s="2"/>
      <c r="AD639" s="2"/>
      <c r="AE639" s="2"/>
      <c r="AF639" s="2"/>
      <c r="AG639" s="2" t="n">
        <v>156</v>
      </c>
      <c r="AH639" s="2" t="n">
        <v>0</v>
      </c>
      <c r="AI639" s="2" t="n">
        <v>0</v>
      </c>
      <c r="AJ639" s="2" t="n">
        <v>3</v>
      </c>
      <c r="AK639" s="2" t="n">
        <v>6</v>
      </c>
      <c r="AL639" s="2" t="s">
        <v>408</v>
      </c>
      <c r="AM639" s="2" t="s">
        <v>409</v>
      </c>
      <c r="AN639" s="2" t="s">
        <v>410</v>
      </c>
      <c r="AO639" s="2" t="s">
        <v>411</v>
      </c>
      <c r="AP639" s="2" t="s">
        <v>412</v>
      </c>
      <c r="AQ639" s="2"/>
      <c r="AR639" s="2" t="s">
        <v>413</v>
      </c>
      <c r="AS639" s="2" t="s">
        <v>414</v>
      </c>
      <c r="AT639" s="2" t="s">
        <v>390</v>
      </c>
      <c r="AU639" s="2" t="n">
        <v>2024</v>
      </c>
      <c r="AV639" s="2" t="n">
        <v>19</v>
      </c>
      <c r="AW639" s="2" t="n">
        <v>3</v>
      </c>
      <c r="AX639" s="2"/>
      <c r="AY639" s="2"/>
      <c r="AZ639" s="2"/>
      <c r="BA639" s="2"/>
      <c r="BB639" s="2" t="n">
        <v>140</v>
      </c>
      <c r="BC639" s="2" t="n">
        <v>153</v>
      </c>
      <c r="BD639" s="2"/>
      <c r="BE639" s="2" t="s">
        <v>11862</v>
      </c>
      <c r="BF639" s="2" t="str">
        <f aca="false">HYPERLINK("http://dx.doi.org/10.1055/s-0044-1779444","http://dx.doi.org/10.1055/s-0044-1779444")</f>
        <v>http://dx.doi.org/10.1055/s-0044-1779444</v>
      </c>
      <c r="BG639" s="2"/>
      <c r="BH639" s="2" t="s">
        <v>10203</v>
      </c>
      <c r="BI639" s="2" t="n">
        <v>14</v>
      </c>
      <c r="BJ639" s="2" t="s">
        <v>417</v>
      </c>
      <c r="BK639" s="2" t="s">
        <v>100</v>
      </c>
      <c r="BL639" s="2" t="s">
        <v>417</v>
      </c>
      <c r="BM639" s="2" t="s">
        <v>11863</v>
      </c>
      <c r="BN639" s="2"/>
      <c r="BO639" s="2"/>
      <c r="BP639" s="2"/>
      <c r="BQ639" s="2"/>
      <c r="BR639" s="2" t="s">
        <v>104</v>
      </c>
      <c r="BS639" s="2" t="s">
        <v>11864</v>
      </c>
      <c r="BT639" s="2" t="str">
        <f aca="false">HYPERLINK("https%3A%2F%2Fwww.webofscience.com%2Fwos%2Fwoscc%2Ffull-record%2FWOS:001182168900001","View Full Record in Web of Science")</f>
        <v>View Full Record in Web of Science</v>
      </c>
    </row>
    <row r="640" customFormat="false" ht="12.75" hidden="false" customHeight="false" outlineLevel="0" collapsed="false">
      <c r="A640" s="2" t="s">
        <v>72</v>
      </c>
      <c r="B640" s="2" t="s">
        <v>11865</v>
      </c>
      <c r="C640" s="2"/>
      <c r="D640" s="2"/>
      <c r="E640" s="2"/>
      <c r="F640" s="2" t="s">
        <v>11866</v>
      </c>
      <c r="G640" s="2"/>
      <c r="H640" s="2"/>
      <c r="I640" s="2" t="s">
        <v>11867</v>
      </c>
      <c r="J640" s="2" t="s">
        <v>2021</v>
      </c>
      <c r="K640" s="2"/>
      <c r="L640" s="2"/>
      <c r="M640" s="2" t="s">
        <v>77</v>
      </c>
      <c r="N640" s="2" t="s">
        <v>78</v>
      </c>
      <c r="O640" s="2"/>
      <c r="P640" s="2"/>
      <c r="Q640" s="2"/>
      <c r="R640" s="2"/>
      <c r="S640" s="2"/>
      <c r="T640" s="2" t="s">
        <v>11868</v>
      </c>
      <c r="U640" s="2" t="s">
        <v>11869</v>
      </c>
      <c r="V640" s="2" t="s">
        <v>11870</v>
      </c>
      <c r="W640" s="2" t="s">
        <v>11871</v>
      </c>
      <c r="X640" s="2" t="s">
        <v>11872</v>
      </c>
      <c r="Y640" s="2" t="s">
        <v>11873</v>
      </c>
      <c r="Z640" s="2" t="s">
        <v>11874</v>
      </c>
      <c r="AA640" s="2" t="s">
        <v>11875</v>
      </c>
      <c r="AB640" s="2"/>
      <c r="AC640" s="2" t="s">
        <v>11876</v>
      </c>
      <c r="AD640" s="2" t="s">
        <v>11877</v>
      </c>
      <c r="AE640" s="2" t="s">
        <v>11878</v>
      </c>
      <c r="AF640" s="2"/>
      <c r="AG640" s="2" t="n">
        <v>36</v>
      </c>
      <c r="AH640" s="2" t="n">
        <v>175</v>
      </c>
      <c r="AI640" s="2" t="n">
        <v>189</v>
      </c>
      <c r="AJ640" s="2" t="n">
        <v>0</v>
      </c>
      <c r="AK640" s="2" t="n">
        <v>9</v>
      </c>
      <c r="AL640" s="2" t="s">
        <v>527</v>
      </c>
      <c r="AM640" s="2" t="s">
        <v>528</v>
      </c>
      <c r="AN640" s="2" t="s">
        <v>529</v>
      </c>
      <c r="AO640" s="2" t="s">
        <v>2033</v>
      </c>
      <c r="AP640" s="2" t="s">
        <v>2034</v>
      </c>
      <c r="AQ640" s="2"/>
      <c r="AR640" s="2" t="s">
        <v>2035</v>
      </c>
      <c r="AS640" s="2" t="s">
        <v>2036</v>
      </c>
      <c r="AT640" s="2" t="s">
        <v>2960</v>
      </c>
      <c r="AU640" s="2" t="n">
        <v>2015</v>
      </c>
      <c r="AV640" s="2" t="n">
        <v>61</v>
      </c>
      <c r="AW640" s="2" t="n">
        <v>8</v>
      </c>
      <c r="AX640" s="2"/>
      <c r="AY640" s="2"/>
      <c r="AZ640" s="2"/>
      <c r="BA640" s="2"/>
      <c r="BB640" s="2" t="n">
        <v>1217</v>
      </c>
      <c r="BC640" s="2" t="n">
        <v>1224</v>
      </c>
      <c r="BD640" s="2"/>
      <c r="BE640" s="2" t="s">
        <v>11879</v>
      </c>
      <c r="BF640" s="2" t="str">
        <f aca="false">HYPERLINK("http://dx.doi.org/10.1093/cid/civ486","http://dx.doi.org/10.1093/cid/civ486")</f>
        <v>http://dx.doi.org/10.1093/cid/civ486</v>
      </c>
      <c r="BG640" s="2"/>
      <c r="BH640" s="2"/>
      <c r="BI640" s="2" t="n">
        <v>8</v>
      </c>
      <c r="BJ640" s="2" t="s">
        <v>536</v>
      </c>
      <c r="BK640" s="2" t="s">
        <v>100</v>
      </c>
      <c r="BL640" s="2" t="s">
        <v>536</v>
      </c>
      <c r="BM640" s="2" t="s">
        <v>11880</v>
      </c>
      <c r="BN640" s="2" t="n">
        <v>26245665</v>
      </c>
      <c r="BO640" s="2" t="s">
        <v>538</v>
      </c>
      <c r="BP640" s="2"/>
      <c r="BQ640" s="2"/>
      <c r="BR640" s="2" t="s">
        <v>104</v>
      </c>
      <c r="BS640" s="2" t="s">
        <v>11881</v>
      </c>
      <c r="BT640" s="2" t="str">
        <f aca="false">HYPERLINK("https%3A%2F%2Fwww.webofscience.com%2Fwos%2Fwoscc%2Ffull-record%2FWOS:000362953800001","View Full Record in Web of Science")</f>
        <v>View Full Record in Web of Science</v>
      </c>
    </row>
    <row r="641" customFormat="false" ht="12.75" hidden="false" customHeight="false" outlineLevel="0" collapsed="false">
      <c r="A641" s="2" t="s">
        <v>72</v>
      </c>
      <c r="B641" s="2" t="s">
        <v>11882</v>
      </c>
      <c r="C641" s="2"/>
      <c r="D641" s="2"/>
      <c r="E641" s="2"/>
      <c r="F641" s="2" t="s">
        <v>11883</v>
      </c>
      <c r="G641" s="2"/>
      <c r="H641" s="2"/>
      <c r="I641" s="2" t="s">
        <v>11884</v>
      </c>
      <c r="J641" s="2" t="s">
        <v>6822</v>
      </c>
      <c r="K641" s="2"/>
      <c r="L641" s="2"/>
      <c r="M641" s="2" t="s">
        <v>77</v>
      </c>
      <c r="N641" s="2" t="s">
        <v>78</v>
      </c>
      <c r="O641" s="2"/>
      <c r="P641" s="2"/>
      <c r="Q641" s="2"/>
      <c r="R641" s="2"/>
      <c r="S641" s="2"/>
      <c r="T641" s="2" t="s">
        <v>11885</v>
      </c>
      <c r="U641" s="2" t="s">
        <v>11886</v>
      </c>
      <c r="V641" s="2" t="s">
        <v>11887</v>
      </c>
      <c r="W641" s="2" t="s">
        <v>11888</v>
      </c>
      <c r="X641" s="2" t="s">
        <v>9935</v>
      </c>
      <c r="Y641" s="2" t="s">
        <v>11889</v>
      </c>
      <c r="Z641" s="2" t="s">
        <v>9937</v>
      </c>
      <c r="AA641" s="2"/>
      <c r="AB641" s="2"/>
      <c r="AC641" s="2" t="s">
        <v>11890</v>
      </c>
      <c r="AD641" s="2" t="s">
        <v>11891</v>
      </c>
      <c r="AE641" s="2" t="s">
        <v>11892</v>
      </c>
      <c r="AF641" s="2"/>
      <c r="AG641" s="2" t="n">
        <v>18</v>
      </c>
      <c r="AH641" s="2" t="n">
        <v>7</v>
      </c>
      <c r="AI641" s="2" t="n">
        <v>7</v>
      </c>
      <c r="AJ641" s="2" t="n">
        <v>0</v>
      </c>
      <c r="AK641" s="2" t="n">
        <v>3</v>
      </c>
      <c r="AL641" s="2" t="s">
        <v>6833</v>
      </c>
      <c r="AM641" s="2" t="s">
        <v>593</v>
      </c>
      <c r="AN641" s="2" t="s">
        <v>6834</v>
      </c>
      <c r="AO641" s="2" t="s">
        <v>6835</v>
      </c>
      <c r="AP641" s="2"/>
      <c r="AQ641" s="2"/>
      <c r="AR641" s="2" t="s">
        <v>6837</v>
      </c>
      <c r="AS641" s="2" t="s">
        <v>6838</v>
      </c>
      <c r="AT641" s="2" t="s">
        <v>692</v>
      </c>
      <c r="AU641" s="2" t="n">
        <v>2013</v>
      </c>
      <c r="AV641" s="2" t="n">
        <v>141</v>
      </c>
      <c r="AW641" s="2" t="n">
        <v>4</v>
      </c>
      <c r="AX641" s="2"/>
      <c r="AY641" s="2"/>
      <c r="AZ641" s="2"/>
      <c r="BA641" s="2"/>
      <c r="BB641" s="2" t="n">
        <v>827</v>
      </c>
      <c r="BC641" s="2" t="n">
        <v>832</v>
      </c>
      <c r="BD641" s="2"/>
      <c r="BE641" s="2" t="s">
        <v>11893</v>
      </c>
      <c r="BF641" s="2" t="str">
        <f aca="false">HYPERLINK("http://dx.doi.org/10.1017/S095026881200129X","http://dx.doi.org/10.1017/S095026881200129X")</f>
        <v>http://dx.doi.org/10.1017/S095026881200129X</v>
      </c>
      <c r="BG641" s="2"/>
      <c r="BH641" s="2"/>
      <c r="BI641" s="2" t="n">
        <v>6</v>
      </c>
      <c r="BJ641" s="2" t="s">
        <v>2113</v>
      </c>
      <c r="BK641" s="2" t="s">
        <v>100</v>
      </c>
      <c r="BL641" s="2" t="s">
        <v>2113</v>
      </c>
      <c r="BM641" s="2" t="s">
        <v>11894</v>
      </c>
      <c r="BN641" s="2" t="n">
        <v>22874773</v>
      </c>
      <c r="BO641" s="2" t="s">
        <v>538</v>
      </c>
      <c r="BP641" s="2"/>
      <c r="BQ641" s="2"/>
      <c r="BR641" s="2" t="s">
        <v>104</v>
      </c>
      <c r="BS641" s="2" t="s">
        <v>11895</v>
      </c>
      <c r="BT641" s="2" t="str">
        <f aca="false">HYPERLINK("https%3A%2F%2Fwww.webofscience.com%2Fwos%2Fwoscc%2Ffull-record%2FWOS:000315382400017","View Full Record in Web of Science")</f>
        <v>View Full Record in Web of Science</v>
      </c>
    </row>
    <row r="642" customFormat="false" ht="12.75" hidden="false" customHeight="false" outlineLevel="0" collapsed="false">
      <c r="A642" s="2" t="s">
        <v>72</v>
      </c>
      <c r="B642" s="2" t="s">
        <v>11896</v>
      </c>
      <c r="C642" s="2"/>
      <c r="D642" s="2"/>
      <c r="E642" s="2"/>
      <c r="F642" s="2" t="s">
        <v>11897</v>
      </c>
      <c r="G642" s="2"/>
      <c r="H642" s="2"/>
      <c r="I642" s="2" t="s">
        <v>11898</v>
      </c>
      <c r="J642" s="2" t="s">
        <v>11899</v>
      </c>
      <c r="K642" s="2"/>
      <c r="L642" s="2"/>
      <c r="M642" s="2" t="s">
        <v>77</v>
      </c>
      <c r="N642" s="2" t="s">
        <v>78</v>
      </c>
      <c r="O642" s="2"/>
      <c r="P642" s="2"/>
      <c r="Q642" s="2"/>
      <c r="R642" s="2"/>
      <c r="S642" s="2"/>
      <c r="T642" s="2" t="s">
        <v>11900</v>
      </c>
      <c r="U642" s="2" t="s">
        <v>11901</v>
      </c>
      <c r="V642" s="2" t="s">
        <v>11902</v>
      </c>
      <c r="W642" s="2" t="s">
        <v>11903</v>
      </c>
      <c r="X642" s="2" t="s">
        <v>11904</v>
      </c>
      <c r="Y642" s="2" t="s">
        <v>11905</v>
      </c>
      <c r="Z642" s="2" t="s">
        <v>11906</v>
      </c>
      <c r="AA642" s="2"/>
      <c r="AB642" s="2"/>
      <c r="AC642" s="2"/>
      <c r="AD642" s="2"/>
      <c r="AE642" s="2"/>
      <c r="AF642" s="2"/>
      <c r="AG642" s="2" t="n">
        <v>24</v>
      </c>
      <c r="AH642" s="2" t="n">
        <v>32</v>
      </c>
      <c r="AI642" s="2" t="n">
        <v>33</v>
      </c>
      <c r="AJ642" s="2" t="n">
        <v>0</v>
      </c>
      <c r="AK642" s="2" t="n">
        <v>1</v>
      </c>
      <c r="AL642" s="2" t="s">
        <v>2788</v>
      </c>
      <c r="AM642" s="2" t="s">
        <v>2789</v>
      </c>
      <c r="AN642" s="2" t="s">
        <v>11907</v>
      </c>
      <c r="AO642" s="2" t="s">
        <v>11908</v>
      </c>
      <c r="AP642" s="2"/>
      <c r="AQ642" s="2"/>
      <c r="AR642" s="2" t="s">
        <v>11909</v>
      </c>
      <c r="AS642" s="2" t="s">
        <v>11910</v>
      </c>
      <c r="AT642" s="2"/>
      <c r="AU642" s="2" t="n">
        <v>2009</v>
      </c>
      <c r="AV642" s="2" t="n">
        <v>50</v>
      </c>
      <c r="AW642" s="2" t="n">
        <v>4</v>
      </c>
      <c r="AX642" s="2"/>
      <c r="AY642" s="2"/>
      <c r="AZ642" s="2"/>
      <c r="BA642" s="2"/>
      <c r="BB642" s="2" t="n">
        <v>619</v>
      </c>
      <c r="BC642" s="2" t="n">
        <v>624</v>
      </c>
      <c r="BD642" s="2" t="s">
        <v>11911</v>
      </c>
      <c r="BE642" s="2" t="s">
        <v>11912</v>
      </c>
      <c r="BF642" s="2" t="str">
        <f aca="false">HYPERLINK("http://dx.doi.org/10.1080/10428190902777665","http://dx.doi.org/10.1080/10428190902777665")</f>
        <v>http://dx.doi.org/10.1080/10428190902777665</v>
      </c>
      <c r="BG642" s="2"/>
      <c r="BH642" s="2"/>
      <c r="BI642" s="2" t="n">
        <v>6</v>
      </c>
      <c r="BJ642" s="2" t="s">
        <v>11913</v>
      </c>
      <c r="BK642" s="2" t="s">
        <v>100</v>
      </c>
      <c r="BL642" s="2" t="s">
        <v>11913</v>
      </c>
      <c r="BM642" s="2" t="s">
        <v>11914</v>
      </c>
      <c r="BN642" s="2" t="n">
        <v>19373660</v>
      </c>
      <c r="BO642" s="2"/>
      <c r="BP642" s="2"/>
      <c r="BQ642" s="2"/>
      <c r="BR642" s="2" t="s">
        <v>104</v>
      </c>
      <c r="BS642" s="2" t="s">
        <v>11915</v>
      </c>
      <c r="BT642" s="2" t="str">
        <f aca="false">HYPERLINK("https%3A%2F%2Fwww.webofscience.com%2Fwos%2Fwoscc%2Ffull-record%2FWOS:000265361500018","View Full Record in Web of Science")</f>
        <v>View Full Record in Web of Science</v>
      </c>
    </row>
    <row r="643" customFormat="false" ht="12.75" hidden="false" customHeight="false" outlineLevel="0" collapsed="false">
      <c r="A643" s="2" t="s">
        <v>72</v>
      </c>
      <c r="B643" s="2" t="s">
        <v>11916</v>
      </c>
      <c r="C643" s="2"/>
      <c r="D643" s="2"/>
      <c r="E643" s="2"/>
      <c r="F643" s="2" t="s">
        <v>11917</v>
      </c>
      <c r="G643" s="2"/>
      <c r="H643" s="2"/>
      <c r="I643" s="2" t="s">
        <v>11918</v>
      </c>
      <c r="J643" s="2" t="s">
        <v>557</v>
      </c>
      <c r="K643" s="2"/>
      <c r="L643" s="2"/>
      <c r="M643" s="2" t="s">
        <v>77</v>
      </c>
      <c r="N643" s="2" t="s">
        <v>78</v>
      </c>
      <c r="O643" s="2"/>
      <c r="P643" s="2"/>
      <c r="Q643" s="2"/>
      <c r="R643" s="2"/>
      <c r="S643" s="2"/>
      <c r="T643" s="2" t="s">
        <v>11919</v>
      </c>
      <c r="U643" s="2" t="s">
        <v>11920</v>
      </c>
      <c r="V643" s="2" t="s">
        <v>11921</v>
      </c>
      <c r="W643" s="2" t="s">
        <v>11922</v>
      </c>
      <c r="X643" s="2" t="s">
        <v>11923</v>
      </c>
      <c r="Y643" s="2" t="s">
        <v>11924</v>
      </c>
      <c r="Z643" s="2" t="s">
        <v>11925</v>
      </c>
      <c r="AA643" s="2" t="s">
        <v>11926</v>
      </c>
      <c r="AB643" s="2" t="s">
        <v>11927</v>
      </c>
      <c r="AC643" s="2" t="s">
        <v>11928</v>
      </c>
      <c r="AD643" s="2" t="s">
        <v>11929</v>
      </c>
      <c r="AE643" s="2" t="s">
        <v>11930</v>
      </c>
      <c r="AF643" s="2"/>
      <c r="AG643" s="2" t="n">
        <v>30</v>
      </c>
      <c r="AH643" s="2" t="n">
        <v>18</v>
      </c>
      <c r="AI643" s="2" t="n">
        <v>22</v>
      </c>
      <c r="AJ643" s="2" t="n">
        <v>0</v>
      </c>
      <c r="AK643" s="2" t="n">
        <v>14</v>
      </c>
      <c r="AL643" s="2" t="s">
        <v>302</v>
      </c>
      <c r="AM643" s="2" t="s">
        <v>303</v>
      </c>
      <c r="AN643" s="2" t="s">
        <v>304</v>
      </c>
      <c r="AO643" s="2"/>
      <c r="AP643" s="2" t="s">
        <v>570</v>
      </c>
      <c r="AQ643" s="2"/>
      <c r="AR643" s="2" t="s">
        <v>571</v>
      </c>
      <c r="AS643" s="2" t="s">
        <v>572</v>
      </c>
      <c r="AT643" s="2" t="s">
        <v>11931</v>
      </c>
      <c r="AU643" s="2" t="n">
        <v>2016</v>
      </c>
      <c r="AV643" s="2" t="n">
        <v>16</v>
      </c>
      <c r="AW643" s="2"/>
      <c r="AX643" s="2"/>
      <c r="AY643" s="2"/>
      <c r="AZ643" s="2"/>
      <c r="BA643" s="2"/>
      <c r="BB643" s="2"/>
      <c r="BC643" s="2"/>
      <c r="BD643" s="2" t="n">
        <v>597</v>
      </c>
      <c r="BE643" s="2" t="s">
        <v>11932</v>
      </c>
      <c r="BF643" s="2" t="str">
        <f aca="false">HYPERLINK("http://dx.doi.org/10.1186/s12879-016-1934-z","http://dx.doi.org/10.1186/s12879-016-1934-z")</f>
        <v>http://dx.doi.org/10.1186/s12879-016-1934-z</v>
      </c>
      <c r="BG643" s="2"/>
      <c r="BH643" s="2"/>
      <c r="BI643" s="2" t="n">
        <v>12</v>
      </c>
      <c r="BJ643" s="2" t="s">
        <v>575</v>
      </c>
      <c r="BK643" s="2" t="s">
        <v>100</v>
      </c>
      <c r="BL643" s="2" t="s">
        <v>575</v>
      </c>
      <c r="BM643" s="2" t="s">
        <v>11933</v>
      </c>
      <c r="BN643" s="2" t="n">
        <v>27776489</v>
      </c>
      <c r="BO643" s="2" t="s">
        <v>103</v>
      </c>
      <c r="BP643" s="2"/>
      <c r="BQ643" s="2"/>
      <c r="BR643" s="2" t="s">
        <v>104</v>
      </c>
      <c r="BS643" s="2" t="s">
        <v>11934</v>
      </c>
      <c r="BT643" s="2" t="str">
        <f aca="false">HYPERLINK("https%3A%2F%2Fwww.webofscience.com%2Fwos%2Fwoscc%2Ffull-record%2FWOS:000386031400001","View Full Record in Web of Science")</f>
        <v>View Full Record in Web of Science</v>
      </c>
    </row>
    <row r="644" customFormat="false" ht="12.75" hidden="false" customHeight="false" outlineLevel="0" collapsed="false">
      <c r="A644" s="2" t="s">
        <v>72</v>
      </c>
      <c r="B644" s="2" t="s">
        <v>11935</v>
      </c>
      <c r="C644" s="2"/>
      <c r="D644" s="2"/>
      <c r="E644" s="2"/>
      <c r="F644" s="2" t="s">
        <v>11936</v>
      </c>
      <c r="G644" s="2"/>
      <c r="H644" s="2"/>
      <c r="I644" s="2" t="s">
        <v>11937</v>
      </c>
      <c r="J644" s="2" t="s">
        <v>11938</v>
      </c>
      <c r="K644" s="2"/>
      <c r="L644" s="2"/>
      <c r="M644" s="2" t="s">
        <v>77</v>
      </c>
      <c r="N644" s="2" t="s">
        <v>78</v>
      </c>
      <c r="O644" s="2"/>
      <c r="P644" s="2"/>
      <c r="Q644" s="2"/>
      <c r="R644" s="2"/>
      <c r="S644" s="2"/>
      <c r="T644" s="2" t="s">
        <v>11939</v>
      </c>
      <c r="U644" s="2" t="s">
        <v>11940</v>
      </c>
      <c r="V644" s="2" t="s">
        <v>11941</v>
      </c>
      <c r="W644" s="2" t="s">
        <v>11942</v>
      </c>
      <c r="X644" s="2" t="s">
        <v>11943</v>
      </c>
      <c r="Y644" s="2" t="s">
        <v>11944</v>
      </c>
      <c r="Z644" s="2"/>
      <c r="AA644" s="2"/>
      <c r="AB644" s="2" t="s">
        <v>11945</v>
      </c>
      <c r="AC644" s="2"/>
      <c r="AD644" s="2"/>
      <c r="AE644" s="2"/>
      <c r="AF644" s="2"/>
      <c r="AG644" s="2" t="n">
        <v>39</v>
      </c>
      <c r="AH644" s="2" t="n">
        <v>0</v>
      </c>
      <c r="AI644" s="2" t="n">
        <v>0</v>
      </c>
      <c r="AJ644" s="2" t="n">
        <v>0</v>
      </c>
      <c r="AK644" s="2" t="n">
        <v>0</v>
      </c>
      <c r="AL644" s="2" t="s">
        <v>11946</v>
      </c>
      <c r="AM644" s="2" t="s">
        <v>11947</v>
      </c>
      <c r="AN644" s="2" t="s">
        <v>11948</v>
      </c>
      <c r="AO644" s="2" t="s">
        <v>11949</v>
      </c>
      <c r="AP644" s="2"/>
      <c r="AQ644" s="2"/>
      <c r="AR644" s="2" t="s">
        <v>11950</v>
      </c>
      <c r="AS644" s="2" t="s">
        <v>11951</v>
      </c>
      <c r="AT644" s="2" t="s">
        <v>925</v>
      </c>
      <c r="AU644" s="2" t="n">
        <v>2015</v>
      </c>
      <c r="AV644" s="2" t="n">
        <v>6</v>
      </c>
      <c r="AW644" s="2" t="n">
        <v>1</v>
      </c>
      <c r="AX644" s="2"/>
      <c r="AY644" s="2"/>
      <c r="AZ644" s="2"/>
      <c r="BA644" s="2"/>
      <c r="BB644" s="2" t="n">
        <v>982</v>
      </c>
      <c r="BC644" s="2" t="n">
        <v>989</v>
      </c>
      <c r="BD644" s="2"/>
      <c r="BE644" s="2"/>
      <c r="BF644" s="2"/>
      <c r="BG644" s="2"/>
      <c r="BH644" s="2"/>
      <c r="BI644" s="2" t="n">
        <v>8</v>
      </c>
      <c r="BJ644" s="2" t="s">
        <v>1658</v>
      </c>
      <c r="BK644" s="2" t="s">
        <v>339</v>
      </c>
      <c r="BL644" s="2" t="s">
        <v>1659</v>
      </c>
      <c r="BM644" s="2" t="s">
        <v>11952</v>
      </c>
      <c r="BN644" s="2"/>
      <c r="BO644" s="2"/>
      <c r="BP644" s="2"/>
      <c r="BQ644" s="2"/>
      <c r="BR644" s="2" t="s">
        <v>104</v>
      </c>
      <c r="BS644" s="2" t="s">
        <v>11953</v>
      </c>
      <c r="BT644" s="2" t="str">
        <f aca="false">HYPERLINK("https%3A%2F%2Fwww.webofscience.com%2Fwos%2Fwoscc%2Ffull-record%2FWOS:000413254900125","View Full Record in Web of Science")</f>
        <v>View Full Record in Web of Science</v>
      </c>
    </row>
    <row r="645" customFormat="false" ht="12.75" hidden="false" customHeight="false" outlineLevel="0" collapsed="false">
      <c r="A645" s="2" t="s">
        <v>72</v>
      </c>
      <c r="B645" s="2" t="s">
        <v>11954</v>
      </c>
      <c r="C645" s="2"/>
      <c r="D645" s="2"/>
      <c r="E645" s="2"/>
      <c r="F645" s="2" t="s">
        <v>11955</v>
      </c>
      <c r="G645" s="2"/>
      <c r="H645" s="2"/>
      <c r="I645" s="2" t="s">
        <v>11956</v>
      </c>
      <c r="J645" s="2" t="s">
        <v>1134</v>
      </c>
      <c r="K645" s="2"/>
      <c r="L645" s="2"/>
      <c r="M645" s="2" t="s">
        <v>77</v>
      </c>
      <c r="N645" s="2" t="s">
        <v>78</v>
      </c>
      <c r="O645" s="2"/>
      <c r="P645" s="2"/>
      <c r="Q645" s="2"/>
      <c r="R645" s="2"/>
      <c r="S645" s="2"/>
      <c r="T645" s="2" t="s">
        <v>11957</v>
      </c>
      <c r="U645" s="2" t="s">
        <v>11958</v>
      </c>
      <c r="V645" s="2" t="s">
        <v>11959</v>
      </c>
      <c r="W645" s="2" t="s">
        <v>11960</v>
      </c>
      <c r="X645" s="2" t="s">
        <v>11961</v>
      </c>
      <c r="Y645" s="2" t="s">
        <v>11962</v>
      </c>
      <c r="Z645" s="2" t="s">
        <v>11963</v>
      </c>
      <c r="AA645" s="2" t="s">
        <v>11964</v>
      </c>
      <c r="AB645" s="2" t="s">
        <v>11965</v>
      </c>
      <c r="AC645" s="2" t="s">
        <v>11966</v>
      </c>
      <c r="AD645" s="2" t="s">
        <v>11966</v>
      </c>
      <c r="AE645" s="2" t="s">
        <v>11967</v>
      </c>
      <c r="AF645" s="2"/>
      <c r="AG645" s="2" t="n">
        <v>31</v>
      </c>
      <c r="AH645" s="2" t="n">
        <v>4</v>
      </c>
      <c r="AI645" s="2" t="n">
        <v>4</v>
      </c>
      <c r="AJ645" s="2" t="n">
        <v>0</v>
      </c>
      <c r="AK645" s="2" t="n">
        <v>2</v>
      </c>
      <c r="AL645" s="2" t="s">
        <v>302</v>
      </c>
      <c r="AM645" s="2" t="s">
        <v>303</v>
      </c>
      <c r="AN645" s="2" t="s">
        <v>304</v>
      </c>
      <c r="AO645" s="2"/>
      <c r="AP645" s="2" t="s">
        <v>1144</v>
      </c>
      <c r="AQ645" s="2"/>
      <c r="AR645" s="2" t="s">
        <v>1145</v>
      </c>
      <c r="AS645" s="2" t="s">
        <v>1146</v>
      </c>
      <c r="AT645" s="2" t="s">
        <v>11968</v>
      </c>
      <c r="AU645" s="2" t="n">
        <v>2022</v>
      </c>
      <c r="AV645" s="2" t="n">
        <v>22</v>
      </c>
      <c r="AW645" s="2" t="n">
        <v>1</v>
      </c>
      <c r="AX645" s="2"/>
      <c r="AY645" s="2"/>
      <c r="AZ645" s="2"/>
      <c r="BA645" s="2"/>
      <c r="BB645" s="2"/>
      <c r="BC645" s="2"/>
      <c r="BD645" s="2" t="n">
        <v>166</v>
      </c>
      <c r="BE645" s="2" t="s">
        <v>11969</v>
      </c>
      <c r="BF645" s="2" t="str">
        <f aca="false">HYPERLINK("http://dx.doi.org/10.1186/s12887-022-03215-3","http://dx.doi.org/10.1186/s12887-022-03215-3")</f>
        <v>http://dx.doi.org/10.1186/s12887-022-03215-3</v>
      </c>
      <c r="BG645" s="2"/>
      <c r="BH645" s="2"/>
      <c r="BI645" s="2" t="n">
        <v>10</v>
      </c>
      <c r="BJ645" s="2" t="s">
        <v>601</v>
      </c>
      <c r="BK645" s="2" t="s">
        <v>100</v>
      </c>
      <c r="BL645" s="2" t="s">
        <v>601</v>
      </c>
      <c r="BM645" s="2" t="s">
        <v>11970</v>
      </c>
      <c r="BN645" s="2" t="n">
        <v>35361147</v>
      </c>
      <c r="BO645" s="2" t="s">
        <v>103</v>
      </c>
      <c r="BP645" s="2"/>
      <c r="BQ645" s="2"/>
      <c r="BR645" s="2" t="s">
        <v>104</v>
      </c>
      <c r="BS645" s="2" t="s">
        <v>11971</v>
      </c>
      <c r="BT645" s="2" t="str">
        <f aca="false">HYPERLINK("https%3A%2F%2Fwww.webofscience.com%2Fwos%2Fwoscc%2Ffull-record%2FWOS:000776724400001","View Full Record in Web of Science")</f>
        <v>View Full Record in Web of Science</v>
      </c>
    </row>
    <row r="646" customFormat="false" ht="12.75" hidden="false" customHeight="false" outlineLevel="0" collapsed="false">
      <c r="A646" s="2" t="s">
        <v>72</v>
      </c>
      <c r="B646" s="2" t="s">
        <v>11972</v>
      </c>
      <c r="C646" s="2"/>
      <c r="D646" s="2"/>
      <c r="E646" s="2"/>
      <c r="F646" s="2" t="s">
        <v>11973</v>
      </c>
      <c r="G646" s="2"/>
      <c r="H646" s="2"/>
      <c r="I646" s="2" t="s">
        <v>11974</v>
      </c>
      <c r="J646" s="2" t="s">
        <v>11975</v>
      </c>
      <c r="K646" s="2"/>
      <c r="L646" s="2"/>
      <c r="M646" s="2" t="s">
        <v>77</v>
      </c>
      <c r="N646" s="2" t="s">
        <v>78</v>
      </c>
      <c r="O646" s="2"/>
      <c r="P646" s="2"/>
      <c r="Q646" s="2"/>
      <c r="R646" s="2"/>
      <c r="S646" s="2"/>
      <c r="T646" s="2" t="s">
        <v>11976</v>
      </c>
      <c r="U646" s="2" t="s">
        <v>11977</v>
      </c>
      <c r="V646" s="2" t="s">
        <v>11978</v>
      </c>
      <c r="W646" s="2" t="s">
        <v>11979</v>
      </c>
      <c r="X646" s="2" t="s">
        <v>11980</v>
      </c>
      <c r="Y646" s="2" t="s">
        <v>11981</v>
      </c>
      <c r="Z646" s="2" t="s">
        <v>11982</v>
      </c>
      <c r="AA646" s="2"/>
      <c r="AB646" s="2"/>
      <c r="AC646" s="2"/>
      <c r="AD646" s="2"/>
      <c r="AE646" s="2"/>
      <c r="AF646" s="2"/>
      <c r="AG646" s="2" t="n">
        <v>21</v>
      </c>
      <c r="AH646" s="2" t="n">
        <v>10</v>
      </c>
      <c r="AI646" s="2" t="n">
        <v>11</v>
      </c>
      <c r="AJ646" s="2" t="n">
        <v>0</v>
      </c>
      <c r="AK646" s="2" t="n">
        <v>4</v>
      </c>
      <c r="AL646" s="2" t="s">
        <v>154</v>
      </c>
      <c r="AM646" s="2" t="s">
        <v>155</v>
      </c>
      <c r="AN646" s="2" t="s">
        <v>156</v>
      </c>
      <c r="AO646" s="2" t="s">
        <v>11983</v>
      </c>
      <c r="AP646" s="2" t="s">
        <v>11984</v>
      </c>
      <c r="AQ646" s="2"/>
      <c r="AR646" s="2" t="s">
        <v>11985</v>
      </c>
      <c r="AS646" s="2" t="s">
        <v>11986</v>
      </c>
      <c r="AT646" s="2" t="s">
        <v>486</v>
      </c>
      <c r="AU646" s="2" t="n">
        <v>2014</v>
      </c>
      <c r="AV646" s="2" t="n">
        <v>103</v>
      </c>
      <c r="AW646" s="2" t="n">
        <v>6</v>
      </c>
      <c r="AX646" s="2"/>
      <c r="AY646" s="2"/>
      <c r="AZ646" s="2"/>
      <c r="BA646" s="2"/>
      <c r="BB646" s="2" t="n">
        <v>625</v>
      </c>
      <c r="BC646" s="2" t="n">
        <v>629</v>
      </c>
      <c r="BD646" s="2"/>
      <c r="BE646" s="2" t="s">
        <v>11987</v>
      </c>
      <c r="BF646" s="2" t="str">
        <f aca="false">HYPERLINK("http://dx.doi.org/10.1111/apa.12623","http://dx.doi.org/10.1111/apa.12623")</f>
        <v>http://dx.doi.org/10.1111/apa.12623</v>
      </c>
      <c r="BG646" s="2"/>
      <c r="BH646" s="2"/>
      <c r="BI646" s="2" t="n">
        <v>5</v>
      </c>
      <c r="BJ646" s="2" t="s">
        <v>601</v>
      </c>
      <c r="BK646" s="2" t="s">
        <v>100</v>
      </c>
      <c r="BL646" s="2" t="s">
        <v>601</v>
      </c>
      <c r="BM646" s="2" t="s">
        <v>11988</v>
      </c>
      <c r="BN646" s="2" t="n">
        <v>24606114</v>
      </c>
      <c r="BO646" s="2"/>
      <c r="BP646" s="2"/>
      <c r="BQ646" s="2"/>
      <c r="BR646" s="2" t="s">
        <v>104</v>
      </c>
      <c r="BS646" s="2" t="s">
        <v>11989</v>
      </c>
      <c r="BT646" s="2" t="str">
        <f aca="false">HYPERLINK("https%3A%2F%2Fwww.webofscience.com%2Fwos%2Fwoscc%2Ffull-record%2FWOS:000335754700019","View Full Record in Web of Science")</f>
        <v>View Full Record in Web of Science</v>
      </c>
    </row>
    <row r="647" customFormat="false" ht="12.75" hidden="false" customHeight="false" outlineLevel="0" collapsed="false">
      <c r="A647" s="2" t="s">
        <v>72</v>
      </c>
      <c r="B647" s="2" t="s">
        <v>11990</v>
      </c>
      <c r="C647" s="2"/>
      <c r="D647" s="2"/>
      <c r="E647" s="2"/>
      <c r="F647" s="2" t="s">
        <v>11991</v>
      </c>
      <c r="G647" s="2"/>
      <c r="H647" s="2"/>
      <c r="I647" s="2" t="s">
        <v>11992</v>
      </c>
      <c r="J647" s="2" t="s">
        <v>109</v>
      </c>
      <c r="K647" s="2"/>
      <c r="L647" s="2"/>
      <c r="M647" s="2" t="s">
        <v>77</v>
      </c>
      <c r="N647" s="2" t="s">
        <v>78</v>
      </c>
      <c r="O647" s="2"/>
      <c r="P647" s="2"/>
      <c r="Q647" s="2"/>
      <c r="R647" s="2"/>
      <c r="S647" s="2"/>
      <c r="T647" s="2" t="s">
        <v>11993</v>
      </c>
      <c r="U647" s="2" t="s">
        <v>11994</v>
      </c>
      <c r="V647" s="2" t="s">
        <v>11995</v>
      </c>
      <c r="W647" s="2" t="s">
        <v>11996</v>
      </c>
      <c r="X647" s="2" t="s">
        <v>11997</v>
      </c>
      <c r="Y647" s="2" t="s">
        <v>11998</v>
      </c>
      <c r="Z647" s="2" t="s">
        <v>9061</v>
      </c>
      <c r="AA647" s="2" t="s">
        <v>11999</v>
      </c>
      <c r="AB647" s="2" t="s">
        <v>12000</v>
      </c>
      <c r="AC647" s="2"/>
      <c r="AD647" s="2"/>
      <c r="AE647" s="2"/>
      <c r="AF647" s="2"/>
      <c r="AG647" s="2" t="n">
        <v>25</v>
      </c>
      <c r="AH647" s="2" t="n">
        <v>75</v>
      </c>
      <c r="AI647" s="2" t="n">
        <v>80</v>
      </c>
      <c r="AJ647" s="2" t="n">
        <v>0</v>
      </c>
      <c r="AK647" s="2" t="n">
        <v>5</v>
      </c>
      <c r="AL647" s="2" t="s">
        <v>122</v>
      </c>
      <c r="AM647" s="2" t="s">
        <v>123</v>
      </c>
      <c r="AN647" s="2" t="s">
        <v>124</v>
      </c>
      <c r="AO647" s="2" t="s">
        <v>125</v>
      </c>
      <c r="AP647" s="2" t="s">
        <v>126</v>
      </c>
      <c r="AQ647" s="2"/>
      <c r="AR647" s="2" t="s">
        <v>127</v>
      </c>
      <c r="AS647" s="2" t="s">
        <v>128</v>
      </c>
      <c r="AT647" s="2" t="s">
        <v>336</v>
      </c>
      <c r="AU647" s="2" t="n">
        <v>2007</v>
      </c>
      <c r="AV647" s="2" t="n">
        <v>26</v>
      </c>
      <c r="AW647" s="2" t="n">
        <v>10</v>
      </c>
      <c r="AX647" s="2"/>
      <c r="AY647" s="2"/>
      <c r="AZ647" s="2"/>
      <c r="BA647" s="2"/>
      <c r="BB647" s="2" t="n">
        <v>904</v>
      </c>
      <c r="BC647" s="2" t="n">
        <v>908</v>
      </c>
      <c r="BD647" s="2"/>
      <c r="BE647" s="2" t="s">
        <v>12001</v>
      </c>
      <c r="BF647" s="2" t="str">
        <f aca="false">HYPERLINK("http://dx.doi.org/10.1097/INF.0b013e31812e52e6","http://dx.doi.org/10.1097/INF.0b013e31812e52e6")</f>
        <v>http://dx.doi.org/10.1097/INF.0b013e31812e52e6</v>
      </c>
      <c r="BG647" s="2"/>
      <c r="BH647" s="2"/>
      <c r="BI647" s="2" t="n">
        <v>5</v>
      </c>
      <c r="BJ647" s="2" t="s">
        <v>134</v>
      </c>
      <c r="BK647" s="2" t="s">
        <v>100</v>
      </c>
      <c r="BL647" s="2" t="s">
        <v>134</v>
      </c>
      <c r="BM647" s="2" t="s">
        <v>12002</v>
      </c>
      <c r="BN647" s="2" t="n">
        <v>17901795</v>
      </c>
      <c r="BO647" s="2"/>
      <c r="BP647" s="2"/>
      <c r="BQ647" s="2"/>
      <c r="BR647" s="2" t="s">
        <v>104</v>
      </c>
      <c r="BS647" s="2" t="s">
        <v>12003</v>
      </c>
      <c r="BT647" s="2" t="str">
        <f aca="false">HYPERLINK("https%3A%2F%2Fwww.webofscience.com%2Fwos%2Fwoscc%2Ffull-record%2FWOS:000250215400006","View Full Record in Web of Science")</f>
        <v>View Full Record in Web of Science</v>
      </c>
    </row>
    <row r="648" customFormat="false" ht="12.75" hidden="false" customHeight="false" outlineLevel="0" collapsed="false">
      <c r="A648" s="2" t="s">
        <v>72</v>
      </c>
      <c r="B648" s="2" t="s">
        <v>12004</v>
      </c>
      <c r="C648" s="2"/>
      <c r="D648" s="2"/>
      <c r="E648" s="2"/>
      <c r="F648" s="2" t="s">
        <v>12005</v>
      </c>
      <c r="G648" s="2"/>
      <c r="H648" s="2"/>
      <c r="I648" s="2" t="s">
        <v>12006</v>
      </c>
      <c r="J648" s="2" t="s">
        <v>3679</v>
      </c>
      <c r="K648" s="2"/>
      <c r="L648" s="2"/>
      <c r="M648" s="2" t="s">
        <v>77</v>
      </c>
      <c r="N648" s="2" t="s">
        <v>78</v>
      </c>
      <c r="O648" s="2"/>
      <c r="P648" s="2"/>
      <c r="Q648" s="2"/>
      <c r="R648" s="2"/>
      <c r="S648" s="2"/>
      <c r="T648" s="2" t="s">
        <v>12007</v>
      </c>
      <c r="U648" s="2" t="s">
        <v>12008</v>
      </c>
      <c r="V648" s="2" t="s">
        <v>12009</v>
      </c>
      <c r="W648" s="2" t="s">
        <v>12010</v>
      </c>
      <c r="X648" s="2" t="s">
        <v>12011</v>
      </c>
      <c r="Y648" s="2" t="s">
        <v>12012</v>
      </c>
      <c r="Z648" s="2" t="s">
        <v>12013</v>
      </c>
      <c r="AA648" s="2" t="s">
        <v>12014</v>
      </c>
      <c r="AB648" s="2" t="s">
        <v>12015</v>
      </c>
      <c r="AC648" s="2"/>
      <c r="AD648" s="2"/>
      <c r="AE648" s="2"/>
      <c r="AF648" s="2"/>
      <c r="AG648" s="2" t="n">
        <v>41</v>
      </c>
      <c r="AH648" s="2" t="n">
        <v>0</v>
      </c>
      <c r="AI648" s="2" t="n">
        <v>0</v>
      </c>
      <c r="AJ648" s="2" t="n">
        <v>0</v>
      </c>
      <c r="AK648" s="2" t="n">
        <v>6</v>
      </c>
      <c r="AL648" s="2" t="s">
        <v>3689</v>
      </c>
      <c r="AM648" s="2" t="s">
        <v>3690</v>
      </c>
      <c r="AN648" s="2" t="s">
        <v>12016</v>
      </c>
      <c r="AO648" s="2" t="s">
        <v>3692</v>
      </c>
      <c r="AP648" s="2"/>
      <c r="AQ648" s="2"/>
      <c r="AR648" s="2" t="s">
        <v>3693</v>
      </c>
      <c r="AS648" s="2" t="s">
        <v>3694</v>
      </c>
      <c r="AT648" s="2" t="s">
        <v>446</v>
      </c>
      <c r="AU648" s="2" t="n">
        <v>2019</v>
      </c>
      <c r="AV648" s="2" t="n">
        <v>6</v>
      </c>
      <c r="AW648" s="2" t="n">
        <v>4</v>
      </c>
      <c r="AX648" s="2"/>
      <c r="AY648" s="2"/>
      <c r="AZ648" s="2"/>
      <c r="BA648" s="2"/>
      <c r="BB648" s="2" t="n">
        <v>314</v>
      </c>
      <c r="BC648" s="2" t="n">
        <v>321</v>
      </c>
      <c r="BD648" s="2"/>
      <c r="BE648" s="2" t="s">
        <v>12017</v>
      </c>
      <c r="BF648" s="2" t="str">
        <f aca="false">HYPERLINK("http://dx.doi.org/10.4274/jpr.galenos.2019.25348","http://dx.doi.org/10.4274/jpr.galenos.2019.25348")</f>
        <v>http://dx.doi.org/10.4274/jpr.galenos.2019.25348</v>
      </c>
      <c r="BG648" s="2"/>
      <c r="BH648" s="2"/>
      <c r="BI648" s="2" t="n">
        <v>8</v>
      </c>
      <c r="BJ648" s="2" t="s">
        <v>601</v>
      </c>
      <c r="BK648" s="2" t="s">
        <v>339</v>
      </c>
      <c r="BL648" s="2" t="s">
        <v>601</v>
      </c>
      <c r="BM648" s="2" t="s">
        <v>12018</v>
      </c>
      <c r="BN648" s="2"/>
      <c r="BO648" s="2" t="s">
        <v>3652</v>
      </c>
      <c r="BP648" s="2"/>
      <c r="BQ648" s="2"/>
      <c r="BR648" s="2" t="s">
        <v>104</v>
      </c>
      <c r="BS648" s="2" t="s">
        <v>12019</v>
      </c>
      <c r="BT648" s="2" t="str">
        <f aca="false">HYPERLINK("https%3A%2F%2Fwww.webofscience.com%2Fwos%2Fwoscc%2Ffull-record%2FWOS:000493179100008","View Full Record in Web of Science")</f>
        <v>View Full Record in Web of Science</v>
      </c>
    </row>
    <row r="649" customFormat="false" ht="12.75" hidden="false" customHeight="false" outlineLevel="0" collapsed="false">
      <c r="A649" s="2" t="s">
        <v>72</v>
      </c>
      <c r="B649" s="2" t="s">
        <v>12020</v>
      </c>
      <c r="C649" s="2"/>
      <c r="D649" s="2"/>
      <c r="E649" s="2"/>
      <c r="F649" s="2" t="s">
        <v>12021</v>
      </c>
      <c r="G649" s="2"/>
      <c r="H649" s="2"/>
      <c r="I649" s="2" t="s">
        <v>12022</v>
      </c>
      <c r="J649" s="2" t="s">
        <v>742</v>
      </c>
      <c r="K649" s="2"/>
      <c r="L649" s="2"/>
      <c r="M649" s="2" t="s">
        <v>77</v>
      </c>
      <c r="N649" s="2" t="s">
        <v>78</v>
      </c>
      <c r="O649" s="2"/>
      <c r="P649" s="2"/>
      <c r="Q649" s="2"/>
      <c r="R649" s="2"/>
      <c r="S649" s="2"/>
      <c r="T649" s="2" t="s">
        <v>12023</v>
      </c>
      <c r="U649" s="2" t="s">
        <v>12024</v>
      </c>
      <c r="V649" s="2" t="s">
        <v>12025</v>
      </c>
      <c r="W649" s="2" t="s">
        <v>12026</v>
      </c>
      <c r="X649" s="2" t="s">
        <v>12027</v>
      </c>
      <c r="Y649" s="2" t="s">
        <v>12028</v>
      </c>
      <c r="Z649" s="2" t="s">
        <v>12029</v>
      </c>
      <c r="AA649" s="2"/>
      <c r="AB649" s="2" t="s">
        <v>12030</v>
      </c>
      <c r="AC649" s="2" t="s">
        <v>12031</v>
      </c>
      <c r="AD649" s="2" t="s">
        <v>12032</v>
      </c>
      <c r="AE649" s="2" t="s">
        <v>12033</v>
      </c>
      <c r="AF649" s="2"/>
      <c r="AG649" s="2" t="n">
        <v>52</v>
      </c>
      <c r="AH649" s="2" t="n">
        <v>3</v>
      </c>
      <c r="AI649" s="2" t="n">
        <v>3</v>
      </c>
      <c r="AJ649" s="2" t="n">
        <v>0</v>
      </c>
      <c r="AK649" s="2" t="n">
        <v>5</v>
      </c>
      <c r="AL649" s="2" t="s">
        <v>755</v>
      </c>
      <c r="AM649" s="2" t="s">
        <v>273</v>
      </c>
      <c r="AN649" s="2" t="s">
        <v>756</v>
      </c>
      <c r="AO649" s="2" t="s">
        <v>757</v>
      </c>
      <c r="AP649" s="2" t="s">
        <v>758</v>
      </c>
      <c r="AQ649" s="2"/>
      <c r="AR649" s="2" t="s">
        <v>759</v>
      </c>
      <c r="AS649" s="2" t="s">
        <v>760</v>
      </c>
      <c r="AT649" s="2" t="s">
        <v>5732</v>
      </c>
      <c r="AU649" s="2" t="n">
        <v>2023</v>
      </c>
      <c r="AV649" s="2" t="n">
        <v>97</v>
      </c>
      <c r="AW649" s="2" t="n">
        <v>5</v>
      </c>
      <c r="AX649" s="2"/>
      <c r="AY649" s="2"/>
      <c r="AZ649" s="2"/>
      <c r="BA649" s="2"/>
      <c r="BB649" s="2"/>
      <c r="BC649" s="2"/>
      <c r="BD649" s="2"/>
      <c r="BE649" s="2" t="s">
        <v>12034</v>
      </c>
      <c r="BF649" s="2" t="str">
        <f aca="false">HYPERLINK("http://dx.doi.org/10.1128/jvi.00030-23","http://dx.doi.org/10.1128/jvi.00030-23")</f>
        <v>http://dx.doi.org/10.1128/jvi.00030-23</v>
      </c>
      <c r="BG649" s="2"/>
      <c r="BH649" s="2" t="s">
        <v>6219</v>
      </c>
      <c r="BI649" s="2" t="n">
        <v>17</v>
      </c>
      <c r="BJ649" s="2" t="s">
        <v>163</v>
      </c>
      <c r="BK649" s="2" t="s">
        <v>100</v>
      </c>
      <c r="BL649" s="2" t="s">
        <v>163</v>
      </c>
      <c r="BM649" s="2" t="s">
        <v>12035</v>
      </c>
      <c r="BN649" s="2" t="n">
        <v>37092993</v>
      </c>
      <c r="BO649" s="2" t="s">
        <v>165</v>
      </c>
      <c r="BP649" s="2"/>
      <c r="BQ649" s="2"/>
      <c r="BR649" s="2" t="s">
        <v>104</v>
      </c>
      <c r="BS649" s="2" t="s">
        <v>12036</v>
      </c>
      <c r="BT649" s="2" t="str">
        <f aca="false">HYPERLINK("https%3A%2F%2Fwww.webofscience.com%2Fwos%2Fwoscc%2Ffull-record%2FWOS:000974805300001","View Full Record in Web of Science")</f>
        <v>View Full Record in Web of Science</v>
      </c>
    </row>
    <row r="650" customFormat="false" ht="12.75" hidden="false" customHeight="false" outlineLevel="0" collapsed="false">
      <c r="A650" s="2" t="s">
        <v>72</v>
      </c>
      <c r="B650" s="2" t="s">
        <v>12037</v>
      </c>
      <c r="C650" s="2"/>
      <c r="D650" s="2"/>
      <c r="E650" s="2"/>
      <c r="F650" s="2" t="s">
        <v>12038</v>
      </c>
      <c r="G650" s="2"/>
      <c r="H650" s="2"/>
      <c r="I650" s="2" t="s">
        <v>12039</v>
      </c>
      <c r="J650" s="2" t="s">
        <v>557</v>
      </c>
      <c r="K650" s="2"/>
      <c r="L650" s="2"/>
      <c r="M650" s="2" t="s">
        <v>77</v>
      </c>
      <c r="N650" s="2" t="s">
        <v>78</v>
      </c>
      <c r="O650" s="2"/>
      <c r="P650" s="2"/>
      <c r="Q650" s="2"/>
      <c r="R650" s="2"/>
      <c r="S650" s="2"/>
      <c r="T650" s="2" t="s">
        <v>12040</v>
      </c>
      <c r="U650" s="2" t="s">
        <v>12041</v>
      </c>
      <c r="V650" s="2" t="s">
        <v>12042</v>
      </c>
      <c r="W650" s="2" t="s">
        <v>12043</v>
      </c>
      <c r="X650" s="2" t="s">
        <v>12044</v>
      </c>
      <c r="Y650" s="2" t="s">
        <v>12045</v>
      </c>
      <c r="Z650" s="2" t="s">
        <v>12046</v>
      </c>
      <c r="AA650" s="2" t="s">
        <v>3092</v>
      </c>
      <c r="AB650" s="2" t="s">
        <v>12047</v>
      </c>
      <c r="AC650" s="2" t="s">
        <v>12048</v>
      </c>
      <c r="AD650" s="2" t="s">
        <v>12049</v>
      </c>
      <c r="AE650" s="2" t="s">
        <v>12050</v>
      </c>
      <c r="AF650" s="2"/>
      <c r="AG650" s="2" t="n">
        <v>21</v>
      </c>
      <c r="AH650" s="2" t="n">
        <v>36</v>
      </c>
      <c r="AI650" s="2" t="n">
        <v>38</v>
      </c>
      <c r="AJ650" s="2" t="n">
        <v>0</v>
      </c>
      <c r="AK650" s="2" t="n">
        <v>2</v>
      </c>
      <c r="AL650" s="2" t="s">
        <v>2337</v>
      </c>
      <c r="AM650" s="2" t="s">
        <v>303</v>
      </c>
      <c r="AN650" s="2" t="s">
        <v>2338</v>
      </c>
      <c r="AO650" s="2" t="s">
        <v>570</v>
      </c>
      <c r="AP650" s="2"/>
      <c r="AQ650" s="2"/>
      <c r="AR650" s="2" t="s">
        <v>571</v>
      </c>
      <c r="AS650" s="2" t="s">
        <v>572</v>
      </c>
      <c r="AT650" s="2" t="s">
        <v>11931</v>
      </c>
      <c r="AU650" s="2" t="n">
        <v>2015</v>
      </c>
      <c r="AV650" s="2" t="n">
        <v>15</v>
      </c>
      <c r="AW650" s="2"/>
      <c r="AX650" s="2"/>
      <c r="AY650" s="2"/>
      <c r="AZ650" s="2"/>
      <c r="BA650" s="2"/>
      <c r="BB650" s="2"/>
      <c r="BC650" s="2"/>
      <c r="BD650" s="2" t="n">
        <v>447</v>
      </c>
      <c r="BE650" s="2" t="s">
        <v>12051</v>
      </c>
      <c r="BF650" s="2" t="str">
        <f aca="false">HYPERLINK("http://dx.doi.org/10.1186/s12879-015-1213-4","http://dx.doi.org/10.1186/s12879-015-1213-4")</f>
        <v>http://dx.doi.org/10.1186/s12879-015-1213-4</v>
      </c>
      <c r="BG650" s="2"/>
      <c r="BH650" s="2"/>
      <c r="BI650" s="2" t="n">
        <v>9</v>
      </c>
      <c r="BJ650" s="2" t="s">
        <v>575</v>
      </c>
      <c r="BK650" s="2" t="s">
        <v>100</v>
      </c>
      <c r="BL650" s="2" t="s">
        <v>575</v>
      </c>
      <c r="BM650" s="2" t="s">
        <v>12052</v>
      </c>
      <c r="BN650" s="2" t="n">
        <v>26497393</v>
      </c>
      <c r="BO650" s="2" t="s">
        <v>190</v>
      </c>
      <c r="BP650" s="2"/>
      <c r="BQ650" s="2"/>
      <c r="BR650" s="2" t="s">
        <v>104</v>
      </c>
      <c r="BS650" s="2" t="s">
        <v>12053</v>
      </c>
      <c r="BT650" s="2" t="str">
        <f aca="false">HYPERLINK("https%3A%2F%2Fwww.webofscience.com%2Fwos%2Fwoscc%2Ffull-record%2FWOS:000363505700002","View Full Record in Web of Science")</f>
        <v>View Full Record in Web of Science</v>
      </c>
    </row>
    <row r="651" customFormat="false" ht="12.75" hidden="false" customHeight="false" outlineLevel="0" collapsed="false">
      <c r="A651" s="2" t="s">
        <v>72</v>
      </c>
      <c r="B651" s="2" t="s">
        <v>12054</v>
      </c>
      <c r="C651" s="2"/>
      <c r="D651" s="2"/>
      <c r="E651" s="2"/>
      <c r="F651" s="2" t="s">
        <v>12055</v>
      </c>
      <c r="G651" s="2"/>
      <c r="H651" s="2"/>
      <c r="I651" s="2" t="s">
        <v>12056</v>
      </c>
      <c r="J651" s="2" t="s">
        <v>1473</v>
      </c>
      <c r="K651" s="2"/>
      <c r="L651" s="2"/>
      <c r="M651" s="2" t="s">
        <v>77</v>
      </c>
      <c r="N651" s="2" t="s">
        <v>78</v>
      </c>
      <c r="O651" s="2"/>
      <c r="P651" s="2"/>
      <c r="Q651" s="2"/>
      <c r="R651" s="2"/>
      <c r="S651" s="2"/>
      <c r="T651" s="2" t="s">
        <v>12057</v>
      </c>
      <c r="U651" s="2" t="s">
        <v>12058</v>
      </c>
      <c r="V651" s="2" t="s">
        <v>12059</v>
      </c>
      <c r="W651" s="2" t="s">
        <v>12060</v>
      </c>
      <c r="X651" s="2" t="s">
        <v>12061</v>
      </c>
      <c r="Y651" s="2" t="s">
        <v>12062</v>
      </c>
      <c r="Z651" s="2" t="s">
        <v>12063</v>
      </c>
      <c r="AA651" s="2"/>
      <c r="AB651" s="2"/>
      <c r="AC651" s="2"/>
      <c r="AD651" s="2"/>
      <c r="AE651" s="2"/>
      <c r="AF651" s="2"/>
      <c r="AG651" s="2" t="n">
        <v>33</v>
      </c>
      <c r="AH651" s="2" t="n">
        <v>0</v>
      </c>
      <c r="AI651" s="2" t="n">
        <v>0</v>
      </c>
      <c r="AJ651" s="2" t="n">
        <v>0</v>
      </c>
      <c r="AK651" s="2" t="n">
        <v>2</v>
      </c>
      <c r="AL651" s="2" t="s">
        <v>154</v>
      </c>
      <c r="AM651" s="2" t="s">
        <v>155</v>
      </c>
      <c r="AN651" s="2" t="s">
        <v>156</v>
      </c>
      <c r="AO651" s="2" t="s">
        <v>1485</v>
      </c>
      <c r="AP651" s="2" t="s">
        <v>1486</v>
      </c>
      <c r="AQ651" s="2"/>
      <c r="AR651" s="2" t="s">
        <v>1487</v>
      </c>
      <c r="AS651" s="2" t="s">
        <v>1488</v>
      </c>
      <c r="AT651" s="2" t="s">
        <v>692</v>
      </c>
      <c r="AU651" s="2" t="n">
        <v>2021</v>
      </c>
      <c r="AV651" s="2" t="n">
        <v>23</v>
      </c>
      <c r="AW651" s="2" t="n">
        <v>2</v>
      </c>
      <c r="AX651" s="2"/>
      <c r="AY651" s="2"/>
      <c r="AZ651" s="2"/>
      <c r="BA651" s="2"/>
      <c r="BB651" s="2"/>
      <c r="BC651" s="2"/>
      <c r="BD651" s="2" t="s">
        <v>12064</v>
      </c>
      <c r="BE651" s="2" t="s">
        <v>12065</v>
      </c>
      <c r="BF651" s="2" t="str">
        <f aca="false">HYPERLINK("http://dx.doi.org/10.1111/tid.13499","http://dx.doi.org/10.1111/tid.13499")</f>
        <v>http://dx.doi.org/10.1111/tid.13499</v>
      </c>
      <c r="BG651" s="2"/>
      <c r="BH651" s="2" t="s">
        <v>8448</v>
      </c>
      <c r="BI651" s="2" t="n">
        <v>8</v>
      </c>
      <c r="BJ651" s="2" t="s">
        <v>1490</v>
      </c>
      <c r="BK651" s="2" t="s">
        <v>100</v>
      </c>
      <c r="BL651" s="2" t="s">
        <v>1490</v>
      </c>
      <c r="BM651" s="2" t="s">
        <v>12066</v>
      </c>
      <c r="BN651" s="2" t="n">
        <v>33118224</v>
      </c>
      <c r="BO651" s="2"/>
      <c r="BP651" s="2"/>
      <c r="BQ651" s="2"/>
      <c r="BR651" s="2" t="s">
        <v>104</v>
      </c>
      <c r="BS651" s="2" t="s">
        <v>12067</v>
      </c>
      <c r="BT651" s="2" t="str">
        <f aca="false">HYPERLINK("https%3A%2F%2Fwww.webofscience.com%2Fwos%2Fwoscc%2Ffull-record%2FWOS:000595100700001","View Full Record in Web of Science")</f>
        <v>View Full Record in Web of Science</v>
      </c>
    </row>
    <row r="652" customFormat="false" ht="12.75" hidden="false" customHeight="false" outlineLevel="0" collapsed="false">
      <c r="A652" s="2" t="s">
        <v>72</v>
      </c>
      <c r="B652" s="2" t="s">
        <v>12068</v>
      </c>
      <c r="C652" s="2"/>
      <c r="D652" s="2"/>
      <c r="E652" s="2"/>
      <c r="F652" s="2" t="s">
        <v>12069</v>
      </c>
      <c r="G652" s="2"/>
      <c r="H652" s="2"/>
      <c r="I652" s="2" t="s">
        <v>12070</v>
      </c>
      <c r="J652" s="2" t="s">
        <v>370</v>
      </c>
      <c r="K652" s="2"/>
      <c r="L652" s="2"/>
      <c r="M652" s="2" t="s">
        <v>77</v>
      </c>
      <c r="N652" s="2" t="s">
        <v>78</v>
      </c>
      <c r="O652" s="2"/>
      <c r="P652" s="2"/>
      <c r="Q652" s="2"/>
      <c r="R652" s="2"/>
      <c r="S652" s="2"/>
      <c r="T652" s="2" t="s">
        <v>12071</v>
      </c>
      <c r="U652" s="2" t="s">
        <v>12072</v>
      </c>
      <c r="V652" s="2" t="s">
        <v>12073</v>
      </c>
      <c r="W652" s="2" t="s">
        <v>12074</v>
      </c>
      <c r="X652" s="2" t="s">
        <v>12075</v>
      </c>
      <c r="Y652" s="2" t="s">
        <v>12076</v>
      </c>
      <c r="Z652" s="2" t="s">
        <v>12077</v>
      </c>
      <c r="AA652" s="2"/>
      <c r="AB652" s="2"/>
      <c r="AC652" s="2"/>
      <c r="AD652" s="2"/>
      <c r="AE652" s="2"/>
      <c r="AF652" s="2"/>
      <c r="AG652" s="2" t="n">
        <v>31</v>
      </c>
      <c r="AH652" s="2" t="n">
        <v>10</v>
      </c>
      <c r="AI652" s="2" t="n">
        <v>10</v>
      </c>
      <c r="AJ652" s="2" t="n">
        <v>0</v>
      </c>
      <c r="AK652" s="2" t="n">
        <v>1</v>
      </c>
      <c r="AL652" s="2" t="s">
        <v>549</v>
      </c>
      <c r="AM652" s="2" t="s">
        <v>384</v>
      </c>
      <c r="AN652" s="2" t="s">
        <v>550</v>
      </c>
      <c r="AO652" s="2" t="s">
        <v>386</v>
      </c>
      <c r="AP652" s="2" t="s">
        <v>387</v>
      </c>
      <c r="AQ652" s="2"/>
      <c r="AR652" s="2" t="s">
        <v>388</v>
      </c>
      <c r="AS652" s="2" t="s">
        <v>389</v>
      </c>
      <c r="AT652" s="2" t="s">
        <v>599</v>
      </c>
      <c r="AU652" s="2" t="n">
        <v>2009</v>
      </c>
      <c r="AV652" s="2" t="n">
        <v>45</v>
      </c>
      <c r="AW652" s="2" t="n">
        <v>3</v>
      </c>
      <c r="AX652" s="2"/>
      <c r="AY652" s="2"/>
      <c r="AZ652" s="2"/>
      <c r="BA652" s="2"/>
      <c r="BB652" s="2" t="n">
        <v>245</v>
      </c>
      <c r="BC652" s="2" t="n">
        <v>248</v>
      </c>
      <c r="BD652" s="2"/>
      <c r="BE652" s="2" t="s">
        <v>12078</v>
      </c>
      <c r="BF652" s="2" t="str">
        <f aca="false">HYPERLINK("http://dx.doi.org/10.1016/j.jcv.2009.05.008","http://dx.doi.org/10.1016/j.jcv.2009.05.008")</f>
        <v>http://dx.doi.org/10.1016/j.jcv.2009.05.008</v>
      </c>
      <c r="BG652" s="2"/>
      <c r="BH652" s="2"/>
      <c r="BI652" s="2" t="n">
        <v>4</v>
      </c>
      <c r="BJ652" s="2" t="s">
        <v>163</v>
      </c>
      <c r="BK652" s="2" t="s">
        <v>100</v>
      </c>
      <c r="BL652" s="2" t="s">
        <v>163</v>
      </c>
      <c r="BM652" s="2" t="s">
        <v>12079</v>
      </c>
      <c r="BN652" s="2" t="n">
        <v>19502108</v>
      </c>
      <c r="BO652" s="2" t="s">
        <v>1227</v>
      </c>
      <c r="BP652" s="2"/>
      <c r="BQ652" s="2"/>
      <c r="BR652" s="2" t="s">
        <v>104</v>
      </c>
      <c r="BS652" s="2" t="s">
        <v>12080</v>
      </c>
      <c r="BT652" s="2" t="str">
        <f aca="false">HYPERLINK("https%3A%2F%2Fwww.webofscience.com%2Fwos%2Fwoscc%2Ffull-record%2FWOS:000268401800018","View Full Record in Web of Science")</f>
        <v>View Full Record in Web of Science</v>
      </c>
    </row>
    <row r="653" customFormat="false" ht="12.75" hidden="false" customHeight="false" outlineLevel="0" collapsed="false">
      <c r="A653" s="2" t="s">
        <v>72</v>
      </c>
      <c r="B653" s="2" t="s">
        <v>12081</v>
      </c>
      <c r="C653" s="2"/>
      <c r="D653" s="2"/>
      <c r="E653" s="2"/>
      <c r="F653" s="2" t="s">
        <v>12082</v>
      </c>
      <c r="G653" s="2"/>
      <c r="H653" s="2"/>
      <c r="I653" s="2" t="s">
        <v>12083</v>
      </c>
      <c r="J653" s="2" t="s">
        <v>453</v>
      </c>
      <c r="K653" s="2"/>
      <c r="L653" s="2"/>
      <c r="M653" s="2" t="s">
        <v>77</v>
      </c>
      <c r="N653" s="2" t="s">
        <v>78</v>
      </c>
      <c r="O653" s="2"/>
      <c r="P653" s="2"/>
      <c r="Q653" s="2"/>
      <c r="R653" s="2"/>
      <c r="S653" s="2"/>
      <c r="T653" s="2" t="s">
        <v>12084</v>
      </c>
      <c r="U653" s="2" t="s">
        <v>12085</v>
      </c>
      <c r="V653" s="2" t="s">
        <v>12086</v>
      </c>
      <c r="W653" s="2" t="s">
        <v>12087</v>
      </c>
      <c r="X653" s="2" t="s">
        <v>12088</v>
      </c>
      <c r="Y653" s="2" t="s">
        <v>12089</v>
      </c>
      <c r="Z653" s="2" t="s">
        <v>12090</v>
      </c>
      <c r="AA653" s="2" t="s">
        <v>12091</v>
      </c>
      <c r="AB653" s="2"/>
      <c r="AC653" s="2" t="s">
        <v>12092</v>
      </c>
      <c r="AD653" s="2" t="s">
        <v>12092</v>
      </c>
      <c r="AE653" s="2" t="s">
        <v>12092</v>
      </c>
      <c r="AF653" s="2"/>
      <c r="AG653" s="2" t="n">
        <v>43</v>
      </c>
      <c r="AH653" s="2" t="n">
        <v>2</v>
      </c>
      <c r="AI653" s="2" t="n">
        <v>3</v>
      </c>
      <c r="AJ653" s="2" t="n">
        <v>0</v>
      </c>
      <c r="AK653" s="2" t="n">
        <v>0</v>
      </c>
      <c r="AL653" s="2" t="s">
        <v>592</v>
      </c>
      <c r="AM653" s="2" t="s">
        <v>593</v>
      </c>
      <c r="AN653" s="2" t="s">
        <v>859</v>
      </c>
      <c r="AO653" s="2" t="s">
        <v>468</v>
      </c>
      <c r="AP653" s="2"/>
      <c r="AQ653" s="2"/>
      <c r="AR653" s="2" t="s">
        <v>469</v>
      </c>
      <c r="AS653" s="2" t="s">
        <v>470</v>
      </c>
      <c r="AT653" s="2" t="s">
        <v>308</v>
      </c>
      <c r="AU653" s="2" t="n">
        <v>2023</v>
      </c>
      <c r="AV653" s="2" t="n">
        <v>13</v>
      </c>
      <c r="AW653" s="2" t="n">
        <v>1</v>
      </c>
      <c r="AX653" s="2"/>
      <c r="AY653" s="2"/>
      <c r="AZ653" s="2"/>
      <c r="BA653" s="2"/>
      <c r="BB653" s="2"/>
      <c r="BC653" s="2"/>
      <c r="BD653" s="2" t="n">
        <v>101</v>
      </c>
      <c r="BE653" s="2" t="s">
        <v>12093</v>
      </c>
      <c r="BF653" s="2" t="str">
        <f aca="false">HYPERLINK("http://dx.doi.org/10.1186/s13613-023-01196-9","http://dx.doi.org/10.1186/s13613-023-01196-9")</f>
        <v>http://dx.doi.org/10.1186/s13613-023-01196-9</v>
      </c>
      <c r="BG653" s="2"/>
      <c r="BH653" s="2"/>
      <c r="BI653" s="2" t="n">
        <v>11</v>
      </c>
      <c r="BJ653" s="2" t="s">
        <v>473</v>
      </c>
      <c r="BK653" s="2" t="s">
        <v>100</v>
      </c>
      <c r="BL653" s="2" t="s">
        <v>364</v>
      </c>
      <c r="BM653" s="2" t="s">
        <v>12094</v>
      </c>
      <c r="BN653" s="2" t="n">
        <v>37833435</v>
      </c>
      <c r="BO653" s="2" t="s">
        <v>103</v>
      </c>
      <c r="BP653" s="2"/>
      <c r="BQ653" s="2"/>
      <c r="BR653" s="2" t="s">
        <v>104</v>
      </c>
      <c r="BS653" s="2" t="s">
        <v>12095</v>
      </c>
      <c r="BT653" s="2" t="str">
        <f aca="false">HYPERLINK("https%3A%2F%2Fwww.webofscience.com%2Fwos%2Fwoscc%2Ffull-record%2FWOS:001086725300001","View Full Record in Web of Science")</f>
        <v>View Full Record in Web of Science</v>
      </c>
    </row>
    <row r="654" customFormat="false" ht="12.75" hidden="false" customHeight="false" outlineLevel="0" collapsed="false">
      <c r="A654" s="2" t="s">
        <v>72</v>
      </c>
      <c r="B654" s="2" t="s">
        <v>12096</v>
      </c>
      <c r="C654" s="2"/>
      <c r="D654" s="2"/>
      <c r="E654" s="2"/>
      <c r="F654" s="2" t="s">
        <v>12097</v>
      </c>
      <c r="G654" s="2"/>
      <c r="H654" s="2"/>
      <c r="I654" s="2" t="s">
        <v>12098</v>
      </c>
      <c r="J654" s="2" t="s">
        <v>370</v>
      </c>
      <c r="K654" s="2"/>
      <c r="L654" s="2"/>
      <c r="M654" s="2" t="s">
        <v>77</v>
      </c>
      <c r="N654" s="2" t="s">
        <v>78</v>
      </c>
      <c r="O654" s="2"/>
      <c r="P654" s="2"/>
      <c r="Q654" s="2"/>
      <c r="R654" s="2"/>
      <c r="S654" s="2"/>
      <c r="T654" s="2" t="s">
        <v>12099</v>
      </c>
      <c r="U654" s="2" t="s">
        <v>12100</v>
      </c>
      <c r="V654" s="2" t="s">
        <v>12101</v>
      </c>
      <c r="W654" s="2" t="s">
        <v>12102</v>
      </c>
      <c r="X654" s="2" t="s">
        <v>12103</v>
      </c>
      <c r="Y654" s="2" t="s">
        <v>12104</v>
      </c>
      <c r="Z654" s="2" t="s">
        <v>12105</v>
      </c>
      <c r="AA654" s="2" t="s">
        <v>12106</v>
      </c>
      <c r="AB654" s="2"/>
      <c r="AC654" s="2" t="s">
        <v>12107</v>
      </c>
      <c r="AD654" s="2" t="s">
        <v>12108</v>
      </c>
      <c r="AE654" s="2" t="s">
        <v>12109</v>
      </c>
      <c r="AF654" s="2"/>
      <c r="AG654" s="2" t="n">
        <v>36</v>
      </c>
      <c r="AH654" s="2" t="n">
        <v>36</v>
      </c>
      <c r="AI654" s="2" t="n">
        <v>40</v>
      </c>
      <c r="AJ654" s="2" t="n">
        <v>0</v>
      </c>
      <c r="AK654" s="2" t="n">
        <v>6</v>
      </c>
      <c r="AL654" s="2" t="s">
        <v>549</v>
      </c>
      <c r="AM654" s="2" t="s">
        <v>384</v>
      </c>
      <c r="AN654" s="2" t="s">
        <v>550</v>
      </c>
      <c r="AO654" s="2" t="s">
        <v>386</v>
      </c>
      <c r="AP654" s="2"/>
      <c r="AQ654" s="2"/>
      <c r="AR654" s="2" t="s">
        <v>388</v>
      </c>
      <c r="AS654" s="2" t="s">
        <v>389</v>
      </c>
      <c r="AT654" s="2" t="s">
        <v>692</v>
      </c>
      <c r="AU654" s="2" t="n">
        <v>2012</v>
      </c>
      <c r="AV654" s="2" t="n">
        <v>53</v>
      </c>
      <c r="AW654" s="2" t="n">
        <v>4</v>
      </c>
      <c r="AX654" s="2"/>
      <c r="AY654" s="2"/>
      <c r="AZ654" s="2"/>
      <c r="BA654" s="2"/>
      <c r="BB654" s="2" t="n">
        <v>308</v>
      </c>
      <c r="BC654" s="2" t="n">
        <v>313</v>
      </c>
      <c r="BD654" s="2"/>
      <c r="BE654" s="2" t="s">
        <v>12110</v>
      </c>
      <c r="BF654" s="2" t="str">
        <f aca="false">HYPERLINK("http://dx.doi.org/10.1016/j.jcv.2011.12.020","http://dx.doi.org/10.1016/j.jcv.2011.12.020")</f>
        <v>http://dx.doi.org/10.1016/j.jcv.2011.12.020</v>
      </c>
      <c r="BG654" s="2"/>
      <c r="BH654" s="2"/>
      <c r="BI654" s="2" t="n">
        <v>6</v>
      </c>
      <c r="BJ654" s="2" t="s">
        <v>163</v>
      </c>
      <c r="BK654" s="2" t="s">
        <v>100</v>
      </c>
      <c r="BL654" s="2" t="s">
        <v>163</v>
      </c>
      <c r="BM654" s="2" t="s">
        <v>12111</v>
      </c>
      <c r="BN654" s="2" t="n">
        <v>22296791</v>
      </c>
      <c r="BO654" s="2" t="s">
        <v>165</v>
      </c>
      <c r="BP654" s="2"/>
      <c r="BQ654" s="2"/>
      <c r="BR654" s="2" t="s">
        <v>104</v>
      </c>
      <c r="BS654" s="2" t="s">
        <v>12112</v>
      </c>
      <c r="BT654" s="2" t="str">
        <f aca="false">HYPERLINK("https%3A%2F%2Fwww.webofscience.com%2Fwos%2Fwoscc%2Ffull-record%2FWOS:000301358300007","View Full Record in Web of Science")</f>
        <v>View Full Record in Web of Science</v>
      </c>
    </row>
    <row r="655" customFormat="false" ht="12.75" hidden="false" customHeight="false" outlineLevel="0" collapsed="false">
      <c r="A655" s="2" t="s">
        <v>72</v>
      </c>
      <c r="B655" s="2" t="s">
        <v>12113</v>
      </c>
      <c r="C655" s="2"/>
      <c r="D655" s="2"/>
      <c r="E655" s="2"/>
      <c r="F655" s="2" t="s">
        <v>12114</v>
      </c>
      <c r="G655" s="2"/>
      <c r="H655" s="2"/>
      <c r="I655" s="2" t="s">
        <v>12115</v>
      </c>
      <c r="J655" s="2" t="s">
        <v>10165</v>
      </c>
      <c r="K655" s="2"/>
      <c r="L655" s="2"/>
      <c r="M655" s="2" t="s">
        <v>77</v>
      </c>
      <c r="N655" s="2" t="s">
        <v>78</v>
      </c>
      <c r="O655" s="2"/>
      <c r="P655" s="2"/>
      <c r="Q655" s="2"/>
      <c r="R655" s="2"/>
      <c r="S655" s="2"/>
      <c r="T655" s="2" t="s">
        <v>12116</v>
      </c>
      <c r="U655" s="2" t="s">
        <v>172</v>
      </c>
      <c r="V655" s="2" t="s">
        <v>12117</v>
      </c>
      <c r="W655" s="2" t="s">
        <v>12118</v>
      </c>
      <c r="X655" s="2" t="s">
        <v>12119</v>
      </c>
      <c r="Y655" s="2" t="s">
        <v>10447</v>
      </c>
      <c r="Z655" s="2" t="s">
        <v>10448</v>
      </c>
      <c r="AA655" s="2"/>
      <c r="AB655" s="2"/>
      <c r="AC655" s="2" t="s">
        <v>12120</v>
      </c>
      <c r="AD655" s="2" t="s">
        <v>12120</v>
      </c>
      <c r="AE655" s="2" t="s">
        <v>12121</v>
      </c>
      <c r="AF655" s="2"/>
      <c r="AG655" s="2" t="n">
        <v>14</v>
      </c>
      <c r="AH655" s="2" t="n">
        <v>1</v>
      </c>
      <c r="AI655" s="2" t="n">
        <v>1</v>
      </c>
      <c r="AJ655" s="2" t="n">
        <v>1</v>
      </c>
      <c r="AK655" s="2" t="n">
        <v>2</v>
      </c>
      <c r="AL655" s="2" t="s">
        <v>10177</v>
      </c>
      <c r="AM655" s="2" t="s">
        <v>5071</v>
      </c>
      <c r="AN655" s="2" t="s">
        <v>10178</v>
      </c>
      <c r="AO655" s="2" t="s">
        <v>10179</v>
      </c>
      <c r="AP655" s="2"/>
      <c r="AQ655" s="2"/>
      <c r="AR655" s="2" t="s">
        <v>10180</v>
      </c>
      <c r="AS655" s="2" t="s">
        <v>10181</v>
      </c>
      <c r="AT655" s="2"/>
      <c r="AU655" s="2" t="n">
        <v>2021</v>
      </c>
      <c r="AV655" s="2" t="n">
        <v>67</v>
      </c>
      <c r="AW655" s="2" t="n">
        <v>10</v>
      </c>
      <c r="AX655" s="2"/>
      <c r="AY655" s="2"/>
      <c r="AZ655" s="2"/>
      <c r="BA655" s="2"/>
      <c r="BB655" s="2" t="n">
        <v>2363</v>
      </c>
      <c r="BC655" s="2" t="n">
        <v>2368</v>
      </c>
      <c r="BD655" s="2"/>
      <c r="BE655" s="2" t="s">
        <v>12122</v>
      </c>
      <c r="BF655" s="2" t="str">
        <f aca="false">HYPERLINK("http://dx.doi.org/10.7754/Clin.Lab.2021.210232)","http://dx.doi.org/10.7754/Clin.Lab.2021.210232)")</f>
        <v>http://dx.doi.org/10.7754/Clin.Lab.2021.210232)</v>
      </c>
      <c r="BG655" s="2"/>
      <c r="BH655" s="2"/>
      <c r="BI655" s="2" t="n">
        <v>6</v>
      </c>
      <c r="BJ655" s="2" t="s">
        <v>3122</v>
      </c>
      <c r="BK655" s="2" t="s">
        <v>100</v>
      </c>
      <c r="BL655" s="2" t="s">
        <v>3122</v>
      </c>
      <c r="BM655" s="2" t="s">
        <v>12123</v>
      </c>
      <c r="BN655" s="2" t="n">
        <v>34655208</v>
      </c>
      <c r="BO655" s="2"/>
      <c r="BP655" s="2"/>
      <c r="BQ655" s="2"/>
      <c r="BR655" s="2" t="s">
        <v>104</v>
      </c>
      <c r="BS655" s="2" t="s">
        <v>12124</v>
      </c>
      <c r="BT655" s="2" t="str">
        <f aca="false">HYPERLINK("https%3A%2F%2Fwww.webofscience.com%2Fwos%2Fwoscc%2Ffull-record%2FWOS:000707662400026","View Full Record in Web of Science")</f>
        <v>View Full Record in Web of Science</v>
      </c>
    </row>
    <row r="656" customFormat="false" ht="12.75" hidden="false" customHeight="false" outlineLevel="0" collapsed="false">
      <c r="A656" s="2" t="s">
        <v>72</v>
      </c>
      <c r="B656" s="2" t="s">
        <v>12125</v>
      </c>
      <c r="C656" s="2"/>
      <c r="D656" s="2"/>
      <c r="E656" s="2"/>
      <c r="F656" s="2" t="s">
        <v>12126</v>
      </c>
      <c r="G656" s="2"/>
      <c r="H656" s="2"/>
      <c r="I656" s="2" t="s">
        <v>12127</v>
      </c>
      <c r="J656" s="2" t="s">
        <v>9744</v>
      </c>
      <c r="K656" s="2"/>
      <c r="L656" s="2"/>
      <c r="M656" s="2" t="s">
        <v>77</v>
      </c>
      <c r="N656" s="2" t="s">
        <v>78</v>
      </c>
      <c r="O656" s="2"/>
      <c r="P656" s="2"/>
      <c r="Q656" s="2"/>
      <c r="R656" s="2"/>
      <c r="S656" s="2"/>
      <c r="T656" s="2" t="s">
        <v>12128</v>
      </c>
      <c r="U656" s="2" t="s">
        <v>12129</v>
      </c>
      <c r="V656" s="2" t="s">
        <v>12130</v>
      </c>
      <c r="W656" s="2" t="s">
        <v>12131</v>
      </c>
      <c r="X656" s="2" t="s">
        <v>12132</v>
      </c>
      <c r="Y656" s="2" t="s">
        <v>12133</v>
      </c>
      <c r="Z656" s="2" t="s">
        <v>12134</v>
      </c>
      <c r="AA656" s="2" t="s">
        <v>12135</v>
      </c>
      <c r="AB656" s="2"/>
      <c r="AC656" s="2" t="s">
        <v>12136</v>
      </c>
      <c r="AD656" s="2" t="s">
        <v>12137</v>
      </c>
      <c r="AE656" s="2" t="s">
        <v>12138</v>
      </c>
      <c r="AF656" s="2"/>
      <c r="AG656" s="2" t="n">
        <v>24</v>
      </c>
      <c r="AH656" s="2" t="n">
        <v>32</v>
      </c>
      <c r="AI656" s="2" t="n">
        <v>37</v>
      </c>
      <c r="AJ656" s="2" t="n">
        <v>2</v>
      </c>
      <c r="AK656" s="2" t="n">
        <v>16</v>
      </c>
      <c r="AL656" s="2" t="s">
        <v>302</v>
      </c>
      <c r="AM656" s="2" t="s">
        <v>303</v>
      </c>
      <c r="AN656" s="2" t="s">
        <v>304</v>
      </c>
      <c r="AO656" s="2" t="s">
        <v>9757</v>
      </c>
      <c r="AP656" s="2"/>
      <c r="AQ656" s="2"/>
      <c r="AR656" s="2" t="s">
        <v>9744</v>
      </c>
      <c r="AS656" s="2" t="s">
        <v>9758</v>
      </c>
      <c r="AT656" s="2" t="s">
        <v>12139</v>
      </c>
      <c r="AU656" s="2" t="n">
        <v>2018</v>
      </c>
      <c r="AV656" s="2" t="n">
        <v>19</v>
      </c>
      <c r="AW656" s="2"/>
      <c r="AX656" s="2"/>
      <c r="AY656" s="2"/>
      <c r="AZ656" s="2"/>
      <c r="BA656" s="2"/>
      <c r="BB656" s="2"/>
      <c r="BC656" s="2"/>
      <c r="BD656" s="2" t="n">
        <v>773</v>
      </c>
      <c r="BE656" s="2" t="s">
        <v>12140</v>
      </c>
      <c r="BF656" s="2" t="str">
        <f aca="false">HYPERLINK("http://dx.doi.org/10.1186/s12864-018-5152-5","http://dx.doi.org/10.1186/s12864-018-5152-5")</f>
        <v>http://dx.doi.org/10.1186/s12864-018-5152-5</v>
      </c>
      <c r="BG656" s="2"/>
      <c r="BH656" s="2"/>
      <c r="BI656" s="2" t="n">
        <v>8</v>
      </c>
      <c r="BJ656" s="2" t="s">
        <v>9760</v>
      </c>
      <c r="BK656" s="2" t="s">
        <v>100</v>
      </c>
      <c r="BL656" s="2" t="s">
        <v>9760</v>
      </c>
      <c r="BM656" s="2" t="s">
        <v>12141</v>
      </c>
      <c r="BN656" s="2" t="n">
        <v>30359242</v>
      </c>
      <c r="BO656" s="2" t="s">
        <v>103</v>
      </c>
      <c r="BP656" s="2"/>
      <c r="BQ656" s="2"/>
      <c r="BR656" s="2" t="s">
        <v>104</v>
      </c>
      <c r="BS656" s="2" t="s">
        <v>12142</v>
      </c>
      <c r="BT656" s="2" t="str">
        <f aca="false">HYPERLINK("https%3A%2F%2Fwww.webofscience.com%2Fwos%2Fwoscc%2Ffull-record%2FWOS:000450976300001","View Full Record in Web of Science")</f>
        <v>View Full Record in Web of Science</v>
      </c>
    </row>
    <row r="657" customFormat="false" ht="12.75" hidden="false" customHeight="false" outlineLevel="0" collapsed="false">
      <c r="A657" s="2" t="s">
        <v>72</v>
      </c>
      <c r="B657" s="2" t="s">
        <v>12143</v>
      </c>
      <c r="C657" s="2"/>
      <c r="D657" s="2"/>
      <c r="E657" s="2"/>
      <c r="F657" s="2" t="s">
        <v>12144</v>
      </c>
      <c r="G657" s="2"/>
      <c r="H657" s="2"/>
      <c r="I657" s="2" t="s">
        <v>12145</v>
      </c>
      <c r="J657" s="2" t="s">
        <v>12146</v>
      </c>
      <c r="K657" s="2"/>
      <c r="L657" s="2"/>
      <c r="M657" s="2" t="s">
        <v>77</v>
      </c>
      <c r="N657" s="2" t="s">
        <v>78</v>
      </c>
      <c r="O657" s="2"/>
      <c r="P657" s="2"/>
      <c r="Q657" s="2"/>
      <c r="R657" s="2"/>
      <c r="S657" s="2"/>
      <c r="T657" s="2" t="s">
        <v>12147</v>
      </c>
      <c r="U657" s="2" t="s">
        <v>12148</v>
      </c>
      <c r="V657" s="2" t="s">
        <v>12149</v>
      </c>
      <c r="W657" s="2" t="s">
        <v>12150</v>
      </c>
      <c r="X657" s="2" t="s">
        <v>12151</v>
      </c>
      <c r="Y657" s="2" t="s">
        <v>12152</v>
      </c>
      <c r="Z657" s="2" t="s">
        <v>12153</v>
      </c>
      <c r="AA657" s="2"/>
      <c r="AB657" s="2"/>
      <c r="AC657" s="2" t="s">
        <v>12154</v>
      </c>
      <c r="AD657" s="2" t="s">
        <v>12155</v>
      </c>
      <c r="AE657" s="2" t="s">
        <v>12156</v>
      </c>
      <c r="AF657" s="2"/>
      <c r="AG657" s="2" t="n">
        <v>42</v>
      </c>
      <c r="AH657" s="2" t="n">
        <v>7</v>
      </c>
      <c r="AI657" s="2" t="n">
        <v>9</v>
      </c>
      <c r="AJ657" s="2" t="n">
        <v>1</v>
      </c>
      <c r="AK657" s="2" t="n">
        <v>5</v>
      </c>
      <c r="AL657" s="2" t="s">
        <v>5588</v>
      </c>
      <c r="AM657" s="2" t="s">
        <v>5589</v>
      </c>
      <c r="AN657" s="2" t="s">
        <v>5590</v>
      </c>
      <c r="AO657" s="2" t="s">
        <v>12157</v>
      </c>
      <c r="AP657" s="2" t="s">
        <v>12158</v>
      </c>
      <c r="AQ657" s="2"/>
      <c r="AR657" s="2" t="s">
        <v>12159</v>
      </c>
      <c r="AS657" s="2" t="s">
        <v>12160</v>
      </c>
      <c r="AT657" s="2" t="s">
        <v>129</v>
      </c>
      <c r="AU657" s="2" t="n">
        <v>2018</v>
      </c>
      <c r="AV657" s="2" t="n">
        <v>331</v>
      </c>
      <c r="AW657" s="2"/>
      <c r="AX657" s="2"/>
      <c r="AY657" s="2"/>
      <c r="AZ657" s="2"/>
      <c r="BA657" s="2"/>
      <c r="BB657" s="2" t="n">
        <v>161</v>
      </c>
      <c r="BC657" s="2" t="n">
        <v>167</v>
      </c>
      <c r="BD657" s="2"/>
      <c r="BE657" s="2" t="s">
        <v>12161</v>
      </c>
      <c r="BF657" s="2" t="str">
        <f aca="false">HYPERLINK("http://dx.doi.org/10.1016/j.cellimm.2018.06.007","http://dx.doi.org/10.1016/j.cellimm.2018.06.007")</f>
        <v>http://dx.doi.org/10.1016/j.cellimm.2018.06.007</v>
      </c>
      <c r="BG657" s="2"/>
      <c r="BH657" s="2"/>
      <c r="BI657" s="2" t="n">
        <v>7</v>
      </c>
      <c r="BJ657" s="2" t="s">
        <v>12162</v>
      </c>
      <c r="BK657" s="2" t="s">
        <v>100</v>
      </c>
      <c r="BL657" s="2" t="s">
        <v>12162</v>
      </c>
      <c r="BM657" s="2" t="s">
        <v>12163</v>
      </c>
      <c r="BN657" s="2" t="n">
        <v>30077332</v>
      </c>
      <c r="BO657" s="2"/>
      <c r="BP657" s="2"/>
      <c r="BQ657" s="2"/>
      <c r="BR657" s="2" t="s">
        <v>104</v>
      </c>
      <c r="BS657" s="2" t="s">
        <v>12164</v>
      </c>
      <c r="BT657" s="2" t="str">
        <f aca="false">HYPERLINK("https%3A%2F%2Fwww.webofscience.com%2Fwos%2Fwoscc%2Ffull-record%2FWOS:000441289200019","View Full Record in Web of Science")</f>
        <v>View Full Record in Web of Science</v>
      </c>
    </row>
    <row r="658" customFormat="false" ht="12.75" hidden="false" customHeight="false" outlineLevel="0" collapsed="false">
      <c r="A658" s="2" t="s">
        <v>72</v>
      </c>
      <c r="B658" s="2" t="s">
        <v>12165</v>
      </c>
      <c r="C658" s="2"/>
      <c r="D658" s="2"/>
      <c r="E658" s="2"/>
      <c r="F658" s="2" t="s">
        <v>12166</v>
      </c>
      <c r="G658" s="2"/>
      <c r="H658" s="2"/>
      <c r="I658" s="2" t="s">
        <v>12167</v>
      </c>
      <c r="J658" s="2" t="s">
        <v>742</v>
      </c>
      <c r="K658" s="2"/>
      <c r="L658" s="2"/>
      <c r="M658" s="2" t="s">
        <v>77</v>
      </c>
      <c r="N658" s="2" t="s">
        <v>78</v>
      </c>
      <c r="O658" s="2"/>
      <c r="P658" s="2"/>
      <c r="Q658" s="2"/>
      <c r="R658" s="2"/>
      <c r="S658" s="2"/>
      <c r="T658" s="2" t="s">
        <v>12168</v>
      </c>
      <c r="U658" s="2" t="s">
        <v>12169</v>
      </c>
      <c r="V658" s="2" t="s">
        <v>12170</v>
      </c>
      <c r="W658" s="2" t="s">
        <v>12171</v>
      </c>
      <c r="X658" s="2" t="s">
        <v>12172</v>
      </c>
      <c r="Y658" s="2" t="s">
        <v>12173</v>
      </c>
      <c r="Z658" s="2" t="s">
        <v>12174</v>
      </c>
      <c r="AA658" s="2" t="s">
        <v>12175</v>
      </c>
      <c r="AB658" s="2" t="s">
        <v>12176</v>
      </c>
      <c r="AC658" s="2" t="s">
        <v>12177</v>
      </c>
      <c r="AD658" s="2" t="s">
        <v>12178</v>
      </c>
      <c r="AE658" s="2" t="s">
        <v>12179</v>
      </c>
      <c r="AF658" s="2"/>
      <c r="AG658" s="2" t="n">
        <v>56</v>
      </c>
      <c r="AH658" s="2" t="n">
        <v>54</v>
      </c>
      <c r="AI658" s="2" t="n">
        <v>60</v>
      </c>
      <c r="AJ658" s="2" t="n">
        <v>0</v>
      </c>
      <c r="AK658" s="2" t="n">
        <v>10</v>
      </c>
      <c r="AL658" s="2" t="s">
        <v>755</v>
      </c>
      <c r="AM658" s="2" t="s">
        <v>273</v>
      </c>
      <c r="AN658" s="2" t="s">
        <v>756</v>
      </c>
      <c r="AO658" s="2" t="s">
        <v>757</v>
      </c>
      <c r="AP658" s="2" t="s">
        <v>758</v>
      </c>
      <c r="AQ658" s="2"/>
      <c r="AR658" s="2" t="s">
        <v>759</v>
      </c>
      <c r="AS658" s="2" t="s">
        <v>760</v>
      </c>
      <c r="AT658" s="2" t="s">
        <v>97</v>
      </c>
      <c r="AU658" s="2" t="n">
        <v>2019</v>
      </c>
      <c r="AV658" s="2" t="n">
        <v>93</v>
      </c>
      <c r="AW658" s="2" t="n">
        <v>6</v>
      </c>
      <c r="AX658" s="2"/>
      <c r="AY658" s="2"/>
      <c r="AZ658" s="2"/>
      <c r="BA658" s="2"/>
      <c r="BB658" s="2"/>
      <c r="BC658" s="2"/>
      <c r="BD658" s="2" t="s">
        <v>12180</v>
      </c>
      <c r="BE658" s="2" t="s">
        <v>12181</v>
      </c>
      <c r="BF658" s="2" t="str">
        <f aca="false">HYPERLINK("http://dx.doi.org/10.1128/JVI.02003-18","http://dx.doi.org/10.1128/JVI.02003-18")</f>
        <v>http://dx.doi.org/10.1128/JVI.02003-18</v>
      </c>
      <c r="BG658" s="2"/>
      <c r="BH658" s="2"/>
      <c r="BI658" s="2" t="n">
        <v>13</v>
      </c>
      <c r="BJ658" s="2" t="s">
        <v>163</v>
      </c>
      <c r="BK658" s="2" t="s">
        <v>100</v>
      </c>
      <c r="BL658" s="2" t="s">
        <v>163</v>
      </c>
      <c r="BM658" s="2" t="s">
        <v>12182</v>
      </c>
      <c r="BN658" s="2" t="n">
        <v>30567988</v>
      </c>
      <c r="BO658" s="2" t="s">
        <v>676</v>
      </c>
      <c r="BP658" s="2"/>
      <c r="BQ658" s="2"/>
      <c r="BR658" s="2" t="s">
        <v>104</v>
      </c>
      <c r="BS658" s="2" t="s">
        <v>12183</v>
      </c>
      <c r="BT658" s="2" t="str">
        <f aca="false">HYPERLINK("https%3A%2F%2Fwww.webofscience.com%2Fwos%2Fwoscc%2Ffull-record%2FWOS:000460292400032","View Full Record in Web of Science")</f>
        <v>View Full Record in Web of Science</v>
      </c>
    </row>
    <row r="659" customFormat="false" ht="12.75" hidden="false" customHeight="false" outlineLevel="0" collapsed="false">
      <c r="A659" s="2" t="s">
        <v>72</v>
      </c>
      <c r="B659" s="2" t="s">
        <v>12184</v>
      </c>
      <c r="C659" s="2"/>
      <c r="D659" s="2"/>
      <c r="E659" s="2"/>
      <c r="F659" s="2" t="s">
        <v>12185</v>
      </c>
      <c r="G659" s="2"/>
      <c r="H659" s="2"/>
      <c r="I659" s="2" t="s">
        <v>12186</v>
      </c>
      <c r="J659" s="2" t="s">
        <v>8924</v>
      </c>
      <c r="K659" s="2"/>
      <c r="L659" s="2"/>
      <c r="M659" s="2" t="s">
        <v>77</v>
      </c>
      <c r="N659" s="2" t="s">
        <v>78</v>
      </c>
      <c r="O659" s="2"/>
      <c r="P659" s="2"/>
      <c r="Q659" s="2"/>
      <c r="R659" s="2"/>
      <c r="S659" s="2"/>
      <c r="T659" s="2" t="s">
        <v>12187</v>
      </c>
      <c r="U659" s="2" t="s">
        <v>12188</v>
      </c>
      <c r="V659" s="2" t="s">
        <v>12189</v>
      </c>
      <c r="W659" s="2" t="s">
        <v>12190</v>
      </c>
      <c r="X659" s="2" t="s">
        <v>12191</v>
      </c>
      <c r="Y659" s="2" t="s">
        <v>12192</v>
      </c>
      <c r="Z659" s="2" t="s">
        <v>12193</v>
      </c>
      <c r="AA659" s="2" t="s">
        <v>12194</v>
      </c>
      <c r="AB659" s="2" t="s">
        <v>12195</v>
      </c>
      <c r="AC659" s="2"/>
      <c r="AD659" s="2"/>
      <c r="AE659" s="2"/>
      <c r="AF659" s="2"/>
      <c r="AG659" s="2" t="n">
        <v>30</v>
      </c>
      <c r="AH659" s="2" t="n">
        <v>17</v>
      </c>
      <c r="AI659" s="2" t="n">
        <v>19</v>
      </c>
      <c r="AJ659" s="2" t="n">
        <v>1</v>
      </c>
      <c r="AK659" s="2" t="n">
        <v>4</v>
      </c>
      <c r="AL659" s="2" t="s">
        <v>8933</v>
      </c>
      <c r="AM659" s="2" t="s">
        <v>1345</v>
      </c>
      <c r="AN659" s="2" t="s">
        <v>8934</v>
      </c>
      <c r="AO659" s="2" t="s">
        <v>8935</v>
      </c>
      <c r="AP659" s="2" t="s">
        <v>8936</v>
      </c>
      <c r="AQ659" s="2"/>
      <c r="AR659" s="2" t="s">
        <v>8937</v>
      </c>
      <c r="AS659" s="2" t="s">
        <v>8938</v>
      </c>
      <c r="AT659" s="2" t="s">
        <v>336</v>
      </c>
      <c r="AU659" s="2" t="n">
        <v>2012</v>
      </c>
      <c r="AV659" s="2" t="n">
        <v>79</v>
      </c>
      <c r="AW659" s="2" t="n">
        <v>10</v>
      </c>
      <c r="AX659" s="2"/>
      <c r="AY659" s="2"/>
      <c r="AZ659" s="2"/>
      <c r="BA659" s="2"/>
      <c r="BB659" s="2" t="n">
        <v>1323</v>
      </c>
      <c r="BC659" s="2" t="n">
        <v>1327</v>
      </c>
      <c r="BD659" s="2"/>
      <c r="BE659" s="2" t="s">
        <v>12196</v>
      </c>
      <c r="BF659" s="2" t="str">
        <f aca="false">HYPERLINK("http://dx.doi.org/10.1007/s12098-011-0677-5","http://dx.doi.org/10.1007/s12098-011-0677-5")</f>
        <v>http://dx.doi.org/10.1007/s12098-011-0677-5</v>
      </c>
      <c r="BG659" s="2"/>
      <c r="BH659" s="2"/>
      <c r="BI659" s="2" t="n">
        <v>5</v>
      </c>
      <c r="BJ659" s="2" t="s">
        <v>601</v>
      </c>
      <c r="BK659" s="2" t="s">
        <v>100</v>
      </c>
      <c r="BL659" s="2" t="s">
        <v>601</v>
      </c>
      <c r="BM659" s="2" t="s">
        <v>12197</v>
      </c>
      <c r="BN659" s="2" t="n">
        <v>22294269</v>
      </c>
      <c r="BO659" s="2" t="s">
        <v>538</v>
      </c>
      <c r="BP659" s="2"/>
      <c r="BQ659" s="2"/>
      <c r="BR659" s="2" t="s">
        <v>104</v>
      </c>
      <c r="BS659" s="2" t="s">
        <v>12198</v>
      </c>
      <c r="BT659" s="2" t="str">
        <f aca="false">HYPERLINK("https%3A%2F%2Fwww.webofscience.com%2Fwos%2Fwoscc%2Ffull-record%2FWOS:000309353600003","View Full Record in Web of Science")</f>
        <v>View Full Record in Web of Science</v>
      </c>
    </row>
    <row r="660" customFormat="false" ht="12.75" hidden="false" customHeight="false" outlineLevel="0" collapsed="false">
      <c r="A660" s="2" t="s">
        <v>72</v>
      </c>
      <c r="B660" s="2" t="s">
        <v>12199</v>
      </c>
      <c r="C660" s="2"/>
      <c r="D660" s="2"/>
      <c r="E660" s="2"/>
      <c r="F660" s="2" t="s">
        <v>12200</v>
      </c>
      <c r="G660" s="2"/>
      <c r="H660" s="2"/>
      <c r="I660" s="2" t="s">
        <v>12201</v>
      </c>
      <c r="J660" s="2" t="s">
        <v>493</v>
      </c>
      <c r="K660" s="2"/>
      <c r="L660" s="2"/>
      <c r="M660" s="2" t="s">
        <v>77</v>
      </c>
      <c r="N660" s="2" t="s">
        <v>78</v>
      </c>
      <c r="O660" s="2"/>
      <c r="P660" s="2"/>
      <c r="Q660" s="2"/>
      <c r="R660" s="2"/>
      <c r="S660" s="2"/>
      <c r="T660" s="2" t="s">
        <v>12202</v>
      </c>
      <c r="U660" s="2" t="s">
        <v>12203</v>
      </c>
      <c r="V660" s="2" t="s">
        <v>12204</v>
      </c>
      <c r="W660" s="2" t="s">
        <v>12205</v>
      </c>
      <c r="X660" s="2" t="s">
        <v>12206</v>
      </c>
      <c r="Y660" s="2" t="s">
        <v>12207</v>
      </c>
      <c r="Z660" s="2" t="s">
        <v>12208</v>
      </c>
      <c r="AA660" s="2" t="s">
        <v>12209</v>
      </c>
      <c r="AB660" s="2" t="s">
        <v>12210</v>
      </c>
      <c r="AC660" s="2"/>
      <c r="AD660" s="2"/>
      <c r="AE660" s="2"/>
      <c r="AF660" s="2"/>
      <c r="AG660" s="2" t="n">
        <v>38</v>
      </c>
      <c r="AH660" s="2" t="n">
        <v>0</v>
      </c>
      <c r="AI660" s="2" t="n">
        <v>0</v>
      </c>
      <c r="AJ660" s="2" t="n">
        <v>0</v>
      </c>
      <c r="AK660" s="2" t="n">
        <v>0</v>
      </c>
      <c r="AL660" s="2" t="s">
        <v>91</v>
      </c>
      <c r="AM660" s="2" t="s">
        <v>92</v>
      </c>
      <c r="AN660" s="2" t="s">
        <v>93</v>
      </c>
      <c r="AO660" s="2"/>
      <c r="AP660" s="2" t="s">
        <v>506</v>
      </c>
      <c r="AQ660" s="2"/>
      <c r="AR660" s="2" t="s">
        <v>493</v>
      </c>
      <c r="AS660" s="2" t="s">
        <v>507</v>
      </c>
      <c r="AT660" s="2" t="s">
        <v>336</v>
      </c>
      <c r="AU660" s="2" t="n">
        <v>2023</v>
      </c>
      <c r="AV660" s="2" t="n">
        <v>15</v>
      </c>
      <c r="AW660" s="2" t="n">
        <v>10</v>
      </c>
      <c r="AX660" s="2"/>
      <c r="AY660" s="2"/>
      <c r="AZ660" s="2"/>
      <c r="BA660" s="2"/>
      <c r="BB660" s="2"/>
      <c r="BC660" s="2"/>
      <c r="BD660" s="2" t="n">
        <v>1975</v>
      </c>
      <c r="BE660" s="2" t="s">
        <v>12211</v>
      </c>
      <c r="BF660" s="2" t="str">
        <f aca="false">HYPERLINK("http://dx.doi.org/10.3390/v15101975","http://dx.doi.org/10.3390/v15101975")</f>
        <v>http://dx.doi.org/10.3390/v15101975</v>
      </c>
      <c r="BG660" s="2"/>
      <c r="BH660" s="2"/>
      <c r="BI660" s="2" t="n">
        <v>14</v>
      </c>
      <c r="BJ660" s="2" t="s">
        <v>163</v>
      </c>
      <c r="BK660" s="2" t="s">
        <v>100</v>
      </c>
      <c r="BL660" s="2" t="s">
        <v>163</v>
      </c>
      <c r="BM660" s="2" t="s">
        <v>12212</v>
      </c>
      <c r="BN660" s="2" t="n">
        <v>37896754</v>
      </c>
      <c r="BO660" s="2" t="s">
        <v>103</v>
      </c>
      <c r="BP660" s="2"/>
      <c r="BQ660" s="2"/>
      <c r="BR660" s="2" t="s">
        <v>104</v>
      </c>
      <c r="BS660" s="2" t="s">
        <v>12213</v>
      </c>
      <c r="BT660" s="2" t="str">
        <f aca="false">HYPERLINK("https%3A%2F%2Fwww.webofscience.com%2Fwos%2Fwoscc%2Ffull-record%2FWOS:001099330800001","View Full Record in Web of Science")</f>
        <v>View Full Record in Web of Science</v>
      </c>
    </row>
    <row r="661" customFormat="false" ht="12.75" hidden="false" customHeight="false" outlineLevel="0" collapsed="false">
      <c r="A661" s="2" t="s">
        <v>72</v>
      </c>
      <c r="B661" s="2" t="s">
        <v>12214</v>
      </c>
      <c r="C661" s="2"/>
      <c r="D661" s="2"/>
      <c r="E661" s="2"/>
      <c r="F661" s="2" t="s">
        <v>12215</v>
      </c>
      <c r="G661" s="2"/>
      <c r="H661" s="2"/>
      <c r="I661" s="2" t="s">
        <v>12216</v>
      </c>
      <c r="J661" s="2" t="s">
        <v>1413</v>
      </c>
      <c r="K661" s="2"/>
      <c r="L661" s="2"/>
      <c r="M661" s="2" t="s">
        <v>77</v>
      </c>
      <c r="N661" s="2" t="s">
        <v>78</v>
      </c>
      <c r="O661" s="2"/>
      <c r="P661" s="2"/>
      <c r="Q661" s="2"/>
      <c r="R661" s="2"/>
      <c r="S661" s="2"/>
      <c r="T661" s="2" t="s">
        <v>12217</v>
      </c>
      <c r="U661" s="2" t="s">
        <v>12218</v>
      </c>
      <c r="V661" s="2" t="s">
        <v>12219</v>
      </c>
      <c r="W661" s="2" t="s">
        <v>12220</v>
      </c>
      <c r="X661" s="2" t="s">
        <v>12221</v>
      </c>
      <c r="Y661" s="2" t="s">
        <v>12222</v>
      </c>
      <c r="Z661" s="2" t="s">
        <v>8724</v>
      </c>
      <c r="AA661" s="2" t="s">
        <v>12223</v>
      </c>
      <c r="AB661" s="2" t="s">
        <v>12224</v>
      </c>
      <c r="AC661" s="2" t="s">
        <v>12225</v>
      </c>
      <c r="AD661" s="2" t="s">
        <v>12226</v>
      </c>
      <c r="AE661" s="2" t="s">
        <v>12227</v>
      </c>
      <c r="AF661" s="2"/>
      <c r="AG661" s="2" t="n">
        <v>93</v>
      </c>
      <c r="AH661" s="2" t="n">
        <v>23</v>
      </c>
      <c r="AI661" s="2" t="n">
        <v>31</v>
      </c>
      <c r="AJ661" s="2" t="n">
        <v>1</v>
      </c>
      <c r="AK661" s="2" t="n">
        <v>10</v>
      </c>
      <c r="AL661" s="2" t="s">
        <v>383</v>
      </c>
      <c r="AM661" s="2" t="s">
        <v>384</v>
      </c>
      <c r="AN661" s="2" t="s">
        <v>385</v>
      </c>
      <c r="AO661" s="2" t="s">
        <v>1421</v>
      </c>
      <c r="AP661" s="2" t="s">
        <v>1422</v>
      </c>
      <c r="AQ661" s="2"/>
      <c r="AR661" s="2" t="s">
        <v>1423</v>
      </c>
      <c r="AS661" s="2" t="s">
        <v>1424</v>
      </c>
      <c r="AT661" s="2" t="s">
        <v>6281</v>
      </c>
      <c r="AU661" s="2" t="n">
        <v>2015</v>
      </c>
      <c r="AV661" s="2" t="n">
        <v>209</v>
      </c>
      <c r="AW661" s="2"/>
      <c r="AX661" s="2"/>
      <c r="AY661" s="2"/>
      <c r="AZ661" s="2" t="s">
        <v>1627</v>
      </c>
      <c r="BA661" s="2"/>
      <c r="BB661" s="2" t="n">
        <v>128</v>
      </c>
      <c r="BC661" s="2" t="n">
        <v>135</v>
      </c>
      <c r="BD661" s="2"/>
      <c r="BE661" s="2" t="s">
        <v>12228</v>
      </c>
      <c r="BF661" s="2" t="str">
        <f aca="false">HYPERLINK("http://dx.doi.org/10.1016/j.virusres.2015.02.024","http://dx.doi.org/10.1016/j.virusres.2015.02.024")</f>
        <v>http://dx.doi.org/10.1016/j.virusres.2015.02.024</v>
      </c>
      <c r="BG661" s="2"/>
      <c r="BH661" s="2"/>
      <c r="BI661" s="2" t="n">
        <v>8</v>
      </c>
      <c r="BJ661" s="2" t="s">
        <v>163</v>
      </c>
      <c r="BK661" s="2" t="s">
        <v>100</v>
      </c>
      <c r="BL661" s="2" t="s">
        <v>163</v>
      </c>
      <c r="BM661" s="2" t="s">
        <v>12229</v>
      </c>
      <c r="BN661" s="2" t="n">
        <v>25738581</v>
      </c>
      <c r="BO661" s="2"/>
      <c r="BP661" s="2"/>
      <c r="BQ661" s="2"/>
      <c r="BR661" s="2" t="s">
        <v>104</v>
      </c>
      <c r="BS661" s="2" t="s">
        <v>12230</v>
      </c>
      <c r="BT661" s="2" t="str">
        <f aca="false">HYPERLINK("https%3A%2F%2Fwww.webofscience.com%2Fwos%2Fwoscc%2Ffull-record%2FWOS:000364886600013","View Full Record in Web of Science")</f>
        <v>View Full Record in Web of Science</v>
      </c>
    </row>
    <row r="662" customFormat="false" ht="12.75" hidden="false" customHeight="false" outlineLevel="0" collapsed="false">
      <c r="A662" s="2" t="s">
        <v>72</v>
      </c>
      <c r="B662" s="2" t="s">
        <v>12231</v>
      </c>
      <c r="C662" s="2"/>
      <c r="D662" s="2"/>
      <c r="E662" s="2"/>
      <c r="F662" s="2" t="s">
        <v>12232</v>
      </c>
      <c r="G662" s="2"/>
      <c r="H662" s="2"/>
      <c r="I662" s="2" t="s">
        <v>12233</v>
      </c>
      <c r="J662" s="2" t="s">
        <v>3182</v>
      </c>
      <c r="K662" s="2"/>
      <c r="L662" s="2"/>
      <c r="M662" s="2" t="s">
        <v>77</v>
      </c>
      <c r="N662" s="2" t="s">
        <v>78</v>
      </c>
      <c r="O662" s="2"/>
      <c r="P662" s="2"/>
      <c r="Q662" s="2"/>
      <c r="R662" s="2"/>
      <c r="S662" s="2"/>
      <c r="T662" s="2" t="s">
        <v>12234</v>
      </c>
      <c r="U662" s="2" t="s">
        <v>12235</v>
      </c>
      <c r="V662" s="2" t="s">
        <v>12236</v>
      </c>
      <c r="W662" s="2" t="s">
        <v>12237</v>
      </c>
      <c r="X662" s="2" t="s">
        <v>3187</v>
      </c>
      <c r="Y662" s="2" t="s">
        <v>12238</v>
      </c>
      <c r="Z662" s="2" t="s">
        <v>12239</v>
      </c>
      <c r="AA662" s="2" t="s">
        <v>12240</v>
      </c>
      <c r="AB662" s="2" t="s">
        <v>12241</v>
      </c>
      <c r="AC662" s="2" t="s">
        <v>12242</v>
      </c>
      <c r="AD662" s="2" t="s">
        <v>12243</v>
      </c>
      <c r="AE662" s="2" t="s">
        <v>12244</v>
      </c>
      <c r="AF662" s="2"/>
      <c r="AG662" s="2" t="n">
        <v>43</v>
      </c>
      <c r="AH662" s="2" t="n">
        <v>13</v>
      </c>
      <c r="AI662" s="2" t="n">
        <v>15</v>
      </c>
      <c r="AJ662" s="2" t="n">
        <v>0</v>
      </c>
      <c r="AK662" s="2" t="n">
        <v>5</v>
      </c>
      <c r="AL662" s="2" t="s">
        <v>3192</v>
      </c>
      <c r="AM662" s="2" t="s">
        <v>2876</v>
      </c>
      <c r="AN662" s="2" t="s">
        <v>3193</v>
      </c>
      <c r="AO662" s="2" t="s">
        <v>3194</v>
      </c>
      <c r="AP662" s="2" t="s">
        <v>3195</v>
      </c>
      <c r="AQ662" s="2"/>
      <c r="AR662" s="2" t="s">
        <v>3196</v>
      </c>
      <c r="AS662" s="2" t="s">
        <v>3197</v>
      </c>
      <c r="AT662" s="2" t="s">
        <v>390</v>
      </c>
      <c r="AU662" s="2" t="n">
        <v>2011</v>
      </c>
      <c r="AV662" s="2" t="n">
        <v>106</v>
      </c>
      <c r="AW662" s="2" t="n">
        <v>3</v>
      </c>
      <c r="AX662" s="2"/>
      <c r="AY662" s="2"/>
      <c r="AZ662" s="2"/>
      <c r="BA662" s="2"/>
      <c r="BB662" s="2" t="n">
        <v>316</v>
      </c>
      <c r="BC662" s="2" t="n">
        <v>321</v>
      </c>
      <c r="BD662" s="2"/>
      <c r="BE662" s="2" t="s">
        <v>12245</v>
      </c>
      <c r="BF662" s="2" t="str">
        <f aca="false">HYPERLINK("http://dx.doi.org/10.1590/S0074-02762011000300010","http://dx.doi.org/10.1590/S0074-02762011000300010")</f>
        <v>http://dx.doi.org/10.1590/S0074-02762011000300010</v>
      </c>
      <c r="BG662" s="2"/>
      <c r="BH662" s="2"/>
      <c r="BI662" s="2" t="n">
        <v>6</v>
      </c>
      <c r="BJ662" s="2" t="s">
        <v>3199</v>
      </c>
      <c r="BK662" s="2" t="s">
        <v>100</v>
      </c>
      <c r="BL662" s="2" t="s">
        <v>3199</v>
      </c>
      <c r="BM662" s="2" t="s">
        <v>12246</v>
      </c>
      <c r="BN662" s="2" t="n">
        <v>21655819</v>
      </c>
      <c r="BO662" s="2" t="s">
        <v>3201</v>
      </c>
      <c r="BP662" s="2"/>
      <c r="BQ662" s="2"/>
      <c r="BR662" s="2" t="s">
        <v>104</v>
      </c>
      <c r="BS662" s="2" t="s">
        <v>12247</v>
      </c>
      <c r="BT662" s="2" t="str">
        <f aca="false">HYPERLINK("https%3A%2F%2Fwww.webofscience.com%2Fwos%2Fwoscc%2Ffull-record%2FWOS:000291319200010","View Full Record in Web of Science")</f>
        <v>View Full Record in Web of Science</v>
      </c>
    </row>
    <row r="663" customFormat="false" ht="12.75" hidden="false" customHeight="false" outlineLevel="0" collapsed="false">
      <c r="A663" s="2" t="s">
        <v>72</v>
      </c>
      <c r="B663" s="2" t="s">
        <v>12248</v>
      </c>
      <c r="C663" s="2"/>
      <c r="D663" s="2"/>
      <c r="E663" s="2"/>
      <c r="F663" s="2" t="s">
        <v>12249</v>
      </c>
      <c r="G663" s="2"/>
      <c r="H663" s="2" t="s">
        <v>12250</v>
      </c>
      <c r="I663" s="2" t="s">
        <v>12251</v>
      </c>
      <c r="J663" s="2" t="s">
        <v>2820</v>
      </c>
      <c r="K663" s="2"/>
      <c r="L663" s="2"/>
      <c r="M663" s="2" t="s">
        <v>77</v>
      </c>
      <c r="N663" s="2" t="s">
        <v>78</v>
      </c>
      <c r="O663" s="2"/>
      <c r="P663" s="2"/>
      <c r="Q663" s="2"/>
      <c r="R663" s="2"/>
      <c r="S663" s="2"/>
      <c r="T663" s="2" t="s">
        <v>12252</v>
      </c>
      <c r="U663" s="2" t="s">
        <v>12253</v>
      </c>
      <c r="V663" s="2" t="s">
        <v>12254</v>
      </c>
      <c r="W663" s="2" t="s">
        <v>12255</v>
      </c>
      <c r="X663" s="2" t="s">
        <v>12256</v>
      </c>
      <c r="Y663" s="2" t="s">
        <v>12257</v>
      </c>
      <c r="Z663" s="2" t="s">
        <v>2850</v>
      </c>
      <c r="AA663" s="2" t="s">
        <v>12258</v>
      </c>
      <c r="AB663" s="2" t="s">
        <v>12259</v>
      </c>
      <c r="AC663" s="2" t="s">
        <v>12260</v>
      </c>
      <c r="AD663" s="2" t="s">
        <v>12261</v>
      </c>
      <c r="AE663" s="2" t="s">
        <v>12262</v>
      </c>
      <c r="AF663" s="2"/>
      <c r="AG663" s="2" t="n">
        <v>56</v>
      </c>
      <c r="AH663" s="2" t="n">
        <v>193</v>
      </c>
      <c r="AI663" s="2" t="n">
        <v>212</v>
      </c>
      <c r="AJ663" s="2" t="n">
        <v>0</v>
      </c>
      <c r="AK663" s="2" t="n">
        <v>4</v>
      </c>
      <c r="AL663" s="2" t="s">
        <v>919</v>
      </c>
      <c r="AM663" s="2" t="s">
        <v>593</v>
      </c>
      <c r="AN663" s="2" t="s">
        <v>920</v>
      </c>
      <c r="AO663" s="2" t="s">
        <v>2833</v>
      </c>
      <c r="AP663" s="2" t="s">
        <v>2834</v>
      </c>
      <c r="AQ663" s="2"/>
      <c r="AR663" s="2" t="s">
        <v>2835</v>
      </c>
      <c r="AS663" s="2" t="s">
        <v>2836</v>
      </c>
      <c r="AT663" s="2" t="s">
        <v>161</v>
      </c>
      <c r="AU663" s="2" t="n">
        <v>2009</v>
      </c>
      <c r="AV663" s="2" t="n">
        <v>123</v>
      </c>
      <c r="AW663" s="2" t="n">
        <v>1</v>
      </c>
      <c r="AX663" s="2"/>
      <c r="AY663" s="2"/>
      <c r="AZ663" s="2"/>
      <c r="BA663" s="2"/>
      <c r="BB663" s="2" t="n">
        <v>98</v>
      </c>
      <c r="BC663" s="2" t="n">
        <v>104</v>
      </c>
      <c r="BD663" s="2"/>
      <c r="BE663" s="2" t="s">
        <v>12263</v>
      </c>
      <c r="BF663" s="2" t="str">
        <f aca="false">HYPERLINK("http://dx.doi.org/10.1016/j.jaci.2008.10.007","http://dx.doi.org/10.1016/j.jaci.2008.10.007")</f>
        <v>http://dx.doi.org/10.1016/j.jaci.2008.10.007</v>
      </c>
      <c r="BG663" s="2"/>
      <c r="BH663" s="2"/>
      <c r="BI663" s="2" t="n">
        <v>7</v>
      </c>
      <c r="BJ663" s="2" t="s">
        <v>254</v>
      </c>
      <c r="BK663" s="2" t="s">
        <v>100</v>
      </c>
      <c r="BL663" s="2" t="s">
        <v>254</v>
      </c>
      <c r="BM663" s="2" t="s">
        <v>12264</v>
      </c>
      <c r="BN663" s="2" t="n">
        <v>19027147</v>
      </c>
      <c r="BO663" s="2" t="s">
        <v>2858</v>
      </c>
      <c r="BP663" s="2"/>
      <c r="BQ663" s="2"/>
      <c r="BR663" s="2" t="s">
        <v>104</v>
      </c>
      <c r="BS663" s="2" t="s">
        <v>12265</v>
      </c>
      <c r="BT663" s="2" t="str">
        <f aca="false">HYPERLINK("https%3A%2F%2Fwww.webofscience.com%2Fwos%2Fwoscc%2Ffull-record%2FWOS:000262793900015","View Full Record in Web of Science")</f>
        <v>View Full Record in Web of Science</v>
      </c>
    </row>
    <row r="664" customFormat="false" ht="12.75" hidden="false" customHeight="false" outlineLevel="0" collapsed="false">
      <c r="A664" s="2" t="s">
        <v>72</v>
      </c>
      <c r="B664" s="2" t="s">
        <v>12266</v>
      </c>
      <c r="C664" s="2"/>
      <c r="D664" s="2"/>
      <c r="E664" s="2"/>
      <c r="F664" s="2" t="s">
        <v>12267</v>
      </c>
      <c r="G664" s="2"/>
      <c r="H664" s="2"/>
      <c r="I664" s="2" t="s">
        <v>12268</v>
      </c>
      <c r="J664" s="2" t="s">
        <v>370</v>
      </c>
      <c r="K664" s="2"/>
      <c r="L664" s="2"/>
      <c r="M664" s="2" t="s">
        <v>77</v>
      </c>
      <c r="N664" s="2" t="s">
        <v>78</v>
      </c>
      <c r="O664" s="2"/>
      <c r="P664" s="2"/>
      <c r="Q664" s="2"/>
      <c r="R664" s="2"/>
      <c r="S664" s="2"/>
      <c r="T664" s="2" t="s">
        <v>12269</v>
      </c>
      <c r="U664" s="2" t="s">
        <v>12270</v>
      </c>
      <c r="V664" s="2" t="s">
        <v>12271</v>
      </c>
      <c r="W664" s="2" t="s">
        <v>12272</v>
      </c>
      <c r="X664" s="2" t="s">
        <v>12273</v>
      </c>
      <c r="Y664" s="2" t="s">
        <v>12274</v>
      </c>
      <c r="Z664" s="2" t="s">
        <v>12275</v>
      </c>
      <c r="AA664" s="2" t="s">
        <v>12276</v>
      </c>
      <c r="AB664" s="2"/>
      <c r="AC664" s="2"/>
      <c r="AD664" s="2"/>
      <c r="AE664" s="2"/>
      <c r="AF664" s="2"/>
      <c r="AG664" s="2" t="n">
        <v>45</v>
      </c>
      <c r="AH664" s="2" t="n">
        <v>10</v>
      </c>
      <c r="AI664" s="2" t="n">
        <v>12</v>
      </c>
      <c r="AJ664" s="2" t="n">
        <v>0</v>
      </c>
      <c r="AK664" s="2" t="n">
        <v>6</v>
      </c>
      <c r="AL664" s="2" t="s">
        <v>549</v>
      </c>
      <c r="AM664" s="2" t="s">
        <v>384</v>
      </c>
      <c r="AN664" s="2" t="s">
        <v>550</v>
      </c>
      <c r="AO664" s="2" t="s">
        <v>386</v>
      </c>
      <c r="AP664" s="2" t="s">
        <v>387</v>
      </c>
      <c r="AQ664" s="2"/>
      <c r="AR664" s="2" t="s">
        <v>388</v>
      </c>
      <c r="AS664" s="2" t="s">
        <v>389</v>
      </c>
      <c r="AT664" s="2" t="s">
        <v>336</v>
      </c>
      <c r="AU664" s="2" t="n">
        <v>2013</v>
      </c>
      <c r="AV664" s="2" t="n">
        <v>58</v>
      </c>
      <c r="AW664" s="2" t="n">
        <v>2</v>
      </c>
      <c r="AX664" s="2"/>
      <c r="AY664" s="2"/>
      <c r="AZ664" s="2"/>
      <c r="BA664" s="2"/>
      <c r="BB664" s="2" t="n">
        <v>455</v>
      </c>
      <c r="BC664" s="2" t="n">
        <v>460</v>
      </c>
      <c r="BD664" s="2"/>
      <c r="BE664" s="2" t="s">
        <v>12277</v>
      </c>
      <c r="BF664" s="2" t="str">
        <f aca="false">HYPERLINK("http://dx.doi.org/10.1016/j.jcv.2013.06.037","http://dx.doi.org/10.1016/j.jcv.2013.06.037")</f>
        <v>http://dx.doi.org/10.1016/j.jcv.2013.06.037</v>
      </c>
      <c r="BG664" s="2"/>
      <c r="BH664" s="2"/>
      <c r="BI664" s="2" t="n">
        <v>6</v>
      </c>
      <c r="BJ664" s="2" t="s">
        <v>163</v>
      </c>
      <c r="BK664" s="2" t="s">
        <v>100</v>
      </c>
      <c r="BL664" s="2" t="s">
        <v>163</v>
      </c>
      <c r="BM664" s="2" t="s">
        <v>12278</v>
      </c>
      <c r="BN664" s="2" t="n">
        <v>23910934</v>
      </c>
      <c r="BO664" s="2" t="s">
        <v>1089</v>
      </c>
      <c r="BP664" s="2"/>
      <c r="BQ664" s="2"/>
      <c r="BR664" s="2" t="s">
        <v>104</v>
      </c>
      <c r="BS664" s="2" t="s">
        <v>12279</v>
      </c>
      <c r="BT664" s="2" t="str">
        <f aca="false">HYPERLINK("https%3A%2F%2Fwww.webofscience.com%2Fwos%2Fwoscc%2Ffull-record%2FWOS:000324750000024","View Full Record in Web of Science")</f>
        <v>View Full Record in Web of Science</v>
      </c>
    </row>
    <row r="665" customFormat="false" ht="12.75" hidden="false" customHeight="false" outlineLevel="0" collapsed="false">
      <c r="A665" s="2" t="s">
        <v>72</v>
      </c>
      <c r="B665" s="2" t="s">
        <v>12280</v>
      </c>
      <c r="C665" s="2"/>
      <c r="D665" s="2"/>
      <c r="E665" s="2"/>
      <c r="F665" s="2" t="s">
        <v>12281</v>
      </c>
      <c r="G665" s="2"/>
      <c r="H665" s="2"/>
      <c r="I665" s="2" t="s">
        <v>12282</v>
      </c>
      <c r="J665" s="2" t="s">
        <v>1665</v>
      </c>
      <c r="K665" s="2"/>
      <c r="L665" s="2"/>
      <c r="M665" s="2" t="s">
        <v>77</v>
      </c>
      <c r="N665" s="2" t="s">
        <v>78</v>
      </c>
      <c r="O665" s="2"/>
      <c r="P665" s="2"/>
      <c r="Q665" s="2"/>
      <c r="R665" s="2"/>
      <c r="S665" s="2"/>
      <c r="T665" s="2" t="s">
        <v>12283</v>
      </c>
      <c r="U665" s="2"/>
      <c r="V665" s="2" t="s">
        <v>12284</v>
      </c>
      <c r="W665" s="2" t="s">
        <v>12285</v>
      </c>
      <c r="X665" s="2"/>
      <c r="Y665" s="2" t="s">
        <v>12286</v>
      </c>
      <c r="Z665" s="2" t="s">
        <v>12287</v>
      </c>
      <c r="AA665" s="2" t="s">
        <v>12288</v>
      </c>
      <c r="AB665" s="2"/>
      <c r="AC665" s="2"/>
      <c r="AD665" s="2"/>
      <c r="AE665" s="2"/>
      <c r="AF665" s="2"/>
      <c r="AG665" s="2" t="n">
        <v>22</v>
      </c>
      <c r="AH665" s="2" t="n">
        <v>0</v>
      </c>
      <c r="AI665" s="2" t="n">
        <v>0</v>
      </c>
      <c r="AJ665" s="2" t="n">
        <v>0</v>
      </c>
      <c r="AK665" s="2" t="n">
        <v>0</v>
      </c>
      <c r="AL665" s="2" t="s">
        <v>12289</v>
      </c>
      <c r="AM665" s="2" t="s">
        <v>12290</v>
      </c>
      <c r="AN665" s="2" t="s">
        <v>12291</v>
      </c>
      <c r="AO665" s="2" t="s">
        <v>1681</v>
      </c>
      <c r="AP665" s="2" t="s">
        <v>1682</v>
      </c>
      <c r="AQ665" s="2"/>
      <c r="AR665" s="2" t="s">
        <v>1683</v>
      </c>
      <c r="AS665" s="2" t="s">
        <v>1684</v>
      </c>
      <c r="AT665" s="2" t="s">
        <v>129</v>
      </c>
      <c r="AU665" s="2" t="n">
        <v>2023</v>
      </c>
      <c r="AV665" s="2" t="n">
        <v>16</v>
      </c>
      <c r="AW665" s="2" t="n">
        <v>9</v>
      </c>
      <c r="AX665" s="2"/>
      <c r="AY665" s="2"/>
      <c r="AZ665" s="2"/>
      <c r="BA665" s="2"/>
      <c r="BB665" s="2"/>
      <c r="BC665" s="2"/>
      <c r="BD665" s="2" t="s">
        <v>12292</v>
      </c>
      <c r="BE665" s="2" t="s">
        <v>12293</v>
      </c>
      <c r="BF665" s="2" t="str">
        <f aca="false">HYPERLINK("http://dx.doi.org/10.5812/jjm-139106","http://dx.doi.org/10.5812/jjm-139106")</f>
        <v>http://dx.doi.org/10.5812/jjm-139106</v>
      </c>
      <c r="BG665" s="2"/>
      <c r="BH665" s="2"/>
      <c r="BI665" s="2" t="n">
        <v>7</v>
      </c>
      <c r="BJ665" s="2" t="s">
        <v>211</v>
      </c>
      <c r="BK665" s="2" t="s">
        <v>100</v>
      </c>
      <c r="BL665" s="2" t="s">
        <v>211</v>
      </c>
      <c r="BM665" s="2" t="s">
        <v>12294</v>
      </c>
      <c r="BN665" s="2"/>
      <c r="BO665" s="2" t="s">
        <v>1355</v>
      </c>
      <c r="BP665" s="2"/>
      <c r="BQ665" s="2"/>
      <c r="BR665" s="2" t="s">
        <v>104</v>
      </c>
      <c r="BS665" s="2" t="s">
        <v>12295</v>
      </c>
      <c r="BT665" s="2" t="str">
        <f aca="false">HYPERLINK("https%3A%2F%2Fwww.webofscience.com%2Fwos%2Fwoscc%2Ffull-record%2FWOS:001156007200001","View Full Record in Web of Science")</f>
        <v>View Full Record in Web of Science</v>
      </c>
    </row>
    <row r="666" customFormat="false" ht="12.75" hidden="false" customHeight="false" outlineLevel="0" collapsed="false">
      <c r="A666" s="2" t="s">
        <v>72</v>
      </c>
      <c r="B666" s="2" t="s">
        <v>12296</v>
      </c>
      <c r="C666" s="2"/>
      <c r="D666" s="2"/>
      <c r="E666" s="2"/>
      <c r="F666" s="2" t="s">
        <v>12297</v>
      </c>
      <c r="G666" s="2"/>
      <c r="H666" s="2"/>
      <c r="I666" s="2" t="s">
        <v>12298</v>
      </c>
      <c r="J666" s="2" t="s">
        <v>141</v>
      </c>
      <c r="K666" s="2"/>
      <c r="L666" s="2"/>
      <c r="M666" s="2" t="s">
        <v>77</v>
      </c>
      <c r="N666" s="2" t="s">
        <v>78</v>
      </c>
      <c r="O666" s="2"/>
      <c r="P666" s="2"/>
      <c r="Q666" s="2"/>
      <c r="R666" s="2"/>
      <c r="S666" s="2"/>
      <c r="T666" s="2" t="s">
        <v>12299</v>
      </c>
      <c r="U666" s="2" t="s">
        <v>12300</v>
      </c>
      <c r="V666" s="2" t="s">
        <v>12301</v>
      </c>
      <c r="W666" s="2" t="s">
        <v>12302</v>
      </c>
      <c r="X666" s="2" t="s">
        <v>12303</v>
      </c>
      <c r="Y666" s="2" t="s">
        <v>12304</v>
      </c>
      <c r="Z666" s="2" t="s">
        <v>5566</v>
      </c>
      <c r="AA666" s="2" t="s">
        <v>12305</v>
      </c>
      <c r="AB666" s="2" t="s">
        <v>12306</v>
      </c>
      <c r="AC666" s="2" t="s">
        <v>12307</v>
      </c>
      <c r="AD666" s="2" t="s">
        <v>12308</v>
      </c>
      <c r="AE666" s="2" t="s">
        <v>12309</v>
      </c>
      <c r="AF666" s="2"/>
      <c r="AG666" s="2" t="n">
        <v>51</v>
      </c>
      <c r="AH666" s="2" t="n">
        <v>89</v>
      </c>
      <c r="AI666" s="2" t="n">
        <v>92</v>
      </c>
      <c r="AJ666" s="2" t="n">
        <v>0</v>
      </c>
      <c r="AK666" s="2" t="n">
        <v>2</v>
      </c>
      <c r="AL666" s="2" t="s">
        <v>154</v>
      </c>
      <c r="AM666" s="2" t="s">
        <v>155</v>
      </c>
      <c r="AN666" s="2" t="s">
        <v>156</v>
      </c>
      <c r="AO666" s="2" t="s">
        <v>157</v>
      </c>
      <c r="AP666" s="2" t="s">
        <v>158</v>
      </c>
      <c r="AQ666" s="2"/>
      <c r="AR666" s="2" t="s">
        <v>159</v>
      </c>
      <c r="AS666" s="2" t="s">
        <v>160</v>
      </c>
      <c r="AT666" s="2" t="s">
        <v>185</v>
      </c>
      <c r="AU666" s="2" t="n">
        <v>2009</v>
      </c>
      <c r="AV666" s="2" t="n">
        <v>81</v>
      </c>
      <c r="AW666" s="2" t="n">
        <v>8</v>
      </c>
      <c r="AX666" s="2"/>
      <c r="AY666" s="2"/>
      <c r="AZ666" s="2"/>
      <c r="BA666" s="2"/>
      <c r="BB666" s="2" t="n">
        <v>1498</v>
      </c>
      <c r="BC666" s="2" t="n">
        <v>1507</v>
      </c>
      <c r="BD666" s="2"/>
      <c r="BE666" s="2" t="s">
        <v>12310</v>
      </c>
      <c r="BF666" s="2" t="str">
        <f aca="false">HYPERLINK("http://dx.doi.org/10.1002/jmv.21548","http://dx.doi.org/10.1002/jmv.21548")</f>
        <v>http://dx.doi.org/10.1002/jmv.21548</v>
      </c>
      <c r="BG666" s="2"/>
      <c r="BH666" s="2"/>
      <c r="BI666" s="2" t="n">
        <v>10</v>
      </c>
      <c r="BJ666" s="2" t="s">
        <v>163</v>
      </c>
      <c r="BK666" s="2" t="s">
        <v>100</v>
      </c>
      <c r="BL666" s="2" t="s">
        <v>163</v>
      </c>
      <c r="BM666" s="2" t="s">
        <v>12311</v>
      </c>
      <c r="BN666" s="2" t="n">
        <v>19551831</v>
      </c>
      <c r="BO666" s="2" t="s">
        <v>1267</v>
      </c>
      <c r="BP666" s="2"/>
      <c r="BQ666" s="2"/>
      <c r="BR666" s="2" t="s">
        <v>104</v>
      </c>
      <c r="BS666" s="2" t="s">
        <v>12312</v>
      </c>
      <c r="BT666" s="2" t="str">
        <f aca="false">HYPERLINK("https%3A%2F%2Fwww.webofscience.com%2Fwos%2Fwoscc%2Ffull-record%2FWOS:000267611000023","View Full Record in Web of Science")</f>
        <v>View Full Record in Web of Science</v>
      </c>
    </row>
    <row r="667" customFormat="false" ht="12.75" hidden="false" customHeight="false" outlineLevel="0" collapsed="false">
      <c r="A667" s="2" t="s">
        <v>72</v>
      </c>
      <c r="B667" s="2" t="s">
        <v>12313</v>
      </c>
      <c r="C667" s="2"/>
      <c r="D667" s="2"/>
      <c r="E667" s="2"/>
      <c r="F667" s="2" t="s">
        <v>12314</v>
      </c>
      <c r="G667" s="2"/>
      <c r="H667" s="2"/>
      <c r="I667" s="2" t="s">
        <v>12315</v>
      </c>
      <c r="J667" s="2" t="s">
        <v>370</v>
      </c>
      <c r="K667" s="2"/>
      <c r="L667" s="2"/>
      <c r="M667" s="2" t="s">
        <v>77</v>
      </c>
      <c r="N667" s="2" t="s">
        <v>78</v>
      </c>
      <c r="O667" s="2"/>
      <c r="P667" s="2"/>
      <c r="Q667" s="2"/>
      <c r="R667" s="2"/>
      <c r="S667" s="2"/>
      <c r="T667" s="2" t="s">
        <v>12316</v>
      </c>
      <c r="U667" s="2" t="s">
        <v>12317</v>
      </c>
      <c r="V667" s="2" t="s">
        <v>12318</v>
      </c>
      <c r="W667" s="2" t="s">
        <v>12319</v>
      </c>
      <c r="X667" s="2" t="s">
        <v>3705</v>
      </c>
      <c r="Y667" s="2" t="s">
        <v>12320</v>
      </c>
      <c r="Z667" s="2" t="s">
        <v>5566</v>
      </c>
      <c r="AA667" s="2" t="s">
        <v>12321</v>
      </c>
      <c r="AB667" s="2" t="s">
        <v>12322</v>
      </c>
      <c r="AC667" s="2" t="s">
        <v>12323</v>
      </c>
      <c r="AD667" s="2" t="s">
        <v>12324</v>
      </c>
      <c r="AE667" s="2" t="s">
        <v>12325</v>
      </c>
      <c r="AF667" s="2"/>
      <c r="AG667" s="2" t="n">
        <v>32</v>
      </c>
      <c r="AH667" s="2" t="n">
        <v>96</v>
      </c>
      <c r="AI667" s="2" t="n">
        <v>109</v>
      </c>
      <c r="AJ667" s="2" t="n">
        <v>0</v>
      </c>
      <c r="AK667" s="2" t="n">
        <v>7</v>
      </c>
      <c r="AL667" s="2" t="s">
        <v>383</v>
      </c>
      <c r="AM667" s="2" t="s">
        <v>384</v>
      </c>
      <c r="AN667" s="2" t="s">
        <v>385</v>
      </c>
      <c r="AO667" s="2" t="s">
        <v>386</v>
      </c>
      <c r="AP667" s="2" t="s">
        <v>387</v>
      </c>
      <c r="AQ667" s="2"/>
      <c r="AR667" s="2" t="s">
        <v>388</v>
      </c>
      <c r="AS667" s="2" t="s">
        <v>389</v>
      </c>
      <c r="AT667" s="2" t="s">
        <v>185</v>
      </c>
      <c r="AU667" s="2" t="n">
        <v>2009</v>
      </c>
      <c r="AV667" s="2" t="n">
        <v>45</v>
      </c>
      <c r="AW667" s="2" t="n">
        <v>4</v>
      </c>
      <c r="AX667" s="2"/>
      <c r="AY667" s="2"/>
      <c r="AZ667" s="2"/>
      <c r="BA667" s="2"/>
      <c r="BB667" s="2" t="n">
        <v>311</v>
      </c>
      <c r="BC667" s="2" t="n">
        <v>317</v>
      </c>
      <c r="BD667" s="2"/>
      <c r="BE667" s="2" t="s">
        <v>12326</v>
      </c>
      <c r="BF667" s="2" t="str">
        <f aca="false">HYPERLINK("http://dx.doi.org/10.1016/j.jcv.2009.04.016","http://dx.doi.org/10.1016/j.jcv.2009.04.016")</f>
        <v>http://dx.doi.org/10.1016/j.jcv.2009.04.016</v>
      </c>
      <c r="BG667" s="2"/>
      <c r="BH667" s="2"/>
      <c r="BI667" s="2" t="n">
        <v>7</v>
      </c>
      <c r="BJ667" s="2" t="s">
        <v>163</v>
      </c>
      <c r="BK667" s="2" t="s">
        <v>100</v>
      </c>
      <c r="BL667" s="2" t="s">
        <v>163</v>
      </c>
      <c r="BM667" s="2" t="s">
        <v>12327</v>
      </c>
      <c r="BN667" s="2" t="n">
        <v>19473873</v>
      </c>
      <c r="BO667" s="2"/>
      <c r="BP667" s="2"/>
      <c r="BQ667" s="2"/>
      <c r="BR667" s="2" t="s">
        <v>104</v>
      </c>
      <c r="BS667" s="2" t="s">
        <v>12328</v>
      </c>
      <c r="BT667" s="2" t="str">
        <f aca="false">HYPERLINK("https%3A%2F%2Fwww.webofscience.com%2Fwos%2Fwoscc%2Ffull-record%2FWOS:000268703900010","View Full Record in Web of Science")</f>
        <v>View Full Record in Web of Science</v>
      </c>
    </row>
    <row r="668" customFormat="false" ht="12.75" hidden="false" customHeight="false" outlineLevel="0" collapsed="false">
      <c r="A668" s="2" t="s">
        <v>72</v>
      </c>
      <c r="B668" s="2" t="s">
        <v>12329</v>
      </c>
      <c r="C668" s="2"/>
      <c r="D668" s="2"/>
      <c r="E668" s="2"/>
      <c r="F668" s="2" t="s">
        <v>12330</v>
      </c>
      <c r="G668" s="2"/>
      <c r="H668" s="2"/>
      <c r="I668" s="2" t="s">
        <v>12331</v>
      </c>
      <c r="J668" s="2" t="s">
        <v>717</v>
      </c>
      <c r="K668" s="2"/>
      <c r="L668" s="2"/>
      <c r="M668" s="2" t="s">
        <v>77</v>
      </c>
      <c r="N668" s="2" t="s">
        <v>78</v>
      </c>
      <c r="O668" s="2"/>
      <c r="P668" s="2"/>
      <c r="Q668" s="2"/>
      <c r="R668" s="2"/>
      <c r="S668" s="2"/>
      <c r="T668" s="2" t="s">
        <v>12332</v>
      </c>
      <c r="U668" s="2" t="s">
        <v>12333</v>
      </c>
      <c r="V668" s="2" t="s">
        <v>12334</v>
      </c>
      <c r="W668" s="2" t="s">
        <v>12335</v>
      </c>
      <c r="X668" s="2" t="s">
        <v>12336</v>
      </c>
      <c r="Y668" s="2" t="s">
        <v>12337</v>
      </c>
      <c r="Z668" s="2" t="s">
        <v>12338</v>
      </c>
      <c r="AA668" s="2" t="s">
        <v>12339</v>
      </c>
      <c r="AB668" s="2"/>
      <c r="AC668" s="2" t="s">
        <v>12340</v>
      </c>
      <c r="AD668" s="2" t="s">
        <v>12341</v>
      </c>
      <c r="AE668" s="2" t="s">
        <v>12342</v>
      </c>
      <c r="AF668" s="2"/>
      <c r="AG668" s="2" t="n">
        <v>10</v>
      </c>
      <c r="AH668" s="2" t="n">
        <v>4</v>
      </c>
      <c r="AI668" s="2" t="n">
        <v>5</v>
      </c>
      <c r="AJ668" s="2" t="n">
        <v>2</v>
      </c>
      <c r="AK668" s="2" t="n">
        <v>5</v>
      </c>
      <c r="AL668" s="2" t="s">
        <v>383</v>
      </c>
      <c r="AM668" s="2" t="s">
        <v>384</v>
      </c>
      <c r="AN668" s="2" t="s">
        <v>385</v>
      </c>
      <c r="AO668" s="2" t="s">
        <v>729</v>
      </c>
      <c r="AP668" s="2" t="s">
        <v>730</v>
      </c>
      <c r="AQ668" s="2"/>
      <c r="AR668" s="2" t="s">
        <v>731</v>
      </c>
      <c r="AS668" s="2" t="s">
        <v>732</v>
      </c>
      <c r="AT668" s="2" t="s">
        <v>486</v>
      </c>
      <c r="AU668" s="2" t="n">
        <v>2022</v>
      </c>
      <c r="AV668" s="2" t="n">
        <v>304</v>
      </c>
      <c r="AW668" s="2"/>
      <c r="AX668" s="2"/>
      <c r="AY668" s="2"/>
      <c r="AZ668" s="2"/>
      <c r="BA668" s="2"/>
      <c r="BB668" s="2"/>
      <c r="BC668" s="2"/>
      <c r="BD668" s="2" t="n">
        <v>114528</v>
      </c>
      <c r="BE668" s="2" t="s">
        <v>12343</v>
      </c>
      <c r="BF668" s="2" t="str">
        <f aca="false">HYPERLINK("http://dx.doi.org/10.1016/j.jviromet.2022.114528","http://dx.doi.org/10.1016/j.jviromet.2022.114528")</f>
        <v>http://dx.doi.org/10.1016/j.jviromet.2022.114528</v>
      </c>
      <c r="BG668" s="2"/>
      <c r="BH668" s="2" t="s">
        <v>4060</v>
      </c>
      <c r="BI668" s="2" t="n">
        <v>7</v>
      </c>
      <c r="BJ668" s="2" t="s">
        <v>735</v>
      </c>
      <c r="BK668" s="2" t="s">
        <v>100</v>
      </c>
      <c r="BL668" s="2" t="s">
        <v>736</v>
      </c>
      <c r="BM668" s="2" t="s">
        <v>12344</v>
      </c>
      <c r="BN668" s="2" t="n">
        <v>35358640</v>
      </c>
      <c r="BO668" s="2"/>
      <c r="BP668" s="2"/>
      <c r="BQ668" s="2"/>
      <c r="BR668" s="2" t="s">
        <v>104</v>
      </c>
      <c r="BS668" s="2" t="s">
        <v>12345</v>
      </c>
      <c r="BT668" s="2" t="str">
        <f aca="false">HYPERLINK("https%3A%2F%2Fwww.webofscience.com%2Fwos%2Fwoscc%2Ffull-record%2FWOS:000795589800005","View Full Record in Web of Science")</f>
        <v>View Full Record in Web of Science</v>
      </c>
    </row>
    <row r="669" customFormat="false" ht="12.75" hidden="false" customHeight="false" outlineLevel="0" collapsed="false">
      <c r="A669" s="2" t="s">
        <v>72</v>
      </c>
      <c r="B669" s="2" t="s">
        <v>12346</v>
      </c>
      <c r="C669" s="2"/>
      <c r="D669" s="2"/>
      <c r="E669" s="2"/>
      <c r="F669" s="2" t="s">
        <v>12347</v>
      </c>
      <c r="G669" s="2"/>
      <c r="H669" s="2"/>
      <c r="I669" s="2" t="s">
        <v>12348</v>
      </c>
      <c r="J669" s="2" t="s">
        <v>370</v>
      </c>
      <c r="K669" s="2"/>
      <c r="L669" s="2"/>
      <c r="M669" s="2" t="s">
        <v>77</v>
      </c>
      <c r="N669" s="2" t="s">
        <v>78</v>
      </c>
      <c r="O669" s="2"/>
      <c r="P669" s="2"/>
      <c r="Q669" s="2"/>
      <c r="R669" s="2"/>
      <c r="S669" s="2"/>
      <c r="T669" s="2" t="s">
        <v>12349</v>
      </c>
      <c r="U669" s="2" t="s">
        <v>12350</v>
      </c>
      <c r="V669" s="2" t="s">
        <v>12351</v>
      </c>
      <c r="W669" s="2" t="s">
        <v>12352</v>
      </c>
      <c r="X669" s="2" t="s">
        <v>12353</v>
      </c>
      <c r="Y669" s="2" t="s">
        <v>12354</v>
      </c>
      <c r="Z669" s="2" t="s">
        <v>12355</v>
      </c>
      <c r="AA669" s="2"/>
      <c r="AB669" s="2" t="s">
        <v>2414</v>
      </c>
      <c r="AC669" s="2"/>
      <c r="AD669" s="2"/>
      <c r="AE669" s="2"/>
      <c r="AF669" s="2"/>
      <c r="AG669" s="2" t="n">
        <v>20</v>
      </c>
      <c r="AH669" s="2" t="n">
        <v>27</v>
      </c>
      <c r="AI669" s="2" t="n">
        <v>29</v>
      </c>
      <c r="AJ669" s="2" t="n">
        <v>0</v>
      </c>
      <c r="AK669" s="2" t="n">
        <v>2</v>
      </c>
      <c r="AL669" s="2" t="s">
        <v>549</v>
      </c>
      <c r="AM669" s="2" t="s">
        <v>384</v>
      </c>
      <c r="AN669" s="2" t="s">
        <v>550</v>
      </c>
      <c r="AO669" s="2" t="s">
        <v>386</v>
      </c>
      <c r="AP669" s="2" t="s">
        <v>387</v>
      </c>
      <c r="AQ669" s="2"/>
      <c r="AR669" s="2" t="s">
        <v>388</v>
      </c>
      <c r="AS669" s="2" t="s">
        <v>389</v>
      </c>
      <c r="AT669" s="2" t="s">
        <v>390</v>
      </c>
      <c r="AU669" s="2" t="n">
        <v>2008</v>
      </c>
      <c r="AV669" s="2" t="n">
        <v>42</v>
      </c>
      <c r="AW669" s="2" t="n">
        <v>1</v>
      </c>
      <c r="AX669" s="2"/>
      <c r="AY669" s="2"/>
      <c r="AZ669" s="2"/>
      <c r="BA669" s="2"/>
      <c r="BB669" s="2" t="n">
        <v>52</v>
      </c>
      <c r="BC669" s="2" t="n">
        <v>57</v>
      </c>
      <c r="BD669" s="2"/>
      <c r="BE669" s="2" t="s">
        <v>12356</v>
      </c>
      <c r="BF669" s="2" t="str">
        <f aca="false">HYPERLINK("http://dx.doi.org/10.1016/j.jcv.2007.11.012","http://dx.doi.org/10.1016/j.jcv.2007.11.012")</f>
        <v>http://dx.doi.org/10.1016/j.jcv.2007.11.012</v>
      </c>
      <c r="BG669" s="2"/>
      <c r="BH669" s="2"/>
      <c r="BI669" s="2" t="n">
        <v>6</v>
      </c>
      <c r="BJ669" s="2" t="s">
        <v>163</v>
      </c>
      <c r="BK669" s="2" t="s">
        <v>100</v>
      </c>
      <c r="BL669" s="2" t="s">
        <v>163</v>
      </c>
      <c r="BM669" s="2" t="s">
        <v>12357</v>
      </c>
      <c r="BN669" s="2" t="n">
        <v>18164233</v>
      </c>
      <c r="BO669" s="2" t="s">
        <v>1089</v>
      </c>
      <c r="BP669" s="2"/>
      <c r="BQ669" s="2"/>
      <c r="BR669" s="2" t="s">
        <v>104</v>
      </c>
      <c r="BS669" s="2" t="s">
        <v>12358</v>
      </c>
      <c r="BT669" s="2" t="str">
        <f aca="false">HYPERLINK("https%3A%2F%2Fwww.webofscience.com%2Fwos%2Fwoscc%2Ffull-record%2FWOS:000256391600009","View Full Record in Web of Science")</f>
        <v>View Full Record in Web of Science</v>
      </c>
    </row>
    <row r="670" customFormat="false" ht="12.75" hidden="false" customHeight="false" outlineLevel="0" collapsed="false">
      <c r="A670" s="2" t="s">
        <v>72</v>
      </c>
      <c r="B670" s="2" t="s">
        <v>12359</v>
      </c>
      <c r="C670" s="2"/>
      <c r="D670" s="2"/>
      <c r="E670" s="2"/>
      <c r="F670" s="2" t="s">
        <v>12360</v>
      </c>
      <c r="G670" s="2"/>
      <c r="H670" s="2"/>
      <c r="I670" s="2" t="s">
        <v>12361</v>
      </c>
      <c r="J670" s="2" t="s">
        <v>12362</v>
      </c>
      <c r="K670" s="2"/>
      <c r="L670" s="2"/>
      <c r="M670" s="2" t="s">
        <v>77</v>
      </c>
      <c r="N670" s="2" t="s">
        <v>78</v>
      </c>
      <c r="O670" s="2"/>
      <c r="P670" s="2"/>
      <c r="Q670" s="2"/>
      <c r="R670" s="2"/>
      <c r="S670" s="2"/>
      <c r="T670" s="2" t="s">
        <v>12363</v>
      </c>
      <c r="U670" s="2" t="s">
        <v>12364</v>
      </c>
      <c r="V670" s="2" t="s">
        <v>12365</v>
      </c>
      <c r="W670" s="2" t="s">
        <v>12366</v>
      </c>
      <c r="X670" s="2" t="s">
        <v>12367</v>
      </c>
      <c r="Y670" s="2" t="s">
        <v>12368</v>
      </c>
      <c r="Z670" s="2" t="s">
        <v>12369</v>
      </c>
      <c r="AA670" s="2" t="s">
        <v>12370</v>
      </c>
      <c r="AB670" s="2" t="s">
        <v>12371</v>
      </c>
      <c r="AC670" s="2" t="s">
        <v>12372</v>
      </c>
      <c r="AD670" s="2" t="s">
        <v>8637</v>
      </c>
      <c r="AE670" s="2" t="s">
        <v>12373</v>
      </c>
      <c r="AF670" s="2"/>
      <c r="AG670" s="2" t="n">
        <v>27</v>
      </c>
      <c r="AH670" s="2" t="n">
        <v>6</v>
      </c>
      <c r="AI670" s="2" t="n">
        <v>6</v>
      </c>
      <c r="AJ670" s="2" t="n">
        <v>0</v>
      </c>
      <c r="AK670" s="2" t="n">
        <v>7</v>
      </c>
      <c r="AL670" s="2" t="s">
        <v>154</v>
      </c>
      <c r="AM670" s="2" t="s">
        <v>155</v>
      </c>
      <c r="AN670" s="2" t="s">
        <v>156</v>
      </c>
      <c r="AO670" s="2" t="s">
        <v>12374</v>
      </c>
      <c r="AP670" s="2" t="s">
        <v>12375</v>
      </c>
      <c r="AQ670" s="2"/>
      <c r="AR670" s="2" t="s">
        <v>12376</v>
      </c>
      <c r="AS670" s="2" t="s">
        <v>12377</v>
      </c>
      <c r="AT670" s="2" t="s">
        <v>692</v>
      </c>
      <c r="AU670" s="2" t="n">
        <v>2015</v>
      </c>
      <c r="AV670" s="2" t="n">
        <v>9</v>
      </c>
      <c r="AW670" s="2" t="n">
        <v>2</v>
      </c>
      <c r="AX670" s="2"/>
      <c r="AY670" s="2"/>
      <c r="AZ670" s="2"/>
      <c r="BA670" s="2"/>
      <c r="BB670" s="2" t="n">
        <v>180</v>
      </c>
      <c r="BC670" s="2" t="n">
        <v>184</v>
      </c>
      <c r="BD670" s="2"/>
      <c r="BE670" s="2" t="s">
        <v>12378</v>
      </c>
      <c r="BF670" s="2" t="str">
        <f aca="false">HYPERLINK("http://dx.doi.org/10.1111/crj.12121","http://dx.doi.org/10.1111/crj.12121")</f>
        <v>http://dx.doi.org/10.1111/crj.12121</v>
      </c>
      <c r="BG670" s="2"/>
      <c r="BH670" s="2"/>
      <c r="BI670" s="2" t="n">
        <v>5</v>
      </c>
      <c r="BJ670" s="2" t="s">
        <v>338</v>
      </c>
      <c r="BK670" s="2" t="s">
        <v>100</v>
      </c>
      <c r="BL670" s="2" t="s">
        <v>338</v>
      </c>
      <c r="BM670" s="2" t="s">
        <v>12379</v>
      </c>
      <c r="BN670" s="2" t="n">
        <v>24521518</v>
      </c>
      <c r="BO670" s="2"/>
      <c r="BP670" s="2"/>
      <c r="BQ670" s="2"/>
      <c r="BR670" s="2" t="s">
        <v>104</v>
      </c>
      <c r="BS670" s="2" t="s">
        <v>12380</v>
      </c>
      <c r="BT670" s="2" t="str">
        <f aca="false">HYPERLINK("https%3A%2F%2Fwww.webofscience.com%2Fwos%2Fwoscc%2Ffull-record%2FWOS:000352561500007","View Full Record in Web of Science")</f>
        <v>View Full Record in Web of Science</v>
      </c>
    </row>
    <row r="671" customFormat="false" ht="12.75" hidden="false" customHeight="false" outlineLevel="0" collapsed="false">
      <c r="A671" s="2" t="s">
        <v>72</v>
      </c>
      <c r="B671" s="2" t="s">
        <v>12381</v>
      </c>
      <c r="C671" s="2"/>
      <c r="D671" s="2"/>
      <c r="E671" s="2"/>
      <c r="F671" s="2" t="s">
        <v>12382</v>
      </c>
      <c r="G671" s="2"/>
      <c r="H671" s="2"/>
      <c r="I671" s="2" t="s">
        <v>12383</v>
      </c>
      <c r="J671" s="2" t="s">
        <v>12384</v>
      </c>
      <c r="K671" s="2"/>
      <c r="L671" s="2"/>
      <c r="M671" s="2" t="s">
        <v>77</v>
      </c>
      <c r="N671" s="2" t="s">
        <v>78</v>
      </c>
      <c r="O671" s="2"/>
      <c r="P671" s="2"/>
      <c r="Q671" s="2"/>
      <c r="R671" s="2"/>
      <c r="S671" s="2"/>
      <c r="T671" s="2" t="s">
        <v>12385</v>
      </c>
      <c r="U671" s="2" t="s">
        <v>12386</v>
      </c>
      <c r="V671" s="2" t="s">
        <v>12387</v>
      </c>
      <c r="W671" s="2" t="s">
        <v>12388</v>
      </c>
      <c r="X671" s="2" t="s">
        <v>12389</v>
      </c>
      <c r="Y671" s="2" t="s">
        <v>12390</v>
      </c>
      <c r="Z671" s="2" t="s">
        <v>7973</v>
      </c>
      <c r="AA671" s="2" t="s">
        <v>12391</v>
      </c>
      <c r="AB671" s="2" t="s">
        <v>12392</v>
      </c>
      <c r="AC671" s="2" t="s">
        <v>12393</v>
      </c>
      <c r="AD671" s="2" t="s">
        <v>12394</v>
      </c>
      <c r="AE671" s="2" t="s">
        <v>12395</v>
      </c>
      <c r="AF671" s="2"/>
      <c r="AG671" s="2" t="n">
        <v>64</v>
      </c>
      <c r="AH671" s="2" t="n">
        <v>17</v>
      </c>
      <c r="AI671" s="2" t="n">
        <v>19</v>
      </c>
      <c r="AJ671" s="2" t="n">
        <v>1</v>
      </c>
      <c r="AK671" s="2" t="n">
        <v>4</v>
      </c>
      <c r="AL671" s="2" t="s">
        <v>383</v>
      </c>
      <c r="AM671" s="2" t="s">
        <v>384</v>
      </c>
      <c r="AN671" s="2" t="s">
        <v>385</v>
      </c>
      <c r="AO671" s="2" t="s">
        <v>12396</v>
      </c>
      <c r="AP671" s="2" t="s">
        <v>12397</v>
      </c>
      <c r="AQ671" s="2"/>
      <c r="AR671" s="2" t="s">
        <v>12398</v>
      </c>
      <c r="AS671" s="2" t="s">
        <v>12399</v>
      </c>
      <c r="AT671" s="2" t="s">
        <v>446</v>
      </c>
      <c r="AU671" s="2" t="n">
        <v>2019</v>
      </c>
      <c r="AV671" s="2" t="n">
        <v>76</v>
      </c>
      <c r="AW671" s="2"/>
      <c r="AX671" s="2"/>
      <c r="AY671" s="2"/>
      <c r="AZ671" s="2"/>
      <c r="BA671" s="2"/>
      <c r="BB671" s="2"/>
      <c r="BC671" s="2"/>
      <c r="BD671" s="2" t="n">
        <v>104039</v>
      </c>
      <c r="BE671" s="2" t="s">
        <v>12400</v>
      </c>
      <c r="BF671" s="2" t="str">
        <f aca="false">HYPERLINK("http://dx.doi.org/10.1016/j.meegid.2019.104039","http://dx.doi.org/10.1016/j.meegid.2019.104039")</f>
        <v>http://dx.doi.org/10.1016/j.meegid.2019.104039</v>
      </c>
      <c r="BG671" s="2"/>
      <c r="BH671" s="2"/>
      <c r="BI671" s="2" t="n">
        <v>9</v>
      </c>
      <c r="BJ671" s="2" t="s">
        <v>575</v>
      </c>
      <c r="BK671" s="2" t="s">
        <v>100</v>
      </c>
      <c r="BL671" s="2" t="s">
        <v>575</v>
      </c>
      <c r="BM671" s="2" t="s">
        <v>12401</v>
      </c>
      <c r="BN671" s="2" t="n">
        <v>31521788</v>
      </c>
      <c r="BO671" s="2"/>
      <c r="BP671" s="2"/>
      <c r="BQ671" s="2"/>
      <c r="BR671" s="2" t="s">
        <v>104</v>
      </c>
      <c r="BS671" s="2" t="s">
        <v>12402</v>
      </c>
      <c r="BT671" s="2" t="str">
        <f aca="false">HYPERLINK("https%3A%2F%2Fwww.webofscience.com%2Fwos%2Fwoscc%2Ffull-record%2FWOS:000496995600005","View Full Record in Web of Science")</f>
        <v>View Full Record in Web of Science</v>
      </c>
    </row>
    <row r="672" customFormat="false" ht="12.75" hidden="false" customHeight="false" outlineLevel="0" collapsed="false">
      <c r="A672" s="2" t="s">
        <v>72</v>
      </c>
      <c r="B672" s="2" t="s">
        <v>12403</v>
      </c>
      <c r="C672" s="2"/>
      <c r="D672" s="2"/>
      <c r="E672" s="2"/>
      <c r="F672" s="2" t="s">
        <v>12404</v>
      </c>
      <c r="G672" s="2"/>
      <c r="H672" s="2"/>
      <c r="I672" s="2" t="s">
        <v>12405</v>
      </c>
      <c r="J672" s="2" t="s">
        <v>1863</v>
      </c>
      <c r="K672" s="2"/>
      <c r="L672" s="2"/>
      <c r="M672" s="2" t="s">
        <v>77</v>
      </c>
      <c r="N672" s="2" t="s">
        <v>78</v>
      </c>
      <c r="O672" s="2"/>
      <c r="P672" s="2"/>
      <c r="Q672" s="2"/>
      <c r="R672" s="2"/>
      <c r="S672" s="2"/>
      <c r="T672" s="2" t="s">
        <v>12406</v>
      </c>
      <c r="U672" s="2" t="s">
        <v>12407</v>
      </c>
      <c r="V672" s="2" t="s">
        <v>12408</v>
      </c>
      <c r="W672" s="2" t="s">
        <v>12409</v>
      </c>
      <c r="X672" s="2" t="s">
        <v>12410</v>
      </c>
      <c r="Y672" s="2" t="s">
        <v>12411</v>
      </c>
      <c r="Z672" s="2" t="s">
        <v>12412</v>
      </c>
      <c r="AA672" s="2" t="s">
        <v>3047</v>
      </c>
      <c r="AB672" s="2" t="s">
        <v>3048</v>
      </c>
      <c r="AC672" s="2" t="s">
        <v>12413</v>
      </c>
      <c r="AD672" s="2" t="s">
        <v>12414</v>
      </c>
      <c r="AE672" s="2" t="s">
        <v>12415</v>
      </c>
      <c r="AF672" s="2"/>
      <c r="AG672" s="2" t="n">
        <v>23</v>
      </c>
      <c r="AH672" s="2" t="n">
        <v>19</v>
      </c>
      <c r="AI672" s="2" t="n">
        <v>22</v>
      </c>
      <c r="AJ672" s="2" t="n">
        <v>0</v>
      </c>
      <c r="AK672" s="2" t="n">
        <v>7</v>
      </c>
      <c r="AL672" s="2" t="s">
        <v>2337</v>
      </c>
      <c r="AM672" s="2" t="s">
        <v>303</v>
      </c>
      <c r="AN672" s="2" t="s">
        <v>2338</v>
      </c>
      <c r="AO672" s="2" t="s">
        <v>1876</v>
      </c>
      <c r="AP672" s="2"/>
      <c r="AQ672" s="2"/>
      <c r="AR672" s="2" t="s">
        <v>1877</v>
      </c>
      <c r="AS672" s="2" t="s">
        <v>1878</v>
      </c>
      <c r="AT672" s="2" t="s">
        <v>12416</v>
      </c>
      <c r="AU672" s="2" t="n">
        <v>2012</v>
      </c>
      <c r="AV672" s="2" t="n">
        <v>9</v>
      </c>
      <c r="AW672" s="2"/>
      <c r="AX672" s="2"/>
      <c r="AY672" s="2"/>
      <c r="AZ672" s="2"/>
      <c r="BA672" s="2"/>
      <c r="BB672" s="2"/>
      <c r="BC672" s="2"/>
      <c r="BD672" s="2" t="n">
        <v>130</v>
      </c>
      <c r="BE672" s="2" t="s">
        <v>12417</v>
      </c>
      <c r="BF672" s="2" t="str">
        <f aca="false">HYPERLINK("http://dx.doi.org/10.1186/1743-422X-9-130","http://dx.doi.org/10.1186/1743-422X-9-130")</f>
        <v>http://dx.doi.org/10.1186/1743-422X-9-130</v>
      </c>
      <c r="BG672" s="2"/>
      <c r="BH672" s="2"/>
      <c r="BI672" s="2" t="n">
        <v>5</v>
      </c>
      <c r="BJ672" s="2" t="s">
        <v>163</v>
      </c>
      <c r="BK672" s="2" t="s">
        <v>100</v>
      </c>
      <c r="BL672" s="2" t="s">
        <v>163</v>
      </c>
      <c r="BM672" s="2" t="s">
        <v>12418</v>
      </c>
      <c r="BN672" s="2" t="n">
        <v>22748150</v>
      </c>
      <c r="BO672" s="2" t="s">
        <v>190</v>
      </c>
      <c r="BP672" s="2"/>
      <c r="BQ672" s="2"/>
      <c r="BR672" s="2" t="s">
        <v>104</v>
      </c>
      <c r="BS672" s="2" t="s">
        <v>12419</v>
      </c>
      <c r="BT672" s="2" t="str">
        <f aca="false">HYPERLINK("https%3A%2F%2Fwww.webofscience.com%2Fwos%2Fwoscc%2Ffull-record%2FWOS:000307813400001","View Full Record in Web of Science")</f>
        <v>View Full Record in Web of Science</v>
      </c>
    </row>
    <row r="673" customFormat="false" ht="12.75" hidden="false" customHeight="false" outlineLevel="0" collapsed="false">
      <c r="A673" s="2" t="s">
        <v>72</v>
      </c>
      <c r="B673" s="2" t="s">
        <v>12420</v>
      </c>
      <c r="C673" s="2"/>
      <c r="D673" s="2"/>
      <c r="E673" s="2"/>
      <c r="F673" s="2" t="s">
        <v>12421</v>
      </c>
      <c r="G673" s="2"/>
      <c r="H673" s="2"/>
      <c r="I673" s="2" t="s">
        <v>12422</v>
      </c>
      <c r="J673" s="2" t="s">
        <v>370</v>
      </c>
      <c r="K673" s="2"/>
      <c r="L673" s="2"/>
      <c r="M673" s="2" t="s">
        <v>77</v>
      </c>
      <c r="N673" s="2" t="s">
        <v>78</v>
      </c>
      <c r="O673" s="2"/>
      <c r="P673" s="2"/>
      <c r="Q673" s="2"/>
      <c r="R673" s="2"/>
      <c r="S673" s="2"/>
      <c r="T673" s="2" t="s">
        <v>12423</v>
      </c>
      <c r="U673" s="2" t="s">
        <v>12424</v>
      </c>
      <c r="V673" s="2" t="s">
        <v>12425</v>
      </c>
      <c r="W673" s="2" t="s">
        <v>12426</v>
      </c>
      <c r="X673" s="2" t="s">
        <v>12427</v>
      </c>
      <c r="Y673" s="2" t="s">
        <v>12428</v>
      </c>
      <c r="Z673" s="2" t="s">
        <v>12429</v>
      </c>
      <c r="AA673" s="2" t="s">
        <v>12430</v>
      </c>
      <c r="AB673" s="2"/>
      <c r="AC673" s="2" t="s">
        <v>12431</v>
      </c>
      <c r="AD673" s="2" t="s">
        <v>12432</v>
      </c>
      <c r="AE673" s="2" t="s">
        <v>12433</v>
      </c>
      <c r="AF673" s="2"/>
      <c r="AG673" s="2" t="n">
        <v>39</v>
      </c>
      <c r="AH673" s="2" t="n">
        <v>21</v>
      </c>
      <c r="AI673" s="2" t="n">
        <v>25</v>
      </c>
      <c r="AJ673" s="2" t="n">
        <v>0</v>
      </c>
      <c r="AK673" s="2" t="n">
        <v>15</v>
      </c>
      <c r="AL673" s="2" t="s">
        <v>549</v>
      </c>
      <c r="AM673" s="2" t="s">
        <v>384</v>
      </c>
      <c r="AN673" s="2" t="s">
        <v>550</v>
      </c>
      <c r="AO673" s="2" t="s">
        <v>386</v>
      </c>
      <c r="AP673" s="2" t="s">
        <v>387</v>
      </c>
      <c r="AQ673" s="2"/>
      <c r="AR673" s="2" t="s">
        <v>388</v>
      </c>
      <c r="AS673" s="2" t="s">
        <v>389</v>
      </c>
      <c r="AT673" s="2" t="s">
        <v>185</v>
      </c>
      <c r="AU673" s="2" t="n">
        <v>2015</v>
      </c>
      <c r="AV673" s="2" t="n">
        <v>69</v>
      </c>
      <c r="AW673" s="2"/>
      <c r="AX673" s="2"/>
      <c r="AY673" s="2"/>
      <c r="AZ673" s="2"/>
      <c r="BA673" s="2"/>
      <c r="BB673" s="2" t="n">
        <v>1</v>
      </c>
      <c r="BC673" s="2" t="n">
        <v>6</v>
      </c>
      <c r="BD673" s="2"/>
      <c r="BE673" s="2" t="s">
        <v>12434</v>
      </c>
      <c r="BF673" s="2" t="str">
        <f aca="false">HYPERLINK("http://dx.doi.org/10.1016/j.jcv.2015.05.015","http://dx.doi.org/10.1016/j.jcv.2015.05.015")</f>
        <v>http://dx.doi.org/10.1016/j.jcv.2015.05.015</v>
      </c>
      <c r="BG673" s="2"/>
      <c r="BH673" s="2"/>
      <c r="BI673" s="2" t="n">
        <v>6</v>
      </c>
      <c r="BJ673" s="2" t="s">
        <v>163</v>
      </c>
      <c r="BK673" s="2" t="s">
        <v>100</v>
      </c>
      <c r="BL673" s="2" t="s">
        <v>163</v>
      </c>
      <c r="BM673" s="2" t="s">
        <v>12435</v>
      </c>
      <c r="BN673" s="2" t="n">
        <v>26209367</v>
      </c>
      <c r="BO673" s="2" t="s">
        <v>1227</v>
      </c>
      <c r="BP673" s="2"/>
      <c r="BQ673" s="2"/>
      <c r="BR673" s="2" t="s">
        <v>104</v>
      </c>
      <c r="BS673" s="2" t="s">
        <v>12436</v>
      </c>
      <c r="BT673" s="2" t="str">
        <f aca="false">HYPERLINK("https%3A%2F%2Fwww.webofscience.com%2Fwos%2Fwoscc%2Ffull-record%2FWOS:000358318400001","View Full Record in Web of Science")</f>
        <v>View Full Record in Web of Science</v>
      </c>
    </row>
    <row r="674" customFormat="false" ht="12.75" hidden="false" customHeight="false" outlineLevel="0" collapsed="false">
      <c r="A674" s="2" t="s">
        <v>72</v>
      </c>
      <c r="B674" s="2" t="s">
        <v>12437</v>
      </c>
      <c r="C674" s="2"/>
      <c r="D674" s="2"/>
      <c r="E674" s="2"/>
      <c r="F674" s="2" t="s">
        <v>12438</v>
      </c>
      <c r="G674" s="2"/>
      <c r="H674" s="2"/>
      <c r="I674" s="2" t="s">
        <v>12439</v>
      </c>
      <c r="J674" s="2" t="s">
        <v>717</v>
      </c>
      <c r="K674" s="2"/>
      <c r="L674" s="2"/>
      <c r="M674" s="2" t="s">
        <v>77</v>
      </c>
      <c r="N674" s="2" t="s">
        <v>78</v>
      </c>
      <c r="O674" s="2"/>
      <c r="P674" s="2"/>
      <c r="Q674" s="2"/>
      <c r="R674" s="2"/>
      <c r="S674" s="2"/>
      <c r="T674" s="2" t="s">
        <v>12440</v>
      </c>
      <c r="U674" s="2" t="s">
        <v>12441</v>
      </c>
      <c r="V674" s="2" t="s">
        <v>12442</v>
      </c>
      <c r="W674" s="2" t="s">
        <v>12443</v>
      </c>
      <c r="X674" s="2" t="s">
        <v>12444</v>
      </c>
      <c r="Y674" s="2" t="s">
        <v>12445</v>
      </c>
      <c r="Z674" s="2" t="s">
        <v>12412</v>
      </c>
      <c r="AA674" s="2" t="s">
        <v>12446</v>
      </c>
      <c r="AB674" s="2" t="s">
        <v>12447</v>
      </c>
      <c r="AC674" s="2" t="s">
        <v>5092</v>
      </c>
      <c r="AD674" s="2" t="s">
        <v>5093</v>
      </c>
      <c r="AE674" s="2" t="s">
        <v>12448</v>
      </c>
      <c r="AF674" s="2"/>
      <c r="AG674" s="2" t="n">
        <v>37</v>
      </c>
      <c r="AH674" s="2" t="n">
        <v>7</v>
      </c>
      <c r="AI674" s="2" t="n">
        <v>8</v>
      </c>
      <c r="AJ674" s="2" t="n">
        <v>0</v>
      </c>
      <c r="AK674" s="2" t="n">
        <v>4</v>
      </c>
      <c r="AL674" s="2" t="s">
        <v>549</v>
      </c>
      <c r="AM674" s="2" t="s">
        <v>384</v>
      </c>
      <c r="AN674" s="2" t="s">
        <v>550</v>
      </c>
      <c r="AO674" s="2" t="s">
        <v>729</v>
      </c>
      <c r="AP674" s="2"/>
      <c r="AQ674" s="2"/>
      <c r="AR674" s="2" t="s">
        <v>731</v>
      </c>
      <c r="AS674" s="2" t="s">
        <v>732</v>
      </c>
      <c r="AT674" s="2" t="s">
        <v>129</v>
      </c>
      <c r="AU674" s="2" t="n">
        <v>2010</v>
      </c>
      <c r="AV674" s="2" t="n">
        <v>168</v>
      </c>
      <c r="AW674" s="2" t="s">
        <v>1407</v>
      </c>
      <c r="AX674" s="2"/>
      <c r="AY674" s="2"/>
      <c r="AZ674" s="2"/>
      <c r="BA674" s="2"/>
      <c r="BB674" s="2" t="n">
        <v>170</v>
      </c>
      <c r="BC674" s="2" t="n">
        <v>176</v>
      </c>
      <c r="BD674" s="2"/>
      <c r="BE674" s="2" t="s">
        <v>12449</v>
      </c>
      <c r="BF674" s="2" t="str">
        <f aca="false">HYPERLINK("http://dx.doi.org/10.1016/j.jviromet.2010.05.011","http://dx.doi.org/10.1016/j.jviromet.2010.05.011")</f>
        <v>http://dx.doi.org/10.1016/j.jviromet.2010.05.011</v>
      </c>
      <c r="BG674" s="2"/>
      <c r="BH674" s="2"/>
      <c r="BI674" s="2" t="n">
        <v>7</v>
      </c>
      <c r="BJ674" s="2" t="s">
        <v>735</v>
      </c>
      <c r="BK674" s="2" t="s">
        <v>100</v>
      </c>
      <c r="BL674" s="2" t="s">
        <v>736</v>
      </c>
      <c r="BM674" s="2" t="s">
        <v>12450</v>
      </c>
      <c r="BN674" s="2" t="n">
        <v>20488207</v>
      </c>
      <c r="BO674" s="2"/>
      <c r="BP674" s="2"/>
      <c r="BQ674" s="2"/>
      <c r="BR674" s="2" t="s">
        <v>104</v>
      </c>
      <c r="BS674" s="2" t="s">
        <v>12451</v>
      </c>
      <c r="BT674" s="2" t="str">
        <f aca="false">HYPERLINK("https%3A%2F%2Fwww.webofscience.com%2Fwos%2Fwoscc%2Ffull-record%2FWOS:000280869400029","View Full Record in Web of Science")</f>
        <v>View Full Record in Web of Science</v>
      </c>
    </row>
    <row r="675" customFormat="false" ht="12.75" hidden="false" customHeight="false" outlineLevel="0" collapsed="false">
      <c r="A675" s="2" t="s">
        <v>72</v>
      </c>
      <c r="B675" s="2" t="s">
        <v>12452</v>
      </c>
      <c r="C675" s="2"/>
      <c r="D675" s="2"/>
      <c r="E675" s="2"/>
      <c r="F675" s="2" t="s">
        <v>12453</v>
      </c>
      <c r="G675" s="2"/>
      <c r="H675" s="2"/>
      <c r="I675" s="2" t="s">
        <v>12454</v>
      </c>
      <c r="J675" s="2" t="s">
        <v>717</v>
      </c>
      <c r="K675" s="2"/>
      <c r="L675" s="2"/>
      <c r="M675" s="2" t="s">
        <v>77</v>
      </c>
      <c r="N675" s="2" t="s">
        <v>78</v>
      </c>
      <c r="O675" s="2"/>
      <c r="P675" s="2"/>
      <c r="Q675" s="2"/>
      <c r="R675" s="2"/>
      <c r="S675" s="2"/>
      <c r="T675" s="2" t="s">
        <v>12455</v>
      </c>
      <c r="U675" s="2" t="s">
        <v>12456</v>
      </c>
      <c r="V675" s="2" t="s">
        <v>12457</v>
      </c>
      <c r="W675" s="2" t="s">
        <v>12458</v>
      </c>
      <c r="X675" s="2" t="s">
        <v>12459</v>
      </c>
      <c r="Y675" s="2" t="s">
        <v>12460</v>
      </c>
      <c r="Z675" s="2" t="s">
        <v>4418</v>
      </c>
      <c r="AA675" s="2" t="s">
        <v>12461</v>
      </c>
      <c r="AB675" s="2" t="s">
        <v>12462</v>
      </c>
      <c r="AC675" s="2" t="s">
        <v>12463</v>
      </c>
      <c r="AD675" s="2" t="s">
        <v>12464</v>
      </c>
      <c r="AE675" s="2"/>
      <c r="AF675" s="2"/>
      <c r="AG675" s="2" t="n">
        <v>33</v>
      </c>
      <c r="AH675" s="2" t="n">
        <v>9</v>
      </c>
      <c r="AI675" s="2" t="n">
        <v>9</v>
      </c>
      <c r="AJ675" s="2" t="n">
        <v>1</v>
      </c>
      <c r="AK675" s="2" t="n">
        <v>16</v>
      </c>
      <c r="AL675" s="2" t="s">
        <v>549</v>
      </c>
      <c r="AM675" s="2" t="s">
        <v>384</v>
      </c>
      <c r="AN675" s="2" t="s">
        <v>550</v>
      </c>
      <c r="AO675" s="2" t="s">
        <v>729</v>
      </c>
      <c r="AP675" s="2" t="s">
        <v>730</v>
      </c>
      <c r="AQ675" s="2"/>
      <c r="AR675" s="2" t="s">
        <v>731</v>
      </c>
      <c r="AS675" s="2" t="s">
        <v>732</v>
      </c>
      <c r="AT675" s="2" t="s">
        <v>5247</v>
      </c>
      <c r="AU675" s="2" t="n">
        <v>2014</v>
      </c>
      <c r="AV675" s="2" t="n">
        <v>206</v>
      </c>
      <c r="AW675" s="2"/>
      <c r="AX675" s="2"/>
      <c r="AY675" s="2"/>
      <c r="AZ675" s="2"/>
      <c r="BA675" s="2"/>
      <c r="BB675" s="2" t="n">
        <v>55</v>
      </c>
      <c r="BC675" s="2" t="n">
        <v>62</v>
      </c>
      <c r="BD675" s="2"/>
      <c r="BE675" s="2" t="s">
        <v>12465</v>
      </c>
      <c r="BF675" s="2" t="str">
        <f aca="false">HYPERLINK("http://dx.doi.org/10.1016/j.jviromet.2014.05.008","http://dx.doi.org/10.1016/j.jviromet.2014.05.008")</f>
        <v>http://dx.doi.org/10.1016/j.jviromet.2014.05.008</v>
      </c>
      <c r="BG675" s="2"/>
      <c r="BH675" s="2"/>
      <c r="BI675" s="2" t="n">
        <v>8</v>
      </c>
      <c r="BJ675" s="2" t="s">
        <v>735</v>
      </c>
      <c r="BK675" s="2" t="s">
        <v>100</v>
      </c>
      <c r="BL675" s="2" t="s">
        <v>736</v>
      </c>
      <c r="BM675" s="2" t="s">
        <v>12466</v>
      </c>
      <c r="BN675" s="2" t="n">
        <v>24859050</v>
      </c>
      <c r="BO675" s="2" t="s">
        <v>695</v>
      </c>
      <c r="BP675" s="2"/>
      <c r="BQ675" s="2"/>
      <c r="BR675" s="2" t="s">
        <v>104</v>
      </c>
      <c r="BS675" s="2" t="s">
        <v>12467</v>
      </c>
      <c r="BT675" s="2" t="str">
        <f aca="false">HYPERLINK("https%3A%2F%2Fwww.webofscience.com%2Fwos%2Fwoscc%2Ffull-record%2FWOS:000340219100010","View Full Record in Web of Science")</f>
        <v>View Full Record in Web of Science</v>
      </c>
    </row>
    <row r="676" customFormat="false" ht="12.75" hidden="false" customHeight="false" outlineLevel="0" collapsed="false">
      <c r="A676" s="2" t="s">
        <v>72</v>
      </c>
      <c r="B676" s="2" t="s">
        <v>12468</v>
      </c>
      <c r="C676" s="2"/>
      <c r="D676" s="2"/>
      <c r="E676" s="2"/>
      <c r="F676" s="2" t="s">
        <v>12469</v>
      </c>
      <c r="G676" s="2"/>
      <c r="H676" s="2"/>
      <c r="I676" s="2" t="s">
        <v>12470</v>
      </c>
      <c r="J676" s="2" t="s">
        <v>12471</v>
      </c>
      <c r="K676" s="2"/>
      <c r="L676" s="2"/>
      <c r="M676" s="2" t="s">
        <v>77</v>
      </c>
      <c r="N676" s="2" t="s">
        <v>78</v>
      </c>
      <c r="O676" s="2"/>
      <c r="P676" s="2"/>
      <c r="Q676" s="2"/>
      <c r="R676" s="2"/>
      <c r="S676" s="2"/>
      <c r="T676" s="2" t="s">
        <v>12472</v>
      </c>
      <c r="U676" s="2" t="s">
        <v>12473</v>
      </c>
      <c r="V676" s="2" t="s">
        <v>12474</v>
      </c>
      <c r="W676" s="2" t="s">
        <v>12475</v>
      </c>
      <c r="X676" s="2" t="s">
        <v>12476</v>
      </c>
      <c r="Y676" s="2" t="s">
        <v>12477</v>
      </c>
      <c r="Z676" s="2" t="s">
        <v>12478</v>
      </c>
      <c r="AA676" s="2" t="s">
        <v>12479</v>
      </c>
      <c r="AB676" s="2" t="s">
        <v>12480</v>
      </c>
      <c r="AC676" s="2"/>
      <c r="AD676" s="2"/>
      <c r="AE676" s="2"/>
      <c r="AF676" s="2"/>
      <c r="AG676" s="2" t="n">
        <v>84</v>
      </c>
      <c r="AH676" s="2" t="n">
        <v>1</v>
      </c>
      <c r="AI676" s="2" t="n">
        <v>1</v>
      </c>
      <c r="AJ676" s="2" t="n">
        <v>1</v>
      </c>
      <c r="AK676" s="2" t="n">
        <v>4</v>
      </c>
      <c r="AL676" s="2" t="s">
        <v>1460</v>
      </c>
      <c r="AM676" s="2" t="s">
        <v>593</v>
      </c>
      <c r="AN676" s="2" t="s">
        <v>2088</v>
      </c>
      <c r="AO676" s="2" t="s">
        <v>12481</v>
      </c>
      <c r="AP676" s="2"/>
      <c r="AQ676" s="2"/>
      <c r="AR676" s="2" t="s">
        <v>12482</v>
      </c>
      <c r="AS676" s="2" t="s">
        <v>12483</v>
      </c>
      <c r="AT676" s="2" t="s">
        <v>12484</v>
      </c>
      <c r="AU676" s="2" t="n">
        <v>2023</v>
      </c>
      <c r="AV676" s="2" t="n">
        <v>21</v>
      </c>
      <c r="AW676" s="2" t="n">
        <v>1</v>
      </c>
      <c r="AX676" s="2"/>
      <c r="AY676" s="2"/>
      <c r="AZ676" s="2"/>
      <c r="BA676" s="2"/>
      <c r="BB676" s="2"/>
      <c r="BC676" s="2"/>
      <c r="BD676" s="2" t="n">
        <v>162</v>
      </c>
      <c r="BE676" s="2" t="s">
        <v>12485</v>
      </c>
      <c r="BF676" s="2" t="str">
        <f aca="false">HYPERLINK("http://dx.doi.org/10.1186/s43141-023-00623-5","http://dx.doi.org/10.1186/s43141-023-00623-5")</f>
        <v>http://dx.doi.org/10.1186/s43141-023-00623-5</v>
      </c>
      <c r="BG676" s="2"/>
      <c r="BH676" s="2"/>
      <c r="BI676" s="2" t="n">
        <v>20</v>
      </c>
      <c r="BJ676" s="2" t="s">
        <v>12486</v>
      </c>
      <c r="BK676" s="2" t="s">
        <v>339</v>
      </c>
      <c r="BL676" s="2" t="s">
        <v>12487</v>
      </c>
      <c r="BM676" s="2" t="s">
        <v>12488</v>
      </c>
      <c r="BN676" s="2" t="n">
        <v>38055114</v>
      </c>
      <c r="BO676" s="2" t="s">
        <v>1355</v>
      </c>
      <c r="BP676" s="2"/>
      <c r="BQ676" s="2"/>
      <c r="BR676" s="2" t="s">
        <v>104</v>
      </c>
      <c r="BS676" s="2" t="s">
        <v>12489</v>
      </c>
      <c r="BT676" s="2" t="str">
        <f aca="false">HYPERLINK("https%3A%2F%2Fwww.webofscience.com%2Fwos%2Fwoscc%2Ffull-record%2FWOS:001114671700001","View Full Record in Web of Science")</f>
        <v>View Full Record in Web of Science</v>
      </c>
    </row>
    <row r="677" customFormat="false" ht="12.75" hidden="false" customHeight="false" outlineLevel="0" collapsed="false">
      <c r="A677" s="2" t="s">
        <v>72</v>
      </c>
      <c r="B677" s="2" t="s">
        <v>12490</v>
      </c>
      <c r="C677" s="2"/>
      <c r="D677" s="2"/>
      <c r="E677" s="2"/>
      <c r="F677" s="2" t="s">
        <v>12491</v>
      </c>
      <c r="G677" s="2"/>
      <c r="H677" s="2"/>
      <c r="I677" s="2" t="s">
        <v>12492</v>
      </c>
      <c r="J677" s="2" t="s">
        <v>6395</v>
      </c>
      <c r="K677" s="2"/>
      <c r="L677" s="2"/>
      <c r="M677" s="2" t="s">
        <v>77</v>
      </c>
      <c r="N677" s="2" t="s">
        <v>78</v>
      </c>
      <c r="O677" s="2"/>
      <c r="P677" s="2"/>
      <c r="Q677" s="2"/>
      <c r="R677" s="2"/>
      <c r="S677" s="2"/>
      <c r="T677" s="2" t="s">
        <v>12493</v>
      </c>
      <c r="U677" s="2" t="s">
        <v>12494</v>
      </c>
      <c r="V677" s="2" t="s">
        <v>12495</v>
      </c>
      <c r="W677" s="2" t="s">
        <v>12496</v>
      </c>
      <c r="X677" s="2" t="s">
        <v>12497</v>
      </c>
      <c r="Y677" s="2" t="s">
        <v>12498</v>
      </c>
      <c r="Z677" s="2" t="s">
        <v>12499</v>
      </c>
      <c r="AA677" s="2" t="s">
        <v>12500</v>
      </c>
      <c r="AB677" s="2" t="s">
        <v>12501</v>
      </c>
      <c r="AC677" s="2"/>
      <c r="AD677" s="2"/>
      <c r="AE677" s="2"/>
      <c r="AF677" s="2"/>
      <c r="AG677" s="2" t="n">
        <v>32</v>
      </c>
      <c r="AH677" s="2" t="n">
        <v>1</v>
      </c>
      <c r="AI677" s="2" t="n">
        <v>1</v>
      </c>
      <c r="AJ677" s="2" t="n">
        <v>5</v>
      </c>
      <c r="AK677" s="2" t="n">
        <v>7</v>
      </c>
      <c r="AL677" s="2" t="s">
        <v>6405</v>
      </c>
      <c r="AM677" s="2" t="s">
        <v>6406</v>
      </c>
      <c r="AN677" s="2" t="s">
        <v>6407</v>
      </c>
      <c r="AO677" s="2" t="s">
        <v>6408</v>
      </c>
      <c r="AP677" s="2"/>
      <c r="AQ677" s="2"/>
      <c r="AR677" s="2" t="s">
        <v>6409</v>
      </c>
      <c r="AS677" s="2" t="s">
        <v>6410</v>
      </c>
      <c r="AT677" s="2" t="s">
        <v>12502</v>
      </c>
      <c r="AU677" s="2" t="n">
        <v>2024</v>
      </c>
      <c r="AV677" s="2" t="n">
        <v>14</v>
      </c>
      <c r="AW677" s="2" t="n">
        <v>1</v>
      </c>
      <c r="AX677" s="2"/>
      <c r="AY677" s="2"/>
      <c r="AZ677" s="2"/>
      <c r="BA677" s="2"/>
      <c r="BB677" s="2"/>
      <c r="BC677" s="2"/>
      <c r="BD677" s="2" t="n">
        <v>4111</v>
      </c>
      <c r="BE677" s="2" t="s">
        <v>12503</v>
      </c>
      <c r="BF677" s="2" t="str">
        <f aca="false">HYPERLINK("http://dx.doi.org/10.1038/s41598-024-54624-6","http://dx.doi.org/10.1038/s41598-024-54624-6")</f>
        <v>http://dx.doi.org/10.1038/s41598-024-54624-6</v>
      </c>
      <c r="BG677" s="2"/>
      <c r="BH677" s="2"/>
      <c r="BI677" s="2" t="n">
        <v>13</v>
      </c>
      <c r="BJ677" s="2" t="s">
        <v>1658</v>
      </c>
      <c r="BK677" s="2" t="s">
        <v>100</v>
      </c>
      <c r="BL677" s="2" t="s">
        <v>1659</v>
      </c>
      <c r="BM677" s="2" t="s">
        <v>12504</v>
      </c>
      <c r="BN677" s="2" t="n">
        <v>38374384</v>
      </c>
      <c r="BO677" s="2" t="s">
        <v>6349</v>
      </c>
      <c r="BP677" s="2"/>
      <c r="BQ677" s="2"/>
      <c r="BR677" s="2" t="s">
        <v>104</v>
      </c>
      <c r="BS677" s="2" t="s">
        <v>12505</v>
      </c>
      <c r="BT677" s="2" t="str">
        <f aca="false">HYPERLINK("https%3A%2F%2Fwww.webofscience.com%2Fwos%2Fwoscc%2Ffull-record%2FWOS:001167137100029","View Full Record in Web of Science")</f>
        <v>View Full Record in Web of Science</v>
      </c>
    </row>
    <row r="678" customFormat="false" ht="12.75" hidden="false" customHeight="false" outlineLevel="0" collapsed="false">
      <c r="A678" s="2" t="s">
        <v>72</v>
      </c>
      <c r="B678" s="2" t="s">
        <v>12506</v>
      </c>
      <c r="C678" s="2"/>
      <c r="D678" s="2"/>
      <c r="E678" s="2"/>
      <c r="F678" s="2" t="s">
        <v>12507</v>
      </c>
      <c r="G678" s="2"/>
      <c r="H678" s="2"/>
      <c r="I678" s="2" t="s">
        <v>12508</v>
      </c>
      <c r="J678" s="2" t="s">
        <v>4235</v>
      </c>
      <c r="K678" s="2"/>
      <c r="L678" s="2"/>
      <c r="M678" s="2" t="s">
        <v>77</v>
      </c>
      <c r="N678" s="2" t="s">
        <v>78</v>
      </c>
      <c r="O678" s="2"/>
      <c r="P678" s="2"/>
      <c r="Q678" s="2"/>
      <c r="R678" s="2"/>
      <c r="S678" s="2"/>
      <c r="T678" s="2" t="s">
        <v>12509</v>
      </c>
      <c r="U678" s="2" t="s">
        <v>12510</v>
      </c>
      <c r="V678" s="2" t="s">
        <v>12511</v>
      </c>
      <c r="W678" s="2" t="s">
        <v>12512</v>
      </c>
      <c r="X678" s="2" t="s">
        <v>12513</v>
      </c>
      <c r="Y678" s="2" t="s">
        <v>12514</v>
      </c>
      <c r="Z678" s="2" t="s">
        <v>12515</v>
      </c>
      <c r="AA678" s="2" t="s">
        <v>12516</v>
      </c>
      <c r="AB678" s="2" t="s">
        <v>12517</v>
      </c>
      <c r="AC678" s="2" t="s">
        <v>12518</v>
      </c>
      <c r="AD678" s="2" t="s">
        <v>12518</v>
      </c>
      <c r="AE678" s="2" t="s">
        <v>12519</v>
      </c>
      <c r="AF678" s="2"/>
      <c r="AG678" s="2" t="n">
        <v>22</v>
      </c>
      <c r="AH678" s="2" t="n">
        <v>6</v>
      </c>
      <c r="AI678" s="2" t="n">
        <v>7</v>
      </c>
      <c r="AJ678" s="2" t="n">
        <v>0</v>
      </c>
      <c r="AK678" s="2" t="n">
        <v>7</v>
      </c>
      <c r="AL678" s="2" t="s">
        <v>302</v>
      </c>
      <c r="AM678" s="2" t="s">
        <v>303</v>
      </c>
      <c r="AN678" s="2" t="s">
        <v>304</v>
      </c>
      <c r="AO678" s="2" t="s">
        <v>4248</v>
      </c>
      <c r="AP678" s="2"/>
      <c r="AQ678" s="2"/>
      <c r="AR678" s="2" t="s">
        <v>4249</v>
      </c>
      <c r="AS678" s="2" t="s">
        <v>4250</v>
      </c>
      <c r="AT678" s="2" t="s">
        <v>12520</v>
      </c>
      <c r="AU678" s="2" t="n">
        <v>2020</v>
      </c>
      <c r="AV678" s="2" t="n">
        <v>20</v>
      </c>
      <c r="AW678" s="2" t="n">
        <v>1</v>
      </c>
      <c r="AX678" s="2"/>
      <c r="AY678" s="2"/>
      <c r="AZ678" s="2"/>
      <c r="BA678" s="2"/>
      <c r="BB678" s="2"/>
      <c r="BC678" s="2"/>
      <c r="BD678" s="2" t="n">
        <v>39</v>
      </c>
      <c r="BE678" s="2" t="s">
        <v>12521</v>
      </c>
      <c r="BF678" s="2" t="str">
        <f aca="false">HYPERLINK("http://dx.doi.org/10.1186/s12890-020-1082-5","http://dx.doi.org/10.1186/s12890-020-1082-5")</f>
        <v>http://dx.doi.org/10.1186/s12890-020-1082-5</v>
      </c>
      <c r="BG678" s="2"/>
      <c r="BH678" s="2"/>
      <c r="BI678" s="2" t="n">
        <v>6</v>
      </c>
      <c r="BJ678" s="2" t="s">
        <v>338</v>
      </c>
      <c r="BK678" s="2" t="s">
        <v>100</v>
      </c>
      <c r="BL678" s="2" t="s">
        <v>338</v>
      </c>
      <c r="BM678" s="2" t="s">
        <v>12522</v>
      </c>
      <c r="BN678" s="2" t="n">
        <v>32054471</v>
      </c>
      <c r="BO678" s="2" t="s">
        <v>103</v>
      </c>
      <c r="BP678" s="2"/>
      <c r="BQ678" s="2"/>
      <c r="BR678" s="2" t="s">
        <v>104</v>
      </c>
      <c r="BS678" s="2" t="s">
        <v>12523</v>
      </c>
      <c r="BT678" s="2" t="str">
        <f aca="false">HYPERLINK("https%3A%2F%2Fwww.webofscience.com%2Fwos%2Fwoscc%2Ffull-record%2FWOS:000514921200001","View Full Record in Web of Science")</f>
        <v>View Full Record in Web of Science</v>
      </c>
    </row>
    <row r="679" customFormat="false" ht="12.75" hidden="false" customHeight="false" outlineLevel="0" collapsed="false">
      <c r="A679" s="2" t="s">
        <v>72</v>
      </c>
      <c r="B679" s="2" t="s">
        <v>12524</v>
      </c>
      <c r="C679" s="2"/>
      <c r="D679" s="2"/>
      <c r="E679" s="2"/>
      <c r="F679" s="2" t="s">
        <v>12525</v>
      </c>
      <c r="G679" s="2"/>
      <c r="H679" s="2"/>
      <c r="I679" s="2" t="s">
        <v>12526</v>
      </c>
      <c r="J679" s="2" t="s">
        <v>12527</v>
      </c>
      <c r="K679" s="2"/>
      <c r="L679" s="2"/>
      <c r="M679" s="2" t="s">
        <v>77</v>
      </c>
      <c r="N679" s="2" t="s">
        <v>78</v>
      </c>
      <c r="O679" s="2"/>
      <c r="P679" s="2"/>
      <c r="Q679" s="2"/>
      <c r="R679" s="2"/>
      <c r="S679" s="2"/>
      <c r="T679" s="2" t="s">
        <v>12528</v>
      </c>
      <c r="U679" s="2" t="s">
        <v>12529</v>
      </c>
      <c r="V679" s="2" t="s">
        <v>12530</v>
      </c>
      <c r="W679" s="2" t="s">
        <v>12531</v>
      </c>
      <c r="X679" s="2" t="s">
        <v>12532</v>
      </c>
      <c r="Y679" s="2" t="s">
        <v>12533</v>
      </c>
      <c r="Z679" s="2" t="s">
        <v>12534</v>
      </c>
      <c r="AA679" s="2" t="s">
        <v>2491</v>
      </c>
      <c r="AB679" s="2" t="s">
        <v>12535</v>
      </c>
      <c r="AC679" s="2" t="s">
        <v>12536</v>
      </c>
      <c r="AD679" s="2" t="s">
        <v>12536</v>
      </c>
      <c r="AE679" s="2" t="s">
        <v>12537</v>
      </c>
      <c r="AF679" s="2"/>
      <c r="AG679" s="2" t="n">
        <v>35</v>
      </c>
      <c r="AH679" s="2" t="n">
        <v>8</v>
      </c>
      <c r="AI679" s="2" t="n">
        <v>9</v>
      </c>
      <c r="AJ679" s="2" t="n">
        <v>0</v>
      </c>
      <c r="AK679" s="2" t="n">
        <v>5</v>
      </c>
      <c r="AL679" s="2" t="s">
        <v>154</v>
      </c>
      <c r="AM679" s="2" t="s">
        <v>155</v>
      </c>
      <c r="AN679" s="2" t="s">
        <v>12538</v>
      </c>
      <c r="AO679" s="2" t="s">
        <v>12539</v>
      </c>
      <c r="AP679" s="2" t="s">
        <v>12540</v>
      </c>
      <c r="AQ679" s="2"/>
      <c r="AR679" s="2" t="s">
        <v>12541</v>
      </c>
      <c r="AS679" s="2" t="s">
        <v>12542</v>
      </c>
      <c r="AT679" s="2" t="s">
        <v>129</v>
      </c>
      <c r="AU679" s="2" t="n">
        <v>2014</v>
      </c>
      <c r="AV679" s="2" t="n">
        <v>28</v>
      </c>
      <c r="AW679" s="2" t="n">
        <v>5</v>
      </c>
      <c r="AX679" s="2"/>
      <c r="AY679" s="2"/>
      <c r="AZ679" s="2"/>
      <c r="BA679" s="2"/>
      <c r="BB679" s="2" t="n">
        <v>398</v>
      </c>
      <c r="BC679" s="2" t="n">
        <v>404</v>
      </c>
      <c r="BD679" s="2"/>
      <c r="BE679" s="2" t="s">
        <v>12543</v>
      </c>
      <c r="BF679" s="2" t="str">
        <f aca="false">HYPERLINK("http://dx.doi.org/10.1002/jcla.21700","http://dx.doi.org/10.1002/jcla.21700")</f>
        <v>http://dx.doi.org/10.1002/jcla.21700</v>
      </c>
      <c r="BG679" s="2"/>
      <c r="BH679" s="2"/>
      <c r="BI679" s="2" t="n">
        <v>7</v>
      </c>
      <c r="BJ679" s="2" t="s">
        <v>3122</v>
      </c>
      <c r="BK679" s="2" t="s">
        <v>100</v>
      </c>
      <c r="BL679" s="2" t="s">
        <v>3122</v>
      </c>
      <c r="BM679" s="2" t="s">
        <v>12544</v>
      </c>
      <c r="BN679" s="2" t="n">
        <v>24652781</v>
      </c>
      <c r="BO679" s="2" t="s">
        <v>165</v>
      </c>
      <c r="BP679" s="2"/>
      <c r="BQ679" s="2"/>
      <c r="BR679" s="2" t="s">
        <v>104</v>
      </c>
      <c r="BS679" s="2" t="s">
        <v>12545</v>
      </c>
      <c r="BT679" s="2" t="str">
        <f aca="false">HYPERLINK("https%3A%2F%2Fwww.webofscience.com%2Fwos%2Fwoscc%2Ffull-record%2FWOS:000341638900010","View Full Record in Web of Science")</f>
        <v>View Full Record in Web of Science</v>
      </c>
    </row>
    <row r="680" customFormat="false" ht="12.75" hidden="false" customHeight="false" outlineLevel="0" collapsed="false">
      <c r="A680" s="2" t="s">
        <v>72</v>
      </c>
      <c r="B680" s="2" t="s">
        <v>12546</v>
      </c>
      <c r="C680" s="2"/>
      <c r="D680" s="2"/>
      <c r="E680" s="2"/>
      <c r="F680" s="2" t="s">
        <v>12546</v>
      </c>
      <c r="G680" s="2"/>
      <c r="H680" s="2"/>
      <c r="I680" s="2" t="s">
        <v>12547</v>
      </c>
      <c r="J680" s="2" t="s">
        <v>3182</v>
      </c>
      <c r="K680" s="2"/>
      <c r="L680" s="2"/>
      <c r="M680" s="2" t="s">
        <v>77</v>
      </c>
      <c r="N680" s="2" t="s">
        <v>78</v>
      </c>
      <c r="O680" s="2"/>
      <c r="P680" s="2"/>
      <c r="Q680" s="2"/>
      <c r="R680" s="2"/>
      <c r="S680" s="2"/>
      <c r="T680" s="2" t="s">
        <v>12548</v>
      </c>
      <c r="U680" s="2" t="s">
        <v>12549</v>
      </c>
      <c r="V680" s="2" t="s">
        <v>12550</v>
      </c>
      <c r="W680" s="2" t="s">
        <v>12551</v>
      </c>
      <c r="X680" s="2" t="s">
        <v>12552</v>
      </c>
      <c r="Y680" s="2" t="s">
        <v>12553</v>
      </c>
      <c r="Z680" s="2" t="s">
        <v>12554</v>
      </c>
      <c r="AA680" s="2"/>
      <c r="AB680" s="2" t="s">
        <v>12555</v>
      </c>
      <c r="AC680" s="2"/>
      <c r="AD680" s="2"/>
      <c r="AE680" s="2"/>
      <c r="AF680" s="2"/>
      <c r="AG680" s="2" t="n">
        <v>10</v>
      </c>
      <c r="AH680" s="2" t="n">
        <v>14</v>
      </c>
      <c r="AI680" s="2" t="n">
        <v>15</v>
      </c>
      <c r="AJ680" s="2" t="n">
        <v>0</v>
      </c>
      <c r="AK680" s="2" t="n">
        <v>1</v>
      </c>
      <c r="AL680" s="2" t="s">
        <v>3192</v>
      </c>
      <c r="AM680" s="2" t="s">
        <v>2876</v>
      </c>
      <c r="AN680" s="2" t="s">
        <v>3193</v>
      </c>
      <c r="AO680" s="2" t="s">
        <v>3194</v>
      </c>
      <c r="AP680" s="2" t="s">
        <v>3195</v>
      </c>
      <c r="AQ680" s="2"/>
      <c r="AR680" s="2" t="s">
        <v>3196</v>
      </c>
      <c r="AS680" s="2" t="s">
        <v>3197</v>
      </c>
      <c r="AT680" s="2" t="s">
        <v>804</v>
      </c>
      <c r="AU680" s="2" t="n">
        <v>2005</v>
      </c>
      <c r="AV680" s="2" t="n">
        <v>100</v>
      </c>
      <c r="AW680" s="2" t="n">
        <v>7</v>
      </c>
      <c r="AX680" s="2"/>
      <c r="AY680" s="2"/>
      <c r="AZ680" s="2"/>
      <c r="BA680" s="2"/>
      <c r="BB680" s="2" t="n">
        <v>715</v>
      </c>
      <c r="BC680" s="2" t="n">
        <v>718</v>
      </c>
      <c r="BD680" s="2"/>
      <c r="BE680" s="2" t="s">
        <v>12556</v>
      </c>
      <c r="BF680" s="2" t="str">
        <f aca="false">HYPERLINK("http://dx.doi.org/10.1590/S0074-02762005000700005","http://dx.doi.org/10.1590/S0074-02762005000700005")</f>
        <v>http://dx.doi.org/10.1590/S0074-02762005000700005</v>
      </c>
      <c r="BG680" s="2"/>
      <c r="BH680" s="2"/>
      <c r="BI680" s="2" t="n">
        <v>4</v>
      </c>
      <c r="BJ680" s="2" t="s">
        <v>3199</v>
      </c>
      <c r="BK680" s="2" t="s">
        <v>100</v>
      </c>
      <c r="BL680" s="2" t="s">
        <v>3199</v>
      </c>
      <c r="BM680" s="2" t="s">
        <v>12557</v>
      </c>
      <c r="BN680" s="2" t="n">
        <v>16410956</v>
      </c>
      <c r="BO680" s="2" t="s">
        <v>3201</v>
      </c>
      <c r="BP680" s="2"/>
      <c r="BQ680" s="2"/>
      <c r="BR680" s="2" t="s">
        <v>104</v>
      </c>
      <c r="BS680" s="2" t="s">
        <v>12558</v>
      </c>
      <c r="BT680" s="2" t="str">
        <f aca="false">HYPERLINK("https%3A%2F%2Fwww.webofscience.com%2Fwos%2Fwoscc%2Ffull-record%2FWOS:000234504200005","View Full Record in Web of Science")</f>
        <v>View Full Record in Web of Science</v>
      </c>
    </row>
    <row r="681" customFormat="false" ht="12.75" hidden="false" customHeight="false" outlineLevel="0" collapsed="false">
      <c r="A681" s="2" t="s">
        <v>72</v>
      </c>
      <c r="B681" s="2" t="s">
        <v>12559</v>
      </c>
      <c r="C681" s="2"/>
      <c r="D681" s="2"/>
      <c r="E681" s="2"/>
      <c r="F681" s="2" t="s">
        <v>12560</v>
      </c>
      <c r="G681" s="2"/>
      <c r="H681" s="2"/>
      <c r="I681" s="2" t="s">
        <v>12561</v>
      </c>
      <c r="J681" s="2" t="s">
        <v>493</v>
      </c>
      <c r="K681" s="2"/>
      <c r="L681" s="2"/>
      <c r="M681" s="2" t="s">
        <v>77</v>
      </c>
      <c r="N681" s="2" t="s">
        <v>78</v>
      </c>
      <c r="O681" s="2"/>
      <c r="P681" s="2"/>
      <c r="Q681" s="2"/>
      <c r="R681" s="2"/>
      <c r="S681" s="2"/>
      <c r="T681" s="2" t="s">
        <v>12562</v>
      </c>
      <c r="U681" s="2" t="s">
        <v>12563</v>
      </c>
      <c r="V681" s="2" t="s">
        <v>12564</v>
      </c>
      <c r="W681" s="2" t="s">
        <v>12565</v>
      </c>
      <c r="X681" s="2" t="s">
        <v>12566</v>
      </c>
      <c r="Y681" s="2" t="s">
        <v>12567</v>
      </c>
      <c r="Z681" s="2" t="s">
        <v>12568</v>
      </c>
      <c r="AA681" s="2" t="s">
        <v>12569</v>
      </c>
      <c r="AB681" s="2" t="s">
        <v>12570</v>
      </c>
      <c r="AC681" s="2" t="s">
        <v>12571</v>
      </c>
      <c r="AD681" s="2" t="s">
        <v>12572</v>
      </c>
      <c r="AE681" s="2" t="s">
        <v>12573</v>
      </c>
      <c r="AF681" s="2"/>
      <c r="AG681" s="2" t="n">
        <v>30</v>
      </c>
      <c r="AH681" s="2" t="n">
        <v>8</v>
      </c>
      <c r="AI681" s="2" t="n">
        <v>9</v>
      </c>
      <c r="AJ681" s="2" t="n">
        <v>0</v>
      </c>
      <c r="AK681" s="2" t="n">
        <v>2</v>
      </c>
      <c r="AL681" s="2" t="s">
        <v>91</v>
      </c>
      <c r="AM681" s="2" t="s">
        <v>92</v>
      </c>
      <c r="AN681" s="2" t="s">
        <v>93</v>
      </c>
      <c r="AO681" s="2"/>
      <c r="AP681" s="2" t="s">
        <v>506</v>
      </c>
      <c r="AQ681" s="2"/>
      <c r="AR681" s="2" t="s">
        <v>493</v>
      </c>
      <c r="AS681" s="2" t="s">
        <v>507</v>
      </c>
      <c r="AT681" s="2" t="s">
        <v>97</v>
      </c>
      <c r="AU681" s="2" t="n">
        <v>2021</v>
      </c>
      <c r="AV681" s="2" t="n">
        <v>13</v>
      </c>
      <c r="AW681" s="2" t="n">
        <v>3</v>
      </c>
      <c r="AX681" s="2"/>
      <c r="AY681" s="2"/>
      <c r="AZ681" s="2"/>
      <c r="BA681" s="2"/>
      <c r="BB681" s="2"/>
      <c r="BC681" s="2"/>
      <c r="BD681" s="2" t="n">
        <v>499</v>
      </c>
      <c r="BE681" s="2" t="s">
        <v>12574</v>
      </c>
      <c r="BF681" s="2" t="str">
        <f aca="false">HYPERLINK("http://dx.doi.org/10.3390/v13030499","http://dx.doi.org/10.3390/v13030499")</f>
        <v>http://dx.doi.org/10.3390/v13030499</v>
      </c>
      <c r="BG681" s="2"/>
      <c r="BH681" s="2"/>
      <c r="BI681" s="2" t="n">
        <v>11</v>
      </c>
      <c r="BJ681" s="2" t="s">
        <v>163</v>
      </c>
      <c r="BK681" s="2" t="s">
        <v>100</v>
      </c>
      <c r="BL681" s="2" t="s">
        <v>163</v>
      </c>
      <c r="BM681" s="2" t="s">
        <v>12575</v>
      </c>
      <c r="BN681" s="2" t="n">
        <v>33803613</v>
      </c>
      <c r="BO681" s="2" t="s">
        <v>103</v>
      </c>
      <c r="BP681" s="2"/>
      <c r="BQ681" s="2"/>
      <c r="BR681" s="2" t="s">
        <v>104</v>
      </c>
      <c r="BS681" s="2" t="s">
        <v>12576</v>
      </c>
      <c r="BT681" s="2" t="str">
        <f aca="false">HYPERLINK("https%3A%2F%2Fwww.webofscience.com%2Fwos%2Fwoscc%2Ffull-record%2FWOS:000634256400001","View Full Record in Web of Science")</f>
        <v>View Full Record in Web of Science</v>
      </c>
    </row>
    <row r="682" customFormat="false" ht="12.75" hidden="false" customHeight="false" outlineLevel="0" collapsed="false">
      <c r="A682" s="2" t="s">
        <v>72</v>
      </c>
      <c r="B682" s="2" t="s">
        <v>12577</v>
      </c>
      <c r="C682" s="2"/>
      <c r="D682" s="2"/>
      <c r="E682" s="2"/>
      <c r="F682" s="2" t="s">
        <v>12578</v>
      </c>
      <c r="G682" s="2"/>
      <c r="H682" s="2"/>
      <c r="I682" s="2" t="s">
        <v>12579</v>
      </c>
      <c r="J682" s="2" t="s">
        <v>1413</v>
      </c>
      <c r="K682" s="2"/>
      <c r="L682" s="2"/>
      <c r="M682" s="2" t="s">
        <v>77</v>
      </c>
      <c r="N682" s="2" t="s">
        <v>78</v>
      </c>
      <c r="O682" s="2"/>
      <c r="P682" s="2"/>
      <c r="Q682" s="2"/>
      <c r="R682" s="2"/>
      <c r="S682" s="2"/>
      <c r="T682" s="2" t="s">
        <v>12580</v>
      </c>
      <c r="U682" s="2" t="s">
        <v>12581</v>
      </c>
      <c r="V682" s="2" t="s">
        <v>12582</v>
      </c>
      <c r="W682" s="2" t="s">
        <v>12583</v>
      </c>
      <c r="X682" s="2" t="s">
        <v>8071</v>
      </c>
      <c r="Y682" s="2" t="s">
        <v>12584</v>
      </c>
      <c r="Z682" s="2" t="s">
        <v>12585</v>
      </c>
      <c r="AA682" s="2" t="s">
        <v>7620</v>
      </c>
      <c r="AB682" s="2" t="s">
        <v>12586</v>
      </c>
      <c r="AC682" s="2"/>
      <c r="AD682" s="2"/>
      <c r="AE682" s="2"/>
      <c r="AF682" s="2"/>
      <c r="AG682" s="2" t="n">
        <v>33</v>
      </c>
      <c r="AH682" s="2" t="n">
        <v>3</v>
      </c>
      <c r="AI682" s="2" t="n">
        <v>4</v>
      </c>
      <c r="AJ682" s="2" t="n">
        <v>1</v>
      </c>
      <c r="AK682" s="2" t="n">
        <v>8</v>
      </c>
      <c r="AL682" s="2" t="s">
        <v>383</v>
      </c>
      <c r="AM682" s="2" t="s">
        <v>384</v>
      </c>
      <c r="AN682" s="2" t="s">
        <v>385</v>
      </c>
      <c r="AO682" s="2" t="s">
        <v>1421</v>
      </c>
      <c r="AP682" s="2" t="s">
        <v>1422</v>
      </c>
      <c r="AQ682" s="2"/>
      <c r="AR682" s="2" t="s">
        <v>1423</v>
      </c>
      <c r="AS682" s="2" t="s">
        <v>1424</v>
      </c>
      <c r="AT682" s="2" t="s">
        <v>129</v>
      </c>
      <c r="AU682" s="2" t="n">
        <v>2021</v>
      </c>
      <c r="AV682" s="2" t="n">
        <v>302</v>
      </c>
      <c r="AW682" s="2"/>
      <c r="AX682" s="2"/>
      <c r="AY682" s="2"/>
      <c r="AZ682" s="2"/>
      <c r="BA682" s="2"/>
      <c r="BB682" s="2"/>
      <c r="BC682" s="2"/>
      <c r="BD682" s="2" t="n">
        <v>198490</v>
      </c>
      <c r="BE682" s="2" t="s">
        <v>12587</v>
      </c>
      <c r="BF682" s="2" t="str">
        <f aca="false">HYPERLINK("http://dx.doi.org/10.1016/j.virusres.2021.198490","http://dx.doi.org/10.1016/j.virusres.2021.198490")</f>
        <v>http://dx.doi.org/10.1016/j.virusres.2021.198490</v>
      </c>
      <c r="BG682" s="2"/>
      <c r="BH682" s="2" t="s">
        <v>11148</v>
      </c>
      <c r="BI682" s="2" t="n">
        <v>9</v>
      </c>
      <c r="BJ682" s="2" t="s">
        <v>163</v>
      </c>
      <c r="BK682" s="2" t="s">
        <v>100</v>
      </c>
      <c r="BL682" s="2" t="s">
        <v>163</v>
      </c>
      <c r="BM682" s="2" t="s">
        <v>12588</v>
      </c>
      <c r="BN682" s="2" t="n">
        <v>34146613</v>
      </c>
      <c r="BO682" s="2" t="s">
        <v>2278</v>
      </c>
      <c r="BP682" s="2"/>
      <c r="BQ682" s="2"/>
      <c r="BR682" s="2" t="s">
        <v>104</v>
      </c>
      <c r="BS682" s="2" t="s">
        <v>12589</v>
      </c>
      <c r="BT682" s="2" t="str">
        <f aca="false">HYPERLINK("https%3A%2F%2Fwww.webofscience.com%2Fwos%2Fwoscc%2Ffull-record%2FWOS:000677729200006","View Full Record in Web of Science")</f>
        <v>View Full Record in Web of Science</v>
      </c>
    </row>
    <row r="683" customFormat="false" ht="12.75" hidden="false" customHeight="false" outlineLevel="0" collapsed="false">
      <c r="A683" s="2" t="s">
        <v>72</v>
      </c>
      <c r="B683" s="2" t="s">
        <v>12590</v>
      </c>
      <c r="C683" s="2"/>
      <c r="D683" s="2"/>
      <c r="E683" s="2"/>
      <c r="F683" s="2" t="s">
        <v>12591</v>
      </c>
      <c r="G683" s="2"/>
      <c r="H683" s="2"/>
      <c r="I683" s="2" t="s">
        <v>12592</v>
      </c>
      <c r="J683" s="2" t="s">
        <v>12593</v>
      </c>
      <c r="K683" s="2"/>
      <c r="L683" s="2"/>
      <c r="M683" s="2" t="s">
        <v>77</v>
      </c>
      <c r="N683" s="2" t="s">
        <v>78</v>
      </c>
      <c r="O683" s="2"/>
      <c r="P683" s="2"/>
      <c r="Q683" s="2"/>
      <c r="R683" s="2"/>
      <c r="S683" s="2"/>
      <c r="T683" s="2" t="s">
        <v>12594</v>
      </c>
      <c r="U683" s="2" t="s">
        <v>12595</v>
      </c>
      <c r="V683" s="2" t="s">
        <v>12596</v>
      </c>
      <c r="W683" s="2" t="s">
        <v>12597</v>
      </c>
      <c r="X683" s="2" t="s">
        <v>12598</v>
      </c>
      <c r="Y683" s="2" t="s">
        <v>12599</v>
      </c>
      <c r="Z683" s="2" t="s">
        <v>12600</v>
      </c>
      <c r="AA683" s="2" t="s">
        <v>12601</v>
      </c>
      <c r="AB683" s="2"/>
      <c r="AC683" s="2"/>
      <c r="AD683" s="2"/>
      <c r="AE683" s="2"/>
      <c r="AF683" s="2"/>
      <c r="AG683" s="2" t="n">
        <v>30</v>
      </c>
      <c r="AH683" s="2" t="n">
        <v>2</v>
      </c>
      <c r="AI683" s="2" t="n">
        <v>4</v>
      </c>
      <c r="AJ683" s="2" t="n">
        <v>4</v>
      </c>
      <c r="AK683" s="2" t="n">
        <v>11</v>
      </c>
      <c r="AL683" s="2" t="s">
        <v>592</v>
      </c>
      <c r="AM683" s="2" t="s">
        <v>12602</v>
      </c>
      <c r="AN683" s="2" t="s">
        <v>12603</v>
      </c>
      <c r="AO683" s="2" t="s">
        <v>12604</v>
      </c>
      <c r="AP683" s="2" t="s">
        <v>12605</v>
      </c>
      <c r="AQ683" s="2"/>
      <c r="AR683" s="2" t="s">
        <v>12593</v>
      </c>
      <c r="AS683" s="2" t="s">
        <v>12606</v>
      </c>
      <c r="AT683" s="2" t="s">
        <v>185</v>
      </c>
      <c r="AU683" s="2" t="n">
        <v>2023</v>
      </c>
      <c r="AV683" s="2" t="n">
        <v>59</v>
      </c>
      <c r="AW683" s="2" t="n">
        <v>4</v>
      </c>
      <c r="AX683" s="2"/>
      <c r="AY683" s="2"/>
      <c r="AZ683" s="2"/>
      <c r="BA683" s="2"/>
      <c r="BB683" s="2" t="n">
        <v>524</v>
      </c>
      <c r="BC683" s="2" t="n">
        <v>531</v>
      </c>
      <c r="BD683" s="2"/>
      <c r="BE683" s="2" t="s">
        <v>12607</v>
      </c>
      <c r="BF683" s="2" t="str">
        <f aca="false">HYPERLINK("http://dx.doi.org/10.1007/s11262-023-02001-2","http://dx.doi.org/10.1007/s11262-023-02001-2")</f>
        <v>http://dx.doi.org/10.1007/s11262-023-02001-2</v>
      </c>
      <c r="BG683" s="2"/>
      <c r="BH683" s="2" t="s">
        <v>12608</v>
      </c>
      <c r="BI683" s="2" t="n">
        <v>8</v>
      </c>
      <c r="BJ683" s="2" t="s">
        <v>12609</v>
      </c>
      <c r="BK683" s="2" t="s">
        <v>100</v>
      </c>
      <c r="BL683" s="2" t="s">
        <v>12609</v>
      </c>
      <c r="BM683" s="2" t="s">
        <v>12610</v>
      </c>
      <c r="BN683" s="2" t="n">
        <v>37150780</v>
      </c>
      <c r="BO683" s="2" t="s">
        <v>1267</v>
      </c>
      <c r="BP683" s="2"/>
      <c r="BQ683" s="2"/>
      <c r="BR683" s="2" t="s">
        <v>104</v>
      </c>
      <c r="BS683" s="2" t="s">
        <v>12611</v>
      </c>
      <c r="BT683" s="2" t="str">
        <f aca="false">HYPERLINK("https%3A%2F%2Fwww.webofscience.com%2Fwos%2Fwoscc%2Ffull-record%2FWOS:000982400200001","View Full Record in Web of Science")</f>
        <v>View Full Record in Web of Science</v>
      </c>
    </row>
    <row r="684" customFormat="false" ht="12.75" hidden="false" customHeight="false" outlineLevel="0" collapsed="false">
      <c r="A684" s="2" t="s">
        <v>72</v>
      </c>
      <c r="B684" s="2" t="s">
        <v>12612</v>
      </c>
      <c r="C684" s="2"/>
      <c r="D684" s="2"/>
      <c r="E684" s="2"/>
      <c r="F684" s="2" t="s">
        <v>12613</v>
      </c>
      <c r="G684" s="2"/>
      <c r="H684" s="2"/>
      <c r="I684" s="2" t="s">
        <v>12614</v>
      </c>
      <c r="J684" s="2" t="s">
        <v>514</v>
      </c>
      <c r="K684" s="2"/>
      <c r="L684" s="2"/>
      <c r="M684" s="2" t="s">
        <v>77</v>
      </c>
      <c r="N684" s="2" t="s">
        <v>78</v>
      </c>
      <c r="O684" s="2"/>
      <c r="P684" s="2"/>
      <c r="Q684" s="2"/>
      <c r="R684" s="2"/>
      <c r="S684" s="2"/>
      <c r="T684" s="2" t="s">
        <v>12615</v>
      </c>
      <c r="U684" s="2" t="s">
        <v>12616</v>
      </c>
      <c r="V684" s="2" t="s">
        <v>12617</v>
      </c>
      <c r="W684" s="2" t="s">
        <v>12618</v>
      </c>
      <c r="X684" s="2" t="s">
        <v>12619</v>
      </c>
      <c r="Y684" s="2" t="s">
        <v>12620</v>
      </c>
      <c r="Z684" s="2" t="s">
        <v>12621</v>
      </c>
      <c r="AA684" s="2" t="s">
        <v>12622</v>
      </c>
      <c r="AB684" s="2" t="s">
        <v>12623</v>
      </c>
      <c r="AC684" s="2" t="s">
        <v>12624</v>
      </c>
      <c r="AD684" s="2" t="s">
        <v>12625</v>
      </c>
      <c r="AE684" s="2" t="s">
        <v>12626</v>
      </c>
      <c r="AF684" s="2"/>
      <c r="AG684" s="2" t="n">
        <v>40</v>
      </c>
      <c r="AH684" s="2" t="n">
        <v>23</v>
      </c>
      <c r="AI684" s="2" t="n">
        <v>26</v>
      </c>
      <c r="AJ684" s="2" t="n">
        <v>0</v>
      </c>
      <c r="AK684" s="2" t="n">
        <v>9</v>
      </c>
      <c r="AL684" s="2" t="s">
        <v>527</v>
      </c>
      <c r="AM684" s="2" t="s">
        <v>528</v>
      </c>
      <c r="AN684" s="2" t="s">
        <v>529</v>
      </c>
      <c r="AO684" s="2" t="s">
        <v>530</v>
      </c>
      <c r="AP684" s="2" t="s">
        <v>531</v>
      </c>
      <c r="AQ684" s="2"/>
      <c r="AR684" s="2" t="s">
        <v>532</v>
      </c>
      <c r="AS684" s="2" t="s">
        <v>533</v>
      </c>
      <c r="AT684" s="2" t="s">
        <v>5247</v>
      </c>
      <c r="AU684" s="2" t="n">
        <v>2017</v>
      </c>
      <c r="AV684" s="2" t="n">
        <v>216</v>
      </c>
      <c r="AW684" s="2" t="n">
        <v>6</v>
      </c>
      <c r="AX684" s="2"/>
      <c r="AY684" s="2"/>
      <c r="AZ684" s="2"/>
      <c r="BA684" s="2"/>
      <c r="BB684" s="2" t="n">
        <v>678</v>
      </c>
      <c r="BC684" s="2" t="n">
        <v>687</v>
      </c>
      <c r="BD684" s="2"/>
      <c r="BE684" s="2" t="s">
        <v>12627</v>
      </c>
      <c r="BF684" s="2" t="str">
        <f aca="false">HYPERLINK("http://dx.doi.org/10.1093/infdis/jix358","http://dx.doi.org/10.1093/infdis/jix358")</f>
        <v>http://dx.doi.org/10.1093/infdis/jix358</v>
      </c>
      <c r="BG684" s="2"/>
      <c r="BH684" s="2"/>
      <c r="BI684" s="2" t="n">
        <v>10</v>
      </c>
      <c r="BJ684" s="2" t="s">
        <v>536</v>
      </c>
      <c r="BK684" s="2" t="s">
        <v>100</v>
      </c>
      <c r="BL684" s="2" t="s">
        <v>536</v>
      </c>
      <c r="BM684" s="2" t="s">
        <v>12628</v>
      </c>
      <c r="BN684" s="2" t="n">
        <v>28934427</v>
      </c>
      <c r="BO684" s="2" t="s">
        <v>538</v>
      </c>
      <c r="BP684" s="2"/>
      <c r="BQ684" s="2"/>
      <c r="BR684" s="2" t="s">
        <v>104</v>
      </c>
      <c r="BS684" s="2" t="s">
        <v>12629</v>
      </c>
      <c r="BT684" s="2" t="str">
        <f aca="false">HYPERLINK("https%3A%2F%2Fwww.webofscience.com%2Fwos%2Fwoscc%2Ffull-record%2FWOS:000410805700008","View Full Record in Web of Science")</f>
        <v>View Full Record in Web of Science</v>
      </c>
    </row>
    <row r="685" customFormat="false" ht="12.75" hidden="false" customHeight="false" outlineLevel="0" collapsed="false">
      <c r="A685" s="2" t="s">
        <v>72</v>
      </c>
      <c r="B685" s="2" t="s">
        <v>12630</v>
      </c>
      <c r="C685" s="2"/>
      <c r="D685" s="2"/>
      <c r="E685" s="2"/>
      <c r="F685" s="2" t="s">
        <v>12631</v>
      </c>
      <c r="G685" s="2"/>
      <c r="H685" s="2"/>
      <c r="I685" s="2" t="s">
        <v>12632</v>
      </c>
      <c r="J685" s="2" t="s">
        <v>1863</v>
      </c>
      <c r="K685" s="2"/>
      <c r="L685" s="2"/>
      <c r="M685" s="2" t="s">
        <v>77</v>
      </c>
      <c r="N685" s="2" t="s">
        <v>78</v>
      </c>
      <c r="O685" s="2"/>
      <c r="P685" s="2"/>
      <c r="Q685" s="2"/>
      <c r="R685" s="2"/>
      <c r="S685" s="2"/>
      <c r="T685" s="2" t="s">
        <v>12633</v>
      </c>
      <c r="U685" s="2" t="s">
        <v>12634</v>
      </c>
      <c r="V685" s="2" t="s">
        <v>12635</v>
      </c>
      <c r="W685" s="2" t="s">
        <v>12636</v>
      </c>
      <c r="X685" s="2" t="s">
        <v>12637</v>
      </c>
      <c r="Y685" s="2" t="s">
        <v>12638</v>
      </c>
      <c r="Z685" s="2" t="s">
        <v>12639</v>
      </c>
      <c r="AA685" s="2" t="s">
        <v>12640</v>
      </c>
      <c r="AB685" s="2" t="s">
        <v>12641</v>
      </c>
      <c r="AC685" s="2" t="s">
        <v>12642</v>
      </c>
      <c r="AD685" s="2" t="s">
        <v>12643</v>
      </c>
      <c r="AE685" s="2" t="s">
        <v>12644</v>
      </c>
      <c r="AF685" s="2"/>
      <c r="AG685" s="2" t="n">
        <v>37</v>
      </c>
      <c r="AH685" s="2" t="n">
        <v>14</v>
      </c>
      <c r="AI685" s="2" t="n">
        <v>17</v>
      </c>
      <c r="AJ685" s="2" t="n">
        <v>0</v>
      </c>
      <c r="AK685" s="2" t="n">
        <v>4</v>
      </c>
      <c r="AL685" s="2" t="s">
        <v>2337</v>
      </c>
      <c r="AM685" s="2" t="s">
        <v>303</v>
      </c>
      <c r="AN685" s="2" t="s">
        <v>2338</v>
      </c>
      <c r="AO685" s="2" t="s">
        <v>1876</v>
      </c>
      <c r="AP685" s="2"/>
      <c r="AQ685" s="2"/>
      <c r="AR685" s="2" t="s">
        <v>1877</v>
      </c>
      <c r="AS685" s="2" t="s">
        <v>1878</v>
      </c>
      <c r="AT685" s="2" t="s">
        <v>12645</v>
      </c>
      <c r="AU685" s="2" t="n">
        <v>2013</v>
      </c>
      <c r="AV685" s="2" t="n">
        <v>10</v>
      </c>
      <c r="AW685" s="2"/>
      <c r="AX685" s="2"/>
      <c r="AY685" s="2"/>
      <c r="AZ685" s="2"/>
      <c r="BA685" s="2"/>
      <c r="BB685" s="2"/>
      <c r="BC685" s="2"/>
      <c r="BD685" s="2" t="n">
        <v>294</v>
      </c>
      <c r="BE685" s="2" t="s">
        <v>12646</v>
      </c>
      <c r="BF685" s="2" t="str">
        <f aca="false">HYPERLINK("http://dx.doi.org/10.1186/1743-422X-10-294","http://dx.doi.org/10.1186/1743-422X-10-294")</f>
        <v>http://dx.doi.org/10.1186/1743-422X-10-294</v>
      </c>
      <c r="BG685" s="2"/>
      <c r="BH685" s="2"/>
      <c r="BI685" s="2" t="n">
        <v>13</v>
      </c>
      <c r="BJ685" s="2" t="s">
        <v>163</v>
      </c>
      <c r="BK685" s="2" t="s">
        <v>100</v>
      </c>
      <c r="BL685" s="2" t="s">
        <v>163</v>
      </c>
      <c r="BM685" s="2" t="s">
        <v>12647</v>
      </c>
      <c r="BN685" s="2" t="n">
        <v>24067107</v>
      </c>
      <c r="BO685" s="2" t="s">
        <v>103</v>
      </c>
      <c r="BP685" s="2"/>
      <c r="BQ685" s="2"/>
      <c r="BR685" s="2" t="s">
        <v>104</v>
      </c>
      <c r="BS685" s="2" t="s">
        <v>12648</v>
      </c>
      <c r="BT685" s="2" t="str">
        <f aca="false">HYPERLINK("https%3A%2F%2Fwww.webofscience.com%2Fwos%2Fwoscc%2Ffull-record%2FWOS:000325112800001","View Full Record in Web of Science")</f>
        <v>View Full Record in Web of Science</v>
      </c>
    </row>
    <row r="686" customFormat="false" ht="12.75" hidden="false" customHeight="false" outlineLevel="0" collapsed="false">
      <c r="A686" s="2" t="s">
        <v>72</v>
      </c>
      <c r="B686" s="2" t="s">
        <v>12649</v>
      </c>
      <c r="C686" s="2"/>
      <c r="D686" s="2"/>
      <c r="E686" s="2"/>
      <c r="F686" s="2" t="s">
        <v>12650</v>
      </c>
      <c r="G686" s="2"/>
      <c r="H686" s="2"/>
      <c r="I686" s="2" t="s">
        <v>12651</v>
      </c>
      <c r="J686" s="2" t="s">
        <v>717</v>
      </c>
      <c r="K686" s="2"/>
      <c r="L686" s="2"/>
      <c r="M686" s="2" t="s">
        <v>77</v>
      </c>
      <c r="N686" s="2" t="s">
        <v>78</v>
      </c>
      <c r="O686" s="2"/>
      <c r="P686" s="2"/>
      <c r="Q686" s="2"/>
      <c r="R686" s="2"/>
      <c r="S686" s="2"/>
      <c r="T686" s="2" t="s">
        <v>12652</v>
      </c>
      <c r="U686" s="2" t="s">
        <v>12653</v>
      </c>
      <c r="V686" s="2" t="s">
        <v>12654</v>
      </c>
      <c r="W686" s="2" t="s">
        <v>12655</v>
      </c>
      <c r="X686" s="2" t="s">
        <v>8071</v>
      </c>
      <c r="Y686" s="2" t="s">
        <v>12656</v>
      </c>
      <c r="Z686" s="2" t="s">
        <v>9722</v>
      </c>
      <c r="AA686" s="2" t="s">
        <v>12657</v>
      </c>
      <c r="AB686" s="2" t="s">
        <v>12658</v>
      </c>
      <c r="AC686" s="2"/>
      <c r="AD686" s="2"/>
      <c r="AE686" s="2"/>
      <c r="AF686" s="2"/>
      <c r="AG686" s="2" t="n">
        <v>20</v>
      </c>
      <c r="AH686" s="2" t="n">
        <v>35</v>
      </c>
      <c r="AI686" s="2" t="n">
        <v>36</v>
      </c>
      <c r="AJ686" s="2" t="n">
        <v>0</v>
      </c>
      <c r="AK686" s="2" t="n">
        <v>5</v>
      </c>
      <c r="AL686" s="2" t="s">
        <v>549</v>
      </c>
      <c r="AM686" s="2" t="s">
        <v>384</v>
      </c>
      <c r="AN686" s="2" t="s">
        <v>550</v>
      </c>
      <c r="AO686" s="2" t="s">
        <v>729</v>
      </c>
      <c r="AP686" s="2" t="s">
        <v>730</v>
      </c>
      <c r="AQ686" s="2"/>
      <c r="AR686" s="2" t="s">
        <v>731</v>
      </c>
      <c r="AS686" s="2" t="s">
        <v>732</v>
      </c>
      <c r="AT686" s="2" t="s">
        <v>185</v>
      </c>
      <c r="AU686" s="2" t="n">
        <v>2007</v>
      </c>
      <c r="AV686" s="2" t="n">
        <v>143</v>
      </c>
      <c r="AW686" s="2" t="n">
        <v>2</v>
      </c>
      <c r="AX686" s="2"/>
      <c r="AY686" s="2"/>
      <c r="AZ686" s="2"/>
      <c r="BA686" s="2"/>
      <c r="BB686" s="2" t="n">
        <v>169</v>
      </c>
      <c r="BC686" s="2" t="n">
        <v>174</v>
      </c>
      <c r="BD686" s="2"/>
      <c r="BE686" s="2" t="s">
        <v>12659</v>
      </c>
      <c r="BF686" s="2" t="str">
        <f aca="false">HYPERLINK("http://dx.doi.org/10.1016/j.jviromet.2007.03.005","http://dx.doi.org/10.1016/j.jviromet.2007.03.005")</f>
        <v>http://dx.doi.org/10.1016/j.jviromet.2007.03.005</v>
      </c>
      <c r="BG686" s="2"/>
      <c r="BH686" s="2"/>
      <c r="BI686" s="2" t="n">
        <v>6</v>
      </c>
      <c r="BJ686" s="2" t="s">
        <v>735</v>
      </c>
      <c r="BK686" s="2" t="s">
        <v>100</v>
      </c>
      <c r="BL686" s="2" t="s">
        <v>736</v>
      </c>
      <c r="BM686" s="2" t="s">
        <v>12660</v>
      </c>
      <c r="BN686" s="2" t="n">
        <v>17420056</v>
      </c>
      <c r="BO686" s="2"/>
      <c r="BP686" s="2"/>
      <c r="BQ686" s="2"/>
      <c r="BR686" s="2" t="s">
        <v>104</v>
      </c>
      <c r="BS686" s="2" t="s">
        <v>12661</v>
      </c>
      <c r="BT686" s="2" t="str">
        <f aca="false">HYPERLINK("https%3A%2F%2Fwww.webofscience.com%2Fwos%2Fwoscc%2Ffull-record%2FWOS:000248110000007","View Full Record in Web of Science")</f>
        <v>View Full Record in Web of Science</v>
      </c>
    </row>
    <row r="687" customFormat="false" ht="12.75" hidden="false" customHeight="false" outlineLevel="0" collapsed="false">
      <c r="A687" s="2" t="s">
        <v>72</v>
      </c>
      <c r="B687" s="2" t="s">
        <v>12662</v>
      </c>
      <c r="C687" s="2"/>
      <c r="D687" s="2"/>
      <c r="E687" s="2"/>
      <c r="F687" s="2" t="s">
        <v>12663</v>
      </c>
      <c r="G687" s="2"/>
      <c r="H687" s="2"/>
      <c r="I687" s="2" t="s">
        <v>12664</v>
      </c>
      <c r="J687" s="2" t="s">
        <v>1413</v>
      </c>
      <c r="K687" s="2"/>
      <c r="L687" s="2"/>
      <c r="M687" s="2" t="s">
        <v>77</v>
      </c>
      <c r="N687" s="2" t="s">
        <v>78</v>
      </c>
      <c r="O687" s="2"/>
      <c r="P687" s="2"/>
      <c r="Q687" s="2"/>
      <c r="R687" s="2"/>
      <c r="S687" s="2"/>
      <c r="T687" s="2" t="s">
        <v>12665</v>
      </c>
      <c r="U687" s="2" t="s">
        <v>12666</v>
      </c>
      <c r="V687" s="2" t="s">
        <v>12667</v>
      </c>
      <c r="W687" s="2" t="s">
        <v>12668</v>
      </c>
      <c r="X687" s="2" t="s">
        <v>12669</v>
      </c>
      <c r="Y687" s="2" t="s">
        <v>12670</v>
      </c>
      <c r="Z687" s="2" t="s">
        <v>12671</v>
      </c>
      <c r="AA687" s="2" t="s">
        <v>12672</v>
      </c>
      <c r="AB687" s="2"/>
      <c r="AC687" s="2" t="s">
        <v>12673</v>
      </c>
      <c r="AD687" s="2" t="s">
        <v>9078</v>
      </c>
      <c r="AE687" s="2" t="s">
        <v>12674</v>
      </c>
      <c r="AF687" s="2"/>
      <c r="AG687" s="2" t="n">
        <v>31</v>
      </c>
      <c r="AH687" s="2" t="n">
        <v>0</v>
      </c>
      <c r="AI687" s="2" t="n">
        <v>0</v>
      </c>
      <c r="AJ687" s="2" t="n">
        <v>1</v>
      </c>
      <c r="AK687" s="2" t="n">
        <v>4</v>
      </c>
      <c r="AL687" s="2" t="s">
        <v>383</v>
      </c>
      <c r="AM687" s="2" t="s">
        <v>384</v>
      </c>
      <c r="AN687" s="2" t="s">
        <v>385</v>
      </c>
      <c r="AO687" s="2" t="s">
        <v>1421</v>
      </c>
      <c r="AP687" s="2" t="s">
        <v>1422</v>
      </c>
      <c r="AQ687" s="2"/>
      <c r="AR687" s="2" t="s">
        <v>1423</v>
      </c>
      <c r="AS687" s="2" t="s">
        <v>1424</v>
      </c>
      <c r="AT687" s="2" t="s">
        <v>2960</v>
      </c>
      <c r="AU687" s="2" t="n">
        <v>2023</v>
      </c>
      <c r="AV687" s="2" t="n">
        <v>336</v>
      </c>
      <c r="AW687" s="2"/>
      <c r="AX687" s="2"/>
      <c r="AY687" s="2"/>
      <c r="AZ687" s="2"/>
      <c r="BA687" s="2"/>
      <c r="BB687" s="2"/>
      <c r="BC687" s="2"/>
      <c r="BD687" s="2" t="n">
        <v>199215</v>
      </c>
      <c r="BE687" s="2" t="s">
        <v>12675</v>
      </c>
      <c r="BF687" s="2" t="str">
        <f aca="false">HYPERLINK("http://dx.doi.org/10.1016/j.virusres.2023.199215","http://dx.doi.org/10.1016/j.virusres.2023.199215")</f>
        <v>http://dx.doi.org/10.1016/j.virusres.2023.199215</v>
      </c>
      <c r="BG687" s="2"/>
      <c r="BH687" s="2" t="s">
        <v>5631</v>
      </c>
      <c r="BI687" s="2" t="n">
        <v>7</v>
      </c>
      <c r="BJ687" s="2" t="s">
        <v>163</v>
      </c>
      <c r="BK687" s="2" t="s">
        <v>100</v>
      </c>
      <c r="BL687" s="2" t="s">
        <v>163</v>
      </c>
      <c r="BM687" s="2" t="s">
        <v>12676</v>
      </c>
      <c r="BN687" s="2" t="n">
        <v>37657510</v>
      </c>
      <c r="BO687" s="2" t="s">
        <v>284</v>
      </c>
      <c r="BP687" s="2"/>
      <c r="BQ687" s="2"/>
      <c r="BR687" s="2" t="s">
        <v>104</v>
      </c>
      <c r="BS687" s="2" t="s">
        <v>12677</v>
      </c>
      <c r="BT687" s="2" t="str">
        <f aca="false">HYPERLINK("https%3A%2F%2Fwww.webofscience.com%2Fwos%2Fwoscc%2Ffull-record%2FWOS:001090751800001","View Full Record in Web of Science")</f>
        <v>View Full Record in Web of Science</v>
      </c>
    </row>
    <row r="688" customFormat="false" ht="12.75" hidden="false" customHeight="false" outlineLevel="0" collapsed="false">
      <c r="A688" s="2" t="s">
        <v>72</v>
      </c>
      <c r="B688" s="2" t="s">
        <v>12678</v>
      </c>
      <c r="C688" s="2"/>
      <c r="D688" s="2"/>
      <c r="E688" s="2"/>
      <c r="F688" s="2" t="s">
        <v>12678</v>
      </c>
      <c r="G688" s="2"/>
      <c r="H688" s="2"/>
      <c r="I688" s="2" t="s">
        <v>12679</v>
      </c>
      <c r="J688" s="2" t="s">
        <v>141</v>
      </c>
      <c r="K688" s="2"/>
      <c r="L688" s="2"/>
      <c r="M688" s="2" t="s">
        <v>77</v>
      </c>
      <c r="N688" s="2" t="s">
        <v>78</v>
      </c>
      <c r="O688" s="2"/>
      <c r="P688" s="2"/>
      <c r="Q688" s="2"/>
      <c r="R688" s="2"/>
      <c r="S688" s="2"/>
      <c r="T688" s="2" t="s">
        <v>12680</v>
      </c>
      <c r="U688" s="2" t="s">
        <v>12681</v>
      </c>
      <c r="V688" s="2" t="s">
        <v>12682</v>
      </c>
      <c r="W688" s="2" t="s">
        <v>12683</v>
      </c>
      <c r="X688" s="2" t="s">
        <v>12684</v>
      </c>
      <c r="Y688" s="2" t="s">
        <v>12685</v>
      </c>
      <c r="Z688" s="2"/>
      <c r="AA688" s="2" t="s">
        <v>12686</v>
      </c>
      <c r="AB688" s="2"/>
      <c r="AC688" s="2"/>
      <c r="AD688" s="2"/>
      <c r="AE688" s="2"/>
      <c r="AF688" s="2"/>
      <c r="AG688" s="2" t="n">
        <v>17</v>
      </c>
      <c r="AH688" s="2" t="n">
        <v>69</v>
      </c>
      <c r="AI688" s="2" t="n">
        <v>76</v>
      </c>
      <c r="AJ688" s="2" t="n">
        <v>0</v>
      </c>
      <c r="AK688" s="2" t="n">
        <v>0</v>
      </c>
      <c r="AL688" s="2" t="s">
        <v>2746</v>
      </c>
      <c r="AM688" s="2" t="s">
        <v>593</v>
      </c>
      <c r="AN688" s="2" t="s">
        <v>12687</v>
      </c>
      <c r="AO688" s="2" t="s">
        <v>157</v>
      </c>
      <c r="AP688" s="2"/>
      <c r="AQ688" s="2"/>
      <c r="AR688" s="2" t="s">
        <v>159</v>
      </c>
      <c r="AS688" s="2" t="s">
        <v>160</v>
      </c>
      <c r="AT688" s="2" t="s">
        <v>1041</v>
      </c>
      <c r="AU688" s="2" t="n">
        <v>2004</v>
      </c>
      <c r="AV688" s="2" t="n">
        <v>72</v>
      </c>
      <c r="AW688" s="2" t="n">
        <v>2</v>
      </c>
      <c r="AX688" s="2"/>
      <c r="AY688" s="2"/>
      <c r="AZ688" s="2"/>
      <c r="BA688" s="2"/>
      <c r="BB688" s="2" t="n">
        <v>299</v>
      </c>
      <c r="BC688" s="2" t="n">
        <v>303</v>
      </c>
      <c r="BD688" s="2"/>
      <c r="BE688" s="2" t="s">
        <v>12688</v>
      </c>
      <c r="BF688" s="2" t="str">
        <f aca="false">HYPERLINK("http://dx.doi.org/10.1002/jmv.10536","http://dx.doi.org/10.1002/jmv.10536")</f>
        <v>http://dx.doi.org/10.1002/jmv.10536</v>
      </c>
      <c r="BG688" s="2"/>
      <c r="BH688" s="2"/>
      <c r="BI688" s="2" t="n">
        <v>5</v>
      </c>
      <c r="BJ688" s="2" t="s">
        <v>163</v>
      </c>
      <c r="BK688" s="2" t="s">
        <v>100</v>
      </c>
      <c r="BL688" s="2" t="s">
        <v>163</v>
      </c>
      <c r="BM688" s="2" t="s">
        <v>12689</v>
      </c>
      <c r="BN688" s="2" t="n">
        <v>14695673</v>
      </c>
      <c r="BO688" s="2"/>
      <c r="BP688" s="2"/>
      <c r="BQ688" s="2"/>
      <c r="BR688" s="2" t="s">
        <v>104</v>
      </c>
      <c r="BS688" s="2" t="s">
        <v>12690</v>
      </c>
      <c r="BT688" s="2" t="str">
        <f aca="false">HYPERLINK("https%3A%2F%2Fwww.webofscience.com%2Fwos%2Fwoscc%2Ffull-record%2FWOS:000187571800017","View Full Record in Web of Science")</f>
        <v>View Full Record in Web of Science</v>
      </c>
    </row>
    <row r="689" customFormat="false" ht="12.75" hidden="false" customHeight="false" outlineLevel="0" collapsed="false">
      <c r="A689" s="2" t="s">
        <v>72</v>
      </c>
      <c r="B689" s="2" t="s">
        <v>12691</v>
      </c>
      <c r="C689" s="2"/>
      <c r="D689" s="2"/>
      <c r="E689" s="2"/>
      <c r="F689" s="2" t="s">
        <v>12691</v>
      </c>
      <c r="G689" s="2"/>
      <c r="H689" s="2"/>
      <c r="I689" s="2" t="s">
        <v>12692</v>
      </c>
      <c r="J689" s="2" t="s">
        <v>7060</v>
      </c>
      <c r="K689" s="2"/>
      <c r="L689" s="2"/>
      <c r="M689" s="2" t="s">
        <v>77</v>
      </c>
      <c r="N689" s="2" t="s">
        <v>78</v>
      </c>
      <c r="O689" s="2"/>
      <c r="P689" s="2"/>
      <c r="Q689" s="2"/>
      <c r="R689" s="2"/>
      <c r="S689" s="2"/>
      <c r="T689" s="2" t="s">
        <v>12693</v>
      </c>
      <c r="U689" s="2" t="s">
        <v>12694</v>
      </c>
      <c r="V689" s="2" t="s">
        <v>12695</v>
      </c>
      <c r="W689" s="2" t="s">
        <v>12696</v>
      </c>
      <c r="X689" s="2" t="s">
        <v>12697</v>
      </c>
      <c r="Y689" s="2" t="s">
        <v>12698</v>
      </c>
      <c r="Z689" s="2" t="s">
        <v>12699</v>
      </c>
      <c r="AA689" s="2" t="s">
        <v>12700</v>
      </c>
      <c r="AB689" s="2" t="s">
        <v>12701</v>
      </c>
      <c r="AC689" s="2"/>
      <c r="AD689" s="2"/>
      <c r="AE689" s="2"/>
      <c r="AF689" s="2"/>
      <c r="AG689" s="2" t="n">
        <v>14</v>
      </c>
      <c r="AH689" s="2" t="n">
        <v>34</v>
      </c>
      <c r="AI689" s="2" t="n">
        <v>36</v>
      </c>
      <c r="AJ689" s="2" t="n">
        <v>0</v>
      </c>
      <c r="AK689" s="2" t="n">
        <v>0</v>
      </c>
      <c r="AL689" s="2" t="s">
        <v>7073</v>
      </c>
      <c r="AM689" s="2" t="s">
        <v>7074</v>
      </c>
      <c r="AN689" s="2" t="s">
        <v>7075</v>
      </c>
      <c r="AO689" s="2" t="s">
        <v>7076</v>
      </c>
      <c r="AP689" s="2" t="s">
        <v>7291</v>
      </c>
      <c r="AQ689" s="2"/>
      <c r="AR689" s="2" t="s">
        <v>7060</v>
      </c>
      <c r="AS689" s="2" t="s">
        <v>601</v>
      </c>
      <c r="AT689" s="2" t="s">
        <v>336</v>
      </c>
      <c r="AU689" s="2" t="n">
        <v>2004</v>
      </c>
      <c r="AV689" s="2" t="n">
        <v>114</v>
      </c>
      <c r="AW689" s="2" t="n">
        <v>4</v>
      </c>
      <c r="AX689" s="2"/>
      <c r="AY689" s="2"/>
      <c r="AZ689" s="2"/>
      <c r="BA689" s="2"/>
      <c r="BB689" s="2" t="s">
        <v>12702</v>
      </c>
      <c r="BC689" s="2" t="s">
        <v>12703</v>
      </c>
      <c r="BD689" s="2"/>
      <c r="BE689" s="2" t="s">
        <v>12704</v>
      </c>
      <c r="BF689" s="2" t="str">
        <f aca="false">HYPERLINK("http://dx.doi.org/10.1542/peds.2004-0345","http://dx.doi.org/10.1542/peds.2004-0345")</f>
        <v>http://dx.doi.org/10.1542/peds.2004-0345</v>
      </c>
      <c r="BG689" s="2"/>
      <c r="BH689" s="2"/>
      <c r="BI689" s="2" t="n">
        <v>3</v>
      </c>
      <c r="BJ689" s="2" t="s">
        <v>601</v>
      </c>
      <c r="BK689" s="2" t="s">
        <v>100</v>
      </c>
      <c r="BL689" s="2" t="s">
        <v>601</v>
      </c>
      <c r="BM689" s="2" t="s">
        <v>12705</v>
      </c>
      <c r="BN689" s="2" t="n">
        <v>15466079</v>
      </c>
      <c r="BO689" s="2"/>
      <c r="BP689" s="2"/>
      <c r="BQ689" s="2"/>
      <c r="BR689" s="2" t="s">
        <v>104</v>
      </c>
      <c r="BS689" s="2" t="s">
        <v>12706</v>
      </c>
      <c r="BT689" s="2" t="str">
        <f aca="false">HYPERLINK("https%3A%2F%2Fwww.webofscience.com%2Fwos%2Fwoscc%2Ffull-record%2FWOS:000224242200017","View Full Record in Web of Science")</f>
        <v>View Full Record in Web of Science</v>
      </c>
    </row>
    <row r="690" customFormat="false" ht="12.75" hidden="false" customHeight="false" outlineLevel="0" collapsed="false">
      <c r="A690" s="2" t="s">
        <v>72</v>
      </c>
      <c r="B690" s="2" t="s">
        <v>12707</v>
      </c>
      <c r="C690" s="2"/>
      <c r="D690" s="2"/>
      <c r="E690" s="2"/>
      <c r="F690" s="2" t="s">
        <v>12708</v>
      </c>
      <c r="G690" s="2"/>
      <c r="H690" s="2"/>
      <c r="I690" s="2" t="s">
        <v>12709</v>
      </c>
      <c r="J690" s="2" t="s">
        <v>370</v>
      </c>
      <c r="K690" s="2"/>
      <c r="L690" s="2"/>
      <c r="M690" s="2" t="s">
        <v>77</v>
      </c>
      <c r="N690" s="2" t="s">
        <v>78</v>
      </c>
      <c r="O690" s="2"/>
      <c r="P690" s="2"/>
      <c r="Q690" s="2"/>
      <c r="R690" s="2"/>
      <c r="S690" s="2"/>
      <c r="T690" s="2" t="s">
        <v>12710</v>
      </c>
      <c r="U690" s="2" t="s">
        <v>12711</v>
      </c>
      <c r="V690" s="2" t="s">
        <v>12712</v>
      </c>
      <c r="W690" s="2" t="s">
        <v>12713</v>
      </c>
      <c r="X690" s="2" t="s">
        <v>12714</v>
      </c>
      <c r="Y690" s="2" t="s">
        <v>12715</v>
      </c>
      <c r="Z690" s="2" t="s">
        <v>12355</v>
      </c>
      <c r="AA690" s="2" t="s">
        <v>12716</v>
      </c>
      <c r="AB690" s="2" t="s">
        <v>12717</v>
      </c>
      <c r="AC690" s="2" t="s">
        <v>12718</v>
      </c>
      <c r="AD690" s="2" t="s">
        <v>12719</v>
      </c>
      <c r="AE690" s="2" t="s">
        <v>12720</v>
      </c>
      <c r="AF690" s="2"/>
      <c r="AG690" s="2" t="n">
        <v>33</v>
      </c>
      <c r="AH690" s="2" t="n">
        <v>26</v>
      </c>
      <c r="AI690" s="2" t="n">
        <v>27</v>
      </c>
      <c r="AJ690" s="2" t="n">
        <v>1</v>
      </c>
      <c r="AK690" s="2" t="n">
        <v>3</v>
      </c>
      <c r="AL690" s="2" t="s">
        <v>383</v>
      </c>
      <c r="AM690" s="2" t="s">
        <v>384</v>
      </c>
      <c r="AN690" s="2" t="s">
        <v>385</v>
      </c>
      <c r="AO690" s="2" t="s">
        <v>386</v>
      </c>
      <c r="AP690" s="2" t="s">
        <v>387</v>
      </c>
      <c r="AQ690" s="2"/>
      <c r="AR690" s="2" t="s">
        <v>388</v>
      </c>
      <c r="AS690" s="2" t="s">
        <v>389</v>
      </c>
      <c r="AT690" s="2" t="s">
        <v>486</v>
      </c>
      <c r="AU690" s="2" t="n">
        <v>2014</v>
      </c>
      <c r="AV690" s="2" t="n">
        <v>60</v>
      </c>
      <c r="AW690" s="2" t="n">
        <v>2</v>
      </c>
      <c r="AX690" s="2"/>
      <c r="AY690" s="2"/>
      <c r="AZ690" s="2"/>
      <c r="BA690" s="2"/>
      <c r="BB690" s="2" t="n">
        <v>133</v>
      </c>
      <c r="BC690" s="2" t="n">
        <v>140</v>
      </c>
      <c r="BD690" s="2"/>
      <c r="BE690" s="2" t="s">
        <v>12721</v>
      </c>
      <c r="BF690" s="2" t="str">
        <f aca="false">HYPERLINK("http://dx.doi.org/10.1016/j.jcv.2014.03.001","http://dx.doi.org/10.1016/j.jcv.2014.03.001")</f>
        <v>http://dx.doi.org/10.1016/j.jcv.2014.03.001</v>
      </c>
      <c r="BG690" s="2"/>
      <c r="BH690" s="2"/>
      <c r="BI690" s="2" t="n">
        <v>8</v>
      </c>
      <c r="BJ690" s="2" t="s">
        <v>163</v>
      </c>
      <c r="BK690" s="2" t="s">
        <v>100</v>
      </c>
      <c r="BL690" s="2" t="s">
        <v>163</v>
      </c>
      <c r="BM690" s="2" t="s">
        <v>12722</v>
      </c>
      <c r="BN690" s="2" t="n">
        <v>24686044</v>
      </c>
      <c r="BO690" s="2"/>
      <c r="BP690" s="2"/>
      <c r="BQ690" s="2"/>
      <c r="BR690" s="2" t="s">
        <v>104</v>
      </c>
      <c r="BS690" s="2" t="s">
        <v>12723</v>
      </c>
      <c r="BT690" s="2" t="str">
        <f aca="false">HYPERLINK("https%3A%2F%2Fwww.webofscience.com%2Fwos%2Fwoscc%2Ffull-record%2FWOS:000335738000009","View Full Record in Web of Science")</f>
        <v>View Full Record in Web of Science</v>
      </c>
    </row>
    <row r="691" customFormat="false" ht="12.75" hidden="false" customHeight="false" outlineLevel="0" collapsed="false">
      <c r="A691" s="2" t="s">
        <v>72</v>
      </c>
      <c r="B691" s="2" t="s">
        <v>12724</v>
      </c>
      <c r="C691" s="2"/>
      <c r="D691" s="2"/>
      <c r="E691" s="2"/>
      <c r="F691" s="2" t="s">
        <v>12725</v>
      </c>
      <c r="G691" s="2"/>
      <c r="H691" s="2"/>
      <c r="I691" s="2" t="s">
        <v>12726</v>
      </c>
      <c r="J691" s="2" t="s">
        <v>109</v>
      </c>
      <c r="K691" s="2"/>
      <c r="L691" s="2"/>
      <c r="M691" s="2" t="s">
        <v>77</v>
      </c>
      <c r="N691" s="2" t="s">
        <v>78</v>
      </c>
      <c r="O691" s="2"/>
      <c r="P691" s="2"/>
      <c r="Q691" s="2"/>
      <c r="R691" s="2"/>
      <c r="S691" s="2"/>
      <c r="T691" s="2" t="s">
        <v>12727</v>
      </c>
      <c r="U691" s="2" t="s">
        <v>12728</v>
      </c>
      <c r="V691" s="2" t="s">
        <v>12729</v>
      </c>
      <c r="W691" s="2" t="s">
        <v>12730</v>
      </c>
      <c r="X691" s="2" t="s">
        <v>2614</v>
      </c>
      <c r="Y691" s="2" t="s">
        <v>12731</v>
      </c>
      <c r="Z691" s="2" t="s">
        <v>12732</v>
      </c>
      <c r="AA691" s="2"/>
      <c r="AB691" s="2"/>
      <c r="AC691" s="2" t="s">
        <v>12733</v>
      </c>
      <c r="AD691" s="2" t="s">
        <v>12734</v>
      </c>
      <c r="AE691" s="2" t="s">
        <v>12735</v>
      </c>
      <c r="AF691" s="2"/>
      <c r="AG691" s="2" t="n">
        <v>19</v>
      </c>
      <c r="AH691" s="2" t="n">
        <v>13</v>
      </c>
      <c r="AI691" s="2" t="n">
        <v>15</v>
      </c>
      <c r="AJ691" s="2" t="n">
        <v>0</v>
      </c>
      <c r="AK691" s="2" t="n">
        <v>1</v>
      </c>
      <c r="AL691" s="2" t="s">
        <v>122</v>
      </c>
      <c r="AM691" s="2" t="s">
        <v>123</v>
      </c>
      <c r="AN691" s="2" t="s">
        <v>839</v>
      </c>
      <c r="AO691" s="2" t="s">
        <v>125</v>
      </c>
      <c r="AP691" s="2"/>
      <c r="AQ691" s="2"/>
      <c r="AR691" s="2" t="s">
        <v>127</v>
      </c>
      <c r="AS691" s="2" t="s">
        <v>128</v>
      </c>
      <c r="AT691" s="2" t="s">
        <v>599</v>
      </c>
      <c r="AU691" s="2" t="n">
        <v>2012</v>
      </c>
      <c r="AV691" s="2" t="n">
        <v>31</v>
      </c>
      <c r="AW691" s="2" t="n">
        <v>7</v>
      </c>
      <c r="AX691" s="2"/>
      <c r="AY691" s="2"/>
      <c r="AZ691" s="2"/>
      <c r="BA691" s="2"/>
      <c r="BB691" s="2" t="n">
        <v>763</v>
      </c>
      <c r="BC691" s="2" t="n">
        <v>766</v>
      </c>
      <c r="BD691" s="2"/>
      <c r="BE691" s="2" t="s">
        <v>12736</v>
      </c>
      <c r="BF691" s="2" t="str">
        <f aca="false">HYPERLINK("http://dx.doi.org/10.1097/INF.0b013e3182539d92","http://dx.doi.org/10.1097/INF.0b013e3182539d92")</f>
        <v>http://dx.doi.org/10.1097/INF.0b013e3182539d92</v>
      </c>
      <c r="BG691" s="2"/>
      <c r="BH691" s="2"/>
      <c r="BI691" s="2" t="n">
        <v>4</v>
      </c>
      <c r="BJ691" s="2" t="s">
        <v>134</v>
      </c>
      <c r="BK691" s="2" t="s">
        <v>100</v>
      </c>
      <c r="BL691" s="2" t="s">
        <v>134</v>
      </c>
      <c r="BM691" s="2" t="s">
        <v>12737</v>
      </c>
      <c r="BN691" s="2" t="n">
        <v>22411051</v>
      </c>
      <c r="BO691" s="2" t="s">
        <v>4062</v>
      </c>
      <c r="BP691" s="2"/>
      <c r="BQ691" s="2"/>
      <c r="BR691" s="2" t="s">
        <v>104</v>
      </c>
      <c r="BS691" s="2" t="s">
        <v>12738</v>
      </c>
      <c r="BT691" s="2" t="str">
        <f aca="false">HYPERLINK("https%3A%2F%2Fwww.webofscience.com%2Fwos%2Fwoscc%2Ffull-record%2FWOS:000305708300022","View Full Record in Web of Science")</f>
        <v>View Full Record in Web of Science</v>
      </c>
    </row>
    <row r="692" customFormat="false" ht="12.75" hidden="false" customHeight="false" outlineLevel="0" collapsed="false">
      <c r="A692" s="2" t="s">
        <v>72</v>
      </c>
      <c r="B692" s="2" t="s">
        <v>12739</v>
      </c>
      <c r="C692" s="2"/>
      <c r="D692" s="2"/>
      <c r="E692" s="2"/>
      <c r="F692" s="2" t="s">
        <v>12740</v>
      </c>
      <c r="G692" s="2"/>
      <c r="H692" s="2"/>
      <c r="I692" s="2" t="s">
        <v>12741</v>
      </c>
      <c r="J692" s="2" t="s">
        <v>3780</v>
      </c>
      <c r="K692" s="2"/>
      <c r="L692" s="2"/>
      <c r="M692" s="2" t="s">
        <v>77</v>
      </c>
      <c r="N692" s="2" t="s">
        <v>78</v>
      </c>
      <c r="O692" s="2"/>
      <c r="P692" s="2"/>
      <c r="Q692" s="2"/>
      <c r="R692" s="2"/>
      <c r="S692" s="2"/>
      <c r="T692" s="2" t="s">
        <v>12742</v>
      </c>
      <c r="U692" s="2" t="s">
        <v>12743</v>
      </c>
      <c r="V692" s="2" t="s">
        <v>12744</v>
      </c>
      <c r="W692" s="2" t="s">
        <v>12745</v>
      </c>
      <c r="X692" s="2" t="s">
        <v>12746</v>
      </c>
      <c r="Y692" s="2" t="s">
        <v>3786</v>
      </c>
      <c r="Z692" s="2" t="s">
        <v>3787</v>
      </c>
      <c r="AA692" s="2" t="s">
        <v>12747</v>
      </c>
      <c r="AB692" s="2"/>
      <c r="AC692" s="2" t="s">
        <v>12748</v>
      </c>
      <c r="AD692" s="2" t="s">
        <v>12749</v>
      </c>
      <c r="AE692" s="2" t="s">
        <v>12750</v>
      </c>
      <c r="AF692" s="2"/>
      <c r="AG692" s="2" t="n">
        <v>26</v>
      </c>
      <c r="AH692" s="2" t="n">
        <v>8</v>
      </c>
      <c r="AI692" s="2" t="n">
        <v>12</v>
      </c>
      <c r="AJ692" s="2" t="n">
        <v>1</v>
      </c>
      <c r="AK692" s="2" t="n">
        <v>10</v>
      </c>
      <c r="AL692" s="2" t="s">
        <v>12751</v>
      </c>
      <c r="AM692" s="2" t="s">
        <v>9888</v>
      </c>
      <c r="AN692" s="2" t="s">
        <v>12752</v>
      </c>
      <c r="AO692" s="2" t="s">
        <v>3795</v>
      </c>
      <c r="AP692" s="2"/>
      <c r="AQ692" s="2"/>
      <c r="AR692" s="2" t="s">
        <v>3796</v>
      </c>
      <c r="AS692" s="2" t="s">
        <v>3797</v>
      </c>
      <c r="AT692" s="2" t="s">
        <v>12753</v>
      </c>
      <c r="AU692" s="2" t="n">
        <v>2011</v>
      </c>
      <c r="AV692" s="2" t="n">
        <v>124</v>
      </c>
      <c r="AW692" s="2" t="n">
        <v>11</v>
      </c>
      <c r="AX692" s="2"/>
      <c r="AY692" s="2"/>
      <c r="AZ692" s="2"/>
      <c r="BA692" s="2"/>
      <c r="BB692" s="2" t="n">
        <v>1623</v>
      </c>
      <c r="BC692" s="2" t="n">
        <v>1628</v>
      </c>
      <c r="BD692" s="2"/>
      <c r="BE692" s="2" t="s">
        <v>12754</v>
      </c>
      <c r="BF692" s="2" t="str">
        <f aca="false">HYPERLINK("http://dx.doi.org/10.3760/cma.j.issn.0366-6999.2011.11.004","http://dx.doi.org/10.3760/cma.j.issn.0366-6999.2011.11.004")</f>
        <v>http://dx.doi.org/10.3760/cma.j.issn.0366-6999.2011.11.004</v>
      </c>
      <c r="BG692" s="2"/>
      <c r="BH692" s="2"/>
      <c r="BI692" s="2" t="n">
        <v>6</v>
      </c>
      <c r="BJ692" s="2" t="s">
        <v>363</v>
      </c>
      <c r="BK692" s="2" t="s">
        <v>100</v>
      </c>
      <c r="BL692" s="2" t="s">
        <v>364</v>
      </c>
      <c r="BM692" s="2" t="s">
        <v>12755</v>
      </c>
      <c r="BN692" s="2" t="n">
        <v>21740766</v>
      </c>
      <c r="BO692" s="2"/>
      <c r="BP692" s="2"/>
      <c r="BQ692" s="2"/>
      <c r="BR692" s="2" t="s">
        <v>104</v>
      </c>
      <c r="BS692" s="2" t="s">
        <v>12756</v>
      </c>
      <c r="BT692" s="2" t="str">
        <f aca="false">HYPERLINK("https%3A%2F%2Fwww.webofscience.com%2Fwos%2Fwoscc%2Ffull-record%2FWOS:000292350000004","View Full Record in Web of Science")</f>
        <v>View Full Record in Web of Science</v>
      </c>
    </row>
    <row r="693" customFormat="false" ht="12.75" hidden="false" customHeight="false" outlineLevel="0" collapsed="false">
      <c r="A693" s="2" t="s">
        <v>72</v>
      </c>
      <c r="B693" s="2" t="s">
        <v>12757</v>
      </c>
      <c r="C693" s="2"/>
      <c r="D693" s="2"/>
      <c r="E693" s="2"/>
      <c r="F693" s="2" t="s">
        <v>12758</v>
      </c>
      <c r="G693" s="2"/>
      <c r="H693" s="2"/>
      <c r="I693" s="2" t="s">
        <v>12759</v>
      </c>
      <c r="J693" s="2" t="s">
        <v>3182</v>
      </c>
      <c r="K693" s="2"/>
      <c r="L693" s="2"/>
      <c r="M693" s="2" t="s">
        <v>77</v>
      </c>
      <c r="N693" s="2" t="s">
        <v>78</v>
      </c>
      <c r="O693" s="2"/>
      <c r="P693" s="2"/>
      <c r="Q693" s="2"/>
      <c r="R693" s="2"/>
      <c r="S693" s="2"/>
      <c r="T693" s="2" t="s">
        <v>12760</v>
      </c>
      <c r="U693" s="2" t="s">
        <v>12761</v>
      </c>
      <c r="V693" s="2" t="s">
        <v>12762</v>
      </c>
      <c r="W693" s="2" t="s">
        <v>12763</v>
      </c>
      <c r="X693" s="2" t="s">
        <v>12764</v>
      </c>
      <c r="Y693" s="2" t="s">
        <v>12765</v>
      </c>
      <c r="Z693" s="2" t="s">
        <v>11246</v>
      </c>
      <c r="AA693" s="2" t="s">
        <v>12766</v>
      </c>
      <c r="AB693" s="2" t="s">
        <v>12767</v>
      </c>
      <c r="AC693" s="2"/>
      <c r="AD693" s="2"/>
      <c r="AE693" s="2"/>
      <c r="AF693" s="2"/>
      <c r="AG693" s="2" t="n">
        <v>49</v>
      </c>
      <c r="AH693" s="2" t="n">
        <v>15</v>
      </c>
      <c r="AI693" s="2" t="n">
        <v>15</v>
      </c>
      <c r="AJ693" s="2" t="n">
        <v>0</v>
      </c>
      <c r="AK693" s="2" t="n">
        <v>3</v>
      </c>
      <c r="AL693" s="2" t="s">
        <v>3192</v>
      </c>
      <c r="AM693" s="2" t="s">
        <v>2876</v>
      </c>
      <c r="AN693" s="2" t="s">
        <v>3193</v>
      </c>
      <c r="AO693" s="2" t="s">
        <v>3194</v>
      </c>
      <c r="AP693" s="2" t="s">
        <v>3195</v>
      </c>
      <c r="AQ693" s="2"/>
      <c r="AR693" s="2" t="s">
        <v>3196</v>
      </c>
      <c r="AS693" s="2" t="s">
        <v>3197</v>
      </c>
      <c r="AT693" s="2" t="s">
        <v>446</v>
      </c>
      <c r="AU693" s="2" t="n">
        <v>2010</v>
      </c>
      <c r="AV693" s="2" t="n">
        <v>105</v>
      </c>
      <c r="AW693" s="2" t="n">
        <v>8</v>
      </c>
      <c r="AX693" s="2"/>
      <c r="AY693" s="2"/>
      <c r="AZ693" s="2"/>
      <c r="BA693" s="2"/>
      <c r="BB693" s="2" t="n">
        <v>1010</v>
      </c>
      <c r="BC693" s="2" t="n">
        <v>1018</v>
      </c>
      <c r="BD693" s="2"/>
      <c r="BE693" s="2" t="s">
        <v>12768</v>
      </c>
      <c r="BF693" s="2" t="str">
        <f aca="false">HYPERLINK("http://dx.doi.org/10.1590/S0074-02762010000800010","http://dx.doi.org/10.1590/S0074-02762010000800010")</f>
        <v>http://dx.doi.org/10.1590/S0074-02762010000800010</v>
      </c>
      <c r="BG693" s="2"/>
      <c r="BH693" s="2"/>
      <c r="BI693" s="2" t="n">
        <v>9</v>
      </c>
      <c r="BJ693" s="2" t="s">
        <v>3199</v>
      </c>
      <c r="BK693" s="2" t="s">
        <v>100</v>
      </c>
      <c r="BL693" s="2" t="s">
        <v>3199</v>
      </c>
      <c r="BM693" s="2" t="s">
        <v>12769</v>
      </c>
      <c r="BN693" s="2" t="n">
        <v>21225198</v>
      </c>
      <c r="BO693" s="2" t="s">
        <v>3201</v>
      </c>
      <c r="BP693" s="2"/>
      <c r="BQ693" s="2"/>
      <c r="BR693" s="2" t="s">
        <v>104</v>
      </c>
      <c r="BS693" s="2" t="s">
        <v>12770</v>
      </c>
      <c r="BT693" s="2" t="str">
        <f aca="false">HYPERLINK("https%3A%2F%2Fwww.webofscience.com%2Fwos%2Fwoscc%2Ffull-record%2FWOS:000286107400010","View Full Record in Web of Science")</f>
        <v>View Full Record in Web of Science</v>
      </c>
    </row>
    <row r="694" customFormat="false" ht="15.65" hidden="false" customHeight="false" outlineLevel="0" collapsed="false">
      <c r="A694" s="2" t="s">
        <v>72</v>
      </c>
      <c r="B694" s="2" t="s">
        <v>12771</v>
      </c>
      <c r="C694" s="2"/>
      <c r="D694" s="2"/>
      <c r="E694" s="2"/>
      <c r="F694" s="2" t="s">
        <v>12772</v>
      </c>
      <c r="G694" s="2"/>
      <c r="H694" s="2"/>
      <c r="I694" s="2" t="s">
        <v>12773</v>
      </c>
      <c r="J694" s="2" t="s">
        <v>12774</v>
      </c>
      <c r="K694" s="2"/>
      <c r="L694" s="2"/>
      <c r="M694" s="2" t="s">
        <v>77</v>
      </c>
      <c r="N694" s="2" t="s">
        <v>78</v>
      </c>
      <c r="O694" s="2"/>
      <c r="P694" s="2"/>
      <c r="Q694" s="2"/>
      <c r="R694" s="2"/>
      <c r="S694" s="2"/>
      <c r="T694" s="2" t="s">
        <v>12775</v>
      </c>
      <c r="U694" s="2"/>
      <c r="V694" s="2" t="s">
        <v>12776</v>
      </c>
      <c r="W694" s="2" t="s">
        <v>12777</v>
      </c>
      <c r="X694" s="2" t="s">
        <v>12778</v>
      </c>
      <c r="Y694" s="2" t="s">
        <v>12779</v>
      </c>
      <c r="Z694" s="2" t="s">
        <v>12780</v>
      </c>
      <c r="AA694" s="3" t="s">
        <v>12781</v>
      </c>
      <c r="AB694" s="2" t="s">
        <v>12782</v>
      </c>
      <c r="AC694" s="2" t="s">
        <v>12783</v>
      </c>
      <c r="AD694" s="2" t="s">
        <v>6937</v>
      </c>
      <c r="AE694" s="2"/>
      <c r="AF694" s="2"/>
      <c r="AG694" s="2" t="n">
        <v>15</v>
      </c>
      <c r="AH694" s="2" t="n">
        <v>3</v>
      </c>
      <c r="AI694" s="2" t="n">
        <v>5</v>
      </c>
      <c r="AJ694" s="2" t="n">
        <v>1</v>
      </c>
      <c r="AK694" s="2" t="n">
        <v>1</v>
      </c>
      <c r="AL694" s="2" t="s">
        <v>549</v>
      </c>
      <c r="AM694" s="2" t="s">
        <v>384</v>
      </c>
      <c r="AN694" s="2" t="s">
        <v>550</v>
      </c>
      <c r="AO694" s="2" t="s">
        <v>12784</v>
      </c>
      <c r="AP694" s="2"/>
      <c r="AQ694" s="2"/>
      <c r="AR694" s="2" t="s">
        <v>12785</v>
      </c>
      <c r="AS694" s="2" t="s">
        <v>12786</v>
      </c>
      <c r="AT694" s="2"/>
      <c r="AU694" s="2" t="n">
        <v>2014</v>
      </c>
      <c r="AV694" s="2" t="n">
        <v>12</v>
      </c>
      <c r="AW694" s="2"/>
      <c r="AX694" s="2"/>
      <c r="AY694" s="2"/>
      <c r="AZ694" s="2"/>
      <c r="BA694" s="2"/>
      <c r="BB694" s="2" t="n">
        <v>13</v>
      </c>
      <c r="BC694" s="2" t="n">
        <v>15</v>
      </c>
      <c r="BD694" s="2"/>
      <c r="BE694" s="2" t="s">
        <v>12787</v>
      </c>
      <c r="BF694" s="2" t="str">
        <f aca="false">HYPERLINK("http://dx.doi.org/10.1016/j.rmcr.2013.12.007","http://dx.doi.org/10.1016/j.rmcr.2013.12.007")</f>
        <v>http://dx.doi.org/10.1016/j.rmcr.2013.12.007</v>
      </c>
      <c r="BG694" s="2"/>
      <c r="BH694" s="2"/>
      <c r="BI694" s="2" t="n">
        <v>3</v>
      </c>
      <c r="BJ694" s="2" t="s">
        <v>338</v>
      </c>
      <c r="BK694" s="2" t="s">
        <v>339</v>
      </c>
      <c r="BL694" s="2" t="s">
        <v>338</v>
      </c>
      <c r="BM694" s="2" t="s">
        <v>12788</v>
      </c>
      <c r="BN694" s="2" t="n">
        <v>26029528</v>
      </c>
      <c r="BO694" s="2" t="s">
        <v>103</v>
      </c>
      <c r="BP694" s="2"/>
      <c r="BQ694" s="2"/>
      <c r="BR694" s="2" t="s">
        <v>104</v>
      </c>
      <c r="BS694" s="2" t="s">
        <v>12789</v>
      </c>
      <c r="BT694" s="2" t="str">
        <f aca="false">HYPERLINK("https%3A%2F%2Fwww.webofscience.com%2Fwos%2Fwoscc%2Ffull-record%2FWOS:000217201400005","View Full Record in Web of Science")</f>
        <v>View Full Record in Web of Science</v>
      </c>
    </row>
    <row r="695" customFormat="false" ht="12.75" hidden="false" customHeight="false" outlineLevel="0" collapsed="false">
      <c r="A695" s="2" t="s">
        <v>72</v>
      </c>
      <c r="B695" s="2" t="s">
        <v>12790</v>
      </c>
      <c r="C695" s="2"/>
      <c r="D695" s="2"/>
      <c r="E695" s="2"/>
      <c r="F695" s="2" t="s">
        <v>12790</v>
      </c>
      <c r="G695" s="2"/>
      <c r="H695" s="2"/>
      <c r="I695" s="2" t="s">
        <v>12791</v>
      </c>
      <c r="J695" s="2" t="s">
        <v>12792</v>
      </c>
      <c r="K695" s="2"/>
      <c r="L695" s="2"/>
      <c r="M695" s="2" t="s">
        <v>77</v>
      </c>
      <c r="N695" s="2" t="s">
        <v>78</v>
      </c>
      <c r="O695" s="2"/>
      <c r="P695" s="2"/>
      <c r="Q695" s="2"/>
      <c r="R695" s="2"/>
      <c r="S695" s="2"/>
      <c r="T695" s="2" t="s">
        <v>12793</v>
      </c>
      <c r="U695" s="2" t="s">
        <v>12794</v>
      </c>
      <c r="V695" s="2" t="s">
        <v>12795</v>
      </c>
      <c r="W695" s="2" t="s">
        <v>12796</v>
      </c>
      <c r="X695" s="2" t="s">
        <v>12797</v>
      </c>
      <c r="Y695" s="2" t="s">
        <v>12798</v>
      </c>
      <c r="Z695" s="2"/>
      <c r="AA695" s="2" t="s">
        <v>12799</v>
      </c>
      <c r="AB695" s="2"/>
      <c r="AC695" s="2"/>
      <c r="AD695" s="2"/>
      <c r="AE695" s="2"/>
      <c r="AF695" s="2"/>
      <c r="AG695" s="2" t="n">
        <v>7</v>
      </c>
      <c r="AH695" s="2" t="n">
        <v>110</v>
      </c>
      <c r="AI695" s="2" t="n">
        <v>124</v>
      </c>
      <c r="AJ695" s="2" t="n">
        <v>0</v>
      </c>
      <c r="AK695" s="2" t="n">
        <v>2</v>
      </c>
      <c r="AL695" s="2" t="s">
        <v>12800</v>
      </c>
      <c r="AM695" s="2" t="s">
        <v>303</v>
      </c>
      <c r="AN695" s="2" t="s">
        <v>12801</v>
      </c>
      <c r="AO695" s="2" t="s">
        <v>12802</v>
      </c>
      <c r="AP695" s="2"/>
      <c r="AQ695" s="2"/>
      <c r="AR695" s="2" t="s">
        <v>12803</v>
      </c>
      <c r="AS695" s="2" t="s">
        <v>12804</v>
      </c>
      <c r="AT695" s="2" t="s">
        <v>1041</v>
      </c>
      <c r="AU695" s="2" t="n">
        <v>2003</v>
      </c>
      <c r="AV695" s="2" t="n">
        <v>31</v>
      </c>
      <c r="AW695" s="2" t="n">
        <v>4</v>
      </c>
      <c r="AX695" s="2"/>
      <c r="AY695" s="2"/>
      <c r="AZ695" s="2"/>
      <c r="BA695" s="2"/>
      <c r="BB695" s="2" t="n">
        <v>309</v>
      </c>
      <c r="BC695" s="2" t="n">
        <v>310</v>
      </c>
      <c r="BD695" s="2"/>
      <c r="BE695" s="2" t="s">
        <v>12805</v>
      </c>
      <c r="BF695" s="2" t="str">
        <f aca="false">HYPERLINK("http://dx.doi.org/10.1038/sj.bmt.1703849","http://dx.doi.org/10.1038/sj.bmt.1703849")</f>
        <v>http://dx.doi.org/10.1038/sj.bmt.1703849</v>
      </c>
      <c r="BG695" s="2"/>
      <c r="BH695" s="2"/>
      <c r="BI695" s="2" t="n">
        <v>2</v>
      </c>
      <c r="BJ695" s="2" t="s">
        <v>12806</v>
      </c>
      <c r="BK695" s="2" t="s">
        <v>100</v>
      </c>
      <c r="BL695" s="2" t="s">
        <v>12806</v>
      </c>
      <c r="BM695" s="2" t="s">
        <v>12807</v>
      </c>
      <c r="BN695" s="2" t="n">
        <v>12621469</v>
      </c>
      <c r="BO695" s="2"/>
      <c r="BP695" s="2"/>
      <c r="BQ695" s="2"/>
      <c r="BR695" s="2" t="s">
        <v>104</v>
      </c>
      <c r="BS695" s="2" t="s">
        <v>12808</v>
      </c>
      <c r="BT695" s="2" t="str">
        <f aca="false">HYPERLINK("https%3A%2F%2Fwww.webofscience.com%2Fwos%2Fwoscc%2Ffull-record%2FWOS:000181433000013","View Full Record in Web of Science")</f>
        <v>View Full Record in Web of Science</v>
      </c>
    </row>
    <row r="696" customFormat="false" ht="12.75" hidden="false" customHeight="false" outlineLevel="0" collapsed="false">
      <c r="A696" s="2" t="s">
        <v>72</v>
      </c>
      <c r="B696" s="2" t="s">
        <v>12809</v>
      </c>
      <c r="C696" s="2"/>
      <c r="D696" s="2"/>
      <c r="E696" s="2"/>
      <c r="F696" s="2" t="s">
        <v>12810</v>
      </c>
      <c r="G696" s="2"/>
      <c r="H696" s="2"/>
      <c r="I696" s="2" t="s">
        <v>12811</v>
      </c>
      <c r="J696" s="2" t="s">
        <v>493</v>
      </c>
      <c r="K696" s="2"/>
      <c r="L696" s="2"/>
      <c r="M696" s="2" t="s">
        <v>77</v>
      </c>
      <c r="N696" s="2" t="s">
        <v>78</v>
      </c>
      <c r="O696" s="2"/>
      <c r="P696" s="2"/>
      <c r="Q696" s="2"/>
      <c r="R696" s="2"/>
      <c r="S696" s="2"/>
      <c r="T696" s="2" t="s">
        <v>12812</v>
      </c>
      <c r="U696" s="2" t="s">
        <v>12813</v>
      </c>
      <c r="V696" s="2" t="s">
        <v>12814</v>
      </c>
      <c r="W696" s="2" t="s">
        <v>12815</v>
      </c>
      <c r="X696" s="2" t="s">
        <v>12816</v>
      </c>
      <c r="Y696" s="2" t="s">
        <v>12817</v>
      </c>
      <c r="Z696" s="2" t="s">
        <v>12818</v>
      </c>
      <c r="AA696" s="2" t="s">
        <v>12819</v>
      </c>
      <c r="AB696" s="2" t="s">
        <v>12820</v>
      </c>
      <c r="AC696" s="2" t="s">
        <v>12821</v>
      </c>
      <c r="AD696" s="2" t="s">
        <v>12822</v>
      </c>
      <c r="AE696" s="2" t="s">
        <v>12823</v>
      </c>
      <c r="AF696" s="2"/>
      <c r="AG696" s="2" t="n">
        <v>59</v>
      </c>
      <c r="AH696" s="2" t="n">
        <v>5</v>
      </c>
      <c r="AI696" s="2" t="n">
        <v>5</v>
      </c>
      <c r="AJ696" s="2" t="n">
        <v>0</v>
      </c>
      <c r="AK696" s="2" t="n">
        <v>2</v>
      </c>
      <c r="AL696" s="2" t="s">
        <v>91</v>
      </c>
      <c r="AM696" s="2" t="s">
        <v>92</v>
      </c>
      <c r="AN696" s="2" t="s">
        <v>93</v>
      </c>
      <c r="AO696" s="2"/>
      <c r="AP696" s="2" t="s">
        <v>506</v>
      </c>
      <c r="AQ696" s="2"/>
      <c r="AR696" s="2" t="s">
        <v>493</v>
      </c>
      <c r="AS696" s="2" t="s">
        <v>507</v>
      </c>
      <c r="AT696" s="2" t="s">
        <v>599</v>
      </c>
      <c r="AU696" s="2" t="n">
        <v>2020</v>
      </c>
      <c r="AV696" s="2" t="n">
        <v>12</v>
      </c>
      <c r="AW696" s="2" t="n">
        <v>7</v>
      </c>
      <c r="AX696" s="2"/>
      <c r="AY696" s="2"/>
      <c r="AZ696" s="2"/>
      <c r="BA696" s="2"/>
      <c r="BB696" s="2"/>
      <c r="BC696" s="2"/>
      <c r="BD696" s="2" t="n">
        <v>724</v>
      </c>
      <c r="BE696" s="2" t="s">
        <v>12824</v>
      </c>
      <c r="BF696" s="2" t="str">
        <f aca="false">HYPERLINK("http://dx.doi.org/10.3390/v12070724","http://dx.doi.org/10.3390/v12070724")</f>
        <v>http://dx.doi.org/10.3390/v12070724</v>
      </c>
      <c r="BG696" s="2"/>
      <c r="BH696" s="2"/>
      <c r="BI696" s="2" t="n">
        <v>18</v>
      </c>
      <c r="BJ696" s="2" t="s">
        <v>163</v>
      </c>
      <c r="BK696" s="2" t="s">
        <v>100</v>
      </c>
      <c r="BL696" s="2" t="s">
        <v>163</v>
      </c>
      <c r="BM696" s="2" t="s">
        <v>12825</v>
      </c>
      <c r="BN696" s="2" t="n">
        <v>32635475</v>
      </c>
      <c r="BO696" s="2" t="s">
        <v>103</v>
      </c>
      <c r="BP696" s="2"/>
      <c r="BQ696" s="2"/>
      <c r="BR696" s="2" t="s">
        <v>104</v>
      </c>
      <c r="BS696" s="2" t="s">
        <v>12826</v>
      </c>
      <c r="BT696" s="2" t="str">
        <f aca="false">HYPERLINK("https%3A%2F%2Fwww.webofscience.com%2Fwos%2Fwoscc%2Ffull-record%2FWOS:000557197200001","View Full Record in Web of Science")</f>
        <v>View Full Record in Web of Science</v>
      </c>
    </row>
    <row r="697" customFormat="false" ht="12.75" hidden="false" customHeight="false" outlineLevel="0" collapsed="false">
      <c r="A697" s="2" t="s">
        <v>72</v>
      </c>
      <c r="B697" s="2" t="s">
        <v>12827</v>
      </c>
      <c r="C697" s="2"/>
      <c r="D697" s="2"/>
      <c r="E697" s="2"/>
      <c r="F697" s="2" t="s">
        <v>12828</v>
      </c>
      <c r="G697" s="2"/>
      <c r="H697" s="2"/>
      <c r="I697" s="2" t="s">
        <v>12829</v>
      </c>
      <c r="J697" s="2" t="s">
        <v>12830</v>
      </c>
      <c r="K697" s="2"/>
      <c r="L697" s="2"/>
      <c r="M697" s="2" t="s">
        <v>77</v>
      </c>
      <c r="N697" s="2" t="s">
        <v>78</v>
      </c>
      <c r="O697" s="2"/>
      <c r="P697" s="2"/>
      <c r="Q697" s="2"/>
      <c r="R697" s="2"/>
      <c r="S697" s="2"/>
      <c r="T697" s="2" t="s">
        <v>12831</v>
      </c>
      <c r="U697" s="2" t="s">
        <v>12832</v>
      </c>
      <c r="V697" s="2" t="s">
        <v>12833</v>
      </c>
      <c r="W697" s="2" t="s">
        <v>12834</v>
      </c>
      <c r="X697" s="2" t="s">
        <v>12835</v>
      </c>
      <c r="Y697" s="2" t="s">
        <v>12836</v>
      </c>
      <c r="Z697" s="2" t="s">
        <v>12837</v>
      </c>
      <c r="AA697" s="2" t="s">
        <v>3047</v>
      </c>
      <c r="AB697" s="2" t="s">
        <v>3048</v>
      </c>
      <c r="AC697" s="2"/>
      <c r="AD697" s="2"/>
      <c r="AE697" s="2"/>
      <c r="AF697" s="2"/>
      <c r="AG697" s="2" t="n">
        <v>45</v>
      </c>
      <c r="AH697" s="2" t="n">
        <v>0</v>
      </c>
      <c r="AI697" s="2" t="n">
        <v>0</v>
      </c>
      <c r="AJ697" s="2" t="n">
        <v>0</v>
      </c>
      <c r="AK697" s="2" t="n">
        <v>5</v>
      </c>
      <c r="AL697" s="2" t="s">
        <v>122</v>
      </c>
      <c r="AM697" s="2" t="s">
        <v>123</v>
      </c>
      <c r="AN697" s="2" t="s">
        <v>124</v>
      </c>
      <c r="AO697" s="2" t="s">
        <v>12838</v>
      </c>
      <c r="AP697" s="2" t="s">
        <v>12839</v>
      </c>
      <c r="AQ697" s="2"/>
      <c r="AR697" s="2" t="s">
        <v>12840</v>
      </c>
      <c r="AS697" s="2" t="s">
        <v>12841</v>
      </c>
      <c r="AT697" s="2" t="s">
        <v>692</v>
      </c>
      <c r="AU697" s="2" t="n">
        <v>2012</v>
      </c>
      <c r="AV697" s="2" t="n">
        <v>23</v>
      </c>
      <c r="AW697" s="2" t="n">
        <v>2</v>
      </c>
      <c r="AX697" s="2"/>
      <c r="AY697" s="2"/>
      <c r="AZ697" s="2"/>
      <c r="BA697" s="2"/>
      <c r="BB697" s="2" t="n">
        <v>23</v>
      </c>
      <c r="BC697" s="2" t="n">
        <v>28</v>
      </c>
      <c r="BD697" s="2"/>
      <c r="BE697" s="2" t="s">
        <v>12842</v>
      </c>
      <c r="BF697" s="2" t="str">
        <f aca="false">HYPERLINK("http://dx.doi.org/10.1097/MRM.0b013e3283530823","http://dx.doi.org/10.1097/MRM.0b013e3283530823")</f>
        <v>http://dx.doi.org/10.1097/MRM.0b013e3283530823</v>
      </c>
      <c r="BG697" s="2"/>
      <c r="BH697" s="2"/>
      <c r="BI697" s="2" t="n">
        <v>6</v>
      </c>
      <c r="BJ697" s="2" t="s">
        <v>211</v>
      </c>
      <c r="BK697" s="2" t="s">
        <v>100</v>
      </c>
      <c r="BL697" s="2" t="s">
        <v>211</v>
      </c>
      <c r="BM697" s="2" t="s">
        <v>12843</v>
      </c>
      <c r="BN697" s="2"/>
      <c r="BO697" s="2"/>
      <c r="BP697" s="2"/>
      <c r="BQ697" s="2"/>
      <c r="BR697" s="2" t="s">
        <v>104</v>
      </c>
      <c r="BS697" s="2" t="s">
        <v>12844</v>
      </c>
      <c r="BT697" s="2" t="str">
        <f aca="false">HYPERLINK("https%3A%2F%2Fwww.webofscience.com%2Fwos%2Fwoscc%2Ffull-record%2FWOS:000303146300004","View Full Record in Web of Science")</f>
        <v>View Full Record in Web of Science</v>
      </c>
    </row>
    <row r="698" customFormat="false" ht="12.75" hidden="false" customHeight="false" outlineLevel="0" collapsed="false">
      <c r="A698" s="2" t="s">
        <v>72</v>
      </c>
      <c r="B698" s="2" t="s">
        <v>12845</v>
      </c>
      <c r="C698" s="2"/>
      <c r="D698" s="2"/>
      <c r="E698" s="2"/>
      <c r="F698" s="2" t="s">
        <v>12846</v>
      </c>
      <c r="G698" s="2"/>
      <c r="H698" s="2"/>
      <c r="I698" s="2" t="s">
        <v>12847</v>
      </c>
      <c r="J698" s="2" t="s">
        <v>7102</v>
      </c>
      <c r="K698" s="2"/>
      <c r="L698" s="2"/>
      <c r="M698" s="2" t="s">
        <v>77</v>
      </c>
      <c r="N698" s="2" t="s">
        <v>78</v>
      </c>
      <c r="O698" s="2"/>
      <c r="P698" s="2"/>
      <c r="Q698" s="2"/>
      <c r="R698" s="2"/>
      <c r="S698" s="2"/>
      <c r="T698" s="2" t="s">
        <v>12848</v>
      </c>
      <c r="U698" s="2" t="s">
        <v>12849</v>
      </c>
      <c r="V698" s="2" t="s">
        <v>12850</v>
      </c>
      <c r="W698" s="2" t="s">
        <v>12851</v>
      </c>
      <c r="X698" s="2" t="s">
        <v>12852</v>
      </c>
      <c r="Y698" s="2" t="s">
        <v>12853</v>
      </c>
      <c r="Z698" s="2" t="s">
        <v>12854</v>
      </c>
      <c r="AA698" s="2" t="s">
        <v>12855</v>
      </c>
      <c r="AB698" s="2" t="s">
        <v>12856</v>
      </c>
      <c r="AC698" s="2" t="s">
        <v>12857</v>
      </c>
      <c r="AD698" s="2" t="s">
        <v>12857</v>
      </c>
      <c r="AE698" s="2" t="s">
        <v>12858</v>
      </c>
      <c r="AF698" s="2"/>
      <c r="AG698" s="2" t="n">
        <v>61</v>
      </c>
      <c r="AH698" s="2" t="n">
        <v>3</v>
      </c>
      <c r="AI698" s="2" t="n">
        <v>3</v>
      </c>
      <c r="AJ698" s="2" t="n">
        <v>2</v>
      </c>
      <c r="AK698" s="2" t="n">
        <v>3</v>
      </c>
      <c r="AL698" s="2" t="s">
        <v>755</v>
      </c>
      <c r="AM698" s="2" t="s">
        <v>273</v>
      </c>
      <c r="AN698" s="2" t="s">
        <v>756</v>
      </c>
      <c r="AO698" s="2" t="s">
        <v>7114</v>
      </c>
      <c r="AP698" s="2"/>
      <c r="AQ698" s="2"/>
      <c r="AR698" s="2" t="s">
        <v>7102</v>
      </c>
      <c r="AS698" s="2" t="s">
        <v>7115</v>
      </c>
      <c r="AT698" s="2" t="s">
        <v>12859</v>
      </c>
      <c r="AU698" s="2" t="n">
        <v>2024</v>
      </c>
      <c r="AV698" s="2" t="n">
        <v>15</v>
      </c>
      <c r="AW698" s="2" t="n">
        <v>1</v>
      </c>
      <c r="AX698" s="2"/>
      <c r="AY698" s="2"/>
      <c r="AZ698" s="2"/>
      <c r="BA698" s="2"/>
      <c r="BB698" s="2"/>
      <c r="BC698" s="2"/>
      <c r="BD698" s="2"/>
      <c r="BE698" s="2" t="s">
        <v>12860</v>
      </c>
      <c r="BF698" s="2" t="str">
        <f aca="false">HYPERLINK("http://dx.doi.org/10.1128/mbio.02122-23","http://dx.doi.org/10.1128/mbio.02122-23")</f>
        <v>http://dx.doi.org/10.1128/mbio.02122-23</v>
      </c>
      <c r="BG698" s="2"/>
      <c r="BH698" s="2" t="s">
        <v>3590</v>
      </c>
      <c r="BI698" s="2" t="n">
        <v>21</v>
      </c>
      <c r="BJ698" s="2" t="s">
        <v>211</v>
      </c>
      <c r="BK698" s="2" t="s">
        <v>100</v>
      </c>
      <c r="BL698" s="2" t="s">
        <v>211</v>
      </c>
      <c r="BM698" s="2" t="s">
        <v>12861</v>
      </c>
      <c r="BN698" s="2" t="n">
        <v>38117059</v>
      </c>
      <c r="BO698" s="2" t="s">
        <v>103</v>
      </c>
      <c r="BP698" s="2"/>
      <c r="BQ698" s="2"/>
      <c r="BR698" s="2" t="s">
        <v>104</v>
      </c>
      <c r="BS698" s="2" t="s">
        <v>12862</v>
      </c>
      <c r="BT698" s="2" t="str">
        <f aca="false">HYPERLINK("https%3A%2F%2Fwww.webofscience.com%2Fwos%2Fwoscc%2Ffull-record%2FWOS:001128900100001","View Full Record in Web of Science")</f>
        <v>View Full Record in Web of Science</v>
      </c>
    </row>
    <row r="699" customFormat="false" ht="12.75" hidden="false" customHeight="false" outlineLevel="0" collapsed="false">
      <c r="A699" s="2" t="s">
        <v>72</v>
      </c>
      <c r="B699" s="2" t="s">
        <v>12863</v>
      </c>
      <c r="C699" s="2"/>
      <c r="D699" s="2"/>
      <c r="E699" s="2"/>
      <c r="F699" s="2" t="s">
        <v>12864</v>
      </c>
      <c r="G699" s="2"/>
      <c r="H699" s="2"/>
      <c r="I699" s="2" t="s">
        <v>12865</v>
      </c>
      <c r="J699" s="2" t="s">
        <v>370</v>
      </c>
      <c r="K699" s="2"/>
      <c r="L699" s="2"/>
      <c r="M699" s="2" t="s">
        <v>77</v>
      </c>
      <c r="N699" s="2" t="s">
        <v>78</v>
      </c>
      <c r="O699" s="2"/>
      <c r="P699" s="2"/>
      <c r="Q699" s="2"/>
      <c r="R699" s="2"/>
      <c r="S699" s="2"/>
      <c r="T699" s="2" t="s">
        <v>12866</v>
      </c>
      <c r="U699" s="2" t="s">
        <v>12867</v>
      </c>
      <c r="V699" s="2" t="s">
        <v>12868</v>
      </c>
      <c r="W699" s="2" t="s">
        <v>12869</v>
      </c>
      <c r="X699" s="2" t="s">
        <v>12870</v>
      </c>
      <c r="Y699" s="2" t="s">
        <v>12871</v>
      </c>
      <c r="Z699" s="2" t="s">
        <v>12872</v>
      </c>
      <c r="AA699" s="2" t="s">
        <v>12873</v>
      </c>
      <c r="AB699" s="2" t="s">
        <v>12874</v>
      </c>
      <c r="AC699" s="2"/>
      <c r="AD699" s="2"/>
      <c r="AE699" s="2"/>
      <c r="AF699" s="2"/>
      <c r="AG699" s="2" t="n">
        <v>17</v>
      </c>
      <c r="AH699" s="2" t="n">
        <v>22</v>
      </c>
      <c r="AI699" s="2" t="n">
        <v>27</v>
      </c>
      <c r="AJ699" s="2" t="n">
        <v>0</v>
      </c>
      <c r="AK699" s="2" t="n">
        <v>2</v>
      </c>
      <c r="AL699" s="2" t="s">
        <v>549</v>
      </c>
      <c r="AM699" s="2" t="s">
        <v>384</v>
      </c>
      <c r="AN699" s="2" t="s">
        <v>550</v>
      </c>
      <c r="AO699" s="2" t="s">
        <v>386</v>
      </c>
      <c r="AP699" s="2"/>
      <c r="AQ699" s="2"/>
      <c r="AR699" s="2" t="s">
        <v>388</v>
      </c>
      <c r="AS699" s="2" t="s">
        <v>389</v>
      </c>
      <c r="AT699" s="2" t="s">
        <v>129</v>
      </c>
      <c r="AU699" s="2" t="n">
        <v>2007</v>
      </c>
      <c r="AV699" s="2" t="n">
        <v>40</v>
      </c>
      <c r="AW699" s="2" t="n">
        <v>1</v>
      </c>
      <c r="AX699" s="2"/>
      <c r="AY699" s="2"/>
      <c r="AZ699" s="2"/>
      <c r="BA699" s="2"/>
      <c r="BB699" s="2" t="n">
        <v>46</v>
      </c>
      <c r="BC699" s="2" t="n">
        <v>49</v>
      </c>
      <c r="BD699" s="2"/>
      <c r="BE699" s="2" t="s">
        <v>12875</v>
      </c>
      <c r="BF699" s="2" t="str">
        <f aca="false">HYPERLINK("http://dx.doi.org/10.1016/j.jcv.2007.06.006","http://dx.doi.org/10.1016/j.jcv.2007.06.006")</f>
        <v>http://dx.doi.org/10.1016/j.jcv.2007.06.006</v>
      </c>
      <c r="BG699" s="2"/>
      <c r="BH699" s="2"/>
      <c r="BI699" s="2" t="n">
        <v>4</v>
      </c>
      <c r="BJ699" s="2" t="s">
        <v>163</v>
      </c>
      <c r="BK699" s="2" t="s">
        <v>100</v>
      </c>
      <c r="BL699" s="2" t="s">
        <v>163</v>
      </c>
      <c r="BM699" s="2" t="s">
        <v>12876</v>
      </c>
      <c r="BN699" s="2" t="n">
        <v>17644404</v>
      </c>
      <c r="BO699" s="2"/>
      <c r="BP699" s="2"/>
      <c r="BQ699" s="2"/>
      <c r="BR699" s="2" t="s">
        <v>104</v>
      </c>
      <c r="BS699" s="2" t="s">
        <v>12877</v>
      </c>
      <c r="BT699" s="2" t="str">
        <f aca="false">HYPERLINK("https%3A%2F%2Fwww.webofscience.com%2Fwos%2Fwoscc%2Ffull-record%2FWOS:000250161200009","View Full Record in Web of Science")</f>
        <v>View Full Record in Web of Science</v>
      </c>
    </row>
    <row r="700" customFormat="false" ht="12.75" hidden="false" customHeight="false" outlineLevel="0" collapsed="false">
      <c r="A700" s="2" t="s">
        <v>72</v>
      </c>
      <c r="B700" s="2" t="s">
        <v>12878</v>
      </c>
      <c r="C700" s="2"/>
      <c r="D700" s="2"/>
      <c r="E700" s="2"/>
      <c r="F700" s="2" t="s">
        <v>12879</v>
      </c>
      <c r="G700" s="2"/>
      <c r="H700" s="2"/>
      <c r="I700" s="2" t="s">
        <v>12880</v>
      </c>
      <c r="J700" s="2" t="s">
        <v>141</v>
      </c>
      <c r="K700" s="2"/>
      <c r="L700" s="2"/>
      <c r="M700" s="2" t="s">
        <v>77</v>
      </c>
      <c r="N700" s="2" t="s">
        <v>78</v>
      </c>
      <c r="O700" s="2"/>
      <c r="P700" s="2"/>
      <c r="Q700" s="2"/>
      <c r="R700" s="2"/>
      <c r="S700" s="2"/>
      <c r="T700" s="2" t="s">
        <v>12881</v>
      </c>
      <c r="U700" s="2" t="s">
        <v>12882</v>
      </c>
      <c r="V700" s="2" t="s">
        <v>12883</v>
      </c>
      <c r="W700" s="2" t="s">
        <v>12884</v>
      </c>
      <c r="X700" s="2" t="s">
        <v>3576</v>
      </c>
      <c r="Y700" s="2" t="s">
        <v>12885</v>
      </c>
      <c r="Z700" s="2" t="s">
        <v>12886</v>
      </c>
      <c r="AA700" s="2" t="s">
        <v>12887</v>
      </c>
      <c r="AB700" s="2" t="s">
        <v>3447</v>
      </c>
      <c r="AC700" s="2" t="s">
        <v>12888</v>
      </c>
      <c r="AD700" s="2" t="s">
        <v>12889</v>
      </c>
      <c r="AE700" s="2" t="s">
        <v>12890</v>
      </c>
      <c r="AF700" s="2"/>
      <c r="AG700" s="2" t="n">
        <v>40</v>
      </c>
      <c r="AH700" s="2" t="n">
        <v>10</v>
      </c>
      <c r="AI700" s="2" t="n">
        <v>11</v>
      </c>
      <c r="AJ700" s="2" t="n">
        <v>0</v>
      </c>
      <c r="AK700" s="2" t="n">
        <v>4</v>
      </c>
      <c r="AL700" s="2" t="s">
        <v>154</v>
      </c>
      <c r="AM700" s="2" t="s">
        <v>155</v>
      </c>
      <c r="AN700" s="2" t="s">
        <v>156</v>
      </c>
      <c r="AO700" s="2" t="s">
        <v>157</v>
      </c>
      <c r="AP700" s="2" t="s">
        <v>158</v>
      </c>
      <c r="AQ700" s="2"/>
      <c r="AR700" s="2" t="s">
        <v>159</v>
      </c>
      <c r="AS700" s="2" t="s">
        <v>160</v>
      </c>
      <c r="AT700" s="2" t="s">
        <v>97</v>
      </c>
      <c r="AU700" s="2" t="n">
        <v>2013</v>
      </c>
      <c r="AV700" s="2" t="n">
        <v>85</v>
      </c>
      <c r="AW700" s="2" t="n">
        <v>3</v>
      </c>
      <c r="AX700" s="2"/>
      <c r="AY700" s="2"/>
      <c r="AZ700" s="2"/>
      <c r="BA700" s="2"/>
      <c r="BB700" s="2" t="n">
        <v>530</v>
      </c>
      <c r="BC700" s="2" t="n">
        <v>536</v>
      </c>
      <c r="BD700" s="2"/>
      <c r="BE700" s="2" t="s">
        <v>12891</v>
      </c>
      <c r="BF700" s="2" t="str">
        <f aca="false">HYPERLINK("http://dx.doi.org/10.1002/jmv.23477","http://dx.doi.org/10.1002/jmv.23477")</f>
        <v>http://dx.doi.org/10.1002/jmv.23477</v>
      </c>
      <c r="BG700" s="2"/>
      <c r="BH700" s="2"/>
      <c r="BI700" s="2" t="n">
        <v>7</v>
      </c>
      <c r="BJ700" s="2" t="s">
        <v>163</v>
      </c>
      <c r="BK700" s="2" t="s">
        <v>100</v>
      </c>
      <c r="BL700" s="2" t="s">
        <v>163</v>
      </c>
      <c r="BM700" s="2" t="s">
        <v>12892</v>
      </c>
      <c r="BN700" s="2" t="n">
        <v>23239530</v>
      </c>
      <c r="BO700" s="2"/>
      <c r="BP700" s="2"/>
      <c r="BQ700" s="2"/>
      <c r="BR700" s="2" t="s">
        <v>104</v>
      </c>
      <c r="BS700" s="2" t="s">
        <v>12893</v>
      </c>
      <c r="BT700" s="2" t="str">
        <f aca="false">HYPERLINK("https%3A%2F%2Fwww.webofscience.com%2Fwos%2Fwoscc%2Ffull-record%2FWOS:000313946600022","View Full Record in Web of Science")</f>
        <v>View Full Record in Web of Science</v>
      </c>
    </row>
    <row r="701" customFormat="false" ht="12.75" hidden="false" customHeight="false" outlineLevel="0" collapsed="false">
      <c r="A701" s="2" t="s">
        <v>72</v>
      </c>
      <c r="B701" s="2" t="s">
        <v>12894</v>
      </c>
      <c r="C701" s="2"/>
      <c r="D701" s="2"/>
      <c r="E701" s="2"/>
      <c r="F701" s="2" t="s">
        <v>12895</v>
      </c>
      <c r="G701" s="2"/>
      <c r="H701" s="2"/>
      <c r="I701" s="2" t="s">
        <v>12896</v>
      </c>
      <c r="J701" s="2" t="s">
        <v>2547</v>
      </c>
      <c r="K701" s="2"/>
      <c r="L701" s="2"/>
      <c r="M701" s="2" t="s">
        <v>77</v>
      </c>
      <c r="N701" s="2" t="s">
        <v>78</v>
      </c>
      <c r="O701" s="2"/>
      <c r="P701" s="2"/>
      <c r="Q701" s="2"/>
      <c r="R701" s="2"/>
      <c r="S701" s="2"/>
      <c r="T701" s="2" t="s">
        <v>12897</v>
      </c>
      <c r="U701" s="2" t="s">
        <v>12898</v>
      </c>
      <c r="V701" s="2" t="s">
        <v>12899</v>
      </c>
      <c r="W701" s="2" t="s">
        <v>12900</v>
      </c>
      <c r="X701" s="2" t="s">
        <v>9462</v>
      </c>
      <c r="Y701" s="2" t="s">
        <v>12901</v>
      </c>
      <c r="Z701" s="2" t="s">
        <v>9464</v>
      </c>
      <c r="AA701" s="2"/>
      <c r="AB701" s="2"/>
      <c r="AC701" s="2" t="s">
        <v>12902</v>
      </c>
      <c r="AD701" s="2" t="s">
        <v>12903</v>
      </c>
      <c r="AE701" s="2" t="s">
        <v>12904</v>
      </c>
      <c r="AF701" s="2"/>
      <c r="AG701" s="2" t="n">
        <v>34</v>
      </c>
      <c r="AH701" s="2" t="n">
        <v>3</v>
      </c>
      <c r="AI701" s="2" t="n">
        <v>10</v>
      </c>
      <c r="AJ701" s="2" t="n">
        <v>2</v>
      </c>
      <c r="AK701" s="2" t="n">
        <v>13</v>
      </c>
      <c r="AL701" s="2" t="s">
        <v>782</v>
      </c>
      <c r="AM701" s="2" t="s">
        <v>783</v>
      </c>
      <c r="AN701" s="2" t="s">
        <v>784</v>
      </c>
      <c r="AO701" s="2" t="s">
        <v>2556</v>
      </c>
      <c r="AP701" s="2"/>
      <c r="AQ701" s="2"/>
      <c r="AR701" s="2" t="s">
        <v>2547</v>
      </c>
      <c r="AS701" s="2" t="s">
        <v>2558</v>
      </c>
      <c r="AT701" s="2" t="s">
        <v>12905</v>
      </c>
      <c r="AU701" s="2" t="n">
        <v>2012</v>
      </c>
      <c r="AV701" s="2" t="n">
        <v>30</v>
      </c>
      <c r="AW701" s="2" t="n">
        <v>2</v>
      </c>
      <c r="AX701" s="2"/>
      <c r="AY701" s="2"/>
      <c r="AZ701" s="2"/>
      <c r="BA701" s="2"/>
      <c r="BB701" s="2" t="n">
        <v>231</v>
      </c>
      <c r="BC701" s="2" t="n">
        <v>236</v>
      </c>
      <c r="BD701" s="2"/>
      <c r="BE701" s="2" t="s">
        <v>12906</v>
      </c>
      <c r="BF701" s="2" t="str">
        <f aca="false">HYPERLINK("http://dx.doi.org/10.1016/j.vaccine.2011.11.008","http://dx.doi.org/10.1016/j.vaccine.2011.11.008")</f>
        <v>http://dx.doi.org/10.1016/j.vaccine.2011.11.008</v>
      </c>
      <c r="BG701" s="2"/>
      <c r="BH701" s="2"/>
      <c r="BI701" s="2" t="n">
        <v>6</v>
      </c>
      <c r="BJ701" s="2" t="s">
        <v>187</v>
      </c>
      <c r="BK701" s="2" t="s">
        <v>100</v>
      </c>
      <c r="BL701" s="2" t="s">
        <v>188</v>
      </c>
      <c r="BM701" s="2" t="s">
        <v>12907</v>
      </c>
      <c r="BN701" s="2" t="n">
        <v>22085552</v>
      </c>
      <c r="BO701" s="2"/>
      <c r="BP701" s="2"/>
      <c r="BQ701" s="2"/>
      <c r="BR701" s="2" t="s">
        <v>104</v>
      </c>
      <c r="BS701" s="2" t="s">
        <v>12908</v>
      </c>
      <c r="BT701" s="2" t="str">
        <f aca="false">HYPERLINK("https%3A%2F%2Fwww.webofscience.com%2Fwos%2Fwoscc%2Ffull-record%2FWOS:000299971800020","View Full Record in Web of Science")</f>
        <v>View Full Record in Web of Science</v>
      </c>
    </row>
    <row r="702" customFormat="false" ht="12.75" hidden="false" customHeight="false" outlineLevel="0" collapsed="false">
      <c r="A702" s="2" t="s">
        <v>72</v>
      </c>
      <c r="B702" s="2" t="s">
        <v>12909</v>
      </c>
      <c r="C702" s="2"/>
      <c r="D702" s="2"/>
      <c r="E702" s="2"/>
      <c r="F702" s="2" t="s">
        <v>12910</v>
      </c>
      <c r="G702" s="2"/>
      <c r="H702" s="2"/>
      <c r="I702" s="2" t="s">
        <v>12911</v>
      </c>
      <c r="J702" s="2" t="s">
        <v>6845</v>
      </c>
      <c r="K702" s="2"/>
      <c r="L702" s="2"/>
      <c r="M702" s="2" t="s">
        <v>77</v>
      </c>
      <c r="N702" s="2" t="s">
        <v>78</v>
      </c>
      <c r="O702" s="2"/>
      <c r="P702" s="2"/>
      <c r="Q702" s="2"/>
      <c r="R702" s="2"/>
      <c r="S702" s="2"/>
      <c r="T702" s="2" t="s">
        <v>12912</v>
      </c>
      <c r="U702" s="2" t="s">
        <v>12333</v>
      </c>
      <c r="V702" s="2" t="s">
        <v>12913</v>
      </c>
      <c r="W702" s="2" t="s">
        <v>12914</v>
      </c>
      <c r="X702" s="2" t="s">
        <v>12915</v>
      </c>
      <c r="Y702" s="2" t="s">
        <v>12916</v>
      </c>
      <c r="Z702" s="2" t="s">
        <v>12917</v>
      </c>
      <c r="AA702" s="2"/>
      <c r="AB702" s="2" t="s">
        <v>12918</v>
      </c>
      <c r="AC702" s="2" t="s">
        <v>12919</v>
      </c>
      <c r="AD702" s="2" t="s">
        <v>12920</v>
      </c>
      <c r="AE702" s="2" t="s">
        <v>12921</v>
      </c>
      <c r="AF702" s="2"/>
      <c r="AG702" s="2" t="n">
        <v>28</v>
      </c>
      <c r="AH702" s="2" t="n">
        <v>0</v>
      </c>
      <c r="AI702" s="2" t="n">
        <v>0</v>
      </c>
      <c r="AJ702" s="2" t="n">
        <v>0</v>
      </c>
      <c r="AK702" s="2" t="n">
        <v>0</v>
      </c>
      <c r="AL702" s="2" t="s">
        <v>6833</v>
      </c>
      <c r="AM702" s="2" t="s">
        <v>1705</v>
      </c>
      <c r="AN702" s="2" t="s">
        <v>6856</v>
      </c>
      <c r="AO702" s="2" t="s">
        <v>6835</v>
      </c>
      <c r="AP702" s="2" t="s">
        <v>6836</v>
      </c>
      <c r="AQ702" s="2"/>
      <c r="AR702" s="2" t="s">
        <v>6837</v>
      </c>
      <c r="AS702" s="2" t="s">
        <v>6838</v>
      </c>
      <c r="AT702" s="2" t="s">
        <v>12922</v>
      </c>
      <c r="AU702" s="2" t="n">
        <v>2024</v>
      </c>
      <c r="AV702" s="2" t="n">
        <v>152</v>
      </c>
      <c r="AW702" s="2"/>
      <c r="AX702" s="2"/>
      <c r="AY702" s="2"/>
      <c r="AZ702" s="2"/>
      <c r="BA702" s="2"/>
      <c r="BB702" s="2"/>
      <c r="BC702" s="2"/>
      <c r="BD702" s="2" t="s">
        <v>12923</v>
      </c>
      <c r="BE702" s="2" t="s">
        <v>12924</v>
      </c>
      <c r="BF702" s="2" t="str">
        <f aca="false">HYPERLINK("http://dx.doi.org/10.1017/S0950268824000517","http://dx.doi.org/10.1017/S0950268824000517")</f>
        <v>http://dx.doi.org/10.1017/S0950268824000517</v>
      </c>
      <c r="BG702" s="2"/>
      <c r="BH702" s="2"/>
      <c r="BI702" s="2" t="n">
        <v>6</v>
      </c>
      <c r="BJ702" s="2" t="s">
        <v>2113</v>
      </c>
      <c r="BK702" s="2" t="s">
        <v>100</v>
      </c>
      <c r="BL702" s="2" t="s">
        <v>2113</v>
      </c>
      <c r="BM702" s="2" t="s">
        <v>12925</v>
      </c>
      <c r="BN702" s="2" t="n">
        <v>38770587</v>
      </c>
      <c r="BO702" s="2" t="s">
        <v>1355</v>
      </c>
      <c r="BP702" s="2"/>
      <c r="BQ702" s="2"/>
      <c r="BR702" s="2" t="s">
        <v>104</v>
      </c>
      <c r="BS702" s="2" t="s">
        <v>12926</v>
      </c>
      <c r="BT702" s="2" t="str">
        <f aca="false">HYPERLINK("https%3A%2F%2Fwww.webofscience.com%2Fwos%2Fwoscc%2Ffull-record%2FWOS:001290739000001","View Full Record in Web of Science")</f>
        <v>View Full Record in Web of Science</v>
      </c>
    </row>
    <row r="703" customFormat="false" ht="12.75" hidden="false" customHeight="false" outlineLevel="0" collapsed="false">
      <c r="A703" s="2" t="s">
        <v>72</v>
      </c>
      <c r="B703" s="2" t="s">
        <v>12927</v>
      </c>
      <c r="C703" s="2"/>
      <c r="D703" s="2"/>
      <c r="E703" s="2"/>
      <c r="F703" s="2" t="s">
        <v>12928</v>
      </c>
      <c r="G703" s="2"/>
      <c r="H703" s="2"/>
      <c r="I703" s="2" t="s">
        <v>12929</v>
      </c>
      <c r="J703" s="2" t="s">
        <v>370</v>
      </c>
      <c r="K703" s="2"/>
      <c r="L703" s="2"/>
      <c r="M703" s="2" t="s">
        <v>77</v>
      </c>
      <c r="N703" s="2" t="s">
        <v>78</v>
      </c>
      <c r="O703" s="2"/>
      <c r="P703" s="2"/>
      <c r="Q703" s="2"/>
      <c r="R703" s="2"/>
      <c r="S703" s="2"/>
      <c r="T703" s="2" t="s">
        <v>12930</v>
      </c>
      <c r="U703" s="2" t="s">
        <v>12931</v>
      </c>
      <c r="V703" s="2" t="s">
        <v>12932</v>
      </c>
      <c r="W703" s="2" t="s">
        <v>12933</v>
      </c>
      <c r="X703" s="2" t="s">
        <v>12934</v>
      </c>
      <c r="Y703" s="2" t="s">
        <v>12935</v>
      </c>
      <c r="Z703" s="2" t="s">
        <v>12936</v>
      </c>
      <c r="AA703" s="2" t="s">
        <v>12937</v>
      </c>
      <c r="AB703" s="2"/>
      <c r="AC703" s="2" t="s">
        <v>12938</v>
      </c>
      <c r="AD703" s="2" t="s">
        <v>6937</v>
      </c>
      <c r="AE703" s="2"/>
      <c r="AF703" s="2"/>
      <c r="AG703" s="2" t="n">
        <v>26</v>
      </c>
      <c r="AH703" s="2" t="n">
        <v>1</v>
      </c>
      <c r="AI703" s="2" t="n">
        <v>1</v>
      </c>
      <c r="AJ703" s="2" t="n">
        <v>2</v>
      </c>
      <c r="AK703" s="2" t="n">
        <v>6</v>
      </c>
      <c r="AL703" s="2" t="s">
        <v>383</v>
      </c>
      <c r="AM703" s="2" t="s">
        <v>384</v>
      </c>
      <c r="AN703" s="2" t="s">
        <v>385</v>
      </c>
      <c r="AO703" s="2" t="s">
        <v>386</v>
      </c>
      <c r="AP703" s="2" t="s">
        <v>387</v>
      </c>
      <c r="AQ703" s="2"/>
      <c r="AR703" s="2" t="s">
        <v>388</v>
      </c>
      <c r="AS703" s="2" t="s">
        <v>389</v>
      </c>
      <c r="AT703" s="2" t="s">
        <v>129</v>
      </c>
      <c r="AU703" s="2" t="n">
        <v>2022</v>
      </c>
      <c r="AV703" s="2" t="n">
        <v>154</v>
      </c>
      <c r="AW703" s="2"/>
      <c r="AX703" s="2"/>
      <c r="AY703" s="2"/>
      <c r="AZ703" s="2"/>
      <c r="BA703" s="2"/>
      <c r="BB703" s="2"/>
      <c r="BC703" s="2"/>
      <c r="BD703" s="2" t="n">
        <v>105238</v>
      </c>
      <c r="BE703" s="2" t="s">
        <v>12939</v>
      </c>
      <c r="BF703" s="2" t="str">
        <f aca="false">HYPERLINK("http://dx.doi.org/10.1016/j.jcv.2022.105238","http://dx.doi.org/10.1016/j.jcv.2022.105238")</f>
        <v>http://dx.doi.org/10.1016/j.jcv.2022.105238</v>
      </c>
      <c r="BG703" s="2"/>
      <c r="BH703" s="2" t="s">
        <v>12940</v>
      </c>
      <c r="BI703" s="2" t="n">
        <v>7</v>
      </c>
      <c r="BJ703" s="2" t="s">
        <v>163</v>
      </c>
      <c r="BK703" s="2" t="s">
        <v>100</v>
      </c>
      <c r="BL703" s="2" t="s">
        <v>163</v>
      </c>
      <c r="BM703" s="2" t="s">
        <v>12941</v>
      </c>
      <c r="BN703" s="2" t="n">
        <v>35907395</v>
      </c>
      <c r="BO703" s="2" t="s">
        <v>2278</v>
      </c>
      <c r="BP703" s="2"/>
      <c r="BQ703" s="2"/>
      <c r="BR703" s="2" t="s">
        <v>104</v>
      </c>
      <c r="BS703" s="2" t="s">
        <v>12942</v>
      </c>
      <c r="BT703" s="2" t="str">
        <f aca="false">HYPERLINK("https%3A%2F%2Fwww.webofscience.com%2Fwos%2Fwoscc%2Ffull-record%2FWOS:000888226500002","View Full Record in Web of Science")</f>
        <v>View Full Record in Web of Science</v>
      </c>
    </row>
    <row r="704" customFormat="false" ht="15.65" hidden="false" customHeight="false" outlineLevel="0" collapsed="false">
      <c r="A704" s="2" t="s">
        <v>72</v>
      </c>
      <c r="B704" s="2" t="s">
        <v>12943</v>
      </c>
      <c r="C704" s="2"/>
      <c r="D704" s="2"/>
      <c r="E704" s="2"/>
      <c r="F704" s="2" t="s">
        <v>12944</v>
      </c>
      <c r="G704" s="2"/>
      <c r="H704" s="2"/>
      <c r="I704" s="2" t="s">
        <v>12945</v>
      </c>
      <c r="J704" s="2" t="s">
        <v>1863</v>
      </c>
      <c r="K704" s="2"/>
      <c r="L704" s="2"/>
      <c r="M704" s="2" t="s">
        <v>77</v>
      </c>
      <c r="N704" s="2" t="s">
        <v>78</v>
      </c>
      <c r="O704" s="2"/>
      <c r="P704" s="2"/>
      <c r="Q704" s="2"/>
      <c r="R704" s="2"/>
      <c r="S704" s="2"/>
      <c r="T704" s="2" t="s">
        <v>12946</v>
      </c>
      <c r="U704" s="2" t="s">
        <v>12947</v>
      </c>
      <c r="V704" s="2" t="s">
        <v>12948</v>
      </c>
      <c r="W704" s="2" t="s">
        <v>12949</v>
      </c>
      <c r="X704" s="2" t="s">
        <v>12950</v>
      </c>
      <c r="Y704" s="2" t="s">
        <v>12951</v>
      </c>
      <c r="Z704" s="2" t="s">
        <v>12952</v>
      </c>
      <c r="AA704" s="3" t="s">
        <v>12953</v>
      </c>
      <c r="AB704" s="2" t="s">
        <v>12954</v>
      </c>
      <c r="AC704" s="2" t="s">
        <v>12955</v>
      </c>
      <c r="AD704" s="2" t="s">
        <v>12956</v>
      </c>
      <c r="AE704" s="2" t="s">
        <v>12957</v>
      </c>
      <c r="AF704" s="2"/>
      <c r="AG704" s="2" t="n">
        <v>23</v>
      </c>
      <c r="AH704" s="2" t="n">
        <v>23</v>
      </c>
      <c r="AI704" s="2" t="n">
        <v>27</v>
      </c>
      <c r="AJ704" s="2" t="n">
        <v>2</v>
      </c>
      <c r="AK704" s="2" t="n">
        <v>23</v>
      </c>
      <c r="AL704" s="2" t="s">
        <v>302</v>
      </c>
      <c r="AM704" s="2" t="s">
        <v>303</v>
      </c>
      <c r="AN704" s="2" t="s">
        <v>304</v>
      </c>
      <c r="AO704" s="2"/>
      <c r="AP704" s="2" t="s">
        <v>1876</v>
      </c>
      <c r="AQ704" s="2"/>
      <c r="AR704" s="2" t="s">
        <v>1877</v>
      </c>
      <c r="AS704" s="2" t="s">
        <v>1878</v>
      </c>
      <c r="AT704" s="2" t="s">
        <v>12958</v>
      </c>
      <c r="AU704" s="2" t="n">
        <v>2012</v>
      </c>
      <c r="AV704" s="2" t="n">
        <v>9</v>
      </c>
      <c r="AW704" s="2"/>
      <c r="AX704" s="2"/>
      <c r="AY704" s="2"/>
      <c r="AZ704" s="2"/>
      <c r="BA704" s="2"/>
      <c r="BB704" s="2"/>
      <c r="BC704" s="2"/>
      <c r="BD704" s="2" t="n">
        <v>138</v>
      </c>
      <c r="BE704" s="2" t="s">
        <v>12959</v>
      </c>
      <c r="BF704" s="2" t="str">
        <f aca="false">HYPERLINK("http://dx.doi.org/10.1186/1743-422X-9-138","http://dx.doi.org/10.1186/1743-422X-9-138")</f>
        <v>http://dx.doi.org/10.1186/1743-422X-9-138</v>
      </c>
      <c r="BG704" s="2"/>
      <c r="BH704" s="2"/>
      <c r="BI704" s="2" t="n">
        <v>6</v>
      </c>
      <c r="BJ704" s="2" t="s">
        <v>163</v>
      </c>
      <c r="BK704" s="2" t="s">
        <v>100</v>
      </c>
      <c r="BL704" s="2" t="s">
        <v>163</v>
      </c>
      <c r="BM704" s="2" t="s">
        <v>12960</v>
      </c>
      <c r="BN704" s="2" t="n">
        <v>22838725</v>
      </c>
      <c r="BO704" s="2" t="s">
        <v>190</v>
      </c>
      <c r="BP704" s="2"/>
      <c r="BQ704" s="2"/>
      <c r="BR704" s="2" t="s">
        <v>104</v>
      </c>
      <c r="BS704" s="2" t="s">
        <v>12961</v>
      </c>
      <c r="BT704" s="2" t="str">
        <f aca="false">HYPERLINK("https%3A%2F%2Fwww.webofscience.com%2Fwos%2Fwoscc%2Ffull-record%2FWOS:000310733700001","View Full Record in Web of Science")</f>
        <v>View Full Record in Web of Science</v>
      </c>
    </row>
    <row r="705" customFormat="false" ht="12.75" hidden="false" customHeight="false" outlineLevel="0" collapsed="false">
      <c r="A705" s="2" t="s">
        <v>72</v>
      </c>
      <c r="B705" s="2" t="s">
        <v>12962</v>
      </c>
      <c r="C705" s="2"/>
      <c r="D705" s="2"/>
      <c r="E705" s="2"/>
      <c r="F705" s="2" t="s">
        <v>12962</v>
      </c>
      <c r="G705" s="2"/>
      <c r="H705" s="2"/>
      <c r="I705" s="2" t="s">
        <v>12963</v>
      </c>
      <c r="J705" s="2" t="s">
        <v>370</v>
      </c>
      <c r="K705" s="2"/>
      <c r="L705" s="2"/>
      <c r="M705" s="2" t="s">
        <v>77</v>
      </c>
      <c r="N705" s="2" t="s">
        <v>78</v>
      </c>
      <c r="O705" s="2"/>
      <c r="P705" s="2"/>
      <c r="Q705" s="2"/>
      <c r="R705" s="2"/>
      <c r="S705" s="2"/>
      <c r="T705" s="2" t="s">
        <v>12964</v>
      </c>
      <c r="U705" s="2" t="s">
        <v>12965</v>
      </c>
      <c r="V705" s="2" t="s">
        <v>12966</v>
      </c>
      <c r="W705" s="2" t="s">
        <v>12967</v>
      </c>
      <c r="X705" s="2" t="s">
        <v>12968</v>
      </c>
      <c r="Y705" s="2" t="s">
        <v>12969</v>
      </c>
      <c r="Z705" s="2" t="s">
        <v>12970</v>
      </c>
      <c r="AA705" s="2" t="s">
        <v>12971</v>
      </c>
      <c r="AB705" s="2"/>
      <c r="AC705" s="2"/>
      <c r="AD705" s="2"/>
      <c r="AE705" s="2"/>
      <c r="AF705" s="2"/>
      <c r="AG705" s="2" t="n">
        <v>26</v>
      </c>
      <c r="AH705" s="2" t="n">
        <v>92</v>
      </c>
      <c r="AI705" s="2" t="n">
        <v>100</v>
      </c>
      <c r="AJ705" s="2" t="n">
        <v>0</v>
      </c>
      <c r="AK705" s="2" t="n">
        <v>1</v>
      </c>
      <c r="AL705" s="2" t="s">
        <v>383</v>
      </c>
      <c r="AM705" s="2" t="s">
        <v>384</v>
      </c>
      <c r="AN705" s="2" t="s">
        <v>385</v>
      </c>
      <c r="AO705" s="2" t="s">
        <v>386</v>
      </c>
      <c r="AP705" s="2" t="s">
        <v>387</v>
      </c>
      <c r="AQ705" s="2"/>
      <c r="AR705" s="2" t="s">
        <v>388</v>
      </c>
      <c r="AS705" s="2" t="s">
        <v>389</v>
      </c>
      <c r="AT705" s="2" t="s">
        <v>185</v>
      </c>
      <c r="AU705" s="2" t="n">
        <v>2005</v>
      </c>
      <c r="AV705" s="2" t="n">
        <v>33</v>
      </c>
      <c r="AW705" s="2" t="n">
        <v>4</v>
      </c>
      <c r="AX705" s="2"/>
      <c r="AY705" s="2"/>
      <c r="AZ705" s="2"/>
      <c r="BA705" s="2"/>
      <c r="BB705" s="2" t="n">
        <v>299</v>
      </c>
      <c r="BC705" s="2" t="n">
        <v>305</v>
      </c>
      <c r="BD705" s="2"/>
      <c r="BE705" s="2" t="s">
        <v>12972</v>
      </c>
      <c r="BF705" s="2" t="str">
        <f aca="false">HYPERLINK("http://dx.doi.org/10.1016/j.jcv.2004.11.023","http://dx.doi.org/10.1016/j.jcv.2004.11.023")</f>
        <v>http://dx.doi.org/10.1016/j.jcv.2004.11.023</v>
      </c>
      <c r="BG705" s="2"/>
      <c r="BH705" s="2"/>
      <c r="BI705" s="2" t="n">
        <v>7</v>
      </c>
      <c r="BJ705" s="2" t="s">
        <v>163</v>
      </c>
      <c r="BK705" s="2" t="s">
        <v>100</v>
      </c>
      <c r="BL705" s="2" t="s">
        <v>163</v>
      </c>
      <c r="BM705" s="2" t="s">
        <v>6758</v>
      </c>
      <c r="BN705" s="2" t="n">
        <v>16036180</v>
      </c>
      <c r="BO705" s="2" t="s">
        <v>1089</v>
      </c>
      <c r="BP705" s="2"/>
      <c r="BQ705" s="2"/>
      <c r="BR705" s="2" t="s">
        <v>104</v>
      </c>
      <c r="BS705" s="2" t="s">
        <v>12973</v>
      </c>
      <c r="BT705" s="2" t="str">
        <f aca="false">HYPERLINK("https%3A%2F%2Fwww.webofscience.com%2Fwos%2Fwoscc%2Ffull-record%2FWOS:000231136100007","View Full Record in Web of Science")</f>
        <v>View Full Record in Web of Science</v>
      </c>
    </row>
    <row r="706" customFormat="false" ht="12.75" hidden="false" customHeight="false" outlineLevel="0" collapsed="false">
      <c r="A706" s="2" t="s">
        <v>72</v>
      </c>
      <c r="B706" s="2" t="s">
        <v>12974</v>
      </c>
      <c r="C706" s="2"/>
      <c r="D706" s="2"/>
      <c r="E706" s="2"/>
      <c r="F706" s="2" t="s">
        <v>12975</v>
      </c>
      <c r="G706" s="2"/>
      <c r="H706" s="2"/>
      <c r="I706" s="2" t="s">
        <v>12976</v>
      </c>
      <c r="J706" s="2" t="s">
        <v>717</v>
      </c>
      <c r="K706" s="2"/>
      <c r="L706" s="2"/>
      <c r="M706" s="2" t="s">
        <v>77</v>
      </c>
      <c r="N706" s="2" t="s">
        <v>78</v>
      </c>
      <c r="O706" s="2"/>
      <c r="P706" s="2"/>
      <c r="Q706" s="2"/>
      <c r="R706" s="2"/>
      <c r="S706" s="2"/>
      <c r="T706" s="2" t="s">
        <v>12977</v>
      </c>
      <c r="U706" s="2" t="s">
        <v>12978</v>
      </c>
      <c r="V706" s="2" t="s">
        <v>12979</v>
      </c>
      <c r="W706" s="2" t="s">
        <v>12980</v>
      </c>
      <c r="X706" s="2" t="s">
        <v>3785</v>
      </c>
      <c r="Y706" s="2" t="s">
        <v>12981</v>
      </c>
      <c r="Z706" s="2" t="s">
        <v>12982</v>
      </c>
      <c r="AA706" s="2" t="s">
        <v>3788</v>
      </c>
      <c r="AB706" s="2"/>
      <c r="AC706" s="2" t="s">
        <v>12983</v>
      </c>
      <c r="AD706" s="2" t="s">
        <v>12984</v>
      </c>
      <c r="AE706" s="2" t="s">
        <v>12985</v>
      </c>
      <c r="AF706" s="2"/>
      <c r="AG706" s="2" t="n">
        <v>28</v>
      </c>
      <c r="AH706" s="2" t="n">
        <v>10</v>
      </c>
      <c r="AI706" s="2" t="n">
        <v>13</v>
      </c>
      <c r="AJ706" s="2" t="n">
        <v>2</v>
      </c>
      <c r="AK706" s="2" t="n">
        <v>18</v>
      </c>
      <c r="AL706" s="2" t="s">
        <v>549</v>
      </c>
      <c r="AM706" s="2" t="s">
        <v>384</v>
      </c>
      <c r="AN706" s="2" t="s">
        <v>550</v>
      </c>
      <c r="AO706" s="2" t="s">
        <v>729</v>
      </c>
      <c r="AP706" s="2" t="s">
        <v>730</v>
      </c>
      <c r="AQ706" s="2"/>
      <c r="AR706" s="2" t="s">
        <v>731</v>
      </c>
      <c r="AS706" s="2" t="s">
        <v>732</v>
      </c>
      <c r="AT706" s="2" t="s">
        <v>1041</v>
      </c>
      <c r="AU706" s="2" t="n">
        <v>2014</v>
      </c>
      <c r="AV706" s="2" t="n">
        <v>196</v>
      </c>
      <c r="AW706" s="2"/>
      <c r="AX706" s="2"/>
      <c r="AY706" s="2"/>
      <c r="AZ706" s="2"/>
      <c r="BA706" s="2"/>
      <c r="BB706" s="2" t="n">
        <v>133</v>
      </c>
      <c r="BC706" s="2" t="n">
        <v>138</v>
      </c>
      <c r="BD706" s="2"/>
      <c r="BE706" s="2" t="s">
        <v>12986</v>
      </c>
      <c r="BF706" s="2" t="str">
        <f aca="false">HYPERLINK("http://dx.doi.org/10.1016/j.jviromet.2013.10.037","http://dx.doi.org/10.1016/j.jviromet.2013.10.037")</f>
        <v>http://dx.doi.org/10.1016/j.jviromet.2013.10.037</v>
      </c>
      <c r="BG706" s="2"/>
      <c r="BH706" s="2"/>
      <c r="BI706" s="2" t="n">
        <v>6</v>
      </c>
      <c r="BJ706" s="2" t="s">
        <v>735</v>
      </c>
      <c r="BK706" s="2" t="s">
        <v>100</v>
      </c>
      <c r="BL706" s="2" t="s">
        <v>736</v>
      </c>
      <c r="BM706" s="2" t="s">
        <v>12987</v>
      </c>
      <c r="BN706" s="2" t="n">
        <v>24269205</v>
      </c>
      <c r="BO706" s="2" t="s">
        <v>1089</v>
      </c>
      <c r="BP706" s="2"/>
      <c r="BQ706" s="2"/>
      <c r="BR706" s="2" t="s">
        <v>104</v>
      </c>
      <c r="BS706" s="2" t="s">
        <v>12988</v>
      </c>
      <c r="BT706" s="2" t="str">
        <f aca="false">HYPERLINK("https%3A%2F%2Fwww.webofscience.com%2Fwos%2Fwoscc%2Ffull-record%2FWOS:000336340300022","View Full Record in Web of Science")</f>
        <v>View Full Record in Web of Science</v>
      </c>
    </row>
    <row r="707" customFormat="false" ht="12.75" hidden="false" customHeight="false" outlineLevel="0" collapsed="false">
      <c r="A707" s="2" t="s">
        <v>72</v>
      </c>
      <c r="B707" s="2" t="s">
        <v>12989</v>
      </c>
      <c r="C707" s="2"/>
      <c r="D707" s="2"/>
      <c r="E707" s="2"/>
      <c r="F707" s="2" t="s">
        <v>12990</v>
      </c>
      <c r="G707" s="2"/>
      <c r="H707" s="2"/>
      <c r="I707" s="2" t="s">
        <v>12991</v>
      </c>
      <c r="J707" s="2" t="s">
        <v>717</v>
      </c>
      <c r="K707" s="2"/>
      <c r="L707" s="2"/>
      <c r="M707" s="2" t="s">
        <v>77</v>
      </c>
      <c r="N707" s="2" t="s">
        <v>78</v>
      </c>
      <c r="O707" s="2"/>
      <c r="P707" s="2"/>
      <c r="Q707" s="2"/>
      <c r="R707" s="2"/>
      <c r="S707" s="2"/>
      <c r="T707" s="2" t="s">
        <v>12992</v>
      </c>
      <c r="U707" s="2" t="s">
        <v>12993</v>
      </c>
      <c r="V707" s="2" t="s">
        <v>12994</v>
      </c>
      <c r="W707" s="2" t="s">
        <v>12995</v>
      </c>
      <c r="X707" s="2" t="s">
        <v>12996</v>
      </c>
      <c r="Y707" s="2" t="s">
        <v>12997</v>
      </c>
      <c r="Z707" s="2" t="s">
        <v>12998</v>
      </c>
      <c r="AA707" s="2"/>
      <c r="AB707" s="2" t="s">
        <v>12999</v>
      </c>
      <c r="AC707" s="2" t="s">
        <v>13000</v>
      </c>
      <c r="AD707" s="2" t="s">
        <v>13001</v>
      </c>
      <c r="AE707" s="2" t="s">
        <v>13002</v>
      </c>
      <c r="AF707" s="2"/>
      <c r="AG707" s="2" t="n">
        <v>21</v>
      </c>
      <c r="AH707" s="2" t="n">
        <v>6</v>
      </c>
      <c r="AI707" s="2" t="n">
        <v>8</v>
      </c>
      <c r="AJ707" s="2" t="n">
        <v>0</v>
      </c>
      <c r="AK707" s="2" t="n">
        <v>1</v>
      </c>
      <c r="AL707" s="2" t="s">
        <v>549</v>
      </c>
      <c r="AM707" s="2" t="s">
        <v>384</v>
      </c>
      <c r="AN707" s="2" t="s">
        <v>550</v>
      </c>
      <c r="AO707" s="2" t="s">
        <v>729</v>
      </c>
      <c r="AP707" s="2" t="s">
        <v>730</v>
      </c>
      <c r="AQ707" s="2"/>
      <c r="AR707" s="2" t="s">
        <v>731</v>
      </c>
      <c r="AS707" s="2" t="s">
        <v>732</v>
      </c>
      <c r="AT707" s="2" t="s">
        <v>129</v>
      </c>
      <c r="AU707" s="2" t="n">
        <v>2008</v>
      </c>
      <c r="AV707" s="2" t="n">
        <v>152</v>
      </c>
      <c r="AW707" s="2" t="s">
        <v>1407</v>
      </c>
      <c r="AX707" s="2"/>
      <c r="AY707" s="2"/>
      <c r="AZ707" s="2"/>
      <c r="BA707" s="2"/>
      <c r="BB707" s="2" t="n">
        <v>109</v>
      </c>
      <c r="BC707" s="2" t="n">
        <v>111</v>
      </c>
      <c r="BD707" s="2"/>
      <c r="BE707" s="2" t="s">
        <v>13003</v>
      </c>
      <c r="BF707" s="2" t="str">
        <f aca="false">HYPERLINK("http://dx.doi.org/10.1016/j.jviromet.2008.06.008","http://dx.doi.org/10.1016/j.jviromet.2008.06.008")</f>
        <v>http://dx.doi.org/10.1016/j.jviromet.2008.06.008</v>
      </c>
      <c r="BG707" s="2"/>
      <c r="BH707" s="2"/>
      <c r="BI707" s="2" t="n">
        <v>3</v>
      </c>
      <c r="BJ707" s="2" t="s">
        <v>735</v>
      </c>
      <c r="BK707" s="2" t="s">
        <v>100</v>
      </c>
      <c r="BL707" s="2" t="s">
        <v>736</v>
      </c>
      <c r="BM707" s="2" t="s">
        <v>13004</v>
      </c>
      <c r="BN707" s="2" t="n">
        <v>18602421</v>
      </c>
      <c r="BO707" s="2" t="s">
        <v>165</v>
      </c>
      <c r="BP707" s="2"/>
      <c r="BQ707" s="2"/>
      <c r="BR707" s="2" t="s">
        <v>104</v>
      </c>
      <c r="BS707" s="2" t="s">
        <v>13005</v>
      </c>
      <c r="BT707" s="2" t="str">
        <f aca="false">HYPERLINK("https%3A%2F%2Fwww.webofscience.com%2Fwos%2Fwoscc%2Ffull-record%2FWOS:000258900800019","View Full Record in Web of Science")</f>
        <v>View Full Record in Web of Science</v>
      </c>
    </row>
    <row r="708" customFormat="false" ht="12.75" hidden="false" customHeight="false" outlineLevel="0" collapsed="false">
      <c r="A708" s="2" t="s">
        <v>72</v>
      </c>
      <c r="B708" s="2" t="s">
        <v>13006</v>
      </c>
      <c r="C708" s="2"/>
      <c r="D708" s="2"/>
      <c r="E708" s="2"/>
      <c r="F708" s="2" t="s">
        <v>13007</v>
      </c>
      <c r="G708" s="2"/>
      <c r="H708" s="2"/>
      <c r="I708" s="2" t="s">
        <v>13008</v>
      </c>
      <c r="J708" s="2" t="s">
        <v>1413</v>
      </c>
      <c r="K708" s="2"/>
      <c r="L708" s="2"/>
      <c r="M708" s="2" t="s">
        <v>77</v>
      </c>
      <c r="N708" s="2" t="s">
        <v>78</v>
      </c>
      <c r="O708" s="2"/>
      <c r="P708" s="2"/>
      <c r="Q708" s="2"/>
      <c r="R708" s="2"/>
      <c r="S708" s="2"/>
      <c r="T708" s="2" t="s">
        <v>13009</v>
      </c>
      <c r="U708" s="2" t="s">
        <v>13010</v>
      </c>
      <c r="V708" s="2" t="s">
        <v>13011</v>
      </c>
      <c r="W708" s="2" t="s">
        <v>13012</v>
      </c>
      <c r="X708" s="2" t="s">
        <v>13013</v>
      </c>
      <c r="Y708" s="2" t="s">
        <v>13014</v>
      </c>
      <c r="Z708" s="2" t="s">
        <v>13015</v>
      </c>
      <c r="AA708" s="2"/>
      <c r="AB708" s="2" t="s">
        <v>13016</v>
      </c>
      <c r="AC708" s="2" t="s">
        <v>13017</v>
      </c>
      <c r="AD708" s="2" t="s">
        <v>13018</v>
      </c>
      <c r="AE708" s="2" t="s">
        <v>13019</v>
      </c>
      <c r="AF708" s="2"/>
      <c r="AG708" s="2" t="n">
        <v>55</v>
      </c>
      <c r="AH708" s="2" t="n">
        <v>17</v>
      </c>
      <c r="AI708" s="2" t="n">
        <v>18</v>
      </c>
      <c r="AJ708" s="2" t="n">
        <v>0</v>
      </c>
      <c r="AK708" s="2" t="n">
        <v>3</v>
      </c>
      <c r="AL708" s="2" t="s">
        <v>383</v>
      </c>
      <c r="AM708" s="2" t="s">
        <v>384</v>
      </c>
      <c r="AN708" s="2" t="s">
        <v>385</v>
      </c>
      <c r="AO708" s="2" t="s">
        <v>1421</v>
      </c>
      <c r="AP708" s="2" t="s">
        <v>1422</v>
      </c>
      <c r="AQ708" s="2"/>
      <c r="AR708" s="2" t="s">
        <v>1423</v>
      </c>
      <c r="AS708" s="2" t="s">
        <v>1424</v>
      </c>
      <c r="AT708" s="2" t="s">
        <v>10601</v>
      </c>
      <c r="AU708" s="2" t="n">
        <v>2015</v>
      </c>
      <c r="AV708" s="2" t="n">
        <v>200</v>
      </c>
      <c r="AW708" s="2"/>
      <c r="AX708" s="2"/>
      <c r="AY708" s="2"/>
      <c r="AZ708" s="2"/>
      <c r="BA708" s="2"/>
      <c r="BB708" s="2" t="n">
        <v>19</v>
      </c>
      <c r="BC708" s="2" t="n">
        <v>23</v>
      </c>
      <c r="BD708" s="2"/>
      <c r="BE708" s="2" t="s">
        <v>13020</v>
      </c>
      <c r="BF708" s="2" t="str">
        <f aca="false">HYPERLINK("http://dx.doi.org/10.1016/j.virusres.2015.01.018","http://dx.doi.org/10.1016/j.virusres.2015.01.018")</f>
        <v>http://dx.doi.org/10.1016/j.virusres.2015.01.018</v>
      </c>
      <c r="BG708" s="2"/>
      <c r="BH708" s="2"/>
      <c r="BI708" s="2" t="n">
        <v>5</v>
      </c>
      <c r="BJ708" s="2" t="s">
        <v>163</v>
      </c>
      <c r="BK708" s="2" t="s">
        <v>100</v>
      </c>
      <c r="BL708" s="2" t="s">
        <v>163</v>
      </c>
      <c r="BM708" s="2" t="s">
        <v>13021</v>
      </c>
      <c r="BN708" s="2" t="n">
        <v>25645280</v>
      </c>
      <c r="BO708" s="2" t="s">
        <v>695</v>
      </c>
      <c r="BP708" s="2"/>
      <c r="BQ708" s="2"/>
      <c r="BR708" s="2" t="s">
        <v>104</v>
      </c>
      <c r="BS708" s="2" t="s">
        <v>13022</v>
      </c>
      <c r="BT708" s="2" t="str">
        <f aca="false">HYPERLINK("https%3A%2F%2Fwww.webofscience.com%2Fwos%2Fwoscc%2Ffull-record%2FWOS:000351798800003","View Full Record in Web of Science")</f>
        <v>View Full Record in Web of Science</v>
      </c>
    </row>
    <row r="709" customFormat="false" ht="12.75" hidden="false" customHeight="false" outlineLevel="0" collapsed="false">
      <c r="A709" s="2" t="s">
        <v>72</v>
      </c>
      <c r="B709" s="2" t="s">
        <v>13023</v>
      </c>
      <c r="C709" s="2"/>
      <c r="D709" s="2"/>
      <c r="E709" s="2"/>
      <c r="F709" s="2" t="s">
        <v>13024</v>
      </c>
      <c r="G709" s="2"/>
      <c r="H709" s="2"/>
      <c r="I709" s="2" t="s">
        <v>13025</v>
      </c>
      <c r="J709" s="2" t="s">
        <v>370</v>
      </c>
      <c r="K709" s="2"/>
      <c r="L709" s="2"/>
      <c r="M709" s="2" t="s">
        <v>77</v>
      </c>
      <c r="N709" s="2" t="s">
        <v>78</v>
      </c>
      <c r="O709" s="2"/>
      <c r="P709" s="2"/>
      <c r="Q709" s="2"/>
      <c r="R709" s="2"/>
      <c r="S709" s="2"/>
      <c r="T709" s="2" t="s">
        <v>13026</v>
      </c>
      <c r="U709" s="2" t="s">
        <v>13027</v>
      </c>
      <c r="V709" s="2" t="s">
        <v>13028</v>
      </c>
      <c r="W709" s="2" t="s">
        <v>13029</v>
      </c>
      <c r="X709" s="2" t="s">
        <v>13030</v>
      </c>
      <c r="Y709" s="2" t="s">
        <v>13031</v>
      </c>
      <c r="Z709" s="2" t="s">
        <v>13032</v>
      </c>
      <c r="AA709" s="2" t="s">
        <v>7916</v>
      </c>
      <c r="AB709" s="2" t="s">
        <v>13033</v>
      </c>
      <c r="AC709" s="2" t="s">
        <v>13034</v>
      </c>
      <c r="AD709" s="2" t="s">
        <v>2416</v>
      </c>
      <c r="AE709" s="2"/>
      <c r="AF709" s="2"/>
      <c r="AG709" s="2" t="n">
        <v>26</v>
      </c>
      <c r="AH709" s="2" t="n">
        <v>25</v>
      </c>
      <c r="AI709" s="2" t="n">
        <v>30</v>
      </c>
      <c r="AJ709" s="2" t="n">
        <v>0</v>
      </c>
      <c r="AK709" s="2" t="n">
        <v>1</v>
      </c>
      <c r="AL709" s="2" t="s">
        <v>383</v>
      </c>
      <c r="AM709" s="2" t="s">
        <v>384</v>
      </c>
      <c r="AN709" s="2" t="s">
        <v>385</v>
      </c>
      <c r="AO709" s="2" t="s">
        <v>386</v>
      </c>
      <c r="AP709" s="2" t="s">
        <v>387</v>
      </c>
      <c r="AQ709" s="2"/>
      <c r="AR709" s="2" t="s">
        <v>388</v>
      </c>
      <c r="AS709" s="2" t="s">
        <v>389</v>
      </c>
      <c r="AT709" s="2" t="s">
        <v>446</v>
      </c>
      <c r="AU709" s="2" t="n">
        <v>2006</v>
      </c>
      <c r="AV709" s="2" t="n">
        <v>37</v>
      </c>
      <c r="AW709" s="2" t="n">
        <v>4</v>
      </c>
      <c r="AX709" s="2"/>
      <c r="AY709" s="2"/>
      <c r="AZ709" s="2"/>
      <c r="BA709" s="2"/>
      <c r="BB709" s="2" t="n">
        <v>269</v>
      </c>
      <c r="BC709" s="2" t="n">
        <v>276</v>
      </c>
      <c r="BD709" s="2"/>
      <c r="BE709" s="2" t="s">
        <v>13035</v>
      </c>
      <c r="BF709" s="2" t="str">
        <f aca="false">HYPERLINK("http://dx.doi.org/10.1016/j.jcv.2006.08.016","http://dx.doi.org/10.1016/j.jcv.2006.08.016")</f>
        <v>http://dx.doi.org/10.1016/j.jcv.2006.08.016</v>
      </c>
      <c r="BG709" s="2"/>
      <c r="BH709" s="2"/>
      <c r="BI709" s="2" t="n">
        <v>8</v>
      </c>
      <c r="BJ709" s="2" t="s">
        <v>163</v>
      </c>
      <c r="BK709" s="2" t="s">
        <v>100</v>
      </c>
      <c r="BL709" s="2" t="s">
        <v>163</v>
      </c>
      <c r="BM709" s="2" t="s">
        <v>13036</v>
      </c>
      <c r="BN709" s="2" t="n">
        <v>17008122</v>
      </c>
      <c r="BO709" s="2" t="s">
        <v>695</v>
      </c>
      <c r="BP709" s="2"/>
      <c r="BQ709" s="2"/>
      <c r="BR709" s="2" t="s">
        <v>104</v>
      </c>
      <c r="BS709" s="2" t="s">
        <v>13037</v>
      </c>
      <c r="BT709" s="2" t="str">
        <f aca="false">HYPERLINK("https%3A%2F%2Fwww.webofscience.com%2Fwos%2Fwoscc%2Ffull-record%2FWOS:000242694700008","View Full Record in Web of Science")</f>
        <v>View Full Record in Web of Science</v>
      </c>
    </row>
    <row r="710" customFormat="false" ht="12.75" hidden="false" customHeight="false" outlineLevel="0" collapsed="false">
      <c r="A710" s="2" t="s">
        <v>72</v>
      </c>
      <c r="B710" s="2" t="s">
        <v>13038</v>
      </c>
      <c r="C710" s="2"/>
      <c r="D710" s="2"/>
      <c r="E710" s="2"/>
      <c r="F710" s="2" t="s">
        <v>13039</v>
      </c>
      <c r="G710" s="2"/>
      <c r="H710" s="2"/>
      <c r="I710" s="2" t="s">
        <v>13040</v>
      </c>
      <c r="J710" s="2" t="s">
        <v>370</v>
      </c>
      <c r="K710" s="2"/>
      <c r="L710" s="2"/>
      <c r="M710" s="2" t="s">
        <v>77</v>
      </c>
      <c r="N710" s="2" t="s">
        <v>78</v>
      </c>
      <c r="O710" s="2"/>
      <c r="P710" s="2"/>
      <c r="Q710" s="2"/>
      <c r="R710" s="2"/>
      <c r="S710" s="2"/>
      <c r="T710" s="2" t="s">
        <v>13041</v>
      </c>
      <c r="U710" s="2" t="s">
        <v>13042</v>
      </c>
      <c r="V710" s="2"/>
      <c r="W710" s="2" t="s">
        <v>13043</v>
      </c>
      <c r="X710" s="2" t="s">
        <v>13044</v>
      </c>
      <c r="Y710" s="2" t="s">
        <v>13045</v>
      </c>
      <c r="Z710" s="2" t="s">
        <v>13046</v>
      </c>
      <c r="AA710" s="2"/>
      <c r="AB710" s="2"/>
      <c r="AC710" s="2"/>
      <c r="AD710" s="2"/>
      <c r="AE710" s="2"/>
      <c r="AF710" s="2"/>
      <c r="AG710" s="2" t="n">
        <v>21</v>
      </c>
      <c r="AH710" s="2" t="n">
        <v>10</v>
      </c>
      <c r="AI710" s="2" t="n">
        <v>11</v>
      </c>
      <c r="AJ710" s="2" t="n">
        <v>0</v>
      </c>
      <c r="AK710" s="2" t="n">
        <v>1</v>
      </c>
      <c r="AL710" s="2" t="s">
        <v>549</v>
      </c>
      <c r="AM710" s="2" t="s">
        <v>384</v>
      </c>
      <c r="AN710" s="2" t="s">
        <v>550</v>
      </c>
      <c r="AO710" s="2" t="s">
        <v>386</v>
      </c>
      <c r="AP710" s="2" t="s">
        <v>387</v>
      </c>
      <c r="AQ710" s="2"/>
      <c r="AR710" s="2" t="s">
        <v>388</v>
      </c>
      <c r="AS710" s="2" t="s">
        <v>389</v>
      </c>
      <c r="AT710" s="2" t="s">
        <v>599</v>
      </c>
      <c r="AU710" s="2" t="n">
        <v>2007</v>
      </c>
      <c r="AV710" s="2" t="n">
        <v>39</v>
      </c>
      <c r="AW710" s="2" t="n">
        <v>3</v>
      </c>
      <c r="AX710" s="2"/>
      <c r="AY710" s="2"/>
      <c r="AZ710" s="2"/>
      <c r="BA710" s="2"/>
      <c r="BB710" s="2" t="n">
        <v>234</v>
      </c>
      <c r="BC710" s="2" t="n">
        <v>237</v>
      </c>
      <c r="BD710" s="2"/>
      <c r="BE710" s="2" t="s">
        <v>13047</v>
      </c>
      <c r="BF710" s="2" t="str">
        <f aca="false">HYPERLINK("http://dx.doi.org/10.1016/j.jcv.2007.03.011","http://dx.doi.org/10.1016/j.jcv.2007.03.011")</f>
        <v>http://dx.doi.org/10.1016/j.jcv.2007.03.011</v>
      </c>
      <c r="BG710" s="2"/>
      <c r="BH710" s="2"/>
      <c r="BI710" s="2" t="n">
        <v>4</v>
      </c>
      <c r="BJ710" s="2" t="s">
        <v>163</v>
      </c>
      <c r="BK710" s="2" t="s">
        <v>100</v>
      </c>
      <c r="BL710" s="2" t="s">
        <v>163</v>
      </c>
      <c r="BM710" s="2" t="s">
        <v>13048</v>
      </c>
      <c r="BN710" s="2" t="n">
        <v>17512777</v>
      </c>
      <c r="BO710" s="2" t="s">
        <v>1089</v>
      </c>
      <c r="BP710" s="2"/>
      <c r="BQ710" s="2"/>
      <c r="BR710" s="2" t="s">
        <v>104</v>
      </c>
      <c r="BS710" s="2" t="s">
        <v>13049</v>
      </c>
      <c r="BT710" s="2" t="str">
        <f aca="false">HYPERLINK("https%3A%2F%2Fwww.webofscience.com%2Fwos%2Fwoscc%2Ffull-record%2FWOS:000248108100015","View Full Record in Web of Science")</f>
        <v>View Full Record in Web of Science</v>
      </c>
    </row>
    <row r="711" customFormat="false" ht="12.75" hidden="false" customHeight="false" outlineLevel="0" collapsed="false">
      <c r="A711" s="2" t="s">
        <v>72</v>
      </c>
      <c r="B711" s="2" t="s">
        <v>13050</v>
      </c>
      <c r="C711" s="2"/>
      <c r="D711" s="2"/>
      <c r="E711" s="2"/>
      <c r="F711" s="2" t="s">
        <v>13051</v>
      </c>
      <c r="G711" s="2"/>
      <c r="H711" s="2"/>
      <c r="I711" s="2" t="s">
        <v>13052</v>
      </c>
      <c r="J711" s="2" t="s">
        <v>109</v>
      </c>
      <c r="K711" s="2"/>
      <c r="L711" s="2"/>
      <c r="M711" s="2" t="s">
        <v>77</v>
      </c>
      <c r="N711" s="2" t="s">
        <v>78</v>
      </c>
      <c r="O711" s="2"/>
      <c r="P711" s="2"/>
      <c r="Q711" s="2"/>
      <c r="R711" s="2"/>
      <c r="S711" s="2"/>
      <c r="T711" s="2" t="s">
        <v>13053</v>
      </c>
      <c r="U711" s="2" t="s">
        <v>13054</v>
      </c>
      <c r="V711" s="2" t="s">
        <v>13055</v>
      </c>
      <c r="W711" s="2" t="s">
        <v>13056</v>
      </c>
      <c r="X711" s="2" t="s">
        <v>13057</v>
      </c>
      <c r="Y711" s="2" t="s">
        <v>13058</v>
      </c>
      <c r="Z711" s="2" t="s">
        <v>13059</v>
      </c>
      <c r="AA711" s="2"/>
      <c r="AB711" s="2"/>
      <c r="AC711" s="2"/>
      <c r="AD711" s="2"/>
      <c r="AE711" s="2"/>
      <c r="AF711" s="2"/>
      <c r="AG711" s="2" t="n">
        <v>10</v>
      </c>
      <c r="AH711" s="2" t="n">
        <v>0</v>
      </c>
      <c r="AI711" s="2" t="n">
        <v>0</v>
      </c>
      <c r="AJ711" s="2" t="n">
        <v>2</v>
      </c>
      <c r="AK711" s="2" t="n">
        <v>2</v>
      </c>
      <c r="AL711" s="2" t="s">
        <v>122</v>
      </c>
      <c r="AM711" s="2" t="s">
        <v>123</v>
      </c>
      <c r="AN711" s="2" t="s">
        <v>124</v>
      </c>
      <c r="AO711" s="2" t="s">
        <v>125</v>
      </c>
      <c r="AP711" s="2" t="s">
        <v>126</v>
      </c>
      <c r="AQ711" s="2"/>
      <c r="AR711" s="2" t="s">
        <v>127</v>
      </c>
      <c r="AS711" s="2" t="s">
        <v>128</v>
      </c>
      <c r="AT711" s="2" t="s">
        <v>1041</v>
      </c>
      <c r="AU711" s="2" t="n">
        <v>2023</v>
      </c>
      <c r="AV711" s="2" t="n">
        <v>42</v>
      </c>
      <c r="AW711" s="2" t="n">
        <v>2</v>
      </c>
      <c r="AX711" s="2"/>
      <c r="AY711" s="2"/>
      <c r="AZ711" s="2"/>
      <c r="BA711" s="2"/>
      <c r="BB711" s="2" t="s">
        <v>7353</v>
      </c>
      <c r="BC711" s="2" t="s">
        <v>13060</v>
      </c>
      <c r="BD711" s="2"/>
      <c r="BE711" s="2" t="s">
        <v>13061</v>
      </c>
      <c r="BF711" s="2" t="str">
        <f aca="false">HYPERLINK("http://dx.doi.org/10.1097/INF.0000000000003769","http://dx.doi.org/10.1097/INF.0000000000003769")</f>
        <v>http://dx.doi.org/10.1097/INF.0000000000003769</v>
      </c>
      <c r="BG711" s="2"/>
      <c r="BH711" s="2"/>
      <c r="BI711" s="2" t="n">
        <v>2</v>
      </c>
      <c r="BJ711" s="2" t="s">
        <v>134</v>
      </c>
      <c r="BK711" s="2" t="s">
        <v>100</v>
      </c>
      <c r="BL711" s="2" t="s">
        <v>134</v>
      </c>
      <c r="BM711" s="2" t="s">
        <v>13062</v>
      </c>
      <c r="BN711" s="2" t="n">
        <v>36638407</v>
      </c>
      <c r="BO711" s="2" t="s">
        <v>656</v>
      </c>
      <c r="BP711" s="2"/>
      <c r="BQ711" s="2"/>
      <c r="BR711" s="2" t="s">
        <v>104</v>
      </c>
      <c r="BS711" s="2" t="s">
        <v>13063</v>
      </c>
      <c r="BT711" s="2" t="str">
        <f aca="false">HYPERLINK("https%3A%2F%2Fwww.webofscience.com%2Fwos%2Fwoscc%2Ffull-record%2FWOS:000916277100005","View Full Record in Web of Science")</f>
        <v>View Full Record in Web of Science</v>
      </c>
    </row>
    <row r="712" customFormat="false" ht="12.75" hidden="false" customHeight="false" outlineLevel="0" collapsed="false">
      <c r="A712" s="2" t="s">
        <v>72</v>
      </c>
      <c r="B712" s="2" t="s">
        <v>13064</v>
      </c>
      <c r="C712" s="2"/>
      <c r="D712" s="2"/>
      <c r="E712" s="2"/>
      <c r="F712" s="2" t="s">
        <v>13064</v>
      </c>
      <c r="G712" s="2"/>
      <c r="H712" s="2"/>
      <c r="I712" s="2" t="s">
        <v>13065</v>
      </c>
      <c r="J712" s="2" t="s">
        <v>109</v>
      </c>
      <c r="K712" s="2"/>
      <c r="L712" s="2"/>
      <c r="M712" s="2" t="s">
        <v>77</v>
      </c>
      <c r="N712" s="2" t="s">
        <v>78</v>
      </c>
      <c r="O712" s="2"/>
      <c r="P712" s="2"/>
      <c r="Q712" s="2"/>
      <c r="R712" s="2"/>
      <c r="S712" s="2"/>
      <c r="T712" s="2" t="s">
        <v>13066</v>
      </c>
      <c r="U712" s="2" t="s">
        <v>13067</v>
      </c>
      <c r="V712" s="2" t="s">
        <v>13068</v>
      </c>
      <c r="W712" s="2" t="s">
        <v>13069</v>
      </c>
      <c r="X712" s="2" t="s">
        <v>13070</v>
      </c>
      <c r="Y712" s="2" t="s">
        <v>13071</v>
      </c>
      <c r="Z712" s="2" t="s">
        <v>13072</v>
      </c>
      <c r="AA712" s="2" t="s">
        <v>13073</v>
      </c>
      <c r="AB712" s="2" t="s">
        <v>13074</v>
      </c>
      <c r="AC712" s="2"/>
      <c r="AD712" s="2"/>
      <c r="AE712" s="2"/>
      <c r="AF712" s="2"/>
      <c r="AG712" s="2" t="n">
        <v>29</v>
      </c>
      <c r="AH712" s="2" t="n">
        <v>168</v>
      </c>
      <c r="AI712" s="2" t="n">
        <v>180</v>
      </c>
      <c r="AJ712" s="2" t="n">
        <v>0</v>
      </c>
      <c r="AK712" s="2" t="n">
        <v>9</v>
      </c>
      <c r="AL712" s="2" t="s">
        <v>122</v>
      </c>
      <c r="AM712" s="2" t="s">
        <v>123</v>
      </c>
      <c r="AN712" s="2" t="s">
        <v>839</v>
      </c>
      <c r="AO712" s="2" t="s">
        <v>125</v>
      </c>
      <c r="AP712" s="2"/>
      <c r="AQ712" s="2"/>
      <c r="AR712" s="2" t="s">
        <v>127</v>
      </c>
      <c r="AS712" s="2" t="s">
        <v>128</v>
      </c>
      <c r="AT712" s="2" t="s">
        <v>692</v>
      </c>
      <c r="AU712" s="2" t="n">
        <v>2006</v>
      </c>
      <c r="AV712" s="2" t="n">
        <v>25</v>
      </c>
      <c r="AW712" s="2" t="n">
        <v>4</v>
      </c>
      <c r="AX712" s="2"/>
      <c r="AY712" s="2"/>
      <c r="AZ712" s="2"/>
      <c r="BA712" s="2"/>
      <c r="BB712" s="2" t="n">
        <v>320</v>
      </c>
      <c r="BC712" s="2" t="n">
        <v>324</v>
      </c>
      <c r="BD712" s="2"/>
      <c r="BE712" s="2" t="s">
        <v>13075</v>
      </c>
      <c r="BF712" s="2" t="str">
        <f aca="false">HYPERLINK("http://dx.doi.org/10.1097/01.inf.0000207395.80657.cf","http://dx.doi.org/10.1097/01.inf.0000207395.80657.cf")</f>
        <v>http://dx.doi.org/10.1097/01.inf.0000207395.80657.cf</v>
      </c>
      <c r="BG712" s="2"/>
      <c r="BH712" s="2"/>
      <c r="BI712" s="2" t="n">
        <v>5</v>
      </c>
      <c r="BJ712" s="2" t="s">
        <v>134</v>
      </c>
      <c r="BK712" s="2" t="s">
        <v>100</v>
      </c>
      <c r="BL712" s="2" t="s">
        <v>134</v>
      </c>
      <c r="BM712" s="2" t="s">
        <v>13076</v>
      </c>
      <c r="BN712" s="2" t="n">
        <v>16567983</v>
      </c>
      <c r="BO712" s="2"/>
      <c r="BP712" s="2"/>
      <c r="BQ712" s="2"/>
      <c r="BR712" s="2" t="s">
        <v>104</v>
      </c>
      <c r="BS712" s="2" t="s">
        <v>13077</v>
      </c>
      <c r="BT712" s="2" t="str">
        <f aca="false">HYPERLINK("https%3A%2F%2Fwww.webofscience.com%2Fwos%2Fwoscc%2Ffull-record%2FWOS:000236920400007","View Full Record in Web of Science")</f>
        <v>View Full Record in Web of Science</v>
      </c>
    </row>
    <row r="713" customFormat="false" ht="12.75" hidden="false" customHeight="false" outlineLevel="0" collapsed="false">
      <c r="A713" s="2" t="s">
        <v>72</v>
      </c>
      <c r="B713" s="2" t="s">
        <v>13078</v>
      </c>
      <c r="C713" s="2"/>
      <c r="D713" s="2"/>
      <c r="E713" s="2"/>
      <c r="F713" s="2" t="s">
        <v>13079</v>
      </c>
      <c r="G713" s="2"/>
      <c r="H713" s="2"/>
      <c r="I713" s="2" t="s">
        <v>13080</v>
      </c>
      <c r="J713" s="2" t="s">
        <v>1048</v>
      </c>
      <c r="K713" s="2"/>
      <c r="L713" s="2"/>
      <c r="M713" s="2" t="s">
        <v>77</v>
      </c>
      <c r="N713" s="2" t="s">
        <v>78</v>
      </c>
      <c r="O713" s="2"/>
      <c r="P713" s="2"/>
      <c r="Q713" s="2"/>
      <c r="R713" s="2"/>
      <c r="S713" s="2"/>
      <c r="T713" s="2" t="s">
        <v>13081</v>
      </c>
      <c r="U713" s="2" t="s">
        <v>13082</v>
      </c>
      <c r="V713" s="2" t="s">
        <v>13083</v>
      </c>
      <c r="W713" s="2" t="s">
        <v>13084</v>
      </c>
      <c r="X713" s="2" t="s">
        <v>11501</v>
      </c>
      <c r="Y713" s="2" t="s">
        <v>13085</v>
      </c>
      <c r="Z713" s="2" t="s">
        <v>13086</v>
      </c>
      <c r="AA713" s="2"/>
      <c r="AB713" s="2" t="s">
        <v>13087</v>
      </c>
      <c r="AC713" s="2"/>
      <c r="AD713" s="2"/>
      <c r="AE713" s="2"/>
      <c r="AF713" s="2"/>
      <c r="AG713" s="2" t="n">
        <v>32</v>
      </c>
      <c r="AH713" s="2" t="n">
        <v>0</v>
      </c>
      <c r="AI713" s="2" t="n">
        <v>0</v>
      </c>
      <c r="AJ713" s="2" t="n">
        <v>1</v>
      </c>
      <c r="AK713" s="2" t="n">
        <v>1</v>
      </c>
      <c r="AL713" s="2" t="s">
        <v>91</v>
      </c>
      <c r="AM713" s="2" t="s">
        <v>92</v>
      </c>
      <c r="AN713" s="2" t="s">
        <v>93</v>
      </c>
      <c r="AO713" s="2"/>
      <c r="AP713" s="2" t="s">
        <v>1061</v>
      </c>
      <c r="AQ713" s="2"/>
      <c r="AR713" s="2" t="s">
        <v>1048</v>
      </c>
      <c r="AS713" s="2" t="s">
        <v>1062</v>
      </c>
      <c r="AT713" s="2" t="s">
        <v>692</v>
      </c>
      <c r="AU713" s="2" t="n">
        <v>2024</v>
      </c>
      <c r="AV713" s="2" t="n">
        <v>12</v>
      </c>
      <c r="AW713" s="2" t="n">
        <v>4</v>
      </c>
      <c r="AX713" s="2"/>
      <c r="AY713" s="2"/>
      <c r="AZ713" s="2"/>
      <c r="BA713" s="2"/>
      <c r="BB713" s="2"/>
      <c r="BC713" s="2"/>
      <c r="BD713" s="2" t="n">
        <v>641</v>
      </c>
      <c r="BE713" s="2" t="s">
        <v>13088</v>
      </c>
      <c r="BF713" s="2" t="str">
        <f aca="false">HYPERLINK("http://dx.doi.org/10.3390/microorganisms12040641","http://dx.doi.org/10.3390/microorganisms12040641")</f>
        <v>http://dx.doi.org/10.3390/microorganisms12040641</v>
      </c>
      <c r="BG713" s="2"/>
      <c r="BH713" s="2"/>
      <c r="BI713" s="2" t="n">
        <v>10</v>
      </c>
      <c r="BJ713" s="2" t="s">
        <v>211</v>
      </c>
      <c r="BK713" s="2" t="s">
        <v>100</v>
      </c>
      <c r="BL713" s="2" t="s">
        <v>211</v>
      </c>
      <c r="BM713" s="2" t="s">
        <v>13089</v>
      </c>
      <c r="BN713" s="2" t="n">
        <v>38674586</v>
      </c>
      <c r="BO713" s="2" t="s">
        <v>103</v>
      </c>
      <c r="BP713" s="2"/>
      <c r="BQ713" s="2"/>
      <c r="BR713" s="2" t="s">
        <v>104</v>
      </c>
      <c r="BS713" s="2" t="s">
        <v>13090</v>
      </c>
      <c r="BT713" s="2" t="str">
        <f aca="false">HYPERLINK("https%3A%2F%2Fwww.webofscience.com%2Fwos%2Fwoscc%2Ffull-record%2FWOS:001210590500001","View Full Record in Web of Science")</f>
        <v>View Full Record in Web of Science</v>
      </c>
    </row>
    <row r="714" customFormat="false" ht="12.75" hidden="false" customHeight="false" outlineLevel="0" collapsed="false">
      <c r="A714" s="2" t="s">
        <v>72</v>
      </c>
      <c r="B714" s="2" t="s">
        <v>13091</v>
      </c>
      <c r="C714" s="2"/>
      <c r="D714" s="2"/>
      <c r="E714" s="2"/>
      <c r="F714" s="2" t="s">
        <v>13092</v>
      </c>
      <c r="G714" s="2"/>
      <c r="H714" s="2"/>
      <c r="I714" s="2" t="s">
        <v>13093</v>
      </c>
      <c r="J714" s="2" t="s">
        <v>13094</v>
      </c>
      <c r="K714" s="2"/>
      <c r="L714" s="2"/>
      <c r="M714" s="2" t="s">
        <v>77</v>
      </c>
      <c r="N714" s="2" t="s">
        <v>78</v>
      </c>
      <c r="O714" s="2"/>
      <c r="P714" s="2"/>
      <c r="Q714" s="2"/>
      <c r="R714" s="2"/>
      <c r="S714" s="2"/>
      <c r="T714" s="2" t="s">
        <v>13095</v>
      </c>
      <c r="U714" s="2" t="s">
        <v>13096</v>
      </c>
      <c r="V714" s="2" t="s">
        <v>13097</v>
      </c>
      <c r="W714" s="2" t="s">
        <v>13098</v>
      </c>
      <c r="X714" s="2"/>
      <c r="Y714" s="2" t="s">
        <v>13099</v>
      </c>
      <c r="Z714" s="2" t="s">
        <v>13100</v>
      </c>
      <c r="AA714" s="2" t="s">
        <v>13101</v>
      </c>
      <c r="AB714" s="2" t="s">
        <v>13102</v>
      </c>
      <c r="AC714" s="2"/>
      <c r="AD714" s="2"/>
      <c r="AE714" s="2"/>
      <c r="AF714" s="2"/>
      <c r="AG714" s="2" t="n">
        <v>32</v>
      </c>
      <c r="AH714" s="2" t="n">
        <v>6</v>
      </c>
      <c r="AI714" s="2" t="n">
        <v>8</v>
      </c>
      <c r="AJ714" s="2" t="n">
        <v>1</v>
      </c>
      <c r="AK714" s="2" t="n">
        <v>7</v>
      </c>
      <c r="AL714" s="2" t="s">
        <v>592</v>
      </c>
      <c r="AM714" s="2" t="s">
        <v>12602</v>
      </c>
      <c r="AN714" s="2" t="s">
        <v>12603</v>
      </c>
      <c r="AO714" s="2" t="s">
        <v>13103</v>
      </c>
      <c r="AP714" s="2" t="s">
        <v>13104</v>
      </c>
      <c r="AQ714" s="2"/>
      <c r="AR714" s="2" t="s">
        <v>13105</v>
      </c>
      <c r="AS714" s="2" t="s">
        <v>13106</v>
      </c>
      <c r="AT714" s="2" t="s">
        <v>446</v>
      </c>
      <c r="AU714" s="2" t="n">
        <v>2021</v>
      </c>
      <c r="AV714" s="2" t="n">
        <v>48</v>
      </c>
      <c r="AW714" s="2" t="n">
        <v>12</v>
      </c>
      <c r="AX714" s="2"/>
      <c r="AY714" s="2"/>
      <c r="AZ714" s="2"/>
      <c r="BA714" s="2"/>
      <c r="BB714" s="2" t="n">
        <v>7697</v>
      </c>
      <c r="BC714" s="2" t="n">
        <v>7702</v>
      </c>
      <c r="BD714" s="2"/>
      <c r="BE714" s="2" t="s">
        <v>13107</v>
      </c>
      <c r="BF714" s="2" t="str">
        <f aca="false">HYPERLINK("http://dx.doi.org/10.1007/s11033-021-06776-1","http://dx.doi.org/10.1007/s11033-021-06776-1")</f>
        <v>http://dx.doi.org/10.1007/s11033-021-06776-1</v>
      </c>
      <c r="BG714" s="2"/>
      <c r="BH714" s="2" t="s">
        <v>3158</v>
      </c>
      <c r="BI714" s="2" t="n">
        <v>6</v>
      </c>
      <c r="BJ714" s="2" t="s">
        <v>4523</v>
      </c>
      <c r="BK714" s="2" t="s">
        <v>100</v>
      </c>
      <c r="BL714" s="2" t="s">
        <v>4523</v>
      </c>
      <c r="BM714" s="2" t="s">
        <v>13108</v>
      </c>
      <c r="BN714" s="2" t="n">
        <v>34665397</v>
      </c>
      <c r="BO714" s="2" t="s">
        <v>136</v>
      </c>
      <c r="BP714" s="2"/>
      <c r="BQ714" s="2"/>
      <c r="BR714" s="2" t="s">
        <v>104</v>
      </c>
      <c r="BS714" s="2" t="s">
        <v>13109</v>
      </c>
      <c r="BT714" s="2" t="str">
        <f aca="false">HYPERLINK("https%3A%2F%2Fwww.webofscience.com%2Fwos%2Fwoscc%2Ffull-record%2FWOS:000708832300003","View Full Record in Web of Science")</f>
        <v>View Full Record in Web of Science</v>
      </c>
    </row>
    <row r="715" customFormat="false" ht="12.75" hidden="false" customHeight="false" outlineLevel="0" collapsed="false">
      <c r="A715" s="2" t="s">
        <v>72</v>
      </c>
      <c r="B715" s="2" t="s">
        <v>13110</v>
      </c>
      <c r="C715" s="2"/>
      <c r="D715" s="2"/>
      <c r="E715" s="2"/>
      <c r="F715" s="2" t="s">
        <v>13110</v>
      </c>
      <c r="G715" s="2"/>
      <c r="H715" s="2"/>
      <c r="I715" s="2" t="s">
        <v>13111</v>
      </c>
      <c r="J715" s="2" t="s">
        <v>109</v>
      </c>
      <c r="K715" s="2"/>
      <c r="L715" s="2"/>
      <c r="M715" s="2" t="s">
        <v>77</v>
      </c>
      <c r="N715" s="2" t="s">
        <v>78</v>
      </c>
      <c r="O715" s="2"/>
      <c r="P715" s="2"/>
      <c r="Q715" s="2"/>
      <c r="R715" s="2"/>
      <c r="S715" s="2"/>
      <c r="T715" s="2" t="s">
        <v>13112</v>
      </c>
      <c r="U715" s="2" t="s">
        <v>13113</v>
      </c>
      <c r="V715" s="2" t="s">
        <v>13114</v>
      </c>
      <c r="W715" s="2" t="s">
        <v>13115</v>
      </c>
      <c r="X715" s="2" t="s">
        <v>13116</v>
      </c>
      <c r="Y715" s="2" t="s">
        <v>13117</v>
      </c>
      <c r="Z715" s="2" t="s">
        <v>13118</v>
      </c>
      <c r="AA715" s="2" t="s">
        <v>13119</v>
      </c>
      <c r="AB715" s="2"/>
      <c r="AC715" s="2"/>
      <c r="AD715" s="2"/>
      <c r="AE715" s="2"/>
      <c r="AF715" s="2"/>
      <c r="AG715" s="2" t="n">
        <v>39</v>
      </c>
      <c r="AH715" s="2" t="n">
        <v>103</v>
      </c>
      <c r="AI715" s="2" t="n">
        <v>119</v>
      </c>
      <c r="AJ715" s="2" t="n">
        <v>3</v>
      </c>
      <c r="AK715" s="2" t="n">
        <v>6</v>
      </c>
      <c r="AL715" s="2" t="s">
        <v>122</v>
      </c>
      <c r="AM715" s="2" t="s">
        <v>123</v>
      </c>
      <c r="AN715" s="2" t="s">
        <v>124</v>
      </c>
      <c r="AO715" s="2" t="s">
        <v>125</v>
      </c>
      <c r="AP715" s="2" t="s">
        <v>126</v>
      </c>
      <c r="AQ715" s="2"/>
      <c r="AR715" s="2" t="s">
        <v>127</v>
      </c>
      <c r="AS715" s="2" t="s">
        <v>128</v>
      </c>
      <c r="AT715" s="2" t="s">
        <v>692</v>
      </c>
      <c r="AU715" s="2" t="n">
        <v>2006</v>
      </c>
      <c r="AV715" s="2" t="n">
        <v>25</v>
      </c>
      <c r="AW715" s="2" t="n">
        <v>4</v>
      </c>
      <c r="AX715" s="2"/>
      <c r="AY715" s="2"/>
      <c r="AZ715" s="2"/>
      <c r="BA715" s="2"/>
      <c r="BB715" s="2" t="n">
        <v>354</v>
      </c>
      <c r="BC715" s="2" t="n">
        <v>359</v>
      </c>
      <c r="BD715" s="2"/>
      <c r="BE715" s="2" t="s">
        <v>13120</v>
      </c>
      <c r="BF715" s="2" t="str">
        <f aca="false">HYPERLINK("http://dx.doi.org/10.1097/01.inf.0000207480.55201.f6","http://dx.doi.org/10.1097/01.inf.0000207480.55201.f6")</f>
        <v>http://dx.doi.org/10.1097/01.inf.0000207480.55201.f6</v>
      </c>
      <c r="BG715" s="2"/>
      <c r="BH715" s="2"/>
      <c r="BI715" s="2" t="n">
        <v>6</v>
      </c>
      <c r="BJ715" s="2" t="s">
        <v>134</v>
      </c>
      <c r="BK715" s="2" t="s">
        <v>100</v>
      </c>
      <c r="BL715" s="2" t="s">
        <v>134</v>
      </c>
      <c r="BM715" s="2" t="s">
        <v>13076</v>
      </c>
      <c r="BN715" s="2" t="n">
        <v>16567989</v>
      </c>
      <c r="BO715" s="2"/>
      <c r="BP715" s="2"/>
      <c r="BQ715" s="2"/>
      <c r="BR715" s="2" t="s">
        <v>104</v>
      </c>
      <c r="BS715" s="2" t="s">
        <v>13121</v>
      </c>
      <c r="BT715" s="2" t="str">
        <f aca="false">HYPERLINK("https%3A%2F%2Fwww.webofscience.com%2Fwos%2Fwoscc%2Ffull-record%2FWOS:000236920400013","View Full Record in Web of Science")</f>
        <v>View Full Record in Web of Science</v>
      </c>
    </row>
    <row r="716" customFormat="false" ht="12.75" hidden="false" customHeight="false" outlineLevel="0" collapsed="false">
      <c r="A716" s="2" t="s">
        <v>72</v>
      </c>
      <c r="B716" s="2" t="s">
        <v>13122</v>
      </c>
      <c r="C716" s="2"/>
      <c r="D716" s="2"/>
      <c r="E716" s="2"/>
      <c r="F716" s="2" t="s">
        <v>13123</v>
      </c>
      <c r="G716" s="2"/>
      <c r="H716" s="2"/>
      <c r="I716" s="2" t="s">
        <v>13124</v>
      </c>
      <c r="J716" s="2" t="s">
        <v>581</v>
      </c>
      <c r="K716" s="2"/>
      <c r="L716" s="2"/>
      <c r="M716" s="2" t="s">
        <v>77</v>
      </c>
      <c r="N716" s="2" t="s">
        <v>78</v>
      </c>
      <c r="O716" s="2"/>
      <c r="P716" s="2"/>
      <c r="Q716" s="2"/>
      <c r="R716" s="2"/>
      <c r="S716" s="2"/>
      <c r="T716" s="2" t="s">
        <v>13125</v>
      </c>
      <c r="U716" s="2" t="s">
        <v>13126</v>
      </c>
      <c r="V716" s="2" t="s">
        <v>13127</v>
      </c>
      <c r="W716" s="2" t="s">
        <v>13128</v>
      </c>
      <c r="X716" s="2" t="s">
        <v>13129</v>
      </c>
      <c r="Y716" s="2" t="s">
        <v>13130</v>
      </c>
      <c r="Z716" s="2" t="s">
        <v>13131</v>
      </c>
      <c r="AA716" s="2" t="s">
        <v>3047</v>
      </c>
      <c r="AB716" s="2" t="s">
        <v>3048</v>
      </c>
      <c r="AC716" s="2"/>
      <c r="AD716" s="2"/>
      <c r="AE716" s="2"/>
      <c r="AF716" s="2"/>
      <c r="AG716" s="2" t="n">
        <v>41</v>
      </c>
      <c r="AH716" s="2" t="n">
        <v>109</v>
      </c>
      <c r="AI716" s="2" t="n">
        <v>125</v>
      </c>
      <c r="AJ716" s="2" t="n">
        <v>0</v>
      </c>
      <c r="AK716" s="2" t="n">
        <v>1</v>
      </c>
      <c r="AL716" s="2" t="s">
        <v>592</v>
      </c>
      <c r="AM716" s="2" t="s">
        <v>593</v>
      </c>
      <c r="AN716" s="2" t="s">
        <v>859</v>
      </c>
      <c r="AO716" s="2" t="s">
        <v>595</v>
      </c>
      <c r="AP716" s="2" t="s">
        <v>596</v>
      </c>
      <c r="AQ716" s="2"/>
      <c r="AR716" s="2" t="s">
        <v>597</v>
      </c>
      <c r="AS716" s="2" t="s">
        <v>598</v>
      </c>
      <c r="AT716" s="2" t="s">
        <v>599</v>
      </c>
      <c r="AU716" s="2" t="n">
        <v>2006</v>
      </c>
      <c r="AV716" s="2" t="n">
        <v>165</v>
      </c>
      <c r="AW716" s="2" t="n">
        <v>7</v>
      </c>
      <c r="AX716" s="2"/>
      <c r="AY716" s="2"/>
      <c r="AZ716" s="2"/>
      <c r="BA716" s="2"/>
      <c r="BB716" s="2" t="n">
        <v>467</v>
      </c>
      <c r="BC716" s="2" t="n">
        <v>475</v>
      </c>
      <c r="BD716" s="2"/>
      <c r="BE716" s="2" t="s">
        <v>13132</v>
      </c>
      <c r="BF716" s="2" t="str">
        <f aca="false">HYPERLINK("http://dx.doi.org/10.1007/s00431-006-0105-4","http://dx.doi.org/10.1007/s00431-006-0105-4")</f>
        <v>http://dx.doi.org/10.1007/s00431-006-0105-4</v>
      </c>
      <c r="BG716" s="2"/>
      <c r="BH716" s="2"/>
      <c r="BI716" s="2" t="n">
        <v>9</v>
      </c>
      <c r="BJ716" s="2" t="s">
        <v>601</v>
      </c>
      <c r="BK716" s="2" t="s">
        <v>100</v>
      </c>
      <c r="BL716" s="2" t="s">
        <v>601</v>
      </c>
      <c r="BM716" s="2" t="s">
        <v>13133</v>
      </c>
      <c r="BN716" s="2" t="n">
        <v>16607540</v>
      </c>
      <c r="BO716" s="2"/>
      <c r="BP716" s="2"/>
      <c r="BQ716" s="2"/>
      <c r="BR716" s="2" t="s">
        <v>104</v>
      </c>
      <c r="BS716" s="2" t="s">
        <v>13134</v>
      </c>
      <c r="BT716" s="2" t="str">
        <f aca="false">HYPERLINK("https%3A%2F%2Fwww.webofscience.com%2Fwos%2Fwoscc%2Ffull-record%2FWOS:000237793600009","View Full Record in Web of Science")</f>
        <v>View Full Record in Web of Science</v>
      </c>
    </row>
    <row r="717" customFormat="false" ht="12.75" hidden="false" customHeight="false" outlineLevel="0" collapsed="false">
      <c r="A717" s="2" t="s">
        <v>72</v>
      </c>
      <c r="B717" s="2" t="s">
        <v>13135</v>
      </c>
      <c r="C717" s="2"/>
      <c r="D717" s="2"/>
      <c r="E717" s="2"/>
      <c r="F717" s="2" t="s">
        <v>13136</v>
      </c>
      <c r="G717" s="2"/>
      <c r="H717" s="2"/>
      <c r="I717" s="2" t="s">
        <v>13137</v>
      </c>
      <c r="J717" s="2" t="s">
        <v>6051</v>
      </c>
      <c r="K717" s="2"/>
      <c r="L717" s="2"/>
      <c r="M717" s="2" t="s">
        <v>77</v>
      </c>
      <c r="N717" s="2" t="s">
        <v>78</v>
      </c>
      <c r="O717" s="2"/>
      <c r="P717" s="2"/>
      <c r="Q717" s="2"/>
      <c r="R717" s="2"/>
      <c r="S717" s="2"/>
      <c r="T717" s="2" t="s">
        <v>13138</v>
      </c>
      <c r="U717" s="2" t="s">
        <v>13139</v>
      </c>
      <c r="V717" s="2" t="s">
        <v>13140</v>
      </c>
      <c r="W717" s="2" t="s">
        <v>13141</v>
      </c>
      <c r="X717" s="2" t="s">
        <v>5772</v>
      </c>
      <c r="Y717" s="2" t="s">
        <v>13142</v>
      </c>
      <c r="Z717" s="2" t="s">
        <v>13143</v>
      </c>
      <c r="AA717" s="2" t="s">
        <v>2617</v>
      </c>
      <c r="AB717" s="2"/>
      <c r="AC717" s="2" t="s">
        <v>13144</v>
      </c>
      <c r="AD717" s="2" t="s">
        <v>13145</v>
      </c>
      <c r="AE717" s="2" t="s">
        <v>13146</v>
      </c>
      <c r="AF717" s="2"/>
      <c r="AG717" s="2" t="n">
        <v>49</v>
      </c>
      <c r="AH717" s="2" t="n">
        <v>82</v>
      </c>
      <c r="AI717" s="2" t="n">
        <v>96</v>
      </c>
      <c r="AJ717" s="2" t="n">
        <v>1</v>
      </c>
      <c r="AK717" s="2" t="n">
        <v>7</v>
      </c>
      <c r="AL717" s="2" t="s">
        <v>2954</v>
      </c>
      <c r="AM717" s="2" t="s">
        <v>593</v>
      </c>
      <c r="AN717" s="2" t="s">
        <v>2955</v>
      </c>
      <c r="AO717" s="2" t="s">
        <v>6064</v>
      </c>
      <c r="AP717" s="2" t="s">
        <v>13147</v>
      </c>
      <c r="AQ717" s="2"/>
      <c r="AR717" s="2" t="s">
        <v>6065</v>
      </c>
      <c r="AS717" s="2" t="s">
        <v>6066</v>
      </c>
      <c r="AT717" s="2" t="s">
        <v>336</v>
      </c>
      <c r="AU717" s="2" t="n">
        <v>2014</v>
      </c>
      <c r="AV717" s="2" t="n">
        <v>51</v>
      </c>
      <c r="AW717" s="2" t="n">
        <v>4</v>
      </c>
      <c r="AX717" s="2"/>
      <c r="AY717" s="2"/>
      <c r="AZ717" s="2"/>
      <c r="BA717" s="2"/>
      <c r="BB717" s="2" t="n">
        <v>502</v>
      </c>
      <c r="BC717" s="2" t="n">
        <v>515</v>
      </c>
      <c r="BD717" s="2"/>
      <c r="BE717" s="2" t="s">
        <v>13148</v>
      </c>
      <c r="BF717" s="2" t="str">
        <f aca="false">HYPERLINK("http://dx.doi.org/10.1165/rcmb.2013-0414OC","http://dx.doi.org/10.1165/rcmb.2013-0414OC")</f>
        <v>http://dx.doi.org/10.1165/rcmb.2013-0414OC</v>
      </c>
      <c r="BG717" s="2"/>
      <c r="BH717" s="2"/>
      <c r="BI717" s="2" t="n">
        <v>14</v>
      </c>
      <c r="BJ717" s="2" t="s">
        <v>6068</v>
      </c>
      <c r="BK717" s="2" t="s">
        <v>100</v>
      </c>
      <c r="BL717" s="2" t="s">
        <v>6068</v>
      </c>
      <c r="BM717" s="2" t="s">
        <v>13149</v>
      </c>
      <c r="BN717" s="2" t="n">
        <v>24749674</v>
      </c>
      <c r="BO717" s="2" t="s">
        <v>165</v>
      </c>
      <c r="BP717" s="2"/>
      <c r="BQ717" s="2"/>
      <c r="BR717" s="2" t="s">
        <v>104</v>
      </c>
      <c r="BS717" s="2" t="s">
        <v>13150</v>
      </c>
      <c r="BT717" s="2" t="str">
        <f aca="false">HYPERLINK("https%3A%2F%2Fwww.webofscience.com%2Fwos%2Fwoscc%2Ffull-record%2FWOS:000347418700005","View Full Record in Web of Science")</f>
        <v>View Full Record in Web of Science</v>
      </c>
    </row>
    <row r="718" customFormat="false" ht="12.75" hidden="false" customHeight="false" outlineLevel="0" collapsed="false">
      <c r="A718" s="2" t="s">
        <v>72</v>
      </c>
      <c r="B718" s="2" t="s">
        <v>13151</v>
      </c>
      <c r="C718" s="2"/>
      <c r="D718" s="2"/>
      <c r="E718" s="2"/>
      <c r="F718" s="2" t="s">
        <v>13152</v>
      </c>
      <c r="G718" s="2"/>
      <c r="H718" s="2"/>
      <c r="I718" s="2" t="s">
        <v>13153</v>
      </c>
      <c r="J718" s="2" t="s">
        <v>13154</v>
      </c>
      <c r="K718" s="2"/>
      <c r="L718" s="2"/>
      <c r="M718" s="2" t="s">
        <v>77</v>
      </c>
      <c r="N718" s="2" t="s">
        <v>78</v>
      </c>
      <c r="O718" s="2"/>
      <c r="P718" s="2"/>
      <c r="Q718" s="2"/>
      <c r="R718" s="2"/>
      <c r="S718" s="2"/>
      <c r="T718" s="2" t="s">
        <v>13155</v>
      </c>
      <c r="U718" s="2" t="s">
        <v>13156</v>
      </c>
      <c r="V718" s="2" t="s">
        <v>13157</v>
      </c>
      <c r="W718" s="2" t="s">
        <v>13158</v>
      </c>
      <c r="X718" s="2" t="s">
        <v>13159</v>
      </c>
      <c r="Y718" s="2" t="s">
        <v>13160</v>
      </c>
      <c r="Z718" s="2" t="s">
        <v>9409</v>
      </c>
      <c r="AA718" s="2"/>
      <c r="AB718" s="2" t="s">
        <v>13161</v>
      </c>
      <c r="AC718" s="2"/>
      <c r="AD718" s="2"/>
      <c r="AE718" s="2"/>
      <c r="AF718" s="2"/>
      <c r="AG718" s="2" t="n">
        <v>20</v>
      </c>
      <c r="AH718" s="2" t="n">
        <v>48</v>
      </c>
      <c r="AI718" s="2" t="n">
        <v>50</v>
      </c>
      <c r="AJ718" s="2" t="n">
        <v>0</v>
      </c>
      <c r="AK718" s="2" t="n">
        <v>3</v>
      </c>
      <c r="AL718" s="2" t="s">
        <v>302</v>
      </c>
      <c r="AM718" s="2" t="s">
        <v>303</v>
      </c>
      <c r="AN718" s="2" t="s">
        <v>304</v>
      </c>
      <c r="AO718" s="2" t="s">
        <v>13162</v>
      </c>
      <c r="AP718" s="2" t="s">
        <v>13163</v>
      </c>
      <c r="AQ718" s="2"/>
      <c r="AR718" s="2" t="s">
        <v>13164</v>
      </c>
      <c r="AS718" s="2" t="s">
        <v>13165</v>
      </c>
      <c r="AT718" s="2" t="s">
        <v>6153</v>
      </c>
      <c r="AU718" s="2" t="n">
        <v>2006</v>
      </c>
      <c r="AV718" s="2" t="n">
        <v>11</v>
      </c>
      <c r="AW718" s="2" t="n">
        <v>8</v>
      </c>
      <c r="AX718" s="2"/>
      <c r="AY718" s="2"/>
      <c r="AZ718" s="2"/>
      <c r="BA718" s="2"/>
      <c r="BB718" s="2" t="n">
        <v>329</v>
      </c>
      <c r="BC718" s="2" t="n">
        <v>335</v>
      </c>
      <c r="BD718" s="2"/>
      <c r="BE718" s="2"/>
      <c r="BF718" s="2"/>
      <c r="BG718" s="2"/>
      <c r="BH718" s="2"/>
      <c r="BI718" s="2" t="n">
        <v>7</v>
      </c>
      <c r="BJ718" s="2" t="s">
        <v>5761</v>
      </c>
      <c r="BK718" s="2" t="s">
        <v>100</v>
      </c>
      <c r="BL718" s="2" t="s">
        <v>5762</v>
      </c>
      <c r="BM718" s="2" t="s">
        <v>13166</v>
      </c>
      <c r="BN718" s="2" t="n">
        <v>17052968</v>
      </c>
      <c r="BO718" s="2"/>
      <c r="BP718" s="2"/>
      <c r="BQ718" s="2"/>
      <c r="BR718" s="2" t="s">
        <v>104</v>
      </c>
      <c r="BS718" s="2" t="s">
        <v>13167</v>
      </c>
      <c r="BT718" s="2" t="str">
        <f aca="false">HYPERLINK("https%3A%2F%2Fwww.webofscience.com%2Fwos%2Fwoscc%2Ffull-record%2FWOS:000240728800003","View Full Record in Web of Science")</f>
        <v>View Full Record in Web of Science</v>
      </c>
    </row>
    <row r="719" customFormat="false" ht="12.75" hidden="false" customHeight="false" outlineLevel="0" collapsed="false">
      <c r="A719" s="2" t="s">
        <v>72</v>
      </c>
      <c r="B719" s="2" t="s">
        <v>13168</v>
      </c>
      <c r="C719" s="2"/>
      <c r="D719" s="2"/>
      <c r="E719" s="2"/>
      <c r="F719" s="2" t="s">
        <v>13169</v>
      </c>
      <c r="G719" s="2"/>
      <c r="H719" s="2"/>
      <c r="I719" s="2" t="s">
        <v>13170</v>
      </c>
      <c r="J719" s="2" t="s">
        <v>13171</v>
      </c>
      <c r="K719" s="2"/>
      <c r="L719" s="2"/>
      <c r="M719" s="2" t="s">
        <v>77</v>
      </c>
      <c r="N719" s="2" t="s">
        <v>78</v>
      </c>
      <c r="O719" s="2"/>
      <c r="P719" s="2"/>
      <c r="Q719" s="2"/>
      <c r="R719" s="2"/>
      <c r="S719" s="2"/>
      <c r="T719" s="2" t="s">
        <v>13172</v>
      </c>
      <c r="U719" s="2"/>
      <c r="V719" s="2" t="s">
        <v>13173</v>
      </c>
      <c r="W719" s="2" t="s">
        <v>13174</v>
      </c>
      <c r="X719" s="2" t="s">
        <v>1031</v>
      </c>
      <c r="Y719" s="2" t="s">
        <v>13175</v>
      </c>
      <c r="Z719" s="2" t="s">
        <v>13176</v>
      </c>
      <c r="AA719" s="2" t="s">
        <v>13177</v>
      </c>
      <c r="AB719" s="2" t="s">
        <v>13178</v>
      </c>
      <c r="AC719" s="2"/>
      <c r="AD719" s="2"/>
      <c r="AE719" s="2"/>
      <c r="AF719" s="2"/>
      <c r="AG719" s="2" t="n">
        <v>40</v>
      </c>
      <c r="AH719" s="2" t="n">
        <v>18</v>
      </c>
      <c r="AI719" s="2" t="n">
        <v>20</v>
      </c>
      <c r="AJ719" s="2" t="n">
        <v>0</v>
      </c>
      <c r="AK719" s="2" t="n">
        <v>4</v>
      </c>
      <c r="AL719" s="2" t="s">
        <v>13179</v>
      </c>
      <c r="AM719" s="2" t="s">
        <v>11627</v>
      </c>
      <c r="AN719" s="2" t="s">
        <v>13180</v>
      </c>
      <c r="AO719" s="2" t="s">
        <v>13181</v>
      </c>
      <c r="AP719" s="2" t="s">
        <v>13182</v>
      </c>
      <c r="AQ719" s="2"/>
      <c r="AR719" s="2" t="s">
        <v>13183</v>
      </c>
      <c r="AS719" s="2" t="s">
        <v>13184</v>
      </c>
      <c r="AT719" s="2"/>
      <c r="AU719" s="2" t="n">
        <v>2010</v>
      </c>
      <c r="AV719" s="2" t="n">
        <v>2</v>
      </c>
      <c r="AW719" s="2" t="n">
        <v>2</v>
      </c>
      <c r="AX719" s="2"/>
      <c r="AY719" s="2"/>
      <c r="AZ719" s="2"/>
      <c r="BA719" s="2"/>
      <c r="BB719" s="2" t="n">
        <v>35</v>
      </c>
      <c r="BC719" s="2" t="n">
        <v>39</v>
      </c>
      <c r="BD719" s="2" t="s">
        <v>13185</v>
      </c>
      <c r="BE719" s="2" t="s">
        <v>13186</v>
      </c>
      <c r="BF719" s="2" t="str">
        <f aca="false">HYPERLINK("http://dx.doi.org/10.4081/idr.2010.e12","http://dx.doi.org/10.4081/idr.2010.e12")</f>
        <v>http://dx.doi.org/10.4081/idr.2010.e12</v>
      </c>
      <c r="BG719" s="2"/>
      <c r="BH719" s="2"/>
      <c r="BI719" s="2" t="n">
        <v>5</v>
      </c>
      <c r="BJ719" s="2" t="s">
        <v>575</v>
      </c>
      <c r="BK719" s="2" t="s">
        <v>339</v>
      </c>
      <c r="BL719" s="2" t="s">
        <v>575</v>
      </c>
      <c r="BM719" s="2" t="s">
        <v>13187</v>
      </c>
      <c r="BN719" s="2" t="n">
        <v>24470892</v>
      </c>
      <c r="BO719" s="2" t="s">
        <v>6349</v>
      </c>
      <c r="BP719" s="2"/>
      <c r="BQ719" s="2"/>
      <c r="BR719" s="2" t="s">
        <v>104</v>
      </c>
      <c r="BS719" s="2" t="s">
        <v>13188</v>
      </c>
      <c r="BT719" s="2" t="str">
        <f aca="false">HYPERLINK("https%3A%2F%2Fwww.webofscience.com%2Fwos%2Fwoscc%2Ffull-record%2FWOS:000214561800003","View Full Record in Web of Science")</f>
        <v>View Full Record in Web of Science</v>
      </c>
    </row>
    <row r="720" customFormat="false" ht="12.75" hidden="false" customHeight="false" outlineLevel="0" collapsed="false">
      <c r="A720" s="2" t="s">
        <v>72</v>
      </c>
      <c r="B720" s="2" t="s">
        <v>13189</v>
      </c>
      <c r="C720" s="2"/>
      <c r="D720" s="2"/>
      <c r="E720" s="2"/>
      <c r="F720" s="2" t="s">
        <v>13190</v>
      </c>
      <c r="G720" s="2"/>
      <c r="H720" s="2"/>
      <c r="I720" s="2" t="s">
        <v>13191</v>
      </c>
      <c r="J720" s="2" t="s">
        <v>370</v>
      </c>
      <c r="K720" s="2"/>
      <c r="L720" s="2"/>
      <c r="M720" s="2" t="s">
        <v>77</v>
      </c>
      <c r="N720" s="2" t="s">
        <v>78</v>
      </c>
      <c r="O720" s="2"/>
      <c r="P720" s="2"/>
      <c r="Q720" s="2"/>
      <c r="R720" s="2"/>
      <c r="S720" s="2"/>
      <c r="T720" s="2" t="s">
        <v>13192</v>
      </c>
      <c r="U720" s="2" t="s">
        <v>13193</v>
      </c>
      <c r="V720" s="2" t="s">
        <v>13194</v>
      </c>
      <c r="W720" s="2" t="s">
        <v>13195</v>
      </c>
      <c r="X720" s="2" t="s">
        <v>13196</v>
      </c>
      <c r="Y720" s="2" t="s">
        <v>13197</v>
      </c>
      <c r="Z720" s="2" t="s">
        <v>9866</v>
      </c>
      <c r="AA720" s="2" t="s">
        <v>9867</v>
      </c>
      <c r="AB720" s="2" t="s">
        <v>9868</v>
      </c>
      <c r="AC720" s="2" t="s">
        <v>13198</v>
      </c>
      <c r="AD720" s="2" t="s">
        <v>13198</v>
      </c>
      <c r="AE720" s="2" t="s">
        <v>13199</v>
      </c>
      <c r="AF720" s="2"/>
      <c r="AG720" s="2" t="n">
        <v>36</v>
      </c>
      <c r="AH720" s="2" t="n">
        <v>18</v>
      </c>
      <c r="AI720" s="2" t="n">
        <v>23</v>
      </c>
      <c r="AJ720" s="2" t="n">
        <v>1</v>
      </c>
      <c r="AK720" s="2" t="n">
        <v>16</v>
      </c>
      <c r="AL720" s="2" t="s">
        <v>549</v>
      </c>
      <c r="AM720" s="2" t="s">
        <v>384</v>
      </c>
      <c r="AN720" s="2" t="s">
        <v>550</v>
      </c>
      <c r="AO720" s="2" t="s">
        <v>386</v>
      </c>
      <c r="AP720" s="2" t="s">
        <v>387</v>
      </c>
      <c r="AQ720" s="2"/>
      <c r="AR720" s="2" t="s">
        <v>388</v>
      </c>
      <c r="AS720" s="2" t="s">
        <v>389</v>
      </c>
      <c r="AT720" s="2" t="s">
        <v>599</v>
      </c>
      <c r="AU720" s="2" t="n">
        <v>2018</v>
      </c>
      <c r="AV720" s="2" t="n">
        <v>104</v>
      </c>
      <c r="AW720" s="2"/>
      <c r="AX720" s="2"/>
      <c r="AY720" s="2"/>
      <c r="AZ720" s="2"/>
      <c r="BA720" s="2"/>
      <c r="BB720" s="2" t="n">
        <v>77</v>
      </c>
      <c r="BC720" s="2" t="n">
        <v>82</v>
      </c>
      <c r="BD720" s="2"/>
      <c r="BE720" s="2" t="s">
        <v>13200</v>
      </c>
      <c r="BF720" s="2" t="str">
        <f aca="false">HYPERLINK("http://dx.doi.org/10.1016/j.jcv.2018.05.002","http://dx.doi.org/10.1016/j.jcv.2018.05.002")</f>
        <v>http://dx.doi.org/10.1016/j.jcv.2018.05.002</v>
      </c>
      <c r="BG720" s="2"/>
      <c r="BH720" s="2"/>
      <c r="BI720" s="2" t="n">
        <v>6</v>
      </c>
      <c r="BJ720" s="2" t="s">
        <v>163</v>
      </c>
      <c r="BK720" s="2" t="s">
        <v>100</v>
      </c>
      <c r="BL720" s="2" t="s">
        <v>163</v>
      </c>
      <c r="BM720" s="2" t="s">
        <v>13201</v>
      </c>
      <c r="BN720" s="2" t="n">
        <v>29763837</v>
      </c>
      <c r="BO720" s="2"/>
      <c r="BP720" s="2"/>
      <c r="BQ720" s="2"/>
      <c r="BR720" s="2" t="s">
        <v>104</v>
      </c>
      <c r="BS720" s="2" t="s">
        <v>13202</v>
      </c>
      <c r="BT720" s="2" t="str">
        <f aca="false">HYPERLINK("https%3A%2F%2Fwww.webofscience.com%2Fwos%2Fwoscc%2Ffull-record%2FWOS:000434466900014","View Full Record in Web of Science")</f>
        <v>View Full Record in Web of Science</v>
      </c>
    </row>
    <row r="721" customFormat="false" ht="12.75" hidden="false" customHeight="false" outlineLevel="0" collapsed="false">
      <c r="A721" s="2" t="s">
        <v>72</v>
      </c>
      <c r="B721" s="2" t="s">
        <v>13203</v>
      </c>
      <c r="C721" s="2"/>
      <c r="D721" s="2"/>
      <c r="E721" s="2"/>
      <c r="F721" s="2" t="s">
        <v>13204</v>
      </c>
      <c r="G721" s="2"/>
      <c r="H721" s="2"/>
      <c r="I721" s="2" t="s">
        <v>13205</v>
      </c>
      <c r="J721" s="2" t="s">
        <v>6822</v>
      </c>
      <c r="K721" s="2"/>
      <c r="L721" s="2"/>
      <c r="M721" s="2" t="s">
        <v>77</v>
      </c>
      <c r="N721" s="2" t="s">
        <v>78</v>
      </c>
      <c r="O721" s="2"/>
      <c r="P721" s="2"/>
      <c r="Q721" s="2"/>
      <c r="R721" s="2"/>
      <c r="S721" s="2"/>
      <c r="T721" s="2" t="s">
        <v>13206</v>
      </c>
      <c r="U721" s="2" t="s">
        <v>13207</v>
      </c>
      <c r="V721" s="2" t="s">
        <v>13208</v>
      </c>
      <c r="W721" s="2" t="s">
        <v>13209</v>
      </c>
      <c r="X721" s="2" t="s">
        <v>13210</v>
      </c>
      <c r="Y721" s="2" t="s">
        <v>13211</v>
      </c>
      <c r="Z721" s="2" t="s">
        <v>13212</v>
      </c>
      <c r="AA721" s="2" t="s">
        <v>13213</v>
      </c>
      <c r="AB721" s="2" t="s">
        <v>13214</v>
      </c>
      <c r="AC721" s="2" t="s">
        <v>13215</v>
      </c>
      <c r="AD721" s="2" t="s">
        <v>13216</v>
      </c>
      <c r="AE721" s="2" t="s">
        <v>13217</v>
      </c>
      <c r="AF721" s="2"/>
      <c r="AG721" s="2" t="n">
        <v>44</v>
      </c>
      <c r="AH721" s="2" t="n">
        <v>19</v>
      </c>
      <c r="AI721" s="2" t="n">
        <v>22</v>
      </c>
      <c r="AJ721" s="2" t="n">
        <v>0</v>
      </c>
      <c r="AK721" s="2" t="n">
        <v>4</v>
      </c>
      <c r="AL721" s="2" t="s">
        <v>6833</v>
      </c>
      <c r="AM721" s="2" t="s">
        <v>593</v>
      </c>
      <c r="AN721" s="2" t="s">
        <v>6834</v>
      </c>
      <c r="AO721" s="2" t="s">
        <v>6835</v>
      </c>
      <c r="AP721" s="2" t="s">
        <v>6836</v>
      </c>
      <c r="AQ721" s="2"/>
      <c r="AR721" s="2" t="s">
        <v>6837</v>
      </c>
      <c r="AS721" s="2" t="s">
        <v>6838</v>
      </c>
      <c r="AT721" s="2" t="s">
        <v>1041</v>
      </c>
      <c r="AU721" s="2" t="n">
        <v>2016</v>
      </c>
      <c r="AV721" s="2" t="n">
        <v>144</v>
      </c>
      <c r="AW721" s="2" t="n">
        <v>3</v>
      </c>
      <c r="AX721" s="2"/>
      <c r="AY721" s="2"/>
      <c r="AZ721" s="2"/>
      <c r="BA721" s="2"/>
      <c r="BB721" s="2" t="n">
        <v>516</v>
      </c>
      <c r="BC721" s="2" t="n">
        <v>526</v>
      </c>
      <c r="BD721" s="2"/>
      <c r="BE721" s="2" t="s">
        <v>13218</v>
      </c>
      <c r="BF721" s="2" t="str">
        <f aca="false">HYPERLINK("http://dx.doi.org/10.1017/S095026881500151X","http://dx.doi.org/10.1017/S095026881500151X")</f>
        <v>http://dx.doi.org/10.1017/S095026881500151X</v>
      </c>
      <c r="BG721" s="2"/>
      <c r="BH721" s="2"/>
      <c r="BI721" s="2" t="n">
        <v>11</v>
      </c>
      <c r="BJ721" s="2" t="s">
        <v>2113</v>
      </c>
      <c r="BK721" s="2" t="s">
        <v>100</v>
      </c>
      <c r="BL721" s="2" t="s">
        <v>2113</v>
      </c>
      <c r="BM721" s="2" t="s">
        <v>13219</v>
      </c>
      <c r="BN721" s="2" t="n">
        <v>26143933</v>
      </c>
      <c r="BO721" s="2" t="s">
        <v>656</v>
      </c>
      <c r="BP721" s="2"/>
      <c r="BQ721" s="2"/>
      <c r="BR721" s="2" t="s">
        <v>104</v>
      </c>
      <c r="BS721" s="2" t="s">
        <v>13220</v>
      </c>
      <c r="BT721" s="2" t="str">
        <f aca="false">HYPERLINK("https%3A%2F%2Fwww.webofscience.com%2Fwos%2Fwoscc%2Ffull-record%2FWOS:000368636200007","View Full Record in Web of Science")</f>
        <v>View Full Record in Web of Science</v>
      </c>
    </row>
    <row r="722" customFormat="false" ht="12.75" hidden="false" customHeight="false" outlineLevel="0" collapsed="false">
      <c r="A722" s="2" t="s">
        <v>72</v>
      </c>
      <c r="B722" s="2" t="s">
        <v>13221</v>
      </c>
      <c r="C722" s="2"/>
      <c r="D722" s="2"/>
      <c r="E722" s="2"/>
      <c r="F722" s="2" t="s">
        <v>13222</v>
      </c>
      <c r="G722" s="2"/>
      <c r="H722" s="2"/>
      <c r="I722" s="2" t="s">
        <v>13223</v>
      </c>
      <c r="J722" s="2" t="s">
        <v>1863</v>
      </c>
      <c r="K722" s="2"/>
      <c r="L722" s="2"/>
      <c r="M722" s="2" t="s">
        <v>77</v>
      </c>
      <c r="N722" s="2" t="s">
        <v>78</v>
      </c>
      <c r="O722" s="2"/>
      <c r="P722" s="2"/>
      <c r="Q722" s="2"/>
      <c r="R722" s="2"/>
      <c r="S722" s="2"/>
      <c r="T722" s="2" t="s">
        <v>13224</v>
      </c>
      <c r="U722" s="2" t="s">
        <v>13225</v>
      </c>
      <c r="V722" s="2" t="s">
        <v>13226</v>
      </c>
      <c r="W722" s="2" t="s">
        <v>13227</v>
      </c>
      <c r="X722" s="2" t="s">
        <v>13228</v>
      </c>
      <c r="Y722" s="2" t="s">
        <v>13229</v>
      </c>
      <c r="Z722" s="2" t="s">
        <v>13230</v>
      </c>
      <c r="AA722" s="2" t="s">
        <v>9752</v>
      </c>
      <c r="AB722" s="2" t="s">
        <v>13231</v>
      </c>
      <c r="AC722" s="2" t="s">
        <v>13232</v>
      </c>
      <c r="AD722" s="2" t="s">
        <v>13233</v>
      </c>
      <c r="AE722" s="2" t="s">
        <v>13234</v>
      </c>
      <c r="AF722" s="2"/>
      <c r="AG722" s="2" t="n">
        <v>54</v>
      </c>
      <c r="AH722" s="2" t="n">
        <v>1</v>
      </c>
      <c r="AI722" s="2" t="n">
        <v>1</v>
      </c>
      <c r="AJ722" s="2" t="n">
        <v>1</v>
      </c>
      <c r="AK722" s="2" t="n">
        <v>2</v>
      </c>
      <c r="AL722" s="2" t="s">
        <v>302</v>
      </c>
      <c r="AM722" s="2" t="s">
        <v>303</v>
      </c>
      <c r="AN722" s="2" t="s">
        <v>304</v>
      </c>
      <c r="AO722" s="2"/>
      <c r="AP722" s="2" t="s">
        <v>1876</v>
      </c>
      <c r="AQ722" s="2"/>
      <c r="AR722" s="2" t="s">
        <v>1877</v>
      </c>
      <c r="AS722" s="2" t="s">
        <v>1878</v>
      </c>
      <c r="AT722" s="2" t="s">
        <v>13235</v>
      </c>
      <c r="AU722" s="2" t="n">
        <v>2021</v>
      </c>
      <c r="AV722" s="2" t="n">
        <v>18</v>
      </c>
      <c r="AW722" s="2" t="n">
        <v>1</v>
      </c>
      <c r="AX722" s="2"/>
      <c r="AY722" s="2"/>
      <c r="AZ722" s="2"/>
      <c r="BA722" s="2"/>
      <c r="BB722" s="2"/>
      <c r="BC722" s="2"/>
      <c r="BD722" s="2" t="n">
        <v>104</v>
      </c>
      <c r="BE722" s="2" t="s">
        <v>13236</v>
      </c>
      <c r="BF722" s="2" t="str">
        <f aca="false">HYPERLINK("http://dx.doi.org/10.1186/s12985-021-01570-8","http://dx.doi.org/10.1186/s12985-021-01570-8")</f>
        <v>http://dx.doi.org/10.1186/s12985-021-01570-8</v>
      </c>
      <c r="BG722" s="2"/>
      <c r="BH722" s="2"/>
      <c r="BI722" s="2" t="n">
        <v>13</v>
      </c>
      <c r="BJ722" s="2" t="s">
        <v>163</v>
      </c>
      <c r="BK722" s="2" t="s">
        <v>100</v>
      </c>
      <c r="BL722" s="2" t="s">
        <v>163</v>
      </c>
      <c r="BM722" s="2" t="s">
        <v>13237</v>
      </c>
      <c r="BN722" s="2" t="n">
        <v>34051792</v>
      </c>
      <c r="BO722" s="2" t="s">
        <v>341</v>
      </c>
      <c r="BP722" s="2"/>
      <c r="BQ722" s="2"/>
      <c r="BR722" s="2" t="s">
        <v>104</v>
      </c>
      <c r="BS722" s="2" t="s">
        <v>13238</v>
      </c>
      <c r="BT722" s="2" t="str">
        <f aca="false">HYPERLINK("https%3A%2F%2Fwww.webofscience.com%2Fwos%2Fwoscc%2Ffull-record%2FWOS:000659150000001","View Full Record in Web of Science")</f>
        <v>View Full Record in Web of Science</v>
      </c>
    </row>
    <row r="723" customFormat="false" ht="12.75" hidden="false" customHeight="false" outlineLevel="0" collapsed="false">
      <c r="A723" s="2" t="s">
        <v>72</v>
      </c>
      <c r="B723" s="2" t="s">
        <v>13239</v>
      </c>
      <c r="C723" s="2"/>
      <c r="D723" s="2"/>
      <c r="E723" s="2"/>
      <c r="F723" s="2" t="s">
        <v>13240</v>
      </c>
      <c r="G723" s="2"/>
      <c r="H723" s="2"/>
      <c r="I723" s="2" t="s">
        <v>13241</v>
      </c>
      <c r="J723" s="2" t="s">
        <v>109</v>
      </c>
      <c r="K723" s="2"/>
      <c r="L723" s="2"/>
      <c r="M723" s="2" t="s">
        <v>77</v>
      </c>
      <c r="N723" s="2" t="s">
        <v>78</v>
      </c>
      <c r="O723" s="2"/>
      <c r="P723" s="2"/>
      <c r="Q723" s="2"/>
      <c r="R723" s="2"/>
      <c r="S723" s="2"/>
      <c r="T723" s="2" t="s">
        <v>13242</v>
      </c>
      <c r="U723" s="2" t="s">
        <v>13243</v>
      </c>
      <c r="V723" s="2" t="s">
        <v>13244</v>
      </c>
      <c r="W723" s="2" t="s">
        <v>13245</v>
      </c>
      <c r="X723" s="2" t="s">
        <v>13246</v>
      </c>
      <c r="Y723" s="2" t="s">
        <v>13247</v>
      </c>
      <c r="Z723" s="2" t="s">
        <v>13248</v>
      </c>
      <c r="AA723" s="2"/>
      <c r="AB723" s="2" t="s">
        <v>13249</v>
      </c>
      <c r="AC723" s="2"/>
      <c r="AD723" s="2"/>
      <c r="AE723" s="2"/>
      <c r="AF723" s="2"/>
      <c r="AG723" s="2" t="n">
        <v>23</v>
      </c>
      <c r="AH723" s="2" t="n">
        <v>17</v>
      </c>
      <c r="AI723" s="2" t="n">
        <v>18</v>
      </c>
      <c r="AJ723" s="2" t="n">
        <v>0</v>
      </c>
      <c r="AK723" s="2" t="n">
        <v>5</v>
      </c>
      <c r="AL723" s="2" t="s">
        <v>122</v>
      </c>
      <c r="AM723" s="2" t="s">
        <v>123</v>
      </c>
      <c r="AN723" s="2" t="s">
        <v>124</v>
      </c>
      <c r="AO723" s="2" t="s">
        <v>125</v>
      </c>
      <c r="AP723" s="2" t="s">
        <v>126</v>
      </c>
      <c r="AQ723" s="2"/>
      <c r="AR723" s="2" t="s">
        <v>127</v>
      </c>
      <c r="AS723" s="2" t="s">
        <v>128</v>
      </c>
      <c r="AT723" s="2" t="s">
        <v>446</v>
      </c>
      <c r="AU723" s="2" t="n">
        <v>2013</v>
      </c>
      <c r="AV723" s="2" t="n">
        <v>32</v>
      </c>
      <c r="AW723" s="2" t="n">
        <v>12</v>
      </c>
      <c r="AX723" s="2"/>
      <c r="AY723" s="2"/>
      <c r="AZ723" s="2"/>
      <c r="BA723" s="2"/>
      <c r="BB723" s="2" t="n">
        <v>1330</v>
      </c>
      <c r="BC723" s="2" t="n">
        <v>1334</v>
      </c>
      <c r="BD723" s="2"/>
      <c r="BE723" s="2" t="s">
        <v>13250</v>
      </c>
      <c r="BF723" s="2" t="str">
        <f aca="false">HYPERLINK("http://dx.doi.org/10.1097/INF.0b013e3182a2261b","http://dx.doi.org/10.1097/INF.0b013e3182a2261b")</f>
        <v>http://dx.doi.org/10.1097/INF.0b013e3182a2261b</v>
      </c>
      <c r="BG723" s="2"/>
      <c r="BH723" s="2"/>
      <c r="BI723" s="2" t="n">
        <v>5</v>
      </c>
      <c r="BJ723" s="2" t="s">
        <v>134</v>
      </c>
      <c r="BK723" s="2" t="s">
        <v>100</v>
      </c>
      <c r="BL723" s="2" t="s">
        <v>134</v>
      </c>
      <c r="BM723" s="2" t="s">
        <v>13251</v>
      </c>
      <c r="BN723" s="2" t="n">
        <v>23811741</v>
      </c>
      <c r="BO723" s="2"/>
      <c r="BP723" s="2"/>
      <c r="BQ723" s="2"/>
      <c r="BR723" s="2" t="s">
        <v>104</v>
      </c>
      <c r="BS723" s="2" t="s">
        <v>13252</v>
      </c>
      <c r="BT723" s="2" t="str">
        <f aca="false">HYPERLINK("https%3A%2F%2Fwww.webofscience.com%2Fwos%2Fwoscc%2Ffull-record%2FWOS:000327192800017","View Full Record in Web of Science")</f>
        <v>View Full Record in Web of Science</v>
      </c>
    </row>
    <row r="724" customFormat="false" ht="12.75" hidden="false" customHeight="false" outlineLevel="0" collapsed="false">
      <c r="A724" s="2" t="s">
        <v>72</v>
      </c>
      <c r="B724" s="2" t="s">
        <v>13253</v>
      </c>
      <c r="C724" s="2"/>
      <c r="D724" s="2"/>
      <c r="E724" s="2"/>
      <c r="F724" s="2" t="s">
        <v>13253</v>
      </c>
      <c r="G724" s="2"/>
      <c r="H724" s="2"/>
      <c r="I724" s="2" t="s">
        <v>13254</v>
      </c>
      <c r="J724" s="2" t="s">
        <v>141</v>
      </c>
      <c r="K724" s="2"/>
      <c r="L724" s="2"/>
      <c r="M724" s="2" t="s">
        <v>77</v>
      </c>
      <c r="N724" s="2" t="s">
        <v>78</v>
      </c>
      <c r="O724" s="2"/>
      <c r="P724" s="2"/>
      <c r="Q724" s="2"/>
      <c r="R724" s="2"/>
      <c r="S724" s="2"/>
      <c r="T724" s="2" t="s">
        <v>13255</v>
      </c>
      <c r="U724" s="2" t="s">
        <v>13256</v>
      </c>
      <c r="V724" s="2" t="s">
        <v>13257</v>
      </c>
      <c r="W724" s="2" t="s">
        <v>13258</v>
      </c>
      <c r="X724" s="2" t="s">
        <v>13259</v>
      </c>
      <c r="Y724" s="2" t="s">
        <v>13260</v>
      </c>
      <c r="Z724" s="2" t="s">
        <v>11128</v>
      </c>
      <c r="AA724" s="2" t="s">
        <v>13261</v>
      </c>
      <c r="AB724" s="2" t="s">
        <v>13262</v>
      </c>
      <c r="AC724" s="2"/>
      <c r="AD724" s="2"/>
      <c r="AE724" s="2"/>
      <c r="AF724" s="2"/>
      <c r="AG724" s="2" t="n">
        <v>16</v>
      </c>
      <c r="AH724" s="2" t="n">
        <v>114</v>
      </c>
      <c r="AI724" s="2" t="n">
        <v>122</v>
      </c>
      <c r="AJ724" s="2" t="n">
        <v>1</v>
      </c>
      <c r="AK724" s="2" t="n">
        <v>4</v>
      </c>
      <c r="AL724" s="2" t="s">
        <v>154</v>
      </c>
      <c r="AM724" s="2" t="s">
        <v>155</v>
      </c>
      <c r="AN724" s="2" t="s">
        <v>156</v>
      </c>
      <c r="AO724" s="2" t="s">
        <v>157</v>
      </c>
      <c r="AP724" s="2" t="s">
        <v>158</v>
      </c>
      <c r="AQ724" s="2"/>
      <c r="AR724" s="2" t="s">
        <v>159</v>
      </c>
      <c r="AS724" s="2" t="s">
        <v>160</v>
      </c>
      <c r="AT724" s="2" t="s">
        <v>161</v>
      </c>
      <c r="AU724" s="2" t="n">
        <v>2005</v>
      </c>
      <c r="AV724" s="2" t="n">
        <v>75</v>
      </c>
      <c r="AW724" s="2" t="n">
        <v>1</v>
      </c>
      <c r="AX724" s="2"/>
      <c r="AY724" s="2"/>
      <c r="AZ724" s="2"/>
      <c r="BA724" s="2"/>
      <c r="BB724" s="2" t="n">
        <v>101</v>
      </c>
      <c r="BC724" s="2" t="n">
        <v>104</v>
      </c>
      <c r="BD724" s="2"/>
      <c r="BE724" s="2" t="s">
        <v>13263</v>
      </c>
      <c r="BF724" s="2" t="str">
        <f aca="false">HYPERLINK("http://dx.doi.org/10.1002/jmv.20243","http://dx.doi.org/10.1002/jmv.20243")</f>
        <v>http://dx.doi.org/10.1002/jmv.20243</v>
      </c>
      <c r="BG724" s="2"/>
      <c r="BH724" s="2"/>
      <c r="BI724" s="2" t="n">
        <v>4</v>
      </c>
      <c r="BJ724" s="2" t="s">
        <v>163</v>
      </c>
      <c r="BK724" s="2" t="s">
        <v>100</v>
      </c>
      <c r="BL724" s="2" t="s">
        <v>163</v>
      </c>
      <c r="BM724" s="2" t="s">
        <v>8542</v>
      </c>
      <c r="BN724" s="2" t="n">
        <v>15543589</v>
      </c>
      <c r="BO724" s="2"/>
      <c r="BP724" s="2"/>
      <c r="BQ724" s="2"/>
      <c r="BR724" s="2" t="s">
        <v>104</v>
      </c>
      <c r="BS724" s="2" t="s">
        <v>13264</v>
      </c>
      <c r="BT724" s="2" t="str">
        <f aca="false">HYPERLINK("https%3A%2F%2Fwww.webofscience.com%2Fwos%2Fwoscc%2Ffull-record%2FWOS:000225408900015","View Full Record in Web of Science")</f>
        <v>View Full Record in Web of Science</v>
      </c>
    </row>
    <row r="725" customFormat="false" ht="12.75" hidden="false" customHeight="false" outlineLevel="0" collapsed="false">
      <c r="A725" s="2" t="s">
        <v>72</v>
      </c>
      <c r="B725" s="2" t="s">
        <v>13265</v>
      </c>
      <c r="C725" s="2"/>
      <c r="D725" s="2"/>
      <c r="E725" s="2"/>
      <c r="F725" s="2" t="s">
        <v>13266</v>
      </c>
      <c r="G725" s="2"/>
      <c r="H725" s="2"/>
      <c r="I725" s="2" t="s">
        <v>13267</v>
      </c>
      <c r="J725" s="2" t="s">
        <v>1290</v>
      </c>
      <c r="K725" s="2"/>
      <c r="L725" s="2"/>
      <c r="M725" s="2" t="s">
        <v>77</v>
      </c>
      <c r="N725" s="2" t="s">
        <v>78</v>
      </c>
      <c r="O725" s="2"/>
      <c r="P725" s="2"/>
      <c r="Q725" s="2"/>
      <c r="R725" s="2"/>
      <c r="S725" s="2"/>
      <c r="T725" s="2" t="s">
        <v>13268</v>
      </c>
      <c r="U725" s="2" t="s">
        <v>13269</v>
      </c>
      <c r="V725" s="2" t="s">
        <v>13270</v>
      </c>
      <c r="W725" s="2" t="s">
        <v>13271</v>
      </c>
      <c r="X725" s="2" t="s">
        <v>3027</v>
      </c>
      <c r="Y725" s="2" t="s">
        <v>9493</v>
      </c>
      <c r="Z725" s="2" t="s">
        <v>3029</v>
      </c>
      <c r="AA725" s="2" t="s">
        <v>9062</v>
      </c>
      <c r="AB725" s="2" t="s">
        <v>13272</v>
      </c>
      <c r="AC725" s="2"/>
      <c r="AD725" s="2"/>
      <c r="AE725" s="2"/>
      <c r="AF725" s="2"/>
      <c r="AG725" s="2" t="n">
        <v>47</v>
      </c>
      <c r="AH725" s="2" t="n">
        <v>94</v>
      </c>
      <c r="AI725" s="2" t="n">
        <v>103</v>
      </c>
      <c r="AJ725" s="2" t="n">
        <v>0</v>
      </c>
      <c r="AK725" s="2" t="n">
        <v>2</v>
      </c>
      <c r="AL725" s="2" t="s">
        <v>154</v>
      </c>
      <c r="AM725" s="2" t="s">
        <v>155</v>
      </c>
      <c r="AN725" s="2" t="s">
        <v>156</v>
      </c>
      <c r="AO725" s="2" t="s">
        <v>1302</v>
      </c>
      <c r="AP725" s="2" t="s">
        <v>1303</v>
      </c>
      <c r="AQ725" s="2"/>
      <c r="AR725" s="2" t="s">
        <v>1304</v>
      </c>
      <c r="AS725" s="2" t="s">
        <v>1305</v>
      </c>
      <c r="AT725" s="2" t="s">
        <v>390</v>
      </c>
      <c r="AU725" s="2" t="n">
        <v>2007</v>
      </c>
      <c r="AV725" s="2" t="n">
        <v>42</v>
      </c>
      <c r="AW725" s="2" t="n">
        <v>5</v>
      </c>
      <c r="AX725" s="2"/>
      <c r="AY725" s="2"/>
      <c r="AZ725" s="2"/>
      <c r="BA725" s="2"/>
      <c r="BB725" s="2" t="n">
        <v>458</v>
      </c>
      <c r="BC725" s="2" t="n">
        <v>464</v>
      </c>
      <c r="BD725" s="2"/>
      <c r="BE725" s="2" t="s">
        <v>13273</v>
      </c>
      <c r="BF725" s="2" t="str">
        <f aca="false">HYPERLINK("http://dx.doi.org/10.1002/ppul.20597","http://dx.doi.org/10.1002/ppul.20597")</f>
        <v>http://dx.doi.org/10.1002/ppul.20597</v>
      </c>
      <c r="BG725" s="2"/>
      <c r="BH725" s="2"/>
      <c r="BI725" s="2" t="n">
        <v>7</v>
      </c>
      <c r="BJ725" s="2" t="s">
        <v>1307</v>
      </c>
      <c r="BK725" s="2" t="s">
        <v>100</v>
      </c>
      <c r="BL725" s="2" t="s">
        <v>1307</v>
      </c>
      <c r="BM725" s="2" t="s">
        <v>13274</v>
      </c>
      <c r="BN725" s="2" t="n">
        <v>17427899</v>
      </c>
      <c r="BO725" s="2"/>
      <c r="BP725" s="2"/>
      <c r="BQ725" s="2"/>
      <c r="BR725" s="2" t="s">
        <v>104</v>
      </c>
      <c r="BS725" s="2" t="s">
        <v>13275</v>
      </c>
      <c r="BT725" s="2" t="str">
        <f aca="false">HYPERLINK("https%3A%2F%2Fwww.webofscience.com%2Fwos%2Fwoscc%2Ffull-record%2FWOS:000246285800007","View Full Record in Web of Science")</f>
        <v>View Full Record in Web of Science</v>
      </c>
    </row>
    <row r="726" customFormat="false" ht="12.75" hidden="false" customHeight="false" outlineLevel="0" collapsed="false">
      <c r="A726" s="2" t="s">
        <v>72</v>
      </c>
      <c r="B726" s="2" t="s">
        <v>13276</v>
      </c>
      <c r="C726" s="2"/>
      <c r="D726" s="2"/>
      <c r="E726" s="2"/>
      <c r="F726" s="2" t="s">
        <v>13277</v>
      </c>
      <c r="G726" s="2"/>
      <c r="H726" s="2"/>
      <c r="I726" s="2" t="s">
        <v>13278</v>
      </c>
      <c r="J726" s="2" t="s">
        <v>2713</v>
      </c>
      <c r="K726" s="2"/>
      <c r="L726" s="2"/>
      <c r="M726" s="2" t="s">
        <v>77</v>
      </c>
      <c r="N726" s="2" t="s">
        <v>78</v>
      </c>
      <c r="O726" s="2"/>
      <c r="P726" s="2"/>
      <c r="Q726" s="2"/>
      <c r="R726" s="2"/>
      <c r="S726" s="2"/>
      <c r="T726" s="2" t="s">
        <v>13279</v>
      </c>
      <c r="U726" s="2" t="s">
        <v>13280</v>
      </c>
      <c r="V726" s="2" t="s">
        <v>13281</v>
      </c>
      <c r="W726" s="2" t="s">
        <v>13282</v>
      </c>
      <c r="X726" s="2" t="s">
        <v>4476</v>
      </c>
      <c r="Y726" s="2" t="s">
        <v>13283</v>
      </c>
      <c r="Z726" s="2" t="s">
        <v>13284</v>
      </c>
      <c r="AA726" s="2" t="s">
        <v>13285</v>
      </c>
      <c r="AB726" s="2" t="s">
        <v>13286</v>
      </c>
      <c r="AC726" s="2" t="s">
        <v>13287</v>
      </c>
      <c r="AD726" s="2" t="s">
        <v>13288</v>
      </c>
      <c r="AE726" s="2" t="s">
        <v>13289</v>
      </c>
      <c r="AF726" s="2"/>
      <c r="AG726" s="2" t="n">
        <v>28</v>
      </c>
      <c r="AH726" s="2" t="n">
        <v>98</v>
      </c>
      <c r="AI726" s="2" t="n">
        <v>101</v>
      </c>
      <c r="AJ726" s="2" t="n">
        <v>0</v>
      </c>
      <c r="AK726" s="2" t="n">
        <v>6</v>
      </c>
      <c r="AL726" s="2" t="s">
        <v>1460</v>
      </c>
      <c r="AM726" s="2" t="s">
        <v>593</v>
      </c>
      <c r="AN726" s="2" t="s">
        <v>2088</v>
      </c>
      <c r="AO726" s="2" t="s">
        <v>2726</v>
      </c>
      <c r="AP726" s="2" t="s">
        <v>2727</v>
      </c>
      <c r="AQ726" s="2"/>
      <c r="AR726" s="2" t="s">
        <v>2728</v>
      </c>
      <c r="AS726" s="2" t="s">
        <v>2729</v>
      </c>
      <c r="AT726" s="2" t="s">
        <v>185</v>
      </c>
      <c r="AU726" s="2" t="n">
        <v>2013</v>
      </c>
      <c r="AV726" s="2" t="n">
        <v>19</v>
      </c>
      <c r="AW726" s="2" t="n">
        <v>8</v>
      </c>
      <c r="AX726" s="2"/>
      <c r="AY726" s="2"/>
      <c r="AZ726" s="2"/>
      <c r="BA726" s="2"/>
      <c r="BB726" s="2" t="n">
        <v>1220</v>
      </c>
      <c r="BC726" s="2" t="n">
        <v>1226</v>
      </c>
      <c r="BD726" s="2"/>
      <c r="BE726" s="2" t="s">
        <v>13290</v>
      </c>
      <c r="BF726" s="2" t="str">
        <f aca="false">HYPERLINK("http://dx.doi.org/10.1016/j.bbmt.2013.05.005","http://dx.doi.org/10.1016/j.bbmt.2013.05.005")</f>
        <v>http://dx.doi.org/10.1016/j.bbmt.2013.05.005</v>
      </c>
      <c r="BG726" s="2"/>
      <c r="BH726" s="2"/>
      <c r="BI726" s="2" t="n">
        <v>7</v>
      </c>
      <c r="BJ726" s="2" t="s">
        <v>2731</v>
      </c>
      <c r="BK726" s="2" t="s">
        <v>100</v>
      </c>
      <c r="BL726" s="2" t="s">
        <v>2731</v>
      </c>
      <c r="BM726" s="2" t="s">
        <v>13291</v>
      </c>
      <c r="BN726" s="2" t="n">
        <v>23680472</v>
      </c>
      <c r="BO726" s="2" t="s">
        <v>13292</v>
      </c>
      <c r="BP726" s="2"/>
      <c r="BQ726" s="2"/>
      <c r="BR726" s="2" t="s">
        <v>104</v>
      </c>
      <c r="BS726" s="2" t="s">
        <v>13293</v>
      </c>
      <c r="BT726" s="2" t="str">
        <f aca="false">HYPERLINK("https%3A%2F%2Fwww.webofscience.com%2Fwos%2Fwoscc%2Ffull-record%2FWOS:000322607000015","View Full Record in Web of Science")</f>
        <v>View Full Record in Web of Science</v>
      </c>
    </row>
    <row r="727" customFormat="false" ht="12.75" hidden="false" customHeight="false" outlineLevel="0" collapsed="false">
      <c r="A727" s="2" t="s">
        <v>72</v>
      </c>
      <c r="B727" s="2" t="s">
        <v>13294</v>
      </c>
      <c r="C727" s="2"/>
      <c r="D727" s="2"/>
      <c r="E727" s="2"/>
      <c r="F727" s="2" t="s">
        <v>13295</v>
      </c>
      <c r="G727" s="2"/>
      <c r="H727" s="2"/>
      <c r="I727" s="2" t="s">
        <v>13296</v>
      </c>
      <c r="J727" s="2" t="s">
        <v>8359</v>
      </c>
      <c r="K727" s="2"/>
      <c r="L727" s="2"/>
      <c r="M727" s="2" t="s">
        <v>77</v>
      </c>
      <c r="N727" s="2" t="s">
        <v>78</v>
      </c>
      <c r="O727" s="2"/>
      <c r="P727" s="2"/>
      <c r="Q727" s="2"/>
      <c r="R727" s="2"/>
      <c r="S727" s="2"/>
      <c r="T727" s="2" t="s">
        <v>13297</v>
      </c>
      <c r="U727" s="2" t="s">
        <v>13298</v>
      </c>
      <c r="V727" s="2" t="s">
        <v>13299</v>
      </c>
      <c r="W727" s="2" t="s">
        <v>13300</v>
      </c>
      <c r="X727" s="2" t="s">
        <v>916</v>
      </c>
      <c r="Y727" s="2" t="s">
        <v>13301</v>
      </c>
      <c r="Z727" s="2" t="s">
        <v>10401</v>
      </c>
      <c r="AA727" s="2"/>
      <c r="AB727" s="2"/>
      <c r="AC727" s="2"/>
      <c r="AD727" s="2"/>
      <c r="AE727" s="2"/>
      <c r="AF727" s="2"/>
      <c r="AG727" s="2" t="n">
        <v>10</v>
      </c>
      <c r="AH727" s="2" t="n">
        <v>4</v>
      </c>
      <c r="AI727" s="2" t="n">
        <v>4</v>
      </c>
      <c r="AJ727" s="2" t="n">
        <v>0</v>
      </c>
      <c r="AK727" s="2" t="n">
        <v>0</v>
      </c>
      <c r="AL727" s="2" t="s">
        <v>3584</v>
      </c>
      <c r="AM727" s="2" t="s">
        <v>303</v>
      </c>
      <c r="AN727" s="2" t="s">
        <v>3585</v>
      </c>
      <c r="AO727" s="2" t="s">
        <v>8369</v>
      </c>
      <c r="AP727" s="2" t="s">
        <v>13302</v>
      </c>
      <c r="AQ727" s="2"/>
      <c r="AR727" s="2" t="s">
        <v>8370</v>
      </c>
      <c r="AS727" s="2" t="s">
        <v>8371</v>
      </c>
      <c r="AT727" s="2" t="s">
        <v>97</v>
      </c>
      <c r="AU727" s="2" t="n">
        <v>2017</v>
      </c>
      <c r="AV727" s="2" t="n">
        <v>95</v>
      </c>
      <c r="AW727" s="2" t="n">
        <v>3</v>
      </c>
      <c r="AX727" s="2"/>
      <c r="AY727" s="2"/>
      <c r="AZ727" s="2"/>
      <c r="BA727" s="2"/>
      <c r="BB727" s="2" t="n">
        <v>275</v>
      </c>
      <c r="BC727" s="2" t="n">
        <v>279</v>
      </c>
      <c r="BD727" s="2"/>
      <c r="BE727" s="2" t="s">
        <v>13303</v>
      </c>
      <c r="BF727" s="2" t="str">
        <f aca="false">HYPERLINK("http://dx.doi.org/10.1016/j.jhin.2016.12.015","http://dx.doi.org/10.1016/j.jhin.2016.12.015")</f>
        <v>http://dx.doi.org/10.1016/j.jhin.2016.12.015</v>
      </c>
      <c r="BG727" s="2"/>
      <c r="BH727" s="2"/>
      <c r="BI727" s="2" t="n">
        <v>5</v>
      </c>
      <c r="BJ727" s="2" t="s">
        <v>2113</v>
      </c>
      <c r="BK727" s="2" t="s">
        <v>100</v>
      </c>
      <c r="BL727" s="2" t="s">
        <v>2113</v>
      </c>
      <c r="BM727" s="2" t="s">
        <v>13304</v>
      </c>
      <c r="BN727" s="2" t="n">
        <v>28131642</v>
      </c>
      <c r="BO727" s="2" t="s">
        <v>2858</v>
      </c>
      <c r="BP727" s="2"/>
      <c r="BQ727" s="2"/>
      <c r="BR727" s="2" t="s">
        <v>104</v>
      </c>
      <c r="BS727" s="2" t="s">
        <v>13305</v>
      </c>
      <c r="BT727" s="2" t="str">
        <f aca="false">HYPERLINK("https%3A%2F%2Fwww.webofscience.com%2Fwos%2Fwoscc%2Ffull-record%2FWOS:000394518100007","View Full Record in Web of Science")</f>
        <v>View Full Record in Web of Science</v>
      </c>
    </row>
    <row r="728" customFormat="false" ht="12.75" hidden="false" customHeight="false" outlineLevel="0" collapsed="false">
      <c r="A728" s="2" t="s">
        <v>72</v>
      </c>
      <c r="B728" s="2" t="s">
        <v>13306</v>
      </c>
      <c r="C728" s="2"/>
      <c r="D728" s="2"/>
      <c r="E728" s="2"/>
      <c r="F728" s="2" t="s">
        <v>13307</v>
      </c>
      <c r="G728" s="2"/>
      <c r="H728" s="2"/>
      <c r="I728" s="2" t="s">
        <v>13308</v>
      </c>
      <c r="J728" s="2" t="s">
        <v>6268</v>
      </c>
      <c r="K728" s="2"/>
      <c r="L728" s="2"/>
      <c r="M728" s="2" t="s">
        <v>77</v>
      </c>
      <c r="N728" s="2" t="s">
        <v>78</v>
      </c>
      <c r="O728" s="2"/>
      <c r="P728" s="2"/>
      <c r="Q728" s="2"/>
      <c r="R728" s="2"/>
      <c r="S728" s="2"/>
      <c r="T728" s="2" t="s">
        <v>13309</v>
      </c>
      <c r="U728" s="2" t="s">
        <v>13310</v>
      </c>
      <c r="V728" s="2" t="s">
        <v>13311</v>
      </c>
      <c r="W728" s="2" t="s">
        <v>13312</v>
      </c>
      <c r="X728" s="2"/>
      <c r="Y728" s="2" t="s">
        <v>13313</v>
      </c>
      <c r="Z728" s="2" t="s">
        <v>13314</v>
      </c>
      <c r="AA728" s="2"/>
      <c r="AB728" s="2"/>
      <c r="AC728" s="2"/>
      <c r="AD728" s="2"/>
      <c r="AE728" s="2"/>
      <c r="AF728" s="2"/>
      <c r="AG728" s="2" t="n">
        <v>24</v>
      </c>
      <c r="AH728" s="2" t="n">
        <v>25</v>
      </c>
      <c r="AI728" s="2" t="n">
        <v>28</v>
      </c>
      <c r="AJ728" s="2" t="n">
        <v>0</v>
      </c>
      <c r="AK728" s="2" t="n">
        <v>5</v>
      </c>
      <c r="AL728" s="2" t="s">
        <v>2788</v>
      </c>
      <c r="AM728" s="2" t="s">
        <v>2789</v>
      </c>
      <c r="AN728" s="2" t="s">
        <v>2790</v>
      </c>
      <c r="AO728" s="2" t="s">
        <v>6277</v>
      </c>
      <c r="AP728" s="2" t="s">
        <v>6278</v>
      </c>
      <c r="AQ728" s="2"/>
      <c r="AR728" s="2" t="s">
        <v>6279</v>
      </c>
      <c r="AS728" s="2" t="s">
        <v>6280</v>
      </c>
      <c r="AT728" s="2" t="s">
        <v>13315</v>
      </c>
      <c r="AU728" s="2" t="n">
        <v>2019</v>
      </c>
      <c r="AV728" s="2" t="n">
        <v>74</v>
      </c>
      <c r="AW728" s="2" t="n">
        <v>4</v>
      </c>
      <c r="AX728" s="2"/>
      <c r="AY728" s="2"/>
      <c r="AZ728" s="2"/>
      <c r="BA728" s="2"/>
      <c r="BB728" s="2" t="n">
        <v>229</v>
      </c>
      <c r="BC728" s="2" t="n">
        <v>235</v>
      </c>
      <c r="BD728" s="2"/>
      <c r="BE728" s="2" t="s">
        <v>13316</v>
      </c>
      <c r="BF728" s="2" t="str">
        <f aca="false">HYPERLINK("http://dx.doi.org/10.1080/17843286.2018.1492509","http://dx.doi.org/10.1080/17843286.2018.1492509")</f>
        <v>http://dx.doi.org/10.1080/17843286.2018.1492509</v>
      </c>
      <c r="BG728" s="2"/>
      <c r="BH728" s="2"/>
      <c r="BI728" s="2" t="n">
        <v>7</v>
      </c>
      <c r="BJ728" s="2" t="s">
        <v>363</v>
      </c>
      <c r="BK728" s="2" t="s">
        <v>100</v>
      </c>
      <c r="BL728" s="2" t="s">
        <v>364</v>
      </c>
      <c r="BM728" s="2" t="s">
        <v>13317</v>
      </c>
      <c r="BN728" s="2" t="n">
        <v>30029583</v>
      </c>
      <c r="BO728" s="2"/>
      <c r="BP728" s="2"/>
      <c r="BQ728" s="2"/>
      <c r="BR728" s="2" t="s">
        <v>104</v>
      </c>
      <c r="BS728" s="2" t="s">
        <v>13318</v>
      </c>
      <c r="BT728" s="2" t="str">
        <f aca="false">HYPERLINK("https%3A%2F%2Fwww.webofscience.com%2Fwos%2Fwoscc%2Ffull-record%2FWOS:000472109700002","View Full Record in Web of Science")</f>
        <v>View Full Record in Web of Science</v>
      </c>
    </row>
    <row r="729" customFormat="false" ht="12.75" hidden="false" customHeight="false" outlineLevel="0" collapsed="false">
      <c r="A729" s="2" t="s">
        <v>72</v>
      </c>
      <c r="B729" s="2" t="s">
        <v>13319</v>
      </c>
      <c r="C729" s="2"/>
      <c r="D729" s="2"/>
      <c r="E729" s="2"/>
      <c r="F729" s="2" t="s">
        <v>13320</v>
      </c>
      <c r="G729" s="2"/>
      <c r="H729" s="2"/>
      <c r="I729" s="2" t="s">
        <v>13321</v>
      </c>
      <c r="J729" s="2" t="s">
        <v>1290</v>
      </c>
      <c r="K729" s="2"/>
      <c r="L729" s="2"/>
      <c r="M729" s="2" t="s">
        <v>77</v>
      </c>
      <c r="N729" s="2" t="s">
        <v>78</v>
      </c>
      <c r="O729" s="2"/>
      <c r="P729" s="2"/>
      <c r="Q729" s="2"/>
      <c r="R729" s="2"/>
      <c r="S729" s="2"/>
      <c r="T729" s="2" t="s">
        <v>13322</v>
      </c>
      <c r="U729" s="2" t="s">
        <v>13323</v>
      </c>
      <c r="V729" s="2" t="s">
        <v>13324</v>
      </c>
      <c r="W729" s="2" t="s">
        <v>13325</v>
      </c>
      <c r="X729" s="2" t="s">
        <v>13326</v>
      </c>
      <c r="Y729" s="2" t="s">
        <v>13327</v>
      </c>
      <c r="Z729" s="2" t="s">
        <v>13328</v>
      </c>
      <c r="AA729" s="2"/>
      <c r="AB729" s="2"/>
      <c r="AC729" s="2"/>
      <c r="AD729" s="2"/>
      <c r="AE729" s="2"/>
      <c r="AF729" s="2"/>
      <c r="AG729" s="2" t="n">
        <v>59</v>
      </c>
      <c r="AH729" s="2" t="n">
        <v>25</v>
      </c>
      <c r="AI729" s="2" t="n">
        <v>27</v>
      </c>
      <c r="AJ729" s="2" t="n">
        <v>0</v>
      </c>
      <c r="AK729" s="2" t="n">
        <v>2</v>
      </c>
      <c r="AL729" s="2" t="s">
        <v>154</v>
      </c>
      <c r="AM729" s="2" t="s">
        <v>155</v>
      </c>
      <c r="AN729" s="2" t="s">
        <v>156</v>
      </c>
      <c r="AO729" s="2" t="s">
        <v>1302</v>
      </c>
      <c r="AP729" s="2" t="s">
        <v>1303</v>
      </c>
      <c r="AQ729" s="2"/>
      <c r="AR729" s="2" t="s">
        <v>1304</v>
      </c>
      <c r="AS729" s="2" t="s">
        <v>1305</v>
      </c>
      <c r="AT729" s="2" t="s">
        <v>161</v>
      </c>
      <c r="AU729" s="2" t="n">
        <v>2007</v>
      </c>
      <c r="AV729" s="2" t="n">
        <v>42</v>
      </c>
      <c r="AW729" s="2" t="n">
        <v>1</v>
      </c>
      <c r="AX729" s="2"/>
      <c r="AY729" s="2"/>
      <c r="AZ729" s="2"/>
      <c r="BA729" s="2"/>
      <c r="BB729" s="2" t="n">
        <v>66</v>
      </c>
      <c r="BC729" s="2" t="n">
        <v>74</v>
      </c>
      <c r="BD729" s="2"/>
      <c r="BE729" s="2" t="s">
        <v>13329</v>
      </c>
      <c r="BF729" s="2" t="str">
        <f aca="false">HYPERLINK("http://dx.doi.org/10.1002/ppul.20546","http://dx.doi.org/10.1002/ppul.20546")</f>
        <v>http://dx.doi.org/10.1002/ppul.20546</v>
      </c>
      <c r="BG729" s="2"/>
      <c r="BH729" s="2"/>
      <c r="BI729" s="2" t="n">
        <v>9</v>
      </c>
      <c r="BJ729" s="2" t="s">
        <v>1307</v>
      </c>
      <c r="BK729" s="2" t="s">
        <v>100</v>
      </c>
      <c r="BL729" s="2" t="s">
        <v>1307</v>
      </c>
      <c r="BM729" s="2" t="s">
        <v>13330</v>
      </c>
      <c r="BN729" s="2" t="n">
        <v>17123316</v>
      </c>
      <c r="BO729" s="2"/>
      <c r="BP729" s="2"/>
      <c r="BQ729" s="2"/>
      <c r="BR729" s="2" t="s">
        <v>104</v>
      </c>
      <c r="BS729" s="2" t="s">
        <v>13331</v>
      </c>
      <c r="BT729" s="2" t="str">
        <f aca="false">HYPERLINK("https%3A%2F%2Fwww.webofscience.com%2Fwos%2Fwoscc%2Ffull-record%2FWOS:000243285600011","View Full Record in Web of Science")</f>
        <v>View Full Record in Web of Science</v>
      </c>
    </row>
    <row r="730" customFormat="false" ht="12.75" hidden="false" customHeight="false" outlineLevel="0" collapsed="false">
      <c r="A730" s="2" t="s">
        <v>72</v>
      </c>
      <c r="B730" s="2" t="s">
        <v>13332</v>
      </c>
      <c r="C730" s="2"/>
      <c r="D730" s="2"/>
      <c r="E730" s="2"/>
      <c r="F730" s="2" t="s">
        <v>13333</v>
      </c>
      <c r="G730" s="2"/>
      <c r="H730" s="2"/>
      <c r="I730" s="2" t="s">
        <v>13334</v>
      </c>
      <c r="J730" s="2" t="s">
        <v>141</v>
      </c>
      <c r="K730" s="2"/>
      <c r="L730" s="2"/>
      <c r="M730" s="2" t="s">
        <v>77</v>
      </c>
      <c r="N730" s="2" t="s">
        <v>78</v>
      </c>
      <c r="O730" s="2"/>
      <c r="P730" s="2"/>
      <c r="Q730" s="2"/>
      <c r="R730" s="2"/>
      <c r="S730" s="2"/>
      <c r="T730" s="2" t="s">
        <v>13335</v>
      </c>
      <c r="U730" s="2" t="s">
        <v>13336</v>
      </c>
      <c r="V730" s="2" t="s">
        <v>13337</v>
      </c>
      <c r="W730" s="2" t="s">
        <v>13338</v>
      </c>
      <c r="X730" s="2" t="s">
        <v>13339</v>
      </c>
      <c r="Y730" s="2" t="s">
        <v>13340</v>
      </c>
      <c r="Z730" s="2" t="s">
        <v>13341</v>
      </c>
      <c r="AA730" s="2" t="s">
        <v>13342</v>
      </c>
      <c r="AB730" s="2" t="s">
        <v>13343</v>
      </c>
      <c r="AC730" s="2" t="s">
        <v>13344</v>
      </c>
      <c r="AD730" s="2" t="s">
        <v>13345</v>
      </c>
      <c r="AE730" s="2" t="s">
        <v>13346</v>
      </c>
      <c r="AF730" s="2"/>
      <c r="AG730" s="2" t="n">
        <v>40</v>
      </c>
      <c r="AH730" s="2" t="n">
        <v>21</v>
      </c>
      <c r="AI730" s="2" t="n">
        <v>28</v>
      </c>
      <c r="AJ730" s="2" t="n">
        <v>0</v>
      </c>
      <c r="AK730" s="2" t="n">
        <v>7</v>
      </c>
      <c r="AL730" s="2" t="s">
        <v>3813</v>
      </c>
      <c r="AM730" s="2" t="s">
        <v>155</v>
      </c>
      <c r="AN730" s="2" t="s">
        <v>156</v>
      </c>
      <c r="AO730" s="2" t="s">
        <v>157</v>
      </c>
      <c r="AP730" s="2"/>
      <c r="AQ730" s="2"/>
      <c r="AR730" s="2" t="s">
        <v>159</v>
      </c>
      <c r="AS730" s="2" t="s">
        <v>160</v>
      </c>
      <c r="AT730" s="2" t="s">
        <v>161</v>
      </c>
      <c r="AU730" s="2" t="n">
        <v>2013</v>
      </c>
      <c r="AV730" s="2" t="n">
        <v>85</v>
      </c>
      <c r="AW730" s="2" t="n">
        <v>1</v>
      </c>
      <c r="AX730" s="2"/>
      <c r="AY730" s="2"/>
      <c r="AZ730" s="2"/>
      <c r="BA730" s="2"/>
      <c r="BB730" s="2" t="n">
        <v>138</v>
      </c>
      <c r="BC730" s="2" t="n">
        <v>143</v>
      </c>
      <c r="BD730" s="2"/>
      <c r="BE730" s="2" t="s">
        <v>13347</v>
      </c>
      <c r="BF730" s="2" t="str">
        <f aca="false">HYPERLINK("http://dx.doi.org/10.1002/jmv.23438","http://dx.doi.org/10.1002/jmv.23438")</f>
        <v>http://dx.doi.org/10.1002/jmv.23438</v>
      </c>
      <c r="BG730" s="2"/>
      <c r="BH730" s="2"/>
      <c r="BI730" s="2" t="n">
        <v>6</v>
      </c>
      <c r="BJ730" s="2" t="s">
        <v>163</v>
      </c>
      <c r="BK730" s="2" t="s">
        <v>100</v>
      </c>
      <c r="BL730" s="2" t="s">
        <v>163</v>
      </c>
      <c r="BM730" s="2" t="s">
        <v>13348</v>
      </c>
      <c r="BN730" s="2" t="n">
        <v>23097275</v>
      </c>
      <c r="BO730" s="2" t="s">
        <v>165</v>
      </c>
      <c r="BP730" s="2"/>
      <c r="BQ730" s="2"/>
      <c r="BR730" s="2" t="s">
        <v>104</v>
      </c>
      <c r="BS730" s="2" t="s">
        <v>13349</v>
      </c>
      <c r="BT730" s="2" t="str">
        <f aca="false">HYPERLINK("https%3A%2F%2Fwww.webofscience.com%2Fwos%2Fwoscc%2Ffull-record%2FWOS:000311054400020","View Full Record in Web of Science")</f>
        <v>View Full Record in Web of Science</v>
      </c>
    </row>
    <row r="731" customFormat="false" ht="12.75" hidden="false" customHeight="false" outlineLevel="0" collapsed="false">
      <c r="A731" s="2" t="s">
        <v>72</v>
      </c>
      <c r="B731" s="2" t="s">
        <v>13350</v>
      </c>
      <c r="C731" s="2"/>
      <c r="D731" s="2"/>
      <c r="E731" s="2"/>
      <c r="F731" s="2" t="s">
        <v>13351</v>
      </c>
      <c r="G731" s="2"/>
      <c r="H731" s="2"/>
      <c r="I731" s="2" t="s">
        <v>13352</v>
      </c>
      <c r="J731" s="2" t="s">
        <v>1665</v>
      </c>
      <c r="K731" s="2"/>
      <c r="L731" s="2"/>
      <c r="M731" s="2" t="s">
        <v>77</v>
      </c>
      <c r="N731" s="2" t="s">
        <v>78</v>
      </c>
      <c r="O731" s="2"/>
      <c r="P731" s="2"/>
      <c r="Q731" s="2"/>
      <c r="R731" s="2"/>
      <c r="S731" s="2"/>
      <c r="T731" s="2" t="s">
        <v>13353</v>
      </c>
      <c r="U731" s="2" t="s">
        <v>13354</v>
      </c>
      <c r="V731" s="2" t="s">
        <v>13355</v>
      </c>
      <c r="W731" s="2" t="s">
        <v>13356</v>
      </c>
      <c r="X731" s="2" t="s">
        <v>13357</v>
      </c>
      <c r="Y731" s="2" t="s">
        <v>13358</v>
      </c>
      <c r="Z731" s="2" t="s">
        <v>13359</v>
      </c>
      <c r="AA731" s="2" t="s">
        <v>13360</v>
      </c>
      <c r="AB731" s="2" t="s">
        <v>13361</v>
      </c>
      <c r="AC731" s="2" t="s">
        <v>13362</v>
      </c>
      <c r="AD731" s="2" t="s">
        <v>13362</v>
      </c>
      <c r="AE731" s="2" t="s">
        <v>13363</v>
      </c>
      <c r="AF731" s="2"/>
      <c r="AG731" s="2" t="n">
        <v>24</v>
      </c>
      <c r="AH731" s="2" t="n">
        <v>13</v>
      </c>
      <c r="AI731" s="2" t="n">
        <v>14</v>
      </c>
      <c r="AJ731" s="2" t="n">
        <v>0</v>
      </c>
      <c r="AK731" s="2" t="n">
        <v>2</v>
      </c>
      <c r="AL731" s="2" t="s">
        <v>13364</v>
      </c>
      <c r="AM731" s="2" t="s">
        <v>13365</v>
      </c>
      <c r="AN731" s="2" t="s">
        <v>13366</v>
      </c>
      <c r="AO731" s="2" t="s">
        <v>1681</v>
      </c>
      <c r="AP731" s="2" t="s">
        <v>1682</v>
      </c>
      <c r="AQ731" s="2"/>
      <c r="AR731" s="2" t="s">
        <v>1683</v>
      </c>
      <c r="AS731" s="2" t="s">
        <v>1684</v>
      </c>
      <c r="AT731" s="2" t="s">
        <v>97</v>
      </c>
      <c r="AU731" s="2" t="n">
        <v>2016</v>
      </c>
      <c r="AV731" s="2" t="n">
        <v>9</v>
      </c>
      <c r="AW731" s="2" t="n">
        <v>3</v>
      </c>
      <c r="AX731" s="2"/>
      <c r="AY731" s="2"/>
      <c r="AZ731" s="2"/>
      <c r="BA731" s="2"/>
      <c r="BB731" s="2"/>
      <c r="BC731" s="2"/>
      <c r="BD731" s="2" t="s">
        <v>13367</v>
      </c>
      <c r="BE731" s="2" t="s">
        <v>13368</v>
      </c>
      <c r="BF731" s="2" t="str">
        <f aca="false">HYPERLINK("http://dx.doi.org/10.5812/jjm.32974","http://dx.doi.org/10.5812/jjm.32974")</f>
        <v>http://dx.doi.org/10.5812/jjm.32974</v>
      </c>
      <c r="BG731" s="2"/>
      <c r="BH731" s="2"/>
      <c r="BI731" s="2" t="n">
        <v>5</v>
      </c>
      <c r="BJ731" s="2" t="s">
        <v>211</v>
      </c>
      <c r="BK731" s="2" t="s">
        <v>100</v>
      </c>
      <c r="BL731" s="2" t="s">
        <v>211</v>
      </c>
      <c r="BM731" s="2" t="s">
        <v>13369</v>
      </c>
      <c r="BN731" s="2" t="n">
        <v>27226877</v>
      </c>
      <c r="BO731" s="2" t="s">
        <v>3775</v>
      </c>
      <c r="BP731" s="2"/>
      <c r="BQ731" s="2"/>
      <c r="BR731" s="2" t="s">
        <v>104</v>
      </c>
      <c r="BS731" s="2" t="s">
        <v>13370</v>
      </c>
      <c r="BT731" s="2" t="str">
        <f aca="false">HYPERLINK("https%3A%2F%2Fwww.webofscience.com%2Fwos%2Fwoscc%2Ffull-record%2FWOS:000373927800010","View Full Record in Web of Science")</f>
        <v>View Full Record in Web of Science</v>
      </c>
    </row>
    <row r="732" customFormat="false" ht="12.75" hidden="false" customHeight="false" outlineLevel="0" collapsed="false">
      <c r="A732" s="2" t="s">
        <v>72</v>
      </c>
      <c r="B732" s="2" t="s">
        <v>13371</v>
      </c>
      <c r="C732" s="2"/>
      <c r="D732" s="2"/>
      <c r="E732" s="2"/>
      <c r="F732" s="2" t="s">
        <v>13372</v>
      </c>
      <c r="G732" s="2"/>
      <c r="H732" s="2"/>
      <c r="I732" s="2" t="s">
        <v>13373</v>
      </c>
      <c r="J732" s="2" t="s">
        <v>1290</v>
      </c>
      <c r="K732" s="2"/>
      <c r="L732" s="2"/>
      <c r="M732" s="2" t="s">
        <v>77</v>
      </c>
      <c r="N732" s="2" t="s">
        <v>78</v>
      </c>
      <c r="O732" s="2"/>
      <c r="P732" s="2"/>
      <c r="Q732" s="2"/>
      <c r="R732" s="2"/>
      <c r="S732" s="2"/>
      <c r="T732" s="2" t="s">
        <v>13374</v>
      </c>
      <c r="U732" s="2" t="s">
        <v>13375</v>
      </c>
      <c r="V732" s="2" t="s">
        <v>13376</v>
      </c>
      <c r="W732" s="2" t="s">
        <v>13377</v>
      </c>
      <c r="X732" s="2" t="s">
        <v>13378</v>
      </c>
      <c r="Y732" s="2" t="s">
        <v>12901</v>
      </c>
      <c r="Z732" s="2" t="s">
        <v>9464</v>
      </c>
      <c r="AA732" s="2"/>
      <c r="AB732" s="2"/>
      <c r="AC732" s="2" t="s">
        <v>13379</v>
      </c>
      <c r="AD732" s="2" t="s">
        <v>13380</v>
      </c>
      <c r="AE732" s="2" t="s">
        <v>13381</v>
      </c>
      <c r="AF732" s="2"/>
      <c r="AG732" s="2" t="n">
        <v>34</v>
      </c>
      <c r="AH732" s="2" t="n">
        <v>24</v>
      </c>
      <c r="AI732" s="2" t="n">
        <v>27</v>
      </c>
      <c r="AJ732" s="2" t="n">
        <v>1</v>
      </c>
      <c r="AK732" s="2" t="n">
        <v>16</v>
      </c>
      <c r="AL732" s="2" t="s">
        <v>154</v>
      </c>
      <c r="AM732" s="2" t="s">
        <v>155</v>
      </c>
      <c r="AN732" s="2" t="s">
        <v>156</v>
      </c>
      <c r="AO732" s="2" t="s">
        <v>1302</v>
      </c>
      <c r="AP732" s="2" t="s">
        <v>1303</v>
      </c>
      <c r="AQ732" s="2"/>
      <c r="AR732" s="2" t="s">
        <v>1304</v>
      </c>
      <c r="AS732" s="2" t="s">
        <v>1305</v>
      </c>
      <c r="AT732" s="2" t="s">
        <v>185</v>
      </c>
      <c r="AU732" s="2" t="n">
        <v>2010</v>
      </c>
      <c r="AV732" s="2" t="n">
        <v>45</v>
      </c>
      <c r="AW732" s="2" t="n">
        <v>8</v>
      </c>
      <c r="AX732" s="2"/>
      <c r="AY732" s="2"/>
      <c r="AZ732" s="2"/>
      <c r="BA732" s="2"/>
      <c r="BB732" s="2" t="n">
        <v>824</v>
      </c>
      <c r="BC732" s="2" t="n">
        <v>831</v>
      </c>
      <c r="BD732" s="2"/>
      <c r="BE732" s="2" t="s">
        <v>13382</v>
      </c>
      <c r="BF732" s="2" t="str">
        <f aca="false">HYPERLINK("http://dx.doi.org/10.1002/ppul.21264","http://dx.doi.org/10.1002/ppul.21264")</f>
        <v>http://dx.doi.org/10.1002/ppul.21264</v>
      </c>
      <c r="BG732" s="2"/>
      <c r="BH732" s="2"/>
      <c r="BI732" s="2" t="n">
        <v>8</v>
      </c>
      <c r="BJ732" s="2" t="s">
        <v>1307</v>
      </c>
      <c r="BK732" s="2" t="s">
        <v>100</v>
      </c>
      <c r="BL732" s="2" t="s">
        <v>1307</v>
      </c>
      <c r="BM732" s="2" t="s">
        <v>13383</v>
      </c>
      <c r="BN732" s="2" t="n">
        <v>20583291</v>
      </c>
      <c r="BO732" s="2" t="s">
        <v>165</v>
      </c>
      <c r="BP732" s="2"/>
      <c r="BQ732" s="2"/>
      <c r="BR732" s="2" t="s">
        <v>104</v>
      </c>
      <c r="BS732" s="2" t="s">
        <v>13384</v>
      </c>
      <c r="BT732" s="2" t="str">
        <f aca="false">HYPERLINK("https%3A%2F%2Fwww.webofscience.com%2Fwos%2Fwoscc%2Ffull-record%2FWOS:000280690000011","View Full Record in Web of Science")</f>
        <v>View Full Record in Web of Science</v>
      </c>
    </row>
    <row r="733" customFormat="false" ht="12.75" hidden="false" customHeight="false" outlineLevel="0" collapsed="false">
      <c r="A733" s="2" t="s">
        <v>72</v>
      </c>
      <c r="B733" s="2" t="s">
        <v>13385</v>
      </c>
      <c r="C733" s="2"/>
      <c r="D733" s="2"/>
      <c r="E733" s="2"/>
      <c r="F733" s="2" t="s">
        <v>13386</v>
      </c>
      <c r="G733" s="2"/>
      <c r="H733" s="2"/>
      <c r="I733" s="2" t="s">
        <v>13387</v>
      </c>
      <c r="J733" s="2" t="s">
        <v>109</v>
      </c>
      <c r="K733" s="2"/>
      <c r="L733" s="2"/>
      <c r="M733" s="2" t="s">
        <v>77</v>
      </c>
      <c r="N733" s="2" t="s">
        <v>78</v>
      </c>
      <c r="O733" s="2"/>
      <c r="P733" s="2"/>
      <c r="Q733" s="2"/>
      <c r="R733" s="2"/>
      <c r="S733" s="2"/>
      <c r="T733" s="2" t="s">
        <v>13388</v>
      </c>
      <c r="U733" s="2" t="s">
        <v>13389</v>
      </c>
      <c r="V733" s="2" t="s">
        <v>13390</v>
      </c>
      <c r="W733" s="2" t="s">
        <v>13391</v>
      </c>
      <c r="X733" s="2" t="s">
        <v>13392</v>
      </c>
      <c r="Y733" s="2" t="s">
        <v>13393</v>
      </c>
      <c r="Z733" s="2" t="s">
        <v>6027</v>
      </c>
      <c r="AA733" s="2" t="s">
        <v>13394</v>
      </c>
      <c r="AB733" s="2" t="s">
        <v>13395</v>
      </c>
      <c r="AC733" s="2" t="s">
        <v>13396</v>
      </c>
      <c r="AD733" s="2" t="s">
        <v>13397</v>
      </c>
      <c r="AE733" s="2" t="s">
        <v>13398</v>
      </c>
      <c r="AF733" s="2"/>
      <c r="AG733" s="2" t="n">
        <v>10</v>
      </c>
      <c r="AH733" s="2" t="n">
        <v>9</v>
      </c>
      <c r="AI733" s="2" t="n">
        <v>9</v>
      </c>
      <c r="AJ733" s="2" t="n">
        <v>0</v>
      </c>
      <c r="AK733" s="2" t="n">
        <v>1</v>
      </c>
      <c r="AL733" s="2" t="s">
        <v>122</v>
      </c>
      <c r="AM733" s="2" t="s">
        <v>123</v>
      </c>
      <c r="AN733" s="2" t="s">
        <v>839</v>
      </c>
      <c r="AO733" s="2" t="s">
        <v>125</v>
      </c>
      <c r="AP733" s="2"/>
      <c r="AQ733" s="2"/>
      <c r="AR733" s="2" t="s">
        <v>127</v>
      </c>
      <c r="AS733" s="2" t="s">
        <v>128</v>
      </c>
      <c r="AT733" s="2" t="s">
        <v>804</v>
      </c>
      <c r="AU733" s="2" t="n">
        <v>2009</v>
      </c>
      <c r="AV733" s="2" t="n">
        <v>28</v>
      </c>
      <c r="AW733" s="2" t="n">
        <v>11</v>
      </c>
      <c r="AX733" s="2"/>
      <c r="AY733" s="2"/>
      <c r="AZ733" s="2"/>
      <c r="BA733" s="2"/>
      <c r="BB733" s="2" t="n">
        <v>1024</v>
      </c>
      <c r="BC733" s="2" t="n">
        <v>1026</v>
      </c>
      <c r="BD733" s="2"/>
      <c r="BE733" s="2" t="s">
        <v>13399</v>
      </c>
      <c r="BF733" s="2" t="str">
        <f aca="false">HYPERLINK("http://dx.doi.org/10.1097/INF.0b013e3181aa6c3e","http://dx.doi.org/10.1097/INF.0b013e3181aa6c3e")</f>
        <v>http://dx.doi.org/10.1097/INF.0b013e3181aa6c3e</v>
      </c>
      <c r="BG733" s="2"/>
      <c r="BH733" s="2"/>
      <c r="BI733" s="2" t="n">
        <v>3</v>
      </c>
      <c r="BJ733" s="2" t="s">
        <v>134</v>
      </c>
      <c r="BK733" s="2" t="s">
        <v>100</v>
      </c>
      <c r="BL733" s="2" t="s">
        <v>134</v>
      </c>
      <c r="BM733" s="2" t="s">
        <v>13400</v>
      </c>
      <c r="BN733" s="2" t="n">
        <v>19738509</v>
      </c>
      <c r="BO733" s="2" t="s">
        <v>656</v>
      </c>
      <c r="BP733" s="2"/>
      <c r="BQ733" s="2"/>
      <c r="BR733" s="2" t="s">
        <v>104</v>
      </c>
      <c r="BS733" s="2" t="s">
        <v>13401</v>
      </c>
      <c r="BT733" s="2" t="str">
        <f aca="false">HYPERLINK("https%3A%2F%2Fwww.webofscience.com%2Fwos%2Fwoscc%2Ffull-record%2FWOS:000271253800020","View Full Record in Web of Science")</f>
        <v>View Full Record in Web of Science</v>
      </c>
    </row>
    <row r="734" customFormat="false" ht="12.75" hidden="false" customHeight="false" outlineLevel="0" collapsed="false">
      <c r="A734" s="2" t="s">
        <v>72</v>
      </c>
      <c r="B734" s="2" t="s">
        <v>13402</v>
      </c>
      <c r="C734" s="2"/>
      <c r="D734" s="2"/>
      <c r="E734" s="2"/>
      <c r="F734" s="2" t="s">
        <v>13403</v>
      </c>
      <c r="G734" s="2"/>
      <c r="H734" s="2"/>
      <c r="I734" s="2" t="s">
        <v>13404</v>
      </c>
      <c r="J734" s="2" t="s">
        <v>109</v>
      </c>
      <c r="K734" s="2"/>
      <c r="L734" s="2"/>
      <c r="M734" s="2" t="s">
        <v>77</v>
      </c>
      <c r="N734" s="2" t="s">
        <v>78</v>
      </c>
      <c r="O734" s="2"/>
      <c r="P734" s="2"/>
      <c r="Q734" s="2"/>
      <c r="R734" s="2"/>
      <c r="S734" s="2"/>
      <c r="T734" s="2" t="s">
        <v>13405</v>
      </c>
      <c r="U734" s="2" t="s">
        <v>172</v>
      </c>
      <c r="V734" s="2" t="s">
        <v>13406</v>
      </c>
      <c r="W734" s="2" t="s">
        <v>13407</v>
      </c>
      <c r="X734" s="2" t="s">
        <v>13408</v>
      </c>
      <c r="Y734" s="2" t="s">
        <v>13409</v>
      </c>
      <c r="Z734" s="2" t="s">
        <v>13410</v>
      </c>
      <c r="AA734" s="2"/>
      <c r="AB734" s="2"/>
      <c r="AC734" s="2"/>
      <c r="AD734" s="2"/>
      <c r="AE734" s="2"/>
      <c r="AF734" s="2"/>
      <c r="AG734" s="2" t="n">
        <v>9</v>
      </c>
      <c r="AH734" s="2" t="n">
        <v>7</v>
      </c>
      <c r="AI734" s="2" t="n">
        <v>7</v>
      </c>
      <c r="AJ734" s="2" t="n">
        <v>0</v>
      </c>
      <c r="AK734" s="2" t="n">
        <v>1</v>
      </c>
      <c r="AL734" s="2" t="s">
        <v>122</v>
      </c>
      <c r="AM734" s="2" t="s">
        <v>123</v>
      </c>
      <c r="AN734" s="2" t="s">
        <v>124</v>
      </c>
      <c r="AO734" s="2" t="s">
        <v>125</v>
      </c>
      <c r="AP734" s="2" t="s">
        <v>126</v>
      </c>
      <c r="AQ734" s="2"/>
      <c r="AR734" s="2" t="s">
        <v>127</v>
      </c>
      <c r="AS734" s="2" t="s">
        <v>128</v>
      </c>
      <c r="AT734" s="2" t="s">
        <v>804</v>
      </c>
      <c r="AU734" s="2" t="n">
        <v>2009</v>
      </c>
      <c r="AV734" s="2" t="n">
        <v>28</v>
      </c>
      <c r="AW734" s="2" t="n">
        <v>11</v>
      </c>
      <c r="AX734" s="2"/>
      <c r="AY734" s="2"/>
      <c r="AZ734" s="2"/>
      <c r="BA734" s="2"/>
      <c r="BB734" s="2" t="n">
        <v>1022</v>
      </c>
      <c r="BC734" s="2" t="n">
        <v>1024</v>
      </c>
      <c r="BD734" s="2"/>
      <c r="BE734" s="2" t="s">
        <v>13411</v>
      </c>
      <c r="BF734" s="2" t="str">
        <f aca="false">HYPERLINK("http://dx.doi.org/10.1097/INF.0b013e3181aa6853","http://dx.doi.org/10.1097/INF.0b013e3181aa6853")</f>
        <v>http://dx.doi.org/10.1097/INF.0b013e3181aa6853</v>
      </c>
      <c r="BG734" s="2"/>
      <c r="BH734" s="2"/>
      <c r="BI734" s="2" t="n">
        <v>3</v>
      </c>
      <c r="BJ734" s="2" t="s">
        <v>134</v>
      </c>
      <c r="BK734" s="2" t="s">
        <v>100</v>
      </c>
      <c r="BL734" s="2" t="s">
        <v>134</v>
      </c>
      <c r="BM734" s="2" t="s">
        <v>13400</v>
      </c>
      <c r="BN734" s="2" t="n">
        <v>19730154</v>
      </c>
      <c r="BO734" s="2" t="s">
        <v>656</v>
      </c>
      <c r="BP734" s="2"/>
      <c r="BQ734" s="2"/>
      <c r="BR734" s="2" t="s">
        <v>104</v>
      </c>
      <c r="BS734" s="2" t="s">
        <v>13412</v>
      </c>
      <c r="BT734" s="2" t="str">
        <f aca="false">HYPERLINK("https%3A%2F%2Fwww.webofscience.com%2Fwos%2Fwoscc%2Ffull-record%2FWOS:000271253800019","View Full Record in Web of Science")</f>
        <v>View Full Record in Web of Science</v>
      </c>
    </row>
    <row r="735" customFormat="false" ht="12.75" hidden="false" customHeight="false" outlineLevel="0" collapsed="false">
      <c r="A735" s="2" t="s">
        <v>72</v>
      </c>
      <c r="B735" s="2" t="s">
        <v>13413</v>
      </c>
      <c r="C735" s="2"/>
      <c r="D735" s="2"/>
      <c r="E735" s="2"/>
      <c r="F735" s="2" t="s">
        <v>13414</v>
      </c>
      <c r="G735" s="2"/>
      <c r="H735" s="2"/>
      <c r="I735" s="2" t="s">
        <v>13415</v>
      </c>
      <c r="J735" s="2" t="s">
        <v>1473</v>
      </c>
      <c r="K735" s="2"/>
      <c r="L735" s="2"/>
      <c r="M735" s="2" t="s">
        <v>77</v>
      </c>
      <c r="N735" s="2" t="s">
        <v>78</v>
      </c>
      <c r="O735" s="2"/>
      <c r="P735" s="2"/>
      <c r="Q735" s="2"/>
      <c r="R735" s="2"/>
      <c r="S735" s="2"/>
      <c r="T735" s="2" t="s">
        <v>13416</v>
      </c>
      <c r="U735" s="2" t="s">
        <v>13417</v>
      </c>
      <c r="V735" s="2" t="s">
        <v>13418</v>
      </c>
      <c r="W735" s="2" t="s">
        <v>13419</v>
      </c>
      <c r="X735" s="2" t="s">
        <v>13420</v>
      </c>
      <c r="Y735" s="2" t="s">
        <v>13421</v>
      </c>
      <c r="Z735" s="2" t="s">
        <v>13422</v>
      </c>
      <c r="AA735" s="2" t="s">
        <v>13423</v>
      </c>
      <c r="AB735" s="2"/>
      <c r="AC735" s="2"/>
      <c r="AD735" s="2"/>
      <c r="AE735" s="2"/>
      <c r="AF735" s="2"/>
      <c r="AG735" s="2" t="n">
        <v>30</v>
      </c>
      <c r="AH735" s="2" t="n">
        <v>37</v>
      </c>
      <c r="AI735" s="2" t="n">
        <v>37</v>
      </c>
      <c r="AJ735" s="2" t="n">
        <v>0</v>
      </c>
      <c r="AK735" s="2" t="n">
        <v>1</v>
      </c>
      <c r="AL735" s="2" t="s">
        <v>154</v>
      </c>
      <c r="AM735" s="2" t="s">
        <v>155</v>
      </c>
      <c r="AN735" s="2" t="s">
        <v>156</v>
      </c>
      <c r="AO735" s="2" t="s">
        <v>1485</v>
      </c>
      <c r="AP735" s="2" t="s">
        <v>1486</v>
      </c>
      <c r="AQ735" s="2"/>
      <c r="AR735" s="2" t="s">
        <v>1487</v>
      </c>
      <c r="AS735" s="2" t="s">
        <v>1488</v>
      </c>
      <c r="AT735" s="2" t="s">
        <v>692</v>
      </c>
      <c r="AU735" s="2" t="n">
        <v>2010</v>
      </c>
      <c r="AV735" s="2" t="n">
        <v>12</v>
      </c>
      <c r="AW735" s="2" t="n">
        <v>2</v>
      </c>
      <c r="AX735" s="2"/>
      <c r="AY735" s="2"/>
      <c r="AZ735" s="2"/>
      <c r="BA735" s="2"/>
      <c r="BB735" s="2" t="n">
        <v>173</v>
      </c>
      <c r="BC735" s="2" t="n">
        <v>179</v>
      </c>
      <c r="BD735" s="2"/>
      <c r="BE735" s="2" t="s">
        <v>13424</v>
      </c>
      <c r="BF735" s="2" t="str">
        <f aca="false">HYPERLINK("http://dx.doi.org/10.1111/j.1399-3062.2009.00465.x","http://dx.doi.org/10.1111/j.1399-3062.2009.00465.x")</f>
        <v>http://dx.doi.org/10.1111/j.1399-3062.2009.00465.x</v>
      </c>
      <c r="BG735" s="2"/>
      <c r="BH735" s="2"/>
      <c r="BI735" s="2" t="n">
        <v>7</v>
      </c>
      <c r="BJ735" s="2" t="s">
        <v>1490</v>
      </c>
      <c r="BK735" s="2" t="s">
        <v>100</v>
      </c>
      <c r="BL735" s="2" t="s">
        <v>1490</v>
      </c>
      <c r="BM735" s="2" t="s">
        <v>13425</v>
      </c>
      <c r="BN735" s="2" t="n">
        <v>19878491</v>
      </c>
      <c r="BO735" s="2"/>
      <c r="BP735" s="2"/>
      <c r="BQ735" s="2"/>
      <c r="BR735" s="2" t="s">
        <v>104</v>
      </c>
      <c r="BS735" s="2" t="s">
        <v>13426</v>
      </c>
      <c r="BT735" s="2" t="str">
        <f aca="false">HYPERLINK("https%3A%2F%2Fwww.webofscience.com%2Fwos%2Fwoscc%2Ffull-record%2FWOS:000276351200016","View Full Record in Web of Science")</f>
        <v>View Full Record in Web of Science</v>
      </c>
    </row>
    <row r="736" customFormat="false" ht="12.75" hidden="false" customHeight="false" outlineLevel="0" collapsed="false">
      <c r="A736" s="2" t="s">
        <v>72</v>
      </c>
      <c r="B736" s="2" t="s">
        <v>13427</v>
      </c>
      <c r="C736" s="2"/>
      <c r="D736" s="2"/>
      <c r="E736" s="2"/>
      <c r="F736" s="2" t="s">
        <v>13427</v>
      </c>
      <c r="G736" s="2"/>
      <c r="H736" s="2"/>
      <c r="I736" s="2" t="s">
        <v>13428</v>
      </c>
      <c r="J736" s="2" t="s">
        <v>109</v>
      </c>
      <c r="K736" s="2"/>
      <c r="L736" s="2"/>
      <c r="M736" s="2" t="s">
        <v>77</v>
      </c>
      <c r="N736" s="2" t="s">
        <v>78</v>
      </c>
      <c r="O736" s="2"/>
      <c r="P736" s="2"/>
      <c r="Q736" s="2"/>
      <c r="R736" s="2"/>
      <c r="S736" s="2"/>
      <c r="T736" s="2" t="s">
        <v>13429</v>
      </c>
      <c r="U736" s="2" t="s">
        <v>12333</v>
      </c>
      <c r="V736" s="2" t="s">
        <v>13430</v>
      </c>
      <c r="W736" s="2" t="s">
        <v>13431</v>
      </c>
      <c r="X736" s="2" t="s">
        <v>13432</v>
      </c>
      <c r="Y736" s="2" t="s">
        <v>13433</v>
      </c>
      <c r="Z736" s="2"/>
      <c r="AA736" s="2" t="s">
        <v>13434</v>
      </c>
      <c r="AB736" s="2" t="s">
        <v>8871</v>
      </c>
      <c r="AC736" s="2"/>
      <c r="AD736" s="2"/>
      <c r="AE736" s="2"/>
      <c r="AF736" s="2"/>
      <c r="AG736" s="2" t="n">
        <v>10</v>
      </c>
      <c r="AH736" s="2" t="n">
        <v>180</v>
      </c>
      <c r="AI736" s="2" t="n">
        <v>210</v>
      </c>
      <c r="AJ736" s="2" t="n">
        <v>0</v>
      </c>
      <c r="AK736" s="2" t="n">
        <v>3</v>
      </c>
      <c r="AL736" s="2" t="s">
        <v>122</v>
      </c>
      <c r="AM736" s="2" t="s">
        <v>123</v>
      </c>
      <c r="AN736" s="2" t="s">
        <v>839</v>
      </c>
      <c r="AO736" s="2" t="s">
        <v>125</v>
      </c>
      <c r="AP736" s="2"/>
      <c r="AQ736" s="2"/>
      <c r="AR736" s="2" t="s">
        <v>127</v>
      </c>
      <c r="AS736" s="2" t="s">
        <v>128</v>
      </c>
      <c r="AT736" s="2" t="s">
        <v>161</v>
      </c>
      <c r="AU736" s="2" t="n">
        <v>2003</v>
      </c>
      <c r="AV736" s="2" t="n">
        <v>22</v>
      </c>
      <c r="AW736" s="2" t="n">
        <v>1</v>
      </c>
      <c r="AX736" s="2"/>
      <c r="AY736" s="2"/>
      <c r="AZ736" s="2"/>
      <c r="BA736" s="2"/>
      <c r="BB736" s="2" t="n">
        <v>92</v>
      </c>
      <c r="BC736" s="2" t="n">
        <v>94</v>
      </c>
      <c r="BD736" s="2"/>
      <c r="BE736" s="2" t="s">
        <v>13435</v>
      </c>
      <c r="BF736" s="2" t="str">
        <f aca="false">HYPERLINK("http://dx.doi.org/10.1097/00006454-200301000-00024","http://dx.doi.org/10.1097/00006454-200301000-00024")</f>
        <v>http://dx.doi.org/10.1097/00006454-200301000-00024</v>
      </c>
      <c r="BG736" s="2"/>
      <c r="BH736" s="2"/>
      <c r="BI736" s="2" t="n">
        <v>3</v>
      </c>
      <c r="BJ736" s="2" t="s">
        <v>134</v>
      </c>
      <c r="BK736" s="2" t="s">
        <v>100</v>
      </c>
      <c r="BL736" s="2" t="s">
        <v>134</v>
      </c>
      <c r="BM736" s="2" t="s">
        <v>13436</v>
      </c>
      <c r="BN736" s="2" t="n">
        <v>12553303</v>
      </c>
      <c r="BO736" s="2" t="s">
        <v>656</v>
      </c>
      <c r="BP736" s="2"/>
      <c r="BQ736" s="2"/>
      <c r="BR736" s="2" t="s">
        <v>104</v>
      </c>
      <c r="BS736" s="2" t="s">
        <v>13437</v>
      </c>
      <c r="BT736" s="2" t="str">
        <f aca="false">HYPERLINK("https%3A%2F%2Fwww.webofscience.com%2Fwos%2Fwoscc%2Ffull-record%2FWOS:000180455900019","View Full Record in Web of Science")</f>
        <v>View Full Record in Web of Science</v>
      </c>
    </row>
    <row r="737" customFormat="false" ht="12.75" hidden="false" customHeight="false" outlineLevel="0" collapsed="false">
      <c r="A737" s="2" t="s">
        <v>72</v>
      </c>
      <c r="B737" s="2" t="s">
        <v>13438</v>
      </c>
      <c r="C737" s="2"/>
      <c r="D737" s="2"/>
      <c r="E737" s="2"/>
      <c r="F737" s="2" t="s">
        <v>13439</v>
      </c>
      <c r="G737" s="2"/>
      <c r="H737" s="2"/>
      <c r="I737" s="2" t="s">
        <v>13440</v>
      </c>
      <c r="J737" s="2" t="s">
        <v>7060</v>
      </c>
      <c r="K737" s="2"/>
      <c r="L737" s="2"/>
      <c r="M737" s="2" t="s">
        <v>77</v>
      </c>
      <c r="N737" s="2" t="s">
        <v>78</v>
      </c>
      <c r="O737" s="2"/>
      <c r="P737" s="2"/>
      <c r="Q737" s="2"/>
      <c r="R737" s="2"/>
      <c r="S737" s="2"/>
      <c r="T737" s="2" t="s">
        <v>13441</v>
      </c>
      <c r="U737" s="2" t="s">
        <v>13442</v>
      </c>
      <c r="V737" s="2" t="s">
        <v>13443</v>
      </c>
      <c r="W737" s="2" t="s">
        <v>13444</v>
      </c>
      <c r="X737" s="2" t="s">
        <v>13445</v>
      </c>
      <c r="Y737" s="2" t="s">
        <v>13446</v>
      </c>
      <c r="Z737" s="2" t="s">
        <v>13447</v>
      </c>
      <c r="AA737" s="2" t="s">
        <v>13448</v>
      </c>
      <c r="AB737" s="2" t="s">
        <v>13449</v>
      </c>
      <c r="AC737" s="2"/>
      <c r="AD737" s="2"/>
      <c r="AE737" s="2"/>
      <c r="AF737" s="2"/>
      <c r="AG737" s="2" t="n">
        <v>11</v>
      </c>
      <c r="AH737" s="2" t="n">
        <v>8</v>
      </c>
      <c r="AI737" s="2" t="n">
        <v>9</v>
      </c>
      <c r="AJ737" s="2" t="n">
        <v>0</v>
      </c>
      <c r="AK737" s="2" t="n">
        <v>2</v>
      </c>
      <c r="AL737" s="2" t="s">
        <v>7073</v>
      </c>
      <c r="AM737" s="2" t="s">
        <v>7074</v>
      </c>
      <c r="AN737" s="2" t="s">
        <v>7075</v>
      </c>
      <c r="AO737" s="2" t="s">
        <v>7076</v>
      </c>
      <c r="AP737" s="2" t="s">
        <v>7291</v>
      </c>
      <c r="AQ737" s="2"/>
      <c r="AR737" s="2" t="s">
        <v>7060</v>
      </c>
      <c r="AS737" s="2" t="s">
        <v>601</v>
      </c>
      <c r="AT737" s="2" t="s">
        <v>97</v>
      </c>
      <c r="AU737" s="2" t="n">
        <v>2014</v>
      </c>
      <c r="AV737" s="2" t="n">
        <v>133</v>
      </c>
      <c r="AW737" s="2" t="n">
        <v>3</v>
      </c>
      <c r="AX737" s="2"/>
      <c r="AY737" s="2"/>
      <c r="AZ737" s="2"/>
      <c r="BA737" s="2"/>
      <c r="BB737" s="2" t="s">
        <v>13450</v>
      </c>
      <c r="BC737" s="2" t="s">
        <v>13451</v>
      </c>
      <c r="BD737" s="2"/>
      <c r="BE737" s="2" t="s">
        <v>13452</v>
      </c>
      <c r="BF737" s="2" t="str">
        <f aca="false">HYPERLINK("http://dx.doi.org/10.1542/peds.2013-0929","http://dx.doi.org/10.1542/peds.2013-0929")</f>
        <v>http://dx.doi.org/10.1542/peds.2013-0929</v>
      </c>
      <c r="BG737" s="2"/>
      <c r="BH737" s="2"/>
      <c r="BI737" s="2" t="n">
        <v>4</v>
      </c>
      <c r="BJ737" s="2" t="s">
        <v>601</v>
      </c>
      <c r="BK737" s="2" t="s">
        <v>100</v>
      </c>
      <c r="BL737" s="2" t="s">
        <v>601</v>
      </c>
      <c r="BM737" s="2" t="s">
        <v>13453</v>
      </c>
      <c r="BN737" s="2" t="n">
        <v>24515507</v>
      </c>
      <c r="BO737" s="2"/>
      <c r="BP737" s="2"/>
      <c r="BQ737" s="2"/>
      <c r="BR737" s="2" t="s">
        <v>104</v>
      </c>
      <c r="BS737" s="2" t="s">
        <v>13454</v>
      </c>
      <c r="BT737" s="2" t="str">
        <f aca="false">HYPERLINK("https%3A%2F%2Fwww.webofscience.com%2Fwos%2Fwoscc%2Ffull-record%2FWOS:000335330700059","View Full Record in Web of Science")</f>
        <v>View Full Record in Web of Science</v>
      </c>
    </row>
    <row r="738" customFormat="false" ht="12.75" hidden="false" customHeight="false" outlineLevel="0" collapsed="false">
      <c r="A738" s="2" t="s">
        <v>72</v>
      </c>
      <c r="B738" s="2" t="s">
        <v>13455</v>
      </c>
      <c r="C738" s="2"/>
      <c r="D738" s="2"/>
      <c r="E738" s="2"/>
      <c r="F738" s="2" t="s">
        <v>13456</v>
      </c>
      <c r="G738" s="2"/>
      <c r="H738" s="2"/>
      <c r="I738" s="2" t="s">
        <v>13457</v>
      </c>
      <c r="J738" s="2" t="s">
        <v>717</v>
      </c>
      <c r="K738" s="2"/>
      <c r="L738" s="2"/>
      <c r="M738" s="2" t="s">
        <v>77</v>
      </c>
      <c r="N738" s="2" t="s">
        <v>78</v>
      </c>
      <c r="O738" s="2"/>
      <c r="P738" s="2"/>
      <c r="Q738" s="2"/>
      <c r="R738" s="2"/>
      <c r="S738" s="2"/>
      <c r="T738" s="2" t="s">
        <v>13458</v>
      </c>
      <c r="U738" s="2" t="s">
        <v>13459</v>
      </c>
      <c r="V738" s="2" t="s">
        <v>13460</v>
      </c>
      <c r="W738" s="2" t="s">
        <v>13461</v>
      </c>
      <c r="X738" s="2" t="s">
        <v>13462</v>
      </c>
      <c r="Y738" s="2" t="s">
        <v>13463</v>
      </c>
      <c r="Z738" s="2" t="s">
        <v>13464</v>
      </c>
      <c r="AA738" s="2" t="s">
        <v>13465</v>
      </c>
      <c r="AB738" s="2" t="s">
        <v>13466</v>
      </c>
      <c r="AC738" s="2" t="s">
        <v>13467</v>
      </c>
      <c r="AD738" s="2" t="s">
        <v>13468</v>
      </c>
      <c r="AE738" s="2" t="s">
        <v>13469</v>
      </c>
      <c r="AF738" s="2"/>
      <c r="AG738" s="2" t="n">
        <v>66</v>
      </c>
      <c r="AH738" s="2" t="n">
        <v>2</v>
      </c>
      <c r="AI738" s="2" t="n">
        <v>2</v>
      </c>
      <c r="AJ738" s="2" t="n">
        <v>1</v>
      </c>
      <c r="AK738" s="2" t="n">
        <v>4</v>
      </c>
      <c r="AL738" s="2" t="s">
        <v>383</v>
      </c>
      <c r="AM738" s="2" t="s">
        <v>384</v>
      </c>
      <c r="AN738" s="2" t="s">
        <v>385</v>
      </c>
      <c r="AO738" s="2" t="s">
        <v>729</v>
      </c>
      <c r="AP738" s="2" t="s">
        <v>730</v>
      </c>
      <c r="AQ738" s="2"/>
      <c r="AR738" s="2" t="s">
        <v>731</v>
      </c>
      <c r="AS738" s="2" t="s">
        <v>732</v>
      </c>
      <c r="AT738" s="2" t="s">
        <v>446</v>
      </c>
      <c r="AU738" s="2" t="n">
        <v>2023</v>
      </c>
      <c r="AV738" s="2" t="n">
        <v>322</v>
      </c>
      <c r="AW738" s="2"/>
      <c r="AX738" s="2"/>
      <c r="AY738" s="2"/>
      <c r="AZ738" s="2"/>
      <c r="BA738" s="2"/>
      <c r="BB738" s="2"/>
      <c r="BC738" s="2"/>
      <c r="BD738" s="2" t="n">
        <v>114812</v>
      </c>
      <c r="BE738" s="2" t="s">
        <v>13470</v>
      </c>
      <c r="BF738" s="2" t="str">
        <f aca="false">HYPERLINK("http://dx.doi.org/10.1016/j.jviromet.2023.114812","http://dx.doi.org/10.1016/j.jviromet.2023.114812")</f>
        <v>http://dx.doi.org/10.1016/j.jviromet.2023.114812</v>
      </c>
      <c r="BG738" s="2"/>
      <c r="BH738" s="2" t="s">
        <v>5631</v>
      </c>
      <c r="BI738" s="2" t="n">
        <v>7</v>
      </c>
      <c r="BJ738" s="2" t="s">
        <v>735</v>
      </c>
      <c r="BK738" s="2" t="s">
        <v>100</v>
      </c>
      <c r="BL738" s="2" t="s">
        <v>736</v>
      </c>
      <c r="BM738" s="2" t="s">
        <v>13471</v>
      </c>
      <c r="BN738" s="2" t="n">
        <v>37741464</v>
      </c>
      <c r="BO738" s="2"/>
      <c r="BP738" s="2"/>
      <c r="BQ738" s="2"/>
      <c r="BR738" s="2" t="s">
        <v>104</v>
      </c>
      <c r="BS738" s="2" t="s">
        <v>13472</v>
      </c>
      <c r="BT738" s="2" t="str">
        <f aca="false">HYPERLINK("https%3A%2F%2Fwww.webofscience.com%2Fwos%2Fwoscc%2Ffull-record%2FWOS:001082288600001","View Full Record in Web of Science")</f>
        <v>View Full Record in Web of Science</v>
      </c>
    </row>
    <row r="739" customFormat="false" ht="12.75" hidden="false" customHeight="false" outlineLevel="0" collapsed="false">
      <c r="A739" s="2" t="s">
        <v>72</v>
      </c>
      <c r="B739" s="2" t="s">
        <v>13473</v>
      </c>
      <c r="C739" s="2"/>
      <c r="D739" s="2"/>
      <c r="E739" s="2"/>
      <c r="F739" s="2" t="s">
        <v>13474</v>
      </c>
      <c r="G739" s="2"/>
      <c r="H739" s="2"/>
      <c r="I739" s="2" t="s">
        <v>13475</v>
      </c>
      <c r="J739" s="2" t="s">
        <v>557</v>
      </c>
      <c r="K739" s="2"/>
      <c r="L739" s="2"/>
      <c r="M739" s="2" t="s">
        <v>77</v>
      </c>
      <c r="N739" s="2" t="s">
        <v>78</v>
      </c>
      <c r="O739" s="2"/>
      <c r="P739" s="2"/>
      <c r="Q739" s="2"/>
      <c r="R739" s="2"/>
      <c r="S739" s="2"/>
      <c r="T739" s="2" t="s">
        <v>13476</v>
      </c>
      <c r="U739" s="2" t="s">
        <v>13477</v>
      </c>
      <c r="V739" s="2" t="s">
        <v>13478</v>
      </c>
      <c r="W739" s="2" t="s">
        <v>13479</v>
      </c>
      <c r="X739" s="2" t="s">
        <v>13480</v>
      </c>
      <c r="Y739" s="2" t="s">
        <v>13481</v>
      </c>
      <c r="Z739" s="2" t="s">
        <v>13482</v>
      </c>
      <c r="AA739" s="2"/>
      <c r="AB739" s="2" t="s">
        <v>13483</v>
      </c>
      <c r="AC739" s="2" t="s">
        <v>13484</v>
      </c>
      <c r="AD739" s="2" t="s">
        <v>13485</v>
      </c>
      <c r="AE739" s="2" t="s">
        <v>13486</v>
      </c>
      <c r="AF739" s="2"/>
      <c r="AG739" s="2" t="n">
        <v>56</v>
      </c>
      <c r="AH739" s="2" t="n">
        <v>19</v>
      </c>
      <c r="AI739" s="2" t="n">
        <v>20</v>
      </c>
      <c r="AJ739" s="2" t="n">
        <v>0</v>
      </c>
      <c r="AK739" s="2" t="n">
        <v>1</v>
      </c>
      <c r="AL739" s="2" t="s">
        <v>302</v>
      </c>
      <c r="AM739" s="2" t="s">
        <v>303</v>
      </c>
      <c r="AN739" s="2" t="s">
        <v>304</v>
      </c>
      <c r="AO739" s="2"/>
      <c r="AP739" s="2" t="s">
        <v>570</v>
      </c>
      <c r="AQ739" s="2"/>
      <c r="AR739" s="2" t="s">
        <v>571</v>
      </c>
      <c r="AS739" s="2" t="s">
        <v>572</v>
      </c>
      <c r="AT739" s="2" t="s">
        <v>6153</v>
      </c>
      <c r="AU739" s="2" t="n">
        <v>2019</v>
      </c>
      <c r="AV739" s="2" t="n">
        <v>19</v>
      </c>
      <c r="AW739" s="2" t="n">
        <v>1</v>
      </c>
      <c r="AX739" s="2"/>
      <c r="AY739" s="2"/>
      <c r="AZ739" s="2"/>
      <c r="BA739" s="2"/>
      <c r="BB739" s="2"/>
      <c r="BC739" s="2"/>
      <c r="BD739" s="2" t="n">
        <v>757</v>
      </c>
      <c r="BE739" s="2" t="s">
        <v>13487</v>
      </c>
      <c r="BF739" s="2" t="str">
        <f aca="false">HYPERLINK("http://dx.doi.org/10.1186/s12879-019-4381-9","http://dx.doi.org/10.1186/s12879-019-4381-9")</f>
        <v>http://dx.doi.org/10.1186/s12879-019-4381-9</v>
      </c>
      <c r="BG739" s="2"/>
      <c r="BH739" s="2"/>
      <c r="BI739" s="2" t="n">
        <v>13</v>
      </c>
      <c r="BJ739" s="2" t="s">
        <v>575</v>
      </c>
      <c r="BK739" s="2" t="s">
        <v>100</v>
      </c>
      <c r="BL739" s="2" t="s">
        <v>575</v>
      </c>
      <c r="BM739" s="2" t="s">
        <v>13488</v>
      </c>
      <c r="BN739" s="2" t="n">
        <v>31470805</v>
      </c>
      <c r="BO739" s="2" t="s">
        <v>6349</v>
      </c>
      <c r="BP739" s="2"/>
      <c r="BQ739" s="2"/>
      <c r="BR739" s="2" t="s">
        <v>104</v>
      </c>
      <c r="BS739" s="2" t="s">
        <v>13489</v>
      </c>
      <c r="BT739" s="2" t="str">
        <f aca="false">HYPERLINK("https%3A%2F%2Fwww.webofscience.com%2Fwos%2Fwoscc%2Ffull-record%2FWOS:000483591800002","View Full Record in Web of Science")</f>
        <v>View Full Record in Web of Science</v>
      </c>
    </row>
    <row r="740" customFormat="false" ht="12.75" hidden="false" customHeight="false" outlineLevel="0" collapsed="false">
      <c r="A740" s="2" t="s">
        <v>72</v>
      </c>
      <c r="B740" s="2" t="s">
        <v>13490</v>
      </c>
      <c r="C740" s="2"/>
      <c r="D740" s="2"/>
      <c r="E740" s="2"/>
      <c r="F740" s="2" t="s">
        <v>13491</v>
      </c>
      <c r="G740" s="2"/>
      <c r="H740" s="2"/>
      <c r="I740" s="2" t="s">
        <v>13492</v>
      </c>
      <c r="J740" s="2" t="s">
        <v>889</v>
      </c>
      <c r="K740" s="2"/>
      <c r="L740" s="2"/>
      <c r="M740" s="2" t="s">
        <v>77</v>
      </c>
      <c r="N740" s="2" t="s">
        <v>78</v>
      </c>
      <c r="O740" s="2"/>
      <c r="P740" s="2"/>
      <c r="Q740" s="2"/>
      <c r="R740" s="2"/>
      <c r="S740" s="2"/>
      <c r="T740" s="2" t="s">
        <v>13493</v>
      </c>
      <c r="U740" s="2" t="s">
        <v>13494</v>
      </c>
      <c r="V740" s="2" t="s">
        <v>13495</v>
      </c>
      <c r="W740" s="2" t="s">
        <v>13496</v>
      </c>
      <c r="X740" s="2" t="s">
        <v>13497</v>
      </c>
      <c r="Y740" s="2" t="s">
        <v>13498</v>
      </c>
      <c r="Z740" s="2" t="s">
        <v>13499</v>
      </c>
      <c r="AA740" s="2" t="s">
        <v>13500</v>
      </c>
      <c r="AB740" s="2" t="s">
        <v>13501</v>
      </c>
      <c r="AC740" s="2"/>
      <c r="AD740" s="2"/>
      <c r="AE740" s="2"/>
      <c r="AF740" s="2"/>
      <c r="AG740" s="2" t="n">
        <v>25</v>
      </c>
      <c r="AH740" s="2" t="n">
        <v>33</v>
      </c>
      <c r="AI740" s="2" t="n">
        <v>35</v>
      </c>
      <c r="AJ740" s="2" t="n">
        <v>0</v>
      </c>
      <c r="AK740" s="2" t="n">
        <v>5</v>
      </c>
      <c r="AL740" s="2" t="s">
        <v>5070</v>
      </c>
      <c r="AM740" s="2" t="s">
        <v>5071</v>
      </c>
      <c r="AN740" s="2" t="s">
        <v>5072</v>
      </c>
      <c r="AO740" s="2" t="s">
        <v>5073</v>
      </c>
      <c r="AP740" s="2" t="s">
        <v>5074</v>
      </c>
      <c r="AQ740" s="2"/>
      <c r="AR740" s="2" t="s">
        <v>889</v>
      </c>
      <c r="AS740" s="2" t="s">
        <v>5075</v>
      </c>
      <c r="AT740" s="2" t="s">
        <v>446</v>
      </c>
      <c r="AU740" s="2" t="n">
        <v>2012</v>
      </c>
      <c r="AV740" s="2" t="n">
        <v>40</v>
      </c>
      <c r="AW740" s="2" t="n">
        <v>6</v>
      </c>
      <c r="AX740" s="2"/>
      <c r="AY740" s="2"/>
      <c r="AZ740" s="2"/>
      <c r="BA740" s="2"/>
      <c r="BB740" s="2" t="n">
        <v>677</v>
      </c>
      <c r="BC740" s="2" t="n">
        <v>684</v>
      </c>
      <c r="BD740" s="2"/>
      <c r="BE740" s="2" t="s">
        <v>13502</v>
      </c>
      <c r="BF740" s="2" t="str">
        <f aca="false">HYPERLINK("http://dx.doi.org/10.1007/s15010-012-0279-9","http://dx.doi.org/10.1007/s15010-012-0279-9")</f>
        <v>http://dx.doi.org/10.1007/s15010-012-0279-9</v>
      </c>
      <c r="BG740" s="2"/>
      <c r="BH740" s="2"/>
      <c r="BI740" s="2" t="n">
        <v>8</v>
      </c>
      <c r="BJ740" s="2" t="s">
        <v>575</v>
      </c>
      <c r="BK740" s="2" t="s">
        <v>100</v>
      </c>
      <c r="BL740" s="2" t="s">
        <v>575</v>
      </c>
      <c r="BM740" s="2" t="s">
        <v>13503</v>
      </c>
      <c r="BN740" s="2" t="n">
        <v>22802096</v>
      </c>
      <c r="BO740" s="2" t="s">
        <v>1267</v>
      </c>
      <c r="BP740" s="2"/>
      <c r="BQ740" s="2"/>
      <c r="BR740" s="2" t="s">
        <v>104</v>
      </c>
      <c r="BS740" s="2" t="s">
        <v>13504</v>
      </c>
      <c r="BT740" s="2" t="str">
        <f aca="false">HYPERLINK("https%3A%2F%2Fwww.webofscience.com%2Fwos%2Fwoscc%2Ffull-record%2FWOS:000311366800011","View Full Record in Web of Science")</f>
        <v>View Full Record in Web of Science</v>
      </c>
    </row>
    <row r="741" customFormat="false" ht="12.75" hidden="false" customHeight="false" outlineLevel="0" collapsed="false">
      <c r="A741" s="2" t="s">
        <v>72</v>
      </c>
      <c r="B741" s="2" t="s">
        <v>13505</v>
      </c>
      <c r="C741" s="2"/>
      <c r="D741" s="2"/>
      <c r="E741" s="2"/>
      <c r="F741" s="2" t="s">
        <v>13506</v>
      </c>
      <c r="G741" s="2"/>
      <c r="H741" s="2"/>
      <c r="I741" s="2" t="s">
        <v>13507</v>
      </c>
      <c r="J741" s="2" t="s">
        <v>13508</v>
      </c>
      <c r="K741" s="2"/>
      <c r="L741" s="2"/>
      <c r="M741" s="2" t="s">
        <v>77</v>
      </c>
      <c r="N741" s="2" t="s">
        <v>78</v>
      </c>
      <c r="O741" s="2"/>
      <c r="P741" s="2"/>
      <c r="Q741" s="2"/>
      <c r="R741" s="2"/>
      <c r="S741" s="2"/>
      <c r="T741" s="2" t="s">
        <v>13509</v>
      </c>
      <c r="U741" s="2" t="s">
        <v>13510</v>
      </c>
      <c r="V741" s="2" t="s">
        <v>13511</v>
      </c>
      <c r="W741" s="2" t="s">
        <v>13512</v>
      </c>
      <c r="X741" s="2" t="s">
        <v>13513</v>
      </c>
      <c r="Y741" s="2" t="s">
        <v>13514</v>
      </c>
      <c r="Z741" s="2" t="s">
        <v>10549</v>
      </c>
      <c r="AA741" s="2"/>
      <c r="AB741" s="2"/>
      <c r="AC741" s="2" t="s">
        <v>13515</v>
      </c>
      <c r="AD741" s="2" t="s">
        <v>13516</v>
      </c>
      <c r="AE741" s="2" t="s">
        <v>13517</v>
      </c>
      <c r="AF741" s="2"/>
      <c r="AG741" s="2" t="n">
        <v>49</v>
      </c>
      <c r="AH741" s="2" t="n">
        <v>21</v>
      </c>
      <c r="AI741" s="2" t="n">
        <v>23</v>
      </c>
      <c r="AJ741" s="2" t="n">
        <v>0</v>
      </c>
      <c r="AK741" s="2" t="n">
        <v>2</v>
      </c>
      <c r="AL741" s="2" t="s">
        <v>549</v>
      </c>
      <c r="AM741" s="2" t="s">
        <v>384</v>
      </c>
      <c r="AN741" s="2" t="s">
        <v>550</v>
      </c>
      <c r="AO741" s="2" t="s">
        <v>13518</v>
      </c>
      <c r="AP741" s="2" t="s">
        <v>13519</v>
      </c>
      <c r="AQ741" s="2"/>
      <c r="AR741" s="2" t="s">
        <v>13520</v>
      </c>
      <c r="AS741" s="2" t="s">
        <v>13521</v>
      </c>
      <c r="AT741" s="2" t="s">
        <v>1041</v>
      </c>
      <c r="AU741" s="2" t="n">
        <v>2010</v>
      </c>
      <c r="AV741" s="2" t="n">
        <v>12</v>
      </c>
      <c r="AW741" s="2" t="n">
        <v>2</v>
      </c>
      <c r="AX741" s="2"/>
      <c r="AY741" s="2"/>
      <c r="AZ741" s="2"/>
      <c r="BA741" s="2"/>
      <c r="BB741" s="2" t="n">
        <v>135</v>
      </c>
      <c r="BC741" s="2" t="n">
        <v>145</v>
      </c>
      <c r="BD741" s="2"/>
      <c r="BE741" s="2" t="s">
        <v>13522</v>
      </c>
      <c r="BF741" s="2" t="str">
        <f aca="false">HYPERLINK("http://dx.doi.org/10.1016/j.micinf.2009.11.002","http://dx.doi.org/10.1016/j.micinf.2009.11.002")</f>
        <v>http://dx.doi.org/10.1016/j.micinf.2009.11.002</v>
      </c>
      <c r="BG741" s="2"/>
      <c r="BH741" s="2"/>
      <c r="BI741" s="2" t="n">
        <v>11</v>
      </c>
      <c r="BJ741" s="2" t="s">
        <v>536</v>
      </c>
      <c r="BK741" s="2" t="s">
        <v>100</v>
      </c>
      <c r="BL741" s="2" t="s">
        <v>536</v>
      </c>
      <c r="BM741" s="2" t="s">
        <v>13523</v>
      </c>
      <c r="BN741" s="2" t="n">
        <v>19913636</v>
      </c>
      <c r="BO741" s="2" t="s">
        <v>656</v>
      </c>
      <c r="BP741" s="2"/>
      <c r="BQ741" s="2"/>
      <c r="BR741" s="2" t="s">
        <v>104</v>
      </c>
      <c r="BS741" s="2" t="s">
        <v>13524</v>
      </c>
      <c r="BT741" s="2" t="str">
        <f aca="false">HYPERLINK("https%3A%2F%2Fwww.webofscience.com%2Fwos%2Fwoscc%2Ffull-record%2FWOS:000274988700007","View Full Record in Web of Science")</f>
        <v>View Full Record in Web of Science</v>
      </c>
    </row>
    <row r="742" customFormat="false" ht="12.75" hidden="false" customHeight="false" outlineLevel="0" collapsed="false">
      <c r="A742" s="2" t="s">
        <v>72</v>
      </c>
      <c r="B742" s="2" t="s">
        <v>13525</v>
      </c>
      <c r="C742" s="2"/>
      <c r="D742" s="2"/>
      <c r="E742" s="2"/>
      <c r="F742" s="2" t="s">
        <v>13525</v>
      </c>
      <c r="G742" s="2"/>
      <c r="H742" s="2"/>
      <c r="I742" s="2" t="s">
        <v>13526</v>
      </c>
      <c r="J742" s="2" t="s">
        <v>1413</v>
      </c>
      <c r="K742" s="2"/>
      <c r="L742" s="2"/>
      <c r="M742" s="2" t="s">
        <v>77</v>
      </c>
      <c r="N742" s="2" t="s">
        <v>78</v>
      </c>
      <c r="O742" s="2"/>
      <c r="P742" s="2"/>
      <c r="Q742" s="2"/>
      <c r="R742" s="2"/>
      <c r="S742" s="2"/>
      <c r="T742" s="2" t="s">
        <v>13527</v>
      </c>
      <c r="U742" s="2" t="s">
        <v>13528</v>
      </c>
      <c r="V742" s="2" t="s">
        <v>13529</v>
      </c>
      <c r="W742" s="2" t="s">
        <v>13530</v>
      </c>
      <c r="X742" s="2" t="s">
        <v>13531</v>
      </c>
      <c r="Y742" s="2" t="s">
        <v>13532</v>
      </c>
      <c r="Z742" s="2" t="s">
        <v>13533</v>
      </c>
      <c r="AA742" s="2" t="s">
        <v>13534</v>
      </c>
      <c r="AB742" s="2" t="s">
        <v>13535</v>
      </c>
      <c r="AC742" s="2"/>
      <c r="AD742" s="2"/>
      <c r="AE742" s="2"/>
      <c r="AF742" s="2"/>
      <c r="AG742" s="2" t="n">
        <v>34</v>
      </c>
      <c r="AH742" s="2" t="n">
        <v>20</v>
      </c>
      <c r="AI742" s="2" t="n">
        <v>21</v>
      </c>
      <c r="AJ742" s="2" t="n">
        <v>0</v>
      </c>
      <c r="AK742" s="2" t="n">
        <v>2</v>
      </c>
      <c r="AL742" s="2" t="s">
        <v>549</v>
      </c>
      <c r="AM742" s="2" t="s">
        <v>384</v>
      </c>
      <c r="AN742" s="2" t="s">
        <v>550</v>
      </c>
      <c r="AO742" s="2" t="s">
        <v>1421</v>
      </c>
      <c r="AP742" s="2" t="s">
        <v>1422</v>
      </c>
      <c r="AQ742" s="2"/>
      <c r="AR742" s="2" t="s">
        <v>1423</v>
      </c>
      <c r="AS742" s="2" t="s">
        <v>1424</v>
      </c>
      <c r="AT742" s="2" t="s">
        <v>5247</v>
      </c>
      <c r="AU742" s="2" t="n">
        <v>2004</v>
      </c>
      <c r="AV742" s="2" t="n">
        <v>105</v>
      </c>
      <c r="AW742" s="2" t="n">
        <v>1</v>
      </c>
      <c r="AX742" s="2"/>
      <c r="AY742" s="2"/>
      <c r="AZ742" s="2"/>
      <c r="BA742" s="2"/>
      <c r="BB742" s="2" t="n">
        <v>67</v>
      </c>
      <c r="BC742" s="2" t="n">
        <v>73</v>
      </c>
      <c r="BD742" s="2"/>
      <c r="BE742" s="2" t="s">
        <v>13536</v>
      </c>
      <c r="BF742" s="2" t="str">
        <f aca="false">HYPERLINK("http://dx.doi.org/10.1016/j.virusres.2004.04.019","http://dx.doi.org/10.1016/j.virusres.2004.04.019")</f>
        <v>http://dx.doi.org/10.1016/j.virusres.2004.04.019</v>
      </c>
      <c r="BG742" s="2"/>
      <c r="BH742" s="2"/>
      <c r="BI742" s="2" t="n">
        <v>7</v>
      </c>
      <c r="BJ742" s="2" t="s">
        <v>163</v>
      </c>
      <c r="BK742" s="2" t="s">
        <v>100</v>
      </c>
      <c r="BL742" s="2" t="s">
        <v>163</v>
      </c>
      <c r="BM742" s="2" t="s">
        <v>13537</v>
      </c>
      <c r="BN742" s="2" t="n">
        <v>15325082</v>
      </c>
      <c r="BO742" s="2"/>
      <c r="BP742" s="2"/>
      <c r="BQ742" s="2"/>
      <c r="BR742" s="2" t="s">
        <v>104</v>
      </c>
      <c r="BS742" s="2" t="s">
        <v>13538</v>
      </c>
      <c r="BT742" s="2" t="str">
        <f aca="false">HYPERLINK("https%3A%2F%2Fwww.webofscience.com%2Fwos%2Fwoscc%2Ffull-record%2FWOS:000223814800007","View Full Record in Web of Science")</f>
        <v>View Full Record in Web of Science</v>
      </c>
    </row>
    <row r="743" customFormat="false" ht="12.75" hidden="false" customHeight="false" outlineLevel="0" collapsed="false">
      <c r="A743" s="2" t="s">
        <v>72</v>
      </c>
      <c r="B743" s="2" t="s">
        <v>13539</v>
      </c>
      <c r="C743" s="2"/>
      <c r="D743" s="2"/>
      <c r="E743" s="2"/>
      <c r="F743" s="2" t="s">
        <v>13540</v>
      </c>
      <c r="G743" s="2"/>
      <c r="H743" s="2"/>
      <c r="I743" s="2" t="s">
        <v>13541</v>
      </c>
      <c r="J743" s="2" t="s">
        <v>1692</v>
      </c>
      <c r="K743" s="2"/>
      <c r="L743" s="2"/>
      <c r="M743" s="2" t="s">
        <v>77</v>
      </c>
      <c r="N743" s="2" t="s">
        <v>78</v>
      </c>
      <c r="O743" s="2"/>
      <c r="P743" s="2"/>
      <c r="Q743" s="2"/>
      <c r="R743" s="2"/>
      <c r="S743" s="2"/>
      <c r="T743" s="2" t="s">
        <v>13542</v>
      </c>
      <c r="U743" s="2" t="s">
        <v>13543</v>
      </c>
      <c r="V743" s="2" t="s">
        <v>13544</v>
      </c>
      <c r="W743" s="2" t="s">
        <v>13545</v>
      </c>
      <c r="X743" s="2" t="s">
        <v>13546</v>
      </c>
      <c r="Y743" s="2" t="s">
        <v>13547</v>
      </c>
      <c r="Z743" s="2" t="s">
        <v>13548</v>
      </c>
      <c r="AA743" s="2" t="s">
        <v>13549</v>
      </c>
      <c r="AB743" s="2" t="s">
        <v>13550</v>
      </c>
      <c r="AC743" s="2" t="s">
        <v>13551</v>
      </c>
      <c r="AD743" s="2" t="s">
        <v>13551</v>
      </c>
      <c r="AE743" s="2" t="s">
        <v>13552</v>
      </c>
      <c r="AF743" s="2"/>
      <c r="AG743" s="2" t="n">
        <v>33</v>
      </c>
      <c r="AH743" s="2" t="n">
        <v>1</v>
      </c>
      <c r="AI743" s="2" t="n">
        <v>1</v>
      </c>
      <c r="AJ743" s="2" t="n">
        <v>1</v>
      </c>
      <c r="AK743" s="2" t="n">
        <v>1</v>
      </c>
      <c r="AL743" s="2" t="s">
        <v>1704</v>
      </c>
      <c r="AM743" s="2" t="s">
        <v>1705</v>
      </c>
      <c r="AN743" s="2" t="s">
        <v>1706</v>
      </c>
      <c r="AO743" s="2"/>
      <c r="AP743" s="2" t="s">
        <v>1707</v>
      </c>
      <c r="AQ743" s="2"/>
      <c r="AR743" s="2" t="s">
        <v>1692</v>
      </c>
      <c r="AS743" s="2" t="s">
        <v>1708</v>
      </c>
      <c r="AT743" s="2" t="s">
        <v>4483</v>
      </c>
      <c r="AU743" s="2" t="n">
        <v>2024</v>
      </c>
      <c r="AV743" s="2" t="n">
        <v>10</v>
      </c>
      <c r="AW743" s="2" t="n">
        <v>13</v>
      </c>
      <c r="AX743" s="2"/>
      <c r="AY743" s="2"/>
      <c r="AZ743" s="2"/>
      <c r="BA743" s="2"/>
      <c r="BB743" s="2"/>
      <c r="BC743" s="2"/>
      <c r="BD743" s="2" t="s">
        <v>13553</v>
      </c>
      <c r="BE743" s="2" t="s">
        <v>13554</v>
      </c>
      <c r="BF743" s="2" t="str">
        <f aca="false">HYPERLINK("http://dx.doi.org/10.1016/j.heliyon.2024.e33231","http://dx.doi.org/10.1016/j.heliyon.2024.e33231")</f>
        <v>http://dx.doi.org/10.1016/j.heliyon.2024.e33231</v>
      </c>
      <c r="BG743" s="2"/>
      <c r="BH743" s="2"/>
      <c r="BI743" s="2" t="n">
        <v>10</v>
      </c>
      <c r="BJ743" s="2" t="s">
        <v>1658</v>
      </c>
      <c r="BK743" s="2" t="s">
        <v>100</v>
      </c>
      <c r="BL743" s="2" t="s">
        <v>1659</v>
      </c>
      <c r="BM743" s="2" t="s">
        <v>13555</v>
      </c>
      <c r="BN743" s="2" t="n">
        <v>39035530</v>
      </c>
      <c r="BO743" s="2" t="s">
        <v>190</v>
      </c>
      <c r="BP743" s="2"/>
      <c r="BQ743" s="2"/>
      <c r="BR743" s="2" t="s">
        <v>104</v>
      </c>
      <c r="BS743" s="2" t="s">
        <v>13556</v>
      </c>
      <c r="BT743" s="2" t="str">
        <f aca="false">HYPERLINK("https%3A%2F%2Fwww.webofscience.com%2Fwos%2Fwoscc%2Ffull-record%2FWOS:001262850100001","View Full Record in Web of Science")</f>
        <v>View Full Record in Web of Science</v>
      </c>
    </row>
    <row r="744" customFormat="false" ht="12.75" hidden="false" customHeight="false" outlineLevel="0" collapsed="false">
      <c r="A744" s="2" t="s">
        <v>72</v>
      </c>
      <c r="B744" s="2" t="s">
        <v>13557</v>
      </c>
      <c r="C744" s="2"/>
      <c r="D744" s="2"/>
      <c r="E744" s="2"/>
      <c r="F744" s="2" t="s">
        <v>13558</v>
      </c>
      <c r="G744" s="2"/>
      <c r="H744" s="2"/>
      <c r="I744" s="2" t="s">
        <v>13559</v>
      </c>
      <c r="J744" s="2" t="s">
        <v>1473</v>
      </c>
      <c r="K744" s="2"/>
      <c r="L744" s="2"/>
      <c r="M744" s="2" t="s">
        <v>77</v>
      </c>
      <c r="N744" s="2" t="s">
        <v>78</v>
      </c>
      <c r="O744" s="2"/>
      <c r="P744" s="2"/>
      <c r="Q744" s="2"/>
      <c r="R744" s="2"/>
      <c r="S744" s="2"/>
      <c r="T744" s="2" t="s">
        <v>13560</v>
      </c>
      <c r="U744" s="2" t="s">
        <v>13561</v>
      </c>
      <c r="V744" s="2" t="s">
        <v>13562</v>
      </c>
      <c r="W744" s="2" t="s">
        <v>13563</v>
      </c>
      <c r="X744" s="2" t="s">
        <v>13564</v>
      </c>
      <c r="Y744" s="2" t="s">
        <v>13565</v>
      </c>
      <c r="Z744" s="2" t="s">
        <v>13566</v>
      </c>
      <c r="AA744" s="2" t="s">
        <v>13567</v>
      </c>
      <c r="AB744" s="2"/>
      <c r="AC744" s="2"/>
      <c r="AD744" s="2"/>
      <c r="AE744" s="2"/>
      <c r="AF744" s="2"/>
      <c r="AG744" s="2" t="n">
        <v>38</v>
      </c>
      <c r="AH744" s="2" t="n">
        <v>28</v>
      </c>
      <c r="AI744" s="2" t="n">
        <v>31</v>
      </c>
      <c r="AJ744" s="2" t="n">
        <v>0</v>
      </c>
      <c r="AK744" s="2" t="n">
        <v>3</v>
      </c>
      <c r="AL744" s="2" t="s">
        <v>154</v>
      </c>
      <c r="AM744" s="2" t="s">
        <v>155</v>
      </c>
      <c r="AN744" s="2" t="s">
        <v>156</v>
      </c>
      <c r="AO744" s="2" t="s">
        <v>1485</v>
      </c>
      <c r="AP744" s="2" t="s">
        <v>1486</v>
      </c>
      <c r="AQ744" s="2"/>
      <c r="AR744" s="2" t="s">
        <v>1487</v>
      </c>
      <c r="AS744" s="2" t="s">
        <v>1488</v>
      </c>
      <c r="AT744" s="2" t="s">
        <v>486</v>
      </c>
      <c r="AU744" s="2" t="n">
        <v>2013</v>
      </c>
      <c r="AV744" s="2" t="n">
        <v>15</v>
      </c>
      <c r="AW744" s="2" t="n">
        <v>3</v>
      </c>
      <c r="AX744" s="2"/>
      <c r="AY744" s="2"/>
      <c r="AZ744" s="2"/>
      <c r="BA744" s="2"/>
      <c r="BB744" s="2" t="s">
        <v>13568</v>
      </c>
      <c r="BC744" s="2" t="s">
        <v>13569</v>
      </c>
      <c r="BD744" s="2"/>
      <c r="BE744" s="2" t="s">
        <v>13570</v>
      </c>
      <c r="BF744" s="2" t="str">
        <f aca="false">HYPERLINK("http://dx.doi.org/10.1111/tid.12074","http://dx.doi.org/10.1111/tid.12074")</f>
        <v>http://dx.doi.org/10.1111/tid.12074</v>
      </c>
      <c r="BG744" s="2"/>
      <c r="BH744" s="2"/>
      <c r="BI744" s="2" t="n">
        <v>5</v>
      </c>
      <c r="BJ744" s="2" t="s">
        <v>1490</v>
      </c>
      <c r="BK744" s="2" t="s">
        <v>100</v>
      </c>
      <c r="BL744" s="2" t="s">
        <v>1490</v>
      </c>
      <c r="BM744" s="2" t="s">
        <v>13571</v>
      </c>
      <c r="BN744" s="2" t="n">
        <v>23551689</v>
      </c>
      <c r="BO744" s="2"/>
      <c r="BP744" s="2"/>
      <c r="BQ744" s="2"/>
      <c r="BR744" s="2" t="s">
        <v>104</v>
      </c>
      <c r="BS744" s="2" t="s">
        <v>13572</v>
      </c>
      <c r="BT744" s="2" t="str">
        <f aca="false">HYPERLINK("https%3A%2F%2Fwww.webofscience.com%2Fwos%2Fwoscc%2Ffull-record%2FWOS:000319832000002","View Full Record in Web of Science")</f>
        <v>View Full Record in Web of Science</v>
      </c>
    </row>
    <row r="745" customFormat="false" ht="12.75" hidden="false" customHeight="false" outlineLevel="0" collapsed="false">
      <c r="A745" s="2" t="s">
        <v>72</v>
      </c>
      <c r="B745" s="2" t="s">
        <v>13573</v>
      </c>
      <c r="C745" s="2"/>
      <c r="D745" s="2"/>
      <c r="E745" s="2"/>
      <c r="F745" s="2" t="s">
        <v>13574</v>
      </c>
      <c r="G745" s="2"/>
      <c r="H745" s="2"/>
      <c r="I745" s="2" t="s">
        <v>13575</v>
      </c>
      <c r="J745" s="2" t="s">
        <v>109</v>
      </c>
      <c r="K745" s="2"/>
      <c r="L745" s="2"/>
      <c r="M745" s="2" t="s">
        <v>77</v>
      </c>
      <c r="N745" s="2" t="s">
        <v>78</v>
      </c>
      <c r="O745" s="2"/>
      <c r="P745" s="2"/>
      <c r="Q745" s="2"/>
      <c r="R745" s="2"/>
      <c r="S745" s="2"/>
      <c r="T745" s="2" t="s">
        <v>13576</v>
      </c>
      <c r="U745" s="2" t="s">
        <v>13577</v>
      </c>
      <c r="V745" s="2" t="s">
        <v>13578</v>
      </c>
      <c r="W745" s="2" t="s">
        <v>13579</v>
      </c>
      <c r="X745" s="2" t="s">
        <v>13580</v>
      </c>
      <c r="Y745" s="2" t="s">
        <v>13581</v>
      </c>
      <c r="Z745" s="2" t="s">
        <v>13582</v>
      </c>
      <c r="AA745" s="2" t="s">
        <v>13583</v>
      </c>
      <c r="AB745" s="2" t="s">
        <v>13584</v>
      </c>
      <c r="AC745" s="2"/>
      <c r="AD745" s="2"/>
      <c r="AE745" s="2"/>
      <c r="AF745" s="2"/>
      <c r="AG745" s="2" t="n">
        <v>36</v>
      </c>
      <c r="AH745" s="2" t="n">
        <v>32</v>
      </c>
      <c r="AI745" s="2" t="n">
        <v>38</v>
      </c>
      <c r="AJ745" s="2" t="n">
        <v>0</v>
      </c>
      <c r="AK745" s="2" t="n">
        <v>0</v>
      </c>
      <c r="AL745" s="2" t="s">
        <v>122</v>
      </c>
      <c r="AM745" s="2" t="s">
        <v>123</v>
      </c>
      <c r="AN745" s="2" t="s">
        <v>839</v>
      </c>
      <c r="AO745" s="2" t="s">
        <v>125</v>
      </c>
      <c r="AP745" s="2"/>
      <c r="AQ745" s="2"/>
      <c r="AR745" s="2" t="s">
        <v>127</v>
      </c>
      <c r="AS745" s="2" t="s">
        <v>128</v>
      </c>
      <c r="AT745" s="2" t="s">
        <v>185</v>
      </c>
      <c r="AU745" s="2" t="n">
        <v>2007</v>
      </c>
      <c r="AV745" s="2" t="n">
        <v>26</v>
      </c>
      <c r="AW745" s="2" t="n">
        <v>8</v>
      </c>
      <c r="AX745" s="2"/>
      <c r="AY745" s="2"/>
      <c r="AZ745" s="2"/>
      <c r="BA745" s="2"/>
      <c r="BB745" s="2" t="n">
        <v>693</v>
      </c>
      <c r="BC745" s="2" t="n">
        <v>699</v>
      </c>
      <c r="BD745" s="2"/>
      <c r="BE745" s="2" t="s">
        <v>13585</v>
      </c>
      <c r="BF745" s="2" t="str">
        <f aca="false">HYPERLINK("http://dx.doi.org/10.1097/INF.0b013e3180621192","http://dx.doi.org/10.1097/INF.0b013e3180621192")</f>
        <v>http://dx.doi.org/10.1097/INF.0b013e3180621192</v>
      </c>
      <c r="BG745" s="2"/>
      <c r="BH745" s="2"/>
      <c r="BI745" s="2" t="n">
        <v>7</v>
      </c>
      <c r="BJ745" s="2" t="s">
        <v>134</v>
      </c>
      <c r="BK745" s="2" t="s">
        <v>100</v>
      </c>
      <c r="BL745" s="2" t="s">
        <v>134</v>
      </c>
      <c r="BM745" s="2" t="s">
        <v>13586</v>
      </c>
      <c r="BN745" s="2" t="n">
        <v>17848880</v>
      </c>
      <c r="BO745" s="2"/>
      <c r="BP745" s="2"/>
      <c r="BQ745" s="2"/>
      <c r="BR745" s="2" t="s">
        <v>104</v>
      </c>
      <c r="BS745" s="2" t="s">
        <v>13587</v>
      </c>
      <c r="BT745" s="2" t="str">
        <f aca="false">HYPERLINK("https%3A%2F%2Fwww.webofscience.com%2Fwos%2Fwoscc%2Ffull-record%2FWOS:000248647500006","View Full Record in Web of Science")</f>
        <v>View Full Record in Web of Science</v>
      </c>
    </row>
    <row r="746" customFormat="false" ht="12.75" hidden="false" customHeight="false" outlineLevel="0" collapsed="false">
      <c r="A746" s="2" t="s">
        <v>72</v>
      </c>
      <c r="B746" s="2" t="s">
        <v>13588</v>
      </c>
      <c r="C746" s="2"/>
      <c r="D746" s="2"/>
      <c r="E746" s="2"/>
      <c r="F746" s="2" t="s">
        <v>13589</v>
      </c>
      <c r="G746" s="2"/>
      <c r="H746" s="2"/>
      <c r="I746" s="2" t="s">
        <v>13590</v>
      </c>
      <c r="J746" s="2" t="s">
        <v>1863</v>
      </c>
      <c r="K746" s="2"/>
      <c r="L746" s="2"/>
      <c r="M746" s="2" t="s">
        <v>77</v>
      </c>
      <c r="N746" s="2" t="s">
        <v>78</v>
      </c>
      <c r="O746" s="2"/>
      <c r="P746" s="2"/>
      <c r="Q746" s="2"/>
      <c r="R746" s="2"/>
      <c r="S746" s="2"/>
      <c r="T746" s="2" t="s">
        <v>13591</v>
      </c>
      <c r="U746" s="2" t="s">
        <v>13592</v>
      </c>
      <c r="V746" s="2" t="s">
        <v>13593</v>
      </c>
      <c r="W746" s="2" t="s">
        <v>13594</v>
      </c>
      <c r="X746" s="2" t="s">
        <v>13595</v>
      </c>
      <c r="Y746" s="2" t="s">
        <v>13596</v>
      </c>
      <c r="Z746" s="2" t="s">
        <v>13597</v>
      </c>
      <c r="AA746" s="2" t="s">
        <v>13598</v>
      </c>
      <c r="AB746" s="2"/>
      <c r="AC746" s="2" t="s">
        <v>13599</v>
      </c>
      <c r="AD746" s="2" t="s">
        <v>13600</v>
      </c>
      <c r="AE746" s="2" t="s">
        <v>13601</v>
      </c>
      <c r="AF746" s="2"/>
      <c r="AG746" s="2" t="n">
        <v>35</v>
      </c>
      <c r="AH746" s="2" t="n">
        <v>0</v>
      </c>
      <c r="AI746" s="2" t="n">
        <v>0</v>
      </c>
      <c r="AJ746" s="2" t="n">
        <v>4</v>
      </c>
      <c r="AK746" s="2" t="n">
        <v>5</v>
      </c>
      <c r="AL746" s="2" t="s">
        <v>302</v>
      </c>
      <c r="AM746" s="2" t="s">
        <v>303</v>
      </c>
      <c r="AN746" s="2" t="s">
        <v>304</v>
      </c>
      <c r="AO746" s="2"/>
      <c r="AP746" s="2" t="s">
        <v>1876</v>
      </c>
      <c r="AQ746" s="2"/>
      <c r="AR746" s="2" t="s">
        <v>1877</v>
      </c>
      <c r="AS746" s="2" t="s">
        <v>1878</v>
      </c>
      <c r="AT746" s="2" t="s">
        <v>1709</v>
      </c>
      <c r="AU746" s="2" t="n">
        <v>2024</v>
      </c>
      <c r="AV746" s="2" t="n">
        <v>21</v>
      </c>
      <c r="AW746" s="2" t="n">
        <v>1</v>
      </c>
      <c r="AX746" s="2"/>
      <c r="AY746" s="2"/>
      <c r="AZ746" s="2"/>
      <c r="BA746" s="2"/>
      <c r="BB746" s="2"/>
      <c r="BC746" s="2"/>
      <c r="BD746" s="2" t="n">
        <v>100</v>
      </c>
      <c r="BE746" s="2" t="s">
        <v>13602</v>
      </c>
      <c r="BF746" s="2" t="str">
        <f aca="false">HYPERLINK("http://dx.doi.org/10.1186/s12985-024-02376-0","http://dx.doi.org/10.1186/s12985-024-02376-0")</f>
        <v>http://dx.doi.org/10.1186/s12985-024-02376-0</v>
      </c>
      <c r="BG746" s="2"/>
      <c r="BH746" s="2"/>
      <c r="BI746" s="2" t="n">
        <v>14</v>
      </c>
      <c r="BJ746" s="2" t="s">
        <v>163</v>
      </c>
      <c r="BK746" s="2" t="s">
        <v>100</v>
      </c>
      <c r="BL746" s="2" t="s">
        <v>163</v>
      </c>
      <c r="BM746" s="2" t="s">
        <v>13603</v>
      </c>
      <c r="BN746" s="2" t="n">
        <v>38689312</v>
      </c>
      <c r="BO746" s="2" t="s">
        <v>190</v>
      </c>
      <c r="BP746" s="2"/>
      <c r="BQ746" s="2"/>
      <c r="BR746" s="2" t="s">
        <v>104</v>
      </c>
      <c r="BS746" s="2" t="s">
        <v>13604</v>
      </c>
      <c r="BT746" s="2" t="str">
        <f aca="false">HYPERLINK("https%3A%2F%2Fwww.webofscience.com%2Fwos%2Fwoscc%2Ffull-record%2FWOS:001211499800001","View Full Record in Web of Science")</f>
        <v>View Full Record in Web of Science</v>
      </c>
    </row>
    <row r="747" customFormat="false" ht="12.75" hidden="false" customHeight="false" outlineLevel="0" collapsed="false">
      <c r="A747" s="2" t="s">
        <v>72</v>
      </c>
      <c r="B747" s="2" t="s">
        <v>13605</v>
      </c>
      <c r="C747" s="2"/>
      <c r="D747" s="2"/>
      <c r="E747" s="2"/>
      <c r="F747" s="2" t="s">
        <v>13606</v>
      </c>
      <c r="G747" s="2"/>
      <c r="H747" s="2"/>
      <c r="I747" s="2" t="s">
        <v>13607</v>
      </c>
      <c r="J747" s="2" t="s">
        <v>453</v>
      </c>
      <c r="K747" s="2"/>
      <c r="L747" s="2"/>
      <c r="M747" s="2" t="s">
        <v>77</v>
      </c>
      <c r="N747" s="2" t="s">
        <v>78</v>
      </c>
      <c r="O747" s="2"/>
      <c r="P747" s="2"/>
      <c r="Q747" s="2"/>
      <c r="R747" s="2"/>
      <c r="S747" s="2"/>
      <c r="T747" s="2" t="s">
        <v>13608</v>
      </c>
      <c r="U747" s="2" t="s">
        <v>13609</v>
      </c>
      <c r="V747" s="2" t="s">
        <v>13610</v>
      </c>
      <c r="W747" s="2" t="s">
        <v>13611</v>
      </c>
      <c r="X747" s="2" t="s">
        <v>13612</v>
      </c>
      <c r="Y747" s="2" t="s">
        <v>13613</v>
      </c>
      <c r="Z747" s="2" t="s">
        <v>13614</v>
      </c>
      <c r="AA747" s="2" t="s">
        <v>13615</v>
      </c>
      <c r="AB747" s="2" t="s">
        <v>13616</v>
      </c>
      <c r="AC747" s="2"/>
      <c r="AD747" s="2"/>
      <c r="AE747" s="2"/>
      <c r="AF747" s="2"/>
      <c r="AG747" s="2" t="n">
        <v>26</v>
      </c>
      <c r="AH747" s="2" t="n">
        <v>3</v>
      </c>
      <c r="AI747" s="2" t="n">
        <v>3</v>
      </c>
      <c r="AJ747" s="2" t="n">
        <v>0</v>
      </c>
      <c r="AK747" s="2" t="n">
        <v>2</v>
      </c>
      <c r="AL747" s="2" t="s">
        <v>592</v>
      </c>
      <c r="AM747" s="2" t="s">
        <v>593</v>
      </c>
      <c r="AN747" s="2" t="s">
        <v>859</v>
      </c>
      <c r="AO747" s="2" t="s">
        <v>468</v>
      </c>
      <c r="AP747" s="2"/>
      <c r="AQ747" s="2"/>
      <c r="AR747" s="2" t="s">
        <v>469</v>
      </c>
      <c r="AS747" s="2" t="s">
        <v>470</v>
      </c>
      <c r="AT747" s="2" t="s">
        <v>13617</v>
      </c>
      <c r="AU747" s="2" t="n">
        <v>2023</v>
      </c>
      <c r="AV747" s="2" t="n">
        <v>13</v>
      </c>
      <c r="AW747" s="2" t="n">
        <v>1</v>
      </c>
      <c r="AX747" s="2"/>
      <c r="AY747" s="2"/>
      <c r="AZ747" s="2"/>
      <c r="BA747" s="2"/>
      <c r="BB747" s="2"/>
      <c r="BC747" s="2"/>
      <c r="BD747" s="2" t="n">
        <v>21</v>
      </c>
      <c r="BE747" s="2" t="s">
        <v>13618</v>
      </c>
      <c r="BF747" s="2" t="str">
        <f aca="false">HYPERLINK("http://dx.doi.org/10.1186/s13613-023-01117-w","http://dx.doi.org/10.1186/s13613-023-01117-w")</f>
        <v>http://dx.doi.org/10.1186/s13613-023-01117-w</v>
      </c>
      <c r="BG747" s="2"/>
      <c r="BH747" s="2"/>
      <c r="BI747" s="2" t="n">
        <v>11</v>
      </c>
      <c r="BJ747" s="2" t="s">
        <v>473</v>
      </c>
      <c r="BK747" s="2" t="s">
        <v>100</v>
      </c>
      <c r="BL747" s="2" t="s">
        <v>364</v>
      </c>
      <c r="BM747" s="2" t="s">
        <v>13619</v>
      </c>
      <c r="BN747" s="2" t="n">
        <v>36940047</v>
      </c>
      <c r="BO747" s="2" t="s">
        <v>103</v>
      </c>
      <c r="BP747" s="2"/>
      <c r="BQ747" s="2"/>
      <c r="BR747" s="2" t="s">
        <v>104</v>
      </c>
      <c r="BS747" s="2" t="s">
        <v>13620</v>
      </c>
      <c r="BT747" s="2" t="str">
        <f aca="false">HYPERLINK("https%3A%2F%2Fwww.webofscience.com%2Fwos%2Fwoscc%2Ffull-record%2FWOS:000950878700001","View Full Record in Web of Science")</f>
        <v>View Full Record in Web of Science</v>
      </c>
    </row>
    <row r="748" customFormat="false" ht="12.75" hidden="false" customHeight="false" outlineLevel="0" collapsed="false">
      <c r="A748" s="2" t="s">
        <v>72</v>
      </c>
      <c r="B748" s="2" t="s">
        <v>13621</v>
      </c>
      <c r="C748" s="2"/>
      <c r="D748" s="2"/>
      <c r="E748" s="2"/>
      <c r="F748" s="2" t="s">
        <v>13622</v>
      </c>
      <c r="G748" s="2"/>
      <c r="H748" s="2"/>
      <c r="I748" s="2" t="s">
        <v>13623</v>
      </c>
      <c r="J748" s="2" t="s">
        <v>717</v>
      </c>
      <c r="K748" s="2"/>
      <c r="L748" s="2"/>
      <c r="M748" s="2" t="s">
        <v>77</v>
      </c>
      <c r="N748" s="2" t="s">
        <v>78</v>
      </c>
      <c r="O748" s="2"/>
      <c r="P748" s="2"/>
      <c r="Q748" s="2"/>
      <c r="R748" s="2"/>
      <c r="S748" s="2"/>
      <c r="T748" s="2" t="s">
        <v>13624</v>
      </c>
      <c r="U748" s="2" t="s">
        <v>13625</v>
      </c>
      <c r="V748" s="2" t="s">
        <v>13626</v>
      </c>
      <c r="W748" s="2" t="s">
        <v>13627</v>
      </c>
      <c r="X748" s="2" t="s">
        <v>13628</v>
      </c>
      <c r="Y748" s="2" t="s">
        <v>9616</v>
      </c>
      <c r="Z748" s="2" t="s">
        <v>749</v>
      </c>
      <c r="AA748" s="2" t="s">
        <v>13629</v>
      </c>
      <c r="AB748" s="2" t="s">
        <v>13630</v>
      </c>
      <c r="AC748" s="2" t="s">
        <v>13631</v>
      </c>
      <c r="AD748" s="2" t="s">
        <v>13632</v>
      </c>
      <c r="AE748" s="2" t="s">
        <v>13633</v>
      </c>
      <c r="AF748" s="2"/>
      <c r="AG748" s="2" t="n">
        <v>26</v>
      </c>
      <c r="AH748" s="2" t="n">
        <v>11</v>
      </c>
      <c r="AI748" s="2" t="n">
        <v>11</v>
      </c>
      <c r="AJ748" s="2" t="n">
        <v>0</v>
      </c>
      <c r="AK748" s="2" t="n">
        <v>1</v>
      </c>
      <c r="AL748" s="2" t="s">
        <v>549</v>
      </c>
      <c r="AM748" s="2" t="s">
        <v>384</v>
      </c>
      <c r="AN748" s="2" t="s">
        <v>550</v>
      </c>
      <c r="AO748" s="2" t="s">
        <v>729</v>
      </c>
      <c r="AP748" s="2" t="s">
        <v>730</v>
      </c>
      <c r="AQ748" s="2"/>
      <c r="AR748" s="2" t="s">
        <v>731</v>
      </c>
      <c r="AS748" s="2" t="s">
        <v>732</v>
      </c>
      <c r="AT748" s="2" t="s">
        <v>129</v>
      </c>
      <c r="AU748" s="2" t="n">
        <v>2018</v>
      </c>
      <c r="AV748" s="2" t="n">
        <v>259</v>
      </c>
      <c r="AW748" s="2"/>
      <c r="AX748" s="2"/>
      <c r="AY748" s="2"/>
      <c r="AZ748" s="2"/>
      <c r="BA748" s="2"/>
      <c r="BB748" s="2" t="n">
        <v>1</v>
      </c>
      <c r="BC748" s="2" t="n">
        <v>9</v>
      </c>
      <c r="BD748" s="2"/>
      <c r="BE748" s="2" t="s">
        <v>13634</v>
      </c>
      <c r="BF748" s="2" t="str">
        <f aca="false">HYPERLINK("http://dx.doi.org/10.1016/j.jviromet.2018.05.012","http://dx.doi.org/10.1016/j.jviromet.2018.05.012")</f>
        <v>http://dx.doi.org/10.1016/j.jviromet.2018.05.012</v>
      </c>
      <c r="BG748" s="2"/>
      <c r="BH748" s="2"/>
      <c r="BI748" s="2" t="n">
        <v>9</v>
      </c>
      <c r="BJ748" s="2" t="s">
        <v>735</v>
      </c>
      <c r="BK748" s="2" t="s">
        <v>100</v>
      </c>
      <c r="BL748" s="2" t="s">
        <v>736</v>
      </c>
      <c r="BM748" s="2" t="s">
        <v>13635</v>
      </c>
      <c r="BN748" s="2" t="n">
        <v>29807042</v>
      </c>
      <c r="BO748" s="2" t="s">
        <v>4062</v>
      </c>
      <c r="BP748" s="2"/>
      <c r="BQ748" s="2"/>
      <c r="BR748" s="2" t="s">
        <v>104</v>
      </c>
      <c r="BS748" s="2" t="s">
        <v>13636</v>
      </c>
      <c r="BT748" s="2" t="str">
        <f aca="false">HYPERLINK("https%3A%2F%2Fwww.webofscience.com%2Fwos%2Fwoscc%2Ffull-record%2FWOS:000439673700001","View Full Record in Web of Science")</f>
        <v>View Full Record in Web of Science</v>
      </c>
    </row>
    <row r="749" customFormat="false" ht="12.75" hidden="false" customHeight="false" outlineLevel="0" collapsed="false">
      <c r="A749" s="2" t="s">
        <v>72</v>
      </c>
      <c r="B749" s="2" t="s">
        <v>13637</v>
      </c>
      <c r="C749" s="2"/>
      <c r="D749" s="2"/>
      <c r="E749" s="2"/>
      <c r="F749" s="2" t="s">
        <v>13638</v>
      </c>
      <c r="G749" s="2"/>
      <c r="H749" s="2"/>
      <c r="I749" s="2" t="s">
        <v>13639</v>
      </c>
      <c r="J749" s="2" t="s">
        <v>141</v>
      </c>
      <c r="K749" s="2"/>
      <c r="L749" s="2"/>
      <c r="M749" s="2" t="s">
        <v>77</v>
      </c>
      <c r="N749" s="2" t="s">
        <v>78</v>
      </c>
      <c r="O749" s="2"/>
      <c r="P749" s="2"/>
      <c r="Q749" s="2"/>
      <c r="R749" s="2"/>
      <c r="S749" s="2"/>
      <c r="T749" s="2" t="s">
        <v>13640</v>
      </c>
      <c r="U749" s="2" t="s">
        <v>13641</v>
      </c>
      <c r="V749" s="2" t="s">
        <v>13642</v>
      </c>
      <c r="W749" s="2" t="s">
        <v>13643</v>
      </c>
      <c r="X749" s="2" t="s">
        <v>13644</v>
      </c>
      <c r="Y749" s="2" t="s">
        <v>13645</v>
      </c>
      <c r="Z749" s="2" t="s">
        <v>13646</v>
      </c>
      <c r="AA749" s="2" t="s">
        <v>13647</v>
      </c>
      <c r="AB749" s="2" t="s">
        <v>13648</v>
      </c>
      <c r="AC749" s="2"/>
      <c r="AD749" s="2"/>
      <c r="AE749" s="2"/>
      <c r="AF749" s="2"/>
      <c r="AG749" s="2" t="n">
        <v>42</v>
      </c>
      <c r="AH749" s="2" t="n">
        <v>15</v>
      </c>
      <c r="AI749" s="2" t="n">
        <v>16</v>
      </c>
      <c r="AJ749" s="2" t="n">
        <v>0</v>
      </c>
      <c r="AK749" s="2" t="n">
        <v>0</v>
      </c>
      <c r="AL749" s="2" t="s">
        <v>154</v>
      </c>
      <c r="AM749" s="2" t="s">
        <v>155</v>
      </c>
      <c r="AN749" s="2" t="s">
        <v>156</v>
      </c>
      <c r="AO749" s="2" t="s">
        <v>157</v>
      </c>
      <c r="AP749" s="2" t="s">
        <v>158</v>
      </c>
      <c r="AQ749" s="2"/>
      <c r="AR749" s="2" t="s">
        <v>159</v>
      </c>
      <c r="AS749" s="2" t="s">
        <v>160</v>
      </c>
      <c r="AT749" s="2" t="s">
        <v>97</v>
      </c>
      <c r="AU749" s="2" t="n">
        <v>2008</v>
      </c>
      <c r="AV749" s="2" t="n">
        <v>80</v>
      </c>
      <c r="AW749" s="2" t="n">
        <v>3</v>
      </c>
      <c r="AX749" s="2"/>
      <c r="AY749" s="2"/>
      <c r="AZ749" s="2"/>
      <c r="BA749" s="2"/>
      <c r="BB749" s="2" t="n">
        <v>510</v>
      </c>
      <c r="BC749" s="2" t="n">
        <v>516</v>
      </c>
      <c r="BD749" s="2"/>
      <c r="BE749" s="2" t="s">
        <v>13649</v>
      </c>
      <c r="BF749" s="2" t="str">
        <f aca="false">HYPERLINK("http://dx.doi.org/10.1002/jmv.21081","http://dx.doi.org/10.1002/jmv.21081")</f>
        <v>http://dx.doi.org/10.1002/jmv.21081</v>
      </c>
      <c r="BG749" s="2"/>
      <c r="BH749" s="2"/>
      <c r="BI749" s="2" t="n">
        <v>7</v>
      </c>
      <c r="BJ749" s="2" t="s">
        <v>163</v>
      </c>
      <c r="BK749" s="2" t="s">
        <v>100</v>
      </c>
      <c r="BL749" s="2" t="s">
        <v>163</v>
      </c>
      <c r="BM749" s="2" t="s">
        <v>13650</v>
      </c>
      <c r="BN749" s="2" t="n">
        <v>18205227</v>
      </c>
      <c r="BO749" s="2"/>
      <c r="BP749" s="2"/>
      <c r="BQ749" s="2"/>
      <c r="BR749" s="2" t="s">
        <v>104</v>
      </c>
      <c r="BS749" s="2" t="s">
        <v>13651</v>
      </c>
      <c r="BT749" s="2" t="str">
        <f aca="false">HYPERLINK("https%3A%2F%2Fwww.webofscience.com%2Fwos%2Fwoscc%2Ffull-record%2FWOS:000252756500019","View Full Record in Web of Science")</f>
        <v>View Full Record in Web of Science</v>
      </c>
    </row>
    <row r="750" customFormat="false" ht="12.75" hidden="false" customHeight="false" outlineLevel="0" collapsed="false">
      <c r="A750" s="2" t="s">
        <v>72</v>
      </c>
      <c r="B750" s="2" t="s">
        <v>13652</v>
      </c>
      <c r="C750" s="2"/>
      <c r="D750" s="2"/>
      <c r="E750" s="2"/>
      <c r="F750" s="2" t="s">
        <v>13653</v>
      </c>
      <c r="G750" s="2"/>
      <c r="H750" s="2"/>
      <c r="I750" s="2" t="s">
        <v>13654</v>
      </c>
      <c r="J750" s="2" t="s">
        <v>11019</v>
      </c>
      <c r="K750" s="2"/>
      <c r="L750" s="2"/>
      <c r="M750" s="2" t="s">
        <v>77</v>
      </c>
      <c r="N750" s="2" t="s">
        <v>78</v>
      </c>
      <c r="O750" s="2"/>
      <c r="P750" s="2"/>
      <c r="Q750" s="2"/>
      <c r="R750" s="2"/>
      <c r="S750" s="2"/>
      <c r="T750" s="2" t="s">
        <v>13655</v>
      </c>
      <c r="U750" s="2"/>
      <c r="V750" s="2" t="s">
        <v>13656</v>
      </c>
      <c r="W750" s="2" t="s">
        <v>13657</v>
      </c>
      <c r="X750" s="2" t="s">
        <v>13658</v>
      </c>
      <c r="Y750" s="2" t="s">
        <v>13659</v>
      </c>
      <c r="Z750" s="2" t="s">
        <v>13660</v>
      </c>
      <c r="AA750" s="2" t="s">
        <v>13661</v>
      </c>
      <c r="AB750" s="2" t="s">
        <v>13662</v>
      </c>
      <c r="AC750" s="2" t="s">
        <v>13663</v>
      </c>
      <c r="AD750" s="2" t="s">
        <v>13664</v>
      </c>
      <c r="AE750" s="2" t="s">
        <v>13665</v>
      </c>
      <c r="AF750" s="2"/>
      <c r="AG750" s="2" t="n">
        <v>14</v>
      </c>
      <c r="AH750" s="2" t="n">
        <v>5</v>
      </c>
      <c r="AI750" s="2" t="n">
        <v>5</v>
      </c>
      <c r="AJ750" s="2" t="n">
        <v>0</v>
      </c>
      <c r="AK750" s="2" t="n">
        <v>2</v>
      </c>
      <c r="AL750" s="2" t="s">
        <v>154</v>
      </c>
      <c r="AM750" s="2" t="s">
        <v>155</v>
      </c>
      <c r="AN750" s="2" t="s">
        <v>156</v>
      </c>
      <c r="AO750" s="2" t="s">
        <v>11028</v>
      </c>
      <c r="AP750" s="2" t="s">
        <v>11029</v>
      </c>
      <c r="AQ750" s="2"/>
      <c r="AR750" s="2" t="s">
        <v>11030</v>
      </c>
      <c r="AS750" s="2" t="s">
        <v>11031</v>
      </c>
      <c r="AT750" s="2" t="s">
        <v>599</v>
      </c>
      <c r="AU750" s="2" t="n">
        <v>2018</v>
      </c>
      <c r="AV750" s="2" t="n">
        <v>12</v>
      </c>
      <c r="AW750" s="2" t="n">
        <v>4</v>
      </c>
      <c r="AX750" s="2"/>
      <c r="AY750" s="2"/>
      <c r="AZ750" s="2"/>
      <c r="BA750" s="2"/>
      <c r="BB750" s="2" t="n">
        <v>508</v>
      </c>
      <c r="BC750" s="2" t="n">
        <v>513</v>
      </c>
      <c r="BD750" s="2"/>
      <c r="BE750" s="2" t="s">
        <v>13666</v>
      </c>
      <c r="BF750" s="2" t="str">
        <f aca="false">HYPERLINK("http://dx.doi.org/10.1111/irv.12537","http://dx.doi.org/10.1111/irv.12537")</f>
        <v>http://dx.doi.org/10.1111/irv.12537</v>
      </c>
      <c r="BG750" s="2"/>
      <c r="BH750" s="2"/>
      <c r="BI750" s="2" t="n">
        <v>6</v>
      </c>
      <c r="BJ750" s="2" t="s">
        <v>8287</v>
      </c>
      <c r="BK750" s="2" t="s">
        <v>100</v>
      </c>
      <c r="BL750" s="2" t="s">
        <v>8287</v>
      </c>
      <c r="BM750" s="2" t="s">
        <v>13667</v>
      </c>
      <c r="BN750" s="2" t="n">
        <v>29288526</v>
      </c>
      <c r="BO750" s="2" t="s">
        <v>190</v>
      </c>
      <c r="BP750" s="2"/>
      <c r="BQ750" s="2"/>
      <c r="BR750" s="2" t="s">
        <v>104</v>
      </c>
      <c r="BS750" s="2" t="s">
        <v>13668</v>
      </c>
      <c r="BT750" s="2" t="str">
        <f aca="false">HYPERLINK("https%3A%2F%2Fwww.webofscience.com%2Fwos%2Fwoscc%2Ffull-record%2FWOS:000435443000010","View Full Record in Web of Science")</f>
        <v>View Full Record in Web of Science</v>
      </c>
    </row>
    <row r="751" customFormat="false" ht="12.75" hidden="false" customHeight="false" outlineLevel="0" collapsed="false">
      <c r="A751" s="2" t="s">
        <v>72</v>
      </c>
      <c r="B751" s="2" t="s">
        <v>13669</v>
      </c>
      <c r="C751" s="2"/>
      <c r="D751" s="2"/>
      <c r="E751" s="2"/>
      <c r="F751" s="2" t="s">
        <v>13670</v>
      </c>
      <c r="G751" s="2"/>
      <c r="H751" s="2"/>
      <c r="I751" s="2" t="s">
        <v>13671</v>
      </c>
      <c r="J751" s="2" t="s">
        <v>109</v>
      </c>
      <c r="K751" s="2"/>
      <c r="L751" s="2"/>
      <c r="M751" s="2" t="s">
        <v>77</v>
      </c>
      <c r="N751" s="2" t="s">
        <v>78</v>
      </c>
      <c r="O751" s="2"/>
      <c r="P751" s="2"/>
      <c r="Q751" s="2"/>
      <c r="R751" s="2"/>
      <c r="S751" s="2"/>
      <c r="T751" s="2" t="s">
        <v>13672</v>
      </c>
      <c r="U751" s="2" t="s">
        <v>13673</v>
      </c>
      <c r="V751" s="2" t="s">
        <v>13674</v>
      </c>
      <c r="W751" s="2" t="s">
        <v>13675</v>
      </c>
      <c r="X751" s="2" t="s">
        <v>13676</v>
      </c>
      <c r="Y751" s="2" t="s">
        <v>13677</v>
      </c>
      <c r="Z751" s="2" t="s">
        <v>13678</v>
      </c>
      <c r="AA751" s="2"/>
      <c r="AB751" s="2"/>
      <c r="AC751" s="2"/>
      <c r="AD751" s="2"/>
      <c r="AE751" s="2"/>
      <c r="AF751" s="2"/>
      <c r="AG751" s="2" t="n">
        <v>30</v>
      </c>
      <c r="AH751" s="2" t="n">
        <v>4</v>
      </c>
      <c r="AI751" s="2" t="n">
        <v>6</v>
      </c>
      <c r="AJ751" s="2" t="n">
        <v>0</v>
      </c>
      <c r="AK751" s="2" t="n">
        <v>4</v>
      </c>
      <c r="AL751" s="2" t="s">
        <v>122</v>
      </c>
      <c r="AM751" s="2" t="s">
        <v>123</v>
      </c>
      <c r="AN751" s="2" t="s">
        <v>124</v>
      </c>
      <c r="AO751" s="2" t="s">
        <v>125</v>
      </c>
      <c r="AP751" s="2" t="s">
        <v>126</v>
      </c>
      <c r="AQ751" s="2"/>
      <c r="AR751" s="2" t="s">
        <v>127</v>
      </c>
      <c r="AS751" s="2" t="s">
        <v>128</v>
      </c>
      <c r="AT751" s="2" t="s">
        <v>692</v>
      </c>
      <c r="AU751" s="2" t="n">
        <v>2022</v>
      </c>
      <c r="AV751" s="2" t="n">
        <v>41</v>
      </c>
      <c r="AW751" s="2" t="n">
        <v>4</v>
      </c>
      <c r="AX751" s="2"/>
      <c r="AY751" s="2"/>
      <c r="AZ751" s="2"/>
      <c r="BA751" s="2"/>
      <c r="BB751" s="2" t="n">
        <v>284</v>
      </c>
      <c r="BC751" s="2" t="n">
        <v>289</v>
      </c>
      <c r="BD751" s="2"/>
      <c r="BE751" s="2" t="s">
        <v>13679</v>
      </c>
      <c r="BF751" s="2" t="str">
        <f aca="false">HYPERLINK("http://dx.doi.org/10.1097/INF.0000000000003416","http://dx.doi.org/10.1097/INF.0000000000003416")</f>
        <v>http://dx.doi.org/10.1097/INF.0000000000003416</v>
      </c>
      <c r="BG751" s="2"/>
      <c r="BH751" s="2"/>
      <c r="BI751" s="2" t="n">
        <v>6</v>
      </c>
      <c r="BJ751" s="2" t="s">
        <v>134</v>
      </c>
      <c r="BK751" s="2" t="s">
        <v>100</v>
      </c>
      <c r="BL751" s="2" t="s">
        <v>134</v>
      </c>
      <c r="BM751" s="2" t="s">
        <v>13680</v>
      </c>
      <c r="BN751" s="2" t="n">
        <v>35315823</v>
      </c>
      <c r="BO751" s="2"/>
      <c r="BP751" s="2"/>
      <c r="BQ751" s="2"/>
      <c r="BR751" s="2" t="s">
        <v>104</v>
      </c>
      <c r="BS751" s="2" t="s">
        <v>13681</v>
      </c>
      <c r="BT751" s="2" t="str">
        <f aca="false">HYPERLINK("https%3A%2F%2Fwww.webofscience.com%2Fwos%2Fwoscc%2Ffull-record%2FWOS:000771609900021","View Full Record in Web of Science")</f>
        <v>View Full Record in Web of Science</v>
      </c>
    </row>
    <row r="752" customFormat="false" ht="12.75" hidden="false" customHeight="false" outlineLevel="0" collapsed="false">
      <c r="A752" s="2" t="s">
        <v>72</v>
      </c>
      <c r="B752" s="2" t="s">
        <v>13682</v>
      </c>
      <c r="C752" s="2"/>
      <c r="D752" s="2"/>
      <c r="E752" s="2"/>
      <c r="F752" s="2" t="s">
        <v>13683</v>
      </c>
      <c r="G752" s="2"/>
      <c r="H752" s="2"/>
      <c r="I752" s="2" t="s">
        <v>13684</v>
      </c>
      <c r="J752" s="2" t="s">
        <v>1290</v>
      </c>
      <c r="K752" s="2"/>
      <c r="L752" s="2"/>
      <c r="M752" s="2" t="s">
        <v>77</v>
      </c>
      <c r="N752" s="2" t="s">
        <v>78</v>
      </c>
      <c r="O752" s="2"/>
      <c r="P752" s="2"/>
      <c r="Q752" s="2"/>
      <c r="R752" s="2"/>
      <c r="S752" s="2"/>
      <c r="T752" s="2" t="s">
        <v>13685</v>
      </c>
      <c r="U752" s="2" t="s">
        <v>13686</v>
      </c>
      <c r="V752" s="2" t="s">
        <v>13687</v>
      </c>
      <c r="W752" s="2" t="s">
        <v>13688</v>
      </c>
      <c r="X752" s="2" t="s">
        <v>13689</v>
      </c>
      <c r="Y752" s="2" t="s">
        <v>13690</v>
      </c>
      <c r="Z752" s="2" t="s">
        <v>13691</v>
      </c>
      <c r="AA752" s="2" t="s">
        <v>13692</v>
      </c>
      <c r="AB752" s="2" t="s">
        <v>13693</v>
      </c>
      <c r="AC752" s="2"/>
      <c r="AD752" s="2"/>
      <c r="AE752" s="2"/>
      <c r="AF752" s="2"/>
      <c r="AG752" s="2" t="n">
        <v>28</v>
      </c>
      <c r="AH752" s="2" t="n">
        <v>11</v>
      </c>
      <c r="AI752" s="2" t="n">
        <v>16</v>
      </c>
      <c r="AJ752" s="2" t="n">
        <v>0</v>
      </c>
      <c r="AK752" s="2" t="n">
        <v>3</v>
      </c>
      <c r="AL752" s="2" t="s">
        <v>154</v>
      </c>
      <c r="AM752" s="2" t="s">
        <v>155</v>
      </c>
      <c r="AN752" s="2" t="s">
        <v>156</v>
      </c>
      <c r="AO752" s="2" t="s">
        <v>1302</v>
      </c>
      <c r="AP752" s="2" t="s">
        <v>1303</v>
      </c>
      <c r="AQ752" s="2"/>
      <c r="AR752" s="2" t="s">
        <v>1304</v>
      </c>
      <c r="AS752" s="2" t="s">
        <v>1305</v>
      </c>
      <c r="AT752" s="2" t="s">
        <v>599</v>
      </c>
      <c r="AU752" s="2" t="n">
        <v>2018</v>
      </c>
      <c r="AV752" s="2" t="n">
        <v>53</v>
      </c>
      <c r="AW752" s="2" t="n">
        <v>7</v>
      </c>
      <c r="AX752" s="2"/>
      <c r="AY752" s="2"/>
      <c r="AZ752" s="2"/>
      <c r="BA752" s="2"/>
      <c r="BB752" s="2" t="n">
        <v>929</v>
      </c>
      <c r="BC752" s="2" t="n">
        <v>935</v>
      </c>
      <c r="BD752" s="2"/>
      <c r="BE752" s="2" t="s">
        <v>13694</v>
      </c>
      <c r="BF752" s="2" t="str">
        <f aca="false">HYPERLINK("http://dx.doi.org/10.1002/ppul.24044","http://dx.doi.org/10.1002/ppul.24044")</f>
        <v>http://dx.doi.org/10.1002/ppul.24044</v>
      </c>
      <c r="BG752" s="2"/>
      <c r="BH752" s="2"/>
      <c r="BI752" s="2" t="n">
        <v>7</v>
      </c>
      <c r="BJ752" s="2" t="s">
        <v>1307</v>
      </c>
      <c r="BK752" s="2" t="s">
        <v>100</v>
      </c>
      <c r="BL752" s="2" t="s">
        <v>1307</v>
      </c>
      <c r="BM752" s="2" t="s">
        <v>13695</v>
      </c>
      <c r="BN752" s="2" t="n">
        <v>29737017</v>
      </c>
      <c r="BO752" s="2"/>
      <c r="BP752" s="2"/>
      <c r="BQ752" s="2"/>
      <c r="BR752" s="2" t="s">
        <v>104</v>
      </c>
      <c r="BS752" s="2" t="s">
        <v>13696</v>
      </c>
      <c r="BT752" s="2" t="str">
        <f aca="false">HYPERLINK("https%3A%2F%2Fwww.webofscience.com%2Fwos%2Fwoscc%2Ffull-record%2FWOS:000435804700012","View Full Record in Web of Science")</f>
        <v>View Full Record in Web of Science</v>
      </c>
    </row>
    <row r="753" customFormat="false" ht="12.75" hidden="false" customHeight="false" outlineLevel="0" collapsed="false">
      <c r="A753" s="2" t="s">
        <v>72</v>
      </c>
      <c r="B753" s="2" t="s">
        <v>13697</v>
      </c>
      <c r="C753" s="2"/>
      <c r="D753" s="2"/>
      <c r="E753" s="2"/>
      <c r="F753" s="2" t="s">
        <v>13698</v>
      </c>
      <c r="G753" s="2"/>
      <c r="H753" s="2"/>
      <c r="I753" s="2" t="s">
        <v>13699</v>
      </c>
      <c r="J753" s="2" t="s">
        <v>13700</v>
      </c>
      <c r="K753" s="2"/>
      <c r="L753" s="2"/>
      <c r="M753" s="2" t="s">
        <v>77</v>
      </c>
      <c r="N753" s="2" t="s">
        <v>78</v>
      </c>
      <c r="O753" s="2"/>
      <c r="P753" s="2"/>
      <c r="Q753" s="2"/>
      <c r="R753" s="2"/>
      <c r="S753" s="2"/>
      <c r="T753" s="2" t="s">
        <v>13701</v>
      </c>
      <c r="U753" s="2" t="s">
        <v>13702</v>
      </c>
      <c r="V753" s="2" t="s">
        <v>13703</v>
      </c>
      <c r="W753" s="2" t="s">
        <v>13704</v>
      </c>
      <c r="X753" s="2" t="s">
        <v>13705</v>
      </c>
      <c r="Y753" s="2" t="s">
        <v>13706</v>
      </c>
      <c r="Z753" s="2" t="s">
        <v>13707</v>
      </c>
      <c r="AA753" s="2" t="s">
        <v>13708</v>
      </c>
      <c r="AB753" s="2" t="s">
        <v>13709</v>
      </c>
      <c r="AC753" s="2" t="s">
        <v>13710</v>
      </c>
      <c r="AD753" s="2" t="s">
        <v>13710</v>
      </c>
      <c r="AE753" s="2" t="s">
        <v>13711</v>
      </c>
      <c r="AF753" s="2"/>
      <c r="AG753" s="2" t="n">
        <v>29</v>
      </c>
      <c r="AH753" s="2" t="n">
        <v>2</v>
      </c>
      <c r="AI753" s="2" t="n">
        <v>2</v>
      </c>
      <c r="AJ753" s="2" t="n">
        <v>0</v>
      </c>
      <c r="AK753" s="2" t="n">
        <v>9</v>
      </c>
      <c r="AL753" s="2" t="s">
        <v>13712</v>
      </c>
      <c r="AM753" s="2" t="s">
        <v>303</v>
      </c>
      <c r="AN753" s="2" t="s">
        <v>13713</v>
      </c>
      <c r="AO753" s="2" t="s">
        <v>13714</v>
      </c>
      <c r="AP753" s="2" t="s">
        <v>13715</v>
      </c>
      <c r="AQ753" s="2"/>
      <c r="AR753" s="2" t="s">
        <v>13716</v>
      </c>
      <c r="AS753" s="2" t="s">
        <v>13717</v>
      </c>
      <c r="AT753" s="2" t="s">
        <v>97</v>
      </c>
      <c r="AU753" s="2" t="n">
        <v>2016</v>
      </c>
      <c r="AV753" s="2" t="n">
        <v>11</v>
      </c>
      <c r="AW753" s="2" t="n">
        <v>3</v>
      </c>
      <c r="AX753" s="2"/>
      <c r="AY753" s="2"/>
      <c r="AZ753" s="2"/>
      <c r="BA753" s="2"/>
      <c r="BB753" s="2" t="n">
        <v>181</v>
      </c>
      <c r="BC753" s="2" t="n">
        <v>186</v>
      </c>
      <c r="BD753" s="2"/>
      <c r="BE753" s="2" t="s">
        <v>13718</v>
      </c>
      <c r="BF753" s="2" t="str">
        <f aca="false">HYPERLINK("http://dx.doi.org/10.2217/fvl-2015-0017","http://dx.doi.org/10.2217/fvl-2015-0017")</f>
        <v>http://dx.doi.org/10.2217/fvl-2015-0017</v>
      </c>
      <c r="BG753" s="2"/>
      <c r="BH753" s="2"/>
      <c r="BI753" s="2" t="n">
        <v>6</v>
      </c>
      <c r="BJ753" s="2" t="s">
        <v>163</v>
      </c>
      <c r="BK753" s="2" t="s">
        <v>100</v>
      </c>
      <c r="BL753" s="2" t="s">
        <v>163</v>
      </c>
      <c r="BM753" s="2" t="s">
        <v>13719</v>
      </c>
      <c r="BN753" s="2"/>
      <c r="BO753" s="2"/>
      <c r="BP753" s="2"/>
      <c r="BQ753" s="2"/>
      <c r="BR753" s="2" t="s">
        <v>104</v>
      </c>
      <c r="BS753" s="2" t="s">
        <v>13720</v>
      </c>
      <c r="BT753" s="2" t="str">
        <f aca="false">HYPERLINK("https%3A%2F%2Fwww.webofscience.com%2Fwos%2Fwoscc%2Ffull-record%2FWOS:000372023500006","View Full Record in Web of Science")</f>
        <v>View Full Record in Web of Science</v>
      </c>
    </row>
    <row r="754" customFormat="false" ht="12.75" hidden="false" customHeight="false" outlineLevel="0" collapsed="false">
      <c r="A754" s="2" t="s">
        <v>72</v>
      </c>
      <c r="B754" s="2" t="s">
        <v>13721</v>
      </c>
      <c r="C754" s="2"/>
      <c r="D754" s="2"/>
      <c r="E754" s="2"/>
      <c r="F754" s="2" t="s">
        <v>13722</v>
      </c>
      <c r="G754" s="2"/>
      <c r="H754" s="2"/>
      <c r="I754" s="2" t="s">
        <v>13723</v>
      </c>
      <c r="J754" s="2" t="s">
        <v>1863</v>
      </c>
      <c r="K754" s="2"/>
      <c r="L754" s="2"/>
      <c r="M754" s="2" t="s">
        <v>77</v>
      </c>
      <c r="N754" s="2" t="s">
        <v>78</v>
      </c>
      <c r="O754" s="2"/>
      <c r="P754" s="2"/>
      <c r="Q754" s="2"/>
      <c r="R754" s="2"/>
      <c r="S754" s="2"/>
      <c r="T754" s="2" t="s">
        <v>13724</v>
      </c>
      <c r="U754" s="2" t="s">
        <v>13725</v>
      </c>
      <c r="V754" s="2" t="s">
        <v>13726</v>
      </c>
      <c r="W754" s="2" t="s">
        <v>13727</v>
      </c>
      <c r="X754" s="2" t="s">
        <v>13728</v>
      </c>
      <c r="Y754" s="2" t="s">
        <v>13729</v>
      </c>
      <c r="Z754" s="2" t="s">
        <v>12639</v>
      </c>
      <c r="AA754" s="2" t="s">
        <v>13730</v>
      </c>
      <c r="AB754" s="2" t="s">
        <v>13731</v>
      </c>
      <c r="AC754" s="2" t="s">
        <v>13732</v>
      </c>
      <c r="AD754" s="2" t="s">
        <v>13733</v>
      </c>
      <c r="AE754" s="2" t="s">
        <v>13734</v>
      </c>
      <c r="AF754" s="2"/>
      <c r="AG754" s="2" t="n">
        <v>34</v>
      </c>
      <c r="AH754" s="2" t="n">
        <v>6</v>
      </c>
      <c r="AI754" s="2" t="n">
        <v>8</v>
      </c>
      <c r="AJ754" s="2" t="n">
        <v>1</v>
      </c>
      <c r="AK754" s="2" t="n">
        <v>12</v>
      </c>
      <c r="AL754" s="2" t="s">
        <v>2337</v>
      </c>
      <c r="AM754" s="2" t="s">
        <v>303</v>
      </c>
      <c r="AN754" s="2" t="s">
        <v>2338</v>
      </c>
      <c r="AO754" s="2" t="s">
        <v>1876</v>
      </c>
      <c r="AP754" s="2"/>
      <c r="AQ754" s="2"/>
      <c r="AR754" s="2" t="s">
        <v>1877</v>
      </c>
      <c r="AS754" s="2" t="s">
        <v>1878</v>
      </c>
      <c r="AT754" s="2" t="s">
        <v>761</v>
      </c>
      <c r="AU754" s="2" t="n">
        <v>2014</v>
      </c>
      <c r="AV754" s="2" t="n">
        <v>11</v>
      </c>
      <c r="AW754" s="2"/>
      <c r="AX754" s="2"/>
      <c r="AY754" s="2"/>
      <c r="AZ754" s="2"/>
      <c r="BA754" s="2"/>
      <c r="BB754" s="2"/>
      <c r="BC754" s="2"/>
      <c r="BD754" s="2" t="n">
        <v>198</v>
      </c>
      <c r="BE754" s="2" t="s">
        <v>13735</v>
      </c>
      <c r="BF754" s="2" t="str">
        <f aca="false">HYPERLINK("http://dx.doi.org/10.1186/s12985-014-0198-8","http://dx.doi.org/10.1186/s12985-014-0198-8")</f>
        <v>http://dx.doi.org/10.1186/s12985-014-0198-8</v>
      </c>
      <c r="BG754" s="2"/>
      <c r="BH754" s="2"/>
      <c r="BI754" s="2" t="n">
        <v>12</v>
      </c>
      <c r="BJ754" s="2" t="s">
        <v>163</v>
      </c>
      <c r="BK754" s="2" t="s">
        <v>100</v>
      </c>
      <c r="BL754" s="2" t="s">
        <v>163</v>
      </c>
      <c r="BM754" s="2" t="s">
        <v>13736</v>
      </c>
      <c r="BN754" s="2" t="n">
        <v>25408253</v>
      </c>
      <c r="BO754" s="2" t="s">
        <v>190</v>
      </c>
      <c r="BP754" s="2"/>
      <c r="BQ754" s="2"/>
      <c r="BR754" s="2" t="s">
        <v>104</v>
      </c>
      <c r="BS754" s="2" t="s">
        <v>13737</v>
      </c>
      <c r="BT754" s="2" t="str">
        <f aca="false">HYPERLINK("https%3A%2F%2Fwww.webofscience.com%2Fwos%2Fwoscc%2Ffull-record%2FWOS:000345926300001","View Full Record in Web of Science")</f>
        <v>View Full Record in Web of Science</v>
      </c>
    </row>
    <row r="755" customFormat="false" ht="12.75" hidden="false" customHeight="false" outlineLevel="0" collapsed="false">
      <c r="A755" s="2" t="s">
        <v>72</v>
      </c>
      <c r="B755" s="2" t="s">
        <v>13738</v>
      </c>
      <c r="C755" s="2"/>
      <c r="D755" s="2"/>
      <c r="E755" s="2"/>
      <c r="F755" s="2" t="s">
        <v>13739</v>
      </c>
      <c r="G755" s="2"/>
      <c r="H755" s="2"/>
      <c r="I755" s="2" t="s">
        <v>13740</v>
      </c>
      <c r="J755" s="2" t="s">
        <v>2547</v>
      </c>
      <c r="K755" s="2"/>
      <c r="L755" s="2"/>
      <c r="M755" s="2" t="s">
        <v>77</v>
      </c>
      <c r="N755" s="2" t="s">
        <v>78</v>
      </c>
      <c r="O755" s="2"/>
      <c r="P755" s="2"/>
      <c r="Q755" s="2"/>
      <c r="R755" s="2"/>
      <c r="S755" s="2"/>
      <c r="T755" s="2" t="s">
        <v>13741</v>
      </c>
      <c r="U755" s="2" t="s">
        <v>13742</v>
      </c>
      <c r="V755" s="2" t="s">
        <v>13743</v>
      </c>
      <c r="W755" s="2" t="s">
        <v>13744</v>
      </c>
      <c r="X755" s="2" t="s">
        <v>13745</v>
      </c>
      <c r="Y755" s="2" t="s">
        <v>13746</v>
      </c>
      <c r="Z755" s="2" t="s">
        <v>749</v>
      </c>
      <c r="AA755" s="2" t="s">
        <v>750</v>
      </c>
      <c r="AB755" s="2" t="s">
        <v>13747</v>
      </c>
      <c r="AC755" s="2" t="s">
        <v>13748</v>
      </c>
      <c r="AD755" s="2" t="s">
        <v>13749</v>
      </c>
      <c r="AE755" s="2" t="s">
        <v>13750</v>
      </c>
      <c r="AF755" s="2"/>
      <c r="AG755" s="2" t="n">
        <v>52</v>
      </c>
      <c r="AH755" s="2" t="n">
        <v>6</v>
      </c>
      <c r="AI755" s="2" t="n">
        <v>9</v>
      </c>
      <c r="AJ755" s="2" t="n">
        <v>0</v>
      </c>
      <c r="AK755" s="2" t="n">
        <v>4</v>
      </c>
      <c r="AL755" s="2" t="s">
        <v>782</v>
      </c>
      <c r="AM755" s="2" t="s">
        <v>783</v>
      </c>
      <c r="AN755" s="2" t="s">
        <v>784</v>
      </c>
      <c r="AO755" s="2" t="s">
        <v>2556</v>
      </c>
      <c r="AP755" s="2" t="s">
        <v>2557</v>
      </c>
      <c r="AQ755" s="2"/>
      <c r="AR755" s="2" t="s">
        <v>2547</v>
      </c>
      <c r="AS755" s="2" t="s">
        <v>2558</v>
      </c>
      <c r="AT755" s="2" t="s">
        <v>13751</v>
      </c>
      <c r="AU755" s="2" t="n">
        <v>2016</v>
      </c>
      <c r="AV755" s="2" t="n">
        <v>34</v>
      </c>
      <c r="AW755" s="2" t="n">
        <v>24</v>
      </c>
      <c r="AX755" s="2"/>
      <c r="AY755" s="2"/>
      <c r="AZ755" s="2"/>
      <c r="BA755" s="2"/>
      <c r="BB755" s="2" t="n">
        <v>2663</v>
      </c>
      <c r="BC755" s="2" t="n">
        <v>2670</v>
      </c>
      <c r="BD755" s="2"/>
      <c r="BE755" s="2" t="s">
        <v>13752</v>
      </c>
      <c r="BF755" s="2" t="str">
        <f aca="false">HYPERLINK("http://dx.doi.org/10.1016/j.vaccine.2016.04.034","http://dx.doi.org/10.1016/j.vaccine.2016.04.034")</f>
        <v>http://dx.doi.org/10.1016/j.vaccine.2016.04.034</v>
      </c>
      <c r="BG755" s="2"/>
      <c r="BH755" s="2"/>
      <c r="BI755" s="2" t="n">
        <v>8</v>
      </c>
      <c r="BJ755" s="2" t="s">
        <v>187</v>
      </c>
      <c r="BK755" s="2" t="s">
        <v>100</v>
      </c>
      <c r="BL755" s="2" t="s">
        <v>188</v>
      </c>
      <c r="BM755" s="2" t="s">
        <v>13753</v>
      </c>
      <c r="BN755" s="2" t="n">
        <v>27105560</v>
      </c>
      <c r="BO755" s="2" t="s">
        <v>695</v>
      </c>
      <c r="BP755" s="2"/>
      <c r="BQ755" s="2"/>
      <c r="BR755" s="2" t="s">
        <v>104</v>
      </c>
      <c r="BS755" s="2" t="s">
        <v>13754</v>
      </c>
      <c r="BT755" s="2" t="str">
        <f aca="false">HYPERLINK("https%3A%2F%2Fwww.webofscience.com%2Fwos%2Fwoscc%2Ffull-record%2FWOS:000376811500005","View Full Record in Web of Science")</f>
        <v>View Full Record in Web of Science</v>
      </c>
    </row>
    <row r="756" customFormat="false" ht="12.75" hidden="false" customHeight="false" outlineLevel="0" collapsed="false">
      <c r="A756" s="2" t="s">
        <v>72</v>
      </c>
      <c r="B756" s="2" t="s">
        <v>13755</v>
      </c>
      <c r="C756" s="2"/>
      <c r="D756" s="2"/>
      <c r="E756" s="2"/>
      <c r="F756" s="2" t="s">
        <v>13756</v>
      </c>
      <c r="G756" s="2"/>
      <c r="H756" s="2"/>
      <c r="I756" s="2" t="s">
        <v>13757</v>
      </c>
      <c r="J756" s="2" t="s">
        <v>13758</v>
      </c>
      <c r="K756" s="2"/>
      <c r="L756" s="2"/>
      <c r="M756" s="2" t="s">
        <v>77</v>
      </c>
      <c r="N756" s="2" t="s">
        <v>78</v>
      </c>
      <c r="O756" s="2"/>
      <c r="P756" s="2"/>
      <c r="Q756" s="2"/>
      <c r="R756" s="2"/>
      <c r="S756" s="2"/>
      <c r="T756" s="2" t="s">
        <v>13759</v>
      </c>
      <c r="U756" s="2" t="s">
        <v>13760</v>
      </c>
      <c r="V756" s="2" t="s">
        <v>13761</v>
      </c>
      <c r="W756" s="2" t="s">
        <v>13762</v>
      </c>
      <c r="X756" s="2" t="s">
        <v>13763</v>
      </c>
      <c r="Y756" s="2" t="s">
        <v>13764</v>
      </c>
      <c r="Z756" s="2" t="s">
        <v>13765</v>
      </c>
      <c r="AA756" s="2" t="s">
        <v>13766</v>
      </c>
      <c r="AB756" s="2"/>
      <c r="AC756" s="2" t="s">
        <v>13767</v>
      </c>
      <c r="AD756" s="2" t="s">
        <v>13767</v>
      </c>
      <c r="AE756" s="2" t="s">
        <v>13768</v>
      </c>
      <c r="AF756" s="2"/>
      <c r="AG756" s="2" t="n">
        <v>39</v>
      </c>
      <c r="AH756" s="2" t="n">
        <v>0</v>
      </c>
      <c r="AI756" s="2" t="n">
        <v>0</v>
      </c>
      <c r="AJ756" s="2" t="n">
        <v>0</v>
      </c>
      <c r="AK756" s="2" t="n">
        <v>0</v>
      </c>
      <c r="AL756" s="2" t="s">
        <v>13769</v>
      </c>
      <c r="AM756" s="2" t="s">
        <v>13770</v>
      </c>
      <c r="AN756" s="2" t="s">
        <v>13771</v>
      </c>
      <c r="AO756" s="2" t="s">
        <v>13772</v>
      </c>
      <c r="AP756" s="2" t="s">
        <v>13773</v>
      </c>
      <c r="AQ756" s="2"/>
      <c r="AR756" s="2" t="s">
        <v>13774</v>
      </c>
      <c r="AS756" s="2" t="s">
        <v>13775</v>
      </c>
      <c r="AT756" s="2" t="s">
        <v>804</v>
      </c>
      <c r="AU756" s="2" t="n">
        <v>2024</v>
      </c>
      <c r="AV756" s="2" t="n">
        <v>169</v>
      </c>
      <c r="AW756" s="2" t="n">
        <v>11</v>
      </c>
      <c r="AX756" s="2"/>
      <c r="AY756" s="2"/>
      <c r="AZ756" s="2"/>
      <c r="BA756" s="2"/>
      <c r="BB756" s="2"/>
      <c r="BC756" s="2"/>
      <c r="BD756" s="2" t="n">
        <v>229</v>
      </c>
      <c r="BE756" s="2" t="s">
        <v>13776</v>
      </c>
      <c r="BF756" s="2" t="str">
        <f aca="false">HYPERLINK("http://dx.doi.org/10.1007/s00705-024-06147-8","http://dx.doi.org/10.1007/s00705-024-06147-8")</f>
        <v>http://dx.doi.org/10.1007/s00705-024-06147-8</v>
      </c>
      <c r="BG756" s="2"/>
      <c r="BH756" s="2"/>
      <c r="BI756" s="2" t="n">
        <v>9</v>
      </c>
      <c r="BJ756" s="2" t="s">
        <v>163</v>
      </c>
      <c r="BK756" s="2" t="s">
        <v>100</v>
      </c>
      <c r="BL756" s="2" t="s">
        <v>163</v>
      </c>
      <c r="BM756" s="2" t="s">
        <v>13777</v>
      </c>
      <c r="BN756" s="2" t="n">
        <v>39441325</v>
      </c>
      <c r="BO756" s="2" t="s">
        <v>2278</v>
      </c>
      <c r="BP756" s="2"/>
      <c r="BQ756" s="2"/>
      <c r="BR756" s="2" t="s">
        <v>104</v>
      </c>
      <c r="BS756" s="2" t="s">
        <v>13778</v>
      </c>
      <c r="BT756" s="2" t="str">
        <f aca="false">HYPERLINK("https%3A%2F%2Fwww.webofscience.com%2Fwos%2Fwoscc%2Ffull-record%2FWOS:001339876000001","View Full Record in Web of Science")</f>
        <v>View Full Record in Web of Science</v>
      </c>
    </row>
    <row r="757" customFormat="false" ht="12.75" hidden="false" customHeight="false" outlineLevel="0" collapsed="false">
      <c r="A757" s="2" t="s">
        <v>72</v>
      </c>
      <c r="B757" s="2" t="s">
        <v>13779</v>
      </c>
      <c r="C757" s="2"/>
      <c r="D757" s="2"/>
      <c r="E757" s="2"/>
      <c r="F757" s="2" t="s">
        <v>13780</v>
      </c>
      <c r="G757" s="2"/>
      <c r="H757" s="2"/>
      <c r="I757" s="2" t="s">
        <v>13781</v>
      </c>
      <c r="J757" s="2" t="s">
        <v>887</v>
      </c>
      <c r="K757" s="2"/>
      <c r="L757" s="2"/>
      <c r="M757" s="2" t="s">
        <v>77</v>
      </c>
      <c r="N757" s="2" t="s">
        <v>78</v>
      </c>
      <c r="O757" s="2"/>
      <c r="P757" s="2"/>
      <c r="Q757" s="2"/>
      <c r="R757" s="2"/>
      <c r="S757" s="2"/>
      <c r="T757" s="2" t="s">
        <v>13782</v>
      </c>
      <c r="U757" s="2"/>
      <c r="V757" s="2" t="s">
        <v>13783</v>
      </c>
      <c r="W757" s="2" t="s">
        <v>13784</v>
      </c>
      <c r="X757" s="2" t="s">
        <v>13785</v>
      </c>
      <c r="Y757" s="2" t="s">
        <v>13786</v>
      </c>
      <c r="Z757" s="2" t="s">
        <v>13787</v>
      </c>
      <c r="AA757" s="2"/>
      <c r="AB757" s="2"/>
      <c r="AC757" s="2"/>
      <c r="AD757" s="2"/>
      <c r="AE757" s="2"/>
      <c r="AF757" s="2"/>
      <c r="AG757" s="2" t="n">
        <v>10</v>
      </c>
      <c r="AH757" s="2" t="n">
        <v>9</v>
      </c>
      <c r="AI757" s="2" t="n">
        <v>10</v>
      </c>
      <c r="AJ757" s="2" t="n">
        <v>0</v>
      </c>
      <c r="AK757" s="2" t="n">
        <v>2</v>
      </c>
      <c r="AL757" s="2" t="s">
        <v>897</v>
      </c>
      <c r="AM757" s="2" t="s">
        <v>898</v>
      </c>
      <c r="AN757" s="2" t="s">
        <v>899</v>
      </c>
      <c r="AO757" s="2" t="s">
        <v>900</v>
      </c>
      <c r="AP757" s="2" t="s">
        <v>13788</v>
      </c>
      <c r="AQ757" s="2"/>
      <c r="AR757" s="2" t="s">
        <v>902</v>
      </c>
      <c r="AS757" s="2" t="s">
        <v>903</v>
      </c>
      <c r="AT757" s="2" t="s">
        <v>97</v>
      </c>
      <c r="AU757" s="2" t="n">
        <v>2009</v>
      </c>
      <c r="AV757" s="2" t="n">
        <v>33</v>
      </c>
      <c r="AW757" s="2" t="n">
        <v>1</v>
      </c>
      <c r="AX757" s="2"/>
      <c r="AY757" s="2"/>
      <c r="AZ757" s="2"/>
      <c r="BA757" s="2"/>
      <c r="BB757" s="2" t="n">
        <v>38</v>
      </c>
      <c r="BC757" s="2" t="n">
        <v>40</v>
      </c>
      <c r="BD757" s="2"/>
      <c r="BE757" s="2"/>
      <c r="BF757" s="2"/>
      <c r="BG757" s="2"/>
      <c r="BH757" s="2"/>
      <c r="BI757" s="2" t="n">
        <v>3</v>
      </c>
      <c r="BJ757" s="2" t="s">
        <v>575</v>
      </c>
      <c r="BK757" s="2" t="s">
        <v>339</v>
      </c>
      <c r="BL757" s="2" t="s">
        <v>575</v>
      </c>
      <c r="BM757" s="2" t="s">
        <v>13789</v>
      </c>
      <c r="BN757" s="2" t="n">
        <v>19618769</v>
      </c>
      <c r="BO757" s="2"/>
      <c r="BP757" s="2"/>
      <c r="BQ757" s="2"/>
      <c r="BR757" s="2" t="s">
        <v>104</v>
      </c>
      <c r="BS757" s="2" t="s">
        <v>13790</v>
      </c>
      <c r="BT757" s="2" t="str">
        <f aca="false">HYPERLINK("https%3A%2F%2Fwww.webofscience.com%2Fwos%2Fwoscc%2Ffull-record%2FWOS:000213209200008","View Full Record in Web of Science")</f>
        <v>View Full Record in Web of Science</v>
      </c>
    </row>
    <row r="758" customFormat="false" ht="12.75" hidden="false" customHeight="false" outlineLevel="0" collapsed="false">
      <c r="A758" s="2" t="s">
        <v>72</v>
      </c>
      <c r="B758" s="2" t="s">
        <v>13791</v>
      </c>
      <c r="C758" s="2"/>
      <c r="D758" s="2"/>
      <c r="E758" s="2"/>
      <c r="F758" s="2" t="s">
        <v>13792</v>
      </c>
      <c r="G758" s="2"/>
      <c r="H758" s="2"/>
      <c r="I758" s="2" t="s">
        <v>13793</v>
      </c>
      <c r="J758" s="2" t="s">
        <v>6549</v>
      </c>
      <c r="K758" s="2"/>
      <c r="L758" s="2"/>
      <c r="M758" s="2" t="s">
        <v>77</v>
      </c>
      <c r="N758" s="2" t="s">
        <v>78</v>
      </c>
      <c r="O758" s="2"/>
      <c r="P758" s="2"/>
      <c r="Q758" s="2"/>
      <c r="R758" s="2"/>
      <c r="S758" s="2"/>
      <c r="T758" s="2" t="s">
        <v>13794</v>
      </c>
      <c r="U758" s="2" t="s">
        <v>13795</v>
      </c>
      <c r="V758" s="2" t="s">
        <v>13796</v>
      </c>
      <c r="W758" s="2" t="s">
        <v>13797</v>
      </c>
      <c r="X758" s="2" t="s">
        <v>13798</v>
      </c>
      <c r="Y758" s="2" t="s">
        <v>13799</v>
      </c>
      <c r="Z758" s="2" t="s">
        <v>12585</v>
      </c>
      <c r="AA758" s="2" t="s">
        <v>13800</v>
      </c>
      <c r="AB758" s="2" t="s">
        <v>13801</v>
      </c>
      <c r="AC758" s="2" t="s">
        <v>13802</v>
      </c>
      <c r="AD758" s="2" t="s">
        <v>13802</v>
      </c>
      <c r="AE758" s="2" t="s">
        <v>13803</v>
      </c>
      <c r="AF758" s="2"/>
      <c r="AG758" s="2" t="n">
        <v>32</v>
      </c>
      <c r="AH758" s="2" t="n">
        <v>3</v>
      </c>
      <c r="AI758" s="2" t="n">
        <v>3</v>
      </c>
      <c r="AJ758" s="2" t="n">
        <v>1</v>
      </c>
      <c r="AK758" s="2" t="n">
        <v>2</v>
      </c>
      <c r="AL758" s="2" t="s">
        <v>755</v>
      </c>
      <c r="AM758" s="2" t="s">
        <v>273</v>
      </c>
      <c r="AN758" s="2" t="s">
        <v>756</v>
      </c>
      <c r="AO758" s="2"/>
      <c r="AP758" s="2" t="s">
        <v>6561</v>
      </c>
      <c r="AQ758" s="2"/>
      <c r="AR758" s="2" t="s">
        <v>6549</v>
      </c>
      <c r="AS758" s="2" t="s">
        <v>6562</v>
      </c>
      <c r="AT758" s="2" t="s">
        <v>13804</v>
      </c>
      <c r="AU758" s="2" t="n">
        <v>2024</v>
      </c>
      <c r="AV758" s="2" t="n">
        <v>9</v>
      </c>
      <c r="AW758" s="2" t="n">
        <v>2</v>
      </c>
      <c r="AX758" s="2"/>
      <c r="AY758" s="2"/>
      <c r="AZ758" s="2"/>
      <c r="BA758" s="2"/>
      <c r="BB758" s="2"/>
      <c r="BC758" s="2"/>
      <c r="BD758" s="2"/>
      <c r="BE758" s="2" t="s">
        <v>13805</v>
      </c>
      <c r="BF758" s="2" t="str">
        <f aca="false">HYPERLINK("http://dx.doi.org/10.1128/msphere.00743-23","http://dx.doi.org/10.1128/msphere.00743-23")</f>
        <v>http://dx.doi.org/10.1128/msphere.00743-23</v>
      </c>
      <c r="BG758" s="2"/>
      <c r="BH758" s="2" t="s">
        <v>964</v>
      </c>
      <c r="BI758" s="2" t="n">
        <v>13</v>
      </c>
      <c r="BJ758" s="2" t="s">
        <v>211</v>
      </c>
      <c r="BK758" s="2" t="s">
        <v>100</v>
      </c>
      <c r="BL758" s="2" t="s">
        <v>211</v>
      </c>
      <c r="BM758" s="2" t="s">
        <v>13806</v>
      </c>
      <c r="BN758" s="2" t="n">
        <v>38265200</v>
      </c>
      <c r="BO758" s="2" t="s">
        <v>190</v>
      </c>
      <c r="BP758" s="2"/>
      <c r="BQ758" s="2"/>
      <c r="BR758" s="2" t="s">
        <v>104</v>
      </c>
      <c r="BS758" s="2" t="s">
        <v>13807</v>
      </c>
      <c r="BT758" s="2" t="str">
        <f aca="false">HYPERLINK("https%3A%2F%2Fwww.webofscience.com%2Fwos%2Fwoscc%2Ffull-record%2FWOS:001148789200001","View Full Record in Web of Science")</f>
        <v>View Full Record in Web of Science</v>
      </c>
    </row>
    <row r="759" customFormat="false" ht="12.75" hidden="false" customHeight="false" outlineLevel="0" collapsed="false">
      <c r="A759" s="2" t="s">
        <v>72</v>
      </c>
      <c r="B759" s="2" t="s">
        <v>13808</v>
      </c>
      <c r="C759" s="2"/>
      <c r="D759" s="2"/>
      <c r="E759" s="2"/>
      <c r="F759" s="2" t="s">
        <v>13809</v>
      </c>
      <c r="G759" s="2"/>
      <c r="H759" s="2"/>
      <c r="I759" s="2" t="s">
        <v>13810</v>
      </c>
      <c r="J759" s="2" t="s">
        <v>1114</v>
      </c>
      <c r="K759" s="2"/>
      <c r="L759" s="2"/>
      <c r="M759" s="2" t="s">
        <v>77</v>
      </c>
      <c r="N759" s="2" t="s">
        <v>78</v>
      </c>
      <c r="O759" s="2"/>
      <c r="P759" s="2"/>
      <c r="Q759" s="2"/>
      <c r="R759" s="2"/>
      <c r="S759" s="2"/>
      <c r="T759" s="2" t="s">
        <v>13811</v>
      </c>
      <c r="U759" s="2" t="s">
        <v>13812</v>
      </c>
      <c r="V759" s="2" t="s">
        <v>13813</v>
      </c>
      <c r="W759" s="2" t="s">
        <v>13814</v>
      </c>
      <c r="X759" s="2" t="s">
        <v>13815</v>
      </c>
      <c r="Y759" s="2" t="s">
        <v>13816</v>
      </c>
      <c r="Z759" s="2" t="s">
        <v>13817</v>
      </c>
      <c r="AA759" s="2" t="s">
        <v>13818</v>
      </c>
      <c r="AB759" s="2" t="s">
        <v>13819</v>
      </c>
      <c r="AC759" s="2"/>
      <c r="AD759" s="2"/>
      <c r="AE759" s="2"/>
      <c r="AF759" s="2"/>
      <c r="AG759" s="2" t="n">
        <v>20</v>
      </c>
      <c r="AH759" s="2" t="n">
        <v>24</v>
      </c>
      <c r="AI759" s="2" t="n">
        <v>31</v>
      </c>
      <c r="AJ759" s="2" t="n">
        <v>0</v>
      </c>
      <c r="AK759" s="2" t="n">
        <v>1</v>
      </c>
      <c r="AL759" s="2" t="s">
        <v>122</v>
      </c>
      <c r="AM759" s="2" t="s">
        <v>123</v>
      </c>
      <c r="AN759" s="2" t="s">
        <v>124</v>
      </c>
      <c r="AO759" s="2" t="s">
        <v>1124</v>
      </c>
      <c r="AP759" s="2" t="s">
        <v>13820</v>
      </c>
      <c r="AQ759" s="2"/>
      <c r="AR759" s="2" t="s">
        <v>1125</v>
      </c>
      <c r="AS759" s="2" t="s">
        <v>1126</v>
      </c>
      <c r="AT759" s="2" t="s">
        <v>336</v>
      </c>
      <c r="AU759" s="2" t="n">
        <v>2013</v>
      </c>
      <c r="AV759" s="2" t="n">
        <v>35</v>
      </c>
      <c r="AW759" s="2" t="n">
        <v>7</v>
      </c>
      <c r="AX759" s="2"/>
      <c r="AY759" s="2"/>
      <c r="AZ759" s="2"/>
      <c r="BA759" s="2"/>
      <c r="BB759" s="2" t="s">
        <v>13821</v>
      </c>
      <c r="BC759" s="2" t="s">
        <v>13822</v>
      </c>
      <c r="BD759" s="2"/>
      <c r="BE759" s="2" t="s">
        <v>13823</v>
      </c>
      <c r="BF759" s="2" t="str">
        <f aca="false">HYPERLINK("http://dx.doi.org/10.1097/MPH.0b013e3182915d2d","http://dx.doi.org/10.1097/MPH.0b013e3182915d2d")</f>
        <v>http://dx.doi.org/10.1097/MPH.0b013e3182915d2d</v>
      </c>
      <c r="BG759" s="2"/>
      <c r="BH759" s="2"/>
      <c r="BI759" s="2" t="n">
        <v>3</v>
      </c>
      <c r="BJ759" s="2" t="s">
        <v>1128</v>
      </c>
      <c r="BK759" s="2" t="s">
        <v>100</v>
      </c>
      <c r="BL759" s="2" t="s">
        <v>1128</v>
      </c>
      <c r="BM759" s="2" t="s">
        <v>13824</v>
      </c>
      <c r="BN759" s="2" t="n">
        <v>23669731</v>
      </c>
      <c r="BO759" s="2"/>
      <c r="BP759" s="2"/>
      <c r="BQ759" s="2"/>
      <c r="BR759" s="2" t="s">
        <v>104</v>
      </c>
      <c r="BS759" s="2" t="s">
        <v>13825</v>
      </c>
      <c r="BT759" s="2" t="str">
        <f aca="false">HYPERLINK("https%3A%2F%2Fwww.webofscience.com%2Fwos%2Fwoscc%2Ffull-record%2FWOS:000325220400012","View Full Record in Web of Science")</f>
        <v>View Full Record in Web of Science</v>
      </c>
    </row>
    <row r="760" customFormat="false" ht="12.75" hidden="false" customHeight="false" outlineLevel="0" collapsed="false">
      <c r="A760" s="2" t="s">
        <v>72</v>
      </c>
      <c r="B760" s="2" t="s">
        <v>13826</v>
      </c>
      <c r="C760" s="2"/>
      <c r="D760" s="2"/>
      <c r="E760" s="2"/>
      <c r="F760" s="2" t="s">
        <v>13827</v>
      </c>
      <c r="G760" s="2"/>
      <c r="H760" s="2"/>
      <c r="I760" s="2" t="s">
        <v>13828</v>
      </c>
      <c r="J760" s="2" t="s">
        <v>1413</v>
      </c>
      <c r="K760" s="2"/>
      <c r="L760" s="2"/>
      <c r="M760" s="2" t="s">
        <v>77</v>
      </c>
      <c r="N760" s="2" t="s">
        <v>78</v>
      </c>
      <c r="O760" s="2"/>
      <c r="P760" s="2"/>
      <c r="Q760" s="2"/>
      <c r="R760" s="2"/>
      <c r="S760" s="2"/>
      <c r="T760" s="2" t="s">
        <v>13829</v>
      </c>
      <c r="U760" s="2" t="s">
        <v>13830</v>
      </c>
      <c r="V760" s="2" t="s">
        <v>13831</v>
      </c>
      <c r="W760" s="2" t="s">
        <v>13832</v>
      </c>
      <c r="X760" s="2" t="s">
        <v>13833</v>
      </c>
      <c r="Y760" s="2" t="s">
        <v>13834</v>
      </c>
      <c r="Z760" s="2" t="s">
        <v>13835</v>
      </c>
      <c r="AA760" s="2" t="s">
        <v>13836</v>
      </c>
      <c r="AB760" s="2" t="s">
        <v>13837</v>
      </c>
      <c r="AC760" s="2" t="s">
        <v>13838</v>
      </c>
      <c r="AD760" s="2" t="s">
        <v>13839</v>
      </c>
      <c r="AE760" s="2" t="s">
        <v>13840</v>
      </c>
      <c r="AF760" s="2"/>
      <c r="AG760" s="2" t="n">
        <v>38</v>
      </c>
      <c r="AH760" s="2" t="n">
        <v>7</v>
      </c>
      <c r="AI760" s="2" t="n">
        <v>7</v>
      </c>
      <c r="AJ760" s="2" t="n">
        <v>0</v>
      </c>
      <c r="AK760" s="2" t="n">
        <v>10</v>
      </c>
      <c r="AL760" s="2" t="s">
        <v>383</v>
      </c>
      <c r="AM760" s="2" t="s">
        <v>384</v>
      </c>
      <c r="AN760" s="2" t="s">
        <v>385</v>
      </c>
      <c r="AO760" s="2" t="s">
        <v>1421</v>
      </c>
      <c r="AP760" s="2" t="s">
        <v>1422</v>
      </c>
      <c r="AQ760" s="2"/>
      <c r="AR760" s="2" t="s">
        <v>1423</v>
      </c>
      <c r="AS760" s="2" t="s">
        <v>1424</v>
      </c>
      <c r="AT760" s="2" t="s">
        <v>804</v>
      </c>
      <c r="AU760" s="2" t="n">
        <v>2011</v>
      </c>
      <c r="AV760" s="2" t="n">
        <v>161</v>
      </c>
      <c r="AW760" s="2" t="n">
        <v>2</v>
      </c>
      <c r="AX760" s="2"/>
      <c r="AY760" s="2"/>
      <c r="AZ760" s="2"/>
      <c r="BA760" s="2"/>
      <c r="BB760" s="2" t="n">
        <v>131</v>
      </c>
      <c r="BC760" s="2" t="n">
        <v>139</v>
      </c>
      <c r="BD760" s="2"/>
      <c r="BE760" s="2" t="s">
        <v>13841</v>
      </c>
      <c r="BF760" s="2" t="str">
        <f aca="false">HYPERLINK("http://dx.doi.org/10.1016/j.virusres.2011.07.009","http://dx.doi.org/10.1016/j.virusres.2011.07.009")</f>
        <v>http://dx.doi.org/10.1016/j.virusres.2011.07.009</v>
      </c>
      <c r="BG760" s="2"/>
      <c r="BH760" s="2"/>
      <c r="BI760" s="2" t="n">
        <v>9</v>
      </c>
      <c r="BJ760" s="2" t="s">
        <v>163</v>
      </c>
      <c r="BK760" s="2" t="s">
        <v>100</v>
      </c>
      <c r="BL760" s="2" t="s">
        <v>163</v>
      </c>
      <c r="BM760" s="2" t="s">
        <v>13842</v>
      </c>
      <c r="BN760" s="2" t="n">
        <v>21827798</v>
      </c>
      <c r="BO760" s="2"/>
      <c r="BP760" s="2"/>
      <c r="BQ760" s="2"/>
      <c r="BR760" s="2" t="s">
        <v>104</v>
      </c>
      <c r="BS760" s="2" t="s">
        <v>13843</v>
      </c>
      <c r="BT760" s="2" t="str">
        <f aca="false">HYPERLINK("https%3A%2F%2Fwww.webofscience.com%2Fwos%2Fwoscc%2Ffull-record%2FWOS:000296043400004","View Full Record in Web of Science")</f>
        <v>View Full Record in Web of Science</v>
      </c>
    </row>
    <row r="761" customFormat="false" ht="12.75" hidden="false" customHeight="false" outlineLevel="0" collapsed="false">
      <c r="A761" s="2" t="s">
        <v>72</v>
      </c>
      <c r="B761" s="2" t="s">
        <v>13844</v>
      </c>
      <c r="C761" s="2"/>
      <c r="D761" s="2"/>
      <c r="E761" s="2"/>
      <c r="F761" s="2" t="s">
        <v>13845</v>
      </c>
      <c r="G761" s="2"/>
      <c r="H761" s="2"/>
      <c r="I761" s="2" t="s">
        <v>13846</v>
      </c>
      <c r="J761" s="2" t="s">
        <v>141</v>
      </c>
      <c r="K761" s="2"/>
      <c r="L761" s="2"/>
      <c r="M761" s="2" t="s">
        <v>77</v>
      </c>
      <c r="N761" s="2" t="s">
        <v>78</v>
      </c>
      <c r="O761" s="2"/>
      <c r="P761" s="2"/>
      <c r="Q761" s="2"/>
      <c r="R761" s="2"/>
      <c r="S761" s="2"/>
      <c r="T761" s="2" t="s">
        <v>13847</v>
      </c>
      <c r="U761" s="2" t="s">
        <v>13848</v>
      </c>
      <c r="V761" s="2" t="s">
        <v>13849</v>
      </c>
      <c r="W761" s="2" t="s">
        <v>13850</v>
      </c>
      <c r="X761" s="2" t="s">
        <v>13851</v>
      </c>
      <c r="Y761" s="2" t="s">
        <v>13852</v>
      </c>
      <c r="Z761" s="2" t="s">
        <v>13853</v>
      </c>
      <c r="AA761" s="2" t="s">
        <v>13854</v>
      </c>
      <c r="AB761" s="2" t="s">
        <v>13855</v>
      </c>
      <c r="AC761" s="2"/>
      <c r="AD761" s="2"/>
      <c r="AE761" s="2"/>
      <c r="AF761" s="2"/>
      <c r="AG761" s="2" t="n">
        <v>24</v>
      </c>
      <c r="AH761" s="2" t="n">
        <v>6</v>
      </c>
      <c r="AI761" s="2" t="n">
        <v>10</v>
      </c>
      <c r="AJ761" s="2" t="n">
        <v>1</v>
      </c>
      <c r="AK761" s="2" t="n">
        <v>2</v>
      </c>
      <c r="AL761" s="2" t="s">
        <v>154</v>
      </c>
      <c r="AM761" s="2" t="s">
        <v>155</v>
      </c>
      <c r="AN761" s="2" t="s">
        <v>156</v>
      </c>
      <c r="AO761" s="2" t="s">
        <v>157</v>
      </c>
      <c r="AP761" s="2" t="s">
        <v>158</v>
      </c>
      <c r="AQ761" s="2"/>
      <c r="AR761" s="2" t="s">
        <v>159</v>
      </c>
      <c r="AS761" s="2" t="s">
        <v>160</v>
      </c>
      <c r="AT761" s="2" t="s">
        <v>185</v>
      </c>
      <c r="AU761" s="2" t="n">
        <v>2006</v>
      </c>
      <c r="AV761" s="2" t="n">
        <v>78</v>
      </c>
      <c r="AW761" s="2" t="n">
        <v>8</v>
      </c>
      <c r="AX761" s="2"/>
      <c r="AY761" s="2"/>
      <c r="AZ761" s="2"/>
      <c r="BA761" s="2"/>
      <c r="BB761" s="2" t="n">
        <v>1091</v>
      </c>
      <c r="BC761" s="2" t="n">
        <v>1095</v>
      </c>
      <c r="BD761" s="2"/>
      <c r="BE761" s="2" t="s">
        <v>13856</v>
      </c>
      <c r="BF761" s="2" t="str">
        <f aca="false">HYPERLINK("http://dx.doi.org/10.1002/jmv.20667","http://dx.doi.org/10.1002/jmv.20667")</f>
        <v>http://dx.doi.org/10.1002/jmv.20667</v>
      </c>
      <c r="BG761" s="2"/>
      <c r="BH761" s="2"/>
      <c r="BI761" s="2" t="n">
        <v>5</v>
      </c>
      <c r="BJ761" s="2" t="s">
        <v>163</v>
      </c>
      <c r="BK761" s="2" t="s">
        <v>100</v>
      </c>
      <c r="BL761" s="2" t="s">
        <v>163</v>
      </c>
      <c r="BM761" s="2" t="s">
        <v>13857</v>
      </c>
      <c r="BN761" s="2" t="n">
        <v>16789025</v>
      </c>
      <c r="BO761" s="2"/>
      <c r="BP761" s="2"/>
      <c r="BQ761" s="2"/>
      <c r="BR761" s="2" t="s">
        <v>104</v>
      </c>
      <c r="BS761" s="2" t="s">
        <v>13858</v>
      </c>
      <c r="BT761" s="2" t="str">
        <f aca="false">HYPERLINK("https%3A%2F%2Fwww.webofscience.com%2Fwos%2Fwoscc%2Ffull-record%2FWOS:000238716100014","View Full Record in Web of Science")</f>
        <v>View Full Record in Web of Science</v>
      </c>
    </row>
    <row r="762" customFormat="false" ht="12.75" hidden="false" customHeight="false" outlineLevel="0" collapsed="false">
      <c r="A762" s="2" t="s">
        <v>72</v>
      </c>
      <c r="B762" s="2" t="s">
        <v>13859</v>
      </c>
      <c r="C762" s="2"/>
      <c r="D762" s="2"/>
      <c r="E762" s="2"/>
      <c r="F762" s="2" t="s">
        <v>13860</v>
      </c>
      <c r="G762" s="2"/>
      <c r="H762" s="2"/>
      <c r="I762" s="2" t="s">
        <v>13861</v>
      </c>
      <c r="J762" s="2" t="s">
        <v>141</v>
      </c>
      <c r="K762" s="2"/>
      <c r="L762" s="2"/>
      <c r="M762" s="2" t="s">
        <v>77</v>
      </c>
      <c r="N762" s="2" t="s">
        <v>78</v>
      </c>
      <c r="O762" s="2"/>
      <c r="P762" s="2"/>
      <c r="Q762" s="2"/>
      <c r="R762" s="2"/>
      <c r="S762" s="2"/>
      <c r="T762" s="2" t="s">
        <v>13862</v>
      </c>
      <c r="U762" s="2" t="s">
        <v>13863</v>
      </c>
      <c r="V762" s="2" t="s">
        <v>13864</v>
      </c>
      <c r="W762" s="2" t="s">
        <v>13865</v>
      </c>
      <c r="X762" s="2" t="s">
        <v>13866</v>
      </c>
      <c r="Y762" s="2" t="s">
        <v>13867</v>
      </c>
      <c r="Z762" s="2" t="s">
        <v>13868</v>
      </c>
      <c r="AA762" s="2" t="s">
        <v>13869</v>
      </c>
      <c r="AB762" s="2"/>
      <c r="AC762" s="2"/>
      <c r="AD762" s="2"/>
      <c r="AE762" s="2"/>
      <c r="AF762" s="2"/>
      <c r="AG762" s="2" t="n">
        <v>21</v>
      </c>
      <c r="AH762" s="2" t="n">
        <v>21</v>
      </c>
      <c r="AI762" s="2" t="n">
        <v>22</v>
      </c>
      <c r="AJ762" s="2" t="n">
        <v>0</v>
      </c>
      <c r="AK762" s="2" t="n">
        <v>3</v>
      </c>
      <c r="AL762" s="2" t="s">
        <v>154</v>
      </c>
      <c r="AM762" s="2" t="s">
        <v>155</v>
      </c>
      <c r="AN762" s="2" t="s">
        <v>156</v>
      </c>
      <c r="AO762" s="2" t="s">
        <v>157</v>
      </c>
      <c r="AP762" s="2" t="s">
        <v>158</v>
      </c>
      <c r="AQ762" s="2"/>
      <c r="AR762" s="2" t="s">
        <v>159</v>
      </c>
      <c r="AS762" s="2" t="s">
        <v>160</v>
      </c>
      <c r="AT762" s="2" t="s">
        <v>97</v>
      </c>
      <c r="AU762" s="2" t="n">
        <v>2007</v>
      </c>
      <c r="AV762" s="2" t="n">
        <v>79</v>
      </c>
      <c r="AW762" s="2" t="n">
        <v>3</v>
      </c>
      <c r="AX762" s="2"/>
      <c r="AY762" s="2"/>
      <c r="AZ762" s="2"/>
      <c r="BA762" s="2"/>
      <c r="BB762" s="2" t="n">
        <v>308</v>
      </c>
      <c r="BC762" s="2" t="n">
        <v>313</v>
      </c>
      <c r="BD762" s="2"/>
      <c r="BE762" s="2" t="s">
        <v>13870</v>
      </c>
      <c r="BF762" s="2" t="str">
        <f aca="false">HYPERLINK("http://dx.doi.org/10.1002/jmv.20799","http://dx.doi.org/10.1002/jmv.20799")</f>
        <v>http://dx.doi.org/10.1002/jmv.20799</v>
      </c>
      <c r="BG762" s="2"/>
      <c r="BH762" s="2"/>
      <c r="BI762" s="2" t="n">
        <v>6</v>
      </c>
      <c r="BJ762" s="2" t="s">
        <v>163</v>
      </c>
      <c r="BK762" s="2" t="s">
        <v>100</v>
      </c>
      <c r="BL762" s="2" t="s">
        <v>163</v>
      </c>
      <c r="BM762" s="2" t="s">
        <v>13871</v>
      </c>
      <c r="BN762" s="2" t="n">
        <v>17245714</v>
      </c>
      <c r="BO762" s="2"/>
      <c r="BP762" s="2"/>
      <c r="BQ762" s="2"/>
      <c r="BR762" s="2" t="s">
        <v>104</v>
      </c>
      <c r="BS762" s="2" t="s">
        <v>13872</v>
      </c>
      <c r="BT762" s="2" t="str">
        <f aca="false">HYPERLINK("https%3A%2F%2Fwww.webofscience.com%2Fwos%2Fwoscc%2Ffull-record%2FWOS:000243951200013","View Full Record in Web of Science")</f>
        <v>View Full Record in Web of Science</v>
      </c>
    </row>
    <row r="763" customFormat="false" ht="12.75" hidden="false" customHeight="false" outlineLevel="0" collapsed="false">
      <c r="A763" s="2" t="s">
        <v>72</v>
      </c>
      <c r="B763" s="2" t="s">
        <v>13873</v>
      </c>
      <c r="C763" s="2"/>
      <c r="D763" s="2"/>
      <c r="E763" s="2"/>
      <c r="F763" s="2" t="s">
        <v>13874</v>
      </c>
      <c r="G763" s="2"/>
      <c r="H763" s="2"/>
      <c r="I763" s="2" t="s">
        <v>13875</v>
      </c>
      <c r="J763" s="2" t="s">
        <v>2001</v>
      </c>
      <c r="K763" s="2"/>
      <c r="L763" s="2"/>
      <c r="M763" s="2" t="s">
        <v>77</v>
      </c>
      <c r="N763" s="2" t="s">
        <v>78</v>
      </c>
      <c r="O763" s="2"/>
      <c r="P763" s="2"/>
      <c r="Q763" s="2"/>
      <c r="R763" s="2"/>
      <c r="S763" s="2"/>
      <c r="T763" s="2" t="s">
        <v>13876</v>
      </c>
      <c r="U763" s="2" t="s">
        <v>13877</v>
      </c>
      <c r="V763" s="2" t="s">
        <v>13878</v>
      </c>
      <c r="W763" s="2" t="s">
        <v>13879</v>
      </c>
      <c r="X763" s="2"/>
      <c r="Y763" s="2" t="s">
        <v>13880</v>
      </c>
      <c r="Z763" s="2" t="s">
        <v>13881</v>
      </c>
      <c r="AA763" s="2" t="s">
        <v>13882</v>
      </c>
      <c r="AB763" s="2" t="s">
        <v>13883</v>
      </c>
      <c r="AC763" s="2" t="s">
        <v>13884</v>
      </c>
      <c r="AD763" s="2" t="s">
        <v>13884</v>
      </c>
      <c r="AE763" s="2" t="s">
        <v>13884</v>
      </c>
      <c r="AF763" s="2"/>
      <c r="AG763" s="2" t="n">
        <v>41</v>
      </c>
      <c r="AH763" s="2" t="n">
        <v>5</v>
      </c>
      <c r="AI763" s="2" t="n">
        <v>6</v>
      </c>
      <c r="AJ763" s="2" t="n">
        <v>1</v>
      </c>
      <c r="AK763" s="2" t="n">
        <v>2</v>
      </c>
      <c r="AL763" s="2" t="s">
        <v>91</v>
      </c>
      <c r="AM763" s="2" t="s">
        <v>92</v>
      </c>
      <c r="AN763" s="2" t="s">
        <v>93</v>
      </c>
      <c r="AO763" s="2"/>
      <c r="AP763" s="2" t="s">
        <v>2013</v>
      </c>
      <c r="AQ763" s="2"/>
      <c r="AR763" s="2" t="s">
        <v>2001</v>
      </c>
      <c r="AS763" s="2" t="s">
        <v>2014</v>
      </c>
      <c r="AT763" s="2" t="s">
        <v>336</v>
      </c>
      <c r="AU763" s="2" t="n">
        <v>2023</v>
      </c>
      <c r="AV763" s="2" t="n">
        <v>12</v>
      </c>
      <c r="AW763" s="2" t="n">
        <v>10</v>
      </c>
      <c r="AX763" s="2"/>
      <c r="AY763" s="2"/>
      <c r="AZ763" s="2"/>
      <c r="BA763" s="2"/>
      <c r="BB763" s="2"/>
      <c r="BC763" s="2"/>
      <c r="BD763" s="2" t="n">
        <v>1218</v>
      </c>
      <c r="BE763" s="2" t="s">
        <v>13885</v>
      </c>
      <c r="BF763" s="2" t="str">
        <f aca="false">HYPERLINK("http://dx.doi.org/10.3390/pathogens12101218","http://dx.doi.org/10.3390/pathogens12101218")</f>
        <v>http://dx.doi.org/10.3390/pathogens12101218</v>
      </c>
      <c r="BG763" s="2"/>
      <c r="BH763" s="2"/>
      <c r="BI763" s="2" t="n">
        <v>9</v>
      </c>
      <c r="BJ763" s="2" t="s">
        <v>211</v>
      </c>
      <c r="BK763" s="2" t="s">
        <v>100</v>
      </c>
      <c r="BL763" s="2" t="s">
        <v>211</v>
      </c>
      <c r="BM763" s="2" t="s">
        <v>13886</v>
      </c>
      <c r="BN763" s="2" t="n">
        <v>37887734</v>
      </c>
      <c r="BO763" s="2" t="s">
        <v>341</v>
      </c>
      <c r="BP763" s="2"/>
      <c r="BQ763" s="2"/>
      <c r="BR763" s="2" t="s">
        <v>104</v>
      </c>
      <c r="BS763" s="2" t="s">
        <v>13887</v>
      </c>
      <c r="BT763" s="2" t="str">
        <f aca="false">HYPERLINK("https%3A%2F%2Fwww.webofscience.com%2Fwos%2Fwoscc%2Ffull-record%2FWOS:001089513900001","View Full Record in Web of Science")</f>
        <v>View Full Record in Web of Science</v>
      </c>
    </row>
    <row r="764" customFormat="false" ht="12.75" hidden="false" customHeight="false" outlineLevel="0" collapsed="false">
      <c r="A764" s="2" t="s">
        <v>72</v>
      </c>
      <c r="B764" s="2" t="s">
        <v>13888</v>
      </c>
      <c r="C764" s="2"/>
      <c r="D764" s="2"/>
      <c r="E764" s="2"/>
      <c r="F764" s="2" t="s">
        <v>13889</v>
      </c>
      <c r="G764" s="2"/>
      <c r="H764" s="2"/>
      <c r="I764" s="2" t="s">
        <v>13890</v>
      </c>
      <c r="J764" s="2" t="s">
        <v>13891</v>
      </c>
      <c r="K764" s="2"/>
      <c r="L764" s="2"/>
      <c r="M764" s="2" t="s">
        <v>77</v>
      </c>
      <c r="N764" s="2" t="s">
        <v>78</v>
      </c>
      <c r="O764" s="2"/>
      <c r="P764" s="2"/>
      <c r="Q764" s="2"/>
      <c r="R764" s="2"/>
      <c r="S764" s="2"/>
      <c r="T764" s="2" t="s">
        <v>13892</v>
      </c>
      <c r="U764" s="2" t="s">
        <v>13893</v>
      </c>
      <c r="V764" s="2" t="s">
        <v>13894</v>
      </c>
      <c r="W764" s="2" t="s">
        <v>13895</v>
      </c>
      <c r="X764" s="2" t="s">
        <v>13896</v>
      </c>
      <c r="Y764" s="2" t="s">
        <v>13897</v>
      </c>
      <c r="Z764" s="2" t="s">
        <v>8619</v>
      </c>
      <c r="AA764" s="2" t="s">
        <v>13898</v>
      </c>
      <c r="AB764" s="2" t="s">
        <v>13899</v>
      </c>
      <c r="AC764" s="2"/>
      <c r="AD764" s="2"/>
      <c r="AE764" s="2"/>
      <c r="AF764" s="2"/>
      <c r="AG764" s="2" t="n">
        <v>12</v>
      </c>
      <c r="AH764" s="2" t="n">
        <v>3</v>
      </c>
      <c r="AI764" s="2" t="n">
        <v>3</v>
      </c>
      <c r="AJ764" s="2" t="n">
        <v>0</v>
      </c>
      <c r="AK764" s="2" t="n">
        <v>1</v>
      </c>
      <c r="AL764" s="2" t="s">
        <v>154</v>
      </c>
      <c r="AM764" s="2" t="s">
        <v>155</v>
      </c>
      <c r="AN764" s="2" t="s">
        <v>156</v>
      </c>
      <c r="AO764" s="2" t="s">
        <v>13900</v>
      </c>
      <c r="AP764" s="2" t="s">
        <v>13901</v>
      </c>
      <c r="AQ764" s="2"/>
      <c r="AR764" s="2" t="s">
        <v>13902</v>
      </c>
      <c r="AS764" s="2" t="s">
        <v>13903</v>
      </c>
      <c r="AT764" s="2" t="s">
        <v>185</v>
      </c>
      <c r="AU764" s="2" t="n">
        <v>2023</v>
      </c>
      <c r="AV764" s="2" t="n">
        <v>59</v>
      </c>
      <c r="AW764" s="2" t="n">
        <v>8</v>
      </c>
      <c r="AX764" s="2"/>
      <c r="AY764" s="2"/>
      <c r="AZ764" s="2"/>
      <c r="BA764" s="2"/>
      <c r="BB764" s="2" t="n">
        <v>987</v>
      </c>
      <c r="BC764" s="2" t="n">
        <v>991</v>
      </c>
      <c r="BD764" s="2"/>
      <c r="BE764" s="2" t="s">
        <v>13904</v>
      </c>
      <c r="BF764" s="2" t="str">
        <f aca="false">HYPERLINK("http://dx.doi.org/10.1111/jpc.16445","http://dx.doi.org/10.1111/jpc.16445")</f>
        <v>http://dx.doi.org/10.1111/jpc.16445</v>
      </c>
      <c r="BG764" s="2"/>
      <c r="BH764" s="2" t="s">
        <v>12608</v>
      </c>
      <c r="BI764" s="2" t="n">
        <v>5</v>
      </c>
      <c r="BJ764" s="2" t="s">
        <v>601</v>
      </c>
      <c r="BK764" s="2" t="s">
        <v>100</v>
      </c>
      <c r="BL764" s="2" t="s">
        <v>601</v>
      </c>
      <c r="BM764" s="2" t="s">
        <v>13905</v>
      </c>
      <c r="BN764" s="2" t="n">
        <v>37219060</v>
      </c>
      <c r="BO764" s="2" t="s">
        <v>2278</v>
      </c>
      <c r="BP764" s="2"/>
      <c r="BQ764" s="2"/>
      <c r="BR764" s="2" t="s">
        <v>104</v>
      </c>
      <c r="BS764" s="2" t="s">
        <v>13906</v>
      </c>
      <c r="BT764" s="2" t="str">
        <f aca="false">HYPERLINK("https%3A%2F%2Fwww.webofscience.com%2Fwos%2Fwoscc%2Ffull-record%2FWOS:000992663900001","View Full Record in Web of Science")</f>
        <v>View Full Record in Web of Science</v>
      </c>
    </row>
    <row r="765" customFormat="false" ht="12.75" hidden="false" customHeight="false" outlineLevel="0" collapsed="false">
      <c r="A765" s="2" t="s">
        <v>72</v>
      </c>
      <c r="B765" s="2" t="s">
        <v>13907</v>
      </c>
      <c r="C765" s="2"/>
      <c r="D765" s="2"/>
      <c r="E765" s="2"/>
      <c r="F765" s="2" t="s">
        <v>13907</v>
      </c>
      <c r="G765" s="2"/>
      <c r="H765" s="2"/>
      <c r="I765" s="2" t="s">
        <v>13908</v>
      </c>
      <c r="J765" s="2" t="s">
        <v>5575</v>
      </c>
      <c r="K765" s="2"/>
      <c r="L765" s="2"/>
      <c r="M765" s="2" t="s">
        <v>77</v>
      </c>
      <c r="N765" s="2" t="s">
        <v>78</v>
      </c>
      <c r="O765" s="2"/>
      <c r="P765" s="2"/>
      <c r="Q765" s="2"/>
      <c r="R765" s="2"/>
      <c r="S765" s="2"/>
      <c r="T765" s="2" t="s">
        <v>13909</v>
      </c>
      <c r="U765" s="2" t="s">
        <v>13910</v>
      </c>
      <c r="V765" s="2" t="s">
        <v>13911</v>
      </c>
      <c r="W765" s="2" t="s">
        <v>13912</v>
      </c>
      <c r="X765" s="2" t="s">
        <v>6708</v>
      </c>
      <c r="Y765" s="2" t="s">
        <v>13913</v>
      </c>
      <c r="Z765" s="2" t="s">
        <v>13914</v>
      </c>
      <c r="AA765" s="2" t="s">
        <v>6711</v>
      </c>
      <c r="AB765" s="2" t="s">
        <v>6712</v>
      </c>
      <c r="AC765" s="2" t="s">
        <v>13915</v>
      </c>
      <c r="AD765" s="2" t="s">
        <v>9549</v>
      </c>
      <c r="AE765" s="2"/>
      <c r="AF765" s="2"/>
      <c r="AG765" s="2" t="n">
        <v>35</v>
      </c>
      <c r="AH765" s="2" t="n">
        <v>96</v>
      </c>
      <c r="AI765" s="2" t="n">
        <v>116</v>
      </c>
      <c r="AJ765" s="2" t="n">
        <v>0</v>
      </c>
      <c r="AK765" s="2" t="n">
        <v>0</v>
      </c>
      <c r="AL765" s="2" t="s">
        <v>5588</v>
      </c>
      <c r="AM765" s="2" t="s">
        <v>5589</v>
      </c>
      <c r="AN765" s="2" t="s">
        <v>5590</v>
      </c>
      <c r="AO765" s="2" t="s">
        <v>5591</v>
      </c>
      <c r="AP765" s="2"/>
      <c r="AQ765" s="2"/>
      <c r="AR765" s="2" t="s">
        <v>5575</v>
      </c>
      <c r="AS765" s="2" t="s">
        <v>163</v>
      </c>
      <c r="AT765" s="2" t="s">
        <v>13916</v>
      </c>
      <c r="AU765" s="2" t="n">
        <v>2006</v>
      </c>
      <c r="AV765" s="2" t="n">
        <v>345</v>
      </c>
      <c r="AW765" s="2" t="n">
        <v>2</v>
      </c>
      <c r="AX765" s="2"/>
      <c r="AY765" s="2"/>
      <c r="AZ765" s="2"/>
      <c r="BA765" s="2"/>
      <c r="BB765" s="2" t="n">
        <v>492</v>
      </c>
      <c r="BC765" s="2" t="n">
        <v>501</v>
      </c>
      <c r="BD765" s="2"/>
      <c r="BE765" s="2" t="s">
        <v>13917</v>
      </c>
      <c r="BF765" s="2" t="str">
        <f aca="false">HYPERLINK("http://dx.doi.org/10.1016/j.virol.2005.10.016","http://dx.doi.org/10.1016/j.virol.2005.10.016")</f>
        <v>http://dx.doi.org/10.1016/j.virol.2005.10.016</v>
      </c>
      <c r="BG765" s="2"/>
      <c r="BH765" s="2"/>
      <c r="BI765" s="2" t="n">
        <v>10</v>
      </c>
      <c r="BJ765" s="2" t="s">
        <v>163</v>
      </c>
      <c r="BK765" s="2" t="s">
        <v>100</v>
      </c>
      <c r="BL765" s="2" t="s">
        <v>163</v>
      </c>
      <c r="BM765" s="2" t="s">
        <v>13918</v>
      </c>
      <c r="BN765" s="2" t="n">
        <v>16300813</v>
      </c>
      <c r="BO765" s="2"/>
      <c r="BP765" s="2"/>
      <c r="BQ765" s="2"/>
      <c r="BR765" s="2" t="s">
        <v>104</v>
      </c>
      <c r="BS765" s="2" t="s">
        <v>13919</v>
      </c>
      <c r="BT765" s="2" t="str">
        <f aca="false">HYPERLINK("https%3A%2F%2Fwww.webofscience.com%2Fwos%2Fwoscc%2Ffull-record%2FWOS:000235468300018","View Full Record in Web of Science")</f>
        <v>View Full Record in Web of Science</v>
      </c>
    </row>
    <row r="766" customFormat="false" ht="12.75" hidden="false" customHeight="false" outlineLevel="0" collapsed="false">
      <c r="A766" s="2" t="s">
        <v>72</v>
      </c>
      <c r="B766" s="2" t="s">
        <v>13920</v>
      </c>
      <c r="C766" s="2"/>
      <c r="D766" s="2"/>
      <c r="E766" s="2"/>
      <c r="F766" s="2" t="s">
        <v>13921</v>
      </c>
      <c r="G766" s="2"/>
      <c r="H766" s="2"/>
      <c r="I766" s="2" t="s">
        <v>13922</v>
      </c>
      <c r="J766" s="2" t="s">
        <v>370</v>
      </c>
      <c r="K766" s="2"/>
      <c r="L766" s="2"/>
      <c r="M766" s="2" t="s">
        <v>77</v>
      </c>
      <c r="N766" s="2" t="s">
        <v>78</v>
      </c>
      <c r="O766" s="2"/>
      <c r="P766" s="2"/>
      <c r="Q766" s="2"/>
      <c r="R766" s="2"/>
      <c r="S766" s="2"/>
      <c r="T766" s="2" t="s">
        <v>13923</v>
      </c>
      <c r="U766" s="2" t="s">
        <v>13924</v>
      </c>
      <c r="V766" s="2" t="s">
        <v>13925</v>
      </c>
      <c r="W766" s="2" t="s">
        <v>13926</v>
      </c>
      <c r="X766" s="2" t="s">
        <v>10547</v>
      </c>
      <c r="Y766" s="2" t="s">
        <v>13927</v>
      </c>
      <c r="Z766" s="2" t="s">
        <v>10549</v>
      </c>
      <c r="AA766" s="2"/>
      <c r="AB766" s="2"/>
      <c r="AC766" s="2" t="s">
        <v>13928</v>
      </c>
      <c r="AD766" s="2" t="s">
        <v>13929</v>
      </c>
      <c r="AE766" s="2" t="s">
        <v>13930</v>
      </c>
      <c r="AF766" s="2"/>
      <c r="AG766" s="2" t="n">
        <v>22</v>
      </c>
      <c r="AH766" s="2" t="n">
        <v>9</v>
      </c>
      <c r="AI766" s="2" t="n">
        <v>9</v>
      </c>
      <c r="AJ766" s="2" t="n">
        <v>0</v>
      </c>
      <c r="AK766" s="2" t="n">
        <v>2</v>
      </c>
      <c r="AL766" s="2" t="s">
        <v>549</v>
      </c>
      <c r="AM766" s="2" t="s">
        <v>384</v>
      </c>
      <c r="AN766" s="2" t="s">
        <v>550</v>
      </c>
      <c r="AO766" s="2" t="s">
        <v>386</v>
      </c>
      <c r="AP766" s="2"/>
      <c r="AQ766" s="2"/>
      <c r="AR766" s="2" t="s">
        <v>388</v>
      </c>
      <c r="AS766" s="2" t="s">
        <v>389</v>
      </c>
      <c r="AT766" s="2" t="s">
        <v>161</v>
      </c>
      <c r="AU766" s="2" t="n">
        <v>2013</v>
      </c>
      <c r="AV766" s="2" t="n">
        <v>56</v>
      </c>
      <c r="AW766" s="2" t="n">
        <v>1</v>
      </c>
      <c r="AX766" s="2"/>
      <c r="AY766" s="2"/>
      <c r="AZ766" s="2"/>
      <c r="BA766" s="2"/>
      <c r="BB766" s="2" t="n">
        <v>31</v>
      </c>
      <c r="BC766" s="2" t="n">
        <v>36</v>
      </c>
      <c r="BD766" s="2"/>
      <c r="BE766" s="2" t="s">
        <v>13931</v>
      </c>
      <c r="BF766" s="2" t="str">
        <f aca="false">HYPERLINK("http://dx.doi.org/10.1016/j.jcv.2012.09.014","http://dx.doi.org/10.1016/j.jcv.2012.09.014")</f>
        <v>http://dx.doi.org/10.1016/j.jcv.2012.09.014</v>
      </c>
      <c r="BG766" s="2"/>
      <c r="BH766" s="2"/>
      <c r="BI766" s="2" t="n">
        <v>6</v>
      </c>
      <c r="BJ766" s="2" t="s">
        <v>163</v>
      </c>
      <c r="BK766" s="2" t="s">
        <v>100</v>
      </c>
      <c r="BL766" s="2" t="s">
        <v>163</v>
      </c>
      <c r="BM766" s="2" t="s">
        <v>13932</v>
      </c>
      <c r="BN766" s="2" t="n">
        <v>23084005</v>
      </c>
      <c r="BO766" s="2"/>
      <c r="BP766" s="2"/>
      <c r="BQ766" s="2"/>
      <c r="BR766" s="2" t="s">
        <v>104</v>
      </c>
      <c r="BS766" s="2" t="s">
        <v>13933</v>
      </c>
      <c r="BT766" s="2" t="str">
        <f aca="false">HYPERLINK("https%3A%2F%2Fwww.webofscience.com%2Fwos%2Fwoscc%2Ffull-record%2FWOS:000312885600007","View Full Record in Web of Science")</f>
        <v>View Full Record in Web of Science</v>
      </c>
    </row>
    <row r="767" customFormat="false" ht="12.75" hidden="false" customHeight="false" outlineLevel="0" collapsed="false">
      <c r="A767" s="2" t="s">
        <v>72</v>
      </c>
      <c r="B767" s="2" t="s">
        <v>13934</v>
      </c>
      <c r="C767" s="2"/>
      <c r="D767" s="2"/>
      <c r="E767" s="2"/>
      <c r="F767" s="2" t="s">
        <v>13935</v>
      </c>
      <c r="G767" s="2"/>
      <c r="H767" s="2"/>
      <c r="I767" s="2" t="s">
        <v>13936</v>
      </c>
      <c r="J767" s="2" t="s">
        <v>13937</v>
      </c>
      <c r="K767" s="2"/>
      <c r="L767" s="2"/>
      <c r="M767" s="2" t="s">
        <v>77</v>
      </c>
      <c r="N767" s="2" t="s">
        <v>78</v>
      </c>
      <c r="O767" s="2"/>
      <c r="P767" s="2"/>
      <c r="Q767" s="2"/>
      <c r="R767" s="2"/>
      <c r="S767" s="2"/>
      <c r="T767" s="2" t="s">
        <v>13938</v>
      </c>
      <c r="U767" s="2" t="s">
        <v>13939</v>
      </c>
      <c r="V767" s="2" t="s">
        <v>13940</v>
      </c>
      <c r="W767" s="2" t="s">
        <v>13941</v>
      </c>
      <c r="X767" s="2" t="s">
        <v>13942</v>
      </c>
      <c r="Y767" s="2" t="s">
        <v>13943</v>
      </c>
      <c r="Z767" s="2" t="s">
        <v>13944</v>
      </c>
      <c r="AA767" s="2" t="s">
        <v>13945</v>
      </c>
      <c r="AB767" s="2" t="s">
        <v>13946</v>
      </c>
      <c r="AC767" s="2"/>
      <c r="AD767" s="2"/>
      <c r="AE767" s="2"/>
      <c r="AF767" s="2"/>
      <c r="AG767" s="2" t="n">
        <v>13</v>
      </c>
      <c r="AH767" s="2" t="n">
        <v>2</v>
      </c>
      <c r="AI767" s="2" t="n">
        <v>2</v>
      </c>
      <c r="AJ767" s="2" t="n">
        <v>0</v>
      </c>
      <c r="AK767" s="2" t="n">
        <v>1</v>
      </c>
      <c r="AL767" s="2" t="s">
        <v>13947</v>
      </c>
      <c r="AM767" s="2" t="s">
        <v>3690</v>
      </c>
      <c r="AN767" s="2" t="s">
        <v>13948</v>
      </c>
      <c r="AO767" s="2" t="s">
        <v>13949</v>
      </c>
      <c r="AP767" s="2"/>
      <c r="AQ767" s="2"/>
      <c r="AR767" s="2" t="s">
        <v>13950</v>
      </c>
      <c r="AS767" s="2" t="s">
        <v>13951</v>
      </c>
      <c r="AT767" s="2" t="s">
        <v>692</v>
      </c>
      <c r="AU767" s="2" t="n">
        <v>2020</v>
      </c>
      <c r="AV767" s="2" t="n">
        <v>8</v>
      </c>
      <c r="AW767" s="2" t="n">
        <v>2</v>
      </c>
      <c r="AX767" s="2"/>
      <c r="AY767" s="2"/>
      <c r="AZ767" s="2"/>
      <c r="BA767" s="2"/>
      <c r="BB767" s="2" t="n">
        <v>212</v>
      </c>
      <c r="BC767" s="2" t="n">
        <v>214</v>
      </c>
      <c r="BD767" s="2"/>
      <c r="BE767" s="2" t="s">
        <v>13952</v>
      </c>
      <c r="BF767" s="2" t="str">
        <f aca="false">HYPERLINK("http://dx.doi.org/10.14235/bas.galenos.2020.3919","http://dx.doi.org/10.14235/bas.galenos.2020.3919")</f>
        <v>http://dx.doi.org/10.14235/bas.galenos.2020.3919</v>
      </c>
      <c r="BG767" s="2"/>
      <c r="BH767" s="2"/>
      <c r="BI767" s="2" t="n">
        <v>3</v>
      </c>
      <c r="BJ767" s="2" t="s">
        <v>363</v>
      </c>
      <c r="BK767" s="2" t="s">
        <v>339</v>
      </c>
      <c r="BL767" s="2" t="s">
        <v>364</v>
      </c>
      <c r="BM767" s="2" t="s">
        <v>13953</v>
      </c>
      <c r="BN767" s="2"/>
      <c r="BO767" s="2" t="s">
        <v>1355</v>
      </c>
      <c r="BP767" s="2"/>
      <c r="BQ767" s="2"/>
      <c r="BR767" s="2" t="s">
        <v>104</v>
      </c>
      <c r="BS767" s="2" t="s">
        <v>13954</v>
      </c>
      <c r="BT767" s="2" t="str">
        <f aca="false">HYPERLINK("https%3A%2F%2Fwww.webofscience.com%2Fwos%2Fwoscc%2Ffull-record%2FWOS:000560706400018","View Full Record in Web of Science")</f>
        <v>View Full Record in Web of Science</v>
      </c>
    </row>
    <row r="768" customFormat="false" ht="12.75" hidden="false" customHeight="false" outlineLevel="0" collapsed="false">
      <c r="A768" s="2" t="s">
        <v>72</v>
      </c>
      <c r="B768" s="2" t="s">
        <v>13955</v>
      </c>
      <c r="C768" s="2"/>
      <c r="D768" s="2"/>
      <c r="E768" s="2"/>
      <c r="F768" s="2" t="s">
        <v>13956</v>
      </c>
      <c r="G768" s="2"/>
      <c r="H768" s="2"/>
      <c r="I768" s="2" t="s">
        <v>13957</v>
      </c>
      <c r="J768" s="2" t="s">
        <v>514</v>
      </c>
      <c r="K768" s="2"/>
      <c r="L768" s="2"/>
      <c r="M768" s="2" t="s">
        <v>77</v>
      </c>
      <c r="N768" s="2" t="s">
        <v>78</v>
      </c>
      <c r="O768" s="2"/>
      <c r="P768" s="2"/>
      <c r="Q768" s="2"/>
      <c r="R768" s="2"/>
      <c r="S768" s="2"/>
      <c r="T768" s="2" t="s">
        <v>13958</v>
      </c>
      <c r="U768" s="2" t="s">
        <v>13959</v>
      </c>
      <c r="V768" s="2" t="s">
        <v>13960</v>
      </c>
      <c r="W768" s="2" t="s">
        <v>13961</v>
      </c>
      <c r="X768" s="2" t="s">
        <v>13962</v>
      </c>
      <c r="Y768" s="2" t="s">
        <v>13963</v>
      </c>
      <c r="Z768" s="2" t="s">
        <v>6724</v>
      </c>
      <c r="AA768" s="2" t="s">
        <v>13964</v>
      </c>
      <c r="AB768" s="2" t="s">
        <v>13965</v>
      </c>
      <c r="AC768" s="2" t="s">
        <v>13966</v>
      </c>
      <c r="AD768" s="2" t="s">
        <v>13967</v>
      </c>
      <c r="AE768" s="2" t="s">
        <v>13968</v>
      </c>
      <c r="AF768" s="2"/>
      <c r="AG768" s="2" t="n">
        <v>50</v>
      </c>
      <c r="AH768" s="2" t="n">
        <v>57</v>
      </c>
      <c r="AI768" s="2" t="n">
        <v>75</v>
      </c>
      <c r="AJ768" s="2" t="n">
        <v>0</v>
      </c>
      <c r="AK768" s="2" t="n">
        <v>10</v>
      </c>
      <c r="AL768" s="2" t="s">
        <v>527</v>
      </c>
      <c r="AM768" s="2" t="s">
        <v>528</v>
      </c>
      <c r="AN768" s="2" t="s">
        <v>529</v>
      </c>
      <c r="AO768" s="2" t="s">
        <v>530</v>
      </c>
      <c r="AP768" s="2" t="s">
        <v>531</v>
      </c>
      <c r="AQ768" s="2"/>
      <c r="AR768" s="2" t="s">
        <v>532</v>
      </c>
      <c r="AS768" s="2" t="s">
        <v>533</v>
      </c>
      <c r="AT768" s="2" t="s">
        <v>13969</v>
      </c>
      <c r="AU768" s="2" t="n">
        <v>2015</v>
      </c>
      <c r="AV768" s="2" t="n">
        <v>211</v>
      </c>
      <c r="AW768" s="2" t="n">
        <v>2</v>
      </c>
      <c r="AX768" s="2"/>
      <c r="AY768" s="2"/>
      <c r="AZ768" s="2"/>
      <c r="BA768" s="2"/>
      <c r="BB768" s="2" t="n">
        <v>216</v>
      </c>
      <c r="BC768" s="2" t="n">
        <v>225</v>
      </c>
      <c r="BD768" s="2"/>
      <c r="BE768" s="2" t="s">
        <v>13970</v>
      </c>
      <c r="BF768" s="2" t="str">
        <f aca="false">HYPERLINK("http://dx.doi.org/10.1093/infdis/jiu307","http://dx.doi.org/10.1093/infdis/jiu307")</f>
        <v>http://dx.doi.org/10.1093/infdis/jiu307</v>
      </c>
      <c r="BG768" s="2"/>
      <c r="BH768" s="2"/>
      <c r="BI768" s="2" t="n">
        <v>10</v>
      </c>
      <c r="BJ768" s="2" t="s">
        <v>536</v>
      </c>
      <c r="BK768" s="2" t="s">
        <v>100</v>
      </c>
      <c r="BL768" s="2" t="s">
        <v>536</v>
      </c>
      <c r="BM768" s="2" t="s">
        <v>13971</v>
      </c>
      <c r="BN768" s="2" t="n">
        <v>24864121</v>
      </c>
      <c r="BO768" s="2" t="s">
        <v>3775</v>
      </c>
      <c r="BP768" s="2"/>
      <c r="BQ768" s="2"/>
      <c r="BR768" s="2" t="s">
        <v>104</v>
      </c>
      <c r="BS768" s="2" t="s">
        <v>13972</v>
      </c>
      <c r="BT768" s="2" t="str">
        <f aca="false">HYPERLINK("https%3A%2F%2Fwww.webofscience.com%2Fwos%2Fwoscc%2Ffull-record%2FWOS:000350221000008","View Full Record in Web of Science")</f>
        <v>View Full Record in Web of Science</v>
      </c>
    </row>
    <row r="769" customFormat="false" ht="12.75" hidden="false" customHeight="false" outlineLevel="0" collapsed="false">
      <c r="A769" s="2" t="s">
        <v>72</v>
      </c>
      <c r="B769" s="2" t="s">
        <v>13973</v>
      </c>
      <c r="C769" s="2"/>
      <c r="D769" s="2"/>
      <c r="E769" s="2"/>
      <c r="F769" s="2" t="s">
        <v>13974</v>
      </c>
      <c r="G769" s="2"/>
      <c r="H769" s="2"/>
      <c r="I769" s="2" t="s">
        <v>13975</v>
      </c>
      <c r="J769" s="2" t="s">
        <v>2406</v>
      </c>
      <c r="K769" s="2"/>
      <c r="L769" s="2"/>
      <c r="M769" s="2" t="s">
        <v>77</v>
      </c>
      <c r="N769" s="2" t="s">
        <v>78</v>
      </c>
      <c r="O769" s="2"/>
      <c r="P769" s="2"/>
      <c r="Q769" s="2"/>
      <c r="R769" s="2"/>
      <c r="S769" s="2"/>
      <c r="T769" s="2" t="s">
        <v>13976</v>
      </c>
      <c r="U769" s="2" t="s">
        <v>13977</v>
      </c>
      <c r="V769" s="2" t="s">
        <v>13978</v>
      </c>
      <c r="W769" s="2" t="s">
        <v>13979</v>
      </c>
      <c r="X769" s="2" t="s">
        <v>13980</v>
      </c>
      <c r="Y769" s="2" t="s">
        <v>13981</v>
      </c>
      <c r="Z769" s="2" t="s">
        <v>12355</v>
      </c>
      <c r="AA769" s="2"/>
      <c r="AB769" s="2" t="s">
        <v>2414</v>
      </c>
      <c r="AC769" s="2" t="s">
        <v>13982</v>
      </c>
      <c r="AD769" s="2" t="s">
        <v>13983</v>
      </c>
      <c r="AE769" s="2" t="s">
        <v>13984</v>
      </c>
      <c r="AF769" s="2"/>
      <c r="AG769" s="2" t="n">
        <v>41</v>
      </c>
      <c r="AH769" s="2" t="n">
        <v>30</v>
      </c>
      <c r="AI769" s="2" t="n">
        <v>34</v>
      </c>
      <c r="AJ769" s="2" t="n">
        <v>0</v>
      </c>
      <c r="AK769" s="2" t="n">
        <v>3</v>
      </c>
      <c r="AL769" s="2" t="s">
        <v>549</v>
      </c>
      <c r="AM769" s="2" t="s">
        <v>384</v>
      </c>
      <c r="AN769" s="2" t="s">
        <v>550</v>
      </c>
      <c r="AO769" s="2" t="s">
        <v>2417</v>
      </c>
      <c r="AP769" s="2" t="s">
        <v>13985</v>
      </c>
      <c r="AQ769" s="2"/>
      <c r="AR769" s="2" t="s">
        <v>2418</v>
      </c>
      <c r="AS769" s="2" t="s">
        <v>2419</v>
      </c>
      <c r="AT769" s="2" t="s">
        <v>336</v>
      </c>
      <c r="AU769" s="2" t="n">
        <v>2010</v>
      </c>
      <c r="AV769" s="2" t="n">
        <v>88</v>
      </c>
      <c r="AW769" s="2" t="n">
        <v>1</v>
      </c>
      <c r="AX769" s="2"/>
      <c r="AY769" s="2"/>
      <c r="AZ769" s="2"/>
      <c r="BA769" s="2"/>
      <c r="BB769" s="2" t="n">
        <v>31</v>
      </c>
      <c r="BC769" s="2" t="n">
        <v>37</v>
      </c>
      <c r="BD769" s="2"/>
      <c r="BE769" s="2" t="s">
        <v>13986</v>
      </c>
      <c r="BF769" s="2" t="str">
        <f aca="false">HYPERLINK("http://dx.doi.org/10.1016/j.antiviral.2010.07.001","http://dx.doi.org/10.1016/j.antiviral.2010.07.001")</f>
        <v>http://dx.doi.org/10.1016/j.antiviral.2010.07.001</v>
      </c>
      <c r="BG769" s="2"/>
      <c r="BH769" s="2"/>
      <c r="BI769" s="2" t="n">
        <v>7</v>
      </c>
      <c r="BJ769" s="2" t="s">
        <v>2421</v>
      </c>
      <c r="BK769" s="2" t="s">
        <v>100</v>
      </c>
      <c r="BL769" s="2" t="s">
        <v>2421</v>
      </c>
      <c r="BM769" s="2" t="s">
        <v>13987</v>
      </c>
      <c r="BN769" s="2" t="n">
        <v>20619294</v>
      </c>
      <c r="BO769" s="2"/>
      <c r="BP769" s="2"/>
      <c r="BQ769" s="2"/>
      <c r="BR769" s="2" t="s">
        <v>104</v>
      </c>
      <c r="BS769" s="2" t="s">
        <v>13988</v>
      </c>
      <c r="BT769" s="2" t="str">
        <f aca="false">HYPERLINK("https%3A%2F%2Fwww.webofscience.com%2Fwos%2Fwoscc%2Ffull-record%2FWOS:000283388400005","View Full Record in Web of Science")</f>
        <v>View Full Record in Web of Science</v>
      </c>
    </row>
    <row r="770" customFormat="false" ht="12.75" hidden="false" customHeight="false" outlineLevel="0" collapsed="false">
      <c r="A770" s="2" t="s">
        <v>72</v>
      </c>
      <c r="B770" s="2" t="s">
        <v>13989</v>
      </c>
      <c r="C770" s="2"/>
      <c r="D770" s="2"/>
      <c r="E770" s="2"/>
      <c r="F770" s="2" t="s">
        <v>13990</v>
      </c>
      <c r="G770" s="2"/>
      <c r="H770" s="2"/>
      <c r="I770" s="2" t="s">
        <v>13991</v>
      </c>
      <c r="J770" s="2" t="s">
        <v>1636</v>
      </c>
      <c r="K770" s="2"/>
      <c r="L770" s="2"/>
      <c r="M770" s="2" t="s">
        <v>77</v>
      </c>
      <c r="N770" s="2" t="s">
        <v>78</v>
      </c>
      <c r="O770" s="2"/>
      <c r="P770" s="2"/>
      <c r="Q770" s="2"/>
      <c r="R770" s="2"/>
      <c r="S770" s="2"/>
      <c r="T770" s="2" t="s">
        <v>13992</v>
      </c>
      <c r="U770" s="2" t="s">
        <v>13993</v>
      </c>
      <c r="V770" s="2" t="s">
        <v>13994</v>
      </c>
      <c r="W770" s="2" t="s">
        <v>13995</v>
      </c>
      <c r="X770" s="2" t="s">
        <v>13996</v>
      </c>
      <c r="Y770" s="2" t="s">
        <v>13997</v>
      </c>
      <c r="Z770" s="2" t="s">
        <v>2573</v>
      </c>
      <c r="AA770" s="2" t="s">
        <v>13998</v>
      </c>
      <c r="AB770" s="2"/>
      <c r="AC770" s="2" t="s">
        <v>13999</v>
      </c>
      <c r="AD770" s="2" t="s">
        <v>14000</v>
      </c>
      <c r="AE770" s="2" t="s">
        <v>14001</v>
      </c>
      <c r="AF770" s="2"/>
      <c r="AG770" s="2" t="n">
        <v>58</v>
      </c>
      <c r="AH770" s="2" t="n">
        <v>0</v>
      </c>
      <c r="AI770" s="2" t="n">
        <v>0</v>
      </c>
      <c r="AJ770" s="2" t="n">
        <v>0</v>
      </c>
      <c r="AK770" s="2" t="n">
        <v>2</v>
      </c>
      <c r="AL770" s="2" t="s">
        <v>1649</v>
      </c>
      <c r="AM770" s="2" t="s">
        <v>273</v>
      </c>
      <c r="AN770" s="2" t="s">
        <v>1650</v>
      </c>
      <c r="AO770" s="2" t="s">
        <v>1651</v>
      </c>
      <c r="AP770" s="2" t="s">
        <v>14002</v>
      </c>
      <c r="AQ770" s="2"/>
      <c r="AR770" s="2" t="s">
        <v>1652</v>
      </c>
      <c r="AS770" s="2" t="s">
        <v>1653</v>
      </c>
      <c r="AT770" s="2" t="s">
        <v>14003</v>
      </c>
      <c r="AU770" s="2" t="n">
        <v>2022</v>
      </c>
      <c r="AV770" s="2" t="n">
        <v>119</v>
      </c>
      <c r="AW770" s="2" t="n">
        <v>25</v>
      </c>
      <c r="AX770" s="2"/>
      <c r="AY770" s="2"/>
      <c r="AZ770" s="2"/>
      <c r="BA770" s="2"/>
      <c r="BB770" s="2"/>
      <c r="BC770" s="2"/>
      <c r="BD770" s="2" t="s">
        <v>14004</v>
      </c>
      <c r="BE770" s="2" t="s">
        <v>14005</v>
      </c>
      <c r="BF770" s="2" t="str">
        <f aca="false">HYPERLINK("http://dx.doi.org/10.1073/pnas.2203326119","http://dx.doi.org/10.1073/pnas.2203326119")</f>
        <v>http://dx.doi.org/10.1073/pnas.2203326119</v>
      </c>
      <c r="BG770" s="2"/>
      <c r="BH770" s="2"/>
      <c r="BI770" s="2" t="n">
        <v>9</v>
      </c>
      <c r="BJ770" s="2" t="s">
        <v>1658</v>
      </c>
      <c r="BK770" s="2" t="s">
        <v>100</v>
      </c>
      <c r="BL770" s="2" t="s">
        <v>1659</v>
      </c>
      <c r="BM770" s="2" t="s">
        <v>14006</v>
      </c>
      <c r="BN770" s="2"/>
      <c r="BO770" s="2" t="s">
        <v>136</v>
      </c>
      <c r="BP770" s="2"/>
      <c r="BQ770" s="2"/>
      <c r="BR770" s="2" t="s">
        <v>104</v>
      </c>
      <c r="BS770" s="2" t="s">
        <v>14007</v>
      </c>
      <c r="BT770" s="2" t="str">
        <f aca="false">HYPERLINK("https%3A%2F%2Fwww.webofscience.com%2Fwos%2Fwoscc%2Ffull-record%2FWOS:000838706900015","View Full Record in Web of Science")</f>
        <v>View Full Record in Web of Science</v>
      </c>
    </row>
    <row r="771" customFormat="false" ht="12.75" hidden="false" customHeight="false" outlineLevel="0" collapsed="false">
      <c r="A771" s="2" t="s">
        <v>72</v>
      </c>
      <c r="B771" s="2" t="s">
        <v>14008</v>
      </c>
      <c r="C771" s="2"/>
      <c r="D771" s="2"/>
      <c r="E771" s="2"/>
      <c r="F771" s="2" t="s">
        <v>14009</v>
      </c>
      <c r="G771" s="2"/>
      <c r="H771" s="2"/>
      <c r="I771" s="2" t="s">
        <v>14010</v>
      </c>
      <c r="J771" s="2" t="s">
        <v>742</v>
      </c>
      <c r="K771" s="2"/>
      <c r="L771" s="2"/>
      <c r="M771" s="2" t="s">
        <v>77</v>
      </c>
      <c r="N771" s="2" t="s">
        <v>78</v>
      </c>
      <c r="O771" s="2"/>
      <c r="P771" s="2"/>
      <c r="Q771" s="2"/>
      <c r="R771" s="2"/>
      <c r="S771" s="2"/>
      <c r="T771" s="2" t="s">
        <v>14011</v>
      </c>
      <c r="U771" s="2" t="s">
        <v>14012</v>
      </c>
      <c r="V771" s="2" t="s">
        <v>14013</v>
      </c>
      <c r="W771" s="2" t="s">
        <v>14014</v>
      </c>
      <c r="X771" s="2" t="s">
        <v>6979</v>
      </c>
      <c r="Y771" s="2" t="s">
        <v>14015</v>
      </c>
      <c r="Z771" s="2" t="s">
        <v>2573</v>
      </c>
      <c r="AA771" s="2" t="s">
        <v>14016</v>
      </c>
      <c r="AB771" s="2" t="s">
        <v>14017</v>
      </c>
      <c r="AC771" s="2" t="s">
        <v>14018</v>
      </c>
      <c r="AD771" s="2" t="s">
        <v>14019</v>
      </c>
      <c r="AE771" s="2" t="s">
        <v>14020</v>
      </c>
      <c r="AF771" s="2"/>
      <c r="AG771" s="2" t="n">
        <v>54</v>
      </c>
      <c r="AH771" s="2" t="n">
        <v>20</v>
      </c>
      <c r="AI771" s="2" t="n">
        <v>26</v>
      </c>
      <c r="AJ771" s="2" t="n">
        <v>0</v>
      </c>
      <c r="AK771" s="2" t="n">
        <v>4</v>
      </c>
      <c r="AL771" s="2" t="s">
        <v>755</v>
      </c>
      <c r="AM771" s="2" t="s">
        <v>273</v>
      </c>
      <c r="AN771" s="2" t="s">
        <v>756</v>
      </c>
      <c r="AO771" s="2" t="s">
        <v>757</v>
      </c>
      <c r="AP771" s="2" t="s">
        <v>758</v>
      </c>
      <c r="AQ771" s="2"/>
      <c r="AR771" s="2" t="s">
        <v>759</v>
      </c>
      <c r="AS771" s="2" t="s">
        <v>760</v>
      </c>
      <c r="AT771" s="2" t="s">
        <v>336</v>
      </c>
      <c r="AU771" s="2" t="n">
        <v>2019</v>
      </c>
      <c r="AV771" s="2" t="n">
        <v>93</v>
      </c>
      <c r="AW771" s="2" t="n">
        <v>19</v>
      </c>
      <c r="AX771" s="2"/>
      <c r="AY771" s="2"/>
      <c r="AZ771" s="2"/>
      <c r="BA771" s="2"/>
      <c r="BB771" s="2"/>
      <c r="BC771" s="2"/>
      <c r="BD771" s="2" t="s">
        <v>14021</v>
      </c>
      <c r="BE771" s="2" t="s">
        <v>14022</v>
      </c>
      <c r="BF771" s="2" t="str">
        <f aca="false">HYPERLINK("http://dx.doi.org/10.1128/JVI.00342-19","http://dx.doi.org/10.1128/JVI.00342-19")</f>
        <v>http://dx.doi.org/10.1128/JVI.00342-19</v>
      </c>
      <c r="BG771" s="2"/>
      <c r="BH771" s="2"/>
      <c r="BI771" s="2" t="n">
        <v>15</v>
      </c>
      <c r="BJ771" s="2" t="s">
        <v>163</v>
      </c>
      <c r="BK771" s="2" t="s">
        <v>100</v>
      </c>
      <c r="BL771" s="2" t="s">
        <v>163</v>
      </c>
      <c r="BM771" s="2" t="s">
        <v>14023</v>
      </c>
      <c r="BN771" s="2" t="n">
        <v>31292250</v>
      </c>
      <c r="BO771" s="2" t="s">
        <v>538</v>
      </c>
      <c r="BP771" s="2"/>
      <c r="BQ771" s="2"/>
      <c r="BR771" s="2" t="s">
        <v>104</v>
      </c>
      <c r="BS771" s="2" t="s">
        <v>14024</v>
      </c>
      <c r="BT771" s="2" t="str">
        <f aca="false">HYPERLINK("https%3A%2F%2Fwww.webofscience.com%2Fwos%2Fwoscc%2Ffull-record%2FWOS:000485789300004","View Full Record in Web of Science")</f>
        <v>View Full Record in Web of Science</v>
      </c>
    </row>
    <row r="772" customFormat="false" ht="12.75" hidden="false" customHeight="false" outlineLevel="0" collapsed="false">
      <c r="A772" s="2" t="s">
        <v>72</v>
      </c>
      <c r="B772" s="2" t="s">
        <v>14025</v>
      </c>
      <c r="C772" s="2"/>
      <c r="D772" s="2"/>
      <c r="E772" s="2"/>
      <c r="F772" s="2" t="s">
        <v>14026</v>
      </c>
      <c r="G772" s="2"/>
      <c r="H772" s="2"/>
      <c r="I772" s="2" t="s">
        <v>14027</v>
      </c>
      <c r="J772" s="2" t="s">
        <v>7102</v>
      </c>
      <c r="K772" s="2"/>
      <c r="L772" s="2"/>
      <c r="M772" s="2" t="s">
        <v>77</v>
      </c>
      <c r="N772" s="2" t="s">
        <v>78</v>
      </c>
      <c r="O772" s="2"/>
      <c r="P772" s="2"/>
      <c r="Q772" s="2"/>
      <c r="R772" s="2"/>
      <c r="S772" s="2"/>
      <c r="T772" s="2" t="s">
        <v>14028</v>
      </c>
      <c r="U772" s="2" t="s">
        <v>14029</v>
      </c>
      <c r="V772" s="2" t="s">
        <v>14030</v>
      </c>
      <c r="W772" s="2" t="s">
        <v>14031</v>
      </c>
      <c r="X772" s="2" t="s">
        <v>14032</v>
      </c>
      <c r="Y772" s="2" t="s">
        <v>13799</v>
      </c>
      <c r="Z772" s="2" t="s">
        <v>12585</v>
      </c>
      <c r="AA772" s="2" t="s">
        <v>14033</v>
      </c>
      <c r="AB772" s="2" t="s">
        <v>14034</v>
      </c>
      <c r="AC772" s="2" t="s">
        <v>14035</v>
      </c>
      <c r="AD772" s="2" t="s">
        <v>14036</v>
      </c>
      <c r="AE772" s="2" t="s">
        <v>14037</v>
      </c>
      <c r="AF772" s="2"/>
      <c r="AG772" s="2" t="n">
        <v>37</v>
      </c>
      <c r="AH772" s="2" t="n">
        <v>8</v>
      </c>
      <c r="AI772" s="2" t="n">
        <v>10</v>
      </c>
      <c r="AJ772" s="2" t="n">
        <v>0</v>
      </c>
      <c r="AK772" s="2" t="n">
        <v>2</v>
      </c>
      <c r="AL772" s="2" t="s">
        <v>755</v>
      </c>
      <c r="AM772" s="2" t="s">
        <v>273</v>
      </c>
      <c r="AN772" s="2" t="s">
        <v>756</v>
      </c>
      <c r="AO772" s="2" t="s">
        <v>7114</v>
      </c>
      <c r="AP772" s="2"/>
      <c r="AQ772" s="2"/>
      <c r="AR772" s="2" t="s">
        <v>7102</v>
      </c>
      <c r="AS772" s="2" t="s">
        <v>7115</v>
      </c>
      <c r="AT772" s="2" t="s">
        <v>13804</v>
      </c>
      <c r="AU772" s="2" t="n">
        <v>2023</v>
      </c>
      <c r="AV772" s="2" t="n">
        <v>14</v>
      </c>
      <c r="AW772" s="2" t="n">
        <v>1</v>
      </c>
      <c r="AX772" s="2"/>
      <c r="AY772" s="2"/>
      <c r="AZ772" s="2"/>
      <c r="BA772" s="2"/>
      <c r="BB772" s="2"/>
      <c r="BC772" s="2"/>
      <c r="BD772" s="2"/>
      <c r="BE772" s="2" t="s">
        <v>14038</v>
      </c>
      <c r="BF772" s="2" t="str">
        <f aca="false">HYPERLINK("http://dx.doi.org/10.1128/mbio.02280-22","http://dx.doi.org/10.1128/mbio.02280-22")</f>
        <v>http://dx.doi.org/10.1128/mbio.02280-22</v>
      </c>
      <c r="BG772" s="2"/>
      <c r="BH772" s="2" t="s">
        <v>5760</v>
      </c>
      <c r="BI772" s="2" t="n">
        <v>13</v>
      </c>
      <c r="BJ772" s="2" t="s">
        <v>211</v>
      </c>
      <c r="BK772" s="2" t="s">
        <v>100</v>
      </c>
      <c r="BL772" s="2" t="s">
        <v>211</v>
      </c>
      <c r="BM772" s="2" t="s">
        <v>14039</v>
      </c>
      <c r="BN772" s="2" t="n">
        <v>36507832</v>
      </c>
      <c r="BO772" s="2" t="s">
        <v>103</v>
      </c>
      <c r="BP772" s="2"/>
      <c r="BQ772" s="2"/>
      <c r="BR772" s="2" t="s">
        <v>104</v>
      </c>
      <c r="BS772" s="2" t="s">
        <v>14040</v>
      </c>
      <c r="BT772" s="2" t="str">
        <f aca="false">HYPERLINK("https%3A%2F%2Fwww.webofscience.com%2Fwos%2Fwoscc%2Ffull-record%2FWOS:000898213300001","View Full Record in Web of Science")</f>
        <v>View Full Record in Web of Science</v>
      </c>
    </row>
    <row r="773" customFormat="false" ht="12.75" hidden="false" customHeight="false" outlineLevel="0" collapsed="false">
      <c r="A773" s="2" t="s">
        <v>72</v>
      </c>
      <c r="B773" s="2" t="s">
        <v>14041</v>
      </c>
      <c r="C773" s="2"/>
      <c r="D773" s="2"/>
      <c r="E773" s="2"/>
      <c r="F773" s="2" t="s">
        <v>14042</v>
      </c>
      <c r="G773" s="2"/>
      <c r="H773" s="2"/>
      <c r="I773" s="2" t="s">
        <v>14043</v>
      </c>
      <c r="J773" s="2" t="s">
        <v>370</v>
      </c>
      <c r="K773" s="2"/>
      <c r="L773" s="2"/>
      <c r="M773" s="2" t="s">
        <v>77</v>
      </c>
      <c r="N773" s="2" t="s">
        <v>78</v>
      </c>
      <c r="O773" s="2"/>
      <c r="P773" s="2"/>
      <c r="Q773" s="2"/>
      <c r="R773" s="2"/>
      <c r="S773" s="2"/>
      <c r="T773" s="2" t="s">
        <v>14044</v>
      </c>
      <c r="U773" s="2" t="s">
        <v>14045</v>
      </c>
      <c r="V773" s="2" t="s">
        <v>14046</v>
      </c>
      <c r="W773" s="2" t="s">
        <v>14047</v>
      </c>
      <c r="X773" s="2" t="s">
        <v>12061</v>
      </c>
      <c r="Y773" s="2" t="s">
        <v>14048</v>
      </c>
      <c r="Z773" s="2" t="s">
        <v>14049</v>
      </c>
      <c r="AA773" s="2" t="s">
        <v>14050</v>
      </c>
      <c r="AB773" s="2" t="s">
        <v>14051</v>
      </c>
      <c r="AC773" s="2" t="s">
        <v>14052</v>
      </c>
      <c r="AD773" s="2" t="s">
        <v>14053</v>
      </c>
      <c r="AE773" s="2" t="s">
        <v>14054</v>
      </c>
      <c r="AF773" s="2"/>
      <c r="AG773" s="2" t="n">
        <v>53</v>
      </c>
      <c r="AH773" s="2" t="n">
        <v>28</v>
      </c>
      <c r="AI773" s="2" t="n">
        <v>30</v>
      </c>
      <c r="AJ773" s="2" t="n">
        <v>1</v>
      </c>
      <c r="AK773" s="2" t="n">
        <v>4</v>
      </c>
      <c r="AL773" s="2" t="s">
        <v>383</v>
      </c>
      <c r="AM773" s="2" t="s">
        <v>384</v>
      </c>
      <c r="AN773" s="2" t="s">
        <v>385</v>
      </c>
      <c r="AO773" s="2" t="s">
        <v>386</v>
      </c>
      <c r="AP773" s="2" t="s">
        <v>387</v>
      </c>
      <c r="AQ773" s="2"/>
      <c r="AR773" s="2" t="s">
        <v>388</v>
      </c>
      <c r="AS773" s="2" t="s">
        <v>389</v>
      </c>
      <c r="AT773" s="2" t="s">
        <v>446</v>
      </c>
      <c r="AU773" s="2" t="n">
        <v>2009</v>
      </c>
      <c r="AV773" s="2" t="n">
        <v>46</v>
      </c>
      <c r="AW773" s="2" t="n">
        <v>4</v>
      </c>
      <c r="AX773" s="2"/>
      <c r="AY773" s="2"/>
      <c r="AZ773" s="2"/>
      <c r="BA773" s="2"/>
      <c r="BB773" s="2" t="n">
        <v>318</v>
      </c>
      <c r="BC773" s="2" t="n">
        <v>324</v>
      </c>
      <c r="BD773" s="2"/>
      <c r="BE773" s="2" t="s">
        <v>14055</v>
      </c>
      <c r="BF773" s="2" t="str">
        <f aca="false">HYPERLINK("http://dx.doi.org/10.1016/j.jcv.2009.09.016","http://dx.doi.org/10.1016/j.jcv.2009.09.016")</f>
        <v>http://dx.doi.org/10.1016/j.jcv.2009.09.016</v>
      </c>
      <c r="BG773" s="2"/>
      <c r="BH773" s="2"/>
      <c r="BI773" s="2" t="n">
        <v>7</v>
      </c>
      <c r="BJ773" s="2" t="s">
        <v>163</v>
      </c>
      <c r="BK773" s="2" t="s">
        <v>100</v>
      </c>
      <c r="BL773" s="2" t="s">
        <v>163</v>
      </c>
      <c r="BM773" s="2" t="s">
        <v>14056</v>
      </c>
      <c r="BN773" s="2" t="n">
        <v>19819755</v>
      </c>
      <c r="BO773" s="2"/>
      <c r="BP773" s="2"/>
      <c r="BQ773" s="2"/>
      <c r="BR773" s="2" t="s">
        <v>104</v>
      </c>
      <c r="BS773" s="2" t="s">
        <v>14057</v>
      </c>
      <c r="BT773" s="2" t="str">
        <f aca="false">HYPERLINK("https%3A%2F%2Fwww.webofscience.com%2Fwos%2Fwoscc%2Ffull-record%2FWOS:000272460900005","View Full Record in Web of Science")</f>
        <v>View Full Record in Web of Science</v>
      </c>
    </row>
    <row r="774" customFormat="false" ht="12.75" hidden="false" customHeight="false" outlineLevel="0" collapsed="false">
      <c r="A774" s="2" t="s">
        <v>72</v>
      </c>
      <c r="B774" s="2" t="s">
        <v>14058</v>
      </c>
      <c r="C774" s="2"/>
      <c r="D774" s="2"/>
      <c r="E774" s="2"/>
      <c r="F774" s="2" t="s">
        <v>14059</v>
      </c>
      <c r="G774" s="2"/>
      <c r="H774" s="2"/>
      <c r="I774" s="2" t="s">
        <v>14060</v>
      </c>
      <c r="J774" s="2" t="s">
        <v>8412</v>
      </c>
      <c r="K774" s="2"/>
      <c r="L774" s="2"/>
      <c r="M774" s="2" t="s">
        <v>77</v>
      </c>
      <c r="N774" s="2" t="s">
        <v>78</v>
      </c>
      <c r="O774" s="2"/>
      <c r="P774" s="2"/>
      <c r="Q774" s="2"/>
      <c r="R774" s="2"/>
      <c r="S774" s="2"/>
      <c r="T774" s="2" t="s">
        <v>14061</v>
      </c>
      <c r="U774" s="2" t="s">
        <v>14062</v>
      </c>
      <c r="V774" s="2" t="s">
        <v>14063</v>
      </c>
      <c r="W774" s="2" t="s">
        <v>14064</v>
      </c>
      <c r="X774" s="2" t="s">
        <v>14065</v>
      </c>
      <c r="Y774" s="2" t="s">
        <v>14066</v>
      </c>
      <c r="Z774" s="2" t="s">
        <v>14067</v>
      </c>
      <c r="AA774" s="2" t="s">
        <v>14068</v>
      </c>
      <c r="AB774" s="2" t="s">
        <v>14069</v>
      </c>
      <c r="AC774" s="2" t="s">
        <v>14070</v>
      </c>
      <c r="AD774" s="2" t="s">
        <v>14071</v>
      </c>
      <c r="AE774" s="2" t="s">
        <v>14072</v>
      </c>
      <c r="AF774" s="2"/>
      <c r="AG774" s="2" t="n">
        <v>47</v>
      </c>
      <c r="AH774" s="2" t="n">
        <v>32</v>
      </c>
      <c r="AI774" s="2" t="n">
        <v>38</v>
      </c>
      <c r="AJ774" s="2" t="n">
        <v>0</v>
      </c>
      <c r="AK774" s="2" t="n">
        <v>1</v>
      </c>
      <c r="AL774" s="2" t="s">
        <v>620</v>
      </c>
      <c r="AM774" s="2" t="s">
        <v>621</v>
      </c>
      <c r="AN774" s="2" t="s">
        <v>622</v>
      </c>
      <c r="AO774" s="2" t="s">
        <v>8425</v>
      </c>
      <c r="AP774" s="2"/>
      <c r="AQ774" s="2"/>
      <c r="AR774" s="2" t="s">
        <v>8426</v>
      </c>
      <c r="AS774" s="2" t="s">
        <v>8427</v>
      </c>
      <c r="AT774" s="2" t="s">
        <v>14073</v>
      </c>
      <c r="AU774" s="2" t="n">
        <v>2017</v>
      </c>
      <c r="AV774" s="2" t="n">
        <v>8</v>
      </c>
      <c r="AW774" s="2"/>
      <c r="AX774" s="2"/>
      <c r="AY774" s="2"/>
      <c r="AZ774" s="2"/>
      <c r="BA774" s="2"/>
      <c r="BB774" s="2"/>
      <c r="BC774" s="2"/>
      <c r="BD774" s="2" t="n">
        <v>402</v>
      </c>
      <c r="BE774" s="2" t="s">
        <v>14074</v>
      </c>
      <c r="BF774" s="2" t="str">
        <f aca="false">HYPERLINK("http://dx.doi.org/10.3389/fmicb.2017.00402","http://dx.doi.org/10.3389/fmicb.2017.00402")</f>
        <v>http://dx.doi.org/10.3389/fmicb.2017.00402</v>
      </c>
      <c r="BG774" s="2"/>
      <c r="BH774" s="2"/>
      <c r="BI774" s="2" t="n">
        <v>11</v>
      </c>
      <c r="BJ774" s="2" t="s">
        <v>211</v>
      </c>
      <c r="BK774" s="2" t="s">
        <v>100</v>
      </c>
      <c r="BL774" s="2" t="s">
        <v>211</v>
      </c>
      <c r="BM774" s="2" t="s">
        <v>14075</v>
      </c>
      <c r="BN774" s="2" t="n">
        <v>28352258</v>
      </c>
      <c r="BO774" s="2" t="s">
        <v>103</v>
      </c>
      <c r="BP774" s="2"/>
      <c r="BQ774" s="2"/>
      <c r="BR774" s="2" t="s">
        <v>104</v>
      </c>
      <c r="BS774" s="2" t="s">
        <v>14076</v>
      </c>
      <c r="BT774" s="2" t="str">
        <f aca="false">HYPERLINK("https%3A%2F%2Fwww.webofscience.com%2Fwos%2Fwoscc%2Ffull-record%2FWOS:000396093900001","View Full Record in Web of Science")</f>
        <v>View Full Record in Web of Science</v>
      </c>
    </row>
    <row r="775" customFormat="false" ht="12.75" hidden="false" customHeight="false" outlineLevel="0" collapsed="false">
      <c r="A775" s="2" t="s">
        <v>72</v>
      </c>
      <c r="B775" s="2" t="s">
        <v>14077</v>
      </c>
      <c r="C775" s="2"/>
      <c r="D775" s="2"/>
      <c r="E775" s="2"/>
      <c r="F775" s="2" t="s">
        <v>14078</v>
      </c>
      <c r="G775" s="2"/>
      <c r="H775" s="2"/>
      <c r="I775" s="2" t="s">
        <v>14079</v>
      </c>
      <c r="J775" s="2" t="s">
        <v>10462</v>
      </c>
      <c r="K775" s="2"/>
      <c r="L775" s="2"/>
      <c r="M775" s="2" t="s">
        <v>77</v>
      </c>
      <c r="N775" s="2" t="s">
        <v>78</v>
      </c>
      <c r="O775" s="2"/>
      <c r="P775" s="2"/>
      <c r="Q775" s="2"/>
      <c r="R775" s="2"/>
      <c r="S775" s="2"/>
      <c r="T775" s="2" t="s">
        <v>14080</v>
      </c>
      <c r="U775" s="2" t="s">
        <v>14081</v>
      </c>
      <c r="V775" s="2" t="s">
        <v>14082</v>
      </c>
      <c r="W775" s="2" t="s">
        <v>14083</v>
      </c>
      <c r="X775" s="2" t="s">
        <v>14084</v>
      </c>
      <c r="Y775" s="2" t="s">
        <v>14085</v>
      </c>
      <c r="Z775" s="2" t="s">
        <v>14086</v>
      </c>
      <c r="AA775" s="2" t="s">
        <v>14087</v>
      </c>
      <c r="AB775" s="2" t="s">
        <v>14088</v>
      </c>
      <c r="AC775" s="2"/>
      <c r="AD775" s="2"/>
      <c r="AE775" s="2"/>
      <c r="AF775" s="2"/>
      <c r="AG775" s="2" t="n">
        <v>21</v>
      </c>
      <c r="AH775" s="2" t="n">
        <v>6</v>
      </c>
      <c r="AI775" s="2" t="n">
        <v>6</v>
      </c>
      <c r="AJ775" s="2" t="n">
        <v>0</v>
      </c>
      <c r="AK775" s="2" t="n">
        <v>0</v>
      </c>
      <c r="AL775" s="2" t="s">
        <v>10470</v>
      </c>
      <c r="AM775" s="2" t="s">
        <v>11627</v>
      </c>
      <c r="AN775" s="2" t="s">
        <v>11628</v>
      </c>
      <c r="AO775" s="2" t="s">
        <v>10473</v>
      </c>
      <c r="AP775" s="2"/>
      <c r="AQ775" s="2"/>
      <c r="AR775" s="2" t="s">
        <v>10474</v>
      </c>
      <c r="AS775" s="2" t="s">
        <v>10475</v>
      </c>
      <c r="AT775" s="2" t="s">
        <v>599</v>
      </c>
      <c r="AU775" s="2" t="n">
        <v>2009</v>
      </c>
      <c r="AV775" s="2" t="n">
        <v>32</v>
      </c>
      <c r="AW775" s="2" t="n">
        <v>3</v>
      </c>
      <c r="AX775" s="2"/>
      <c r="AY775" s="2"/>
      <c r="AZ775" s="2"/>
      <c r="BA775" s="2"/>
      <c r="BB775" s="2" t="n">
        <v>297</v>
      </c>
      <c r="BC775" s="2" t="n">
        <v>301</v>
      </c>
      <c r="BD775" s="2"/>
      <c r="BE775" s="2"/>
      <c r="BF775" s="2"/>
      <c r="BG775" s="2"/>
      <c r="BH775" s="2"/>
      <c r="BI775" s="2" t="n">
        <v>5</v>
      </c>
      <c r="BJ775" s="2" t="s">
        <v>211</v>
      </c>
      <c r="BK775" s="2" t="s">
        <v>100</v>
      </c>
      <c r="BL775" s="2" t="s">
        <v>211</v>
      </c>
      <c r="BM775" s="2" t="s">
        <v>14089</v>
      </c>
      <c r="BN775" s="2" t="n">
        <v>19845113</v>
      </c>
      <c r="BO775" s="2"/>
      <c r="BP775" s="2"/>
      <c r="BQ775" s="2"/>
      <c r="BR775" s="2" t="s">
        <v>104</v>
      </c>
      <c r="BS775" s="2" t="s">
        <v>14090</v>
      </c>
      <c r="BT775" s="2" t="str">
        <f aca="false">HYPERLINK("https%3A%2F%2Fwww.webofscience.com%2Fwos%2Fwoscc%2Ffull-record%2FWOS:000270104700009","View Full Record in Web of Science")</f>
        <v>View Full Record in Web of Science</v>
      </c>
    </row>
    <row r="776" customFormat="false" ht="12.75" hidden="false" customHeight="false" outlineLevel="0" collapsed="false">
      <c r="A776" s="2" t="s">
        <v>72</v>
      </c>
      <c r="B776" s="2" t="s">
        <v>14091</v>
      </c>
      <c r="C776" s="2"/>
      <c r="D776" s="2"/>
      <c r="E776" s="2"/>
      <c r="F776" s="2" t="s">
        <v>14092</v>
      </c>
      <c r="G776" s="2"/>
      <c r="H776" s="2"/>
      <c r="I776" s="2" t="s">
        <v>14093</v>
      </c>
      <c r="J776" s="2" t="s">
        <v>370</v>
      </c>
      <c r="K776" s="2"/>
      <c r="L776" s="2"/>
      <c r="M776" s="2" t="s">
        <v>77</v>
      </c>
      <c r="N776" s="2" t="s">
        <v>78</v>
      </c>
      <c r="O776" s="2"/>
      <c r="P776" s="2"/>
      <c r="Q776" s="2"/>
      <c r="R776" s="2"/>
      <c r="S776" s="2"/>
      <c r="T776" s="2" t="s">
        <v>14094</v>
      </c>
      <c r="U776" s="2" t="s">
        <v>14095</v>
      </c>
      <c r="V776" s="2" t="s">
        <v>14096</v>
      </c>
      <c r="W776" s="2" t="s">
        <v>14097</v>
      </c>
      <c r="X776" s="2" t="s">
        <v>14098</v>
      </c>
      <c r="Y776" s="2" t="s">
        <v>14099</v>
      </c>
      <c r="Z776" s="2" t="s">
        <v>14100</v>
      </c>
      <c r="AA776" s="2" t="s">
        <v>14101</v>
      </c>
      <c r="AB776" s="2" t="s">
        <v>14102</v>
      </c>
      <c r="AC776" s="2"/>
      <c r="AD776" s="2"/>
      <c r="AE776" s="2"/>
      <c r="AF776" s="2"/>
      <c r="AG776" s="2" t="n">
        <v>21</v>
      </c>
      <c r="AH776" s="2" t="n">
        <v>11</v>
      </c>
      <c r="AI776" s="2" t="n">
        <v>11</v>
      </c>
      <c r="AJ776" s="2" t="n">
        <v>0</v>
      </c>
      <c r="AK776" s="2" t="n">
        <v>2</v>
      </c>
      <c r="AL776" s="2" t="s">
        <v>383</v>
      </c>
      <c r="AM776" s="2" t="s">
        <v>384</v>
      </c>
      <c r="AN776" s="2" t="s">
        <v>385</v>
      </c>
      <c r="AO776" s="2" t="s">
        <v>386</v>
      </c>
      <c r="AP776" s="2" t="s">
        <v>387</v>
      </c>
      <c r="AQ776" s="2"/>
      <c r="AR776" s="2" t="s">
        <v>388</v>
      </c>
      <c r="AS776" s="2" t="s">
        <v>389</v>
      </c>
      <c r="AT776" s="2" t="s">
        <v>390</v>
      </c>
      <c r="AU776" s="2" t="n">
        <v>2008</v>
      </c>
      <c r="AV776" s="2" t="n">
        <v>42</v>
      </c>
      <c r="AW776" s="2" t="n">
        <v>1</v>
      </c>
      <c r="AX776" s="2"/>
      <c r="AY776" s="2"/>
      <c r="AZ776" s="2"/>
      <c r="BA776" s="2"/>
      <c r="BB776" s="2" t="n">
        <v>78</v>
      </c>
      <c r="BC776" s="2" t="n">
        <v>81</v>
      </c>
      <c r="BD776" s="2"/>
      <c r="BE776" s="2" t="s">
        <v>14103</v>
      </c>
      <c r="BF776" s="2" t="str">
        <f aca="false">HYPERLINK("http://dx.doi.org/10.1016/j.jcv.2007.11.010","http://dx.doi.org/10.1016/j.jcv.2007.11.010")</f>
        <v>http://dx.doi.org/10.1016/j.jcv.2007.11.010</v>
      </c>
      <c r="BG776" s="2"/>
      <c r="BH776" s="2"/>
      <c r="BI776" s="2" t="n">
        <v>4</v>
      </c>
      <c r="BJ776" s="2" t="s">
        <v>163</v>
      </c>
      <c r="BK776" s="2" t="s">
        <v>100</v>
      </c>
      <c r="BL776" s="2" t="s">
        <v>163</v>
      </c>
      <c r="BM776" s="2" t="s">
        <v>12357</v>
      </c>
      <c r="BN776" s="2" t="n">
        <v>18178521</v>
      </c>
      <c r="BO776" s="2"/>
      <c r="BP776" s="2"/>
      <c r="BQ776" s="2"/>
      <c r="BR776" s="2" t="s">
        <v>104</v>
      </c>
      <c r="BS776" s="2" t="s">
        <v>14104</v>
      </c>
      <c r="BT776" s="2" t="str">
        <f aca="false">HYPERLINK("https%3A%2F%2Fwww.webofscience.com%2Fwos%2Fwoscc%2Ffull-record%2FWOS:000256391600015","View Full Record in Web of Science")</f>
        <v>View Full Record in Web of Science</v>
      </c>
    </row>
    <row r="777" customFormat="false" ht="12.75" hidden="false" customHeight="false" outlineLevel="0" collapsed="false">
      <c r="A777" s="2" t="s">
        <v>72</v>
      </c>
      <c r="B777" s="2" t="s">
        <v>14105</v>
      </c>
      <c r="C777" s="2"/>
      <c r="D777" s="2"/>
      <c r="E777" s="2"/>
      <c r="F777" s="2" t="s">
        <v>14106</v>
      </c>
      <c r="G777" s="2"/>
      <c r="H777" s="2"/>
      <c r="I777" s="2" t="s">
        <v>14107</v>
      </c>
      <c r="J777" s="2" t="s">
        <v>5575</v>
      </c>
      <c r="K777" s="2"/>
      <c r="L777" s="2"/>
      <c r="M777" s="2" t="s">
        <v>77</v>
      </c>
      <c r="N777" s="2" t="s">
        <v>78</v>
      </c>
      <c r="O777" s="2"/>
      <c r="P777" s="2"/>
      <c r="Q777" s="2"/>
      <c r="R777" s="2"/>
      <c r="S777" s="2"/>
      <c r="T777" s="2" t="s">
        <v>14108</v>
      </c>
      <c r="U777" s="2" t="s">
        <v>14109</v>
      </c>
      <c r="V777" s="2" t="s">
        <v>14110</v>
      </c>
      <c r="W777" s="2" t="s">
        <v>14111</v>
      </c>
      <c r="X777" s="2" t="s">
        <v>5772</v>
      </c>
      <c r="Y777" s="2" t="s">
        <v>14112</v>
      </c>
      <c r="Z777" s="2" t="s">
        <v>14113</v>
      </c>
      <c r="AA777" s="2" t="s">
        <v>14114</v>
      </c>
      <c r="AB777" s="2"/>
      <c r="AC777" s="2" t="s">
        <v>14115</v>
      </c>
      <c r="AD777" s="2" t="s">
        <v>14116</v>
      </c>
      <c r="AE777" s="2" t="s">
        <v>14117</v>
      </c>
      <c r="AF777" s="2"/>
      <c r="AG777" s="2" t="n">
        <v>24</v>
      </c>
      <c r="AH777" s="2" t="n">
        <v>16</v>
      </c>
      <c r="AI777" s="2" t="n">
        <v>17</v>
      </c>
      <c r="AJ777" s="2" t="n">
        <v>0</v>
      </c>
      <c r="AK777" s="2" t="n">
        <v>2</v>
      </c>
      <c r="AL777" s="2" t="s">
        <v>5588</v>
      </c>
      <c r="AM777" s="2" t="s">
        <v>5589</v>
      </c>
      <c r="AN777" s="2" t="s">
        <v>5590</v>
      </c>
      <c r="AO777" s="2" t="s">
        <v>5591</v>
      </c>
      <c r="AP777" s="2"/>
      <c r="AQ777" s="2"/>
      <c r="AR777" s="2" t="s">
        <v>5575</v>
      </c>
      <c r="AS777" s="2" t="s">
        <v>163</v>
      </c>
      <c r="AT777" s="2" t="s">
        <v>390</v>
      </c>
      <c r="AU777" s="2" t="n">
        <v>2019</v>
      </c>
      <c r="AV777" s="2" t="n">
        <v>531</v>
      </c>
      <c r="AW777" s="2"/>
      <c r="AX777" s="2"/>
      <c r="AY777" s="2"/>
      <c r="AZ777" s="2"/>
      <c r="BA777" s="2"/>
      <c r="BB777" s="2" t="n">
        <v>183</v>
      </c>
      <c r="BC777" s="2" t="n">
        <v>191</v>
      </c>
      <c r="BD777" s="2"/>
      <c r="BE777" s="2" t="s">
        <v>14118</v>
      </c>
      <c r="BF777" s="2" t="str">
        <f aca="false">HYPERLINK("http://dx.doi.org/10.1016/j.virol.2019.03.011","http://dx.doi.org/10.1016/j.virol.2019.03.011")</f>
        <v>http://dx.doi.org/10.1016/j.virol.2019.03.011</v>
      </c>
      <c r="BG777" s="2"/>
      <c r="BH777" s="2"/>
      <c r="BI777" s="2" t="n">
        <v>9</v>
      </c>
      <c r="BJ777" s="2" t="s">
        <v>163</v>
      </c>
      <c r="BK777" s="2" t="s">
        <v>100</v>
      </c>
      <c r="BL777" s="2" t="s">
        <v>163</v>
      </c>
      <c r="BM777" s="2" t="s">
        <v>14119</v>
      </c>
      <c r="BN777" s="2" t="n">
        <v>30927711</v>
      </c>
      <c r="BO777" s="2" t="s">
        <v>695</v>
      </c>
      <c r="BP777" s="2"/>
      <c r="BQ777" s="2"/>
      <c r="BR777" s="2" t="s">
        <v>104</v>
      </c>
      <c r="BS777" s="2" t="s">
        <v>14120</v>
      </c>
      <c r="BT777" s="2" t="str">
        <f aca="false">HYPERLINK("https%3A%2F%2Fwww.webofscience.com%2Fwos%2Fwoscc%2Ffull-record%2FWOS:000466822000017","View Full Record in Web of Science")</f>
        <v>View Full Record in Web of Science</v>
      </c>
    </row>
    <row r="778" customFormat="false" ht="12.75" hidden="false" customHeight="false" outlineLevel="0" collapsed="false">
      <c r="A778" s="2" t="s">
        <v>72</v>
      </c>
      <c r="B778" s="2" t="s">
        <v>14121</v>
      </c>
      <c r="C778" s="2"/>
      <c r="D778" s="2"/>
      <c r="E778" s="2"/>
      <c r="F778" s="2" t="s">
        <v>14122</v>
      </c>
      <c r="G778" s="2"/>
      <c r="H778" s="2"/>
      <c r="I778" s="2" t="s">
        <v>14123</v>
      </c>
      <c r="J778" s="2" t="s">
        <v>6514</v>
      </c>
      <c r="K778" s="2"/>
      <c r="L778" s="2"/>
      <c r="M778" s="2" t="s">
        <v>77</v>
      </c>
      <c r="N778" s="2" t="s">
        <v>78</v>
      </c>
      <c r="O778" s="2"/>
      <c r="P778" s="2"/>
      <c r="Q778" s="2"/>
      <c r="R778" s="2"/>
      <c r="S778" s="2"/>
      <c r="T778" s="2" t="s">
        <v>14124</v>
      </c>
      <c r="U778" s="2" t="s">
        <v>14125</v>
      </c>
      <c r="V778" s="2" t="s">
        <v>14126</v>
      </c>
      <c r="W778" s="2" t="s">
        <v>14127</v>
      </c>
      <c r="X778" s="2" t="s">
        <v>8704</v>
      </c>
      <c r="Y778" s="2" t="s">
        <v>14128</v>
      </c>
      <c r="Z778" s="2" t="s">
        <v>14129</v>
      </c>
      <c r="AA778" s="2" t="s">
        <v>14130</v>
      </c>
      <c r="AB778" s="2"/>
      <c r="AC778" s="2" t="s">
        <v>14131</v>
      </c>
      <c r="AD778" s="2" t="s">
        <v>14132</v>
      </c>
      <c r="AE778" s="2" t="s">
        <v>14133</v>
      </c>
      <c r="AF778" s="2"/>
      <c r="AG778" s="2" t="n">
        <v>11</v>
      </c>
      <c r="AH778" s="2" t="n">
        <v>2</v>
      </c>
      <c r="AI778" s="2" t="n">
        <v>2</v>
      </c>
      <c r="AJ778" s="2" t="n">
        <v>2</v>
      </c>
      <c r="AK778" s="2" t="n">
        <v>6</v>
      </c>
      <c r="AL778" s="2" t="s">
        <v>919</v>
      </c>
      <c r="AM778" s="2" t="s">
        <v>593</v>
      </c>
      <c r="AN778" s="2" t="s">
        <v>920</v>
      </c>
      <c r="AO778" s="2" t="s">
        <v>6523</v>
      </c>
      <c r="AP778" s="2" t="s">
        <v>6524</v>
      </c>
      <c r="AQ778" s="2"/>
      <c r="AR778" s="2" t="s">
        <v>6525</v>
      </c>
      <c r="AS778" s="2" t="s">
        <v>6526</v>
      </c>
      <c r="AT778" s="2" t="s">
        <v>692</v>
      </c>
      <c r="AU778" s="2" t="n">
        <v>2015</v>
      </c>
      <c r="AV778" s="2" t="n">
        <v>43</v>
      </c>
      <c r="AW778" s="2" t="n">
        <v>4</v>
      </c>
      <c r="AX778" s="2"/>
      <c r="AY778" s="2"/>
      <c r="AZ778" s="2"/>
      <c r="BA778" s="2"/>
      <c r="BB778" s="2" t="n">
        <v>365</v>
      </c>
      <c r="BC778" s="2" t="n">
        <v>367</v>
      </c>
      <c r="BD778" s="2"/>
      <c r="BE778" s="2" t="s">
        <v>14134</v>
      </c>
      <c r="BF778" s="2" t="str">
        <f aca="false">HYPERLINK("http://dx.doi.org/10.1016/j.ajic.2015.01.002","http://dx.doi.org/10.1016/j.ajic.2015.01.002")</f>
        <v>http://dx.doi.org/10.1016/j.ajic.2015.01.002</v>
      </c>
      <c r="BG778" s="2"/>
      <c r="BH778" s="2"/>
      <c r="BI778" s="2" t="n">
        <v>3</v>
      </c>
      <c r="BJ778" s="2" t="s">
        <v>2113</v>
      </c>
      <c r="BK778" s="2" t="s">
        <v>100</v>
      </c>
      <c r="BL778" s="2" t="s">
        <v>2113</v>
      </c>
      <c r="BM778" s="2" t="s">
        <v>14135</v>
      </c>
      <c r="BN778" s="2" t="n">
        <v>25690877</v>
      </c>
      <c r="BO778" s="2" t="s">
        <v>165</v>
      </c>
      <c r="BP778" s="2"/>
      <c r="BQ778" s="2"/>
      <c r="BR778" s="2" t="s">
        <v>104</v>
      </c>
      <c r="BS778" s="2" t="s">
        <v>14136</v>
      </c>
      <c r="BT778" s="2" t="str">
        <f aca="false">HYPERLINK("https%3A%2F%2Fwww.webofscience.com%2Fwos%2Fwoscc%2Ffull-record%2FWOS:000352107000010","View Full Record in Web of Science")</f>
        <v>View Full Record in Web of Science</v>
      </c>
    </row>
    <row r="779" customFormat="false" ht="12.75" hidden="false" customHeight="false" outlineLevel="0" collapsed="false">
      <c r="A779" s="2" t="s">
        <v>72</v>
      </c>
      <c r="B779" s="2" t="s">
        <v>14137</v>
      </c>
      <c r="C779" s="2"/>
      <c r="D779" s="2"/>
      <c r="E779" s="2"/>
      <c r="F779" s="2" t="s">
        <v>14138</v>
      </c>
      <c r="G779" s="2"/>
      <c r="H779" s="2"/>
      <c r="I779" s="2" t="s">
        <v>14139</v>
      </c>
      <c r="J779" s="2" t="s">
        <v>109</v>
      </c>
      <c r="K779" s="2"/>
      <c r="L779" s="2"/>
      <c r="M779" s="2" t="s">
        <v>77</v>
      </c>
      <c r="N779" s="2" t="s">
        <v>78</v>
      </c>
      <c r="O779" s="2"/>
      <c r="P779" s="2"/>
      <c r="Q779" s="2"/>
      <c r="R779" s="2"/>
      <c r="S779" s="2"/>
      <c r="T779" s="2" t="s">
        <v>14140</v>
      </c>
      <c r="U779" s="2" t="s">
        <v>14141</v>
      </c>
      <c r="V779" s="2" t="s">
        <v>14142</v>
      </c>
      <c r="W779" s="2" t="s">
        <v>14143</v>
      </c>
      <c r="X779" s="2" t="s">
        <v>14144</v>
      </c>
      <c r="Y779" s="2" t="s">
        <v>14145</v>
      </c>
      <c r="Z779" s="2" t="s">
        <v>14146</v>
      </c>
      <c r="AA779" s="2"/>
      <c r="AB779" s="2"/>
      <c r="AC779" s="2"/>
      <c r="AD779" s="2"/>
      <c r="AE779" s="2"/>
      <c r="AF779" s="2"/>
      <c r="AG779" s="2" t="n">
        <v>26</v>
      </c>
      <c r="AH779" s="2" t="n">
        <v>36</v>
      </c>
      <c r="AI779" s="2" t="n">
        <v>38</v>
      </c>
      <c r="AJ779" s="2" t="n">
        <v>1</v>
      </c>
      <c r="AK779" s="2" t="n">
        <v>1</v>
      </c>
      <c r="AL779" s="2" t="s">
        <v>122</v>
      </c>
      <c r="AM779" s="2" t="s">
        <v>123</v>
      </c>
      <c r="AN779" s="2" t="s">
        <v>839</v>
      </c>
      <c r="AO779" s="2" t="s">
        <v>125</v>
      </c>
      <c r="AP779" s="2"/>
      <c r="AQ779" s="2"/>
      <c r="AR779" s="2" t="s">
        <v>127</v>
      </c>
      <c r="AS779" s="2" t="s">
        <v>128</v>
      </c>
      <c r="AT779" s="2" t="s">
        <v>446</v>
      </c>
      <c r="AU779" s="2" t="n">
        <v>2008</v>
      </c>
      <c r="AV779" s="2" t="n">
        <v>27</v>
      </c>
      <c r="AW779" s="2" t="n">
        <v>12</v>
      </c>
      <c r="AX779" s="2"/>
      <c r="AY779" s="2"/>
      <c r="AZ779" s="2"/>
      <c r="BA779" s="2"/>
      <c r="BB779" s="2" t="n">
        <v>1065</v>
      </c>
      <c r="BC779" s="2" t="n">
        <v>1068</v>
      </c>
      <c r="BD779" s="2"/>
      <c r="BE779" s="2" t="s">
        <v>14147</v>
      </c>
      <c r="BF779" s="2" t="str">
        <f aca="false">HYPERLINK("http://dx.doi.org/10.1097/INF.0b013e31817ef4fd","http://dx.doi.org/10.1097/INF.0b013e31817ef4fd")</f>
        <v>http://dx.doi.org/10.1097/INF.0b013e31817ef4fd</v>
      </c>
      <c r="BG779" s="2"/>
      <c r="BH779" s="2"/>
      <c r="BI779" s="2" t="n">
        <v>4</v>
      </c>
      <c r="BJ779" s="2" t="s">
        <v>134</v>
      </c>
      <c r="BK779" s="2" t="s">
        <v>100</v>
      </c>
      <c r="BL779" s="2" t="s">
        <v>134</v>
      </c>
      <c r="BM779" s="2" t="s">
        <v>14148</v>
      </c>
      <c r="BN779" s="2" t="n">
        <v>18978517</v>
      </c>
      <c r="BO779" s="2"/>
      <c r="BP779" s="2"/>
      <c r="BQ779" s="2"/>
      <c r="BR779" s="2" t="s">
        <v>104</v>
      </c>
      <c r="BS779" s="2" t="s">
        <v>14149</v>
      </c>
      <c r="BT779" s="2" t="str">
        <f aca="false">HYPERLINK("https%3A%2F%2Fwww.webofscience.com%2Fwos%2Fwoscc%2Ffull-record%2FWOS:000261225800004","View Full Record in Web of Science")</f>
        <v>View Full Record in Web of Science</v>
      </c>
    </row>
    <row r="780" customFormat="false" ht="12.75" hidden="false" customHeight="false" outlineLevel="0" collapsed="false">
      <c r="A780" s="2" t="s">
        <v>72</v>
      </c>
      <c r="B780" s="2" t="s">
        <v>14150</v>
      </c>
      <c r="C780" s="2"/>
      <c r="D780" s="2"/>
      <c r="E780" s="2"/>
      <c r="F780" s="2" t="s">
        <v>14151</v>
      </c>
      <c r="G780" s="2"/>
      <c r="H780" s="2"/>
      <c r="I780" s="2" t="s">
        <v>14152</v>
      </c>
      <c r="J780" s="2" t="s">
        <v>109</v>
      </c>
      <c r="K780" s="2"/>
      <c r="L780" s="2"/>
      <c r="M780" s="2" t="s">
        <v>77</v>
      </c>
      <c r="N780" s="2" t="s">
        <v>78</v>
      </c>
      <c r="O780" s="2"/>
      <c r="P780" s="2"/>
      <c r="Q780" s="2"/>
      <c r="R780" s="2"/>
      <c r="S780" s="2"/>
      <c r="T780" s="2" t="s">
        <v>14153</v>
      </c>
      <c r="U780" s="2" t="s">
        <v>14154</v>
      </c>
      <c r="V780" s="2" t="s">
        <v>14155</v>
      </c>
      <c r="W780" s="2" t="s">
        <v>14156</v>
      </c>
      <c r="X780" s="2" t="s">
        <v>14157</v>
      </c>
      <c r="Y780" s="2" t="s">
        <v>14158</v>
      </c>
      <c r="Z780" s="2" t="s">
        <v>14159</v>
      </c>
      <c r="AA780" s="2"/>
      <c r="AB780" s="2" t="s">
        <v>2157</v>
      </c>
      <c r="AC780" s="2"/>
      <c r="AD780" s="2"/>
      <c r="AE780" s="2"/>
      <c r="AF780" s="2"/>
      <c r="AG780" s="2" t="n">
        <v>15</v>
      </c>
      <c r="AH780" s="2" t="n">
        <v>50</v>
      </c>
      <c r="AI780" s="2" t="n">
        <v>57</v>
      </c>
      <c r="AJ780" s="2" t="n">
        <v>1</v>
      </c>
      <c r="AK780" s="2" t="n">
        <v>5</v>
      </c>
      <c r="AL780" s="2" t="s">
        <v>122</v>
      </c>
      <c r="AM780" s="2" t="s">
        <v>123</v>
      </c>
      <c r="AN780" s="2" t="s">
        <v>124</v>
      </c>
      <c r="AO780" s="2" t="s">
        <v>125</v>
      </c>
      <c r="AP780" s="2" t="s">
        <v>126</v>
      </c>
      <c r="AQ780" s="2"/>
      <c r="AR780" s="2" t="s">
        <v>127</v>
      </c>
      <c r="AS780" s="2" t="s">
        <v>128</v>
      </c>
      <c r="AT780" s="2" t="s">
        <v>804</v>
      </c>
      <c r="AU780" s="2" t="n">
        <v>2010</v>
      </c>
      <c r="AV780" s="2" t="n">
        <v>29</v>
      </c>
      <c r="AW780" s="2" t="n">
        <v>11</v>
      </c>
      <c r="AX780" s="2"/>
      <c r="AY780" s="2"/>
      <c r="AZ780" s="2"/>
      <c r="BA780" s="2"/>
      <c r="BB780" s="2" t="n">
        <v>1016</v>
      </c>
      <c r="BC780" s="2" t="n">
        <v>1018</v>
      </c>
      <c r="BD780" s="2"/>
      <c r="BE780" s="2" t="s">
        <v>14160</v>
      </c>
      <c r="BF780" s="2" t="str">
        <f aca="false">HYPERLINK("http://dx.doi.org/10.1097/INF.0b013e3181e3331a","http://dx.doi.org/10.1097/INF.0b013e3181e3331a")</f>
        <v>http://dx.doi.org/10.1097/INF.0b013e3181e3331a</v>
      </c>
      <c r="BG780" s="2"/>
      <c r="BH780" s="2"/>
      <c r="BI780" s="2" t="n">
        <v>3</v>
      </c>
      <c r="BJ780" s="2" t="s">
        <v>134</v>
      </c>
      <c r="BK780" s="2" t="s">
        <v>100</v>
      </c>
      <c r="BL780" s="2" t="s">
        <v>134</v>
      </c>
      <c r="BM780" s="2" t="s">
        <v>14161</v>
      </c>
      <c r="BN780" s="2" t="n">
        <v>20489673</v>
      </c>
      <c r="BO780" s="2"/>
      <c r="BP780" s="2"/>
      <c r="BQ780" s="2"/>
      <c r="BR780" s="2" t="s">
        <v>104</v>
      </c>
      <c r="BS780" s="2" t="s">
        <v>14162</v>
      </c>
      <c r="BT780" s="2" t="str">
        <f aca="false">HYPERLINK("https%3A%2F%2Fwww.webofscience.com%2Fwos%2Fwoscc%2Ffull-record%2FWOS:000283492400008","View Full Record in Web of Science")</f>
        <v>View Full Record in Web of Science</v>
      </c>
    </row>
    <row r="781" customFormat="false" ht="12.75" hidden="false" customHeight="false" outlineLevel="0" collapsed="false">
      <c r="A781" s="2" t="s">
        <v>72</v>
      </c>
      <c r="B781" s="2" t="s">
        <v>14163</v>
      </c>
      <c r="C781" s="2"/>
      <c r="D781" s="2"/>
      <c r="E781" s="2"/>
      <c r="F781" s="2" t="s">
        <v>14164</v>
      </c>
      <c r="G781" s="2"/>
      <c r="H781" s="2"/>
      <c r="I781" s="2" t="s">
        <v>14165</v>
      </c>
      <c r="J781" s="2" t="s">
        <v>5653</v>
      </c>
      <c r="K781" s="2"/>
      <c r="L781" s="2"/>
      <c r="M781" s="2" t="s">
        <v>77</v>
      </c>
      <c r="N781" s="2" t="s">
        <v>78</v>
      </c>
      <c r="O781" s="2"/>
      <c r="P781" s="2"/>
      <c r="Q781" s="2"/>
      <c r="R781" s="2"/>
      <c r="S781" s="2"/>
      <c r="T781" s="2" t="s">
        <v>14166</v>
      </c>
      <c r="U781" s="2" t="s">
        <v>14167</v>
      </c>
      <c r="V781" s="2" t="s">
        <v>14168</v>
      </c>
      <c r="W781" s="2" t="s">
        <v>14169</v>
      </c>
      <c r="X781" s="2" t="s">
        <v>13378</v>
      </c>
      <c r="Y781" s="2" t="s">
        <v>14170</v>
      </c>
      <c r="Z781" s="2" t="s">
        <v>14171</v>
      </c>
      <c r="AA781" s="2"/>
      <c r="AB781" s="2"/>
      <c r="AC781" s="2"/>
      <c r="AD781" s="2"/>
      <c r="AE781" s="2"/>
      <c r="AF781" s="2"/>
      <c r="AG781" s="2" t="n">
        <v>38</v>
      </c>
      <c r="AH781" s="2" t="n">
        <v>11</v>
      </c>
      <c r="AI781" s="2" t="n">
        <v>11</v>
      </c>
      <c r="AJ781" s="2" t="n">
        <v>1</v>
      </c>
      <c r="AK781" s="2" t="n">
        <v>6</v>
      </c>
      <c r="AL781" s="2" t="s">
        <v>4987</v>
      </c>
      <c r="AM781" s="2" t="s">
        <v>2438</v>
      </c>
      <c r="AN781" s="2" t="s">
        <v>4988</v>
      </c>
      <c r="AO781" s="2" t="s">
        <v>5662</v>
      </c>
      <c r="AP781" s="2" t="s">
        <v>5663</v>
      </c>
      <c r="AQ781" s="2"/>
      <c r="AR781" s="2" t="s">
        <v>5664</v>
      </c>
      <c r="AS781" s="2" t="s">
        <v>5665</v>
      </c>
      <c r="AT781" s="2" t="s">
        <v>446</v>
      </c>
      <c r="AU781" s="2" t="n">
        <v>2010</v>
      </c>
      <c r="AV781" s="2" t="n">
        <v>20</v>
      </c>
      <c r="AW781" s="2" t="n">
        <v>4</v>
      </c>
      <c r="AX781" s="2"/>
      <c r="AY781" s="2"/>
      <c r="AZ781" s="2"/>
      <c r="BA781" s="2"/>
      <c r="BB781" s="2" t="n">
        <v>393</v>
      </c>
      <c r="BC781" s="2" t="n">
        <v>400</v>
      </c>
      <c r="BD781" s="2"/>
      <c r="BE781" s="2"/>
      <c r="BF781" s="2"/>
      <c r="BG781" s="2"/>
      <c r="BH781" s="2"/>
      <c r="BI781" s="2" t="n">
        <v>8</v>
      </c>
      <c r="BJ781" s="2" t="s">
        <v>601</v>
      </c>
      <c r="BK781" s="2" t="s">
        <v>100</v>
      </c>
      <c r="BL781" s="2" t="s">
        <v>601</v>
      </c>
      <c r="BM781" s="2" t="s">
        <v>14172</v>
      </c>
      <c r="BN781" s="2" t="n">
        <v>23056737</v>
      </c>
      <c r="BO781" s="2"/>
      <c r="BP781" s="2"/>
      <c r="BQ781" s="2"/>
      <c r="BR781" s="2" t="s">
        <v>104</v>
      </c>
      <c r="BS781" s="2" t="s">
        <v>14173</v>
      </c>
      <c r="BT781" s="2" t="str">
        <f aca="false">HYPERLINK("https%3A%2F%2Fwww.webofscience.com%2Fwos%2Fwoscc%2Ffull-record%2FWOS:000286175900002","View Full Record in Web of Science")</f>
        <v>View Full Record in Web of Science</v>
      </c>
    </row>
    <row r="782" customFormat="false" ht="12.75" hidden="false" customHeight="false" outlineLevel="0" collapsed="false">
      <c r="A782" s="2" t="s">
        <v>72</v>
      </c>
      <c r="B782" s="2" t="s">
        <v>14174</v>
      </c>
      <c r="C782" s="2"/>
      <c r="D782" s="2"/>
      <c r="E782" s="2"/>
      <c r="F782" s="2" t="s">
        <v>14174</v>
      </c>
      <c r="G782" s="2"/>
      <c r="H782" s="2"/>
      <c r="I782" s="2" t="s">
        <v>14175</v>
      </c>
      <c r="J782" s="2" t="s">
        <v>109</v>
      </c>
      <c r="K782" s="2"/>
      <c r="L782" s="2"/>
      <c r="M782" s="2" t="s">
        <v>77</v>
      </c>
      <c r="N782" s="2" t="s">
        <v>78</v>
      </c>
      <c r="O782" s="2"/>
      <c r="P782" s="2"/>
      <c r="Q782" s="2"/>
      <c r="R782" s="2"/>
      <c r="S782" s="2"/>
      <c r="T782" s="2" t="s">
        <v>14176</v>
      </c>
      <c r="U782" s="2" t="s">
        <v>14177</v>
      </c>
      <c r="V782" s="2" t="s">
        <v>14178</v>
      </c>
      <c r="W782" s="2" t="s">
        <v>14179</v>
      </c>
      <c r="X782" s="2" t="s">
        <v>14180</v>
      </c>
      <c r="Y782" s="2" t="s">
        <v>14181</v>
      </c>
      <c r="Z782" s="2" t="s">
        <v>14182</v>
      </c>
      <c r="AA782" s="2" t="s">
        <v>14183</v>
      </c>
      <c r="AB782" s="2" t="s">
        <v>14184</v>
      </c>
      <c r="AC782" s="2"/>
      <c r="AD782" s="2"/>
      <c r="AE782" s="2"/>
      <c r="AF782" s="2"/>
      <c r="AG782" s="2" t="n">
        <v>15</v>
      </c>
      <c r="AH782" s="2" t="n">
        <v>19</v>
      </c>
      <c r="AI782" s="2" t="n">
        <v>22</v>
      </c>
      <c r="AJ782" s="2" t="n">
        <v>0</v>
      </c>
      <c r="AK782" s="2" t="n">
        <v>0</v>
      </c>
      <c r="AL782" s="2" t="s">
        <v>122</v>
      </c>
      <c r="AM782" s="2" t="s">
        <v>123</v>
      </c>
      <c r="AN782" s="2" t="s">
        <v>124</v>
      </c>
      <c r="AO782" s="2" t="s">
        <v>125</v>
      </c>
      <c r="AP782" s="2" t="s">
        <v>126</v>
      </c>
      <c r="AQ782" s="2"/>
      <c r="AR782" s="2" t="s">
        <v>127</v>
      </c>
      <c r="AS782" s="2" t="s">
        <v>128</v>
      </c>
      <c r="AT782" s="2" t="s">
        <v>446</v>
      </c>
      <c r="AU782" s="2" t="n">
        <v>2005</v>
      </c>
      <c r="AV782" s="2" t="n">
        <v>24</v>
      </c>
      <c r="AW782" s="2" t="n">
        <v>12</v>
      </c>
      <c r="AX782" s="2"/>
      <c r="AY782" s="2"/>
      <c r="AZ782" s="2"/>
      <c r="BA782" s="2"/>
      <c r="BB782" s="2" t="n">
        <v>1111</v>
      </c>
      <c r="BC782" s="2" t="n">
        <v>1112</v>
      </c>
      <c r="BD782" s="2"/>
      <c r="BE782" s="2" t="s">
        <v>14185</v>
      </c>
      <c r="BF782" s="2" t="str">
        <f aca="false">HYPERLINK("http://dx.doi.org/10.1097/01.inf.0000190042.65120.23","http://dx.doi.org/10.1097/01.inf.0000190042.65120.23")</f>
        <v>http://dx.doi.org/10.1097/01.inf.0000190042.65120.23</v>
      </c>
      <c r="BG782" s="2"/>
      <c r="BH782" s="2"/>
      <c r="BI782" s="2" t="n">
        <v>2</v>
      </c>
      <c r="BJ782" s="2" t="s">
        <v>134</v>
      </c>
      <c r="BK782" s="2" t="s">
        <v>100</v>
      </c>
      <c r="BL782" s="2" t="s">
        <v>134</v>
      </c>
      <c r="BM782" s="2" t="s">
        <v>14186</v>
      </c>
      <c r="BN782" s="2" t="n">
        <v>16371878</v>
      </c>
      <c r="BO782" s="2" t="s">
        <v>656</v>
      </c>
      <c r="BP782" s="2"/>
      <c r="BQ782" s="2"/>
      <c r="BR782" s="2" t="s">
        <v>104</v>
      </c>
      <c r="BS782" s="2" t="s">
        <v>14187</v>
      </c>
      <c r="BT782" s="2" t="str">
        <f aca="false">HYPERLINK("https%3A%2F%2Fwww.webofscience.com%2Fwos%2Fwoscc%2Ffull-record%2FWOS:000234173600018","View Full Record in Web of Science")</f>
        <v>View Full Record in Web of Science</v>
      </c>
    </row>
    <row r="783" customFormat="false" ht="12.75" hidden="false" customHeight="false" outlineLevel="0" collapsed="false">
      <c r="A783" s="2" t="s">
        <v>72</v>
      </c>
      <c r="B783" s="2" t="s">
        <v>14188</v>
      </c>
      <c r="C783" s="2"/>
      <c r="D783" s="2"/>
      <c r="E783" s="2"/>
      <c r="F783" s="2" t="s">
        <v>14189</v>
      </c>
      <c r="G783" s="2"/>
      <c r="H783" s="2"/>
      <c r="I783" s="2" t="s">
        <v>14190</v>
      </c>
      <c r="J783" s="2" t="s">
        <v>3657</v>
      </c>
      <c r="K783" s="2"/>
      <c r="L783" s="2"/>
      <c r="M783" s="2" t="s">
        <v>77</v>
      </c>
      <c r="N783" s="2" t="s">
        <v>78</v>
      </c>
      <c r="O783" s="2"/>
      <c r="P783" s="2"/>
      <c r="Q783" s="2"/>
      <c r="R783" s="2"/>
      <c r="S783" s="2"/>
      <c r="T783" s="2" t="s">
        <v>14191</v>
      </c>
      <c r="U783" s="2" t="s">
        <v>14192</v>
      </c>
      <c r="V783" s="2" t="s">
        <v>14193</v>
      </c>
      <c r="W783" s="2" t="s">
        <v>14194</v>
      </c>
      <c r="X783" s="2" t="s">
        <v>14195</v>
      </c>
      <c r="Y783" s="2" t="s">
        <v>14196</v>
      </c>
      <c r="Z783" s="2" t="s">
        <v>14197</v>
      </c>
      <c r="AA783" s="2" t="s">
        <v>14198</v>
      </c>
      <c r="AB783" s="2" t="s">
        <v>14199</v>
      </c>
      <c r="AC783" s="2"/>
      <c r="AD783" s="2"/>
      <c r="AE783" s="2"/>
      <c r="AF783" s="2"/>
      <c r="AG783" s="2" t="n">
        <v>19</v>
      </c>
      <c r="AH783" s="2" t="n">
        <v>0</v>
      </c>
      <c r="AI783" s="2" t="n">
        <v>0</v>
      </c>
      <c r="AJ783" s="2" t="n">
        <v>0</v>
      </c>
      <c r="AK783" s="2" t="n">
        <v>4</v>
      </c>
      <c r="AL783" s="2" t="s">
        <v>3667</v>
      </c>
      <c r="AM783" s="2" t="s">
        <v>3668</v>
      </c>
      <c r="AN783" s="2" t="s">
        <v>3669</v>
      </c>
      <c r="AO783" s="2" t="s">
        <v>3670</v>
      </c>
      <c r="AP783" s="2"/>
      <c r="AQ783" s="2"/>
      <c r="AR783" s="2" t="s">
        <v>3671</v>
      </c>
      <c r="AS783" s="2" t="s">
        <v>3672</v>
      </c>
      <c r="AT783" s="2" t="s">
        <v>362</v>
      </c>
      <c r="AU783" s="2" t="n">
        <v>2022</v>
      </c>
      <c r="AV783" s="2" t="n">
        <v>64</v>
      </c>
      <c r="AW783" s="2" t="n">
        <v>3</v>
      </c>
      <c r="AX783" s="2"/>
      <c r="AY783" s="2"/>
      <c r="AZ783" s="2"/>
      <c r="BA783" s="2"/>
      <c r="BB783" s="2" t="n">
        <v>446</v>
      </c>
      <c r="BC783" s="2" t="n">
        <v>450</v>
      </c>
      <c r="BD783" s="2"/>
      <c r="BE783" s="2" t="s">
        <v>14200</v>
      </c>
      <c r="BF783" s="2" t="str">
        <f aca="false">HYPERLINK("http://dx.doi.org/10.24953/turkjped.2020.399","http://dx.doi.org/10.24953/turkjped.2020.399")</f>
        <v>http://dx.doi.org/10.24953/turkjped.2020.399</v>
      </c>
      <c r="BG783" s="2"/>
      <c r="BH783" s="2"/>
      <c r="BI783" s="2" t="n">
        <v>5</v>
      </c>
      <c r="BJ783" s="2" t="s">
        <v>601</v>
      </c>
      <c r="BK783" s="2" t="s">
        <v>100</v>
      </c>
      <c r="BL783" s="2" t="s">
        <v>601</v>
      </c>
      <c r="BM783" s="2" t="s">
        <v>14201</v>
      </c>
      <c r="BN783" s="2" t="n">
        <v>35899557</v>
      </c>
      <c r="BO783" s="2" t="s">
        <v>1355</v>
      </c>
      <c r="BP783" s="2"/>
      <c r="BQ783" s="2"/>
      <c r="BR783" s="2" t="s">
        <v>104</v>
      </c>
      <c r="BS783" s="2" t="s">
        <v>14202</v>
      </c>
      <c r="BT783" s="2" t="str">
        <f aca="false">HYPERLINK("https%3A%2F%2Fwww.webofscience.com%2Fwos%2Fwoscc%2Ffull-record%2FWOS:000830892400003","View Full Record in Web of Science")</f>
        <v>View Full Record in Web of Science</v>
      </c>
    </row>
    <row r="784" customFormat="false" ht="12.75" hidden="false" customHeight="false" outlineLevel="0" collapsed="false">
      <c r="A784" s="2" t="s">
        <v>72</v>
      </c>
      <c r="B784" s="2" t="s">
        <v>14203</v>
      </c>
      <c r="C784" s="2"/>
      <c r="D784" s="2"/>
      <c r="E784" s="2"/>
      <c r="F784" s="2" t="s">
        <v>14204</v>
      </c>
      <c r="G784" s="2"/>
      <c r="H784" s="2"/>
      <c r="I784" s="2" t="s">
        <v>14205</v>
      </c>
      <c r="J784" s="2" t="s">
        <v>10441</v>
      </c>
      <c r="K784" s="2"/>
      <c r="L784" s="2"/>
      <c r="M784" s="2" t="s">
        <v>77</v>
      </c>
      <c r="N784" s="2" t="s">
        <v>78</v>
      </c>
      <c r="O784" s="2"/>
      <c r="P784" s="2"/>
      <c r="Q784" s="2"/>
      <c r="R784" s="2"/>
      <c r="S784" s="2"/>
      <c r="T784" s="2" t="s">
        <v>14206</v>
      </c>
      <c r="U784" s="2" t="s">
        <v>14207</v>
      </c>
      <c r="V784" s="2" t="s">
        <v>14208</v>
      </c>
      <c r="W784" s="2" t="s">
        <v>14209</v>
      </c>
      <c r="X784" s="2" t="s">
        <v>14210</v>
      </c>
      <c r="Y784" s="2" t="s">
        <v>14211</v>
      </c>
      <c r="Z784" s="2" t="s">
        <v>14212</v>
      </c>
      <c r="AA784" s="2" t="s">
        <v>14213</v>
      </c>
      <c r="AB784" s="2" t="s">
        <v>14214</v>
      </c>
      <c r="AC784" s="2"/>
      <c r="AD784" s="2"/>
      <c r="AE784" s="2"/>
      <c r="AF784" s="2"/>
      <c r="AG784" s="2" t="n">
        <v>29</v>
      </c>
      <c r="AH784" s="2" t="n">
        <v>17</v>
      </c>
      <c r="AI784" s="2" t="n">
        <v>17</v>
      </c>
      <c r="AJ784" s="2" t="n">
        <v>0</v>
      </c>
      <c r="AK784" s="2" t="n">
        <v>1</v>
      </c>
      <c r="AL784" s="2" t="s">
        <v>154</v>
      </c>
      <c r="AM784" s="2" t="s">
        <v>155</v>
      </c>
      <c r="AN784" s="2" t="s">
        <v>156</v>
      </c>
      <c r="AO784" s="2" t="s">
        <v>10453</v>
      </c>
      <c r="AP784" s="2" t="s">
        <v>14215</v>
      </c>
      <c r="AQ784" s="2"/>
      <c r="AR784" s="2" t="s">
        <v>10454</v>
      </c>
      <c r="AS784" s="2" t="s">
        <v>10455</v>
      </c>
      <c r="AT784" s="2" t="s">
        <v>804</v>
      </c>
      <c r="AU784" s="2" t="n">
        <v>2009</v>
      </c>
      <c r="AV784" s="2" t="n">
        <v>53</v>
      </c>
      <c r="AW784" s="2" t="n">
        <v>11</v>
      </c>
      <c r="AX784" s="2"/>
      <c r="AY784" s="2"/>
      <c r="AZ784" s="2"/>
      <c r="BA784" s="2"/>
      <c r="BB784" s="2" t="n">
        <v>603</v>
      </c>
      <c r="BC784" s="2" t="n">
        <v>608</v>
      </c>
      <c r="BD784" s="2"/>
      <c r="BE784" s="2" t="s">
        <v>14216</v>
      </c>
      <c r="BF784" s="2" t="str">
        <f aca="false">HYPERLINK("http://dx.doi.org/10.1111/j.1348-0421.2009.00162.x","http://dx.doi.org/10.1111/j.1348-0421.2009.00162.x")</f>
        <v>http://dx.doi.org/10.1111/j.1348-0421.2009.00162.x</v>
      </c>
      <c r="BG784" s="2"/>
      <c r="BH784" s="2"/>
      <c r="BI784" s="2" t="n">
        <v>6</v>
      </c>
      <c r="BJ784" s="2" t="s">
        <v>2364</v>
      </c>
      <c r="BK784" s="2" t="s">
        <v>100</v>
      </c>
      <c r="BL784" s="2" t="s">
        <v>2364</v>
      </c>
      <c r="BM784" s="2" t="s">
        <v>14217</v>
      </c>
      <c r="BN784" s="2" t="n">
        <v>19903260</v>
      </c>
      <c r="BO784" s="2" t="s">
        <v>656</v>
      </c>
      <c r="BP784" s="2"/>
      <c r="BQ784" s="2"/>
      <c r="BR784" s="2" t="s">
        <v>104</v>
      </c>
      <c r="BS784" s="2" t="s">
        <v>14218</v>
      </c>
      <c r="BT784" s="2" t="str">
        <f aca="false">HYPERLINK("https%3A%2F%2Fwww.webofscience.com%2Fwos%2Fwoscc%2Ffull-record%2FWOS:000271063200003","View Full Record in Web of Science")</f>
        <v>View Full Record in Web of Science</v>
      </c>
    </row>
    <row r="785" customFormat="false" ht="12.75" hidden="false" customHeight="false" outlineLevel="0" collapsed="false">
      <c r="A785" s="2" t="s">
        <v>72</v>
      </c>
      <c r="B785" s="2" t="s">
        <v>14219</v>
      </c>
      <c r="C785" s="2"/>
      <c r="D785" s="2"/>
      <c r="E785" s="2"/>
      <c r="F785" s="2" t="s">
        <v>14220</v>
      </c>
      <c r="G785" s="2"/>
      <c r="H785" s="2"/>
      <c r="I785" s="2" t="s">
        <v>14221</v>
      </c>
      <c r="J785" s="2" t="s">
        <v>770</v>
      </c>
      <c r="K785" s="2"/>
      <c r="L785" s="2"/>
      <c r="M785" s="2" t="s">
        <v>77</v>
      </c>
      <c r="N785" s="2" t="s">
        <v>78</v>
      </c>
      <c r="O785" s="2"/>
      <c r="P785" s="2"/>
      <c r="Q785" s="2"/>
      <c r="R785" s="2"/>
      <c r="S785" s="2"/>
      <c r="T785" s="2" t="s">
        <v>14222</v>
      </c>
      <c r="U785" s="2" t="s">
        <v>14223</v>
      </c>
      <c r="V785" s="2" t="s">
        <v>14224</v>
      </c>
      <c r="W785" s="2" t="s">
        <v>14225</v>
      </c>
      <c r="X785" s="2" t="s">
        <v>14226</v>
      </c>
      <c r="Y785" s="2" t="s">
        <v>14227</v>
      </c>
      <c r="Z785" s="2" t="s">
        <v>14228</v>
      </c>
      <c r="AA785" s="2"/>
      <c r="AB785" s="2" t="s">
        <v>14229</v>
      </c>
      <c r="AC785" s="2"/>
      <c r="AD785" s="2"/>
      <c r="AE785" s="2" t="s">
        <v>14230</v>
      </c>
      <c r="AF785" s="2"/>
      <c r="AG785" s="2" t="n">
        <v>15</v>
      </c>
      <c r="AH785" s="2" t="n">
        <v>0</v>
      </c>
      <c r="AI785" s="2" t="n">
        <v>0</v>
      </c>
      <c r="AJ785" s="2" t="n">
        <v>1</v>
      </c>
      <c r="AK785" s="2" t="n">
        <v>1</v>
      </c>
      <c r="AL785" s="2" t="s">
        <v>782</v>
      </c>
      <c r="AM785" s="2" t="s">
        <v>2193</v>
      </c>
      <c r="AN785" s="2" t="s">
        <v>2194</v>
      </c>
      <c r="AO785" s="2" t="s">
        <v>785</v>
      </c>
      <c r="AP785" s="2" t="s">
        <v>786</v>
      </c>
      <c r="AQ785" s="2"/>
      <c r="AR785" s="2" t="s">
        <v>787</v>
      </c>
      <c r="AS785" s="2" t="s">
        <v>788</v>
      </c>
      <c r="AT785" s="2" t="s">
        <v>129</v>
      </c>
      <c r="AU785" s="2" t="n">
        <v>2024</v>
      </c>
      <c r="AV785" s="2" t="n">
        <v>146</v>
      </c>
      <c r="AW785" s="2"/>
      <c r="AX785" s="2"/>
      <c r="AY785" s="2"/>
      <c r="AZ785" s="2"/>
      <c r="BA785" s="2"/>
      <c r="BB785" s="2"/>
      <c r="BC785" s="2"/>
      <c r="BD785" s="2" t="n">
        <v>107162</v>
      </c>
      <c r="BE785" s="2" t="s">
        <v>14231</v>
      </c>
      <c r="BF785" s="2" t="str">
        <f aca="false">HYPERLINK("http://dx.doi.org/10.1016/j.ijid.2024.107162","http://dx.doi.org/10.1016/j.ijid.2024.107162")</f>
        <v>http://dx.doi.org/10.1016/j.ijid.2024.107162</v>
      </c>
      <c r="BG785" s="2"/>
      <c r="BH785" s="2" t="s">
        <v>4324</v>
      </c>
      <c r="BI785" s="2" t="n">
        <v>3</v>
      </c>
      <c r="BJ785" s="2" t="s">
        <v>575</v>
      </c>
      <c r="BK785" s="2" t="s">
        <v>100</v>
      </c>
      <c r="BL785" s="2" t="s">
        <v>575</v>
      </c>
      <c r="BM785" s="2" t="s">
        <v>14232</v>
      </c>
      <c r="BN785" s="2" t="n">
        <v>38969331</v>
      </c>
      <c r="BO785" s="2"/>
      <c r="BP785" s="2"/>
      <c r="BQ785" s="2"/>
      <c r="BR785" s="2" t="s">
        <v>104</v>
      </c>
      <c r="BS785" s="2" t="s">
        <v>14233</v>
      </c>
      <c r="BT785" s="2" t="str">
        <f aca="false">HYPERLINK("https%3A%2F%2Fwww.webofscience.com%2Fwos%2Fwoscc%2Ffull-record%2FWOS:001285666800001","View Full Record in Web of Science")</f>
        <v>View Full Record in Web of Science</v>
      </c>
    </row>
    <row r="786" customFormat="false" ht="12.75" hidden="false" customHeight="false" outlineLevel="0" collapsed="false">
      <c r="A786" s="2" t="s">
        <v>72</v>
      </c>
      <c r="B786" s="2" t="s">
        <v>14234</v>
      </c>
      <c r="C786" s="2"/>
      <c r="D786" s="2"/>
      <c r="E786" s="2"/>
      <c r="F786" s="2" t="s">
        <v>14235</v>
      </c>
      <c r="G786" s="2"/>
      <c r="H786" s="2"/>
      <c r="I786" s="2" t="s">
        <v>14236</v>
      </c>
      <c r="J786" s="2" t="s">
        <v>1473</v>
      </c>
      <c r="K786" s="2"/>
      <c r="L786" s="2"/>
      <c r="M786" s="2" t="s">
        <v>77</v>
      </c>
      <c r="N786" s="2" t="s">
        <v>78</v>
      </c>
      <c r="O786" s="2"/>
      <c r="P786" s="2"/>
      <c r="Q786" s="2"/>
      <c r="R786" s="2"/>
      <c r="S786" s="2"/>
      <c r="T786" s="2" t="s">
        <v>14237</v>
      </c>
      <c r="U786" s="2" t="s">
        <v>14238</v>
      </c>
      <c r="V786" s="2" t="s">
        <v>14239</v>
      </c>
      <c r="W786" s="2" t="s">
        <v>14240</v>
      </c>
      <c r="X786" s="2" t="s">
        <v>14241</v>
      </c>
      <c r="Y786" s="2" t="s">
        <v>14242</v>
      </c>
      <c r="Z786" s="2" t="s">
        <v>14243</v>
      </c>
      <c r="AA786" s="2"/>
      <c r="AB786" s="2" t="s">
        <v>14244</v>
      </c>
      <c r="AC786" s="2"/>
      <c r="AD786" s="2"/>
      <c r="AE786" s="2"/>
      <c r="AF786" s="2"/>
      <c r="AG786" s="2" t="n">
        <v>19</v>
      </c>
      <c r="AH786" s="2" t="n">
        <v>0</v>
      </c>
      <c r="AI786" s="2" t="n">
        <v>0</v>
      </c>
      <c r="AJ786" s="2" t="n">
        <v>5</v>
      </c>
      <c r="AK786" s="2" t="n">
        <v>5</v>
      </c>
      <c r="AL786" s="2" t="s">
        <v>154</v>
      </c>
      <c r="AM786" s="2" t="s">
        <v>155</v>
      </c>
      <c r="AN786" s="2" t="s">
        <v>156</v>
      </c>
      <c r="AO786" s="2" t="s">
        <v>1485</v>
      </c>
      <c r="AP786" s="2" t="s">
        <v>1486</v>
      </c>
      <c r="AQ786" s="2"/>
      <c r="AR786" s="2" t="s">
        <v>1487</v>
      </c>
      <c r="AS786" s="2" t="s">
        <v>1488</v>
      </c>
      <c r="AT786" s="2" t="s">
        <v>1041</v>
      </c>
      <c r="AU786" s="2" t="n">
        <v>2024</v>
      </c>
      <c r="AV786" s="2" t="n">
        <v>26</v>
      </c>
      <c r="AW786" s="2" t="n">
        <v>1</v>
      </c>
      <c r="AX786" s="2"/>
      <c r="AY786" s="2"/>
      <c r="AZ786" s="2"/>
      <c r="BA786" s="2"/>
      <c r="BB786" s="2"/>
      <c r="BC786" s="2"/>
      <c r="BD786" s="2"/>
      <c r="BE786" s="2" t="s">
        <v>14245</v>
      </c>
      <c r="BF786" s="2" t="str">
        <f aca="false">HYPERLINK("http://dx.doi.org/10.1111/tid.14188","http://dx.doi.org/10.1111/tid.14188")</f>
        <v>http://dx.doi.org/10.1111/tid.14188</v>
      </c>
      <c r="BG786" s="2"/>
      <c r="BH786" s="2" t="s">
        <v>8694</v>
      </c>
      <c r="BI786" s="2" t="n">
        <v>4</v>
      </c>
      <c r="BJ786" s="2" t="s">
        <v>1490</v>
      </c>
      <c r="BK786" s="2" t="s">
        <v>100</v>
      </c>
      <c r="BL786" s="2" t="s">
        <v>1490</v>
      </c>
      <c r="BM786" s="2" t="s">
        <v>14246</v>
      </c>
      <c r="BN786" s="2" t="n">
        <v>37938791</v>
      </c>
      <c r="BO786" s="2"/>
      <c r="BP786" s="2"/>
      <c r="BQ786" s="2"/>
      <c r="BR786" s="2" t="s">
        <v>104</v>
      </c>
      <c r="BS786" s="2" t="s">
        <v>14247</v>
      </c>
      <c r="BT786" s="2" t="str">
        <f aca="false">HYPERLINK("https%3A%2F%2Fwww.webofscience.com%2Fwos%2Fwoscc%2Ffull-record%2FWOS:001098425000001","View Full Record in Web of Science")</f>
        <v>View Full Record in Web of Science</v>
      </c>
    </row>
    <row r="787" customFormat="false" ht="12.75" hidden="false" customHeight="false" outlineLevel="0" collapsed="false">
      <c r="A787" s="2" t="s">
        <v>72</v>
      </c>
      <c r="B787" s="2" t="s">
        <v>14248</v>
      </c>
      <c r="C787" s="2"/>
      <c r="D787" s="2"/>
      <c r="E787" s="2"/>
      <c r="F787" s="2" t="s">
        <v>14249</v>
      </c>
      <c r="G787" s="2"/>
      <c r="H787" s="2"/>
      <c r="I787" s="2" t="s">
        <v>14250</v>
      </c>
      <c r="J787" s="2" t="s">
        <v>514</v>
      </c>
      <c r="K787" s="2"/>
      <c r="L787" s="2"/>
      <c r="M787" s="2" t="s">
        <v>77</v>
      </c>
      <c r="N787" s="2" t="s">
        <v>78</v>
      </c>
      <c r="O787" s="2"/>
      <c r="P787" s="2"/>
      <c r="Q787" s="2"/>
      <c r="R787" s="2"/>
      <c r="S787" s="2"/>
      <c r="T787" s="2" t="s">
        <v>14251</v>
      </c>
      <c r="U787" s="2" t="s">
        <v>14252</v>
      </c>
      <c r="V787" s="2" t="s">
        <v>14253</v>
      </c>
      <c r="W787" s="2" t="s">
        <v>14254</v>
      </c>
      <c r="X787" s="2" t="s">
        <v>14255</v>
      </c>
      <c r="Y787" s="2" t="s">
        <v>14256</v>
      </c>
      <c r="Z787" s="2" t="s">
        <v>14257</v>
      </c>
      <c r="AA787" s="2" t="s">
        <v>14258</v>
      </c>
      <c r="AB787" s="2" t="s">
        <v>14259</v>
      </c>
      <c r="AC787" s="2" t="s">
        <v>14260</v>
      </c>
      <c r="AD787" s="2" t="s">
        <v>14261</v>
      </c>
      <c r="AE787" s="2" t="s">
        <v>14262</v>
      </c>
      <c r="AF787" s="2"/>
      <c r="AG787" s="2" t="n">
        <v>50</v>
      </c>
      <c r="AH787" s="2" t="n">
        <v>23</v>
      </c>
      <c r="AI787" s="2" t="n">
        <v>26</v>
      </c>
      <c r="AJ787" s="2" t="n">
        <v>1</v>
      </c>
      <c r="AK787" s="2" t="n">
        <v>11</v>
      </c>
      <c r="AL787" s="2" t="s">
        <v>527</v>
      </c>
      <c r="AM787" s="2" t="s">
        <v>528</v>
      </c>
      <c r="AN787" s="2" t="s">
        <v>529</v>
      </c>
      <c r="AO787" s="2" t="s">
        <v>530</v>
      </c>
      <c r="AP787" s="2" t="s">
        <v>531</v>
      </c>
      <c r="AQ787" s="2"/>
      <c r="AR787" s="2" t="s">
        <v>532</v>
      </c>
      <c r="AS787" s="2" t="s">
        <v>533</v>
      </c>
      <c r="AT787" s="2" t="s">
        <v>4756</v>
      </c>
      <c r="AU787" s="2" t="n">
        <v>2018</v>
      </c>
      <c r="AV787" s="2" t="n">
        <v>218</v>
      </c>
      <c r="AW787" s="2" t="n">
        <v>10</v>
      </c>
      <c r="AX787" s="2"/>
      <c r="AY787" s="2"/>
      <c r="AZ787" s="2"/>
      <c r="BA787" s="2"/>
      <c r="BB787" s="2" t="n">
        <v>1582</v>
      </c>
      <c r="BC787" s="2" t="n">
        <v>1591</v>
      </c>
      <c r="BD787" s="2"/>
      <c r="BE787" s="2" t="s">
        <v>14263</v>
      </c>
      <c r="BF787" s="2" t="str">
        <f aca="false">HYPERLINK("http://dx.doi.org/10.1093/infdis/jiy361","http://dx.doi.org/10.1093/infdis/jiy361")</f>
        <v>http://dx.doi.org/10.1093/infdis/jiy361</v>
      </c>
      <c r="BG787" s="2"/>
      <c r="BH787" s="2"/>
      <c r="BI787" s="2" t="n">
        <v>10</v>
      </c>
      <c r="BJ787" s="2" t="s">
        <v>536</v>
      </c>
      <c r="BK787" s="2" t="s">
        <v>100</v>
      </c>
      <c r="BL787" s="2" t="s">
        <v>536</v>
      </c>
      <c r="BM787" s="2" t="s">
        <v>14264</v>
      </c>
      <c r="BN787" s="2" t="n">
        <v>29917090</v>
      </c>
      <c r="BO787" s="2" t="s">
        <v>11117</v>
      </c>
      <c r="BP787" s="2"/>
      <c r="BQ787" s="2"/>
      <c r="BR787" s="2" t="s">
        <v>104</v>
      </c>
      <c r="BS787" s="2" t="s">
        <v>14265</v>
      </c>
      <c r="BT787" s="2" t="str">
        <f aca="false">HYPERLINK("https%3A%2F%2Fwww.webofscience.com%2Fwos%2Fwoscc%2Ffull-record%2FWOS:000446875300008","View Full Record in Web of Science")</f>
        <v>View Full Record in Web of Science</v>
      </c>
    </row>
    <row r="788" customFormat="false" ht="12.75" hidden="false" customHeight="false" outlineLevel="0" collapsed="false">
      <c r="A788" s="2" t="s">
        <v>72</v>
      </c>
      <c r="B788" s="2" t="s">
        <v>14266</v>
      </c>
      <c r="C788" s="2"/>
      <c r="D788" s="2"/>
      <c r="E788" s="2"/>
      <c r="F788" s="2" t="s">
        <v>14267</v>
      </c>
      <c r="G788" s="2"/>
      <c r="H788" s="2"/>
      <c r="I788" s="2" t="s">
        <v>14268</v>
      </c>
      <c r="J788" s="2" t="s">
        <v>6051</v>
      </c>
      <c r="K788" s="2"/>
      <c r="L788" s="2"/>
      <c r="M788" s="2" t="s">
        <v>77</v>
      </c>
      <c r="N788" s="2" t="s">
        <v>78</v>
      </c>
      <c r="O788" s="2"/>
      <c r="P788" s="2"/>
      <c r="Q788" s="2"/>
      <c r="R788" s="2"/>
      <c r="S788" s="2"/>
      <c r="T788" s="2" t="s">
        <v>14269</v>
      </c>
      <c r="U788" s="2" t="s">
        <v>14270</v>
      </c>
      <c r="V788" s="2" t="s">
        <v>14271</v>
      </c>
      <c r="W788" s="2" t="s">
        <v>14272</v>
      </c>
      <c r="X788" s="2" t="s">
        <v>14273</v>
      </c>
      <c r="Y788" s="2" t="s">
        <v>14274</v>
      </c>
      <c r="Z788" s="2" t="s">
        <v>14275</v>
      </c>
      <c r="AA788" s="2"/>
      <c r="AB788" s="2" t="s">
        <v>14276</v>
      </c>
      <c r="AC788" s="2"/>
      <c r="AD788" s="2"/>
      <c r="AE788" s="2"/>
      <c r="AF788" s="2"/>
      <c r="AG788" s="2" t="n">
        <v>50</v>
      </c>
      <c r="AH788" s="2" t="n">
        <v>39</v>
      </c>
      <c r="AI788" s="2" t="n">
        <v>46</v>
      </c>
      <c r="AJ788" s="2" t="n">
        <v>0</v>
      </c>
      <c r="AK788" s="2" t="n">
        <v>1</v>
      </c>
      <c r="AL788" s="2" t="s">
        <v>2954</v>
      </c>
      <c r="AM788" s="2" t="s">
        <v>593</v>
      </c>
      <c r="AN788" s="2" t="s">
        <v>2955</v>
      </c>
      <c r="AO788" s="2" t="s">
        <v>6064</v>
      </c>
      <c r="AP788" s="2" t="s">
        <v>13147</v>
      </c>
      <c r="AQ788" s="2"/>
      <c r="AR788" s="2" t="s">
        <v>6065</v>
      </c>
      <c r="AS788" s="2" t="s">
        <v>6066</v>
      </c>
      <c r="AT788" s="2" t="s">
        <v>486</v>
      </c>
      <c r="AU788" s="2" t="n">
        <v>2008</v>
      </c>
      <c r="AV788" s="2" t="n">
        <v>38</v>
      </c>
      <c r="AW788" s="2" t="n">
        <v>6</v>
      </c>
      <c r="AX788" s="2"/>
      <c r="AY788" s="2"/>
      <c r="AZ788" s="2"/>
      <c r="BA788" s="2"/>
      <c r="BB788" s="2" t="n">
        <v>661</v>
      </c>
      <c r="BC788" s="2" t="n">
        <v>670</v>
      </c>
      <c r="BD788" s="2"/>
      <c r="BE788" s="2" t="s">
        <v>14277</v>
      </c>
      <c r="BF788" s="2" t="str">
        <f aca="false">HYPERLINK("http://dx.doi.org/10.1165/rcmb.2007-0285OC","http://dx.doi.org/10.1165/rcmb.2007-0285OC")</f>
        <v>http://dx.doi.org/10.1165/rcmb.2007-0285OC</v>
      </c>
      <c r="BG788" s="2"/>
      <c r="BH788" s="2"/>
      <c r="BI788" s="2" t="n">
        <v>10</v>
      </c>
      <c r="BJ788" s="2" t="s">
        <v>6068</v>
      </c>
      <c r="BK788" s="2" t="s">
        <v>100</v>
      </c>
      <c r="BL788" s="2" t="s">
        <v>6068</v>
      </c>
      <c r="BM788" s="2" t="s">
        <v>14278</v>
      </c>
      <c r="BN788" s="2" t="n">
        <v>18218993</v>
      </c>
      <c r="BO788" s="2"/>
      <c r="BP788" s="2"/>
      <c r="BQ788" s="2"/>
      <c r="BR788" s="2" t="s">
        <v>104</v>
      </c>
      <c r="BS788" s="2" t="s">
        <v>14279</v>
      </c>
      <c r="BT788" s="2" t="str">
        <f aca="false">HYPERLINK("https%3A%2F%2Fwww.webofscience.com%2Fwos%2Fwoscc%2Ffull-record%2FWOS:000256046200005","View Full Record in Web of Science")</f>
        <v>View Full Record in Web of Science</v>
      </c>
    </row>
    <row r="789" customFormat="false" ht="12.75" hidden="false" customHeight="false" outlineLevel="0" collapsed="false">
      <c r="A789" s="2" t="s">
        <v>72</v>
      </c>
      <c r="B789" s="2" t="s">
        <v>14280</v>
      </c>
      <c r="C789" s="2"/>
      <c r="D789" s="2"/>
      <c r="E789" s="2"/>
      <c r="F789" s="2" t="s">
        <v>14281</v>
      </c>
      <c r="G789" s="2"/>
      <c r="H789" s="2"/>
      <c r="I789" s="2" t="s">
        <v>14282</v>
      </c>
      <c r="J789" s="2" t="s">
        <v>370</v>
      </c>
      <c r="K789" s="2"/>
      <c r="L789" s="2"/>
      <c r="M789" s="2" t="s">
        <v>77</v>
      </c>
      <c r="N789" s="2" t="s">
        <v>78</v>
      </c>
      <c r="O789" s="2"/>
      <c r="P789" s="2"/>
      <c r="Q789" s="2"/>
      <c r="R789" s="2"/>
      <c r="S789" s="2"/>
      <c r="T789" s="2" t="s">
        <v>14283</v>
      </c>
      <c r="U789" s="2" t="s">
        <v>14284</v>
      </c>
      <c r="V789" s="2" t="s">
        <v>14285</v>
      </c>
      <c r="W789" s="2" t="s">
        <v>14286</v>
      </c>
      <c r="X789" s="2" t="s">
        <v>14287</v>
      </c>
      <c r="Y789" s="2" t="s">
        <v>14288</v>
      </c>
      <c r="Z789" s="2" t="s">
        <v>14289</v>
      </c>
      <c r="AA789" s="2" t="s">
        <v>14290</v>
      </c>
      <c r="AB789" s="2" t="s">
        <v>14291</v>
      </c>
      <c r="AC789" s="2"/>
      <c r="AD789" s="2"/>
      <c r="AE789" s="2"/>
      <c r="AF789" s="2"/>
      <c r="AG789" s="2" t="n">
        <v>24</v>
      </c>
      <c r="AH789" s="2" t="n">
        <v>3</v>
      </c>
      <c r="AI789" s="2" t="n">
        <v>4</v>
      </c>
      <c r="AJ789" s="2" t="n">
        <v>0</v>
      </c>
      <c r="AK789" s="2" t="n">
        <v>0</v>
      </c>
      <c r="AL789" s="2" t="s">
        <v>549</v>
      </c>
      <c r="AM789" s="2" t="s">
        <v>384</v>
      </c>
      <c r="AN789" s="2" t="s">
        <v>550</v>
      </c>
      <c r="AO789" s="2" t="s">
        <v>386</v>
      </c>
      <c r="AP789" s="2" t="s">
        <v>387</v>
      </c>
      <c r="AQ789" s="2"/>
      <c r="AR789" s="2" t="s">
        <v>388</v>
      </c>
      <c r="AS789" s="2" t="s">
        <v>389</v>
      </c>
      <c r="AT789" s="2" t="s">
        <v>97</v>
      </c>
      <c r="AU789" s="2" t="n">
        <v>2019</v>
      </c>
      <c r="AV789" s="2" t="n">
        <v>112</v>
      </c>
      <c r="AW789" s="2"/>
      <c r="AX789" s="2"/>
      <c r="AY789" s="2"/>
      <c r="AZ789" s="2"/>
      <c r="BA789" s="2"/>
      <c r="BB789" s="2" t="n">
        <v>15</v>
      </c>
      <c r="BC789" s="2" t="n">
        <v>19</v>
      </c>
      <c r="BD789" s="2"/>
      <c r="BE789" s="2" t="s">
        <v>14292</v>
      </c>
      <c r="BF789" s="2" t="str">
        <f aca="false">HYPERLINK("http://dx.doi.org/10.1016/j.jcv.2019.01.006","http://dx.doi.org/10.1016/j.jcv.2019.01.006")</f>
        <v>http://dx.doi.org/10.1016/j.jcv.2019.01.006</v>
      </c>
      <c r="BG789" s="2"/>
      <c r="BH789" s="2"/>
      <c r="BI789" s="2" t="n">
        <v>5</v>
      </c>
      <c r="BJ789" s="2" t="s">
        <v>163</v>
      </c>
      <c r="BK789" s="2" t="s">
        <v>100</v>
      </c>
      <c r="BL789" s="2" t="s">
        <v>163</v>
      </c>
      <c r="BM789" s="2" t="s">
        <v>14293</v>
      </c>
      <c r="BN789" s="2" t="n">
        <v>30669024</v>
      </c>
      <c r="BO789" s="2" t="s">
        <v>1227</v>
      </c>
      <c r="BP789" s="2"/>
      <c r="BQ789" s="2"/>
      <c r="BR789" s="2" t="s">
        <v>104</v>
      </c>
      <c r="BS789" s="2" t="s">
        <v>14294</v>
      </c>
      <c r="BT789" s="2" t="str">
        <f aca="false">HYPERLINK("https%3A%2F%2Fwww.webofscience.com%2Fwos%2Fwoscc%2Ffull-record%2FWOS:000460128500003","View Full Record in Web of Science")</f>
        <v>View Full Record in Web of Science</v>
      </c>
    </row>
    <row r="790" customFormat="false" ht="12.75" hidden="false" customHeight="false" outlineLevel="0" collapsed="false">
      <c r="A790" s="2" t="s">
        <v>72</v>
      </c>
      <c r="B790" s="2" t="s">
        <v>14295</v>
      </c>
      <c r="C790" s="2"/>
      <c r="D790" s="2"/>
      <c r="E790" s="2"/>
      <c r="F790" s="2" t="s">
        <v>14296</v>
      </c>
      <c r="G790" s="2"/>
      <c r="H790" s="2"/>
      <c r="I790" s="2" t="s">
        <v>14297</v>
      </c>
      <c r="J790" s="2" t="s">
        <v>7060</v>
      </c>
      <c r="K790" s="2"/>
      <c r="L790" s="2"/>
      <c r="M790" s="2" t="s">
        <v>77</v>
      </c>
      <c r="N790" s="2" t="s">
        <v>78</v>
      </c>
      <c r="O790" s="2"/>
      <c r="P790" s="2"/>
      <c r="Q790" s="2"/>
      <c r="R790" s="2"/>
      <c r="S790" s="2"/>
      <c r="T790" s="2" t="s">
        <v>14298</v>
      </c>
      <c r="U790" s="2" t="s">
        <v>14299</v>
      </c>
      <c r="V790" s="2" t="s">
        <v>14300</v>
      </c>
      <c r="W790" s="2" t="s">
        <v>14301</v>
      </c>
      <c r="X790" s="2" t="s">
        <v>14302</v>
      </c>
      <c r="Y790" s="2" t="s">
        <v>14303</v>
      </c>
      <c r="Z790" s="2" t="s">
        <v>10351</v>
      </c>
      <c r="AA790" s="2" t="s">
        <v>14304</v>
      </c>
      <c r="AB790" s="2" t="s">
        <v>14305</v>
      </c>
      <c r="AC790" s="2" t="s">
        <v>14306</v>
      </c>
      <c r="AD790" s="2" t="s">
        <v>10355</v>
      </c>
      <c r="AE790" s="2"/>
      <c r="AF790" s="2"/>
      <c r="AG790" s="2" t="n">
        <v>24</v>
      </c>
      <c r="AH790" s="2" t="n">
        <v>53</v>
      </c>
      <c r="AI790" s="2" t="n">
        <v>63</v>
      </c>
      <c r="AJ790" s="2" t="n">
        <v>0</v>
      </c>
      <c r="AK790" s="2" t="n">
        <v>0</v>
      </c>
      <c r="AL790" s="2" t="s">
        <v>7073</v>
      </c>
      <c r="AM790" s="2" t="s">
        <v>7074</v>
      </c>
      <c r="AN790" s="2" t="s">
        <v>7075</v>
      </c>
      <c r="AO790" s="2" t="s">
        <v>7076</v>
      </c>
      <c r="AP790" s="2" t="s">
        <v>7291</v>
      </c>
      <c r="AQ790" s="2"/>
      <c r="AR790" s="2" t="s">
        <v>7060</v>
      </c>
      <c r="AS790" s="2" t="s">
        <v>601</v>
      </c>
      <c r="AT790" s="2" t="s">
        <v>185</v>
      </c>
      <c r="AU790" s="2" t="n">
        <v>2007</v>
      </c>
      <c r="AV790" s="2" t="n">
        <v>120</v>
      </c>
      <c r="AW790" s="2" t="n">
        <v>2</v>
      </c>
      <c r="AX790" s="2"/>
      <c r="AY790" s="2"/>
      <c r="AZ790" s="2"/>
      <c r="BA790" s="2"/>
      <c r="BB790" s="2" t="s">
        <v>14307</v>
      </c>
      <c r="BC790" s="2" t="s">
        <v>14308</v>
      </c>
      <c r="BD790" s="2"/>
      <c r="BE790" s="2" t="s">
        <v>14309</v>
      </c>
      <c r="BF790" s="2" t="str">
        <f aca="false">HYPERLINK("http://dx.doi.org/10.1542/peds.2006-3283","http://dx.doi.org/10.1542/peds.2006-3283")</f>
        <v>http://dx.doi.org/10.1542/peds.2006-3283</v>
      </c>
      <c r="BG790" s="2"/>
      <c r="BH790" s="2"/>
      <c r="BI790" s="2" t="n">
        <v>6</v>
      </c>
      <c r="BJ790" s="2" t="s">
        <v>601</v>
      </c>
      <c r="BK790" s="2" t="s">
        <v>100</v>
      </c>
      <c r="BL790" s="2" t="s">
        <v>601</v>
      </c>
      <c r="BM790" s="2" t="s">
        <v>14310</v>
      </c>
      <c r="BN790" s="2" t="n">
        <v>17671045</v>
      </c>
      <c r="BO790" s="2"/>
      <c r="BP790" s="2"/>
      <c r="BQ790" s="2"/>
      <c r="BR790" s="2" t="s">
        <v>104</v>
      </c>
      <c r="BS790" s="2" t="s">
        <v>14311</v>
      </c>
      <c r="BT790" s="2" t="str">
        <f aca="false">HYPERLINK("https%3A%2F%2Fwww.webofscience.com%2Fwos%2Fwoscc%2Ffull-record%2FWOS:000248503500065","View Full Record in Web of Science")</f>
        <v>View Full Record in Web of Science</v>
      </c>
    </row>
    <row r="791" customFormat="false" ht="12.75" hidden="false" customHeight="false" outlineLevel="0" collapsed="false">
      <c r="A791" s="2" t="s">
        <v>72</v>
      </c>
      <c r="B791" s="2" t="s">
        <v>14312</v>
      </c>
      <c r="C791" s="2"/>
      <c r="D791" s="2"/>
      <c r="E791" s="2"/>
      <c r="F791" s="2" t="s">
        <v>14313</v>
      </c>
      <c r="G791" s="2"/>
      <c r="H791" s="2" t="s">
        <v>14314</v>
      </c>
      <c r="I791" s="2" t="s">
        <v>14315</v>
      </c>
      <c r="J791" s="2" t="s">
        <v>7379</v>
      </c>
      <c r="K791" s="2"/>
      <c r="L791" s="2"/>
      <c r="M791" s="2" t="s">
        <v>77</v>
      </c>
      <c r="N791" s="2" t="s">
        <v>78</v>
      </c>
      <c r="O791" s="2"/>
      <c r="P791" s="2"/>
      <c r="Q791" s="2"/>
      <c r="R791" s="2"/>
      <c r="S791" s="2"/>
      <c r="T791" s="2" t="s">
        <v>14316</v>
      </c>
      <c r="U791" s="2" t="s">
        <v>14317</v>
      </c>
      <c r="V791" s="2"/>
      <c r="W791" s="2" t="s">
        <v>14318</v>
      </c>
      <c r="X791" s="2" t="s">
        <v>14319</v>
      </c>
      <c r="Y791" s="2" t="s">
        <v>14320</v>
      </c>
      <c r="Z791" s="2" t="s">
        <v>4072</v>
      </c>
      <c r="AA791" s="2" t="s">
        <v>4073</v>
      </c>
      <c r="AB791" s="2"/>
      <c r="AC791" s="2" t="s">
        <v>14321</v>
      </c>
      <c r="AD791" s="2" t="s">
        <v>14322</v>
      </c>
      <c r="AE791" s="2" t="s">
        <v>14323</v>
      </c>
      <c r="AF791" s="2"/>
      <c r="AG791" s="2" t="n">
        <v>47</v>
      </c>
      <c r="AH791" s="2" t="n">
        <v>41</v>
      </c>
      <c r="AI791" s="2" t="n">
        <v>41</v>
      </c>
      <c r="AJ791" s="2" t="n">
        <v>0</v>
      </c>
      <c r="AK791" s="2" t="n">
        <v>2</v>
      </c>
      <c r="AL791" s="2" t="s">
        <v>154</v>
      </c>
      <c r="AM791" s="2" t="s">
        <v>155</v>
      </c>
      <c r="AN791" s="2" t="s">
        <v>156</v>
      </c>
      <c r="AO791" s="2" t="s">
        <v>7389</v>
      </c>
      <c r="AP791" s="2" t="s">
        <v>7390</v>
      </c>
      <c r="AQ791" s="2"/>
      <c r="AR791" s="2" t="s">
        <v>7391</v>
      </c>
      <c r="AS791" s="2" t="s">
        <v>7392</v>
      </c>
      <c r="AT791" s="2" t="s">
        <v>446</v>
      </c>
      <c r="AU791" s="2" t="n">
        <v>2009</v>
      </c>
      <c r="AV791" s="2" t="n">
        <v>9</v>
      </c>
      <c r="AW791" s="2"/>
      <c r="AX791" s="2"/>
      <c r="AY791" s="2" t="n">
        <v>4</v>
      </c>
      <c r="AZ791" s="2"/>
      <c r="BA791" s="2"/>
      <c r="BB791" s="2" t="s">
        <v>14324</v>
      </c>
      <c r="BC791" s="2" t="s">
        <v>14325</v>
      </c>
      <c r="BD791" s="2"/>
      <c r="BE791" s="2" t="s">
        <v>14326</v>
      </c>
      <c r="BF791" s="2" t="str">
        <f aca="false">HYPERLINK("http://dx.doi.org/10.1111/j.1600-6143.2009.02908.x","http://dx.doi.org/10.1111/j.1600-6143.2009.02908.x")</f>
        <v>http://dx.doi.org/10.1111/j.1600-6143.2009.02908.x</v>
      </c>
      <c r="BG791" s="2"/>
      <c r="BH791" s="2"/>
      <c r="BI791" s="2" t="n">
        <v>7</v>
      </c>
      <c r="BJ791" s="2" t="s">
        <v>7394</v>
      </c>
      <c r="BK791" s="2" t="s">
        <v>100</v>
      </c>
      <c r="BL791" s="2" t="s">
        <v>7394</v>
      </c>
      <c r="BM791" s="2" t="s">
        <v>14327</v>
      </c>
      <c r="BN791" s="2" t="n">
        <v>20070677</v>
      </c>
      <c r="BO791" s="2" t="s">
        <v>284</v>
      </c>
      <c r="BP791" s="2"/>
      <c r="BQ791" s="2"/>
      <c r="BR791" s="2" t="s">
        <v>104</v>
      </c>
      <c r="BS791" s="2" t="s">
        <v>14328</v>
      </c>
      <c r="BT791" s="2" t="str">
        <f aca="false">HYPERLINK("https%3A%2F%2Fwww.webofscience.com%2Fwos%2Fwoscc%2Ffull-record%2FWOS:000272864500023","View Full Record in Web of Science")</f>
        <v>View Full Record in Web of Science</v>
      </c>
    </row>
    <row r="792" customFormat="false" ht="12.75" hidden="false" customHeight="false" outlineLevel="0" collapsed="false">
      <c r="A792" s="2" t="s">
        <v>72</v>
      </c>
      <c r="B792" s="2" t="s">
        <v>14329</v>
      </c>
      <c r="C792" s="2"/>
      <c r="D792" s="2"/>
      <c r="E792" s="2"/>
      <c r="F792" s="2" t="s">
        <v>14330</v>
      </c>
      <c r="G792" s="2"/>
      <c r="H792" s="2"/>
      <c r="I792" s="2" t="s">
        <v>14331</v>
      </c>
      <c r="J792" s="2" t="s">
        <v>141</v>
      </c>
      <c r="K792" s="2"/>
      <c r="L792" s="2"/>
      <c r="M792" s="2" t="s">
        <v>77</v>
      </c>
      <c r="N792" s="2" t="s">
        <v>78</v>
      </c>
      <c r="O792" s="2"/>
      <c r="P792" s="2"/>
      <c r="Q792" s="2"/>
      <c r="R792" s="2"/>
      <c r="S792" s="2"/>
      <c r="T792" s="2" t="s">
        <v>14332</v>
      </c>
      <c r="U792" s="2" t="s">
        <v>14333</v>
      </c>
      <c r="V792" s="2" t="s">
        <v>14334</v>
      </c>
      <c r="W792" s="2" t="s">
        <v>14335</v>
      </c>
      <c r="X792" s="2" t="s">
        <v>14336</v>
      </c>
      <c r="Y792" s="2" t="s">
        <v>14337</v>
      </c>
      <c r="Z792" s="2" t="s">
        <v>14338</v>
      </c>
      <c r="AA792" s="2" t="s">
        <v>14339</v>
      </c>
      <c r="AB792" s="2" t="s">
        <v>14340</v>
      </c>
      <c r="AC792" s="2" t="s">
        <v>14341</v>
      </c>
      <c r="AD792" s="2" t="s">
        <v>14342</v>
      </c>
      <c r="AE792" s="2" t="s">
        <v>14343</v>
      </c>
      <c r="AF792" s="2"/>
      <c r="AG792" s="2" t="n">
        <v>40</v>
      </c>
      <c r="AH792" s="2" t="n">
        <v>12</v>
      </c>
      <c r="AI792" s="2" t="n">
        <v>12</v>
      </c>
      <c r="AJ792" s="2" t="n">
        <v>0</v>
      </c>
      <c r="AK792" s="2" t="n">
        <v>4</v>
      </c>
      <c r="AL792" s="2" t="s">
        <v>154</v>
      </c>
      <c r="AM792" s="2" t="s">
        <v>155</v>
      </c>
      <c r="AN792" s="2" t="s">
        <v>156</v>
      </c>
      <c r="AO792" s="2" t="s">
        <v>157</v>
      </c>
      <c r="AP792" s="2" t="s">
        <v>158</v>
      </c>
      <c r="AQ792" s="2"/>
      <c r="AR792" s="2" t="s">
        <v>159</v>
      </c>
      <c r="AS792" s="2" t="s">
        <v>160</v>
      </c>
      <c r="AT792" s="2" t="s">
        <v>599</v>
      </c>
      <c r="AU792" s="2" t="n">
        <v>2019</v>
      </c>
      <c r="AV792" s="2" t="n">
        <v>91</v>
      </c>
      <c r="AW792" s="2" t="n">
        <v>7</v>
      </c>
      <c r="AX792" s="2"/>
      <c r="AY792" s="2"/>
      <c r="AZ792" s="2"/>
      <c r="BA792" s="2"/>
      <c r="BB792" s="2" t="n">
        <v>1202</v>
      </c>
      <c r="BC792" s="2" t="n">
        <v>1209</v>
      </c>
      <c r="BD792" s="2"/>
      <c r="BE792" s="2" t="s">
        <v>14344</v>
      </c>
      <c r="BF792" s="2" t="str">
        <f aca="false">HYPERLINK("http://dx.doi.org/10.1002/jmv.25437","http://dx.doi.org/10.1002/jmv.25437")</f>
        <v>http://dx.doi.org/10.1002/jmv.25437</v>
      </c>
      <c r="BG792" s="2"/>
      <c r="BH792" s="2"/>
      <c r="BI792" s="2" t="n">
        <v>8</v>
      </c>
      <c r="BJ792" s="2" t="s">
        <v>163</v>
      </c>
      <c r="BK792" s="2" t="s">
        <v>100</v>
      </c>
      <c r="BL792" s="2" t="s">
        <v>163</v>
      </c>
      <c r="BM792" s="2" t="s">
        <v>14345</v>
      </c>
      <c r="BN792" s="2" t="n">
        <v>30801727</v>
      </c>
      <c r="BO792" s="2" t="s">
        <v>538</v>
      </c>
      <c r="BP792" s="2"/>
      <c r="BQ792" s="2"/>
      <c r="BR792" s="2" t="s">
        <v>104</v>
      </c>
      <c r="BS792" s="2" t="s">
        <v>14346</v>
      </c>
      <c r="BT792" s="2" t="str">
        <f aca="false">HYPERLINK("https%3A%2F%2Fwww.webofscience.com%2Fwos%2Fwoscc%2Ffull-record%2FWOS:000471755300004","View Full Record in Web of Science")</f>
        <v>View Full Record in Web of Science</v>
      </c>
    </row>
    <row r="793" customFormat="false" ht="12.75" hidden="false" customHeight="false" outlineLevel="0" collapsed="false">
      <c r="A793" s="2" t="s">
        <v>72</v>
      </c>
      <c r="B793" s="2" t="s">
        <v>14347</v>
      </c>
      <c r="C793" s="2"/>
      <c r="D793" s="2"/>
      <c r="E793" s="2"/>
      <c r="F793" s="2" t="s">
        <v>14348</v>
      </c>
      <c r="G793" s="2"/>
      <c r="H793" s="2"/>
      <c r="I793" s="2" t="s">
        <v>14349</v>
      </c>
      <c r="J793" s="2" t="s">
        <v>514</v>
      </c>
      <c r="K793" s="2"/>
      <c r="L793" s="2"/>
      <c r="M793" s="2" t="s">
        <v>77</v>
      </c>
      <c r="N793" s="2" t="s">
        <v>78</v>
      </c>
      <c r="O793" s="2"/>
      <c r="P793" s="2"/>
      <c r="Q793" s="2"/>
      <c r="R793" s="2"/>
      <c r="S793" s="2"/>
      <c r="T793" s="2" t="s">
        <v>14350</v>
      </c>
      <c r="U793" s="2" t="s">
        <v>14351</v>
      </c>
      <c r="V793" s="2" t="s">
        <v>14352</v>
      </c>
      <c r="W793" s="2" t="s">
        <v>14353</v>
      </c>
      <c r="X793" s="2" t="s">
        <v>14354</v>
      </c>
      <c r="Y793" s="2" t="s">
        <v>14355</v>
      </c>
      <c r="Z793" s="2" t="s">
        <v>14356</v>
      </c>
      <c r="AA793" s="2"/>
      <c r="AB793" s="2" t="s">
        <v>14357</v>
      </c>
      <c r="AC793" s="2" t="s">
        <v>14358</v>
      </c>
      <c r="AD793" s="2" t="s">
        <v>2053</v>
      </c>
      <c r="AE793" s="2" t="s">
        <v>14359</v>
      </c>
      <c r="AF793" s="2"/>
      <c r="AG793" s="2" t="n">
        <v>35</v>
      </c>
      <c r="AH793" s="2" t="n">
        <v>0</v>
      </c>
      <c r="AI793" s="2" t="n">
        <v>0</v>
      </c>
      <c r="AJ793" s="2" t="n">
        <v>0</v>
      </c>
      <c r="AK793" s="2" t="n">
        <v>2</v>
      </c>
      <c r="AL793" s="2" t="s">
        <v>527</v>
      </c>
      <c r="AM793" s="2" t="s">
        <v>528</v>
      </c>
      <c r="AN793" s="2" t="s">
        <v>529</v>
      </c>
      <c r="AO793" s="2" t="s">
        <v>530</v>
      </c>
      <c r="AP793" s="2" t="s">
        <v>531</v>
      </c>
      <c r="AQ793" s="2"/>
      <c r="AR793" s="2" t="s">
        <v>532</v>
      </c>
      <c r="AS793" s="2" t="s">
        <v>533</v>
      </c>
      <c r="AT793" s="2" t="s">
        <v>6883</v>
      </c>
      <c r="AU793" s="2" t="n">
        <v>2024</v>
      </c>
      <c r="AV793" s="2" t="n">
        <v>230</v>
      </c>
      <c r="AW793" s="2" t="n">
        <v>4</v>
      </c>
      <c r="AX793" s="2"/>
      <c r="AY793" s="2"/>
      <c r="AZ793" s="2"/>
      <c r="BA793" s="2"/>
      <c r="BB793" s="2" t="n">
        <v>933</v>
      </c>
      <c r="BC793" s="2" t="n">
        <v>943</v>
      </c>
      <c r="BD793" s="2"/>
      <c r="BE793" s="2" t="s">
        <v>14360</v>
      </c>
      <c r="BF793" s="2" t="str">
        <f aca="false">HYPERLINK("http://dx.doi.org/10.1093/infdis/jiae064","http://dx.doi.org/10.1093/infdis/jiae064")</f>
        <v>http://dx.doi.org/10.1093/infdis/jiae064</v>
      </c>
      <c r="BG793" s="2"/>
      <c r="BH793" s="2" t="s">
        <v>10203</v>
      </c>
      <c r="BI793" s="2" t="n">
        <v>11</v>
      </c>
      <c r="BJ793" s="2" t="s">
        <v>536</v>
      </c>
      <c r="BK793" s="2" t="s">
        <v>100</v>
      </c>
      <c r="BL793" s="2" t="s">
        <v>536</v>
      </c>
      <c r="BM793" s="2" t="s">
        <v>14361</v>
      </c>
      <c r="BN793" s="2" t="n">
        <v>38349230</v>
      </c>
      <c r="BO793" s="2"/>
      <c r="BP793" s="2"/>
      <c r="BQ793" s="2"/>
      <c r="BR793" s="2" t="s">
        <v>104</v>
      </c>
      <c r="BS793" s="2" t="s">
        <v>14362</v>
      </c>
      <c r="BT793" s="2" t="str">
        <f aca="false">HYPERLINK("https%3A%2F%2Fwww.webofscience.com%2Fwos%2Fwoscc%2Ffull-record%2FWOS:001180822900001","View Full Record in Web of Science")</f>
        <v>View Full Record in Web of Science</v>
      </c>
    </row>
    <row r="794" customFormat="false" ht="12.75" hidden="false" customHeight="false" outlineLevel="0" collapsed="false">
      <c r="A794" s="2" t="s">
        <v>72</v>
      </c>
      <c r="B794" s="2" t="s">
        <v>14363</v>
      </c>
      <c r="C794" s="2"/>
      <c r="D794" s="2"/>
      <c r="E794" s="2"/>
      <c r="F794" s="2" t="s">
        <v>14364</v>
      </c>
      <c r="G794" s="2"/>
      <c r="H794" s="2"/>
      <c r="I794" s="2" t="s">
        <v>14365</v>
      </c>
      <c r="J794" s="2" t="s">
        <v>557</v>
      </c>
      <c r="K794" s="2"/>
      <c r="L794" s="2"/>
      <c r="M794" s="2" t="s">
        <v>77</v>
      </c>
      <c r="N794" s="2" t="s">
        <v>78</v>
      </c>
      <c r="O794" s="2"/>
      <c r="P794" s="2"/>
      <c r="Q794" s="2"/>
      <c r="R794" s="2"/>
      <c r="S794" s="2"/>
      <c r="T794" s="2" t="s">
        <v>14366</v>
      </c>
      <c r="U794" s="2" t="s">
        <v>14367</v>
      </c>
      <c r="V794" s="2" t="s">
        <v>14368</v>
      </c>
      <c r="W794" s="2" t="s">
        <v>14369</v>
      </c>
      <c r="X794" s="2" t="s">
        <v>14370</v>
      </c>
      <c r="Y794" s="2" t="s">
        <v>14371</v>
      </c>
      <c r="Z794" s="2" t="s">
        <v>14372</v>
      </c>
      <c r="AA794" s="2" t="s">
        <v>14373</v>
      </c>
      <c r="AB794" s="2" t="s">
        <v>14374</v>
      </c>
      <c r="AC794" s="2" t="s">
        <v>14375</v>
      </c>
      <c r="AD794" s="2" t="s">
        <v>14376</v>
      </c>
      <c r="AE794" s="2" t="s">
        <v>14377</v>
      </c>
      <c r="AF794" s="2"/>
      <c r="AG794" s="2" t="n">
        <v>35</v>
      </c>
      <c r="AH794" s="2" t="n">
        <v>12</v>
      </c>
      <c r="AI794" s="2" t="n">
        <v>14</v>
      </c>
      <c r="AJ794" s="2" t="n">
        <v>0</v>
      </c>
      <c r="AK794" s="2" t="n">
        <v>3</v>
      </c>
      <c r="AL794" s="2" t="s">
        <v>302</v>
      </c>
      <c r="AM794" s="2" t="s">
        <v>303</v>
      </c>
      <c r="AN794" s="2" t="s">
        <v>304</v>
      </c>
      <c r="AO794" s="2" t="s">
        <v>570</v>
      </c>
      <c r="AP794" s="2"/>
      <c r="AQ794" s="2"/>
      <c r="AR794" s="2" t="s">
        <v>571</v>
      </c>
      <c r="AS794" s="2" t="s">
        <v>572</v>
      </c>
      <c r="AT794" s="2" t="s">
        <v>14378</v>
      </c>
      <c r="AU794" s="2" t="n">
        <v>2019</v>
      </c>
      <c r="AV794" s="2" t="n">
        <v>19</v>
      </c>
      <c r="AW794" s="2"/>
      <c r="AX794" s="2"/>
      <c r="AY794" s="2"/>
      <c r="AZ794" s="2"/>
      <c r="BA794" s="2"/>
      <c r="BB794" s="2"/>
      <c r="BC794" s="2"/>
      <c r="BD794" s="2" t="n">
        <v>457</v>
      </c>
      <c r="BE794" s="2" t="s">
        <v>14379</v>
      </c>
      <c r="BF794" s="2" t="str">
        <f aca="false">HYPERLINK("http://dx.doi.org/10.1186/s12879-019-4096-y","http://dx.doi.org/10.1186/s12879-019-4096-y")</f>
        <v>http://dx.doi.org/10.1186/s12879-019-4096-y</v>
      </c>
      <c r="BG794" s="2"/>
      <c r="BH794" s="2"/>
      <c r="BI794" s="2" t="n">
        <v>9</v>
      </c>
      <c r="BJ794" s="2" t="s">
        <v>575</v>
      </c>
      <c r="BK794" s="2" t="s">
        <v>100</v>
      </c>
      <c r="BL794" s="2" t="s">
        <v>575</v>
      </c>
      <c r="BM794" s="2" t="s">
        <v>14380</v>
      </c>
      <c r="BN794" s="2" t="n">
        <v>31117983</v>
      </c>
      <c r="BO794" s="2" t="s">
        <v>190</v>
      </c>
      <c r="BP794" s="2"/>
      <c r="BQ794" s="2"/>
      <c r="BR794" s="2" t="s">
        <v>104</v>
      </c>
      <c r="BS794" s="2" t="s">
        <v>14381</v>
      </c>
      <c r="BT794" s="2" t="str">
        <f aca="false">HYPERLINK("https%3A%2F%2Fwww.webofscience.com%2Fwos%2Fwoscc%2Ffull-record%2FWOS:000468789200011","View Full Record in Web of Science")</f>
        <v>View Full Record in Web of Science</v>
      </c>
    </row>
    <row r="795" customFormat="false" ht="12.75" hidden="false" customHeight="false" outlineLevel="0" collapsed="false">
      <c r="A795" s="2" t="s">
        <v>72</v>
      </c>
      <c r="B795" s="2" t="s">
        <v>14382</v>
      </c>
      <c r="C795" s="2"/>
      <c r="D795" s="2"/>
      <c r="E795" s="2"/>
      <c r="F795" s="2" t="s">
        <v>14383</v>
      </c>
      <c r="G795" s="2"/>
      <c r="H795" s="2"/>
      <c r="I795" s="2" t="s">
        <v>14384</v>
      </c>
      <c r="J795" s="2" t="s">
        <v>141</v>
      </c>
      <c r="K795" s="2"/>
      <c r="L795" s="2"/>
      <c r="M795" s="2" t="s">
        <v>77</v>
      </c>
      <c r="N795" s="2" t="s">
        <v>78</v>
      </c>
      <c r="O795" s="2"/>
      <c r="P795" s="2"/>
      <c r="Q795" s="2"/>
      <c r="R795" s="2"/>
      <c r="S795" s="2"/>
      <c r="T795" s="2" t="s">
        <v>14385</v>
      </c>
      <c r="U795" s="2" t="s">
        <v>14386</v>
      </c>
      <c r="V795" s="2" t="s">
        <v>14387</v>
      </c>
      <c r="W795" s="2" t="s">
        <v>14388</v>
      </c>
      <c r="X795" s="2" t="s">
        <v>4861</v>
      </c>
      <c r="Y795" s="2" t="s">
        <v>14389</v>
      </c>
      <c r="Z795" s="2" t="s">
        <v>14390</v>
      </c>
      <c r="AA795" s="2" t="s">
        <v>14391</v>
      </c>
      <c r="AB795" s="2" t="s">
        <v>14392</v>
      </c>
      <c r="AC795" s="2" t="s">
        <v>14393</v>
      </c>
      <c r="AD795" s="2" t="s">
        <v>14394</v>
      </c>
      <c r="AE795" s="2" t="s">
        <v>14395</v>
      </c>
      <c r="AF795" s="2"/>
      <c r="AG795" s="2" t="n">
        <v>46</v>
      </c>
      <c r="AH795" s="2" t="n">
        <v>18</v>
      </c>
      <c r="AI795" s="2" t="n">
        <v>20</v>
      </c>
      <c r="AJ795" s="2" t="n">
        <v>0</v>
      </c>
      <c r="AK795" s="2" t="n">
        <v>24</v>
      </c>
      <c r="AL795" s="2" t="s">
        <v>154</v>
      </c>
      <c r="AM795" s="2" t="s">
        <v>155</v>
      </c>
      <c r="AN795" s="2" t="s">
        <v>156</v>
      </c>
      <c r="AO795" s="2" t="s">
        <v>157</v>
      </c>
      <c r="AP795" s="2" t="s">
        <v>158</v>
      </c>
      <c r="AQ795" s="2"/>
      <c r="AR795" s="2" t="s">
        <v>159</v>
      </c>
      <c r="AS795" s="2" t="s">
        <v>160</v>
      </c>
      <c r="AT795" s="2" t="s">
        <v>97</v>
      </c>
      <c r="AU795" s="2" t="n">
        <v>2018</v>
      </c>
      <c r="AV795" s="2" t="n">
        <v>90</v>
      </c>
      <c r="AW795" s="2" t="n">
        <v>3</v>
      </c>
      <c r="AX795" s="2"/>
      <c r="AY795" s="2"/>
      <c r="AZ795" s="2"/>
      <c r="BA795" s="2"/>
      <c r="BB795" s="2" t="n">
        <v>412</v>
      </c>
      <c r="BC795" s="2" t="n">
        <v>420</v>
      </c>
      <c r="BD795" s="2"/>
      <c r="BE795" s="2" t="s">
        <v>14396</v>
      </c>
      <c r="BF795" s="2" t="str">
        <f aca="false">HYPERLINK("http://dx.doi.org/10.1002/jmv.24984","http://dx.doi.org/10.1002/jmv.24984")</f>
        <v>http://dx.doi.org/10.1002/jmv.24984</v>
      </c>
      <c r="BG795" s="2"/>
      <c r="BH795" s="2"/>
      <c r="BI795" s="2" t="n">
        <v>9</v>
      </c>
      <c r="BJ795" s="2" t="s">
        <v>163</v>
      </c>
      <c r="BK795" s="2" t="s">
        <v>100</v>
      </c>
      <c r="BL795" s="2" t="s">
        <v>163</v>
      </c>
      <c r="BM795" s="2" t="s">
        <v>14397</v>
      </c>
      <c r="BN795" s="2" t="n">
        <v>29083040</v>
      </c>
      <c r="BO795" s="2" t="s">
        <v>165</v>
      </c>
      <c r="BP795" s="2"/>
      <c r="BQ795" s="2"/>
      <c r="BR795" s="2" t="s">
        <v>104</v>
      </c>
      <c r="BS795" s="2" t="s">
        <v>14398</v>
      </c>
      <c r="BT795" s="2" t="str">
        <f aca="false">HYPERLINK("https%3A%2F%2Fwww.webofscience.com%2Fwos%2Fwoscc%2Ffull-record%2FWOS:000419510600004","View Full Record in Web of Science")</f>
        <v>View Full Record in Web of Science</v>
      </c>
    </row>
    <row r="796" customFormat="false" ht="12.75" hidden="false" customHeight="false" outlineLevel="0" collapsed="false">
      <c r="A796" s="2" t="s">
        <v>72</v>
      </c>
      <c r="B796" s="2" t="s">
        <v>14399</v>
      </c>
      <c r="C796" s="2"/>
      <c r="D796" s="2"/>
      <c r="E796" s="2"/>
      <c r="F796" s="2" t="s">
        <v>14400</v>
      </c>
      <c r="G796" s="2"/>
      <c r="H796" s="2"/>
      <c r="I796" s="2" t="s">
        <v>14401</v>
      </c>
      <c r="J796" s="2" t="s">
        <v>141</v>
      </c>
      <c r="K796" s="2"/>
      <c r="L796" s="2"/>
      <c r="M796" s="2" t="s">
        <v>77</v>
      </c>
      <c r="N796" s="2" t="s">
        <v>78</v>
      </c>
      <c r="O796" s="2"/>
      <c r="P796" s="2"/>
      <c r="Q796" s="2"/>
      <c r="R796" s="2"/>
      <c r="S796" s="2"/>
      <c r="T796" s="2" t="s">
        <v>14402</v>
      </c>
      <c r="U796" s="2" t="s">
        <v>14403</v>
      </c>
      <c r="V796" s="2" t="s">
        <v>14404</v>
      </c>
      <c r="W796" s="2" t="s">
        <v>14405</v>
      </c>
      <c r="X796" s="2" t="s">
        <v>14406</v>
      </c>
      <c r="Y796" s="2" t="s">
        <v>14407</v>
      </c>
      <c r="Z796" s="2" t="s">
        <v>14408</v>
      </c>
      <c r="AA796" s="2" t="s">
        <v>14409</v>
      </c>
      <c r="AB796" s="2" t="s">
        <v>14410</v>
      </c>
      <c r="AC796" s="2"/>
      <c r="AD796" s="2"/>
      <c r="AE796" s="2"/>
      <c r="AF796" s="2"/>
      <c r="AG796" s="2" t="n">
        <v>20</v>
      </c>
      <c r="AH796" s="2" t="n">
        <v>7</v>
      </c>
      <c r="AI796" s="2" t="n">
        <v>6</v>
      </c>
      <c r="AJ796" s="2" t="n">
        <v>0</v>
      </c>
      <c r="AK796" s="2" t="n">
        <v>1</v>
      </c>
      <c r="AL796" s="2" t="s">
        <v>154</v>
      </c>
      <c r="AM796" s="2" t="s">
        <v>155</v>
      </c>
      <c r="AN796" s="2" t="s">
        <v>156</v>
      </c>
      <c r="AO796" s="2" t="s">
        <v>157</v>
      </c>
      <c r="AP796" s="2" t="s">
        <v>158</v>
      </c>
      <c r="AQ796" s="2"/>
      <c r="AR796" s="2" t="s">
        <v>159</v>
      </c>
      <c r="AS796" s="2" t="s">
        <v>160</v>
      </c>
      <c r="AT796" s="2" t="s">
        <v>486</v>
      </c>
      <c r="AU796" s="2" t="n">
        <v>2019</v>
      </c>
      <c r="AV796" s="2" t="n">
        <v>91</v>
      </c>
      <c r="AW796" s="2" t="n">
        <v>6</v>
      </c>
      <c r="AX796" s="2"/>
      <c r="AY796" s="2"/>
      <c r="AZ796" s="2"/>
      <c r="BA796" s="2"/>
      <c r="BB796" s="2" t="n">
        <v>958</v>
      </c>
      <c r="BC796" s="2" t="n">
        <v>962</v>
      </c>
      <c r="BD796" s="2"/>
      <c r="BE796" s="2" t="s">
        <v>14411</v>
      </c>
      <c r="BF796" s="2" t="str">
        <f aca="false">HYPERLINK("http://dx.doi.org/10.1002/jmv.25402","http://dx.doi.org/10.1002/jmv.25402")</f>
        <v>http://dx.doi.org/10.1002/jmv.25402</v>
      </c>
      <c r="BG796" s="2"/>
      <c r="BH796" s="2"/>
      <c r="BI796" s="2" t="n">
        <v>5</v>
      </c>
      <c r="BJ796" s="2" t="s">
        <v>163</v>
      </c>
      <c r="BK796" s="2" t="s">
        <v>100</v>
      </c>
      <c r="BL796" s="2" t="s">
        <v>163</v>
      </c>
      <c r="BM796" s="2" t="s">
        <v>14412</v>
      </c>
      <c r="BN796" s="2" t="n">
        <v>30659630</v>
      </c>
      <c r="BO796" s="2" t="s">
        <v>538</v>
      </c>
      <c r="BP796" s="2"/>
      <c r="BQ796" s="2"/>
      <c r="BR796" s="2" t="s">
        <v>104</v>
      </c>
      <c r="BS796" s="2" t="s">
        <v>14413</v>
      </c>
      <c r="BT796" s="2" t="str">
        <f aca="false">HYPERLINK("https%3A%2F%2Fwww.webofscience.com%2Fwos%2Fwoscc%2Ffull-record%2FWOS:000465087100008","View Full Record in Web of Science")</f>
        <v>View Full Record in Web of Science</v>
      </c>
    </row>
    <row r="797" customFormat="false" ht="12.75" hidden="false" customHeight="false" outlineLevel="0" collapsed="false">
      <c r="A797" s="2" t="s">
        <v>72</v>
      </c>
      <c r="B797" s="2" t="s">
        <v>14414</v>
      </c>
      <c r="C797" s="2"/>
      <c r="D797" s="2"/>
      <c r="E797" s="2"/>
      <c r="F797" s="2" t="s">
        <v>14415</v>
      </c>
      <c r="G797" s="2"/>
      <c r="H797" s="2"/>
      <c r="I797" s="2" t="s">
        <v>14416</v>
      </c>
      <c r="J797" s="2" t="s">
        <v>11019</v>
      </c>
      <c r="K797" s="2"/>
      <c r="L797" s="2"/>
      <c r="M797" s="2" t="s">
        <v>77</v>
      </c>
      <c r="N797" s="2" t="s">
        <v>78</v>
      </c>
      <c r="O797" s="2"/>
      <c r="P797" s="2"/>
      <c r="Q797" s="2"/>
      <c r="R797" s="2"/>
      <c r="S797" s="2"/>
      <c r="T797" s="2" t="s">
        <v>14417</v>
      </c>
      <c r="U797" s="2" t="s">
        <v>14418</v>
      </c>
      <c r="V797" s="2" t="s">
        <v>14419</v>
      </c>
      <c r="W797" s="2" t="s">
        <v>14420</v>
      </c>
      <c r="X797" s="2" t="s">
        <v>14421</v>
      </c>
      <c r="Y797" s="2" t="s">
        <v>14422</v>
      </c>
      <c r="Z797" s="2" t="s">
        <v>14423</v>
      </c>
      <c r="AA797" s="2" t="s">
        <v>14424</v>
      </c>
      <c r="AB797" s="2" t="s">
        <v>14425</v>
      </c>
      <c r="AC797" s="2" t="s">
        <v>14426</v>
      </c>
      <c r="AD797" s="2" t="s">
        <v>14427</v>
      </c>
      <c r="AE797" s="2" t="s">
        <v>14428</v>
      </c>
      <c r="AF797" s="2"/>
      <c r="AG797" s="2" t="n">
        <v>39</v>
      </c>
      <c r="AH797" s="2" t="n">
        <v>0</v>
      </c>
      <c r="AI797" s="2" t="n">
        <v>0</v>
      </c>
      <c r="AJ797" s="2" t="n">
        <v>1</v>
      </c>
      <c r="AK797" s="2" t="n">
        <v>1</v>
      </c>
      <c r="AL797" s="2" t="s">
        <v>154</v>
      </c>
      <c r="AM797" s="2" t="s">
        <v>155</v>
      </c>
      <c r="AN797" s="2" t="s">
        <v>156</v>
      </c>
      <c r="AO797" s="2" t="s">
        <v>11028</v>
      </c>
      <c r="AP797" s="2" t="s">
        <v>11029</v>
      </c>
      <c r="AQ797" s="2"/>
      <c r="AR797" s="2" t="s">
        <v>11030</v>
      </c>
      <c r="AS797" s="2" t="s">
        <v>11031</v>
      </c>
      <c r="AT797" s="2" t="s">
        <v>692</v>
      </c>
      <c r="AU797" s="2" t="n">
        <v>2024</v>
      </c>
      <c r="AV797" s="2" t="n">
        <v>18</v>
      </c>
      <c r="AW797" s="2" t="n">
        <v>4</v>
      </c>
      <c r="AX797" s="2"/>
      <c r="AY797" s="2"/>
      <c r="AZ797" s="2"/>
      <c r="BA797" s="2"/>
      <c r="BB797" s="2"/>
      <c r="BC797" s="2"/>
      <c r="BD797" s="2" t="s">
        <v>14429</v>
      </c>
      <c r="BE797" s="2" t="s">
        <v>14430</v>
      </c>
      <c r="BF797" s="2" t="str">
        <f aca="false">HYPERLINK("http://dx.doi.org/10.1111/irv.13285","http://dx.doi.org/10.1111/irv.13285")</f>
        <v>http://dx.doi.org/10.1111/irv.13285</v>
      </c>
      <c r="BG797" s="2"/>
      <c r="BH797" s="2"/>
      <c r="BI797" s="2" t="n">
        <v>10</v>
      </c>
      <c r="BJ797" s="2" t="s">
        <v>8287</v>
      </c>
      <c r="BK797" s="2" t="s">
        <v>100</v>
      </c>
      <c r="BL797" s="2" t="s">
        <v>8287</v>
      </c>
      <c r="BM797" s="2" t="s">
        <v>14431</v>
      </c>
      <c r="BN797" s="2" t="n">
        <v>38616564</v>
      </c>
      <c r="BO797" s="2" t="s">
        <v>1355</v>
      </c>
      <c r="BP797" s="2"/>
      <c r="BQ797" s="2"/>
      <c r="BR797" s="2" t="s">
        <v>104</v>
      </c>
      <c r="BS797" s="2" t="s">
        <v>14432</v>
      </c>
      <c r="BT797" s="2" t="str">
        <f aca="false">HYPERLINK("https%3A%2F%2Fwww.webofscience.com%2Fwos%2Fwoscc%2Ffull-record%2FWOS:001202913000001","View Full Record in Web of Science")</f>
        <v>View Full Record in Web of Science</v>
      </c>
    </row>
    <row r="798" customFormat="false" ht="12.75" hidden="false" customHeight="false" outlineLevel="0" collapsed="false">
      <c r="A798" s="2" t="s">
        <v>72</v>
      </c>
      <c r="B798" s="2" t="s">
        <v>14433</v>
      </c>
      <c r="C798" s="2"/>
      <c r="D798" s="2"/>
      <c r="E798" s="2"/>
      <c r="F798" s="2" t="s">
        <v>14434</v>
      </c>
      <c r="G798" s="2"/>
      <c r="H798" s="2"/>
      <c r="I798" s="2" t="s">
        <v>14435</v>
      </c>
      <c r="J798" s="2" t="s">
        <v>3719</v>
      </c>
      <c r="K798" s="2"/>
      <c r="L798" s="2"/>
      <c r="M798" s="2" t="s">
        <v>77</v>
      </c>
      <c r="N798" s="2" t="s">
        <v>78</v>
      </c>
      <c r="O798" s="2"/>
      <c r="P798" s="2"/>
      <c r="Q798" s="2"/>
      <c r="R798" s="2"/>
      <c r="S798" s="2"/>
      <c r="T798" s="2" t="s">
        <v>14436</v>
      </c>
      <c r="U798" s="2" t="s">
        <v>14437</v>
      </c>
      <c r="V798" s="2" t="s">
        <v>14438</v>
      </c>
      <c r="W798" s="2" t="s">
        <v>14439</v>
      </c>
      <c r="X798" s="2" t="s">
        <v>14440</v>
      </c>
      <c r="Y798" s="2" t="s">
        <v>8365</v>
      </c>
      <c r="Z798" s="2" t="s">
        <v>8366</v>
      </c>
      <c r="AA798" s="2" t="s">
        <v>14441</v>
      </c>
      <c r="AB798" s="2" t="s">
        <v>14442</v>
      </c>
      <c r="AC798" s="2"/>
      <c r="AD798" s="2"/>
      <c r="AE798" s="2"/>
      <c r="AF798" s="2"/>
      <c r="AG798" s="2" t="n">
        <v>13</v>
      </c>
      <c r="AH798" s="2" t="n">
        <v>1</v>
      </c>
      <c r="AI798" s="2" t="n">
        <v>1</v>
      </c>
      <c r="AJ798" s="2" t="n">
        <v>0</v>
      </c>
      <c r="AK798" s="2" t="n">
        <v>0</v>
      </c>
      <c r="AL798" s="2" t="s">
        <v>3584</v>
      </c>
      <c r="AM798" s="2" t="s">
        <v>303</v>
      </c>
      <c r="AN798" s="2" t="s">
        <v>3585</v>
      </c>
      <c r="AO798" s="2" t="s">
        <v>3732</v>
      </c>
      <c r="AP798" s="2" t="s">
        <v>4677</v>
      </c>
      <c r="AQ798" s="2"/>
      <c r="AR798" s="2" t="s">
        <v>3733</v>
      </c>
      <c r="AS798" s="2" t="s">
        <v>3734</v>
      </c>
      <c r="AT798" s="2" t="s">
        <v>390</v>
      </c>
      <c r="AU798" s="2" t="n">
        <v>2008</v>
      </c>
      <c r="AV798" s="2" t="n">
        <v>56</v>
      </c>
      <c r="AW798" s="2" t="n">
        <v>5</v>
      </c>
      <c r="AX798" s="2"/>
      <c r="AY798" s="2"/>
      <c r="AZ798" s="2"/>
      <c r="BA798" s="2"/>
      <c r="BB798" s="2" t="n">
        <v>389</v>
      </c>
      <c r="BC798" s="2" t="n">
        <v>392</v>
      </c>
      <c r="BD798" s="2"/>
      <c r="BE798" s="2" t="s">
        <v>14443</v>
      </c>
      <c r="BF798" s="2" t="str">
        <f aca="false">HYPERLINK("http://dx.doi.org/10.1016/j.jinf.2008.03.005","http://dx.doi.org/10.1016/j.jinf.2008.03.005")</f>
        <v>http://dx.doi.org/10.1016/j.jinf.2008.03.005</v>
      </c>
      <c r="BG798" s="2"/>
      <c r="BH798" s="2"/>
      <c r="BI798" s="2" t="n">
        <v>4</v>
      </c>
      <c r="BJ798" s="2" t="s">
        <v>575</v>
      </c>
      <c r="BK798" s="2" t="s">
        <v>100</v>
      </c>
      <c r="BL798" s="2" t="s">
        <v>575</v>
      </c>
      <c r="BM798" s="2" t="s">
        <v>14444</v>
      </c>
      <c r="BN798" s="2" t="n">
        <v>18423876</v>
      </c>
      <c r="BO798" s="2" t="s">
        <v>14445</v>
      </c>
      <c r="BP798" s="2"/>
      <c r="BQ798" s="2"/>
      <c r="BR798" s="2" t="s">
        <v>104</v>
      </c>
      <c r="BS798" s="2" t="s">
        <v>14446</v>
      </c>
      <c r="BT798" s="2" t="str">
        <f aca="false">HYPERLINK("https%3A%2F%2Fwww.webofscience.com%2Fwos%2Fwoscc%2Ffull-record%2FWOS:000256208800013","View Full Record in Web of Science")</f>
        <v>View Full Record in Web of Science</v>
      </c>
    </row>
    <row r="799" customFormat="false" ht="12.75" hidden="false" customHeight="false" outlineLevel="0" collapsed="false">
      <c r="A799" s="2" t="s">
        <v>72</v>
      </c>
      <c r="B799" s="2" t="s">
        <v>14447</v>
      </c>
      <c r="C799" s="2"/>
      <c r="D799" s="2"/>
      <c r="E799" s="2"/>
      <c r="F799" s="2" t="s">
        <v>14448</v>
      </c>
      <c r="G799" s="2"/>
      <c r="H799" s="2"/>
      <c r="I799" s="2" t="s">
        <v>14449</v>
      </c>
      <c r="J799" s="2" t="s">
        <v>3719</v>
      </c>
      <c r="K799" s="2"/>
      <c r="L799" s="2"/>
      <c r="M799" s="2" t="s">
        <v>77</v>
      </c>
      <c r="N799" s="2" t="s">
        <v>78</v>
      </c>
      <c r="O799" s="2"/>
      <c r="P799" s="2"/>
      <c r="Q799" s="2"/>
      <c r="R799" s="2"/>
      <c r="S799" s="2"/>
      <c r="T799" s="2" t="s">
        <v>14450</v>
      </c>
      <c r="U799" s="2" t="s">
        <v>14451</v>
      </c>
      <c r="V799" s="2" t="s">
        <v>14452</v>
      </c>
      <c r="W799" s="2" t="s">
        <v>14453</v>
      </c>
      <c r="X799" s="2" t="s">
        <v>14454</v>
      </c>
      <c r="Y799" s="2" t="s">
        <v>14455</v>
      </c>
      <c r="Z799" s="2" t="s">
        <v>14456</v>
      </c>
      <c r="AA799" s="2" t="s">
        <v>14457</v>
      </c>
      <c r="AB799" s="2" t="s">
        <v>14458</v>
      </c>
      <c r="AC799" s="2"/>
      <c r="AD799" s="2"/>
      <c r="AE799" s="2"/>
      <c r="AF799" s="2"/>
      <c r="AG799" s="2" t="n">
        <v>33</v>
      </c>
      <c r="AH799" s="2" t="n">
        <v>40</v>
      </c>
      <c r="AI799" s="2" t="n">
        <v>40</v>
      </c>
      <c r="AJ799" s="2" t="n">
        <v>0</v>
      </c>
      <c r="AK799" s="2" t="n">
        <v>2</v>
      </c>
      <c r="AL799" s="2" t="s">
        <v>3584</v>
      </c>
      <c r="AM799" s="2" t="s">
        <v>303</v>
      </c>
      <c r="AN799" s="2" t="s">
        <v>3585</v>
      </c>
      <c r="AO799" s="2" t="s">
        <v>3732</v>
      </c>
      <c r="AP799" s="2"/>
      <c r="AQ799" s="2"/>
      <c r="AR799" s="2" t="s">
        <v>3733</v>
      </c>
      <c r="AS799" s="2" t="s">
        <v>3734</v>
      </c>
      <c r="AT799" s="2" t="s">
        <v>446</v>
      </c>
      <c r="AU799" s="2" t="n">
        <v>2008</v>
      </c>
      <c r="AV799" s="2" t="n">
        <v>57</v>
      </c>
      <c r="AW799" s="2" t="n">
        <v>6</v>
      </c>
      <c r="AX799" s="2"/>
      <c r="AY799" s="2"/>
      <c r="AZ799" s="2"/>
      <c r="BA799" s="2"/>
      <c r="BB799" s="2" t="n">
        <v>464</v>
      </c>
      <c r="BC799" s="2" t="n">
        <v>471</v>
      </c>
      <c r="BD799" s="2"/>
      <c r="BE799" s="2" t="s">
        <v>14459</v>
      </c>
      <c r="BF799" s="2" t="str">
        <f aca="false">HYPERLINK("http://dx.doi.org/10.1016/j.jinf.2008.10.003","http://dx.doi.org/10.1016/j.jinf.2008.10.003")</f>
        <v>http://dx.doi.org/10.1016/j.jinf.2008.10.003</v>
      </c>
      <c r="BG799" s="2"/>
      <c r="BH799" s="2"/>
      <c r="BI799" s="2" t="n">
        <v>8</v>
      </c>
      <c r="BJ799" s="2" t="s">
        <v>575</v>
      </c>
      <c r="BK799" s="2" t="s">
        <v>100</v>
      </c>
      <c r="BL799" s="2" t="s">
        <v>575</v>
      </c>
      <c r="BM799" s="2" t="s">
        <v>14460</v>
      </c>
      <c r="BN799" s="2" t="n">
        <v>19027169</v>
      </c>
      <c r="BO799" s="2"/>
      <c r="BP799" s="2"/>
      <c r="BQ799" s="2"/>
      <c r="BR799" s="2" t="s">
        <v>104</v>
      </c>
      <c r="BS799" s="2" t="s">
        <v>14461</v>
      </c>
      <c r="BT799" s="2" t="str">
        <f aca="false">HYPERLINK("https%3A%2F%2Fwww.webofscience.com%2Fwos%2Fwoscc%2Ffull-record%2FWOS:000262057800006","View Full Record in Web of Science")</f>
        <v>View Full Record in Web of Science</v>
      </c>
    </row>
    <row r="800" customFormat="false" ht="12.75" hidden="false" customHeight="false" outlineLevel="0" collapsed="false">
      <c r="A800" s="2" t="s">
        <v>72</v>
      </c>
      <c r="B800" s="2" t="s">
        <v>14462</v>
      </c>
      <c r="C800" s="2"/>
      <c r="D800" s="2"/>
      <c r="E800" s="2"/>
      <c r="F800" s="2" t="s">
        <v>14463</v>
      </c>
      <c r="G800" s="2"/>
      <c r="H800" s="2"/>
      <c r="I800" s="2" t="s">
        <v>14464</v>
      </c>
      <c r="J800" s="2" t="s">
        <v>14465</v>
      </c>
      <c r="K800" s="2"/>
      <c r="L800" s="2"/>
      <c r="M800" s="2" t="s">
        <v>77</v>
      </c>
      <c r="N800" s="2" t="s">
        <v>78</v>
      </c>
      <c r="O800" s="2"/>
      <c r="P800" s="2"/>
      <c r="Q800" s="2"/>
      <c r="R800" s="2"/>
      <c r="S800" s="2"/>
      <c r="T800" s="2" t="s">
        <v>14466</v>
      </c>
      <c r="U800" s="2" t="s">
        <v>14467</v>
      </c>
      <c r="V800" s="2" t="s">
        <v>14468</v>
      </c>
      <c r="W800" s="2" t="s">
        <v>14469</v>
      </c>
      <c r="X800" s="2" t="s">
        <v>14470</v>
      </c>
      <c r="Y800" s="2" t="s">
        <v>14471</v>
      </c>
      <c r="Z800" s="2" t="s">
        <v>14472</v>
      </c>
      <c r="AA800" s="2" t="s">
        <v>14473</v>
      </c>
      <c r="AB800" s="2" t="s">
        <v>14474</v>
      </c>
      <c r="AC800" s="2" t="s">
        <v>14475</v>
      </c>
      <c r="AD800" s="2" t="s">
        <v>14476</v>
      </c>
      <c r="AE800" s="2" t="s">
        <v>14477</v>
      </c>
      <c r="AF800" s="2"/>
      <c r="AG800" s="2" t="n">
        <v>28</v>
      </c>
      <c r="AH800" s="2" t="n">
        <v>9</v>
      </c>
      <c r="AI800" s="2" t="n">
        <v>12</v>
      </c>
      <c r="AJ800" s="2" t="n">
        <v>0</v>
      </c>
      <c r="AK800" s="2" t="n">
        <v>1</v>
      </c>
      <c r="AL800" s="2" t="s">
        <v>14478</v>
      </c>
      <c r="AM800" s="2" t="s">
        <v>14479</v>
      </c>
      <c r="AN800" s="2" t="s">
        <v>14480</v>
      </c>
      <c r="AO800" s="2" t="s">
        <v>14481</v>
      </c>
      <c r="AP800" s="2"/>
      <c r="AQ800" s="2"/>
      <c r="AR800" s="2" t="s">
        <v>14482</v>
      </c>
      <c r="AS800" s="2" t="s">
        <v>14483</v>
      </c>
      <c r="AT800" s="2" t="s">
        <v>97</v>
      </c>
      <c r="AU800" s="2" t="n">
        <v>2013</v>
      </c>
      <c r="AV800" s="2" t="n">
        <v>17</v>
      </c>
      <c r="AW800" s="2" t="n">
        <v>6</v>
      </c>
      <c r="AX800" s="2"/>
      <c r="AY800" s="2"/>
      <c r="AZ800" s="2"/>
      <c r="BA800" s="2"/>
      <c r="BB800" s="2" t="n">
        <v>802</v>
      </c>
      <c r="BC800" s="2" t="n">
        <v>808</v>
      </c>
      <c r="BD800" s="2"/>
      <c r="BE800" s="2"/>
      <c r="BF800" s="2"/>
      <c r="BG800" s="2"/>
      <c r="BH800" s="2"/>
      <c r="BI800" s="2" t="n">
        <v>7</v>
      </c>
      <c r="BJ800" s="2" t="s">
        <v>101</v>
      </c>
      <c r="BK800" s="2" t="s">
        <v>100</v>
      </c>
      <c r="BL800" s="2" t="s">
        <v>101</v>
      </c>
      <c r="BM800" s="2" t="s">
        <v>14484</v>
      </c>
      <c r="BN800" s="2" t="n">
        <v>23609364</v>
      </c>
      <c r="BO800" s="2"/>
      <c r="BP800" s="2"/>
      <c r="BQ800" s="2"/>
      <c r="BR800" s="2" t="s">
        <v>104</v>
      </c>
      <c r="BS800" s="2" t="s">
        <v>14485</v>
      </c>
      <c r="BT800" s="2" t="str">
        <f aca="false">HYPERLINK("https%3A%2F%2Fwww.webofscience.com%2Fwos%2Fwoscc%2Ffull-record%2FWOS:000325207900012","View Full Record in Web of Science")</f>
        <v>View Full Record in Web of Science</v>
      </c>
    </row>
    <row r="801" customFormat="false" ht="12.75" hidden="false" customHeight="false" outlineLevel="0" collapsed="false">
      <c r="A801" s="2" t="s">
        <v>72</v>
      </c>
      <c r="B801" s="2" t="s">
        <v>14486</v>
      </c>
      <c r="C801" s="2"/>
      <c r="D801" s="2"/>
      <c r="E801" s="2"/>
      <c r="F801" s="2" t="s">
        <v>14487</v>
      </c>
      <c r="G801" s="2"/>
      <c r="H801" s="2"/>
      <c r="I801" s="2" t="s">
        <v>14488</v>
      </c>
      <c r="J801" s="2" t="s">
        <v>109</v>
      </c>
      <c r="K801" s="2"/>
      <c r="L801" s="2"/>
      <c r="M801" s="2" t="s">
        <v>77</v>
      </c>
      <c r="N801" s="2" t="s">
        <v>78</v>
      </c>
      <c r="O801" s="2"/>
      <c r="P801" s="2"/>
      <c r="Q801" s="2"/>
      <c r="R801" s="2"/>
      <c r="S801" s="2"/>
      <c r="T801" s="2" t="s">
        <v>14489</v>
      </c>
      <c r="U801" s="2" t="s">
        <v>14490</v>
      </c>
      <c r="V801" s="2" t="s">
        <v>14491</v>
      </c>
      <c r="W801" s="2" t="s">
        <v>14492</v>
      </c>
      <c r="X801" s="2" t="s">
        <v>12389</v>
      </c>
      <c r="Y801" s="2" t="s">
        <v>14493</v>
      </c>
      <c r="Z801" s="2" t="s">
        <v>14494</v>
      </c>
      <c r="AA801" s="2" t="s">
        <v>12391</v>
      </c>
      <c r="AB801" s="2"/>
      <c r="AC801" s="2" t="s">
        <v>14495</v>
      </c>
      <c r="AD801" s="2" t="s">
        <v>14496</v>
      </c>
      <c r="AE801" s="2" t="s">
        <v>14497</v>
      </c>
      <c r="AF801" s="2"/>
      <c r="AG801" s="2" t="n">
        <v>28</v>
      </c>
      <c r="AH801" s="2" t="n">
        <v>11</v>
      </c>
      <c r="AI801" s="2" t="n">
        <v>11</v>
      </c>
      <c r="AJ801" s="2" t="n">
        <v>0</v>
      </c>
      <c r="AK801" s="2" t="n">
        <v>4</v>
      </c>
      <c r="AL801" s="2" t="s">
        <v>122</v>
      </c>
      <c r="AM801" s="2" t="s">
        <v>123</v>
      </c>
      <c r="AN801" s="2" t="s">
        <v>124</v>
      </c>
      <c r="AO801" s="2" t="s">
        <v>125</v>
      </c>
      <c r="AP801" s="2" t="s">
        <v>126</v>
      </c>
      <c r="AQ801" s="2"/>
      <c r="AR801" s="2" t="s">
        <v>127</v>
      </c>
      <c r="AS801" s="2" t="s">
        <v>128</v>
      </c>
      <c r="AT801" s="2" t="s">
        <v>1041</v>
      </c>
      <c r="AU801" s="2" t="n">
        <v>2014</v>
      </c>
      <c r="AV801" s="2" t="n">
        <v>33</v>
      </c>
      <c r="AW801" s="2" t="n">
        <v>2</v>
      </c>
      <c r="AX801" s="2"/>
      <c r="AY801" s="2"/>
      <c r="AZ801" s="2"/>
      <c r="BA801" s="2"/>
      <c r="BB801" s="2" t="n">
        <v>165</v>
      </c>
      <c r="BC801" s="2" t="n">
        <v>167</v>
      </c>
      <c r="BD801" s="2"/>
      <c r="BE801" s="2" t="s">
        <v>14498</v>
      </c>
      <c r="BF801" s="2" t="str">
        <f aca="false">HYPERLINK("http://dx.doi.org/10.1097/INF.0000000000000026","http://dx.doi.org/10.1097/INF.0000000000000026")</f>
        <v>http://dx.doi.org/10.1097/INF.0000000000000026</v>
      </c>
      <c r="BG801" s="2"/>
      <c r="BH801" s="2"/>
      <c r="BI801" s="2" t="n">
        <v>3</v>
      </c>
      <c r="BJ801" s="2" t="s">
        <v>134</v>
      </c>
      <c r="BK801" s="2" t="s">
        <v>100</v>
      </c>
      <c r="BL801" s="2" t="s">
        <v>134</v>
      </c>
      <c r="BM801" s="2" t="s">
        <v>7355</v>
      </c>
      <c r="BN801" s="2" t="n">
        <v>23989108</v>
      </c>
      <c r="BO801" s="2"/>
      <c r="BP801" s="2"/>
      <c r="BQ801" s="2"/>
      <c r="BR801" s="2" t="s">
        <v>104</v>
      </c>
      <c r="BS801" s="2" t="s">
        <v>14499</v>
      </c>
      <c r="BT801" s="2" t="str">
        <f aca="false">HYPERLINK("https%3A%2F%2Fwww.webofscience.com%2Fwos%2Fwoscc%2Ffull-record%2FWOS:000331139100017","View Full Record in Web of Science")</f>
        <v>View Full Record in Web of Science</v>
      </c>
    </row>
    <row r="802" customFormat="false" ht="12.75" hidden="false" customHeight="false" outlineLevel="0" collapsed="false">
      <c r="A802" s="2" t="s">
        <v>72</v>
      </c>
      <c r="B802" s="2" t="s">
        <v>14500</v>
      </c>
      <c r="C802" s="2"/>
      <c r="D802" s="2"/>
      <c r="E802" s="2"/>
      <c r="F802" s="2" t="s">
        <v>14501</v>
      </c>
      <c r="G802" s="2"/>
      <c r="H802" s="2"/>
      <c r="I802" s="2" t="s">
        <v>14502</v>
      </c>
      <c r="J802" s="2" t="s">
        <v>370</v>
      </c>
      <c r="K802" s="2"/>
      <c r="L802" s="2"/>
      <c r="M802" s="2" t="s">
        <v>77</v>
      </c>
      <c r="N802" s="2" t="s">
        <v>78</v>
      </c>
      <c r="O802" s="2"/>
      <c r="P802" s="2"/>
      <c r="Q802" s="2"/>
      <c r="R802" s="2"/>
      <c r="S802" s="2"/>
      <c r="T802" s="2" t="s">
        <v>14503</v>
      </c>
      <c r="U802" s="2" t="s">
        <v>14504</v>
      </c>
      <c r="V802" s="2" t="s">
        <v>14505</v>
      </c>
      <c r="W802" s="2" t="s">
        <v>14506</v>
      </c>
      <c r="X802" s="2" t="s">
        <v>14507</v>
      </c>
      <c r="Y802" s="2" t="s">
        <v>14508</v>
      </c>
      <c r="Z802" s="2" t="s">
        <v>14509</v>
      </c>
      <c r="AA802" s="2"/>
      <c r="AB802" s="2"/>
      <c r="AC802" s="2"/>
      <c r="AD802" s="2"/>
      <c r="AE802" s="2"/>
      <c r="AF802" s="2"/>
      <c r="AG802" s="2" t="n">
        <v>15</v>
      </c>
      <c r="AH802" s="2" t="n">
        <v>14</v>
      </c>
      <c r="AI802" s="2" t="n">
        <v>15</v>
      </c>
      <c r="AJ802" s="2" t="n">
        <v>0</v>
      </c>
      <c r="AK802" s="2" t="n">
        <v>2</v>
      </c>
      <c r="AL802" s="2" t="s">
        <v>549</v>
      </c>
      <c r="AM802" s="2" t="s">
        <v>384</v>
      </c>
      <c r="AN802" s="2" t="s">
        <v>550</v>
      </c>
      <c r="AO802" s="2" t="s">
        <v>386</v>
      </c>
      <c r="AP802" s="2"/>
      <c r="AQ802" s="2"/>
      <c r="AR802" s="2" t="s">
        <v>388</v>
      </c>
      <c r="AS802" s="2" t="s">
        <v>389</v>
      </c>
      <c r="AT802" s="2" t="s">
        <v>804</v>
      </c>
      <c r="AU802" s="2" t="n">
        <v>2007</v>
      </c>
      <c r="AV802" s="2" t="n">
        <v>40</v>
      </c>
      <c r="AW802" s="2" t="n">
        <v>3</v>
      </c>
      <c r="AX802" s="2"/>
      <c r="AY802" s="2"/>
      <c r="AZ802" s="2"/>
      <c r="BA802" s="2"/>
      <c r="BB802" s="2" t="n">
        <v>193</v>
      </c>
      <c r="BC802" s="2" t="n">
        <v>196</v>
      </c>
      <c r="BD802" s="2"/>
      <c r="BE802" s="2" t="s">
        <v>14510</v>
      </c>
      <c r="BF802" s="2" t="str">
        <f aca="false">HYPERLINK("http://dx.doi.org/10.1016/j.jcv.2007.07.018","http://dx.doi.org/10.1016/j.jcv.2007.07.018")</f>
        <v>http://dx.doi.org/10.1016/j.jcv.2007.07.018</v>
      </c>
      <c r="BG802" s="2"/>
      <c r="BH802" s="2"/>
      <c r="BI802" s="2" t="n">
        <v>4</v>
      </c>
      <c r="BJ802" s="2" t="s">
        <v>163</v>
      </c>
      <c r="BK802" s="2" t="s">
        <v>100</v>
      </c>
      <c r="BL802" s="2" t="s">
        <v>163</v>
      </c>
      <c r="BM802" s="2" t="s">
        <v>806</v>
      </c>
      <c r="BN802" s="2" t="n">
        <v>17869169</v>
      </c>
      <c r="BO802" s="2"/>
      <c r="BP802" s="2"/>
      <c r="BQ802" s="2"/>
      <c r="BR802" s="2" t="s">
        <v>104</v>
      </c>
      <c r="BS802" s="2" t="s">
        <v>14511</v>
      </c>
      <c r="BT802" s="2" t="str">
        <f aca="false">HYPERLINK("https%3A%2F%2Fwww.webofscience.com%2Fwos%2Fwoscc%2Ffull-record%2FWOS:000250935300004","View Full Record in Web of Science")</f>
        <v>View Full Record in Web of Science</v>
      </c>
    </row>
    <row r="803" customFormat="false" ht="12.75" hidden="false" customHeight="false" outlineLevel="0" collapsed="false">
      <c r="A803" s="2" t="s">
        <v>72</v>
      </c>
      <c r="B803" s="2" t="s">
        <v>14512</v>
      </c>
      <c r="C803" s="2"/>
      <c r="D803" s="2"/>
      <c r="E803" s="2"/>
      <c r="F803" s="2" t="s">
        <v>14513</v>
      </c>
      <c r="G803" s="2"/>
      <c r="H803" s="2"/>
      <c r="I803" s="2" t="s">
        <v>14514</v>
      </c>
      <c r="J803" s="2" t="s">
        <v>8394</v>
      </c>
      <c r="K803" s="2"/>
      <c r="L803" s="2"/>
      <c r="M803" s="2" t="s">
        <v>77</v>
      </c>
      <c r="N803" s="2" t="s">
        <v>78</v>
      </c>
      <c r="O803" s="2"/>
      <c r="P803" s="2"/>
      <c r="Q803" s="2"/>
      <c r="R803" s="2"/>
      <c r="S803" s="2"/>
      <c r="T803" s="2" t="s">
        <v>14515</v>
      </c>
      <c r="U803" s="2"/>
      <c r="V803" s="2" t="s">
        <v>14516</v>
      </c>
      <c r="W803" s="2" t="s">
        <v>14517</v>
      </c>
      <c r="X803" s="2" t="s">
        <v>14518</v>
      </c>
      <c r="Y803" s="2" t="s">
        <v>14519</v>
      </c>
      <c r="Z803" s="2" t="s">
        <v>5993</v>
      </c>
      <c r="AA803" s="2" t="s">
        <v>4210</v>
      </c>
      <c r="AB803" s="2" t="s">
        <v>14520</v>
      </c>
      <c r="AC803" s="2" t="s">
        <v>14521</v>
      </c>
      <c r="AD803" s="2" t="s">
        <v>11195</v>
      </c>
      <c r="AE803" s="2" t="s">
        <v>14522</v>
      </c>
      <c r="AF803" s="2"/>
      <c r="AG803" s="2" t="n">
        <v>26</v>
      </c>
      <c r="AH803" s="2" t="n">
        <v>24</v>
      </c>
      <c r="AI803" s="2" t="n">
        <v>24</v>
      </c>
      <c r="AJ803" s="2" t="n">
        <v>0</v>
      </c>
      <c r="AK803" s="2" t="n">
        <v>1</v>
      </c>
      <c r="AL803" s="2" t="s">
        <v>7639</v>
      </c>
      <c r="AM803" s="2" t="s">
        <v>783</v>
      </c>
      <c r="AN803" s="2" t="s">
        <v>7640</v>
      </c>
      <c r="AO803" s="2" t="s">
        <v>8402</v>
      </c>
      <c r="AP803" s="2" t="s">
        <v>8403</v>
      </c>
      <c r="AQ803" s="2"/>
      <c r="AR803" s="2" t="s">
        <v>14523</v>
      </c>
      <c r="AS803" s="2" t="s">
        <v>8405</v>
      </c>
      <c r="AT803" s="2" t="s">
        <v>446</v>
      </c>
      <c r="AU803" s="2" t="n">
        <v>2014</v>
      </c>
      <c r="AV803" s="2" t="n">
        <v>3</v>
      </c>
      <c r="AW803" s="2" t="n">
        <v>4</v>
      </c>
      <c r="AX803" s="2"/>
      <c r="AY803" s="2"/>
      <c r="AZ803" s="2"/>
      <c r="BA803" s="2"/>
      <c r="BB803" s="2" t="n">
        <v>286</v>
      </c>
      <c r="BC803" s="2" t="n">
        <v>293</v>
      </c>
      <c r="BD803" s="2"/>
      <c r="BE803" s="2" t="s">
        <v>14524</v>
      </c>
      <c r="BF803" s="2" t="str">
        <f aca="false">HYPERLINK("http://dx.doi.org/10.1093/jpids/piu100","http://dx.doi.org/10.1093/jpids/piu100")</f>
        <v>http://dx.doi.org/10.1093/jpids/piu100</v>
      </c>
      <c r="BG803" s="2"/>
      <c r="BH803" s="2"/>
      <c r="BI803" s="2" t="n">
        <v>8</v>
      </c>
      <c r="BJ803" s="2" t="s">
        <v>417</v>
      </c>
      <c r="BK803" s="2" t="s">
        <v>339</v>
      </c>
      <c r="BL803" s="2" t="s">
        <v>417</v>
      </c>
      <c r="BM803" s="2" t="s">
        <v>14525</v>
      </c>
      <c r="BN803" s="2" t="n">
        <v>25419459</v>
      </c>
      <c r="BO803" s="2" t="s">
        <v>1687</v>
      </c>
      <c r="BP803" s="2"/>
      <c r="BQ803" s="2"/>
      <c r="BR803" s="2" t="s">
        <v>104</v>
      </c>
      <c r="BS803" s="2" t="s">
        <v>14526</v>
      </c>
      <c r="BT803" s="2" t="str">
        <f aca="false">HYPERLINK("https%3A%2F%2Fwww.webofscience.com%2Fwos%2Fwoscc%2Ffull-record%2FWOS:000218910700007","View Full Record in Web of Science")</f>
        <v>View Full Record in Web of Science</v>
      </c>
    </row>
    <row r="804" customFormat="false" ht="12.75" hidden="false" customHeight="false" outlineLevel="0" collapsed="false">
      <c r="A804" s="2" t="s">
        <v>72</v>
      </c>
      <c r="B804" s="2" t="s">
        <v>14527</v>
      </c>
      <c r="C804" s="2"/>
      <c r="D804" s="2"/>
      <c r="E804" s="2"/>
      <c r="F804" s="2" t="s">
        <v>14528</v>
      </c>
      <c r="G804" s="2"/>
      <c r="H804" s="2"/>
      <c r="I804" s="2" t="s">
        <v>14529</v>
      </c>
      <c r="J804" s="2" t="s">
        <v>5616</v>
      </c>
      <c r="K804" s="2"/>
      <c r="L804" s="2"/>
      <c r="M804" s="2" t="s">
        <v>77</v>
      </c>
      <c r="N804" s="2" t="s">
        <v>78</v>
      </c>
      <c r="O804" s="2"/>
      <c r="P804" s="2"/>
      <c r="Q804" s="2"/>
      <c r="R804" s="2"/>
      <c r="S804" s="2"/>
      <c r="T804" s="2" t="s">
        <v>14530</v>
      </c>
      <c r="U804" s="2" t="s">
        <v>14531</v>
      </c>
      <c r="V804" s="2" t="s">
        <v>14532</v>
      </c>
      <c r="W804" s="2" t="s">
        <v>14533</v>
      </c>
      <c r="X804" s="2" t="s">
        <v>14534</v>
      </c>
      <c r="Y804" s="2" t="s">
        <v>14535</v>
      </c>
      <c r="Z804" s="2" t="s">
        <v>14536</v>
      </c>
      <c r="AA804" s="2"/>
      <c r="AB804" s="2"/>
      <c r="AC804" s="2"/>
      <c r="AD804" s="2"/>
      <c r="AE804" s="2"/>
      <c r="AF804" s="2"/>
      <c r="AG804" s="2" t="n">
        <v>25</v>
      </c>
      <c r="AH804" s="2" t="n">
        <v>0</v>
      </c>
      <c r="AI804" s="2" t="n">
        <v>0</v>
      </c>
      <c r="AJ804" s="2" t="n">
        <v>1</v>
      </c>
      <c r="AK804" s="2" t="n">
        <v>1</v>
      </c>
      <c r="AL804" s="2" t="s">
        <v>3584</v>
      </c>
      <c r="AM804" s="2" t="s">
        <v>303</v>
      </c>
      <c r="AN804" s="2" t="s">
        <v>3585</v>
      </c>
      <c r="AO804" s="2" t="s">
        <v>5626</v>
      </c>
      <c r="AP804" s="2" t="s">
        <v>5627</v>
      </c>
      <c r="AQ804" s="2"/>
      <c r="AR804" s="2" t="s">
        <v>5628</v>
      </c>
      <c r="AS804" s="2" t="s">
        <v>5629</v>
      </c>
      <c r="AT804" s="2" t="s">
        <v>486</v>
      </c>
      <c r="AU804" s="2" t="n">
        <v>2024</v>
      </c>
      <c r="AV804" s="2" t="n">
        <v>227</v>
      </c>
      <c r="AW804" s="2"/>
      <c r="AX804" s="2"/>
      <c r="AY804" s="2"/>
      <c r="AZ804" s="2"/>
      <c r="BA804" s="2"/>
      <c r="BB804" s="2"/>
      <c r="BC804" s="2"/>
      <c r="BD804" s="2" t="n">
        <v>107604</v>
      </c>
      <c r="BE804" s="2" t="s">
        <v>14537</v>
      </c>
      <c r="BF804" s="2" t="str">
        <f aca="false">HYPERLINK("http://dx.doi.org/10.1016/j.rmed.2024.107604","http://dx.doi.org/10.1016/j.rmed.2024.107604")</f>
        <v>http://dx.doi.org/10.1016/j.rmed.2024.107604</v>
      </c>
      <c r="BG804" s="2"/>
      <c r="BH804" s="2" t="s">
        <v>2310</v>
      </c>
      <c r="BI804" s="2" t="n">
        <v>7</v>
      </c>
      <c r="BJ804" s="2" t="s">
        <v>5632</v>
      </c>
      <c r="BK804" s="2" t="s">
        <v>100</v>
      </c>
      <c r="BL804" s="2" t="s">
        <v>5633</v>
      </c>
      <c r="BM804" s="2" t="s">
        <v>14538</v>
      </c>
      <c r="BN804" s="2" t="n">
        <v>38492818</v>
      </c>
      <c r="BO804" s="2"/>
      <c r="BP804" s="2"/>
      <c r="BQ804" s="2"/>
      <c r="BR804" s="2" t="s">
        <v>104</v>
      </c>
      <c r="BS804" s="2" t="s">
        <v>14539</v>
      </c>
      <c r="BT804" s="2" t="str">
        <f aca="false">HYPERLINK("https%3A%2F%2Fwww.webofscience.com%2Fwos%2Fwoscc%2Ffull-record%2FWOS:001238515100001","View Full Record in Web of Science")</f>
        <v>View Full Record in Web of Science</v>
      </c>
    </row>
    <row r="805" customFormat="false" ht="12.75" hidden="false" customHeight="false" outlineLevel="0" collapsed="false">
      <c r="A805" s="2" t="s">
        <v>72</v>
      </c>
      <c r="B805" s="2" t="s">
        <v>14540</v>
      </c>
      <c r="C805" s="2"/>
      <c r="D805" s="2"/>
      <c r="E805" s="2"/>
      <c r="F805" s="2" t="s">
        <v>14541</v>
      </c>
      <c r="G805" s="2"/>
      <c r="H805" s="2"/>
      <c r="I805" s="2" t="s">
        <v>14542</v>
      </c>
      <c r="J805" s="2" t="s">
        <v>370</v>
      </c>
      <c r="K805" s="2"/>
      <c r="L805" s="2"/>
      <c r="M805" s="2" t="s">
        <v>77</v>
      </c>
      <c r="N805" s="2" t="s">
        <v>78</v>
      </c>
      <c r="O805" s="2"/>
      <c r="P805" s="2"/>
      <c r="Q805" s="2"/>
      <c r="R805" s="2"/>
      <c r="S805" s="2"/>
      <c r="T805" s="2" t="s">
        <v>14543</v>
      </c>
      <c r="U805" s="2" t="s">
        <v>14544</v>
      </c>
      <c r="V805" s="2" t="s">
        <v>14545</v>
      </c>
      <c r="W805" s="2" t="s">
        <v>14546</v>
      </c>
      <c r="X805" s="2" t="s">
        <v>14547</v>
      </c>
      <c r="Y805" s="2" t="s">
        <v>14548</v>
      </c>
      <c r="Z805" s="2" t="s">
        <v>14549</v>
      </c>
      <c r="AA805" s="2" t="s">
        <v>1387</v>
      </c>
      <c r="AB805" s="2" t="s">
        <v>14550</v>
      </c>
      <c r="AC805" s="2"/>
      <c r="AD805" s="2"/>
      <c r="AE805" s="2"/>
      <c r="AF805" s="2"/>
      <c r="AG805" s="2" t="n">
        <v>19</v>
      </c>
      <c r="AH805" s="2" t="n">
        <v>13</v>
      </c>
      <c r="AI805" s="2" t="n">
        <v>13</v>
      </c>
      <c r="AJ805" s="2" t="n">
        <v>0</v>
      </c>
      <c r="AK805" s="2" t="n">
        <v>3</v>
      </c>
      <c r="AL805" s="2" t="s">
        <v>549</v>
      </c>
      <c r="AM805" s="2" t="s">
        <v>384</v>
      </c>
      <c r="AN805" s="2" t="s">
        <v>550</v>
      </c>
      <c r="AO805" s="2" t="s">
        <v>386</v>
      </c>
      <c r="AP805" s="2" t="s">
        <v>387</v>
      </c>
      <c r="AQ805" s="2"/>
      <c r="AR805" s="2" t="s">
        <v>388</v>
      </c>
      <c r="AS805" s="2" t="s">
        <v>389</v>
      </c>
      <c r="AT805" s="2" t="s">
        <v>336</v>
      </c>
      <c r="AU805" s="2" t="n">
        <v>2016</v>
      </c>
      <c r="AV805" s="2" t="n">
        <v>83</v>
      </c>
      <c r="AW805" s="2"/>
      <c r="AX805" s="2"/>
      <c r="AY805" s="2"/>
      <c r="AZ805" s="2"/>
      <c r="BA805" s="2"/>
      <c r="BB805" s="2" t="n">
        <v>12</v>
      </c>
      <c r="BC805" s="2" t="n">
        <v>16</v>
      </c>
      <c r="BD805" s="2"/>
      <c r="BE805" s="2" t="s">
        <v>14551</v>
      </c>
      <c r="BF805" s="2" t="str">
        <f aca="false">HYPERLINK("http://dx.doi.org/10.1016/j.jcv.2016.06.006","http://dx.doi.org/10.1016/j.jcv.2016.06.006")</f>
        <v>http://dx.doi.org/10.1016/j.jcv.2016.06.006</v>
      </c>
      <c r="BG805" s="2"/>
      <c r="BH805" s="2"/>
      <c r="BI805" s="2" t="n">
        <v>5</v>
      </c>
      <c r="BJ805" s="2" t="s">
        <v>163</v>
      </c>
      <c r="BK805" s="2" t="s">
        <v>100</v>
      </c>
      <c r="BL805" s="2" t="s">
        <v>163</v>
      </c>
      <c r="BM805" s="2" t="s">
        <v>14552</v>
      </c>
      <c r="BN805" s="2" t="n">
        <v>27522636</v>
      </c>
      <c r="BO805" s="2"/>
      <c r="BP805" s="2"/>
      <c r="BQ805" s="2"/>
      <c r="BR805" s="2" t="s">
        <v>104</v>
      </c>
      <c r="BS805" s="2" t="s">
        <v>14553</v>
      </c>
      <c r="BT805" s="2" t="str">
        <f aca="false">HYPERLINK("https%3A%2F%2Fwww.webofscience.com%2Fwos%2Fwoscc%2Ffull-record%2FWOS:000386026000004","View Full Record in Web of Science")</f>
        <v>View Full Record in Web of Science</v>
      </c>
    </row>
    <row r="806" customFormat="false" ht="12.75" hidden="false" customHeight="false" outlineLevel="0" collapsed="false">
      <c r="A806" s="2" t="s">
        <v>72</v>
      </c>
      <c r="B806" s="2" t="s">
        <v>14554</v>
      </c>
      <c r="C806" s="2"/>
      <c r="D806" s="2"/>
      <c r="E806" s="2"/>
      <c r="F806" s="2" t="s">
        <v>14555</v>
      </c>
      <c r="G806" s="2"/>
      <c r="H806" s="2"/>
      <c r="I806" s="2" t="s">
        <v>14556</v>
      </c>
      <c r="J806" s="2" t="s">
        <v>1413</v>
      </c>
      <c r="K806" s="2"/>
      <c r="L806" s="2"/>
      <c r="M806" s="2" t="s">
        <v>77</v>
      </c>
      <c r="N806" s="2" t="s">
        <v>78</v>
      </c>
      <c r="O806" s="2"/>
      <c r="P806" s="2"/>
      <c r="Q806" s="2"/>
      <c r="R806" s="2"/>
      <c r="S806" s="2"/>
      <c r="T806" s="2" t="s">
        <v>14557</v>
      </c>
      <c r="U806" s="2"/>
      <c r="V806" s="2" t="s">
        <v>14558</v>
      </c>
      <c r="W806" s="2" t="s">
        <v>14559</v>
      </c>
      <c r="X806" s="2" t="s">
        <v>14560</v>
      </c>
      <c r="Y806" s="2" t="s">
        <v>14561</v>
      </c>
      <c r="Z806" s="2" t="s">
        <v>14562</v>
      </c>
      <c r="AA806" s="2" t="s">
        <v>14563</v>
      </c>
      <c r="AB806" s="2"/>
      <c r="AC806" s="2" t="s">
        <v>14564</v>
      </c>
      <c r="AD806" s="2" t="s">
        <v>14565</v>
      </c>
      <c r="AE806" s="2" t="s">
        <v>14566</v>
      </c>
      <c r="AF806" s="2"/>
      <c r="AG806" s="2" t="n">
        <v>41</v>
      </c>
      <c r="AH806" s="2" t="n">
        <v>0</v>
      </c>
      <c r="AI806" s="2" t="n">
        <v>0</v>
      </c>
      <c r="AJ806" s="2" t="n">
        <v>4</v>
      </c>
      <c r="AK806" s="2" t="n">
        <v>14</v>
      </c>
      <c r="AL806" s="2" t="s">
        <v>383</v>
      </c>
      <c r="AM806" s="2" t="s">
        <v>384</v>
      </c>
      <c r="AN806" s="2" t="s">
        <v>385</v>
      </c>
      <c r="AO806" s="2" t="s">
        <v>1421</v>
      </c>
      <c r="AP806" s="2" t="s">
        <v>1422</v>
      </c>
      <c r="AQ806" s="2"/>
      <c r="AR806" s="2" t="s">
        <v>1423</v>
      </c>
      <c r="AS806" s="2" t="s">
        <v>1424</v>
      </c>
      <c r="AT806" s="2" t="s">
        <v>390</v>
      </c>
      <c r="AU806" s="2" t="n">
        <v>2024</v>
      </c>
      <c r="AV806" s="2" t="n">
        <v>343</v>
      </c>
      <c r="AW806" s="2"/>
      <c r="AX806" s="2"/>
      <c r="AY806" s="2"/>
      <c r="AZ806" s="2"/>
      <c r="BA806" s="2"/>
      <c r="BB806" s="2"/>
      <c r="BC806" s="2"/>
      <c r="BD806" s="2" t="n">
        <v>199344</v>
      </c>
      <c r="BE806" s="2" t="s">
        <v>14567</v>
      </c>
      <c r="BF806" s="2" t="str">
        <f aca="false">HYPERLINK("http://dx.doi.org/10.1016/j.virusres.2024.199344","http://dx.doi.org/10.1016/j.virusres.2024.199344")</f>
        <v>http://dx.doi.org/10.1016/j.virusres.2024.199344</v>
      </c>
      <c r="BG806" s="2"/>
      <c r="BH806" s="2" t="s">
        <v>10203</v>
      </c>
      <c r="BI806" s="2" t="n">
        <v>10</v>
      </c>
      <c r="BJ806" s="2" t="s">
        <v>163</v>
      </c>
      <c r="BK806" s="2" t="s">
        <v>100</v>
      </c>
      <c r="BL806" s="2" t="s">
        <v>163</v>
      </c>
      <c r="BM806" s="2" t="s">
        <v>14568</v>
      </c>
      <c r="BN806" s="2" t="n">
        <v>38431054</v>
      </c>
      <c r="BO806" s="2" t="s">
        <v>136</v>
      </c>
      <c r="BP806" s="2"/>
      <c r="BQ806" s="2"/>
      <c r="BR806" s="2" t="s">
        <v>104</v>
      </c>
      <c r="BS806" s="2" t="s">
        <v>14569</v>
      </c>
      <c r="BT806" s="2" t="str">
        <f aca="false">HYPERLINK("https%3A%2F%2Fwww.webofscience.com%2Fwos%2Fwoscc%2Ffull-record%2FWOS:001218682700001","View Full Record in Web of Science")</f>
        <v>View Full Record in Web of Science</v>
      </c>
    </row>
    <row r="807" customFormat="false" ht="12.75" hidden="false" customHeight="false" outlineLevel="0" collapsed="false">
      <c r="A807" s="2" t="s">
        <v>72</v>
      </c>
      <c r="B807" s="2" t="s">
        <v>14570</v>
      </c>
      <c r="C807" s="2"/>
      <c r="D807" s="2"/>
      <c r="E807" s="2"/>
      <c r="F807" s="2" t="s">
        <v>14570</v>
      </c>
      <c r="G807" s="2"/>
      <c r="H807" s="2"/>
      <c r="I807" s="2" t="s">
        <v>14571</v>
      </c>
      <c r="J807" s="2" t="s">
        <v>141</v>
      </c>
      <c r="K807" s="2"/>
      <c r="L807" s="2"/>
      <c r="M807" s="2" t="s">
        <v>77</v>
      </c>
      <c r="N807" s="2" t="s">
        <v>78</v>
      </c>
      <c r="O807" s="2"/>
      <c r="P807" s="2"/>
      <c r="Q807" s="2"/>
      <c r="R807" s="2"/>
      <c r="S807" s="2"/>
      <c r="T807" s="2" t="s">
        <v>14572</v>
      </c>
      <c r="U807" s="2" t="s">
        <v>14573</v>
      </c>
      <c r="V807" s="2" t="s">
        <v>14574</v>
      </c>
      <c r="W807" s="2" t="s">
        <v>14575</v>
      </c>
      <c r="X807" s="2" t="s">
        <v>12119</v>
      </c>
      <c r="Y807" s="2" t="s">
        <v>14576</v>
      </c>
      <c r="Z807" s="2"/>
      <c r="AA807" s="2" t="s">
        <v>13854</v>
      </c>
      <c r="AB807" s="2" t="s">
        <v>13855</v>
      </c>
      <c r="AC807" s="2"/>
      <c r="AD807" s="2"/>
      <c r="AE807" s="2"/>
      <c r="AF807" s="2"/>
      <c r="AG807" s="2" t="n">
        <v>16</v>
      </c>
      <c r="AH807" s="2" t="n">
        <v>50</v>
      </c>
      <c r="AI807" s="2" t="n">
        <v>54</v>
      </c>
      <c r="AJ807" s="2" t="n">
        <v>0</v>
      </c>
      <c r="AK807" s="2" t="n">
        <v>0</v>
      </c>
      <c r="AL807" s="2" t="s">
        <v>2746</v>
      </c>
      <c r="AM807" s="2" t="s">
        <v>593</v>
      </c>
      <c r="AN807" s="2" t="s">
        <v>12687</v>
      </c>
      <c r="AO807" s="2" t="s">
        <v>157</v>
      </c>
      <c r="AP807" s="2"/>
      <c r="AQ807" s="2"/>
      <c r="AR807" s="2" t="s">
        <v>159</v>
      </c>
      <c r="AS807" s="2" t="s">
        <v>160</v>
      </c>
      <c r="AT807" s="2" t="s">
        <v>1041</v>
      </c>
      <c r="AU807" s="2" t="n">
        <v>2004</v>
      </c>
      <c r="AV807" s="2" t="n">
        <v>72</v>
      </c>
      <c r="AW807" s="2" t="n">
        <v>2</v>
      </c>
      <c r="AX807" s="2"/>
      <c r="AY807" s="2"/>
      <c r="AZ807" s="2"/>
      <c r="BA807" s="2"/>
      <c r="BB807" s="2" t="n">
        <v>304</v>
      </c>
      <c r="BC807" s="2" t="n">
        <v>306</v>
      </c>
      <c r="BD807" s="2"/>
      <c r="BE807" s="2" t="s">
        <v>14577</v>
      </c>
      <c r="BF807" s="2" t="str">
        <f aca="false">HYPERLINK("http://dx.doi.org/10.1002/jmv.10572","http://dx.doi.org/10.1002/jmv.10572")</f>
        <v>http://dx.doi.org/10.1002/jmv.10572</v>
      </c>
      <c r="BG807" s="2"/>
      <c r="BH807" s="2"/>
      <c r="BI807" s="2" t="n">
        <v>3</v>
      </c>
      <c r="BJ807" s="2" t="s">
        <v>163</v>
      </c>
      <c r="BK807" s="2" t="s">
        <v>100</v>
      </c>
      <c r="BL807" s="2" t="s">
        <v>163</v>
      </c>
      <c r="BM807" s="2" t="s">
        <v>12689</v>
      </c>
      <c r="BN807" s="2" t="n">
        <v>14695674</v>
      </c>
      <c r="BO807" s="2"/>
      <c r="BP807" s="2"/>
      <c r="BQ807" s="2"/>
      <c r="BR807" s="2" t="s">
        <v>104</v>
      </c>
      <c r="BS807" s="2" t="s">
        <v>14578</v>
      </c>
      <c r="BT807" s="2" t="str">
        <f aca="false">HYPERLINK("https%3A%2F%2Fwww.webofscience.com%2Fwos%2Fwoscc%2Ffull-record%2FWOS:000187571800018","View Full Record in Web of Science")</f>
        <v>View Full Record in Web of Science</v>
      </c>
    </row>
    <row r="808" customFormat="false" ht="12.75" hidden="false" customHeight="false" outlineLevel="0" collapsed="false">
      <c r="A808" s="2" t="s">
        <v>72</v>
      </c>
      <c r="B808" s="2" t="s">
        <v>14579</v>
      </c>
      <c r="C808" s="2"/>
      <c r="D808" s="2"/>
      <c r="E808" s="2"/>
      <c r="F808" s="2" t="s">
        <v>14579</v>
      </c>
      <c r="G808" s="2"/>
      <c r="H808" s="2"/>
      <c r="I808" s="2" t="s">
        <v>14580</v>
      </c>
      <c r="J808" s="2" t="s">
        <v>141</v>
      </c>
      <c r="K808" s="2"/>
      <c r="L808" s="2"/>
      <c r="M808" s="2" t="s">
        <v>77</v>
      </c>
      <c r="N808" s="2" t="s">
        <v>78</v>
      </c>
      <c r="O808" s="2"/>
      <c r="P808" s="2"/>
      <c r="Q808" s="2"/>
      <c r="R808" s="2"/>
      <c r="S808" s="2"/>
      <c r="T808" s="2" t="s">
        <v>14581</v>
      </c>
      <c r="U808" s="2" t="s">
        <v>11759</v>
      </c>
      <c r="V808" s="2" t="s">
        <v>14582</v>
      </c>
      <c r="W808" s="2" t="s">
        <v>14583</v>
      </c>
      <c r="X808" s="2" t="s">
        <v>12119</v>
      </c>
      <c r="Y808" s="2" t="s">
        <v>14584</v>
      </c>
      <c r="Z808" s="2"/>
      <c r="AA808" s="2" t="s">
        <v>13854</v>
      </c>
      <c r="AB808" s="2" t="s">
        <v>13855</v>
      </c>
      <c r="AC808" s="2"/>
      <c r="AD808" s="2"/>
      <c r="AE808" s="2"/>
      <c r="AF808" s="2"/>
      <c r="AG808" s="2" t="n">
        <v>9</v>
      </c>
      <c r="AH808" s="2" t="n">
        <v>111</v>
      </c>
      <c r="AI808" s="2" t="n">
        <v>129</v>
      </c>
      <c r="AJ808" s="2" t="n">
        <v>0</v>
      </c>
      <c r="AK808" s="2" t="n">
        <v>3</v>
      </c>
      <c r="AL808" s="2" t="s">
        <v>2746</v>
      </c>
      <c r="AM808" s="2" t="s">
        <v>593</v>
      </c>
      <c r="AN808" s="2" t="s">
        <v>12687</v>
      </c>
      <c r="AO808" s="2" t="s">
        <v>157</v>
      </c>
      <c r="AP808" s="2"/>
      <c r="AQ808" s="2"/>
      <c r="AR808" s="2" t="s">
        <v>159</v>
      </c>
      <c r="AS808" s="2" t="s">
        <v>160</v>
      </c>
      <c r="AT808" s="2" t="s">
        <v>486</v>
      </c>
      <c r="AU808" s="2" t="n">
        <v>2003</v>
      </c>
      <c r="AV808" s="2" t="n">
        <v>70</v>
      </c>
      <c r="AW808" s="2" t="n">
        <v>2</v>
      </c>
      <c r="AX808" s="2"/>
      <c r="AY808" s="2"/>
      <c r="AZ808" s="2"/>
      <c r="BA808" s="2"/>
      <c r="BB808" s="2" t="n">
        <v>281</v>
      </c>
      <c r="BC808" s="2" t="n">
        <v>283</v>
      </c>
      <c r="BD808" s="2"/>
      <c r="BE808" s="2" t="s">
        <v>14585</v>
      </c>
      <c r="BF808" s="2" t="str">
        <f aca="false">HYPERLINK("http://dx.doi.org/10.1002/jmv.10391","http://dx.doi.org/10.1002/jmv.10391")</f>
        <v>http://dx.doi.org/10.1002/jmv.10391</v>
      </c>
      <c r="BG808" s="2"/>
      <c r="BH808" s="2"/>
      <c r="BI808" s="2" t="n">
        <v>3</v>
      </c>
      <c r="BJ808" s="2" t="s">
        <v>163</v>
      </c>
      <c r="BK808" s="2" t="s">
        <v>100</v>
      </c>
      <c r="BL808" s="2" t="s">
        <v>163</v>
      </c>
      <c r="BM808" s="2" t="s">
        <v>14586</v>
      </c>
      <c r="BN808" s="2" t="n">
        <v>12696118</v>
      </c>
      <c r="BO808" s="2"/>
      <c r="BP808" s="2"/>
      <c r="BQ808" s="2"/>
      <c r="BR808" s="2" t="s">
        <v>104</v>
      </c>
      <c r="BS808" s="2" t="s">
        <v>14587</v>
      </c>
      <c r="BT808" s="2" t="str">
        <f aca="false">HYPERLINK("https%3A%2F%2Fwww.webofscience.com%2Fwos%2Fwoscc%2Ffull-record%2FWOS:000182564000016","View Full Record in Web of Science")</f>
        <v>View Full Record in Web of Science</v>
      </c>
    </row>
    <row r="809" customFormat="false" ht="12.75" hidden="false" customHeight="false" outlineLevel="0" collapsed="false">
      <c r="A809" s="2" t="s">
        <v>72</v>
      </c>
      <c r="B809" s="2" t="s">
        <v>14588</v>
      </c>
      <c r="C809" s="2"/>
      <c r="D809" s="2"/>
      <c r="E809" s="2"/>
      <c r="F809" s="2" t="s">
        <v>14589</v>
      </c>
      <c r="G809" s="2"/>
      <c r="H809" s="2"/>
      <c r="I809" s="2" t="s">
        <v>14590</v>
      </c>
      <c r="J809" s="2" t="s">
        <v>3438</v>
      </c>
      <c r="K809" s="2"/>
      <c r="L809" s="2"/>
      <c r="M809" s="2" t="s">
        <v>77</v>
      </c>
      <c r="N809" s="2" t="s">
        <v>78</v>
      </c>
      <c r="O809" s="2"/>
      <c r="P809" s="2"/>
      <c r="Q809" s="2"/>
      <c r="R809" s="2"/>
      <c r="S809" s="2"/>
      <c r="T809" s="2" t="s">
        <v>14591</v>
      </c>
      <c r="U809" s="2" t="s">
        <v>14592</v>
      </c>
      <c r="V809" s="2" t="s">
        <v>14593</v>
      </c>
      <c r="W809" s="2" t="s">
        <v>14594</v>
      </c>
      <c r="X809" s="2" t="s">
        <v>14595</v>
      </c>
      <c r="Y809" s="2" t="s">
        <v>14596</v>
      </c>
      <c r="Z809" s="2" t="s">
        <v>14597</v>
      </c>
      <c r="AA809" s="2" t="s">
        <v>14598</v>
      </c>
      <c r="AB809" s="2" t="s">
        <v>14599</v>
      </c>
      <c r="AC809" s="2" t="s">
        <v>14600</v>
      </c>
      <c r="AD809" s="2" t="s">
        <v>14600</v>
      </c>
      <c r="AE809" s="2" t="s">
        <v>14601</v>
      </c>
      <c r="AF809" s="2"/>
      <c r="AG809" s="2" t="n">
        <v>43</v>
      </c>
      <c r="AH809" s="2" t="n">
        <v>10</v>
      </c>
      <c r="AI809" s="2" t="n">
        <v>15</v>
      </c>
      <c r="AJ809" s="2" t="n">
        <v>0</v>
      </c>
      <c r="AK809" s="2" t="n">
        <v>3</v>
      </c>
      <c r="AL809" s="2" t="s">
        <v>3451</v>
      </c>
      <c r="AM809" s="2" t="s">
        <v>3452</v>
      </c>
      <c r="AN809" s="2" t="s">
        <v>3453</v>
      </c>
      <c r="AO809" s="2" t="s">
        <v>3454</v>
      </c>
      <c r="AP809" s="2"/>
      <c r="AQ809" s="2"/>
      <c r="AR809" s="2" t="s">
        <v>3455</v>
      </c>
      <c r="AS809" s="2" t="s">
        <v>3456</v>
      </c>
      <c r="AT809" s="2" t="s">
        <v>925</v>
      </c>
      <c r="AU809" s="2" t="n">
        <v>2018</v>
      </c>
      <c r="AV809" s="2" t="n">
        <v>51</v>
      </c>
      <c r="AW809" s="2" t="n">
        <v>1</v>
      </c>
      <c r="AX809" s="2"/>
      <c r="AY809" s="2"/>
      <c r="AZ809" s="2"/>
      <c r="BA809" s="2"/>
      <c r="BB809" s="2" t="n">
        <v>30</v>
      </c>
      <c r="BC809" s="2" t="n">
        <v>38</v>
      </c>
      <c r="BD809" s="2"/>
      <c r="BE809" s="2" t="s">
        <v>14602</v>
      </c>
      <c r="BF809" s="2" t="str">
        <f aca="false">HYPERLINK("http://dx.doi.org/10.1590/0037-8682-0435-2017","http://dx.doi.org/10.1590/0037-8682-0435-2017")</f>
        <v>http://dx.doi.org/10.1590/0037-8682-0435-2017</v>
      </c>
      <c r="BG809" s="2"/>
      <c r="BH809" s="2"/>
      <c r="BI809" s="2" t="n">
        <v>9</v>
      </c>
      <c r="BJ809" s="2" t="s">
        <v>3199</v>
      </c>
      <c r="BK809" s="2" t="s">
        <v>100</v>
      </c>
      <c r="BL809" s="2" t="s">
        <v>3199</v>
      </c>
      <c r="BM809" s="2" t="s">
        <v>14603</v>
      </c>
      <c r="BN809" s="2" t="n">
        <v>29513839</v>
      </c>
      <c r="BO809" s="2" t="s">
        <v>14604</v>
      </c>
      <c r="BP809" s="2"/>
      <c r="BQ809" s="2"/>
      <c r="BR809" s="2" t="s">
        <v>104</v>
      </c>
      <c r="BS809" s="2" t="s">
        <v>14605</v>
      </c>
      <c r="BT809" s="2" t="str">
        <f aca="false">HYPERLINK("https%3A%2F%2Fwww.webofscience.com%2Fwos%2Fwoscc%2Ffull-record%2FWOS:000426938800006","View Full Record in Web of Science")</f>
        <v>View Full Record in Web of Science</v>
      </c>
    </row>
    <row r="810" customFormat="false" ht="12.75" hidden="false" customHeight="false" outlineLevel="0" collapsed="false">
      <c r="A810" s="2" t="s">
        <v>72</v>
      </c>
      <c r="B810" s="2" t="s">
        <v>14606</v>
      </c>
      <c r="C810" s="2"/>
      <c r="D810" s="2"/>
      <c r="E810" s="2"/>
      <c r="F810" s="2" t="s">
        <v>14607</v>
      </c>
      <c r="G810" s="2"/>
      <c r="H810" s="2"/>
      <c r="I810" s="2" t="s">
        <v>14608</v>
      </c>
      <c r="J810" s="2" t="s">
        <v>514</v>
      </c>
      <c r="K810" s="2"/>
      <c r="L810" s="2"/>
      <c r="M810" s="2" t="s">
        <v>77</v>
      </c>
      <c r="N810" s="2" t="s">
        <v>78</v>
      </c>
      <c r="O810" s="2"/>
      <c r="P810" s="2"/>
      <c r="Q810" s="2"/>
      <c r="R810" s="2"/>
      <c r="S810" s="2"/>
      <c r="T810" s="2" t="s">
        <v>14609</v>
      </c>
      <c r="U810" s="2" t="s">
        <v>14610</v>
      </c>
      <c r="V810" s="2" t="s">
        <v>14611</v>
      </c>
      <c r="W810" s="2" t="s">
        <v>14612</v>
      </c>
      <c r="X810" s="2" t="s">
        <v>14613</v>
      </c>
      <c r="Y810" s="2" t="s">
        <v>14614</v>
      </c>
      <c r="Z810" s="2" t="s">
        <v>14615</v>
      </c>
      <c r="AA810" s="2" t="s">
        <v>14616</v>
      </c>
      <c r="AB810" s="2" t="s">
        <v>14617</v>
      </c>
      <c r="AC810" s="2" t="s">
        <v>14618</v>
      </c>
      <c r="AD810" s="2" t="s">
        <v>14619</v>
      </c>
      <c r="AE810" s="2" t="s">
        <v>14620</v>
      </c>
      <c r="AF810" s="2"/>
      <c r="AG810" s="2" t="n">
        <v>34</v>
      </c>
      <c r="AH810" s="2" t="n">
        <v>20</v>
      </c>
      <c r="AI810" s="2" t="n">
        <v>20</v>
      </c>
      <c r="AJ810" s="2" t="n">
        <v>0</v>
      </c>
      <c r="AK810" s="2" t="n">
        <v>2</v>
      </c>
      <c r="AL810" s="2" t="s">
        <v>527</v>
      </c>
      <c r="AM810" s="2" t="s">
        <v>528</v>
      </c>
      <c r="AN810" s="2" t="s">
        <v>529</v>
      </c>
      <c r="AO810" s="2" t="s">
        <v>530</v>
      </c>
      <c r="AP810" s="2" t="s">
        <v>531</v>
      </c>
      <c r="AQ810" s="2"/>
      <c r="AR810" s="2" t="s">
        <v>532</v>
      </c>
      <c r="AS810" s="2" t="s">
        <v>533</v>
      </c>
      <c r="AT810" s="2" t="s">
        <v>10994</v>
      </c>
      <c r="AU810" s="2" t="n">
        <v>2017</v>
      </c>
      <c r="AV810" s="2" t="n">
        <v>215</v>
      </c>
      <c r="AW810" s="2" t="n">
        <v>10</v>
      </c>
      <c r="AX810" s="2"/>
      <c r="AY810" s="2"/>
      <c r="AZ810" s="2"/>
      <c r="BA810" s="2"/>
      <c r="BB810" s="2" t="n">
        <v>1536</v>
      </c>
      <c r="BC810" s="2" t="n">
        <v>1545</v>
      </c>
      <c r="BD810" s="2"/>
      <c r="BE810" s="2" t="s">
        <v>14621</v>
      </c>
      <c r="BF810" s="2" t="str">
        <f aca="false">HYPERLINK("http://dx.doi.org/10.1093/infdis/jix167","http://dx.doi.org/10.1093/infdis/jix167")</f>
        <v>http://dx.doi.org/10.1093/infdis/jix167</v>
      </c>
      <c r="BG810" s="2"/>
      <c r="BH810" s="2"/>
      <c r="BI810" s="2" t="n">
        <v>10</v>
      </c>
      <c r="BJ810" s="2" t="s">
        <v>536</v>
      </c>
      <c r="BK810" s="2" t="s">
        <v>100</v>
      </c>
      <c r="BL810" s="2" t="s">
        <v>536</v>
      </c>
      <c r="BM810" s="2" t="s">
        <v>14622</v>
      </c>
      <c r="BN810" s="2" t="n">
        <v>28379462</v>
      </c>
      <c r="BO810" s="2" t="s">
        <v>656</v>
      </c>
      <c r="BP810" s="2"/>
      <c r="BQ810" s="2"/>
      <c r="BR810" s="2" t="s">
        <v>104</v>
      </c>
      <c r="BS810" s="2" t="s">
        <v>14623</v>
      </c>
      <c r="BT810" s="2" t="str">
        <f aca="false">HYPERLINK("https%3A%2F%2Fwww.webofscience.com%2Fwos%2Fwoscc%2Ffull-record%2FWOS:000402821800008","View Full Record in Web of Science")</f>
        <v>View Full Record in Web of Science</v>
      </c>
    </row>
    <row r="811" customFormat="false" ht="12.75" hidden="false" customHeight="false" outlineLevel="0" collapsed="false">
      <c r="A811" s="2" t="s">
        <v>72</v>
      </c>
      <c r="B811" s="2" t="s">
        <v>14624</v>
      </c>
      <c r="C811" s="2"/>
      <c r="D811" s="2"/>
      <c r="E811" s="2"/>
      <c r="F811" s="2" t="s">
        <v>14625</v>
      </c>
      <c r="G811" s="2"/>
      <c r="H811" s="2"/>
      <c r="I811" s="2" t="s">
        <v>14626</v>
      </c>
      <c r="J811" s="2" t="s">
        <v>10837</v>
      </c>
      <c r="K811" s="2"/>
      <c r="L811" s="2"/>
      <c r="M811" s="2" t="s">
        <v>77</v>
      </c>
      <c r="N811" s="2" t="s">
        <v>78</v>
      </c>
      <c r="O811" s="2"/>
      <c r="P811" s="2"/>
      <c r="Q811" s="2"/>
      <c r="R811" s="2"/>
      <c r="S811" s="2"/>
      <c r="T811" s="2" t="s">
        <v>14627</v>
      </c>
      <c r="U811" s="2" t="s">
        <v>14628</v>
      </c>
      <c r="V811" s="2" t="s">
        <v>14629</v>
      </c>
      <c r="W811" s="2" t="s">
        <v>14630</v>
      </c>
      <c r="X811" s="2"/>
      <c r="Y811" s="2" t="s">
        <v>14631</v>
      </c>
      <c r="Z811" s="2" t="s">
        <v>14632</v>
      </c>
      <c r="AA811" s="2" t="s">
        <v>14633</v>
      </c>
      <c r="AB811" s="2" t="s">
        <v>14634</v>
      </c>
      <c r="AC811" s="2" t="s">
        <v>14635</v>
      </c>
      <c r="AD811" s="2" t="s">
        <v>14635</v>
      </c>
      <c r="AE811" s="2" t="s">
        <v>14636</v>
      </c>
      <c r="AF811" s="2"/>
      <c r="AG811" s="2" t="n">
        <v>39</v>
      </c>
      <c r="AH811" s="2" t="n">
        <v>20</v>
      </c>
      <c r="AI811" s="2" t="n">
        <v>25</v>
      </c>
      <c r="AJ811" s="2" t="n">
        <v>2</v>
      </c>
      <c r="AK811" s="2" t="n">
        <v>6</v>
      </c>
      <c r="AL811" s="2" t="s">
        <v>527</v>
      </c>
      <c r="AM811" s="2" t="s">
        <v>528</v>
      </c>
      <c r="AN811" s="2" t="s">
        <v>529</v>
      </c>
      <c r="AO811" s="2" t="s">
        <v>10846</v>
      </c>
      <c r="AP811" s="2"/>
      <c r="AQ811" s="2"/>
      <c r="AR811" s="2" t="s">
        <v>10847</v>
      </c>
      <c r="AS811" s="2" t="s">
        <v>10848</v>
      </c>
      <c r="AT811" s="2" t="s">
        <v>13315</v>
      </c>
      <c r="AU811" s="2" t="n">
        <v>2022</v>
      </c>
      <c r="AV811" s="2" t="n">
        <v>9</v>
      </c>
      <c r="AW811" s="2" t="n">
        <v>7</v>
      </c>
      <c r="AX811" s="2"/>
      <c r="AY811" s="2"/>
      <c r="AZ811" s="2"/>
      <c r="BA811" s="2"/>
      <c r="BB811" s="2"/>
      <c r="BC811" s="2"/>
      <c r="BD811" s="2" t="s">
        <v>14637</v>
      </c>
      <c r="BE811" s="2" t="s">
        <v>14638</v>
      </c>
      <c r="BF811" s="2" t="str">
        <f aca="false">HYPERLINK("http://dx.doi.org/10.1093/ofid/ofac206","http://dx.doi.org/10.1093/ofid/ofac206")</f>
        <v>http://dx.doi.org/10.1093/ofid/ofac206</v>
      </c>
      <c r="BG811" s="2"/>
      <c r="BH811" s="2" t="s">
        <v>12940</v>
      </c>
      <c r="BI811" s="2" t="n">
        <v>10</v>
      </c>
      <c r="BJ811" s="2" t="s">
        <v>536</v>
      </c>
      <c r="BK811" s="2" t="s">
        <v>100</v>
      </c>
      <c r="BL811" s="2" t="s">
        <v>536</v>
      </c>
      <c r="BM811" s="2" t="s">
        <v>14639</v>
      </c>
      <c r="BN811" s="2" t="n">
        <v>35794943</v>
      </c>
      <c r="BO811" s="2" t="s">
        <v>103</v>
      </c>
      <c r="BP811" s="2"/>
      <c r="BQ811" s="2"/>
      <c r="BR811" s="2" t="s">
        <v>104</v>
      </c>
      <c r="BS811" s="2" t="s">
        <v>14640</v>
      </c>
      <c r="BT811" s="2" t="str">
        <f aca="false">HYPERLINK("https%3A%2F%2Fwww.webofscience.com%2Fwos%2Fwoscc%2Ffull-record%2FWOS:000820407400005","View Full Record in Web of Science")</f>
        <v>View Full Record in Web of Science</v>
      </c>
    </row>
    <row r="812" customFormat="false" ht="12.75" hidden="false" customHeight="false" outlineLevel="0" collapsed="false">
      <c r="A812" s="2" t="s">
        <v>72</v>
      </c>
      <c r="B812" s="2" t="s">
        <v>14641</v>
      </c>
      <c r="C812" s="2"/>
      <c r="D812" s="2"/>
      <c r="E812" s="2"/>
      <c r="F812" s="2" t="s">
        <v>14642</v>
      </c>
      <c r="G812" s="2"/>
      <c r="H812" s="2"/>
      <c r="I812" s="2" t="s">
        <v>14643</v>
      </c>
      <c r="J812" s="2" t="s">
        <v>14644</v>
      </c>
      <c r="K812" s="2"/>
      <c r="L812" s="2"/>
      <c r="M812" s="2" t="s">
        <v>77</v>
      </c>
      <c r="N812" s="2" t="s">
        <v>78</v>
      </c>
      <c r="O812" s="2"/>
      <c r="P812" s="2"/>
      <c r="Q812" s="2"/>
      <c r="R812" s="2"/>
      <c r="S812" s="2"/>
      <c r="T812" s="2" t="s">
        <v>14645</v>
      </c>
      <c r="U812" s="2" t="s">
        <v>14646</v>
      </c>
      <c r="V812" s="2" t="s">
        <v>14647</v>
      </c>
      <c r="W812" s="2" t="s">
        <v>14648</v>
      </c>
      <c r="X812" s="2" t="s">
        <v>14649</v>
      </c>
      <c r="Y812" s="2" t="s">
        <v>14650</v>
      </c>
      <c r="Z812" s="2" t="s">
        <v>14651</v>
      </c>
      <c r="AA812" s="2"/>
      <c r="AB812" s="2" t="s">
        <v>14652</v>
      </c>
      <c r="AC812" s="2" t="s">
        <v>14653</v>
      </c>
      <c r="AD812" s="2" t="s">
        <v>14654</v>
      </c>
      <c r="AE812" s="2" t="s">
        <v>14655</v>
      </c>
      <c r="AF812" s="2"/>
      <c r="AG812" s="2" t="n">
        <v>56</v>
      </c>
      <c r="AH812" s="2" t="n">
        <v>27</v>
      </c>
      <c r="AI812" s="2" t="n">
        <v>29</v>
      </c>
      <c r="AJ812" s="2" t="n">
        <v>0</v>
      </c>
      <c r="AK812" s="2" t="n">
        <v>8</v>
      </c>
      <c r="AL812" s="2" t="s">
        <v>1704</v>
      </c>
      <c r="AM812" s="2" t="s">
        <v>1705</v>
      </c>
      <c r="AN812" s="2" t="s">
        <v>1706</v>
      </c>
      <c r="AO812" s="2" t="s">
        <v>14656</v>
      </c>
      <c r="AP812" s="2"/>
      <c r="AQ812" s="2"/>
      <c r="AR812" s="2" t="s">
        <v>14657</v>
      </c>
      <c r="AS812" s="2" t="s">
        <v>14658</v>
      </c>
      <c r="AT812" s="2" t="s">
        <v>390</v>
      </c>
      <c r="AU812" s="2" t="n">
        <v>2014</v>
      </c>
      <c r="AV812" s="2" t="n">
        <v>3</v>
      </c>
      <c r="AW812" s="2"/>
      <c r="AX812" s="2"/>
      <c r="AY812" s="2"/>
      <c r="AZ812" s="2"/>
      <c r="BA812" s="2"/>
      <c r="BB812" s="2"/>
      <c r="BC812" s="2"/>
      <c r="BD812" s="2" t="s">
        <v>14659</v>
      </c>
      <c r="BE812" s="2" t="s">
        <v>14660</v>
      </c>
      <c r="BF812" s="2" t="str">
        <f aca="false">HYPERLINK("http://dx.doi.org/10.1038/mtna.2014.18","http://dx.doi.org/10.1038/mtna.2014.18")</f>
        <v>http://dx.doi.org/10.1038/mtna.2014.18</v>
      </c>
      <c r="BG812" s="2"/>
      <c r="BH812" s="2"/>
      <c r="BI812" s="2" t="n">
        <v>10</v>
      </c>
      <c r="BJ812" s="2" t="s">
        <v>5761</v>
      </c>
      <c r="BK812" s="2" t="s">
        <v>100</v>
      </c>
      <c r="BL812" s="2" t="s">
        <v>5762</v>
      </c>
      <c r="BM812" s="2" t="s">
        <v>14661</v>
      </c>
      <c r="BN812" s="2" t="n">
        <v>24845106</v>
      </c>
      <c r="BO812" s="2" t="s">
        <v>190</v>
      </c>
      <c r="BP812" s="2"/>
      <c r="BQ812" s="2"/>
      <c r="BR812" s="2" t="s">
        <v>104</v>
      </c>
      <c r="BS812" s="2" t="s">
        <v>14662</v>
      </c>
      <c r="BT812" s="2" t="str">
        <f aca="false">HYPERLINK("https%3A%2F%2Fwww.webofscience.com%2Fwos%2Fwoscc%2Ffull-record%2FWOS:000338075500003","View Full Record in Web of Science")</f>
        <v>View Full Record in Web of Science</v>
      </c>
    </row>
    <row r="813" customFormat="false" ht="12.75" hidden="false" customHeight="false" outlineLevel="0" collapsed="false">
      <c r="A813" s="2" t="s">
        <v>72</v>
      </c>
      <c r="B813" s="2" t="s">
        <v>14663</v>
      </c>
      <c r="C813" s="2"/>
      <c r="D813" s="2"/>
      <c r="E813" s="2"/>
      <c r="F813" s="2" t="s">
        <v>14663</v>
      </c>
      <c r="G813" s="2"/>
      <c r="H813" s="2"/>
      <c r="I813" s="2" t="s">
        <v>14664</v>
      </c>
      <c r="J813" s="2" t="s">
        <v>370</v>
      </c>
      <c r="K813" s="2"/>
      <c r="L813" s="2"/>
      <c r="M813" s="2" t="s">
        <v>77</v>
      </c>
      <c r="N813" s="2" t="s">
        <v>78</v>
      </c>
      <c r="O813" s="2"/>
      <c r="P813" s="2"/>
      <c r="Q813" s="2"/>
      <c r="R813" s="2"/>
      <c r="S813" s="2"/>
      <c r="T813" s="2" t="s">
        <v>14665</v>
      </c>
      <c r="U813" s="2" t="s">
        <v>14666</v>
      </c>
      <c r="V813" s="2" t="s">
        <v>14667</v>
      </c>
      <c r="W813" s="2" t="s">
        <v>14668</v>
      </c>
      <c r="X813" s="2" t="s">
        <v>14669</v>
      </c>
      <c r="Y813" s="2" t="s">
        <v>14670</v>
      </c>
      <c r="Z813" s="2" t="s">
        <v>5566</v>
      </c>
      <c r="AA813" s="2" t="s">
        <v>14671</v>
      </c>
      <c r="AB813" s="2" t="s">
        <v>14672</v>
      </c>
      <c r="AC813" s="2"/>
      <c r="AD813" s="2"/>
      <c r="AE813" s="2"/>
      <c r="AF813" s="2"/>
      <c r="AG813" s="2" t="n">
        <v>37</v>
      </c>
      <c r="AH813" s="2" t="n">
        <v>46</v>
      </c>
      <c r="AI813" s="2" t="n">
        <v>50</v>
      </c>
      <c r="AJ813" s="2" t="n">
        <v>0</v>
      </c>
      <c r="AK813" s="2" t="n">
        <v>2</v>
      </c>
      <c r="AL813" s="2" t="s">
        <v>383</v>
      </c>
      <c r="AM813" s="2" t="s">
        <v>384</v>
      </c>
      <c r="AN813" s="2" t="s">
        <v>385</v>
      </c>
      <c r="AO813" s="2" t="s">
        <v>386</v>
      </c>
      <c r="AP813" s="2" t="s">
        <v>387</v>
      </c>
      <c r="AQ813" s="2"/>
      <c r="AR813" s="2" t="s">
        <v>388</v>
      </c>
      <c r="AS813" s="2" t="s">
        <v>389</v>
      </c>
      <c r="AT813" s="2" t="s">
        <v>161</v>
      </c>
      <c r="AU813" s="2" t="n">
        <v>2006</v>
      </c>
      <c r="AV813" s="2" t="n">
        <v>35</v>
      </c>
      <c r="AW813" s="2" t="n">
        <v>1</v>
      </c>
      <c r="AX813" s="2"/>
      <c r="AY813" s="2"/>
      <c r="AZ813" s="2"/>
      <c r="BA813" s="2"/>
      <c r="BB813" s="2" t="n">
        <v>59</v>
      </c>
      <c r="BC813" s="2" t="n">
        <v>68</v>
      </c>
      <c r="BD813" s="2"/>
      <c r="BE813" s="2" t="s">
        <v>14673</v>
      </c>
      <c r="BF813" s="2" t="str">
        <f aca="false">HYPERLINK("http://dx.doi.org/10.1016/j.jcv.2005.05.010","http://dx.doi.org/10.1016/j.jcv.2005.05.010")</f>
        <v>http://dx.doi.org/10.1016/j.jcv.2005.05.010</v>
      </c>
      <c r="BG813" s="2"/>
      <c r="BH813" s="2"/>
      <c r="BI813" s="2" t="n">
        <v>10</v>
      </c>
      <c r="BJ813" s="2" t="s">
        <v>163</v>
      </c>
      <c r="BK813" s="2" t="s">
        <v>100</v>
      </c>
      <c r="BL813" s="2" t="s">
        <v>163</v>
      </c>
      <c r="BM813" s="2" t="s">
        <v>552</v>
      </c>
      <c r="BN813" s="2" t="n">
        <v>16023411</v>
      </c>
      <c r="BO813" s="2" t="s">
        <v>1227</v>
      </c>
      <c r="BP813" s="2"/>
      <c r="BQ813" s="2"/>
      <c r="BR813" s="2" t="s">
        <v>104</v>
      </c>
      <c r="BS813" s="2" t="s">
        <v>14674</v>
      </c>
      <c r="BT813" s="2" t="str">
        <f aca="false">HYPERLINK("https%3A%2F%2Fwww.webofscience.com%2Fwos%2Fwoscc%2Ffull-record%2FWOS:000235182800009","View Full Record in Web of Science")</f>
        <v>View Full Record in Web of Science</v>
      </c>
    </row>
    <row r="814" customFormat="false" ht="12.75" hidden="false" customHeight="false" outlineLevel="0" collapsed="false">
      <c r="A814" s="2" t="s">
        <v>72</v>
      </c>
      <c r="B814" s="2" t="s">
        <v>14675</v>
      </c>
      <c r="C814" s="2"/>
      <c r="D814" s="2"/>
      <c r="E814" s="2"/>
      <c r="F814" s="2" t="s">
        <v>14676</v>
      </c>
      <c r="G814" s="2"/>
      <c r="H814" s="2"/>
      <c r="I814" s="2" t="s">
        <v>14677</v>
      </c>
      <c r="J814" s="2" t="s">
        <v>607</v>
      </c>
      <c r="K814" s="2"/>
      <c r="L814" s="2"/>
      <c r="M814" s="2" t="s">
        <v>77</v>
      </c>
      <c r="N814" s="2" t="s">
        <v>78</v>
      </c>
      <c r="O814" s="2"/>
      <c r="P814" s="2"/>
      <c r="Q814" s="2"/>
      <c r="R814" s="2"/>
      <c r="S814" s="2"/>
      <c r="T814" s="2" t="s">
        <v>14678</v>
      </c>
      <c r="U814" s="2" t="s">
        <v>14679</v>
      </c>
      <c r="V814" s="2" t="s">
        <v>14680</v>
      </c>
      <c r="W814" s="2" t="s">
        <v>14681</v>
      </c>
      <c r="X814" s="2" t="s">
        <v>14682</v>
      </c>
      <c r="Y814" s="2" t="s">
        <v>14683</v>
      </c>
      <c r="Z814" s="2" t="s">
        <v>14684</v>
      </c>
      <c r="AA814" s="2"/>
      <c r="AB814" s="2" t="s">
        <v>14685</v>
      </c>
      <c r="AC814" s="2" t="s">
        <v>14686</v>
      </c>
      <c r="AD814" s="2" t="s">
        <v>14687</v>
      </c>
      <c r="AE814" s="2" t="s">
        <v>14688</v>
      </c>
      <c r="AF814" s="2"/>
      <c r="AG814" s="2" t="n">
        <v>44</v>
      </c>
      <c r="AH814" s="2" t="n">
        <v>7</v>
      </c>
      <c r="AI814" s="2" t="n">
        <v>8</v>
      </c>
      <c r="AJ814" s="2" t="n">
        <v>2</v>
      </c>
      <c r="AK814" s="2" t="n">
        <v>10</v>
      </c>
      <c r="AL814" s="2" t="s">
        <v>620</v>
      </c>
      <c r="AM814" s="2" t="s">
        <v>621</v>
      </c>
      <c r="AN814" s="2" t="s">
        <v>622</v>
      </c>
      <c r="AO814" s="2" t="s">
        <v>623</v>
      </c>
      <c r="AP814" s="2"/>
      <c r="AQ814" s="2"/>
      <c r="AR814" s="2" t="s">
        <v>624</v>
      </c>
      <c r="AS814" s="2" t="s">
        <v>625</v>
      </c>
      <c r="AT814" s="2" t="s">
        <v>14689</v>
      </c>
      <c r="AU814" s="2" t="n">
        <v>2018</v>
      </c>
      <c r="AV814" s="2" t="n">
        <v>9</v>
      </c>
      <c r="AW814" s="2"/>
      <c r="AX814" s="2"/>
      <c r="AY814" s="2"/>
      <c r="AZ814" s="2"/>
      <c r="BA814" s="2"/>
      <c r="BB814" s="2"/>
      <c r="BC814" s="2"/>
      <c r="BD814" s="2" t="n">
        <v>902</v>
      </c>
      <c r="BE814" s="2" t="s">
        <v>14690</v>
      </c>
      <c r="BF814" s="2" t="str">
        <f aca="false">HYPERLINK("http://dx.doi.org/10.3389/fimmu.2018.00902","http://dx.doi.org/10.3389/fimmu.2018.00902")</f>
        <v>http://dx.doi.org/10.3389/fimmu.2018.00902</v>
      </c>
      <c r="BG814" s="2"/>
      <c r="BH814" s="2"/>
      <c r="BI814" s="2" t="n">
        <v>10</v>
      </c>
      <c r="BJ814" s="2" t="s">
        <v>628</v>
      </c>
      <c r="BK814" s="2" t="s">
        <v>100</v>
      </c>
      <c r="BL814" s="2" t="s">
        <v>628</v>
      </c>
      <c r="BM814" s="2" t="s">
        <v>14691</v>
      </c>
      <c r="BN814" s="2" t="n">
        <v>29780383</v>
      </c>
      <c r="BO814" s="2" t="s">
        <v>190</v>
      </c>
      <c r="BP814" s="2"/>
      <c r="BQ814" s="2"/>
      <c r="BR814" s="2" t="s">
        <v>104</v>
      </c>
      <c r="BS814" s="2" t="s">
        <v>14692</v>
      </c>
      <c r="BT814" s="2" t="str">
        <f aca="false">HYPERLINK("https%3A%2F%2Fwww.webofscience.com%2Fwos%2Fwoscc%2Ffull-record%2FWOS:000431435500001","View Full Record in Web of Science")</f>
        <v>View Full Record in Web of Science</v>
      </c>
    </row>
    <row r="815" customFormat="false" ht="12.75" hidden="false" customHeight="false" outlineLevel="0" collapsed="false">
      <c r="A815" s="2" t="s">
        <v>72</v>
      </c>
      <c r="B815" s="2" t="s">
        <v>14693</v>
      </c>
      <c r="C815" s="2"/>
      <c r="D815" s="2"/>
      <c r="E815" s="2"/>
      <c r="F815" s="2" t="s">
        <v>14693</v>
      </c>
      <c r="G815" s="2"/>
      <c r="H815" s="2"/>
      <c r="I815" s="2" t="s">
        <v>14694</v>
      </c>
      <c r="J815" s="2" t="s">
        <v>141</v>
      </c>
      <c r="K815" s="2"/>
      <c r="L815" s="2"/>
      <c r="M815" s="2" t="s">
        <v>77</v>
      </c>
      <c r="N815" s="2" t="s">
        <v>78</v>
      </c>
      <c r="O815" s="2"/>
      <c r="P815" s="2"/>
      <c r="Q815" s="2"/>
      <c r="R815" s="2"/>
      <c r="S815" s="2"/>
      <c r="T815" s="2" t="s">
        <v>14695</v>
      </c>
      <c r="U815" s="2" t="s">
        <v>14696</v>
      </c>
      <c r="V815" s="2" t="s">
        <v>14697</v>
      </c>
      <c r="W815" s="2" t="s">
        <v>14698</v>
      </c>
      <c r="X815" s="2" t="s">
        <v>14699</v>
      </c>
      <c r="Y815" s="2" t="s">
        <v>14700</v>
      </c>
      <c r="Z815" s="2" t="s">
        <v>5566</v>
      </c>
      <c r="AA815" s="2" t="s">
        <v>14701</v>
      </c>
      <c r="AB815" s="2" t="s">
        <v>14702</v>
      </c>
      <c r="AC815" s="2"/>
      <c r="AD815" s="2"/>
      <c r="AE815" s="2"/>
      <c r="AF815" s="2"/>
      <c r="AG815" s="2" t="n">
        <v>39</v>
      </c>
      <c r="AH815" s="2" t="n">
        <v>86</v>
      </c>
      <c r="AI815" s="2" t="n">
        <v>86</v>
      </c>
      <c r="AJ815" s="2" t="n">
        <v>0</v>
      </c>
      <c r="AK815" s="2" t="n">
        <v>1</v>
      </c>
      <c r="AL815" s="2" t="s">
        <v>154</v>
      </c>
      <c r="AM815" s="2" t="s">
        <v>155</v>
      </c>
      <c r="AN815" s="2" t="s">
        <v>156</v>
      </c>
      <c r="AO815" s="2" t="s">
        <v>157</v>
      </c>
      <c r="AP815" s="2" t="s">
        <v>158</v>
      </c>
      <c r="AQ815" s="2"/>
      <c r="AR815" s="2" t="s">
        <v>159</v>
      </c>
      <c r="AS815" s="2" t="s">
        <v>160</v>
      </c>
      <c r="AT815" s="2" t="s">
        <v>97</v>
      </c>
      <c r="AU815" s="2" t="n">
        <v>2006</v>
      </c>
      <c r="AV815" s="2" t="n">
        <v>78</v>
      </c>
      <c r="AW815" s="2" t="n">
        <v>3</v>
      </c>
      <c r="AX815" s="2"/>
      <c r="AY815" s="2"/>
      <c r="AZ815" s="2"/>
      <c r="BA815" s="2"/>
      <c r="BB815" s="2" t="n">
        <v>408</v>
      </c>
      <c r="BC815" s="2" t="n">
        <v>416</v>
      </c>
      <c r="BD815" s="2"/>
      <c r="BE815" s="2" t="s">
        <v>14703</v>
      </c>
      <c r="BF815" s="2" t="str">
        <f aca="false">HYPERLINK("http://dx.doi.org/10.1002/jmv.20555","http://dx.doi.org/10.1002/jmv.20555")</f>
        <v>http://dx.doi.org/10.1002/jmv.20555</v>
      </c>
      <c r="BG815" s="2"/>
      <c r="BH815" s="2"/>
      <c r="BI815" s="2" t="n">
        <v>9</v>
      </c>
      <c r="BJ815" s="2" t="s">
        <v>163</v>
      </c>
      <c r="BK815" s="2" t="s">
        <v>100</v>
      </c>
      <c r="BL815" s="2" t="s">
        <v>163</v>
      </c>
      <c r="BM815" s="2" t="s">
        <v>14704</v>
      </c>
      <c r="BN815" s="2" t="n">
        <v>16419110</v>
      </c>
      <c r="BO815" s="2" t="s">
        <v>538</v>
      </c>
      <c r="BP815" s="2"/>
      <c r="BQ815" s="2"/>
      <c r="BR815" s="2" t="s">
        <v>104</v>
      </c>
      <c r="BS815" s="2" t="s">
        <v>14705</v>
      </c>
      <c r="BT815" s="2" t="str">
        <f aca="false">HYPERLINK("https%3A%2F%2Fwww.webofscience.com%2Fwos%2Fwoscc%2Ffull-record%2FWOS:000235202300015","View Full Record in Web of Science")</f>
        <v>View Full Record in Web of Science</v>
      </c>
    </row>
    <row r="816" customFormat="false" ht="12.75" hidden="false" customHeight="false" outlineLevel="0" collapsed="false">
      <c r="A816" s="2" t="s">
        <v>72</v>
      </c>
      <c r="B816" s="2" t="s">
        <v>14706</v>
      </c>
      <c r="C816" s="2"/>
      <c r="D816" s="2"/>
      <c r="E816" s="2"/>
      <c r="F816" s="2" t="s">
        <v>14706</v>
      </c>
      <c r="G816" s="2"/>
      <c r="H816" s="2"/>
      <c r="I816" s="2" t="s">
        <v>14707</v>
      </c>
      <c r="J816" s="2" t="s">
        <v>141</v>
      </c>
      <c r="K816" s="2"/>
      <c r="L816" s="2"/>
      <c r="M816" s="2" t="s">
        <v>77</v>
      </c>
      <c r="N816" s="2" t="s">
        <v>78</v>
      </c>
      <c r="O816" s="2"/>
      <c r="P816" s="2"/>
      <c r="Q816" s="2"/>
      <c r="R816" s="2"/>
      <c r="S816" s="2"/>
      <c r="T816" s="2" t="s">
        <v>14708</v>
      </c>
      <c r="U816" s="2" t="s">
        <v>14709</v>
      </c>
      <c r="V816" s="2" t="s">
        <v>14710</v>
      </c>
      <c r="W816" s="2" t="s">
        <v>14711</v>
      </c>
      <c r="X816" s="2" t="s">
        <v>3705</v>
      </c>
      <c r="Y816" s="2" t="s">
        <v>14712</v>
      </c>
      <c r="Z816" s="2" t="s">
        <v>5566</v>
      </c>
      <c r="AA816" s="2" t="s">
        <v>14713</v>
      </c>
      <c r="AB816" s="2" t="s">
        <v>14714</v>
      </c>
      <c r="AC816" s="2"/>
      <c r="AD816" s="2"/>
      <c r="AE816" s="2"/>
      <c r="AF816" s="2"/>
      <c r="AG816" s="2" t="n">
        <v>57</v>
      </c>
      <c r="AH816" s="2" t="n">
        <v>55</v>
      </c>
      <c r="AI816" s="2" t="n">
        <v>62</v>
      </c>
      <c r="AJ816" s="2" t="n">
        <v>0</v>
      </c>
      <c r="AK816" s="2" t="n">
        <v>0</v>
      </c>
      <c r="AL816" s="2" t="s">
        <v>154</v>
      </c>
      <c r="AM816" s="2" t="s">
        <v>155</v>
      </c>
      <c r="AN816" s="2" t="s">
        <v>156</v>
      </c>
      <c r="AO816" s="2" t="s">
        <v>157</v>
      </c>
      <c r="AP816" s="2" t="s">
        <v>158</v>
      </c>
      <c r="AQ816" s="2"/>
      <c r="AR816" s="2" t="s">
        <v>159</v>
      </c>
      <c r="AS816" s="2" t="s">
        <v>160</v>
      </c>
      <c r="AT816" s="2" t="s">
        <v>1041</v>
      </c>
      <c r="AU816" s="2" t="n">
        <v>2005</v>
      </c>
      <c r="AV816" s="2" t="n">
        <v>75</v>
      </c>
      <c r="AW816" s="2" t="n">
        <v>2</v>
      </c>
      <c r="AX816" s="2"/>
      <c r="AY816" s="2"/>
      <c r="AZ816" s="2"/>
      <c r="BA816" s="2"/>
      <c r="BB816" s="2" t="n">
        <v>336</v>
      </c>
      <c r="BC816" s="2" t="n">
        <v>347</v>
      </c>
      <c r="BD816" s="2"/>
      <c r="BE816" s="2" t="s">
        <v>14715</v>
      </c>
      <c r="BF816" s="2" t="str">
        <f aca="false">HYPERLINK("http://dx.doi.org/10.1002/jmv.20276","http://dx.doi.org/10.1002/jmv.20276")</f>
        <v>http://dx.doi.org/10.1002/jmv.20276</v>
      </c>
      <c r="BG816" s="2"/>
      <c r="BH816" s="2"/>
      <c r="BI816" s="2" t="n">
        <v>12</v>
      </c>
      <c r="BJ816" s="2" t="s">
        <v>163</v>
      </c>
      <c r="BK816" s="2" t="s">
        <v>100</v>
      </c>
      <c r="BL816" s="2" t="s">
        <v>163</v>
      </c>
      <c r="BM816" s="2" t="s">
        <v>14716</v>
      </c>
      <c r="BN816" s="2" t="n">
        <v>15602736</v>
      </c>
      <c r="BO816" s="2" t="s">
        <v>165</v>
      </c>
      <c r="BP816" s="2"/>
      <c r="BQ816" s="2"/>
      <c r="BR816" s="2" t="s">
        <v>104</v>
      </c>
      <c r="BS816" s="2" t="s">
        <v>14717</v>
      </c>
      <c r="BT816" s="2" t="str">
        <f aca="false">HYPERLINK("https%3A%2F%2Fwww.webofscience.com%2Fwos%2Fwoscc%2Ffull-record%2FWOS:000226009400023","View Full Record in Web of Science")</f>
        <v>View Full Record in Web of Science</v>
      </c>
    </row>
    <row r="817" customFormat="false" ht="12.75" hidden="false" customHeight="false" outlineLevel="0" collapsed="false">
      <c r="A817" s="2" t="s">
        <v>72</v>
      </c>
      <c r="B817" s="2" t="s">
        <v>14718</v>
      </c>
      <c r="C817" s="2"/>
      <c r="D817" s="2"/>
      <c r="E817" s="2"/>
      <c r="F817" s="2" t="s">
        <v>14719</v>
      </c>
      <c r="G817" s="2"/>
      <c r="H817" s="2"/>
      <c r="I817" s="2" t="s">
        <v>14720</v>
      </c>
      <c r="J817" s="2" t="s">
        <v>3182</v>
      </c>
      <c r="K817" s="2"/>
      <c r="L817" s="2"/>
      <c r="M817" s="2" t="s">
        <v>77</v>
      </c>
      <c r="N817" s="2" t="s">
        <v>78</v>
      </c>
      <c r="O817" s="2"/>
      <c r="P817" s="2"/>
      <c r="Q817" s="2"/>
      <c r="R817" s="2"/>
      <c r="S817" s="2"/>
      <c r="T817" s="2" t="s">
        <v>14721</v>
      </c>
      <c r="U817" s="2" t="s">
        <v>14722</v>
      </c>
      <c r="V817" s="2" t="s">
        <v>14723</v>
      </c>
      <c r="W817" s="2" t="s">
        <v>14724</v>
      </c>
      <c r="X817" s="2" t="s">
        <v>14725</v>
      </c>
      <c r="Y817" s="2" t="s">
        <v>14726</v>
      </c>
      <c r="Z817" s="2" t="s">
        <v>14727</v>
      </c>
      <c r="AA817" s="2" t="s">
        <v>14728</v>
      </c>
      <c r="AB817" s="2" t="s">
        <v>14729</v>
      </c>
      <c r="AC817" s="2" t="s">
        <v>14730</v>
      </c>
      <c r="AD817" s="2" t="s">
        <v>14730</v>
      </c>
      <c r="AE817" s="2" t="s">
        <v>14731</v>
      </c>
      <c r="AF817" s="2"/>
      <c r="AG817" s="2" t="n">
        <v>33</v>
      </c>
      <c r="AH817" s="2" t="n">
        <v>39</v>
      </c>
      <c r="AI817" s="2" t="n">
        <v>44</v>
      </c>
      <c r="AJ817" s="2" t="n">
        <v>0</v>
      </c>
      <c r="AK817" s="2" t="n">
        <v>3</v>
      </c>
      <c r="AL817" s="2" t="s">
        <v>3192</v>
      </c>
      <c r="AM817" s="2" t="s">
        <v>2876</v>
      </c>
      <c r="AN817" s="2" t="s">
        <v>3193</v>
      </c>
      <c r="AO817" s="2" t="s">
        <v>3194</v>
      </c>
      <c r="AP817" s="2"/>
      <c r="AQ817" s="2"/>
      <c r="AR817" s="2" t="s">
        <v>3196</v>
      </c>
      <c r="AS817" s="2" t="s">
        <v>3197</v>
      </c>
      <c r="AT817" s="2" t="s">
        <v>1041</v>
      </c>
      <c r="AU817" s="2" t="n">
        <v>2011</v>
      </c>
      <c r="AV817" s="2" t="n">
        <v>106</v>
      </c>
      <c r="AW817" s="2" t="n">
        <v>1</v>
      </c>
      <c r="AX817" s="2"/>
      <c r="AY817" s="2"/>
      <c r="AZ817" s="2"/>
      <c r="BA817" s="2"/>
      <c r="BB817" s="2" t="n">
        <v>56</v>
      </c>
      <c r="BC817" s="2" t="n">
        <v>60</v>
      </c>
      <c r="BD817" s="2"/>
      <c r="BE817" s="2" t="s">
        <v>14732</v>
      </c>
      <c r="BF817" s="2" t="str">
        <f aca="false">HYPERLINK("http://dx.doi.org/10.1590/S0074-02762011000100009","http://dx.doi.org/10.1590/S0074-02762011000100009")</f>
        <v>http://dx.doi.org/10.1590/S0074-02762011000100009</v>
      </c>
      <c r="BG817" s="2"/>
      <c r="BH817" s="2"/>
      <c r="BI817" s="2" t="n">
        <v>5</v>
      </c>
      <c r="BJ817" s="2" t="s">
        <v>3199</v>
      </c>
      <c r="BK817" s="2" t="s">
        <v>100</v>
      </c>
      <c r="BL817" s="2" t="s">
        <v>3199</v>
      </c>
      <c r="BM817" s="2" t="s">
        <v>14733</v>
      </c>
      <c r="BN817" s="2" t="n">
        <v>21340356</v>
      </c>
      <c r="BO817" s="2" t="s">
        <v>2178</v>
      </c>
      <c r="BP817" s="2"/>
      <c r="BQ817" s="2"/>
      <c r="BR817" s="2" t="s">
        <v>104</v>
      </c>
      <c r="BS817" s="2" t="s">
        <v>14734</v>
      </c>
      <c r="BT817" s="2" t="str">
        <f aca="false">HYPERLINK("https%3A%2F%2Fwww.webofscience.com%2Fwos%2Fwoscc%2Ffull-record%2FWOS:000287712000009","View Full Record in Web of Science")</f>
        <v>View Full Record in Web of Science</v>
      </c>
    </row>
    <row r="818" customFormat="false" ht="12.75" hidden="false" customHeight="false" outlineLevel="0" collapsed="false">
      <c r="A818" s="2" t="s">
        <v>72</v>
      </c>
      <c r="B818" s="2" t="s">
        <v>14735</v>
      </c>
      <c r="C818" s="2"/>
      <c r="D818" s="2"/>
      <c r="E818" s="2"/>
      <c r="F818" s="2" t="s">
        <v>14736</v>
      </c>
      <c r="G818" s="2"/>
      <c r="H818" s="2"/>
      <c r="I818" s="2" t="s">
        <v>14737</v>
      </c>
      <c r="J818" s="2" t="s">
        <v>141</v>
      </c>
      <c r="K818" s="2"/>
      <c r="L818" s="2"/>
      <c r="M818" s="2" t="s">
        <v>77</v>
      </c>
      <c r="N818" s="2" t="s">
        <v>78</v>
      </c>
      <c r="O818" s="2"/>
      <c r="P818" s="2"/>
      <c r="Q818" s="2"/>
      <c r="R818" s="2"/>
      <c r="S818" s="2"/>
      <c r="T818" s="2" t="s">
        <v>14738</v>
      </c>
      <c r="U818" s="2" t="s">
        <v>14739</v>
      </c>
      <c r="V818" s="2" t="s">
        <v>14740</v>
      </c>
      <c r="W818" s="2" t="s">
        <v>14741</v>
      </c>
      <c r="X818" s="2" t="s">
        <v>10331</v>
      </c>
      <c r="Y818" s="2" t="s">
        <v>14742</v>
      </c>
      <c r="Z818" s="2"/>
      <c r="AA818" s="2" t="s">
        <v>14743</v>
      </c>
      <c r="AB818" s="2" t="s">
        <v>14744</v>
      </c>
      <c r="AC818" s="2" t="s">
        <v>14745</v>
      </c>
      <c r="AD818" s="2" t="s">
        <v>14746</v>
      </c>
      <c r="AE818" s="2" t="s">
        <v>14747</v>
      </c>
      <c r="AF818" s="2"/>
      <c r="AG818" s="2" t="n">
        <v>34</v>
      </c>
      <c r="AH818" s="2" t="n">
        <v>9</v>
      </c>
      <c r="AI818" s="2" t="n">
        <v>14</v>
      </c>
      <c r="AJ818" s="2" t="n">
        <v>0</v>
      </c>
      <c r="AK818" s="2" t="n">
        <v>4</v>
      </c>
      <c r="AL818" s="2" t="s">
        <v>154</v>
      </c>
      <c r="AM818" s="2" t="s">
        <v>155</v>
      </c>
      <c r="AN818" s="2" t="s">
        <v>156</v>
      </c>
      <c r="AO818" s="2" t="s">
        <v>157</v>
      </c>
      <c r="AP818" s="2" t="s">
        <v>158</v>
      </c>
      <c r="AQ818" s="2"/>
      <c r="AR818" s="2" t="s">
        <v>159</v>
      </c>
      <c r="AS818" s="2" t="s">
        <v>160</v>
      </c>
      <c r="AT818" s="2" t="s">
        <v>486</v>
      </c>
      <c r="AU818" s="2" t="n">
        <v>2010</v>
      </c>
      <c r="AV818" s="2" t="n">
        <v>82</v>
      </c>
      <c r="AW818" s="2" t="n">
        <v>6</v>
      </c>
      <c r="AX818" s="2"/>
      <c r="AY818" s="2"/>
      <c r="AZ818" s="2"/>
      <c r="BA818" s="2"/>
      <c r="BB818" s="2" t="n">
        <v>1071</v>
      </c>
      <c r="BC818" s="2" t="n">
        <v>1074</v>
      </c>
      <c r="BD818" s="2"/>
      <c r="BE818" s="2" t="s">
        <v>14748</v>
      </c>
      <c r="BF818" s="2" t="str">
        <f aca="false">HYPERLINK("http://dx.doi.org/10.1002/jmv.21763","http://dx.doi.org/10.1002/jmv.21763")</f>
        <v>http://dx.doi.org/10.1002/jmv.21763</v>
      </c>
      <c r="BG818" s="2"/>
      <c r="BH818" s="2"/>
      <c r="BI818" s="2" t="n">
        <v>4</v>
      </c>
      <c r="BJ818" s="2" t="s">
        <v>163</v>
      </c>
      <c r="BK818" s="2" t="s">
        <v>100</v>
      </c>
      <c r="BL818" s="2" t="s">
        <v>163</v>
      </c>
      <c r="BM818" s="2" t="s">
        <v>14749</v>
      </c>
      <c r="BN818" s="2" t="n">
        <v>20419824</v>
      </c>
      <c r="BO818" s="2" t="s">
        <v>165</v>
      </c>
      <c r="BP818" s="2"/>
      <c r="BQ818" s="2"/>
      <c r="BR818" s="2" t="s">
        <v>104</v>
      </c>
      <c r="BS818" s="2" t="s">
        <v>14750</v>
      </c>
      <c r="BT818" s="2" t="str">
        <f aca="false">HYPERLINK("https%3A%2F%2Fwww.webofscience.com%2Fwos%2Fwoscc%2Ffull-record%2FWOS:000276981700022","View Full Record in Web of Science")</f>
        <v>View Full Record in Web of Science</v>
      </c>
    </row>
    <row r="819" customFormat="false" ht="12.75" hidden="false" customHeight="false" outlineLevel="0" collapsed="false">
      <c r="A819" s="2" t="s">
        <v>72</v>
      </c>
      <c r="B819" s="2" t="s">
        <v>14751</v>
      </c>
      <c r="C819" s="2"/>
      <c r="D819" s="2"/>
      <c r="E819" s="2"/>
      <c r="F819" s="2" t="s">
        <v>14752</v>
      </c>
      <c r="G819" s="2"/>
      <c r="H819" s="2"/>
      <c r="I819" s="2" t="s">
        <v>14753</v>
      </c>
      <c r="J819" s="2" t="s">
        <v>7060</v>
      </c>
      <c r="K819" s="2"/>
      <c r="L819" s="2"/>
      <c r="M819" s="2" t="s">
        <v>77</v>
      </c>
      <c r="N819" s="2" t="s">
        <v>78</v>
      </c>
      <c r="O819" s="2"/>
      <c r="P819" s="2"/>
      <c r="Q819" s="2"/>
      <c r="R819" s="2"/>
      <c r="S819" s="2"/>
      <c r="T819" s="2" t="s">
        <v>14754</v>
      </c>
      <c r="U819" s="2" t="s">
        <v>14755</v>
      </c>
      <c r="V819" s="2" t="s">
        <v>14756</v>
      </c>
      <c r="W819" s="2" t="s">
        <v>14757</v>
      </c>
      <c r="X819" s="2" t="s">
        <v>14758</v>
      </c>
      <c r="Y819" s="2" t="s">
        <v>14759</v>
      </c>
      <c r="Z819" s="2" t="s">
        <v>14760</v>
      </c>
      <c r="AA819" s="2"/>
      <c r="AB819" s="2"/>
      <c r="AC819" s="2" t="s">
        <v>14761</v>
      </c>
      <c r="AD819" s="2" t="s">
        <v>2416</v>
      </c>
      <c r="AE819" s="2"/>
      <c r="AF819" s="2"/>
      <c r="AG819" s="2" t="n">
        <v>35</v>
      </c>
      <c r="AH819" s="2" t="n">
        <v>40</v>
      </c>
      <c r="AI819" s="2" t="n">
        <v>41</v>
      </c>
      <c r="AJ819" s="2" t="n">
        <v>0</v>
      </c>
      <c r="AK819" s="2" t="n">
        <v>2</v>
      </c>
      <c r="AL819" s="2" t="s">
        <v>7073</v>
      </c>
      <c r="AM819" s="2" t="s">
        <v>7074</v>
      </c>
      <c r="AN819" s="2" t="s">
        <v>7075</v>
      </c>
      <c r="AO819" s="2" t="s">
        <v>7076</v>
      </c>
      <c r="AP819" s="2" t="s">
        <v>7291</v>
      </c>
      <c r="AQ819" s="2"/>
      <c r="AR819" s="2" t="s">
        <v>7060</v>
      </c>
      <c r="AS819" s="2" t="s">
        <v>601</v>
      </c>
      <c r="AT819" s="2" t="s">
        <v>97</v>
      </c>
      <c r="AU819" s="2" t="n">
        <v>2008</v>
      </c>
      <c r="AV819" s="2" t="n">
        <v>121</v>
      </c>
      <c r="AW819" s="2" t="n">
        <v>3</v>
      </c>
      <c r="AX819" s="2"/>
      <c r="AY819" s="2"/>
      <c r="AZ819" s="2"/>
      <c r="BA819" s="2"/>
      <c r="BB819" s="2" t="s">
        <v>14762</v>
      </c>
      <c r="BC819" s="2" t="s">
        <v>14763</v>
      </c>
      <c r="BD819" s="2"/>
      <c r="BE819" s="2" t="s">
        <v>14764</v>
      </c>
      <c r="BF819" s="2" t="str">
        <f aca="false">HYPERLINK("http://dx.doi.org/10.1542/peds.2006-3073","http://dx.doi.org/10.1542/peds.2006-3073")</f>
        <v>http://dx.doi.org/10.1542/peds.2006-3073</v>
      </c>
      <c r="BG819" s="2"/>
      <c r="BH819" s="2"/>
      <c r="BI819" s="2" t="n">
        <v>7</v>
      </c>
      <c r="BJ819" s="2" t="s">
        <v>601</v>
      </c>
      <c r="BK819" s="2" t="s">
        <v>100</v>
      </c>
      <c r="BL819" s="2" t="s">
        <v>601</v>
      </c>
      <c r="BM819" s="2" t="s">
        <v>14765</v>
      </c>
      <c r="BN819" s="2" t="n">
        <v>18310182</v>
      </c>
      <c r="BO819" s="2"/>
      <c r="BP819" s="2"/>
      <c r="BQ819" s="2"/>
      <c r="BR819" s="2" t="s">
        <v>104</v>
      </c>
      <c r="BS819" s="2" t="s">
        <v>14766</v>
      </c>
      <c r="BT819" s="2" t="str">
        <f aca="false">HYPERLINK("https%3A%2F%2Fwww.webofscience.com%2Fwos%2Fwoscc%2Ffull-record%2FWOS:000253780100071","View Full Record in Web of Science")</f>
        <v>View Full Record in Web of Science</v>
      </c>
    </row>
    <row r="820" customFormat="false" ht="12.75" hidden="false" customHeight="false" outlineLevel="0" collapsed="false">
      <c r="A820" s="2" t="s">
        <v>72</v>
      </c>
      <c r="B820" s="2" t="s">
        <v>14767</v>
      </c>
      <c r="C820" s="2"/>
      <c r="D820" s="2"/>
      <c r="E820" s="2"/>
      <c r="F820" s="2" t="s">
        <v>14768</v>
      </c>
      <c r="G820" s="2"/>
      <c r="H820" s="2"/>
      <c r="I820" s="2" t="s">
        <v>14769</v>
      </c>
      <c r="J820" s="2" t="s">
        <v>12792</v>
      </c>
      <c r="K820" s="2"/>
      <c r="L820" s="2"/>
      <c r="M820" s="2" t="s">
        <v>77</v>
      </c>
      <c r="N820" s="2" t="s">
        <v>78</v>
      </c>
      <c r="O820" s="2"/>
      <c r="P820" s="2"/>
      <c r="Q820" s="2"/>
      <c r="R820" s="2"/>
      <c r="S820" s="2"/>
      <c r="T820" s="2" t="s">
        <v>14770</v>
      </c>
      <c r="U820" s="2" t="s">
        <v>14771</v>
      </c>
      <c r="V820" s="2" t="s">
        <v>14772</v>
      </c>
      <c r="W820" s="2" t="s">
        <v>14773</v>
      </c>
      <c r="X820" s="2" t="s">
        <v>4280</v>
      </c>
      <c r="Y820" s="2" t="s">
        <v>14774</v>
      </c>
      <c r="Z820" s="2" t="s">
        <v>14775</v>
      </c>
      <c r="AA820" s="2" t="s">
        <v>14776</v>
      </c>
      <c r="AB820" s="2"/>
      <c r="AC820" s="2" t="s">
        <v>14777</v>
      </c>
      <c r="AD820" s="2" t="s">
        <v>14778</v>
      </c>
      <c r="AE820" s="2" t="s">
        <v>14779</v>
      </c>
      <c r="AF820" s="2"/>
      <c r="AG820" s="2" t="n">
        <v>23</v>
      </c>
      <c r="AH820" s="2" t="n">
        <v>28</v>
      </c>
      <c r="AI820" s="2" t="n">
        <v>30</v>
      </c>
      <c r="AJ820" s="2" t="n">
        <v>0</v>
      </c>
      <c r="AK820" s="2" t="n">
        <v>3</v>
      </c>
      <c r="AL820" s="2" t="s">
        <v>12800</v>
      </c>
      <c r="AM820" s="2" t="s">
        <v>303</v>
      </c>
      <c r="AN820" s="2" t="s">
        <v>12801</v>
      </c>
      <c r="AO820" s="2" t="s">
        <v>12802</v>
      </c>
      <c r="AP820" s="2" t="s">
        <v>14780</v>
      </c>
      <c r="AQ820" s="2"/>
      <c r="AR820" s="2" t="s">
        <v>12803</v>
      </c>
      <c r="AS820" s="2" t="s">
        <v>12804</v>
      </c>
      <c r="AT820" s="2" t="s">
        <v>185</v>
      </c>
      <c r="AU820" s="2" t="n">
        <v>2008</v>
      </c>
      <c r="AV820" s="2" t="n">
        <v>42</v>
      </c>
      <c r="AW820" s="2" t="n">
        <v>4</v>
      </c>
      <c r="AX820" s="2"/>
      <c r="AY820" s="2"/>
      <c r="AZ820" s="2"/>
      <c r="BA820" s="2"/>
      <c r="BB820" s="2" t="n">
        <v>265</v>
      </c>
      <c r="BC820" s="2" t="n">
        <v>269</v>
      </c>
      <c r="BD820" s="2"/>
      <c r="BE820" s="2" t="s">
        <v>14781</v>
      </c>
      <c r="BF820" s="2" t="str">
        <f aca="false">HYPERLINK("http://dx.doi.org/10.1038/bmt.2008.153","http://dx.doi.org/10.1038/bmt.2008.153")</f>
        <v>http://dx.doi.org/10.1038/bmt.2008.153</v>
      </c>
      <c r="BG820" s="2"/>
      <c r="BH820" s="2"/>
      <c r="BI820" s="2" t="n">
        <v>5</v>
      </c>
      <c r="BJ820" s="2" t="s">
        <v>12806</v>
      </c>
      <c r="BK820" s="2" t="s">
        <v>100</v>
      </c>
      <c r="BL820" s="2" t="s">
        <v>12806</v>
      </c>
      <c r="BM820" s="2" t="s">
        <v>14782</v>
      </c>
      <c r="BN820" s="2" t="n">
        <v>18516078</v>
      </c>
      <c r="BO820" s="2"/>
      <c r="BP820" s="2"/>
      <c r="BQ820" s="2"/>
      <c r="BR820" s="2" t="s">
        <v>104</v>
      </c>
      <c r="BS820" s="2" t="s">
        <v>14783</v>
      </c>
      <c r="BT820" s="2" t="str">
        <f aca="false">HYPERLINK("https%3A%2F%2Fwww.webofscience.com%2Fwos%2Fwoscc%2Ffull-record%2FWOS:000258716300006","View Full Record in Web of Science")</f>
        <v>View Full Record in Web of Science</v>
      </c>
    </row>
    <row r="821" customFormat="false" ht="12.75" hidden="false" customHeight="false" outlineLevel="0" collapsed="false">
      <c r="A821" s="2" t="s">
        <v>72</v>
      </c>
      <c r="B821" s="2" t="s">
        <v>14784</v>
      </c>
      <c r="C821" s="2"/>
      <c r="D821" s="2"/>
      <c r="E821" s="2"/>
      <c r="F821" s="2" t="s">
        <v>14785</v>
      </c>
      <c r="G821" s="2"/>
      <c r="H821" s="2"/>
      <c r="I821" s="2" t="s">
        <v>14786</v>
      </c>
      <c r="J821" s="2" t="s">
        <v>141</v>
      </c>
      <c r="K821" s="2"/>
      <c r="L821" s="2"/>
      <c r="M821" s="2" t="s">
        <v>77</v>
      </c>
      <c r="N821" s="2" t="s">
        <v>78</v>
      </c>
      <c r="O821" s="2"/>
      <c r="P821" s="2"/>
      <c r="Q821" s="2"/>
      <c r="R821" s="2"/>
      <c r="S821" s="2"/>
      <c r="T821" s="2" t="s">
        <v>14787</v>
      </c>
      <c r="U821" s="2" t="s">
        <v>14788</v>
      </c>
      <c r="V821" s="2" t="s">
        <v>14789</v>
      </c>
      <c r="W821" s="2" t="s">
        <v>14790</v>
      </c>
      <c r="X821" s="2" t="s">
        <v>14791</v>
      </c>
      <c r="Y821" s="2" t="s">
        <v>14792</v>
      </c>
      <c r="Z821" s="2" t="s">
        <v>14793</v>
      </c>
      <c r="AA821" s="2" t="s">
        <v>14794</v>
      </c>
      <c r="AB821" s="2" t="s">
        <v>14795</v>
      </c>
      <c r="AC821" s="2"/>
      <c r="AD821" s="2"/>
      <c r="AE821" s="2"/>
      <c r="AF821" s="2"/>
      <c r="AG821" s="2" t="n">
        <v>56</v>
      </c>
      <c r="AH821" s="2" t="n">
        <v>17</v>
      </c>
      <c r="AI821" s="2" t="n">
        <v>20</v>
      </c>
      <c r="AJ821" s="2" t="n">
        <v>0</v>
      </c>
      <c r="AK821" s="2" t="n">
        <v>7</v>
      </c>
      <c r="AL821" s="2" t="s">
        <v>154</v>
      </c>
      <c r="AM821" s="2" t="s">
        <v>155</v>
      </c>
      <c r="AN821" s="2" t="s">
        <v>156</v>
      </c>
      <c r="AO821" s="2" t="s">
        <v>157</v>
      </c>
      <c r="AP821" s="2" t="s">
        <v>158</v>
      </c>
      <c r="AQ821" s="2"/>
      <c r="AR821" s="2" t="s">
        <v>159</v>
      </c>
      <c r="AS821" s="2" t="s">
        <v>160</v>
      </c>
      <c r="AT821" s="2" t="s">
        <v>185</v>
      </c>
      <c r="AU821" s="2" t="n">
        <v>2008</v>
      </c>
      <c r="AV821" s="2" t="n">
        <v>80</v>
      </c>
      <c r="AW821" s="2" t="n">
        <v>8</v>
      </c>
      <c r="AX821" s="2"/>
      <c r="AY821" s="2"/>
      <c r="AZ821" s="2"/>
      <c r="BA821" s="2"/>
      <c r="BB821" s="2" t="n">
        <v>1452</v>
      </c>
      <c r="BC821" s="2" t="n">
        <v>1460</v>
      </c>
      <c r="BD821" s="2"/>
      <c r="BE821" s="2" t="s">
        <v>14796</v>
      </c>
      <c r="BF821" s="2" t="str">
        <f aca="false">HYPERLINK("http://dx.doi.org/10.1002/jmv.21209","http://dx.doi.org/10.1002/jmv.21209")</f>
        <v>http://dx.doi.org/10.1002/jmv.21209</v>
      </c>
      <c r="BG821" s="2"/>
      <c r="BH821" s="2"/>
      <c r="BI821" s="2" t="n">
        <v>9</v>
      </c>
      <c r="BJ821" s="2" t="s">
        <v>163</v>
      </c>
      <c r="BK821" s="2" t="s">
        <v>100</v>
      </c>
      <c r="BL821" s="2" t="s">
        <v>163</v>
      </c>
      <c r="BM821" s="2" t="s">
        <v>14797</v>
      </c>
      <c r="BN821" s="2" t="n">
        <v>18551601</v>
      </c>
      <c r="BO821" s="2" t="s">
        <v>538</v>
      </c>
      <c r="BP821" s="2"/>
      <c r="BQ821" s="2"/>
      <c r="BR821" s="2" t="s">
        <v>104</v>
      </c>
      <c r="BS821" s="2" t="s">
        <v>14798</v>
      </c>
      <c r="BT821" s="2" t="str">
        <f aca="false">HYPERLINK("https%3A%2F%2Fwww.webofscience.com%2Fwos%2Fwoscc%2Ffull-record%2FWOS:000257170800020","View Full Record in Web of Science")</f>
        <v>View Full Record in Web of Science</v>
      </c>
    </row>
    <row r="822" customFormat="false" ht="12.75" hidden="false" customHeight="false" outlineLevel="0" collapsed="false">
      <c r="A822" s="2" t="s">
        <v>72</v>
      </c>
      <c r="B822" s="2" t="s">
        <v>14799</v>
      </c>
      <c r="C822" s="2"/>
      <c r="D822" s="2"/>
      <c r="E822" s="2"/>
      <c r="F822" s="2" t="s">
        <v>14800</v>
      </c>
      <c r="G822" s="2"/>
      <c r="H822" s="2"/>
      <c r="I822" s="2" t="s">
        <v>14801</v>
      </c>
      <c r="J822" s="2" t="s">
        <v>889</v>
      </c>
      <c r="K822" s="2"/>
      <c r="L822" s="2"/>
      <c r="M822" s="2" t="s">
        <v>77</v>
      </c>
      <c r="N822" s="2" t="s">
        <v>78</v>
      </c>
      <c r="O822" s="2"/>
      <c r="P822" s="2"/>
      <c r="Q822" s="2"/>
      <c r="R822" s="2"/>
      <c r="S822" s="2"/>
      <c r="T822" s="2" t="s">
        <v>14802</v>
      </c>
      <c r="U822" s="2" t="s">
        <v>14803</v>
      </c>
      <c r="V822" s="2" t="s">
        <v>14804</v>
      </c>
      <c r="W822" s="2" t="s">
        <v>14805</v>
      </c>
      <c r="X822" s="2" t="s">
        <v>14806</v>
      </c>
      <c r="Y822" s="2" t="s">
        <v>14807</v>
      </c>
      <c r="Z822" s="2" t="s">
        <v>14808</v>
      </c>
      <c r="AA822" s="2"/>
      <c r="AB822" s="2" t="s">
        <v>14809</v>
      </c>
      <c r="AC822" s="2"/>
      <c r="AD822" s="2"/>
      <c r="AE822" s="2"/>
      <c r="AF822" s="2"/>
      <c r="AG822" s="2" t="n">
        <v>46</v>
      </c>
      <c r="AH822" s="2" t="n">
        <v>11</v>
      </c>
      <c r="AI822" s="2" t="n">
        <v>12</v>
      </c>
      <c r="AJ822" s="2" t="n">
        <v>0</v>
      </c>
      <c r="AK822" s="2" t="n">
        <v>2</v>
      </c>
      <c r="AL822" s="2" t="s">
        <v>5070</v>
      </c>
      <c r="AM822" s="2" t="s">
        <v>5071</v>
      </c>
      <c r="AN822" s="2" t="s">
        <v>5072</v>
      </c>
      <c r="AO822" s="2" t="s">
        <v>5073</v>
      </c>
      <c r="AP822" s="2" t="s">
        <v>5074</v>
      </c>
      <c r="AQ822" s="2"/>
      <c r="AR822" s="2" t="s">
        <v>889</v>
      </c>
      <c r="AS822" s="2" t="s">
        <v>5075</v>
      </c>
      <c r="AT822" s="2" t="s">
        <v>692</v>
      </c>
      <c r="AU822" s="2" t="n">
        <v>2019</v>
      </c>
      <c r="AV822" s="2" t="n">
        <v>47</v>
      </c>
      <c r="AW822" s="2" t="n">
        <v>2</v>
      </c>
      <c r="AX822" s="2"/>
      <c r="AY822" s="2"/>
      <c r="AZ822" s="2"/>
      <c r="BA822" s="2"/>
      <c r="BB822" s="2" t="n">
        <v>201</v>
      </c>
      <c r="BC822" s="2" t="n">
        <v>207</v>
      </c>
      <c r="BD822" s="2"/>
      <c r="BE822" s="2" t="s">
        <v>14810</v>
      </c>
      <c r="BF822" s="2" t="str">
        <f aca="false">HYPERLINK("http://dx.doi.org/10.1007/s15010-018-1194-5","http://dx.doi.org/10.1007/s15010-018-1194-5")</f>
        <v>http://dx.doi.org/10.1007/s15010-018-1194-5</v>
      </c>
      <c r="BG822" s="2"/>
      <c r="BH822" s="2"/>
      <c r="BI822" s="2" t="n">
        <v>7</v>
      </c>
      <c r="BJ822" s="2" t="s">
        <v>575</v>
      </c>
      <c r="BK822" s="2" t="s">
        <v>100</v>
      </c>
      <c r="BL822" s="2" t="s">
        <v>575</v>
      </c>
      <c r="BM822" s="2" t="s">
        <v>14811</v>
      </c>
      <c r="BN822" s="2" t="n">
        <v>30132249</v>
      </c>
      <c r="BO822" s="2" t="s">
        <v>1267</v>
      </c>
      <c r="BP822" s="2"/>
      <c r="BQ822" s="2"/>
      <c r="BR822" s="2" t="s">
        <v>104</v>
      </c>
      <c r="BS822" s="2" t="s">
        <v>14812</v>
      </c>
      <c r="BT822" s="2" t="str">
        <f aca="false">HYPERLINK("https%3A%2F%2Fwww.webofscience.com%2Fwos%2Fwoscc%2Ffull-record%2FWOS:000462946100004","View Full Record in Web of Science")</f>
        <v>View Full Record in Web of Science</v>
      </c>
    </row>
    <row r="823" customFormat="false" ht="12.75" hidden="false" customHeight="false" outlineLevel="0" collapsed="false">
      <c r="A823" s="2" t="s">
        <v>72</v>
      </c>
      <c r="B823" s="2" t="s">
        <v>14813</v>
      </c>
      <c r="C823" s="2"/>
      <c r="D823" s="2"/>
      <c r="E823" s="2"/>
      <c r="F823" s="2" t="s">
        <v>14814</v>
      </c>
      <c r="G823" s="2"/>
      <c r="H823" s="2"/>
      <c r="I823" s="2" t="s">
        <v>14815</v>
      </c>
      <c r="J823" s="2" t="s">
        <v>3719</v>
      </c>
      <c r="K823" s="2"/>
      <c r="L823" s="2"/>
      <c r="M823" s="2" t="s">
        <v>77</v>
      </c>
      <c r="N823" s="2" t="s">
        <v>78</v>
      </c>
      <c r="O823" s="2"/>
      <c r="P823" s="2"/>
      <c r="Q823" s="2"/>
      <c r="R823" s="2"/>
      <c r="S823" s="2"/>
      <c r="T823" s="2" t="s">
        <v>14816</v>
      </c>
      <c r="U823" s="2" t="s">
        <v>14817</v>
      </c>
      <c r="V823" s="2" t="s">
        <v>14818</v>
      </c>
      <c r="W823" s="2" t="s">
        <v>14819</v>
      </c>
      <c r="X823" s="2" t="s">
        <v>14820</v>
      </c>
      <c r="Y823" s="2" t="s">
        <v>14821</v>
      </c>
      <c r="Z823" s="2" t="s">
        <v>14822</v>
      </c>
      <c r="AA823" s="2" t="s">
        <v>14823</v>
      </c>
      <c r="AB823" s="2" t="s">
        <v>14824</v>
      </c>
      <c r="AC823" s="2" t="s">
        <v>14825</v>
      </c>
      <c r="AD823" s="2" t="s">
        <v>14826</v>
      </c>
      <c r="AE823" s="2" t="s">
        <v>14827</v>
      </c>
      <c r="AF823" s="2"/>
      <c r="AG823" s="2" t="n">
        <v>21</v>
      </c>
      <c r="AH823" s="2" t="n">
        <v>15</v>
      </c>
      <c r="AI823" s="2" t="n">
        <v>17</v>
      </c>
      <c r="AJ823" s="2" t="n">
        <v>1</v>
      </c>
      <c r="AK823" s="2" t="n">
        <v>14</v>
      </c>
      <c r="AL823" s="2" t="s">
        <v>3584</v>
      </c>
      <c r="AM823" s="2" t="s">
        <v>303</v>
      </c>
      <c r="AN823" s="2" t="s">
        <v>3585</v>
      </c>
      <c r="AO823" s="2" t="s">
        <v>3732</v>
      </c>
      <c r="AP823" s="2" t="s">
        <v>4677</v>
      </c>
      <c r="AQ823" s="2"/>
      <c r="AR823" s="2" t="s">
        <v>3733</v>
      </c>
      <c r="AS823" s="2" t="s">
        <v>3734</v>
      </c>
      <c r="AT823" s="2" t="s">
        <v>390</v>
      </c>
      <c r="AU823" s="2" t="n">
        <v>2020</v>
      </c>
      <c r="AV823" s="2" t="n">
        <v>80</v>
      </c>
      <c r="AW823" s="2" t="n">
        <v>5</v>
      </c>
      <c r="AX823" s="2"/>
      <c r="AY823" s="2"/>
      <c r="AZ823" s="2"/>
      <c r="BA823" s="2"/>
      <c r="BB823" s="2" t="n">
        <v>571</v>
      </c>
      <c r="BC823" s="2" t="n">
        <v>577</v>
      </c>
      <c r="BD823" s="2"/>
      <c r="BE823" s="2" t="s">
        <v>14828</v>
      </c>
      <c r="BF823" s="2" t="str">
        <f aca="false">HYPERLINK("http://dx.doi.org/10.1016/j.jinf.2020.02.003","http://dx.doi.org/10.1016/j.jinf.2020.02.003")</f>
        <v>http://dx.doi.org/10.1016/j.jinf.2020.02.003</v>
      </c>
      <c r="BG823" s="2"/>
      <c r="BH823" s="2"/>
      <c r="BI823" s="2" t="n">
        <v>7</v>
      </c>
      <c r="BJ823" s="2" t="s">
        <v>575</v>
      </c>
      <c r="BK823" s="2" t="s">
        <v>100</v>
      </c>
      <c r="BL823" s="2" t="s">
        <v>575</v>
      </c>
      <c r="BM823" s="2" t="s">
        <v>14829</v>
      </c>
      <c r="BN823" s="2" t="n">
        <v>32092386</v>
      </c>
      <c r="BO823" s="2" t="s">
        <v>136</v>
      </c>
      <c r="BP823" s="2"/>
      <c r="BQ823" s="2"/>
      <c r="BR823" s="2" t="s">
        <v>104</v>
      </c>
      <c r="BS823" s="2" t="s">
        <v>14830</v>
      </c>
      <c r="BT823" s="2" t="str">
        <f aca="false">HYPERLINK("https%3A%2F%2Fwww.webofscience.com%2Fwos%2Fwoscc%2Ffull-record%2FWOS:000526407300017","View Full Record in Web of Science")</f>
        <v>View Full Record in Web of Science</v>
      </c>
    </row>
    <row r="824" customFormat="false" ht="12.75" hidden="false" customHeight="false" outlineLevel="0" collapsed="false">
      <c r="A824" s="2" t="s">
        <v>72</v>
      </c>
      <c r="B824" s="2" t="s">
        <v>14831</v>
      </c>
      <c r="C824" s="2"/>
      <c r="D824" s="2"/>
      <c r="E824" s="2"/>
      <c r="F824" s="2" t="s">
        <v>14832</v>
      </c>
      <c r="G824" s="2"/>
      <c r="H824" s="2"/>
      <c r="I824" s="2" t="s">
        <v>14833</v>
      </c>
      <c r="J824" s="2" t="s">
        <v>1048</v>
      </c>
      <c r="K824" s="2"/>
      <c r="L824" s="2"/>
      <c r="M824" s="2" t="s">
        <v>77</v>
      </c>
      <c r="N824" s="2" t="s">
        <v>78</v>
      </c>
      <c r="O824" s="2"/>
      <c r="P824" s="2"/>
      <c r="Q824" s="2"/>
      <c r="R824" s="2"/>
      <c r="S824" s="2"/>
      <c r="T824" s="2" t="s">
        <v>14834</v>
      </c>
      <c r="U824" s="2" t="s">
        <v>14835</v>
      </c>
      <c r="V824" s="2" t="s">
        <v>14836</v>
      </c>
      <c r="W824" s="2" t="s">
        <v>14837</v>
      </c>
      <c r="X824" s="2" t="s">
        <v>14838</v>
      </c>
      <c r="Y824" s="2" t="s">
        <v>14839</v>
      </c>
      <c r="Z824" s="2" t="s">
        <v>14840</v>
      </c>
      <c r="AA824" s="2" t="s">
        <v>14841</v>
      </c>
      <c r="AB824" s="2" t="s">
        <v>14842</v>
      </c>
      <c r="AC824" s="2" t="s">
        <v>14843</v>
      </c>
      <c r="AD824" s="2" t="s">
        <v>14844</v>
      </c>
      <c r="AE824" s="2" t="s">
        <v>14845</v>
      </c>
      <c r="AF824" s="2"/>
      <c r="AG824" s="2" t="n">
        <v>39</v>
      </c>
      <c r="AH824" s="2" t="n">
        <v>21</v>
      </c>
      <c r="AI824" s="2" t="n">
        <v>22</v>
      </c>
      <c r="AJ824" s="2" t="n">
        <v>0</v>
      </c>
      <c r="AK824" s="2" t="n">
        <v>4</v>
      </c>
      <c r="AL824" s="2" t="s">
        <v>91</v>
      </c>
      <c r="AM824" s="2" t="s">
        <v>92</v>
      </c>
      <c r="AN824" s="2" t="s">
        <v>93</v>
      </c>
      <c r="AO824" s="2"/>
      <c r="AP824" s="2" t="s">
        <v>1061</v>
      </c>
      <c r="AQ824" s="2"/>
      <c r="AR824" s="2" t="s">
        <v>1048</v>
      </c>
      <c r="AS824" s="2" t="s">
        <v>1062</v>
      </c>
      <c r="AT824" s="2" t="s">
        <v>129</v>
      </c>
      <c r="AU824" s="2" t="n">
        <v>2020</v>
      </c>
      <c r="AV824" s="2" t="n">
        <v>8</v>
      </c>
      <c r="AW824" s="2" t="n">
        <v>9</v>
      </c>
      <c r="AX824" s="2"/>
      <c r="AY824" s="2"/>
      <c r="AZ824" s="2"/>
      <c r="BA824" s="2"/>
      <c r="BB824" s="2"/>
      <c r="BC824" s="2"/>
      <c r="BD824" s="2" t="n">
        <v>1280</v>
      </c>
      <c r="BE824" s="2" t="s">
        <v>14846</v>
      </c>
      <c r="BF824" s="2" t="str">
        <f aca="false">HYPERLINK("http://dx.doi.org/10.3390/microorganisms8091280","http://dx.doi.org/10.3390/microorganisms8091280")</f>
        <v>http://dx.doi.org/10.3390/microorganisms8091280</v>
      </c>
      <c r="BG824" s="2"/>
      <c r="BH824" s="2"/>
      <c r="BI824" s="2" t="n">
        <v>14</v>
      </c>
      <c r="BJ824" s="2" t="s">
        <v>211</v>
      </c>
      <c r="BK824" s="2" t="s">
        <v>100</v>
      </c>
      <c r="BL824" s="2" t="s">
        <v>211</v>
      </c>
      <c r="BM824" s="2" t="s">
        <v>14847</v>
      </c>
      <c r="BN824" s="2" t="n">
        <v>32839394</v>
      </c>
      <c r="BO824" s="2" t="s">
        <v>103</v>
      </c>
      <c r="BP824" s="2"/>
      <c r="BQ824" s="2"/>
      <c r="BR824" s="2" t="s">
        <v>104</v>
      </c>
      <c r="BS824" s="2" t="s">
        <v>14848</v>
      </c>
      <c r="BT824" s="2" t="str">
        <f aca="false">HYPERLINK("https%3A%2F%2Fwww.webofscience.com%2Fwos%2Fwoscc%2Ffull-record%2FWOS:000580084800001","View Full Record in Web of Science")</f>
        <v>View Full Record in Web of Science</v>
      </c>
    </row>
    <row r="825" customFormat="false" ht="12.75" hidden="false" customHeight="false" outlineLevel="0" collapsed="false">
      <c r="A825" s="2" t="s">
        <v>72</v>
      </c>
      <c r="B825" s="2" t="s">
        <v>14849</v>
      </c>
      <c r="C825" s="2"/>
      <c r="D825" s="2"/>
      <c r="E825" s="2"/>
      <c r="F825" s="2" t="s">
        <v>14850</v>
      </c>
      <c r="G825" s="2"/>
      <c r="H825" s="2"/>
      <c r="I825" s="2" t="s">
        <v>14851</v>
      </c>
      <c r="J825" s="2" t="s">
        <v>493</v>
      </c>
      <c r="K825" s="2"/>
      <c r="L825" s="2"/>
      <c r="M825" s="2" t="s">
        <v>77</v>
      </c>
      <c r="N825" s="2" t="s">
        <v>78</v>
      </c>
      <c r="O825" s="2"/>
      <c r="P825" s="2"/>
      <c r="Q825" s="2"/>
      <c r="R825" s="2"/>
      <c r="S825" s="2"/>
      <c r="T825" s="2" t="s">
        <v>14852</v>
      </c>
      <c r="U825" s="2" t="s">
        <v>14853</v>
      </c>
      <c r="V825" s="2" t="s">
        <v>14854</v>
      </c>
      <c r="W825" s="2" t="s">
        <v>14855</v>
      </c>
      <c r="X825" s="2" t="s">
        <v>14856</v>
      </c>
      <c r="Y825" s="2" t="s">
        <v>14857</v>
      </c>
      <c r="Z825" s="2" t="s">
        <v>14858</v>
      </c>
      <c r="AA825" s="2" t="s">
        <v>14859</v>
      </c>
      <c r="AB825" s="2" t="s">
        <v>14860</v>
      </c>
      <c r="AC825" s="2" t="s">
        <v>14861</v>
      </c>
      <c r="AD825" s="2" t="s">
        <v>14862</v>
      </c>
      <c r="AE825" s="2" t="s">
        <v>14863</v>
      </c>
      <c r="AF825" s="2"/>
      <c r="AG825" s="2" t="n">
        <v>46</v>
      </c>
      <c r="AH825" s="2" t="n">
        <v>11</v>
      </c>
      <c r="AI825" s="2" t="n">
        <v>15</v>
      </c>
      <c r="AJ825" s="2" t="n">
        <v>0</v>
      </c>
      <c r="AK825" s="2" t="n">
        <v>0</v>
      </c>
      <c r="AL825" s="2" t="s">
        <v>91</v>
      </c>
      <c r="AM825" s="2" t="s">
        <v>92</v>
      </c>
      <c r="AN825" s="2" t="s">
        <v>93</v>
      </c>
      <c r="AO825" s="2" t="s">
        <v>506</v>
      </c>
      <c r="AP825" s="2"/>
      <c r="AQ825" s="2"/>
      <c r="AR825" s="2" t="s">
        <v>493</v>
      </c>
      <c r="AS825" s="2" t="s">
        <v>507</v>
      </c>
      <c r="AT825" s="2" t="s">
        <v>336</v>
      </c>
      <c r="AU825" s="2" t="n">
        <v>2017</v>
      </c>
      <c r="AV825" s="2" t="n">
        <v>9</v>
      </c>
      <c r="AW825" s="2" t="n">
        <v>10</v>
      </c>
      <c r="AX825" s="2"/>
      <c r="AY825" s="2"/>
      <c r="AZ825" s="2"/>
      <c r="BA825" s="2"/>
      <c r="BB825" s="2"/>
      <c r="BC825" s="2"/>
      <c r="BD825" s="2" t="n">
        <v>310</v>
      </c>
      <c r="BE825" s="2" t="s">
        <v>14864</v>
      </c>
      <c r="BF825" s="2" t="str">
        <f aca="false">HYPERLINK("http://dx.doi.org/10.3390/v9100310","http://dx.doi.org/10.3390/v9100310")</f>
        <v>http://dx.doi.org/10.3390/v9100310</v>
      </c>
      <c r="BG825" s="2"/>
      <c r="BH825" s="2"/>
      <c r="BI825" s="2" t="n">
        <v>9</v>
      </c>
      <c r="BJ825" s="2" t="s">
        <v>163</v>
      </c>
      <c r="BK825" s="2" t="s">
        <v>100</v>
      </c>
      <c r="BL825" s="2" t="s">
        <v>163</v>
      </c>
      <c r="BM825" s="2" t="s">
        <v>14865</v>
      </c>
      <c r="BN825" s="2" t="n">
        <v>29065494</v>
      </c>
      <c r="BO825" s="2" t="s">
        <v>6349</v>
      </c>
      <c r="BP825" s="2"/>
      <c r="BQ825" s="2"/>
      <c r="BR825" s="2" t="s">
        <v>104</v>
      </c>
      <c r="BS825" s="2" t="s">
        <v>14866</v>
      </c>
      <c r="BT825" s="2" t="str">
        <f aca="false">HYPERLINK("https%3A%2F%2Fwww.webofscience.com%2Fwos%2Fwoscc%2Ffull-record%2FWOS:000414617500047","View Full Record in Web of Science")</f>
        <v>View Full Record in Web of Science</v>
      </c>
    </row>
    <row r="826" customFormat="false" ht="12.75" hidden="false" customHeight="false" outlineLevel="0" collapsed="false">
      <c r="A826" s="2" t="s">
        <v>72</v>
      </c>
      <c r="B826" s="2" t="s">
        <v>14867</v>
      </c>
      <c r="C826" s="2"/>
      <c r="D826" s="2"/>
      <c r="E826" s="2"/>
      <c r="F826" s="2" t="s">
        <v>14868</v>
      </c>
      <c r="G826" s="2"/>
      <c r="H826" s="2"/>
      <c r="I826" s="2" t="s">
        <v>14869</v>
      </c>
      <c r="J826" s="2" t="s">
        <v>12384</v>
      </c>
      <c r="K826" s="2"/>
      <c r="L826" s="2"/>
      <c r="M826" s="2" t="s">
        <v>77</v>
      </c>
      <c r="N826" s="2" t="s">
        <v>78</v>
      </c>
      <c r="O826" s="2"/>
      <c r="P826" s="2"/>
      <c r="Q826" s="2"/>
      <c r="R826" s="2"/>
      <c r="S826" s="2"/>
      <c r="T826" s="2" t="s">
        <v>14870</v>
      </c>
      <c r="U826" s="2" t="s">
        <v>14871</v>
      </c>
      <c r="V826" s="2" t="s">
        <v>14872</v>
      </c>
      <c r="W826" s="2" t="s">
        <v>14873</v>
      </c>
      <c r="X826" s="2" t="s">
        <v>14874</v>
      </c>
      <c r="Y826" s="2" t="s">
        <v>14875</v>
      </c>
      <c r="Z826" s="2" t="s">
        <v>8990</v>
      </c>
      <c r="AA826" s="2" t="s">
        <v>14876</v>
      </c>
      <c r="AB826" s="2" t="s">
        <v>14877</v>
      </c>
      <c r="AC826" s="2" t="s">
        <v>14878</v>
      </c>
      <c r="AD826" s="2" t="s">
        <v>14878</v>
      </c>
      <c r="AE826" s="2" t="s">
        <v>14879</v>
      </c>
      <c r="AF826" s="2"/>
      <c r="AG826" s="2" t="n">
        <v>75</v>
      </c>
      <c r="AH826" s="2" t="n">
        <v>37</v>
      </c>
      <c r="AI826" s="2" t="n">
        <v>39</v>
      </c>
      <c r="AJ826" s="2" t="n">
        <v>1</v>
      </c>
      <c r="AK826" s="2" t="n">
        <v>3</v>
      </c>
      <c r="AL826" s="2" t="s">
        <v>383</v>
      </c>
      <c r="AM826" s="2" t="s">
        <v>384</v>
      </c>
      <c r="AN826" s="2" t="s">
        <v>385</v>
      </c>
      <c r="AO826" s="2" t="s">
        <v>12396</v>
      </c>
      <c r="AP826" s="2" t="s">
        <v>12397</v>
      </c>
      <c r="AQ826" s="2"/>
      <c r="AR826" s="2" t="s">
        <v>12398</v>
      </c>
      <c r="AS826" s="2" t="s">
        <v>12399</v>
      </c>
      <c r="AT826" s="2" t="s">
        <v>692</v>
      </c>
      <c r="AU826" s="2" t="n">
        <v>2013</v>
      </c>
      <c r="AV826" s="2" t="n">
        <v>15</v>
      </c>
      <c r="AW826" s="2"/>
      <c r="AX826" s="2"/>
      <c r="AY826" s="2"/>
      <c r="AZ826" s="2"/>
      <c r="BA826" s="2"/>
      <c r="BB826" s="2" t="n">
        <v>43</v>
      </c>
      <c r="BC826" s="2" t="n">
        <v>52</v>
      </c>
      <c r="BD826" s="2"/>
      <c r="BE826" s="2" t="s">
        <v>14880</v>
      </c>
      <c r="BF826" s="2" t="str">
        <f aca="false">HYPERLINK("http://dx.doi.org/10.1016/j.meegid.2011.01.016","http://dx.doi.org/10.1016/j.meegid.2011.01.016")</f>
        <v>http://dx.doi.org/10.1016/j.meegid.2011.01.016</v>
      </c>
      <c r="BG826" s="2"/>
      <c r="BH826" s="2"/>
      <c r="BI826" s="2" t="n">
        <v>10</v>
      </c>
      <c r="BJ826" s="2" t="s">
        <v>575</v>
      </c>
      <c r="BK826" s="2" t="s">
        <v>100</v>
      </c>
      <c r="BL826" s="2" t="s">
        <v>575</v>
      </c>
      <c r="BM826" s="2" t="s">
        <v>14881</v>
      </c>
      <c r="BN826" s="2" t="n">
        <v>21292032</v>
      </c>
      <c r="BO826" s="2" t="s">
        <v>1089</v>
      </c>
      <c r="BP826" s="2"/>
      <c r="BQ826" s="2"/>
      <c r="BR826" s="2" t="s">
        <v>104</v>
      </c>
      <c r="BS826" s="2" t="s">
        <v>14882</v>
      </c>
      <c r="BT826" s="2" t="str">
        <f aca="false">HYPERLINK("https%3A%2F%2Fwww.webofscience.com%2Fwos%2Fwoscc%2Ffull-record%2FWOS:000320750200008","View Full Record in Web of Science")</f>
        <v>View Full Record in Web of Science</v>
      </c>
    </row>
    <row r="827" customFormat="false" ht="12.75" hidden="false" customHeight="false" outlineLevel="0" collapsed="false">
      <c r="A827" s="2" t="s">
        <v>72</v>
      </c>
      <c r="B827" s="2" t="s">
        <v>14883</v>
      </c>
      <c r="C827" s="2"/>
      <c r="D827" s="2"/>
      <c r="E827" s="2"/>
      <c r="F827" s="2" t="s">
        <v>14884</v>
      </c>
      <c r="G827" s="2"/>
      <c r="H827" s="2"/>
      <c r="I827" s="2" t="s">
        <v>14885</v>
      </c>
      <c r="J827" s="2" t="s">
        <v>5575</v>
      </c>
      <c r="K827" s="2"/>
      <c r="L827" s="2"/>
      <c r="M827" s="2" t="s">
        <v>77</v>
      </c>
      <c r="N827" s="2" t="s">
        <v>78</v>
      </c>
      <c r="O827" s="2"/>
      <c r="P827" s="2"/>
      <c r="Q827" s="2"/>
      <c r="R827" s="2"/>
      <c r="S827" s="2"/>
      <c r="T827" s="2" t="s">
        <v>14886</v>
      </c>
      <c r="U827" s="2" t="s">
        <v>14887</v>
      </c>
      <c r="V827" s="2" t="s">
        <v>14888</v>
      </c>
      <c r="W827" s="2" t="s">
        <v>14889</v>
      </c>
      <c r="X827" s="2" t="s">
        <v>14890</v>
      </c>
      <c r="Y827" s="2" t="s">
        <v>14891</v>
      </c>
      <c r="Z827" s="2" t="s">
        <v>14892</v>
      </c>
      <c r="AA827" s="2" t="s">
        <v>14893</v>
      </c>
      <c r="AB827" s="2" t="s">
        <v>14894</v>
      </c>
      <c r="AC827" s="2" t="s">
        <v>14895</v>
      </c>
      <c r="AD827" s="2" t="s">
        <v>14896</v>
      </c>
      <c r="AE827" s="2" t="s">
        <v>14897</v>
      </c>
      <c r="AF827" s="2"/>
      <c r="AG827" s="2" t="n">
        <v>39</v>
      </c>
      <c r="AH827" s="2" t="n">
        <v>3</v>
      </c>
      <c r="AI827" s="2" t="n">
        <v>4</v>
      </c>
      <c r="AJ827" s="2" t="n">
        <v>1</v>
      </c>
      <c r="AK827" s="2" t="n">
        <v>8</v>
      </c>
      <c r="AL827" s="2" t="s">
        <v>5588</v>
      </c>
      <c r="AM827" s="2" t="s">
        <v>5589</v>
      </c>
      <c r="AN827" s="2" t="s">
        <v>5590</v>
      </c>
      <c r="AO827" s="2" t="s">
        <v>5591</v>
      </c>
      <c r="AP827" s="2"/>
      <c r="AQ827" s="2"/>
      <c r="AR827" s="2" t="s">
        <v>5575</v>
      </c>
      <c r="AS827" s="2" t="s">
        <v>163</v>
      </c>
      <c r="AT827" s="2" t="s">
        <v>390</v>
      </c>
      <c r="AU827" s="2" t="n">
        <v>2019</v>
      </c>
      <c r="AV827" s="2" t="n">
        <v>531</v>
      </c>
      <c r="AW827" s="2"/>
      <c r="AX827" s="2"/>
      <c r="AY827" s="2"/>
      <c r="AZ827" s="2"/>
      <c r="BA827" s="2"/>
      <c r="BB827" s="2" t="n">
        <v>248</v>
      </c>
      <c r="BC827" s="2" t="n">
        <v>254</v>
      </c>
      <c r="BD827" s="2"/>
      <c r="BE827" s="2" t="s">
        <v>14898</v>
      </c>
      <c r="BF827" s="2" t="str">
        <f aca="false">HYPERLINK("http://dx.doi.org/10.1016/j.virol.2019.03.003","http://dx.doi.org/10.1016/j.virol.2019.03.003")</f>
        <v>http://dx.doi.org/10.1016/j.virol.2019.03.003</v>
      </c>
      <c r="BG827" s="2"/>
      <c r="BH827" s="2"/>
      <c r="BI827" s="2" t="n">
        <v>7</v>
      </c>
      <c r="BJ827" s="2" t="s">
        <v>163</v>
      </c>
      <c r="BK827" s="2" t="s">
        <v>100</v>
      </c>
      <c r="BL827" s="2" t="s">
        <v>163</v>
      </c>
      <c r="BM827" s="2" t="s">
        <v>14119</v>
      </c>
      <c r="BN827" s="2" t="n">
        <v>30946995</v>
      </c>
      <c r="BO827" s="2" t="s">
        <v>695</v>
      </c>
      <c r="BP827" s="2"/>
      <c r="BQ827" s="2"/>
      <c r="BR827" s="2" t="s">
        <v>104</v>
      </c>
      <c r="BS827" s="2" t="s">
        <v>14899</v>
      </c>
      <c r="BT827" s="2" t="str">
        <f aca="false">HYPERLINK("https%3A%2F%2Fwww.webofscience.com%2Fwos%2Fwoscc%2Ffull-record%2FWOS:000466822000023","View Full Record in Web of Science")</f>
        <v>View Full Record in Web of Science</v>
      </c>
    </row>
    <row r="828" customFormat="false" ht="12.75" hidden="false" customHeight="false" outlineLevel="0" collapsed="false">
      <c r="A828" s="2" t="s">
        <v>72</v>
      </c>
      <c r="B828" s="2" t="s">
        <v>14900</v>
      </c>
      <c r="C828" s="2"/>
      <c r="D828" s="2"/>
      <c r="E828" s="2"/>
      <c r="F828" s="2" t="s">
        <v>14901</v>
      </c>
      <c r="G828" s="2"/>
      <c r="H828" s="2"/>
      <c r="I828" s="2" t="s">
        <v>14902</v>
      </c>
      <c r="J828" s="2" t="s">
        <v>717</v>
      </c>
      <c r="K828" s="2"/>
      <c r="L828" s="2"/>
      <c r="M828" s="2" t="s">
        <v>77</v>
      </c>
      <c r="N828" s="2" t="s">
        <v>78</v>
      </c>
      <c r="O828" s="2"/>
      <c r="P828" s="2"/>
      <c r="Q828" s="2"/>
      <c r="R828" s="2"/>
      <c r="S828" s="2"/>
      <c r="T828" s="2" t="s">
        <v>14903</v>
      </c>
      <c r="U828" s="2" t="s">
        <v>14904</v>
      </c>
      <c r="V828" s="2" t="s">
        <v>14905</v>
      </c>
      <c r="W828" s="2" t="s">
        <v>14906</v>
      </c>
      <c r="X828" s="2" t="s">
        <v>14907</v>
      </c>
      <c r="Y828" s="2" t="s">
        <v>14908</v>
      </c>
      <c r="Z828" s="2" t="s">
        <v>9937</v>
      </c>
      <c r="AA828" s="2" t="s">
        <v>14909</v>
      </c>
      <c r="AB828" s="2"/>
      <c r="AC828" s="2" t="s">
        <v>14910</v>
      </c>
      <c r="AD828" s="2" t="s">
        <v>14910</v>
      </c>
      <c r="AE828" s="2" t="s">
        <v>14911</v>
      </c>
      <c r="AF828" s="2"/>
      <c r="AG828" s="2" t="n">
        <v>23</v>
      </c>
      <c r="AH828" s="2" t="n">
        <v>12</v>
      </c>
      <c r="AI828" s="2" t="n">
        <v>16</v>
      </c>
      <c r="AJ828" s="2" t="n">
        <v>0</v>
      </c>
      <c r="AK828" s="2" t="n">
        <v>1</v>
      </c>
      <c r="AL828" s="2" t="s">
        <v>549</v>
      </c>
      <c r="AM828" s="2" t="s">
        <v>384</v>
      </c>
      <c r="AN828" s="2" t="s">
        <v>550</v>
      </c>
      <c r="AO828" s="2" t="s">
        <v>729</v>
      </c>
      <c r="AP828" s="2" t="s">
        <v>730</v>
      </c>
      <c r="AQ828" s="2"/>
      <c r="AR828" s="2" t="s">
        <v>731</v>
      </c>
      <c r="AS828" s="2" t="s">
        <v>732</v>
      </c>
      <c r="AT828" s="2" t="s">
        <v>97</v>
      </c>
      <c r="AU828" s="2" t="n">
        <v>2010</v>
      </c>
      <c r="AV828" s="2" t="n">
        <v>164</v>
      </c>
      <c r="AW828" s="2" t="s">
        <v>1407</v>
      </c>
      <c r="AX828" s="2"/>
      <c r="AY828" s="2"/>
      <c r="AZ828" s="2"/>
      <c r="BA828" s="2"/>
      <c r="BB828" s="2" t="n">
        <v>24</v>
      </c>
      <c r="BC828" s="2" t="n">
        <v>29</v>
      </c>
      <c r="BD828" s="2"/>
      <c r="BE828" s="2" t="s">
        <v>14912</v>
      </c>
      <c r="BF828" s="2" t="str">
        <f aca="false">HYPERLINK("http://dx.doi.org/10.1016/j.jviromet.2009.11.019","http://dx.doi.org/10.1016/j.jviromet.2009.11.019")</f>
        <v>http://dx.doi.org/10.1016/j.jviromet.2009.11.019</v>
      </c>
      <c r="BG828" s="2"/>
      <c r="BH828" s="2"/>
      <c r="BI828" s="2" t="n">
        <v>6</v>
      </c>
      <c r="BJ828" s="2" t="s">
        <v>735</v>
      </c>
      <c r="BK828" s="2" t="s">
        <v>100</v>
      </c>
      <c r="BL828" s="2" t="s">
        <v>736</v>
      </c>
      <c r="BM828" s="2" t="s">
        <v>14913</v>
      </c>
      <c r="BN828" s="2" t="n">
        <v>19925829</v>
      </c>
      <c r="BO828" s="2"/>
      <c r="BP828" s="2"/>
      <c r="BQ828" s="2"/>
      <c r="BR828" s="2" t="s">
        <v>104</v>
      </c>
      <c r="BS828" s="2" t="s">
        <v>14914</v>
      </c>
      <c r="BT828" s="2" t="str">
        <f aca="false">HYPERLINK("https%3A%2F%2Fwww.webofscience.com%2Fwos%2Fwoscc%2Ffull-record%2FWOS:000276820500005","View Full Record in Web of Science")</f>
        <v>View Full Record in Web of Science</v>
      </c>
    </row>
    <row r="829" customFormat="false" ht="12.75" hidden="false" customHeight="false" outlineLevel="0" collapsed="false">
      <c r="A829" s="2" t="s">
        <v>72</v>
      </c>
      <c r="B829" s="2" t="s">
        <v>14915</v>
      </c>
      <c r="C829" s="2"/>
      <c r="D829" s="2"/>
      <c r="E829" s="2"/>
      <c r="F829" s="2" t="s">
        <v>14916</v>
      </c>
      <c r="G829" s="2"/>
      <c r="H829" s="2"/>
      <c r="I829" s="2" t="s">
        <v>14917</v>
      </c>
      <c r="J829" s="2" t="s">
        <v>4309</v>
      </c>
      <c r="K829" s="2"/>
      <c r="L829" s="2"/>
      <c r="M829" s="2" t="s">
        <v>77</v>
      </c>
      <c r="N829" s="2" t="s">
        <v>78</v>
      </c>
      <c r="O829" s="2"/>
      <c r="P829" s="2"/>
      <c r="Q829" s="2"/>
      <c r="R829" s="2"/>
      <c r="S829" s="2"/>
      <c r="T829" s="2" t="s">
        <v>14918</v>
      </c>
      <c r="U829" s="2"/>
      <c r="V829" s="2" t="s">
        <v>14919</v>
      </c>
      <c r="W829" s="2" t="s">
        <v>14920</v>
      </c>
      <c r="X829" s="2" t="s">
        <v>14921</v>
      </c>
      <c r="Y829" s="2" t="s">
        <v>14922</v>
      </c>
      <c r="Z829" s="2" t="s">
        <v>14923</v>
      </c>
      <c r="AA829" s="2" t="s">
        <v>14924</v>
      </c>
      <c r="AB829" s="2" t="s">
        <v>14925</v>
      </c>
      <c r="AC829" s="2"/>
      <c r="AD829" s="2"/>
      <c r="AE829" s="2"/>
      <c r="AF829" s="2"/>
      <c r="AG829" s="2" t="n">
        <v>41</v>
      </c>
      <c r="AH829" s="2" t="n">
        <v>19</v>
      </c>
      <c r="AI829" s="2" t="n">
        <v>21</v>
      </c>
      <c r="AJ829" s="2" t="n">
        <v>1</v>
      </c>
      <c r="AK829" s="2" t="n">
        <v>6</v>
      </c>
      <c r="AL829" s="2" t="s">
        <v>2788</v>
      </c>
      <c r="AM829" s="2" t="s">
        <v>2789</v>
      </c>
      <c r="AN829" s="2" t="s">
        <v>2790</v>
      </c>
      <c r="AO829" s="2" t="s">
        <v>4319</v>
      </c>
      <c r="AP829" s="2" t="s">
        <v>4320</v>
      </c>
      <c r="AQ829" s="2"/>
      <c r="AR829" s="2" t="s">
        <v>4321</v>
      </c>
      <c r="AS829" s="2" t="s">
        <v>4322</v>
      </c>
      <c r="AT829" s="2" t="s">
        <v>14926</v>
      </c>
      <c r="AU829" s="2" t="n">
        <v>2021</v>
      </c>
      <c r="AV829" s="2" t="n">
        <v>53</v>
      </c>
      <c r="AW829" s="2" t="n">
        <v>7</v>
      </c>
      <c r="AX829" s="2"/>
      <c r="AY829" s="2"/>
      <c r="AZ829" s="2"/>
      <c r="BA829" s="2"/>
      <c r="BB829" s="2" t="n">
        <v>488</v>
      </c>
      <c r="BC829" s="2" t="n">
        <v>497</v>
      </c>
      <c r="BD829" s="2"/>
      <c r="BE829" s="2" t="s">
        <v>14927</v>
      </c>
      <c r="BF829" s="2" t="str">
        <f aca="false">HYPERLINK("http://dx.doi.org/10.1080/23744235.2021.1887510","http://dx.doi.org/10.1080/23744235.2021.1887510")</f>
        <v>http://dx.doi.org/10.1080/23744235.2021.1887510</v>
      </c>
      <c r="BG829" s="2"/>
      <c r="BH829" s="2" t="s">
        <v>4228</v>
      </c>
      <c r="BI829" s="2" t="n">
        <v>10</v>
      </c>
      <c r="BJ829" s="2" t="s">
        <v>575</v>
      </c>
      <c r="BK829" s="2" t="s">
        <v>100</v>
      </c>
      <c r="BL829" s="2" t="s">
        <v>575</v>
      </c>
      <c r="BM829" s="2" t="s">
        <v>14928</v>
      </c>
      <c r="BN829" s="2" t="n">
        <v>33612055</v>
      </c>
      <c r="BO829" s="2" t="s">
        <v>136</v>
      </c>
      <c r="BP829" s="2"/>
      <c r="BQ829" s="2"/>
      <c r="BR829" s="2" t="s">
        <v>104</v>
      </c>
      <c r="BS829" s="2" t="s">
        <v>14929</v>
      </c>
      <c r="BT829" s="2" t="str">
        <f aca="false">HYPERLINK("https%3A%2F%2Fwww.webofscience.com%2Fwos%2Fwoscc%2Ffull-record%2FWOS:000620051100001","View Full Record in Web of Science")</f>
        <v>View Full Record in Web of Science</v>
      </c>
    </row>
    <row r="830" customFormat="false" ht="12.75" hidden="false" customHeight="false" outlineLevel="0" collapsed="false">
      <c r="A830" s="2" t="s">
        <v>72</v>
      </c>
      <c r="B830" s="2" t="s">
        <v>14930</v>
      </c>
      <c r="C830" s="2"/>
      <c r="D830" s="2"/>
      <c r="E830" s="2"/>
      <c r="F830" s="2" t="s">
        <v>14931</v>
      </c>
      <c r="G830" s="2"/>
      <c r="H830" s="2"/>
      <c r="I830" s="2" t="s">
        <v>14932</v>
      </c>
      <c r="J830" s="2" t="s">
        <v>514</v>
      </c>
      <c r="K830" s="2"/>
      <c r="L830" s="2"/>
      <c r="M830" s="2" t="s">
        <v>77</v>
      </c>
      <c r="N830" s="2" t="s">
        <v>78</v>
      </c>
      <c r="O830" s="2"/>
      <c r="P830" s="2"/>
      <c r="Q830" s="2"/>
      <c r="R830" s="2"/>
      <c r="S830" s="2"/>
      <c r="T830" s="2" t="s">
        <v>14933</v>
      </c>
      <c r="U830" s="2" t="s">
        <v>14934</v>
      </c>
      <c r="V830" s="2" t="s">
        <v>14935</v>
      </c>
      <c r="W830" s="2" t="s">
        <v>14936</v>
      </c>
      <c r="X830" s="2" t="s">
        <v>14937</v>
      </c>
      <c r="Y830" s="2" t="s">
        <v>14938</v>
      </c>
      <c r="Z830" s="2" t="s">
        <v>14939</v>
      </c>
      <c r="AA830" s="2" t="s">
        <v>5583</v>
      </c>
      <c r="AB830" s="2"/>
      <c r="AC830" s="2" t="s">
        <v>14940</v>
      </c>
      <c r="AD830" s="2" t="s">
        <v>14941</v>
      </c>
      <c r="AE830" s="2" t="s">
        <v>14942</v>
      </c>
      <c r="AF830" s="2"/>
      <c r="AG830" s="2" t="n">
        <v>42</v>
      </c>
      <c r="AH830" s="2" t="n">
        <v>23</v>
      </c>
      <c r="AI830" s="2" t="n">
        <v>27</v>
      </c>
      <c r="AJ830" s="2" t="n">
        <v>0</v>
      </c>
      <c r="AK830" s="2" t="n">
        <v>3</v>
      </c>
      <c r="AL830" s="2" t="s">
        <v>527</v>
      </c>
      <c r="AM830" s="2" t="s">
        <v>528</v>
      </c>
      <c r="AN830" s="2" t="s">
        <v>529</v>
      </c>
      <c r="AO830" s="2" t="s">
        <v>530</v>
      </c>
      <c r="AP830" s="2" t="s">
        <v>531</v>
      </c>
      <c r="AQ830" s="2"/>
      <c r="AR830" s="2" t="s">
        <v>532</v>
      </c>
      <c r="AS830" s="2" t="s">
        <v>533</v>
      </c>
      <c r="AT830" s="2" t="s">
        <v>4756</v>
      </c>
      <c r="AU830" s="2" t="n">
        <v>2013</v>
      </c>
      <c r="AV830" s="2" t="n">
        <v>208</v>
      </c>
      <c r="AW830" s="2" t="n">
        <v>10</v>
      </c>
      <c r="AX830" s="2"/>
      <c r="AY830" s="2"/>
      <c r="AZ830" s="2"/>
      <c r="BA830" s="2"/>
      <c r="BB830" s="2" t="n">
        <v>1669</v>
      </c>
      <c r="BC830" s="2" t="n">
        <v>1678</v>
      </c>
      <c r="BD830" s="2"/>
      <c r="BE830" s="2" t="s">
        <v>14943</v>
      </c>
      <c r="BF830" s="2" t="str">
        <f aca="false">HYPERLINK("http://dx.doi.org/10.1093/infdis/jit356","http://dx.doi.org/10.1093/infdis/jit356")</f>
        <v>http://dx.doi.org/10.1093/infdis/jit356</v>
      </c>
      <c r="BG830" s="2"/>
      <c r="BH830" s="2"/>
      <c r="BI830" s="2" t="n">
        <v>10</v>
      </c>
      <c r="BJ830" s="2" t="s">
        <v>536</v>
      </c>
      <c r="BK830" s="2" t="s">
        <v>100</v>
      </c>
      <c r="BL830" s="2" t="s">
        <v>536</v>
      </c>
      <c r="BM830" s="2" t="s">
        <v>14944</v>
      </c>
      <c r="BN830" s="2" t="n">
        <v>23908489</v>
      </c>
      <c r="BO830" s="2" t="s">
        <v>136</v>
      </c>
      <c r="BP830" s="2"/>
      <c r="BQ830" s="2"/>
      <c r="BR830" s="2" t="s">
        <v>104</v>
      </c>
      <c r="BS830" s="2" t="s">
        <v>14945</v>
      </c>
      <c r="BT830" s="2" t="str">
        <f aca="false">HYPERLINK("https%3A%2F%2Fwww.webofscience.com%2Fwos%2Fwoscc%2Ffull-record%2FWOS:000326378000018","View Full Record in Web of Science")</f>
        <v>View Full Record in Web of Science</v>
      </c>
    </row>
    <row r="831" customFormat="false" ht="12.75" hidden="false" customHeight="false" outlineLevel="0" collapsed="false">
      <c r="A831" s="2" t="s">
        <v>72</v>
      </c>
      <c r="B831" s="2" t="s">
        <v>14946</v>
      </c>
      <c r="C831" s="2"/>
      <c r="D831" s="2"/>
      <c r="E831" s="2"/>
      <c r="F831" s="2" t="s">
        <v>14947</v>
      </c>
      <c r="G831" s="2"/>
      <c r="H831" s="2"/>
      <c r="I831" s="2" t="s">
        <v>14948</v>
      </c>
      <c r="J831" s="2" t="s">
        <v>370</v>
      </c>
      <c r="K831" s="2"/>
      <c r="L831" s="2"/>
      <c r="M831" s="2" t="s">
        <v>77</v>
      </c>
      <c r="N831" s="2" t="s">
        <v>78</v>
      </c>
      <c r="O831" s="2"/>
      <c r="P831" s="2"/>
      <c r="Q831" s="2"/>
      <c r="R831" s="2"/>
      <c r="S831" s="2"/>
      <c r="T831" s="2" t="s">
        <v>14949</v>
      </c>
      <c r="U831" s="2" t="s">
        <v>14950</v>
      </c>
      <c r="V831" s="2" t="s">
        <v>14951</v>
      </c>
      <c r="W831" s="2" t="s">
        <v>14952</v>
      </c>
      <c r="X831" s="2" t="s">
        <v>14953</v>
      </c>
      <c r="Y831" s="2" t="s">
        <v>14954</v>
      </c>
      <c r="Z831" s="2" t="s">
        <v>14955</v>
      </c>
      <c r="AA831" s="2" t="s">
        <v>13647</v>
      </c>
      <c r="AB831" s="2" t="s">
        <v>14956</v>
      </c>
      <c r="AC831" s="2" t="s">
        <v>14957</v>
      </c>
      <c r="AD831" s="2" t="s">
        <v>14957</v>
      </c>
      <c r="AE831" s="2" t="s">
        <v>14958</v>
      </c>
      <c r="AF831" s="2"/>
      <c r="AG831" s="2" t="n">
        <v>35</v>
      </c>
      <c r="AH831" s="2" t="n">
        <v>4</v>
      </c>
      <c r="AI831" s="2" t="n">
        <v>4</v>
      </c>
      <c r="AJ831" s="2" t="n">
        <v>1</v>
      </c>
      <c r="AK831" s="2" t="n">
        <v>6</v>
      </c>
      <c r="AL831" s="2" t="s">
        <v>549</v>
      </c>
      <c r="AM831" s="2" t="s">
        <v>384</v>
      </c>
      <c r="AN831" s="2" t="s">
        <v>550</v>
      </c>
      <c r="AO831" s="2" t="s">
        <v>386</v>
      </c>
      <c r="AP831" s="2"/>
      <c r="AQ831" s="2"/>
      <c r="AR831" s="2" t="s">
        <v>388</v>
      </c>
      <c r="AS831" s="2" t="s">
        <v>389</v>
      </c>
      <c r="AT831" s="2" t="s">
        <v>804</v>
      </c>
      <c r="AU831" s="2" t="n">
        <v>2011</v>
      </c>
      <c r="AV831" s="2" t="n">
        <v>52</v>
      </c>
      <c r="AW831" s="2" t="n">
        <v>3</v>
      </c>
      <c r="AX831" s="2"/>
      <c r="AY831" s="2"/>
      <c r="AZ831" s="2"/>
      <c r="BA831" s="2"/>
      <c r="BB831" s="2" t="n">
        <v>236</v>
      </c>
      <c r="BC831" s="2" t="n">
        <v>243</v>
      </c>
      <c r="BD831" s="2"/>
      <c r="BE831" s="2" t="s">
        <v>14959</v>
      </c>
      <c r="BF831" s="2" t="str">
        <f aca="false">HYPERLINK("http://dx.doi.org/10.1016/j.jcv.2011.07.018","http://dx.doi.org/10.1016/j.jcv.2011.07.018")</f>
        <v>http://dx.doi.org/10.1016/j.jcv.2011.07.018</v>
      </c>
      <c r="BG831" s="2"/>
      <c r="BH831" s="2"/>
      <c r="BI831" s="2" t="n">
        <v>8</v>
      </c>
      <c r="BJ831" s="2" t="s">
        <v>163</v>
      </c>
      <c r="BK831" s="2" t="s">
        <v>100</v>
      </c>
      <c r="BL831" s="2" t="s">
        <v>163</v>
      </c>
      <c r="BM831" s="2" t="s">
        <v>2982</v>
      </c>
      <c r="BN831" s="2" t="n">
        <v>21920812</v>
      </c>
      <c r="BO831" s="2" t="s">
        <v>1089</v>
      </c>
      <c r="BP831" s="2"/>
      <c r="BQ831" s="2"/>
      <c r="BR831" s="2" t="s">
        <v>104</v>
      </c>
      <c r="BS831" s="2" t="s">
        <v>14960</v>
      </c>
      <c r="BT831" s="2" t="str">
        <f aca="false">HYPERLINK("https%3A%2F%2Fwww.webofscience.com%2Fwos%2Fwoscc%2Ffull-record%2FWOS:000296556800015","View Full Record in Web of Science")</f>
        <v>View Full Record in Web of Science</v>
      </c>
    </row>
    <row r="832" customFormat="false" ht="12.75" hidden="false" customHeight="false" outlineLevel="0" collapsed="false">
      <c r="A832" s="2" t="s">
        <v>72</v>
      </c>
      <c r="B832" s="2" t="s">
        <v>14961</v>
      </c>
      <c r="C832" s="2"/>
      <c r="D832" s="2"/>
      <c r="E832" s="2"/>
      <c r="F832" s="2" t="s">
        <v>14962</v>
      </c>
      <c r="G832" s="2"/>
      <c r="H832" s="2" t="s">
        <v>5200</v>
      </c>
      <c r="I832" s="2" t="s">
        <v>14963</v>
      </c>
      <c r="J832" s="2" t="s">
        <v>370</v>
      </c>
      <c r="K832" s="2"/>
      <c r="L832" s="2"/>
      <c r="M832" s="2" t="s">
        <v>77</v>
      </c>
      <c r="N832" s="2" t="s">
        <v>78</v>
      </c>
      <c r="O832" s="2"/>
      <c r="P832" s="2"/>
      <c r="Q832" s="2"/>
      <c r="R832" s="2"/>
      <c r="S832" s="2"/>
      <c r="T832" s="2" t="s">
        <v>14964</v>
      </c>
      <c r="U832" s="2" t="s">
        <v>14965</v>
      </c>
      <c r="V832" s="2" t="s">
        <v>14966</v>
      </c>
      <c r="W832" s="2" t="s">
        <v>14967</v>
      </c>
      <c r="X832" s="2" t="s">
        <v>14968</v>
      </c>
      <c r="Y832" s="2" t="s">
        <v>14969</v>
      </c>
      <c r="Z832" s="2" t="s">
        <v>14970</v>
      </c>
      <c r="AA832" s="2" t="s">
        <v>14971</v>
      </c>
      <c r="AB832" s="2" t="s">
        <v>14972</v>
      </c>
      <c r="AC832" s="2" t="s">
        <v>14973</v>
      </c>
      <c r="AD832" s="2" t="s">
        <v>14974</v>
      </c>
      <c r="AE832" s="2" t="s">
        <v>7478</v>
      </c>
      <c r="AF832" s="2"/>
      <c r="AG832" s="2" t="n">
        <v>37</v>
      </c>
      <c r="AH832" s="2" t="n">
        <v>18</v>
      </c>
      <c r="AI832" s="2" t="n">
        <v>20</v>
      </c>
      <c r="AJ832" s="2" t="n">
        <v>0</v>
      </c>
      <c r="AK832" s="2" t="n">
        <v>3</v>
      </c>
      <c r="AL832" s="2" t="s">
        <v>383</v>
      </c>
      <c r="AM832" s="2" t="s">
        <v>384</v>
      </c>
      <c r="AN832" s="2" t="s">
        <v>385</v>
      </c>
      <c r="AO832" s="2" t="s">
        <v>386</v>
      </c>
      <c r="AP832" s="2" t="s">
        <v>387</v>
      </c>
      <c r="AQ832" s="2"/>
      <c r="AR832" s="2" t="s">
        <v>388</v>
      </c>
      <c r="AS832" s="2" t="s">
        <v>389</v>
      </c>
      <c r="AT832" s="2" t="s">
        <v>185</v>
      </c>
      <c r="AU832" s="2" t="n">
        <v>2015</v>
      </c>
      <c r="AV832" s="2" t="n">
        <v>69</v>
      </c>
      <c r="AW832" s="2"/>
      <c r="AX832" s="2"/>
      <c r="AY832" s="2"/>
      <c r="AZ832" s="2"/>
      <c r="BA832" s="2"/>
      <c r="BB832" s="2" t="n">
        <v>125</v>
      </c>
      <c r="BC832" s="2" t="n">
        <v>132</v>
      </c>
      <c r="BD832" s="2"/>
      <c r="BE832" s="2" t="s">
        <v>14975</v>
      </c>
      <c r="BF832" s="2" t="str">
        <f aca="false">HYPERLINK("http://dx.doi.org/10.1016/j.jcv.2015.06.089","http://dx.doi.org/10.1016/j.jcv.2015.06.089")</f>
        <v>http://dx.doi.org/10.1016/j.jcv.2015.06.089</v>
      </c>
      <c r="BG832" s="2"/>
      <c r="BH832" s="2"/>
      <c r="BI832" s="2" t="n">
        <v>8</v>
      </c>
      <c r="BJ832" s="2" t="s">
        <v>163</v>
      </c>
      <c r="BK832" s="2" t="s">
        <v>100</v>
      </c>
      <c r="BL832" s="2" t="s">
        <v>163</v>
      </c>
      <c r="BM832" s="2" t="s">
        <v>12435</v>
      </c>
      <c r="BN832" s="2" t="n">
        <v>26209394</v>
      </c>
      <c r="BO832" s="2" t="s">
        <v>14976</v>
      </c>
      <c r="BP832" s="2"/>
      <c r="BQ832" s="2"/>
      <c r="BR832" s="2" t="s">
        <v>104</v>
      </c>
      <c r="BS832" s="2" t="s">
        <v>14977</v>
      </c>
      <c r="BT832" s="2" t="str">
        <f aca="false">HYPERLINK("https%3A%2F%2Fwww.webofscience.com%2Fwos%2Fwoscc%2Ffull-record%2FWOS:000358318400028","View Full Record in Web of Science")</f>
        <v>View Full Record in Web of Science</v>
      </c>
    </row>
    <row r="833" customFormat="false" ht="12.75" hidden="false" customHeight="false" outlineLevel="0" collapsed="false">
      <c r="A833" s="2" t="s">
        <v>72</v>
      </c>
      <c r="B833" s="2" t="s">
        <v>14978</v>
      </c>
      <c r="C833" s="2"/>
      <c r="D833" s="2"/>
      <c r="E833" s="2"/>
      <c r="F833" s="2" t="s">
        <v>14979</v>
      </c>
      <c r="G833" s="2"/>
      <c r="H833" s="2"/>
      <c r="I833" s="2" t="s">
        <v>14980</v>
      </c>
      <c r="J833" s="2" t="s">
        <v>10462</v>
      </c>
      <c r="K833" s="2"/>
      <c r="L833" s="2"/>
      <c r="M833" s="2" t="s">
        <v>77</v>
      </c>
      <c r="N833" s="2" t="s">
        <v>78</v>
      </c>
      <c r="O833" s="2"/>
      <c r="P833" s="2"/>
      <c r="Q833" s="2"/>
      <c r="R833" s="2"/>
      <c r="S833" s="2"/>
      <c r="T833" s="2" t="s">
        <v>14981</v>
      </c>
      <c r="U833" s="2" t="s">
        <v>14982</v>
      </c>
      <c r="V833" s="2" t="s">
        <v>14983</v>
      </c>
      <c r="W833" s="2" t="s">
        <v>14984</v>
      </c>
      <c r="X833" s="2" t="s">
        <v>14985</v>
      </c>
      <c r="Y833" s="2" t="s">
        <v>14986</v>
      </c>
      <c r="Z833" s="2" t="s">
        <v>14987</v>
      </c>
      <c r="AA833" s="2" t="s">
        <v>14988</v>
      </c>
      <c r="AB833" s="2" t="s">
        <v>14989</v>
      </c>
      <c r="AC833" s="2"/>
      <c r="AD833" s="2"/>
      <c r="AE833" s="2"/>
      <c r="AF833" s="2"/>
      <c r="AG833" s="2" t="n">
        <v>12</v>
      </c>
      <c r="AH833" s="2" t="n">
        <v>21</v>
      </c>
      <c r="AI833" s="2" t="n">
        <v>22</v>
      </c>
      <c r="AJ833" s="2" t="n">
        <v>0</v>
      </c>
      <c r="AK833" s="2" t="n">
        <v>1</v>
      </c>
      <c r="AL833" s="2" t="s">
        <v>10470</v>
      </c>
      <c r="AM833" s="2" t="s">
        <v>11627</v>
      </c>
      <c r="AN833" s="2" t="s">
        <v>11628</v>
      </c>
      <c r="AO833" s="2" t="s">
        <v>10473</v>
      </c>
      <c r="AP833" s="2"/>
      <c r="AQ833" s="2"/>
      <c r="AR833" s="2" t="s">
        <v>10474</v>
      </c>
      <c r="AS833" s="2" t="s">
        <v>10475</v>
      </c>
      <c r="AT833" s="2" t="s">
        <v>599</v>
      </c>
      <c r="AU833" s="2" t="n">
        <v>2007</v>
      </c>
      <c r="AV833" s="2" t="n">
        <v>30</v>
      </c>
      <c r="AW833" s="2" t="n">
        <v>3</v>
      </c>
      <c r="AX833" s="2"/>
      <c r="AY833" s="2"/>
      <c r="AZ833" s="2"/>
      <c r="BA833" s="2"/>
      <c r="BB833" s="2" t="n">
        <v>255</v>
      </c>
      <c r="BC833" s="2" t="n">
        <v>258</v>
      </c>
      <c r="BD833" s="2"/>
      <c r="BE833" s="2"/>
      <c r="BF833" s="2"/>
      <c r="BG833" s="2"/>
      <c r="BH833" s="2"/>
      <c r="BI833" s="2" t="n">
        <v>4</v>
      </c>
      <c r="BJ833" s="2" t="s">
        <v>211</v>
      </c>
      <c r="BK833" s="2" t="s">
        <v>100</v>
      </c>
      <c r="BL833" s="2" t="s">
        <v>211</v>
      </c>
      <c r="BM833" s="2" t="s">
        <v>14990</v>
      </c>
      <c r="BN833" s="2" t="n">
        <v>17802904</v>
      </c>
      <c r="BO833" s="2"/>
      <c r="BP833" s="2"/>
      <c r="BQ833" s="2"/>
      <c r="BR833" s="2" t="s">
        <v>104</v>
      </c>
      <c r="BS833" s="2" t="s">
        <v>14991</v>
      </c>
      <c r="BT833" s="2" t="str">
        <f aca="false">HYPERLINK("https%3A%2F%2Fwww.webofscience.com%2Fwos%2Fwoscc%2Ffull-record%2FWOS:000248658900009","View Full Record in Web of Science")</f>
        <v>View Full Record in Web of Science</v>
      </c>
    </row>
    <row r="834" customFormat="false" ht="12.75" hidden="false" customHeight="false" outlineLevel="0" collapsed="false">
      <c r="A834" s="2" t="s">
        <v>72</v>
      </c>
      <c r="B834" s="2" t="s">
        <v>14992</v>
      </c>
      <c r="C834" s="2"/>
      <c r="D834" s="2"/>
      <c r="E834" s="2"/>
      <c r="F834" s="2" t="s">
        <v>14993</v>
      </c>
      <c r="G834" s="2"/>
      <c r="H834" s="2"/>
      <c r="I834" s="2" t="s">
        <v>14994</v>
      </c>
      <c r="J834" s="2" t="s">
        <v>2021</v>
      </c>
      <c r="K834" s="2"/>
      <c r="L834" s="2"/>
      <c r="M834" s="2" t="s">
        <v>77</v>
      </c>
      <c r="N834" s="2" t="s">
        <v>78</v>
      </c>
      <c r="O834" s="2"/>
      <c r="P834" s="2"/>
      <c r="Q834" s="2"/>
      <c r="R834" s="2"/>
      <c r="S834" s="2"/>
      <c r="T834" s="2" t="s">
        <v>14995</v>
      </c>
      <c r="U834" s="2" t="s">
        <v>14996</v>
      </c>
      <c r="V834" s="2" t="s">
        <v>14997</v>
      </c>
      <c r="W834" s="2" t="s">
        <v>14998</v>
      </c>
      <c r="X834" s="2" t="s">
        <v>14999</v>
      </c>
      <c r="Y834" s="2" t="s">
        <v>15000</v>
      </c>
      <c r="Z834" s="2" t="s">
        <v>15001</v>
      </c>
      <c r="AA834" s="2" t="s">
        <v>15002</v>
      </c>
      <c r="AB834" s="2"/>
      <c r="AC834" s="2" t="s">
        <v>15003</v>
      </c>
      <c r="AD834" s="2" t="s">
        <v>15004</v>
      </c>
      <c r="AE834" s="2" t="s">
        <v>15005</v>
      </c>
      <c r="AF834" s="2"/>
      <c r="AG834" s="2" t="n">
        <v>29</v>
      </c>
      <c r="AH834" s="2" t="n">
        <v>36</v>
      </c>
      <c r="AI834" s="2" t="n">
        <v>36</v>
      </c>
      <c r="AJ834" s="2" t="n">
        <v>0</v>
      </c>
      <c r="AK834" s="2" t="n">
        <v>2</v>
      </c>
      <c r="AL834" s="2" t="s">
        <v>527</v>
      </c>
      <c r="AM834" s="2" t="s">
        <v>528</v>
      </c>
      <c r="AN834" s="2" t="s">
        <v>529</v>
      </c>
      <c r="AO834" s="2" t="s">
        <v>2033</v>
      </c>
      <c r="AP834" s="2" t="s">
        <v>2034</v>
      </c>
      <c r="AQ834" s="2"/>
      <c r="AR834" s="2" t="s">
        <v>2035</v>
      </c>
      <c r="AS834" s="2" t="s">
        <v>2036</v>
      </c>
      <c r="AT834" s="2" t="s">
        <v>4483</v>
      </c>
      <c r="AU834" s="2" t="n">
        <v>2016</v>
      </c>
      <c r="AV834" s="2" t="n">
        <v>63</v>
      </c>
      <c r="AW834" s="2" t="n">
        <v>2</v>
      </c>
      <c r="AX834" s="2"/>
      <c r="AY834" s="2"/>
      <c r="AZ834" s="2"/>
      <c r="BA834" s="2"/>
      <c r="BB834" s="2" t="n">
        <v>178</v>
      </c>
      <c r="BC834" s="2" t="n">
        <v>185</v>
      </c>
      <c r="BD834" s="2"/>
      <c r="BE834" s="2" t="s">
        <v>15006</v>
      </c>
      <c r="BF834" s="2" t="str">
        <f aca="false">HYPERLINK("http://dx.doi.org/10.1093/cid/ciw284","http://dx.doi.org/10.1093/cid/ciw284")</f>
        <v>http://dx.doi.org/10.1093/cid/ciw284</v>
      </c>
      <c r="BG834" s="2"/>
      <c r="BH834" s="2"/>
      <c r="BI834" s="2" t="n">
        <v>8</v>
      </c>
      <c r="BJ834" s="2" t="s">
        <v>536</v>
      </c>
      <c r="BK834" s="2" t="s">
        <v>100</v>
      </c>
      <c r="BL834" s="2" t="s">
        <v>536</v>
      </c>
      <c r="BM834" s="2" t="s">
        <v>15007</v>
      </c>
      <c r="BN834" s="2" t="n">
        <v>27143659</v>
      </c>
      <c r="BO834" s="2" t="s">
        <v>538</v>
      </c>
      <c r="BP834" s="2"/>
      <c r="BQ834" s="2"/>
      <c r="BR834" s="2" t="s">
        <v>104</v>
      </c>
      <c r="BS834" s="2" t="s">
        <v>15008</v>
      </c>
      <c r="BT834" s="2" t="str">
        <f aca="false">HYPERLINK("https%3A%2F%2Fwww.webofscience.com%2Fwos%2Fwoscc%2Ffull-record%2FWOS:000381227800010","View Full Record in Web of Science")</f>
        <v>View Full Record in Web of Science</v>
      </c>
    </row>
    <row r="835" customFormat="false" ht="12.75" hidden="false" customHeight="false" outlineLevel="0" collapsed="false">
      <c r="A835" s="2" t="s">
        <v>72</v>
      </c>
      <c r="B835" s="2" t="s">
        <v>15009</v>
      </c>
      <c r="C835" s="2"/>
      <c r="D835" s="2"/>
      <c r="E835" s="2"/>
      <c r="F835" s="2" t="s">
        <v>15010</v>
      </c>
      <c r="G835" s="2"/>
      <c r="H835" s="2"/>
      <c r="I835" s="2" t="s">
        <v>15011</v>
      </c>
      <c r="J835" s="2" t="s">
        <v>13094</v>
      </c>
      <c r="K835" s="2"/>
      <c r="L835" s="2"/>
      <c r="M835" s="2" t="s">
        <v>77</v>
      </c>
      <c r="N835" s="2" t="s">
        <v>78</v>
      </c>
      <c r="O835" s="2"/>
      <c r="P835" s="2"/>
      <c r="Q835" s="2"/>
      <c r="R835" s="2"/>
      <c r="S835" s="2"/>
      <c r="T835" s="2" t="s">
        <v>15012</v>
      </c>
      <c r="U835" s="2" t="s">
        <v>15013</v>
      </c>
      <c r="V835" s="2" t="s">
        <v>15014</v>
      </c>
      <c r="W835" s="2" t="s">
        <v>15015</v>
      </c>
      <c r="X835" s="2" t="s">
        <v>15016</v>
      </c>
      <c r="Y835" s="2" t="s">
        <v>15017</v>
      </c>
      <c r="Z835" s="2" t="s">
        <v>15018</v>
      </c>
      <c r="AA835" s="2" t="s">
        <v>15019</v>
      </c>
      <c r="AB835" s="2" t="s">
        <v>15020</v>
      </c>
      <c r="AC835" s="2" t="s">
        <v>15021</v>
      </c>
      <c r="AD835" s="2" t="s">
        <v>15022</v>
      </c>
      <c r="AE835" s="2" t="s">
        <v>15023</v>
      </c>
      <c r="AF835" s="2"/>
      <c r="AG835" s="2" t="n">
        <v>31</v>
      </c>
      <c r="AH835" s="2" t="n">
        <v>3</v>
      </c>
      <c r="AI835" s="2" t="n">
        <v>3</v>
      </c>
      <c r="AJ835" s="2" t="n">
        <v>0</v>
      </c>
      <c r="AK835" s="2" t="n">
        <v>3</v>
      </c>
      <c r="AL835" s="2" t="s">
        <v>592</v>
      </c>
      <c r="AM835" s="2" t="s">
        <v>12602</v>
      </c>
      <c r="AN835" s="2" t="s">
        <v>12603</v>
      </c>
      <c r="AO835" s="2" t="s">
        <v>13103</v>
      </c>
      <c r="AP835" s="2" t="s">
        <v>13104</v>
      </c>
      <c r="AQ835" s="2"/>
      <c r="AR835" s="2" t="s">
        <v>13105</v>
      </c>
      <c r="AS835" s="2" t="s">
        <v>13106</v>
      </c>
      <c r="AT835" s="2" t="s">
        <v>1041</v>
      </c>
      <c r="AU835" s="2" t="n">
        <v>2023</v>
      </c>
      <c r="AV835" s="2" t="n">
        <v>50</v>
      </c>
      <c r="AW835" s="2" t="n">
        <v>2</v>
      </c>
      <c r="AX835" s="2"/>
      <c r="AY835" s="2"/>
      <c r="AZ835" s="2"/>
      <c r="BA835" s="2"/>
      <c r="BB835" s="2" t="n">
        <v>1109</v>
      </c>
      <c r="BC835" s="2" t="n">
        <v>1116</v>
      </c>
      <c r="BD835" s="2"/>
      <c r="BE835" s="2" t="s">
        <v>15024</v>
      </c>
      <c r="BF835" s="2" t="str">
        <f aca="false">HYPERLINK("http://dx.doi.org/10.1007/s11033-022-08092-8","http://dx.doi.org/10.1007/s11033-022-08092-8")</f>
        <v>http://dx.doi.org/10.1007/s11033-022-08092-8</v>
      </c>
      <c r="BG835" s="2"/>
      <c r="BH835" s="2" t="s">
        <v>15025</v>
      </c>
      <c r="BI835" s="2" t="n">
        <v>8</v>
      </c>
      <c r="BJ835" s="2" t="s">
        <v>4523</v>
      </c>
      <c r="BK835" s="2" t="s">
        <v>100</v>
      </c>
      <c r="BL835" s="2" t="s">
        <v>4523</v>
      </c>
      <c r="BM835" s="2" t="s">
        <v>15026</v>
      </c>
      <c r="BN835" s="2" t="n">
        <v>36399244</v>
      </c>
      <c r="BO835" s="2" t="s">
        <v>136</v>
      </c>
      <c r="BP835" s="2"/>
      <c r="BQ835" s="2"/>
      <c r="BR835" s="2" t="s">
        <v>104</v>
      </c>
      <c r="BS835" s="2" t="s">
        <v>15027</v>
      </c>
      <c r="BT835" s="2" t="str">
        <f aca="false">HYPERLINK("https%3A%2F%2Fwww.webofscience.com%2Fwos%2Fwoscc%2Ffull-record%2FWOS:000885751100004","View Full Record in Web of Science")</f>
        <v>View Full Record in Web of Science</v>
      </c>
    </row>
    <row r="836" customFormat="false" ht="12.75" hidden="false" customHeight="false" outlineLevel="0" collapsed="false">
      <c r="A836" s="2" t="s">
        <v>72</v>
      </c>
      <c r="B836" s="2" t="s">
        <v>15028</v>
      </c>
      <c r="C836" s="2"/>
      <c r="D836" s="2"/>
      <c r="E836" s="2"/>
      <c r="F836" s="2" t="s">
        <v>15029</v>
      </c>
      <c r="G836" s="2"/>
      <c r="H836" s="2"/>
      <c r="I836" s="2" t="s">
        <v>15030</v>
      </c>
      <c r="J836" s="2" t="s">
        <v>141</v>
      </c>
      <c r="K836" s="2"/>
      <c r="L836" s="2"/>
      <c r="M836" s="2" t="s">
        <v>77</v>
      </c>
      <c r="N836" s="2" t="s">
        <v>78</v>
      </c>
      <c r="O836" s="2"/>
      <c r="P836" s="2"/>
      <c r="Q836" s="2"/>
      <c r="R836" s="2"/>
      <c r="S836" s="2"/>
      <c r="T836" s="2" t="s">
        <v>15031</v>
      </c>
      <c r="U836" s="2" t="s">
        <v>15032</v>
      </c>
      <c r="V836" s="2" t="s">
        <v>15033</v>
      </c>
      <c r="W836" s="2" t="s">
        <v>15034</v>
      </c>
      <c r="X836" s="2" t="s">
        <v>15035</v>
      </c>
      <c r="Y836" s="2" t="s">
        <v>15036</v>
      </c>
      <c r="Z836" s="2" t="s">
        <v>9866</v>
      </c>
      <c r="AA836" s="2" t="s">
        <v>15037</v>
      </c>
      <c r="AB836" s="2" t="s">
        <v>15038</v>
      </c>
      <c r="AC836" s="2" t="s">
        <v>15039</v>
      </c>
      <c r="AD836" s="2" t="s">
        <v>15039</v>
      </c>
      <c r="AE836" s="2" t="s">
        <v>15040</v>
      </c>
      <c r="AF836" s="2"/>
      <c r="AG836" s="2" t="n">
        <v>37</v>
      </c>
      <c r="AH836" s="2" t="n">
        <v>38</v>
      </c>
      <c r="AI836" s="2" t="n">
        <v>43</v>
      </c>
      <c r="AJ836" s="2" t="n">
        <v>1</v>
      </c>
      <c r="AK836" s="2" t="n">
        <v>2</v>
      </c>
      <c r="AL836" s="2" t="s">
        <v>154</v>
      </c>
      <c r="AM836" s="2" t="s">
        <v>155</v>
      </c>
      <c r="AN836" s="2" t="s">
        <v>156</v>
      </c>
      <c r="AO836" s="2" t="s">
        <v>157</v>
      </c>
      <c r="AP836" s="2" t="s">
        <v>158</v>
      </c>
      <c r="AQ836" s="2"/>
      <c r="AR836" s="2" t="s">
        <v>159</v>
      </c>
      <c r="AS836" s="2" t="s">
        <v>160</v>
      </c>
      <c r="AT836" s="2" t="s">
        <v>336</v>
      </c>
      <c r="AU836" s="2" t="n">
        <v>2010</v>
      </c>
      <c r="AV836" s="2" t="n">
        <v>82</v>
      </c>
      <c r="AW836" s="2" t="n">
        <v>10</v>
      </c>
      <c r="AX836" s="2"/>
      <c r="AY836" s="2"/>
      <c r="AZ836" s="2"/>
      <c r="BA836" s="2"/>
      <c r="BB836" s="2" t="n">
        <v>1782</v>
      </c>
      <c r="BC836" s="2" t="n">
        <v>1789</v>
      </c>
      <c r="BD836" s="2"/>
      <c r="BE836" s="2" t="s">
        <v>15041</v>
      </c>
      <c r="BF836" s="2" t="str">
        <f aca="false">HYPERLINK("http://dx.doi.org/10.1002/jmv.21884","http://dx.doi.org/10.1002/jmv.21884")</f>
        <v>http://dx.doi.org/10.1002/jmv.21884</v>
      </c>
      <c r="BG836" s="2"/>
      <c r="BH836" s="2"/>
      <c r="BI836" s="2" t="n">
        <v>8</v>
      </c>
      <c r="BJ836" s="2" t="s">
        <v>163</v>
      </c>
      <c r="BK836" s="2" t="s">
        <v>100</v>
      </c>
      <c r="BL836" s="2" t="s">
        <v>163</v>
      </c>
      <c r="BM836" s="2" t="s">
        <v>8997</v>
      </c>
      <c r="BN836" s="2" t="n">
        <v>20827777</v>
      </c>
      <c r="BO836" s="2" t="s">
        <v>3775</v>
      </c>
      <c r="BP836" s="2"/>
      <c r="BQ836" s="2"/>
      <c r="BR836" s="2" t="s">
        <v>104</v>
      </c>
      <c r="BS836" s="2" t="s">
        <v>15042</v>
      </c>
      <c r="BT836" s="2" t="str">
        <f aca="false">HYPERLINK("https%3A%2F%2Fwww.webofscience.com%2Fwos%2Fwoscc%2Ffull-record%2FWOS:000281081000021","View Full Record in Web of Science")</f>
        <v>View Full Record in Web of Science</v>
      </c>
    </row>
    <row r="837" customFormat="false" ht="12.75" hidden="false" customHeight="false" outlineLevel="0" collapsed="false">
      <c r="A837" s="2" t="s">
        <v>72</v>
      </c>
      <c r="B837" s="2" t="s">
        <v>15043</v>
      </c>
      <c r="C837" s="2"/>
      <c r="D837" s="2"/>
      <c r="E837" s="2"/>
      <c r="F837" s="2" t="s">
        <v>15044</v>
      </c>
      <c r="G837" s="2"/>
      <c r="H837" s="2"/>
      <c r="I837" s="2" t="s">
        <v>15045</v>
      </c>
      <c r="J837" s="2" t="s">
        <v>2021</v>
      </c>
      <c r="K837" s="2"/>
      <c r="L837" s="2"/>
      <c r="M837" s="2" t="s">
        <v>77</v>
      </c>
      <c r="N837" s="2" t="s">
        <v>78</v>
      </c>
      <c r="O837" s="2"/>
      <c r="P837" s="2"/>
      <c r="Q837" s="2"/>
      <c r="R837" s="2"/>
      <c r="S837" s="2"/>
      <c r="T837" s="2" t="s">
        <v>15046</v>
      </c>
      <c r="U837" s="2" t="s">
        <v>15047</v>
      </c>
      <c r="V837" s="2" t="s">
        <v>15048</v>
      </c>
      <c r="W837" s="2" t="s">
        <v>15049</v>
      </c>
      <c r="X837" s="2" t="s">
        <v>4185</v>
      </c>
      <c r="Y837" s="2" t="s">
        <v>15050</v>
      </c>
      <c r="Z837" s="2" t="s">
        <v>4187</v>
      </c>
      <c r="AA837" s="2" t="s">
        <v>15051</v>
      </c>
      <c r="AB837" s="2" t="s">
        <v>15052</v>
      </c>
      <c r="AC837" s="2" t="s">
        <v>15053</v>
      </c>
      <c r="AD837" s="2" t="s">
        <v>4190</v>
      </c>
      <c r="AE837" s="2" t="s">
        <v>15054</v>
      </c>
      <c r="AF837" s="2"/>
      <c r="AG837" s="2" t="n">
        <v>29</v>
      </c>
      <c r="AH837" s="2" t="n">
        <v>15</v>
      </c>
      <c r="AI837" s="2" t="n">
        <v>16</v>
      </c>
      <c r="AJ837" s="2" t="n">
        <v>1</v>
      </c>
      <c r="AK837" s="2" t="n">
        <v>7</v>
      </c>
      <c r="AL837" s="2" t="s">
        <v>527</v>
      </c>
      <c r="AM837" s="2" t="s">
        <v>528</v>
      </c>
      <c r="AN837" s="2" t="s">
        <v>529</v>
      </c>
      <c r="AO837" s="2" t="s">
        <v>2033</v>
      </c>
      <c r="AP837" s="2" t="s">
        <v>2034</v>
      </c>
      <c r="AQ837" s="2"/>
      <c r="AR837" s="2" t="s">
        <v>2035</v>
      </c>
      <c r="AS837" s="2" t="s">
        <v>2036</v>
      </c>
      <c r="AT837" s="2" t="s">
        <v>2037</v>
      </c>
      <c r="AU837" s="2" t="n">
        <v>2020</v>
      </c>
      <c r="AV837" s="2" t="n">
        <v>70</v>
      </c>
      <c r="AW837" s="2" t="n">
        <v>12</v>
      </c>
      <c r="AX837" s="2"/>
      <c r="AY837" s="2"/>
      <c r="AZ837" s="2"/>
      <c r="BA837" s="2"/>
      <c r="BB837" s="2" t="n">
        <v>2683</v>
      </c>
      <c r="BC837" s="2" t="n">
        <v>2694</v>
      </c>
      <c r="BD837" s="2"/>
      <c r="BE837" s="2" t="s">
        <v>15055</v>
      </c>
      <c r="BF837" s="2" t="str">
        <f aca="false">HYPERLINK("http://dx.doi.org/10.1093/cid/ciz697","http://dx.doi.org/10.1093/cid/ciz697")</f>
        <v>http://dx.doi.org/10.1093/cid/ciz697</v>
      </c>
      <c r="BG837" s="2"/>
      <c r="BH837" s="2"/>
      <c r="BI837" s="2" t="n">
        <v>12</v>
      </c>
      <c r="BJ837" s="2" t="s">
        <v>536</v>
      </c>
      <c r="BK837" s="2" t="s">
        <v>100</v>
      </c>
      <c r="BL837" s="2" t="s">
        <v>536</v>
      </c>
      <c r="BM837" s="2" t="s">
        <v>15056</v>
      </c>
      <c r="BN837" s="2" t="n">
        <v>31353397</v>
      </c>
      <c r="BO837" s="2" t="s">
        <v>1267</v>
      </c>
      <c r="BP837" s="2"/>
      <c r="BQ837" s="2"/>
      <c r="BR837" s="2" t="s">
        <v>104</v>
      </c>
      <c r="BS837" s="2" t="s">
        <v>15057</v>
      </c>
      <c r="BT837" s="2" t="str">
        <f aca="false">HYPERLINK("https%3A%2F%2Fwww.webofscience.com%2Fwos%2Fwoscc%2Ffull-record%2FWOS:000551516200040","View Full Record in Web of Science")</f>
        <v>View Full Record in Web of Science</v>
      </c>
    </row>
    <row r="838" customFormat="false" ht="12.75" hidden="false" customHeight="false" outlineLevel="0" collapsed="false">
      <c r="A838" s="2" t="s">
        <v>72</v>
      </c>
      <c r="B838" s="2" t="s">
        <v>15058</v>
      </c>
      <c r="C838" s="2"/>
      <c r="D838" s="2"/>
      <c r="E838" s="2"/>
      <c r="F838" s="2" t="s">
        <v>15059</v>
      </c>
      <c r="G838" s="2"/>
      <c r="H838" s="2"/>
      <c r="I838" s="2" t="s">
        <v>15060</v>
      </c>
      <c r="J838" s="2" t="s">
        <v>141</v>
      </c>
      <c r="K838" s="2"/>
      <c r="L838" s="2"/>
      <c r="M838" s="2" t="s">
        <v>77</v>
      </c>
      <c r="N838" s="2" t="s">
        <v>78</v>
      </c>
      <c r="O838" s="2"/>
      <c r="P838" s="2"/>
      <c r="Q838" s="2"/>
      <c r="R838" s="2"/>
      <c r="S838" s="2"/>
      <c r="T838" s="2" t="s">
        <v>15061</v>
      </c>
      <c r="U838" s="2" t="s">
        <v>15062</v>
      </c>
      <c r="V838" s="2" t="s">
        <v>15063</v>
      </c>
      <c r="W838" s="2" t="s">
        <v>15064</v>
      </c>
      <c r="X838" s="2" t="s">
        <v>12669</v>
      </c>
      <c r="Y838" s="2" t="s">
        <v>15065</v>
      </c>
      <c r="Z838" s="2" t="s">
        <v>15066</v>
      </c>
      <c r="AA838" s="2"/>
      <c r="AB838" s="2"/>
      <c r="AC838" s="2" t="s">
        <v>15067</v>
      </c>
      <c r="AD838" s="2" t="s">
        <v>15068</v>
      </c>
      <c r="AE838" s="2" t="s">
        <v>15069</v>
      </c>
      <c r="AF838" s="2"/>
      <c r="AG838" s="2" t="n">
        <v>26</v>
      </c>
      <c r="AH838" s="2" t="n">
        <v>12</v>
      </c>
      <c r="AI838" s="2" t="n">
        <v>17</v>
      </c>
      <c r="AJ838" s="2" t="n">
        <v>0</v>
      </c>
      <c r="AK838" s="2" t="n">
        <v>8</v>
      </c>
      <c r="AL838" s="2" t="s">
        <v>154</v>
      </c>
      <c r="AM838" s="2" t="s">
        <v>155</v>
      </c>
      <c r="AN838" s="2" t="s">
        <v>156</v>
      </c>
      <c r="AO838" s="2" t="s">
        <v>157</v>
      </c>
      <c r="AP838" s="2" t="s">
        <v>158</v>
      </c>
      <c r="AQ838" s="2"/>
      <c r="AR838" s="2" t="s">
        <v>159</v>
      </c>
      <c r="AS838" s="2" t="s">
        <v>160</v>
      </c>
      <c r="AT838" s="2" t="s">
        <v>804</v>
      </c>
      <c r="AU838" s="2" t="n">
        <v>2015</v>
      </c>
      <c r="AV838" s="2" t="n">
        <v>87</v>
      </c>
      <c r="AW838" s="2" t="n">
        <v>11</v>
      </c>
      <c r="AX838" s="2"/>
      <c r="AY838" s="2"/>
      <c r="AZ838" s="2"/>
      <c r="BA838" s="2"/>
      <c r="BB838" s="2" t="n">
        <v>1839</v>
      </c>
      <c r="BC838" s="2" t="n">
        <v>1845</v>
      </c>
      <c r="BD838" s="2"/>
      <c r="BE838" s="2" t="s">
        <v>15070</v>
      </c>
      <c r="BF838" s="2" t="str">
        <f aca="false">HYPERLINK("http://dx.doi.org/10.1002/jmv.24249","http://dx.doi.org/10.1002/jmv.24249")</f>
        <v>http://dx.doi.org/10.1002/jmv.24249</v>
      </c>
      <c r="BG838" s="2"/>
      <c r="BH838" s="2"/>
      <c r="BI838" s="2" t="n">
        <v>7</v>
      </c>
      <c r="BJ838" s="2" t="s">
        <v>163</v>
      </c>
      <c r="BK838" s="2" t="s">
        <v>100</v>
      </c>
      <c r="BL838" s="2" t="s">
        <v>163</v>
      </c>
      <c r="BM838" s="2" t="s">
        <v>15071</v>
      </c>
      <c r="BN838" s="2" t="n">
        <v>25950091</v>
      </c>
      <c r="BO838" s="2" t="s">
        <v>165</v>
      </c>
      <c r="BP838" s="2"/>
      <c r="BQ838" s="2"/>
      <c r="BR838" s="2" t="s">
        <v>104</v>
      </c>
      <c r="BS838" s="2" t="s">
        <v>15072</v>
      </c>
      <c r="BT838" s="2" t="str">
        <f aca="false">HYPERLINK("https%3A%2F%2Fwww.webofscience.com%2Fwos%2Fwoscc%2Ffull-record%2FWOS:000360726600005","View Full Record in Web of Science")</f>
        <v>View Full Record in Web of Science</v>
      </c>
    </row>
    <row r="839" customFormat="false" ht="12.75" hidden="false" customHeight="false" outlineLevel="0" collapsed="false">
      <c r="A839" s="2" t="s">
        <v>72</v>
      </c>
      <c r="B839" s="2" t="s">
        <v>15073</v>
      </c>
      <c r="C839" s="2"/>
      <c r="D839" s="2"/>
      <c r="E839" s="2"/>
      <c r="F839" s="2" t="s">
        <v>15074</v>
      </c>
      <c r="G839" s="2"/>
      <c r="H839" s="2"/>
      <c r="I839" s="2" t="s">
        <v>15075</v>
      </c>
      <c r="J839" s="2" t="s">
        <v>141</v>
      </c>
      <c r="K839" s="2"/>
      <c r="L839" s="2"/>
      <c r="M839" s="2" t="s">
        <v>77</v>
      </c>
      <c r="N839" s="2" t="s">
        <v>78</v>
      </c>
      <c r="O839" s="2"/>
      <c r="P839" s="2"/>
      <c r="Q839" s="2"/>
      <c r="R839" s="2"/>
      <c r="S839" s="2"/>
      <c r="T839" s="2" t="s">
        <v>15076</v>
      </c>
      <c r="U839" s="2" t="s">
        <v>15077</v>
      </c>
      <c r="V839" s="2" t="s">
        <v>15078</v>
      </c>
      <c r="W839" s="2" t="s">
        <v>15079</v>
      </c>
      <c r="X839" s="2" t="s">
        <v>9444</v>
      </c>
      <c r="Y839" s="2" t="s">
        <v>15080</v>
      </c>
      <c r="Z839" s="2" t="s">
        <v>9786</v>
      </c>
      <c r="AA839" s="2" t="s">
        <v>224</v>
      </c>
      <c r="AB839" s="2" t="s">
        <v>15081</v>
      </c>
      <c r="AC839" s="2"/>
      <c r="AD839" s="2"/>
      <c r="AE839" s="2"/>
      <c r="AF839" s="2"/>
      <c r="AG839" s="2" t="n">
        <v>24</v>
      </c>
      <c r="AH839" s="2" t="n">
        <v>21</v>
      </c>
      <c r="AI839" s="2" t="n">
        <v>22</v>
      </c>
      <c r="AJ839" s="2" t="n">
        <v>0</v>
      </c>
      <c r="AK839" s="2" t="n">
        <v>0</v>
      </c>
      <c r="AL839" s="2" t="s">
        <v>154</v>
      </c>
      <c r="AM839" s="2" t="s">
        <v>155</v>
      </c>
      <c r="AN839" s="2" t="s">
        <v>156</v>
      </c>
      <c r="AO839" s="2" t="s">
        <v>157</v>
      </c>
      <c r="AP839" s="2" t="s">
        <v>158</v>
      </c>
      <c r="AQ839" s="2"/>
      <c r="AR839" s="2" t="s">
        <v>159</v>
      </c>
      <c r="AS839" s="2" t="s">
        <v>160</v>
      </c>
      <c r="AT839" s="2" t="s">
        <v>390</v>
      </c>
      <c r="AU839" s="2" t="n">
        <v>2008</v>
      </c>
      <c r="AV839" s="2" t="n">
        <v>80</v>
      </c>
      <c r="AW839" s="2" t="n">
        <v>5</v>
      </c>
      <c r="AX839" s="2"/>
      <c r="AY839" s="2"/>
      <c r="AZ839" s="2"/>
      <c r="BA839" s="2"/>
      <c r="BB839" s="2" t="n">
        <v>902</v>
      </c>
      <c r="BC839" s="2" t="n">
        <v>905</v>
      </c>
      <c r="BD839" s="2"/>
      <c r="BE839" s="2" t="s">
        <v>15082</v>
      </c>
      <c r="BF839" s="2" t="str">
        <f aca="false">HYPERLINK("http://dx.doi.org/10.1002/jmv.21129","http://dx.doi.org/10.1002/jmv.21129")</f>
        <v>http://dx.doi.org/10.1002/jmv.21129</v>
      </c>
      <c r="BG839" s="2"/>
      <c r="BH839" s="2"/>
      <c r="BI839" s="2" t="n">
        <v>4</v>
      </c>
      <c r="BJ839" s="2" t="s">
        <v>163</v>
      </c>
      <c r="BK839" s="2" t="s">
        <v>100</v>
      </c>
      <c r="BL839" s="2" t="s">
        <v>163</v>
      </c>
      <c r="BM839" s="2" t="s">
        <v>8570</v>
      </c>
      <c r="BN839" s="2" t="n">
        <v>18360903</v>
      </c>
      <c r="BO839" s="2"/>
      <c r="BP839" s="2"/>
      <c r="BQ839" s="2"/>
      <c r="BR839" s="2" t="s">
        <v>104</v>
      </c>
      <c r="BS839" s="2" t="s">
        <v>15083</v>
      </c>
      <c r="BT839" s="2" t="str">
        <f aca="false">HYPERLINK("https%3A%2F%2Fwww.webofscience.com%2Fwos%2Fwoscc%2Ffull-record%2FWOS:000254590200023","View Full Record in Web of Science")</f>
        <v>View Full Record in Web of Science</v>
      </c>
    </row>
    <row r="840" customFormat="false" ht="12.75" hidden="false" customHeight="false" outlineLevel="0" collapsed="false">
      <c r="A840" s="2" t="s">
        <v>72</v>
      </c>
      <c r="B840" s="2" t="s">
        <v>15084</v>
      </c>
      <c r="C840" s="2"/>
      <c r="D840" s="2"/>
      <c r="E840" s="2"/>
      <c r="F840" s="2" t="s">
        <v>15085</v>
      </c>
      <c r="G840" s="2"/>
      <c r="H840" s="2"/>
      <c r="I840" s="2" t="s">
        <v>15086</v>
      </c>
      <c r="J840" s="2" t="s">
        <v>557</v>
      </c>
      <c r="K840" s="2"/>
      <c r="L840" s="2"/>
      <c r="M840" s="2" t="s">
        <v>77</v>
      </c>
      <c r="N840" s="2" t="s">
        <v>78</v>
      </c>
      <c r="O840" s="2"/>
      <c r="P840" s="2"/>
      <c r="Q840" s="2"/>
      <c r="R840" s="2"/>
      <c r="S840" s="2"/>
      <c r="T840" s="2" t="s">
        <v>15087</v>
      </c>
      <c r="U840" s="2" t="s">
        <v>15088</v>
      </c>
      <c r="V840" s="2" t="s">
        <v>15089</v>
      </c>
      <c r="W840" s="2" t="s">
        <v>15090</v>
      </c>
      <c r="X840" s="2" t="s">
        <v>13228</v>
      </c>
      <c r="Y840" s="2" t="s">
        <v>15091</v>
      </c>
      <c r="Z840" s="2" t="s">
        <v>15092</v>
      </c>
      <c r="AA840" s="2" t="s">
        <v>15093</v>
      </c>
      <c r="AB840" s="2" t="s">
        <v>15094</v>
      </c>
      <c r="AC840" s="2" t="s">
        <v>15095</v>
      </c>
      <c r="AD840" s="2" t="s">
        <v>15096</v>
      </c>
      <c r="AE840" s="2" t="s">
        <v>15097</v>
      </c>
      <c r="AF840" s="2"/>
      <c r="AG840" s="2" t="n">
        <v>61</v>
      </c>
      <c r="AH840" s="2" t="n">
        <v>18</v>
      </c>
      <c r="AI840" s="2" t="n">
        <v>20</v>
      </c>
      <c r="AJ840" s="2" t="n">
        <v>0</v>
      </c>
      <c r="AK840" s="2" t="n">
        <v>2</v>
      </c>
      <c r="AL840" s="2" t="s">
        <v>302</v>
      </c>
      <c r="AM840" s="2" t="s">
        <v>303</v>
      </c>
      <c r="AN840" s="2" t="s">
        <v>304</v>
      </c>
      <c r="AO840" s="2"/>
      <c r="AP840" s="2" t="s">
        <v>570</v>
      </c>
      <c r="AQ840" s="2"/>
      <c r="AR840" s="2" t="s">
        <v>571</v>
      </c>
      <c r="AS840" s="2" t="s">
        <v>572</v>
      </c>
      <c r="AT840" s="2" t="s">
        <v>15098</v>
      </c>
      <c r="AU840" s="2" t="n">
        <v>2016</v>
      </c>
      <c r="AV840" s="2" t="n">
        <v>16</v>
      </c>
      <c r="AW840" s="2"/>
      <c r="AX840" s="2"/>
      <c r="AY840" s="2"/>
      <c r="AZ840" s="2"/>
      <c r="BA840" s="2"/>
      <c r="BB840" s="2"/>
      <c r="BC840" s="2"/>
      <c r="BD840" s="2" t="n">
        <v>301</v>
      </c>
      <c r="BE840" s="2" t="s">
        <v>15099</v>
      </c>
      <c r="BF840" s="2" t="str">
        <f aca="false">HYPERLINK("http://dx.doi.org/10.1186/s12879-016-1605-0","http://dx.doi.org/10.1186/s12879-016-1605-0")</f>
        <v>http://dx.doi.org/10.1186/s12879-016-1605-0</v>
      </c>
      <c r="BG840" s="2"/>
      <c r="BH840" s="2"/>
      <c r="BI840" s="2" t="n">
        <v>12</v>
      </c>
      <c r="BJ840" s="2" t="s">
        <v>575</v>
      </c>
      <c r="BK840" s="2" t="s">
        <v>100</v>
      </c>
      <c r="BL840" s="2" t="s">
        <v>575</v>
      </c>
      <c r="BM840" s="2" t="s">
        <v>15100</v>
      </c>
      <c r="BN840" s="2" t="n">
        <v>27316548</v>
      </c>
      <c r="BO840" s="2" t="s">
        <v>103</v>
      </c>
      <c r="BP840" s="2"/>
      <c r="BQ840" s="2"/>
      <c r="BR840" s="2" t="s">
        <v>104</v>
      </c>
      <c r="BS840" s="2" t="s">
        <v>15101</v>
      </c>
      <c r="BT840" s="2" t="str">
        <f aca="false">HYPERLINK("https%3A%2F%2Fwww.webofscience.com%2Fwos%2Fwoscc%2Ffull-record%2FWOS:000377950800004","View Full Record in Web of Science")</f>
        <v>View Full Record in Web of Science</v>
      </c>
    </row>
    <row r="841" customFormat="false" ht="12.75" hidden="false" customHeight="false" outlineLevel="0" collapsed="false">
      <c r="A841" s="2" t="s">
        <v>72</v>
      </c>
      <c r="B841" s="2" t="s">
        <v>15102</v>
      </c>
      <c r="C841" s="2"/>
      <c r="D841" s="2"/>
      <c r="E841" s="2"/>
      <c r="F841" s="2" t="s">
        <v>15103</v>
      </c>
      <c r="G841" s="2"/>
      <c r="H841" s="2"/>
      <c r="I841" s="2" t="s">
        <v>15104</v>
      </c>
      <c r="J841" s="2" t="s">
        <v>2547</v>
      </c>
      <c r="K841" s="2"/>
      <c r="L841" s="2"/>
      <c r="M841" s="2" t="s">
        <v>77</v>
      </c>
      <c r="N841" s="2" t="s">
        <v>78</v>
      </c>
      <c r="O841" s="2"/>
      <c r="P841" s="2"/>
      <c r="Q841" s="2"/>
      <c r="R841" s="2"/>
      <c r="S841" s="2"/>
      <c r="T841" s="2" t="s">
        <v>15105</v>
      </c>
      <c r="U841" s="2" t="s">
        <v>15106</v>
      </c>
      <c r="V841" s="2" t="s">
        <v>15107</v>
      </c>
      <c r="W841" s="2" t="s">
        <v>15108</v>
      </c>
      <c r="X841" s="2" t="s">
        <v>8071</v>
      </c>
      <c r="Y841" s="2" t="s">
        <v>9721</v>
      </c>
      <c r="Z841" s="2" t="s">
        <v>9722</v>
      </c>
      <c r="AA841" s="2" t="s">
        <v>15109</v>
      </c>
      <c r="AB841" s="2" t="s">
        <v>15110</v>
      </c>
      <c r="AC841" s="2" t="s">
        <v>15111</v>
      </c>
      <c r="AD841" s="2" t="s">
        <v>15111</v>
      </c>
      <c r="AE841" s="2" t="s">
        <v>15112</v>
      </c>
      <c r="AF841" s="2"/>
      <c r="AG841" s="2" t="n">
        <v>38</v>
      </c>
      <c r="AH841" s="2" t="n">
        <v>33</v>
      </c>
      <c r="AI841" s="2" t="n">
        <v>36</v>
      </c>
      <c r="AJ841" s="2" t="n">
        <v>0</v>
      </c>
      <c r="AK841" s="2" t="n">
        <v>3</v>
      </c>
      <c r="AL841" s="2" t="s">
        <v>782</v>
      </c>
      <c r="AM841" s="2" t="s">
        <v>783</v>
      </c>
      <c r="AN841" s="2" t="s">
        <v>784</v>
      </c>
      <c r="AO841" s="2" t="s">
        <v>2556</v>
      </c>
      <c r="AP841" s="2" t="s">
        <v>2557</v>
      </c>
      <c r="AQ841" s="2"/>
      <c r="AR841" s="2" t="s">
        <v>2547</v>
      </c>
      <c r="AS841" s="2" t="s">
        <v>2558</v>
      </c>
      <c r="AT841" s="2" t="s">
        <v>1654</v>
      </c>
      <c r="AU841" s="2" t="n">
        <v>2008</v>
      </c>
      <c r="AV841" s="2" t="n">
        <v>26</v>
      </c>
      <c r="AW841" s="2" t="n">
        <v>33</v>
      </c>
      <c r="AX841" s="2"/>
      <c r="AY841" s="2"/>
      <c r="AZ841" s="2"/>
      <c r="BA841" s="2"/>
      <c r="BB841" s="2" t="n">
        <v>4224</v>
      </c>
      <c r="BC841" s="2" t="n">
        <v>4230</v>
      </c>
      <c r="BD841" s="2"/>
      <c r="BE841" s="2" t="s">
        <v>15113</v>
      </c>
      <c r="BF841" s="2" t="str">
        <f aca="false">HYPERLINK("http://dx.doi.org/10.1016/j.vaccine.2008.05.052","http://dx.doi.org/10.1016/j.vaccine.2008.05.052")</f>
        <v>http://dx.doi.org/10.1016/j.vaccine.2008.05.052</v>
      </c>
      <c r="BG841" s="2"/>
      <c r="BH841" s="2"/>
      <c r="BI841" s="2" t="n">
        <v>7</v>
      </c>
      <c r="BJ841" s="2" t="s">
        <v>187</v>
      </c>
      <c r="BK841" s="2" t="s">
        <v>100</v>
      </c>
      <c r="BL841" s="2" t="s">
        <v>188</v>
      </c>
      <c r="BM841" s="2" t="s">
        <v>15114</v>
      </c>
      <c r="BN841" s="2" t="n">
        <v>18585830</v>
      </c>
      <c r="BO841" s="2"/>
      <c r="BP841" s="2"/>
      <c r="BQ841" s="2"/>
      <c r="BR841" s="2" t="s">
        <v>104</v>
      </c>
      <c r="BS841" s="2" t="s">
        <v>15115</v>
      </c>
      <c r="BT841" s="2" t="str">
        <f aca="false">HYPERLINK("https%3A%2F%2Fwww.webofscience.com%2Fwos%2Fwoscc%2Ffull-record%2FWOS:000258522800018","View Full Record in Web of Science")</f>
        <v>View Full Record in Web of Science</v>
      </c>
    </row>
    <row r="842" customFormat="false" ht="12.75" hidden="false" customHeight="false" outlineLevel="0" collapsed="false">
      <c r="A842" s="2" t="s">
        <v>72</v>
      </c>
      <c r="B842" s="2" t="s">
        <v>15116</v>
      </c>
      <c r="C842" s="2"/>
      <c r="D842" s="2"/>
      <c r="E842" s="2"/>
      <c r="F842" s="2" t="s">
        <v>15117</v>
      </c>
      <c r="G842" s="2"/>
      <c r="H842" s="2"/>
      <c r="I842" s="2" t="s">
        <v>15118</v>
      </c>
      <c r="J842" s="2" t="s">
        <v>742</v>
      </c>
      <c r="K842" s="2"/>
      <c r="L842" s="2"/>
      <c r="M842" s="2" t="s">
        <v>77</v>
      </c>
      <c r="N842" s="2" t="s">
        <v>78</v>
      </c>
      <c r="O842" s="2"/>
      <c r="P842" s="2"/>
      <c r="Q842" s="2"/>
      <c r="R842" s="2"/>
      <c r="S842" s="2"/>
      <c r="T842" s="2" t="s">
        <v>15119</v>
      </c>
      <c r="U842" s="2" t="s">
        <v>15120</v>
      </c>
      <c r="V842" s="2" t="s">
        <v>15121</v>
      </c>
      <c r="W842" s="2" t="s">
        <v>15122</v>
      </c>
      <c r="X842" s="2" t="s">
        <v>15123</v>
      </c>
      <c r="Y842" s="2" t="s">
        <v>15124</v>
      </c>
      <c r="Z842" s="2" t="s">
        <v>15125</v>
      </c>
      <c r="AA842" s="2" t="s">
        <v>15126</v>
      </c>
      <c r="AB842" s="2" t="s">
        <v>15127</v>
      </c>
      <c r="AC842" s="2" t="s">
        <v>15128</v>
      </c>
      <c r="AD842" s="2" t="s">
        <v>15129</v>
      </c>
      <c r="AE842" s="2" t="s">
        <v>15130</v>
      </c>
      <c r="AF842" s="2"/>
      <c r="AG842" s="2" t="n">
        <v>48</v>
      </c>
      <c r="AH842" s="2" t="n">
        <v>2</v>
      </c>
      <c r="AI842" s="2" t="n">
        <v>2</v>
      </c>
      <c r="AJ842" s="2" t="n">
        <v>5</v>
      </c>
      <c r="AK842" s="2" t="n">
        <v>7</v>
      </c>
      <c r="AL842" s="2" t="s">
        <v>755</v>
      </c>
      <c r="AM842" s="2" t="s">
        <v>273</v>
      </c>
      <c r="AN842" s="2" t="s">
        <v>756</v>
      </c>
      <c r="AO842" s="2" t="s">
        <v>757</v>
      </c>
      <c r="AP842" s="2" t="s">
        <v>758</v>
      </c>
      <c r="AQ842" s="2"/>
      <c r="AR842" s="2" t="s">
        <v>759</v>
      </c>
      <c r="AS842" s="2" t="s">
        <v>760</v>
      </c>
      <c r="AT842" s="2" t="s">
        <v>15131</v>
      </c>
      <c r="AU842" s="2" t="n">
        <v>2024</v>
      </c>
      <c r="AV842" s="2" t="n">
        <v>98</v>
      </c>
      <c r="AW842" s="2" t="n">
        <v>6</v>
      </c>
      <c r="AX842" s="2"/>
      <c r="AY842" s="2"/>
      <c r="AZ842" s="2"/>
      <c r="BA842" s="2"/>
      <c r="BB842" s="2"/>
      <c r="BC842" s="2"/>
      <c r="BD842" s="2"/>
      <c r="BE842" s="2" t="s">
        <v>15132</v>
      </c>
      <c r="BF842" s="2" t="str">
        <f aca="false">HYPERLINK("http://dx.doi.org/10.1128/jvi.01641-23","http://dx.doi.org/10.1128/jvi.01641-23")</f>
        <v>http://dx.doi.org/10.1128/jvi.01641-23</v>
      </c>
      <c r="BG842" s="2"/>
      <c r="BH842" s="2" t="s">
        <v>2310</v>
      </c>
      <c r="BI842" s="2" t="n">
        <v>18</v>
      </c>
      <c r="BJ842" s="2" t="s">
        <v>163</v>
      </c>
      <c r="BK842" s="2" t="s">
        <v>100</v>
      </c>
      <c r="BL842" s="2" t="s">
        <v>163</v>
      </c>
      <c r="BM842" s="2" t="s">
        <v>15133</v>
      </c>
      <c r="BN842" s="2" t="n">
        <v>38690874</v>
      </c>
      <c r="BO842" s="2" t="s">
        <v>695</v>
      </c>
      <c r="BP842" s="2"/>
      <c r="BQ842" s="2"/>
      <c r="BR842" s="2" t="s">
        <v>104</v>
      </c>
      <c r="BS842" s="2" t="s">
        <v>15134</v>
      </c>
      <c r="BT842" s="2" t="str">
        <f aca="false">HYPERLINK("https%3A%2F%2Fwww.webofscience.com%2Fwos%2Fwoscc%2Ffull-record%2FWOS:001210908500002","View Full Record in Web of Science")</f>
        <v>View Full Record in Web of Science</v>
      </c>
    </row>
    <row r="843" customFormat="false" ht="12.75" hidden="false" customHeight="false" outlineLevel="0" collapsed="false">
      <c r="A843" s="2" t="s">
        <v>72</v>
      </c>
      <c r="B843" s="2" t="s">
        <v>15135</v>
      </c>
      <c r="C843" s="2"/>
      <c r="D843" s="2"/>
      <c r="E843" s="2"/>
      <c r="F843" s="2" t="s">
        <v>15136</v>
      </c>
      <c r="G843" s="2"/>
      <c r="H843" s="2"/>
      <c r="I843" s="2" t="s">
        <v>15137</v>
      </c>
      <c r="J843" s="2" t="s">
        <v>7145</v>
      </c>
      <c r="K843" s="2"/>
      <c r="L843" s="2"/>
      <c r="M843" s="2" t="s">
        <v>77</v>
      </c>
      <c r="N843" s="2" t="s">
        <v>78</v>
      </c>
      <c r="O843" s="2"/>
      <c r="P843" s="2"/>
      <c r="Q843" s="2"/>
      <c r="R843" s="2"/>
      <c r="S843" s="2"/>
      <c r="T843" s="2" t="s">
        <v>15138</v>
      </c>
      <c r="U843" s="2" t="s">
        <v>15139</v>
      </c>
      <c r="V843" s="2" t="s">
        <v>15140</v>
      </c>
      <c r="W843" s="2" t="s">
        <v>15141</v>
      </c>
      <c r="X843" s="2" t="s">
        <v>15142</v>
      </c>
      <c r="Y843" s="2" t="s">
        <v>15143</v>
      </c>
      <c r="Z843" s="2" t="s">
        <v>15144</v>
      </c>
      <c r="AA843" s="2" t="s">
        <v>15145</v>
      </c>
      <c r="AB843" s="2" t="s">
        <v>15146</v>
      </c>
      <c r="AC843" s="2" t="s">
        <v>15147</v>
      </c>
      <c r="AD843" s="2" t="s">
        <v>15148</v>
      </c>
      <c r="AE843" s="2" t="s">
        <v>15149</v>
      </c>
      <c r="AF843" s="2"/>
      <c r="AG843" s="2" t="n">
        <v>32</v>
      </c>
      <c r="AH843" s="2" t="n">
        <v>10</v>
      </c>
      <c r="AI843" s="2" t="n">
        <v>13</v>
      </c>
      <c r="AJ843" s="2" t="n">
        <v>0</v>
      </c>
      <c r="AK843" s="2" t="n">
        <v>4</v>
      </c>
      <c r="AL843" s="2" t="s">
        <v>3426</v>
      </c>
      <c r="AM843" s="2" t="s">
        <v>303</v>
      </c>
      <c r="AN843" s="2" t="s">
        <v>3427</v>
      </c>
      <c r="AO843" s="2" t="s">
        <v>7158</v>
      </c>
      <c r="AP843" s="2" t="s">
        <v>7159</v>
      </c>
      <c r="AQ843" s="2"/>
      <c r="AR843" s="2" t="s">
        <v>7160</v>
      </c>
      <c r="AS843" s="2" t="s">
        <v>7161</v>
      </c>
      <c r="AT843" s="2" t="s">
        <v>486</v>
      </c>
      <c r="AU843" s="2" t="n">
        <v>2017</v>
      </c>
      <c r="AV843" s="2" t="n">
        <v>98</v>
      </c>
      <c r="AW843" s="2" t="n">
        <v>6</v>
      </c>
      <c r="AX843" s="2"/>
      <c r="AY843" s="2"/>
      <c r="AZ843" s="2"/>
      <c r="BA843" s="2"/>
      <c r="BB843" s="2" t="n">
        <v>1174</v>
      </c>
      <c r="BC843" s="2" t="n">
        <v>1180</v>
      </c>
      <c r="BD843" s="2"/>
      <c r="BE843" s="2" t="s">
        <v>15150</v>
      </c>
      <c r="BF843" s="2" t="str">
        <f aca="false">HYPERLINK("http://dx.doi.org/10.1099/jgv.0.000796","http://dx.doi.org/10.1099/jgv.0.000796")</f>
        <v>http://dx.doi.org/10.1099/jgv.0.000796</v>
      </c>
      <c r="BG843" s="2"/>
      <c r="BH843" s="2"/>
      <c r="BI843" s="2" t="n">
        <v>7</v>
      </c>
      <c r="BJ843" s="2" t="s">
        <v>7163</v>
      </c>
      <c r="BK843" s="2" t="s">
        <v>100</v>
      </c>
      <c r="BL843" s="2" t="s">
        <v>7163</v>
      </c>
      <c r="BM843" s="2" t="s">
        <v>15151</v>
      </c>
      <c r="BN843" s="2" t="n">
        <v>28613142</v>
      </c>
      <c r="BO843" s="2" t="s">
        <v>656</v>
      </c>
      <c r="BP843" s="2"/>
      <c r="BQ843" s="2"/>
      <c r="BR843" s="2" t="s">
        <v>104</v>
      </c>
      <c r="BS843" s="2" t="s">
        <v>15152</v>
      </c>
      <c r="BT843" s="2" t="str">
        <f aca="false">HYPERLINK("https%3A%2F%2Fwww.webofscience.com%2Fwos%2Fwoscc%2Ffull-record%2FWOS:000410020900006","View Full Record in Web of Science")</f>
        <v>View Full Record in Web of Science</v>
      </c>
    </row>
    <row r="844" customFormat="false" ht="12.75" hidden="false" customHeight="false" outlineLevel="0" collapsed="false">
      <c r="A844" s="2" t="s">
        <v>72</v>
      </c>
      <c r="B844" s="2" t="s">
        <v>15153</v>
      </c>
      <c r="C844" s="2"/>
      <c r="D844" s="2"/>
      <c r="E844" s="2"/>
      <c r="F844" s="2" t="s">
        <v>15154</v>
      </c>
      <c r="G844" s="2"/>
      <c r="H844" s="2"/>
      <c r="I844" s="2" t="s">
        <v>15155</v>
      </c>
      <c r="J844" s="2" t="s">
        <v>2406</v>
      </c>
      <c r="K844" s="2"/>
      <c r="L844" s="2"/>
      <c r="M844" s="2" t="s">
        <v>77</v>
      </c>
      <c r="N844" s="2" t="s">
        <v>78</v>
      </c>
      <c r="O844" s="2"/>
      <c r="P844" s="2"/>
      <c r="Q844" s="2"/>
      <c r="R844" s="2"/>
      <c r="S844" s="2"/>
      <c r="T844" s="2" t="s">
        <v>15156</v>
      </c>
      <c r="U844" s="2" t="s">
        <v>15157</v>
      </c>
      <c r="V844" s="2" t="s">
        <v>15158</v>
      </c>
      <c r="W844" s="2" t="s">
        <v>15159</v>
      </c>
      <c r="X844" s="2" t="s">
        <v>1891</v>
      </c>
      <c r="Y844" s="2" t="s">
        <v>15160</v>
      </c>
      <c r="Z844" s="2" t="s">
        <v>15161</v>
      </c>
      <c r="AA844" s="2" t="s">
        <v>15162</v>
      </c>
      <c r="AB844" s="2" t="s">
        <v>15163</v>
      </c>
      <c r="AC844" s="2" t="s">
        <v>15164</v>
      </c>
      <c r="AD844" s="2" t="s">
        <v>15165</v>
      </c>
      <c r="AE844" s="2" t="s">
        <v>15166</v>
      </c>
      <c r="AF844" s="2"/>
      <c r="AG844" s="2" t="n">
        <v>91</v>
      </c>
      <c r="AH844" s="2" t="n">
        <v>7</v>
      </c>
      <c r="AI844" s="2" t="n">
        <v>7</v>
      </c>
      <c r="AJ844" s="2" t="n">
        <v>3</v>
      </c>
      <c r="AK844" s="2" t="n">
        <v>16</v>
      </c>
      <c r="AL844" s="2" t="s">
        <v>383</v>
      </c>
      <c r="AM844" s="2" t="s">
        <v>384</v>
      </c>
      <c r="AN844" s="2" t="s">
        <v>385</v>
      </c>
      <c r="AO844" s="2" t="s">
        <v>2417</v>
      </c>
      <c r="AP844" s="2" t="s">
        <v>13985</v>
      </c>
      <c r="AQ844" s="2"/>
      <c r="AR844" s="2" t="s">
        <v>2418</v>
      </c>
      <c r="AS844" s="2" t="s">
        <v>2419</v>
      </c>
      <c r="AT844" s="2" t="s">
        <v>804</v>
      </c>
      <c r="AU844" s="2" t="n">
        <v>2022</v>
      </c>
      <c r="AV844" s="2" t="n">
        <v>207</v>
      </c>
      <c r="AW844" s="2"/>
      <c r="AX844" s="2"/>
      <c r="AY844" s="2"/>
      <c r="AZ844" s="2"/>
      <c r="BA844" s="2"/>
      <c r="BB844" s="2"/>
      <c r="BC844" s="2"/>
      <c r="BD844" s="2" t="n">
        <v>105405</v>
      </c>
      <c r="BE844" s="2" t="s">
        <v>15167</v>
      </c>
      <c r="BF844" s="2" t="str">
        <f aca="false">HYPERLINK("http://dx.doi.org/10.1016/j.antiviral.2022.105405","http://dx.doi.org/10.1016/j.antiviral.2022.105405")</f>
        <v>http://dx.doi.org/10.1016/j.antiviral.2022.105405</v>
      </c>
      <c r="BG844" s="2"/>
      <c r="BH844" s="2" t="s">
        <v>6262</v>
      </c>
      <c r="BI844" s="2" t="n">
        <v>9</v>
      </c>
      <c r="BJ844" s="2" t="s">
        <v>2421</v>
      </c>
      <c r="BK844" s="2" t="s">
        <v>100</v>
      </c>
      <c r="BL844" s="2" t="s">
        <v>2421</v>
      </c>
      <c r="BM844" s="2" t="s">
        <v>15168</v>
      </c>
      <c r="BN844" s="2" t="n">
        <v>36084851</v>
      </c>
      <c r="BO844" s="2" t="s">
        <v>165</v>
      </c>
      <c r="BP844" s="2"/>
      <c r="BQ844" s="2"/>
      <c r="BR844" s="2" t="s">
        <v>104</v>
      </c>
      <c r="BS844" s="2" t="s">
        <v>15169</v>
      </c>
      <c r="BT844" s="2" t="str">
        <f aca="false">HYPERLINK("https%3A%2F%2Fwww.webofscience.com%2Fwos%2Fwoscc%2Ffull-record%2FWOS:000862498100003","View Full Record in Web of Science")</f>
        <v>View Full Record in Web of Science</v>
      </c>
    </row>
    <row r="845" customFormat="false" ht="12.75" hidden="false" customHeight="false" outlineLevel="0" collapsed="false">
      <c r="A845" s="2" t="s">
        <v>72</v>
      </c>
      <c r="B845" s="2" t="s">
        <v>15170</v>
      </c>
      <c r="C845" s="2"/>
      <c r="D845" s="2"/>
      <c r="E845" s="2"/>
      <c r="F845" s="2" t="s">
        <v>15171</v>
      </c>
      <c r="G845" s="2"/>
      <c r="H845" s="2"/>
      <c r="I845" s="2" t="s">
        <v>15172</v>
      </c>
      <c r="J845" s="2" t="s">
        <v>370</v>
      </c>
      <c r="K845" s="2"/>
      <c r="L845" s="2"/>
      <c r="M845" s="2" t="s">
        <v>77</v>
      </c>
      <c r="N845" s="2" t="s">
        <v>78</v>
      </c>
      <c r="O845" s="2"/>
      <c r="P845" s="2"/>
      <c r="Q845" s="2"/>
      <c r="R845" s="2"/>
      <c r="S845" s="2"/>
      <c r="T845" s="2" t="s">
        <v>15173</v>
      </c>
      <c r="U845" s="2" t="s">
        <v>15174</v>
      </c>
      <c r="V845" s="2" t="s">
        <v>15175</v>
      </c>
      <c r="W845" s="2" t="s">
        <v>15176</v>
      </c>
      <c r="X845" s="2" t="s">
        <v>15177</v>
      </c>
      <c r="Y845" s="2" t="s">
        <v>15178</v>
      </c>
      <c r="Z845" s="2" t="s">
        <v>12355</v>
      </c>
      <c r="AA845" s="2" t="s">
        <v>15179</v>
      </c>
      <c r="AB845" s="2" t="s">
        <v>15180</v>
      </c>
      <c r="AC845" s="2" t="s">
        <v>15181</v>
      </c>
      <c r="AD845" s="2" t="s">
        <v>15182</v>
      </c>
      <c r="AE845" s="2" t="s">
        <v>15183</v>
      </c>
      <c r="AF845" s="2"/>
      <c r="AG845" s="2" t="n">
        <v>45</v>
      </c>
      <c r="AH845" s="2" t="n">
        <v>37</v>
      </c>
      <c r="AI845" s="2" t="n">
        <v>42</v>
      </c>
      <c r="AJ845" s="2" t="n">
        <v>0</v>
      </c>
      <c r="AK845" s="2" t="n">
        <v>23</v>
      </c>
      <c r="AL845" s="2" t="s">
        <v>383</v>
      </c>
      <c r="AM845" s="2" t="s">
        <v>384</v>
      </c>
      <c r="AN845" s="2" t="s">
        <v>385</v>
      </c>
      <c r="AO845" s="2" t="s">
        <v>386</v>
      </c>
      <c r="AP845" s="2" t="s">
        <v>387</v>
      </c>
      <c r="AQ845" s="2"/>
      <c r="AR845" s="2" t="s">
        <v>388</v>
      </c>
      <c r="AS845" s="2" t="s">
        <v>389</v>
      </c>
      <c r="AT845" s="2" t="s">
        <v>804</v>
      </c>
      <c r="AU845" s="2" t="n">
        <v>2013</v>
      </c>
      <c r="AV845" s="2" t="n">
        <v>58</v>
      </c>
      <c r="AW845" s="2" t="n">
        <v>3</v>
      </c>
      <c r="AX845" s="2"/>
      <c r="AY845" s="2"/>
      <c r="AZ845" s="2"/>
      <c r="BA845" s="2"/>
      <c r="BB845" s="2" t="n">
        <v>541</v>
      </c>
      <c r="BC845" s="2" t="n">
        <v>547</v>
      </c>
      <c r="BD845" s="2"/>
      <c r="BE845" s="2" t="s">
        <v>15184</v>
      </c>
      <c r="BF845" s="2" t="str">
        <f aca="false">HYPERLINK("http://dx.doi.org/10.1016/j.jcv.2013.08.029","http://dx.doi.org/10.1016/j.jcv.2013.08.029")</f>
        <v>http://dx.doi.org/10.1016/j.jcv.2013.08.029</v>
      </c>
      <c r="BG845" s="2"/>
      <c r="BH845" s="2"/>
      <c r="BI845" s="2" t="n">
        <v>7</v>
      </c>
      <c r="BJ845" s="2" t="s">
        <v>163</v>
      </c>
      <c r="BK845" s="2" t="s">
        <v>100</v>
      </c>
      <c r="BL845" s="2" t="s">
        <v>163</v>
      </c>
      <c r="BM845" s="2" t="s">
        <v>15185</v>
      </c>
      <c r="BN845" s="2" t="n">
        <v>24041471</v>
      </c>
      <c r="BO845" s="2"/>
      <c r="BP845" s="2"/>
      <c r="BQ845" s="2"/>
      <c r="BR845" s="2" t="s">
        <v>104</v>
      </c>
      <c r="BS845" s="2" t="s">
        <v>15186</v>
      </c>
      <c r="BT845" s="2" t="str">
        <f aca="false">HYPERLINK("https%3A%2F%2Fwww.webofscience.com%2Fwos%2Fwoscc%2Ffull-record%2FWOS:000326176400008","View Full Record in Web of Science")</f>
        <v>View Full Record in Web of Science</v>
      </c>
    </row>
    <row r="846" customFormat="false" ht="12.75" hidden="false" customHeight="false" outlineLevel="0" collapsed="false">
      <c r="A846" s="2" t="s">
        <v>72</v>
      </c>
      <c r="B846" s="2" t="s">
        <v>15187</v>
      </c>
      <c r="C846" s="2"/>
      <c r="D846" s="2"/>
      <c r="E846" s="2"/>
      <c r="F846" s="2" t="s">
        <v>15188</v>
      </c>
      <c r="G846" s="2"/>
      <c r="H846" s="2"/>
      <c r="I846" s="2" t="s">
        <v>15189</v>
      </c>
      <c r="J846" s="2" t="s">
        <v>15190</v>
      </c>
      <c r="K846" s="2"/>
      <c r="L846" s="2"/>
      <c r="M846" s="2" t="s">
        <v>77</v>
      </c>
      <c r="N846" s="2" t="s">
        <v>78</v>
      </c>
      <c r="O846" s="2"/>
      <c r="P846" s="2"/>
      <c r="Q846" s="2"/>
      <c r="R846" s="2"/>
      <c r="S846" s="2"/>
      <c r="T846" s="2" t="s">
        <v>15191</v>
      </c>
      <c r="U846" s="2"/>
      <c r="V846" s="2" t="s">
        <v>15192</v>
      </c>
      <c r="W846" s="2" t="s">
        <v>15193</v>
      </c>
      <c r="X846" s="2" t="s">
        <v>15194</v>
      </c>
      <c r="Y846" s="2" t="s">
        <v>15195</v>
      </c>
      <c r="Z846" s="2" t="s">
        <v>15196</v>
      </c>
      <c r="AA846" s="2"/>
      <c r="AB846" s="2"/>
      <c r="AC846" s="2" t="s">
        <v>15197</v>
      </c>
      <c r="AD846" s="2" t="s">
        <v>15197</v>
      </c>
      <c r="AE846" s="2" t="s">
        <v>15198</v>
      </c>
      <c r="AF846" s="2"/>
      <c r="AG846" s="2" t="n">
        <v>7</v>
      </c>
      <c r="AH846" s="2" t="n">
        <v>0</v>
      </c>
      <c r="AI846" s="2" t="n">
        <v>0</v>
      </c>
      <c r="AJ846" s="2" t="n">
        <v>0</v>
      </c>
      <c r="AK846" s="2" t="n">
        <v>0</v>
      </c>
      <c r="AL846" s="2" t="s">
        <v>408</v>
      </c>
      <c r="AM846" s="2" t="s">
        <v>409</v>
      </c>
      <c r="AN846" s="2" t="s">
        <v>410</v>
      </c>
      <c r="AO846" s="2" t="s">
        <v>15199</v>
      </c>
      <c r="AP846" s="2" t="s">
        <v>15200</v>
      </c>
      <c r="AQ846" s="2"/>
      <c r="AR846" s="2" t="s">
        <v>15201</v>
      </c>
      <c r="AS846" s="2" t="s">
        <v>15202</v>
      </c>
      <c r="AT846" s="2" t="s">
        <v>129</v>
      </c>
      <c r="AU846" s="2" t="n">
        <v>2011</v>
      </c>
      <c r="AV846" s="2" t="n">
        <v>9</v>
      </c>
      <c r="AW846" s="2" t="n">
        <v>3</v>
      </c>
      <c r="AX846" s="2"/>
      <c r="AY846" s="2"/>
      <c r="AZ846" s="2"/>
      <c r="BA846" s="2"/>
      <c r="BB846" s="2" t="n">
        <v>419</v>
      </c>
      <c r="BC846" s="2" t="n">
        <v>421</v>
      </c>
      <c r="BD846" s="2"/>
      <c r="BE846" s="2" t="s">
        <v>15203</v>
      </c>
      <c r="BF846" s="2" t="str">
        <f aca="false">HYPERLINK("http://dx.doi.org/10.3233/JPN-2011-0505","http://dx.doi.org/10.3233/JPN-2011-0505")</f>
        <v>http://dx.doi.org/10.3233/JPN-2011-0505</v>
      </c>
      <c r="BG846" s="2"/>
      <c r="BH846" s="2"/>
      <c r="BI846" s="2" t="n">
        <v>3</v>
      </c>
      <c r="BJ846" s="2" t="s">
        <v>601</v>
      </c>
      <c r="BK846" s="2" t="s">
        <v>339</v>
      </c>
      <c r="BL846" s="2" t="s">
        <v>601</v>
      </c>
      <c r="BM846" s="2" t="s">
        <v>15204</v>
      </c>
      <c r="BN846" s="2"/>
      <c r="BO846" s="2"/>
      <c r="BP846" s="2"/>
      <c r="BQ846" s="2"/>
      <c r="BR846" s="2" t="s">
        <v>104</v>
      </c>
      <c r="BS846" s="2" t="s">
        <v>15205</v>
      </c>
      <c r="BT846" s="2" t="str">
        <f aca="false">HYPERLINK("https%3A%2F%2Fwww.webofscience.com%2Fwos%2Fwoscc%2Ffull-record%2FWOS:000216253200024","View Full Record in Web of Science")</f>
        <v>View Full Record in Web of Science</v>
      </c>
    </row>
    <row r="847" customFormat="false" ht="12.75" hidden="false" customHeight="false" outlineLevel="0" collapsed="false">
      <c r="A847" s="2" t="s">
        <v>72</v>
      </c>
      <c r="B847" s="2" t="s">
        <v>15206</v>
      </c>
      <c r="C847" s="2"/>
      <c r="D847" s="2"/>
      <c r="E847" s="2"/>
      <c r="F847" s="2" t="s">
        <v>15207</v>
      </c>
      <c r="G847" s="2"/>
      <c r="H847" s="2"/>
      <c r="I847" s="2" t="s">
        <v>15208</v>
      </c>
      <c r="J847" s="2" t="s">
        <v>15209</v>
      </c>
      <c r="K847" s="2"/>
      <c r="L847" s="2"/>
      <c r="M847" s="2" t="s">
        <v>77</v>
      </c>
      <c r="N847" s="2" t="s">
        <v>78</v>
      </c>
      <c r="O847" s="2"/>
      <c r="P847" s="2"/>
      <c r="Q847" s="2"/>
      <c r="R847" s="2"/>
      <c r="S847" s="2"/>
      <c r="T847" s="2" t="s">
        <v>15210</v>
      </c>
      <c r="U847" s="2" t="s">
        <v>15211</v>
      </c>
      <c r="V847" s="2" t="s">
        <v>15212</v>
      </c>
      <c r="W847" s="2" t="s">
        <v>15213</v>
      </c>
      <c r="X847" s="2" t="s">
        <v>15214</v>
      </c>
      <c r="Y847" s="2" t="s">
        <v>15215</v>
      </c>
      <c r="Z847" s="2" t="s">
        <v>15216</v>
      </c>
      <c r="AA847" s="2"/>
      <c r="AB847" s="2"/>
      <c r="AC847" s="2"/>
      <c r="AD847" s="2"/>
      <c r="AE847" s="2"/>
      <c r="AF847" s="2"/>
      <c r="AG847" s="2" t="n">
        <v>28</v>
      </c>
      <c r="AH847" s="2" t="n">
        <v>3</v>
      </c>
      <c r="AI847" s="2" t="n">
        <v>5</v>
      </c>
      <c r="AJ847" s="2" t="n">
        <v>0</v>
      </c>
      <c r="AK847" s="2" t="n">
        <v>5</v>
      </c>
      <c r="AL847" s="2" t="s">
        <v>15217</v>
      </c>
      <c r="AM847" s="2" t="s">
        <v>15218</v>
      </c>
      <c r="AN847" s="2" t="s">
        <v>15219</v>
      </c>
      <c r="AO847" s="2" t="s">
        <v>15220</v>
      </c>
      <c r="AP847" s="2" t="s">
        <v>15221</v>
      </c>
      <c r="AQ847" s="2"/>
      <c r="AR847" s="2" t="s">
        <v>15222</v>
      </c>
      <c r="AS847" s="2" t="s">
        <v>15223</v>
      </c>
      <c r="AT847" s="2" t="s">
        <v>2640</v>
      </c>
      <c r="AU847" s="2" t="n">
        <v>2020</v>
      </c>
      <c r="AV847" s="2" t="n">
        <v>65</v>
      </c>
      <c r="AW847" s="2" t="n">
        <v>5</v>
      </c>
      <c r="AX847" s="2"/>
      <c r="AY847" s="2"/>
      <c r="AZ847" s="2"/>
      <c r="BA847" s="2"/>
      <c r="BB847" s="2" t="n">
        <v>650</v>
      </c>
      <c r="BC847" s="2" t="n">
        <v>657</v>
      </c>
      <c r="BD847" s="2"/>
      <c r="BE847" s="2" t="s">
        <v>15224</v>
      </c>
      <c r="BF847" s="2" t="str">
        <f aca="false">HYPERLINK("http://dx.doi.org/10.4187/respcare.07156","http://dx.doi.org/10.4187/respcare.07156")</f>
        <v>http://dx.doi.org/10.4187/respcare.07156</v>
      </c>
      <c r="BG847" s="2"/>
      <c r="BH847" s="2"/>
      <c r="BI847" s="2" t="n">
        <v>8</v>
      </c>
      <c r="BJ847" s="2" t="s">
        <v>2962</v>
      </c>
      <c r="BK847" s="2" t="s">
        <v>100</v>
      </c>
      <c r="BL847" s="2" t="s">
        <v>2963</v>
      </c>
      <c r="BM847" s="2" t="s">
        <v>15225</v>
      </c>
      <c r="BN847" s="2" t="n">
        <v>32047124</v>
      </c>
      <c r="BO847" s="2" t="s">
        <v>656</v>
      </c>
      <c r="BP847" s="2"/>
      <c r="BQ847" s="2"/>
      <c r="BR847" s="2" t="s">
        <v>104</v>
      </c>
      <c r="BS847" s="2" t="s">
        <v>15226</v>
      </c>
      <c r="BT847" s="2" t="str">
        <f aca="false">HYPERLINK("https%3A%2F%2Fwww.webofscience.com%2Fwos%2Fwoscc%2Ffull-record%2FWOS:000530100600011","View Full Record in Web of Science")</f>
        <v>View Full Record in Web of Science</v>
      </c>
    </row>
    <row r="848" customFormat="false" ht="12.75" hidden="false" customHeight="false" outlineLevel="0" collapsed="false">
      <c r="A848" s="2" t="s">
        <v>72</v>
      </c>
      <c r="B848" s="2" t="s">
        <v>15227</v>
      </c>
      <c r="C848" s="2"/>
      <c r="D848" s="2"/>
      <c r="E848" s="2"/>
      <c r="F848" s="2" t="s">
        <v>15228</v>
      </c>
      <c r="G848" s="2"/>
      <c r="H848" s="2"/>
      <c r="I848" s="2" t="s">
        <v>15229</v>
      </c>
      <c r="J848" s="2" t="s">
        <v>10141</v>
      </c>
      <c r="K848" s="2"/>
      <c r="L848" s="2"/>
      <c r="M848" s="2" t="s">
        <v>77</v>
      </c>
      <c r="N848" s="2" t="s">
        <v>78</v>
      </c>
      <c r="O848" s="2"/>
      <c r="P848" s="2"/>
      <c r="Q848" s="2"/>
      <c r="R848" s="2"/>
      <c r="S848" s="2"/>
      <c r="T848" s="2" t="s">
        <v>15230</v>
      </c>
      <c r="U848" s="2" t="s">
        <v>15231</v>
      </c>
      <c r="V848" s="2" t="s">
        <v>15232</v>
      </c>
      <c r="W848" s="2" t="s">
        <v>15233</v>
      </c>
      <c r="X848" s="2" t="s">
        <v>10631</v>
      </c>
      <c r="Y848" s="2" t="s">
        <v>15234</v>
      </c>
      <c r="Z848" s="2" t="s">
        <v>10633</v>
      </c>
      <c r="AA848" s="2" t="s">
        <v>15235</v>
      </c>
      <c r="AB848" s="2" t="s">
        <v>15236</v>
      </c>
      <c r="AC848" s="2" t="s">
        <v>15237</v>
      </c>
      <c r="AD848" s="2" t="s">
        <v>15238</v>
      </c>
      <c r="AE848" s="2" t="s">
        <v>15239</v>
      </c>
      <c r="AF848" s="2"/>
      <c r="AG848" s="2" t="n">
        <v>94</v>
      </c>
      <c r="AH848" s="2" t="n">
        <v>14</v>
      </c>
      <c r="AI848" s="2" t="n">
        <v>16</v>
      </c>
      <c r="AJ848" s="2" t="n">
        <v>0</v>
      </c>
      <c r="AK848" s="2" t="n">
        <v>3</v>
      </c>
      <c r="AL848" s="2" t="s">
        <v>10152</v>
      </c>
      <c r="AM848" s="2" t="s">
        <v>10153</v>
      </c>
      <c r="AN848" s="2" t="s">
        <v>10154</v>
      </c>
      <c r="AO848" s="2"/>
      <c r="AP848" s="2" t="s">
        <v>10155</v>
      </c>
      <c r="AQ848" s="2"/>
      <c r="AR848" s="2" t="s">
        <v>10141</v>
      </c>
      <c r="AS848" s="2" t="s">
        <v>10156</v>
      </c>
      <c r="AT848" s="2" t="s">
        <v>15240</v>
      </c>
      <c r="AU848" s="2" t="n">
        <v>2016</v>
      </c>
      <c r="AV848" s="2" t="n">
        <v>7</v>
      </c>
      <c r="AW848" s="2" t="n">
        <v>32</v>
      </c>
      <c r="AX848" s="2"/>
      <c r="AY848" s="2"/>
      <c r="AZ848" s="2"/>
      <c r="BA848" s="2"/>
      <c r="BB848" s="2" t="n">
        <v>52115</v>
      </c>
      <c r="BC848" s="2" t="n">
        <v>52134</v>
      </c>
      <c r="BD848" s="2"/>
      <c r="BE848" s="2" t="s">
        <v>15241</v>
      </c>
      <c r="BF848" s="2" t="str">
        <f aca="false">HYPERLINK("http://dx.doi.org/10.18632/oncotarget.10313","http://dx.doi.org/10.18632/oncotarget.10313")</f>
        <v>http://dx.doi.org/10.18632/oncotarget.10313</v>
      </c>
      <c r="BG848" s="2"/>
      <c r="BH848" s="2"/>
      <c r="BI848" s="2" t="n">
        <v>20</v>
      </c>
      <c r="BJ848" s="2" t="s">
        <v>10159</v>
      </c>
      <c r="BK848" s="2" t="s">
        <v>100</v>
      </c>
      <c r="BL848" s="2" t="s">
        <v>10159</v>
      </c>
      <c r="BM848" s="2" t="s">
        <v>15242</v>
      </c>
      <c r="BN848" s="2" t="n">
        <v>27366948</v>
      </c>
      <c r="BO848" s="2" t="s">
        <v>6349</v>
      </c>
      <c r="BP848" s="2"/>
      <c r="BQ848" s="2"/>
      <c r="BR848" s="2" t="s">
        <v>104</v>
      </c>
      <c r="BS848" s="2" t="s">
        <v>15243</v>
      </c>
      <c r="BT848" s="2" t="str">
        <f aca="false">HYPERLINK("https%3A%2F%2Fwww.webofscience.com%2Fwos%2Fwoscc%2Ffull-record%2FWOS:000385429100106","View Full Record in Web of Science")</f>
        <v>View Full Record in Web of Science</v>
      </c>
    </row>
    <row r="849" customFormat="false" ht="12.75" hidden="false" customHeight="false" outlineLevel="0" collapsed="false">
      <c r="A849" s="2" t="s">
        <v>72</v>
      </c>
      <c r="B849" s="2" t="s">
        <v>15244</v>
      </c>
      <c r="C849" s="2"/>
      <c r="D849" s="2"/>
      <c r="E849" s="2"/>
      <c r="F849" s="2" t="s">
        <v>15245</v>
      </c>
      <c r="G849" s="2"/>
      <c r="H849" s="2"/>
      <c r="I849" s="2" t="s">
        <v>15246</v>
      </c>
      <c r="J849" s="2" t="s">
        <v>3719</v>
      </c>
      <c r="K849" s="2"/>
      <c r="L849" s="2"/>
      <c r="M849" s="2" t="s">
        <v>77</v>
      </c>
      <c r="N849" s="2" t="s">
        <v>78</v>
      </c>
      <c r="O849" s="2"/>
      <c r="P849" s="2"/>
      <c r="Q849" s="2"/>
      <c r="R849" s="2"/>
      <c r="S849" s="2"/>
      <c r="T849" s="2" t="s">
        <v>15247</v>
      </c>
      <c r="U849" s="2" t="s">
        <v>15248</v>
      </c>
      <c r="V849" s="2" t="s">
        <v>15249</v>
      </c>
      <c r="W849" s="2" t="s">
        <v>15250</v>
      </c>
      <c r="X849" s="2" t="s">
        <v>15251</v>
      </c>
      <c r="Y849" s="2" t="s">
        <v>15252</v>
      </c>
      <c r="Z849" s="2" t="s">
        <v>15253</v>
      </c>
      <c r="AA849" s="2" t="s">
        <v>15254</v>
      </c>
      <c r="AB849" s="2" t="s">
        <v>15255</v>
      </c>
      <c r="AC849" s="2" t="s">
        <v>15256</v>
      </c>
      <c r="AD849" s="2" t="s">
        <v>15257</v>
      </c>
      <c r="AE849" s="2" t="s">
        <v>15258</v>
      </c>
      <c r="AF849" s="2"/>
      <c r="AG849" s="2" t="n">
        <v>43</v>
      </c>
      <c r="AH849" s="2" t="n">
        <v>21</v>
      </c>
      <c r="AI849" s="2" t="n">
        <v>25</v>
      </c>
      <c r="AJ849" s="2" t="n">
        <v>0</v>
      </c>
      <c r="AK849" s="2" t="n">
        <v>6</v>
      </c>
      <c r="AL849" s="2" t="s">
        <v>3584</v>
      </c>
      <c r="AM849" s="2" t="s">
        <v>303</v>
      </c>
      <c r="AN849" s="2" t="s">
        <v>3585</v>
      </c>
      <c r="AO849" s="2" t="s">
        <v>3732</v>
      </c>
      <c r="AP849" s="2" t="s">
        <v>4677</v>
      </c>
      <c r="AQ849" s="2"/>
      <c r="AR849" s="2" t="s">
        <v>3733</v>
      </c>
      <c r="AS849" s="2" t="s">
        <v>3734</v>
      </c>
      <c r="AT849" s="2" t="s">
        <v>161</v>
      </c>
      <c r="AU849" s="2" t="n">
        <v>2012</v>
      </c>
      <c r="AV849" s="2" t="n">
        <v>64</v>
      </c>
      <c r="AW849" s="2" t="n">
        <v>1</v>
      </c>
      <c r="AX849" s="2"/>
      <c r="AY849" s="2"/>
      <c r="AZ849" s="2"/>
      <c r="BA849" s="2"/>
      <c r="BB849" s="2" t="n">
        <v>96</v>
      </c>
      <c r="BC849" s="2" t="n">
        <v>103</v>
      </c>
      <c r="BD849" s="2"/>
      <c r="BE849" s="2" t="s">
        <v>15259</v>
      </c>
      <c r="BF849" s="2" t="str">
        <f aca="false">HYPERLINK("http://dx.doi.org/10.1016/j.jinf.2011.10.011","http://dx.doi.org/10.1016/j.jinf.2011.10.011")</f>
        <v>http://dx.doi.org/10.1016/j.jinf.2011.10.011</v>
      </c>
      <c r="BG849" s="2"/>
      <c r="BH849" s="2"/>
      <c r="BI849" s="2" t="n">
        <v>8</v>
      </c>
      <c r="BJ849" s="2" t="s">
        <v>575</v>
      </c>
      <c r="BK849" s="2" t="s">
        <v>100</v>
      </c>
      <c r="BL849" s="2" t="s">
        <v>575</v>
      </c>
      <c r="BM849" s="2" t="s">
        <v>15260</v>
      </c>
      <c r="BN849" s="2" t="n">
        <v>22085814</v>
      </c>
      <c r="BO849" s="2" t="s">
        <v>13292</v>
      </c>
      <c r="BP849" s="2"/>
      <c r="BQ849" s="2"/>
      <c r="BR849" s="2" t="s">
        <v>104</v>
      </c>
      <c r="BS849" s="2" t="s">
        <v>15261</v>
      </c>
      <c r="BT849" s="2" t="str">
        <f aca="false">HYPERLINK("https%3A%2F%2Fwww.webofscience.com%2Fwos%2Fwoscc%2Ffull-record%2FWOS:000298635400011","View Full Record in Web of Science")</f>
        <v>View Full Record in Web of Science</v>
      </c>
    </row>
    <row r="850" customFormat="false" ht="12.75" hidden="false" customHeight="false" outlineLevel="0" collapsed="false">
      <c r="A850" s="2" t="s">
        <v>72</v>
      </c>
      <c r="B850" s="2" t="s">
        <v>15262</v>
      </c>
      <c r="C850" s="2"/>
      <c r="D850" s="2"/>
      <c r="E850" s="2"/>
      <c r="F850" s="2" t="s">
        <v>15263</v>
      </c>
      <c r="G850" s="2"/>
      <c r="H850" s="2"/>
      <c r="I850" s="2" t="s">
        <v>15264</v>
      </c>
      <c r="J850" s="2" t="s">
        <v>2001</v>
      </c>
      <c r="K850" s="2"/>
      <c r="L850" s="2"/>
      <c r="M850" s="2" t="s">
        <v>77</v>
      </c>
      <c r="N850" s="2" t="s">
        <v>78</v>
      </c>
      <c r="O850" s="2"/>
      <c r="P850" s="2"/>
      <c r="Q850" s="2"/>
      <c r="R850" s="2"/>
      <c r="S850" s="2"/>
      <c r="T850" s="2" t="s">
        <v>15265</v>
      </c>
      <c r="U850" s="2" t="s">
        <v>15266</v>
      </c>
      <c r="V850" s="2" t="s">
        <v>15267</v>
      </c>
      <c r="W850" s="2" t="s">
        <v>15268</v>
      </c>
      <c r="X850" s="2"/>
      <c r="Y850" s="2" t="s">
        <v>15269</v>
      </c>
      <c r="Z850" s="2" t="s">
        <v>15270</v>
      </c>
      <c r="AA850" s="2"/>
      <c r="AB850" s="2" t="s">
        <v>15271</v>
      </c>
      <c r="AC850" s="2"/>
      <c r="AD850" s="2"/>
      <c r="AE850" s="2"/>
      <c r="AF850" s="2"/>
      <c r="AG850" s="2" t="n">
        <v>28</v>
      </c>
      <c r="AH850" s="2" t="n">
        <v>6</v>
      </c>
      <c r="AI850" s="2" t="n">
        <v>7</v>
      </c>
      <c r="AJ850" s="2" t="n">
        <v>0</v>
      </c>
      <c r="AK850" s="2" t="n">
        <v>1</v>
      </c>
      <c r="AL850" s="2" t="s">
        <v>91</v>
      </c>
      <c r="AM850" s="2" t="s">
        <v>92</v>
      </c>
      <c r="AN850" s="2" t="s">
        <v>93</v>
      </c>
      <c r="AO850" s="2"/>
      <c r="AP850" s="2" t="s">
        <v>2013</v>
      </c>
      <c r="AQ850" s="2"/>
      <c r="AR850" s="2" t="s">
        <v>2001</v>
      </c>
      <c r="AS850" s="2" t="s">
        <v>2014</v>
      </c>
      <c r="AT850" s="2" t="s">
        <v>1041</v>
      </c>
      <c r="AU850" s="2" t="n">
        <v>2020</v>
      </c>
      <c r="AV850" s="2" t="n">
        <v>9</v>
      </c>
      <c r="AW850" s="2" t="n">
        <v>2</v>
      </c>
      <c r="AX850" s="2"/>
      <c r="AY850" s="2"/>
      <c r="AZ850" s="2"/>
      <c r="BA850" s="2"/>
      <c r="BB850" s="2"/>
      <c r="BC850" s="2"/>
      <c r="BD850" s="2" t="n">
        <v>85</v>
      </c>
      <c r="BE850" s="2" t="s">
        <v>15272</v>
      </c>
      <c r="BF850" s="2" t="str">
        <f aca="false">HYPERLINK("http://dx.doi.org/10.3390/pathogens9020085","http://dx.doi.org/10.3390/pathogens9020085")</f>
        <v>http://dx.doi.org/10.3390/pathogens9020085</v>
      </c>
      <c r="BG850" s="2"/>
      <c r="BH850" s="2"/>
      <c r="BI850" s="2" t="n">
        <v>12</v>
      </c>
      <c r="BJ850" s="2" t="s">
        <v>211</v>
      </c>
      <c r="BK850" s="2" t="s">
        <v>100</v>
      </c>
      <c r="BL850" s="2" t="s">
        <v>211</v>
      </c>
      <c r="BM850" s="2" t="s">
        <v>4440</v>
      </c>
      <c r="BN850" s="2" t="n">
        <v>32013048</v>
      </c>
      <c r="BO850" s="2" t="s">
        <v>190</v>
      </c>
      <c r="BP850" s="2"/>
      <c r="BQ850" s="2"/>
      <c r="BR850" s="2" t="s">
        <v>104</v>
      </c>
      <c r="BS850" s="2" t="s">
        <v>15273</v>
      </c>
      <c r="BT850" s="2" t="str">
        <f aca="false">HYPERLINK("https%3A%2F%2Fwww.webofscience.com%2Fwos%2Fwoscc%2Ffull-record%2FWOS:000519242900008","View Full Record in Web of Science")</f>
        <v>View Full Record in Web of Science</v>
      </c>
    </row>
    <row r="851" customFormat="false" ht="12.75" hidden="false" customHeight="false" outlineLevel="0" collapsed="false">
      <c r="A851" s="2" t="s">
        <v>72</v>
      </c>
      <c r="B851" s="2" t="s">
        <v>15274</v>
      </c>
      <c r="C851" s="2"/>
      <c r="D851" s="2"/>
      <c r="E851" s="2"/>
      <c r="F851" s="2" t="s">
        <v>15275</v>
      </c>
      <c r="G851" s="2"/>
      <c r="H851" s="2"/>
      <c r="I851" s="2" t="s">
        <v>15276</v>
      </c>
      <c r="J851" s="2" t="s">
        <v>370</v>
      </c>
      <c r="K851" s="2"/>
      <c r="L851" s="2"/>
      <c r="M851" s="2" t="s">
        <v>77</v>
      </c>
      <c r="N851" s="2" t="s">
        <v>78</v>
      </c>
      <c r="O851" s="2"/>
      <c r="P851" s="2"/>
      <c r="Q851" s="2"/>
      <c r="R851" s="2"/>
      <c r="S851" s="2"/>
      <c r="T851" s="2" t="s">
        <v>15277</v>
      </c>
      <c r="U851" s="2" t="s">
        <v>15278</v>
      </c>
      <c r="V851" s="2" t="s">
        <v>15279</v>
      </c>
      <c r="W851" s="2" t="s">
        <v>15280</v>
      </c>
      <c r="X851" s="2" t="s">
        <v>15281</v>
      </c>
      <c r="Y851" s="2" t="s">
        <v>15282</v>
      </c>
      <c r="Z851" s="2" t="s">
        <v>11128</v>
      </c>
      <c r="AA851" s="2" t="s">
        <v>15283</v>
      </c>
      <c r="AB851" s="2" t="s">
        <v>15284</v>
      </c>
      <c r="AC851" s="2"/>
      <c r="AD851" s="2"/>
      <c r="AE851" s="2"/>
      <c r="AF851" s="2"/>
      <c r="AG851" s="2" t="n">
        <v>39</v>
      </c>
      <c r="AH851" s="2" t="n">
        <v>52</v>
      </c>
      <c r="AI851" s="2" t="n">
        <v>61</v>
      </c>
      <c r="AJ851" s="2" t="n">
        <v>0</v>
      </c>
      <c r="AK851" s="2" t="n">
        <v>5</v>
      </c>
      <c r="AL851" s="2" t="s">
        <v>549</v>
      </c>
      <c r="AM851" s="2" t="s">
        <v>384</v>
      </c>
      <c r="AN851" s="2" t="s">
        <v>550</v>
      </c>
      <c r="AO851" s="2" t="s">
        <v>386</v>
      </c>
      <c r="AP851" s="2" t="s">
        <v>387</v>
      </c>
      <c r="AQ851" s="2"/>
      <c r="AR851" s="2" t="s">
        <v>388</v>
      </c>
      <c r="AS851" s="2" t="s">
        <v>389</v>
      </c>
      <c r="AT851" s="2" t="s">
        <v>599</v>
      </c>
      <c r="AU851" s="2" t="n">
        <v>2008</v>
      </c>
      <c r="AV851" s="2" t="n">
        <v>42</v>
      </c>
      <c r="AW851" s="2" t="n">
        <v>3</v>
      </c>
      <c r="AX851" s="2"/>
      <c r="AY851" s="2"/>
      <c r="AZ851" s="2"/>
      <c r="BA851" s="2"/>
      <c r="BB851" s="2" t="n">
        <v>286</v>
      </c>
      <c r="BC851" s="2" t="n">
        <v>290</v>
      </c>
      <c r="BD851" s="2"/>
      <c r="BE851" s="2" t="s">
        <v>15285</v>
      </c>
      <c r="BF851" s="2" t="str">
        <f aca="false">HYPERLINK("http://dx.doi.org/10.1016/j.jcv.2008.03.029","http://dx.doi.org/10.1016/j.jcv.2008.03.029")</f>
        <v>http://dx.doi.org/10.1016/j.jcv.2008.03.029</v>
      </c>
      <c r="BG851" s="2"/>
      <c r="BH851" s="2"/>
      <c r="BI851" s="2" t="n">
        <v>5</v>
      </c>
      <c r="BJ851" s="2" t="s">
        <v>163</v>
      </c>
      <c r="BK851" s="2" t="s">
        <v>100</v>
      </c>
      <c r="BL851" s="2" t="s">
        <v>163</v>
      </c>
      <c r="BM851" s="2" t="s">
        <v>9065</v>
      </c>
      <c r="BN851" s="2" t="n">
        <v>18479963</v>
      </c>
      <c r="BO851" s="2" t="s">
        <v>165</v>
      </c>
      <c r="BP851" s="2"/>
      <c r="BQ851" s="2"/>
      <c r="BR851" s="2" t="s">
        <v>104</v>
      </c>
      <c r="BS851" s="2" t="s">
        <v>15286</v>
      </c>
      <c r="BT851" s="2" t="str">
        <f aca="false">HYPERLINK("https%3A%2F%2Fwww.webofscience.com%2Fwos%2Fwoscc%2Ffull-record%2FWOS:000257956500010","View Full Record in Web of Science")</f>
        <v>View Full Record in Web of Science</v>
      </c>
    </row>
    <row r="852" customFormat="false" ht="12.75" hidden="false" customHeight="false" outlineLevel="0" collapsed="false">
      <c r="A852" s="2" t="s">
        <v>72</v>
      </c>
      <c r="B852" s="2" t="s">
        <v>15287</v>
      </c>
      <c r="C852" s="2"/>
      <c r="D852" s="2"/>
      <c r="E852" s="2"/>
      <c r="F852" s="2" t="s">
        <v>15288</v>
      </c>
      <c r="G852" s="2"/>
      <c r="H852" s="2"/>
      <c r="I852" s="2" t="s">
        <v>15289</v>
      </c>
      <c r="J852" s="2" t="s">
        <v>1863</v>
      </c>
      <c r="K852" s="2"/>
      <c r="L852" s="2"/>
      <c r="M852" s="2" t="s">
        <v>77</v>
      </c>
      <c r="N852" s="2" t="s">
        <v>78</v>
      </c>
      <c r="O852" s="2"/>
      <c r="P852" s="2"/>
      <c r="Q852" s="2"/>
      <c r="R852" s="2"/>
      <c r="S852" s="2"/>
      <c r="T852" s="2" t="s">
        <v>15290</v>
      </c>
      <c r="U852" s="2"/>
      <c r="V852" s="2" t="s">
        <v>15291</v>
      </c>
      <c r="W852" s="2" t="s">
        <v>15292</v>
      </c>
      <c r="X852" s="2" t="s">
        <v>15293</v>
      </c>
      <c r="Y852" s="2" t="s">
        <v>15294</v>
      </c>
      <c r="Z852" s="2" t="s">
        <v>12600</v>
      </c>
      <c r="AA852" s="2"/>
      <c r="AB852" s="2"/>
      <c r="AC852" s="2" t="s">
        <v>15295</v>
      </c>
      <c r="AD852" s="2" t="s">
        <v>15296</v>
      </c>
      <c r="AE852" s="2" t="s">
        <v>15297</v>
      </c>
      <c r="AF852" s="2"/>
      <c r="AG852" s="2" t="n">
        <v>29</v>
      </c>
      <c r="AH852" s="2" t="n">
        <v>12</v>
      </c>
      <c r="AI852" s="2" t="n">
        <v>15</v>
      </c>
      <c r="AJ852" s="2" t="n">
        <v>0</v>
      </c>
      <c r="AK852" s="2" t="n">
        <v>9</v>
      </c>
      <c r="AL852" s="2" t="s">
        <v>302</v>
      </c>
      <c r="AM852" s="2" t="s">
        <v>303</v>
      </c>
      <c r="AN852" s="2" t="s">
        <v>304</v>
      </c>
      <c r="AO852" s="2"/>
      <c r="AP852" s="2" t="s">
        <v>1876</v>
      </c>
      <c r="AQ852" s="2"/>
      <c r="AR852" s="2" t="s">
        <v>1877</v>
      </c>
      <c r="AS852" s="2" t="s">
        <v>1878</v>
      </c>
      <c r="AT852" s="2" t="s">
        <v>9853</v>
      </c>
      <c r="AU852" s="2" t="n">
        <v>2021</v>
      </c>
      <c r="AV852" s="2" t="n">
        <v>18</v>
      </c>
      <c r="AW852" s="2" t="n">
        <v>1</v>
      </c>
      <c r="AX852" s="2"/>
      <c r="AY852" s="2"/>
      <c r="AZ852" s="2"/>
      <c r="BA852" s="2"/>
      <c r="BB852" s="2"/>
      <c r="BC852" s="2"/>
      <c r="BD852" s="2" t="n">
        <v>40</v>
      </c>
      <c r="BE852" s="2" t="s">
        <v>15298</v>
      </c>
      <c r="BF852" s="2" t="str">
        <f aca="false">HYPERLINK("http://dx.doi.org/10.1186/s12985-021-01508-0","http://dx.doi.org/10.1186/s12985-021-01508-0")</f>
        <v>http://dx.doi.org/10.1186/s12985-021-01508-0</v>
      </c>
      <c r="BG852" s="2"/>
      <c r="BH852" s="2"/>
      <c r="BI852" s="2" t="n">
        <v>9</v>
      </c>
      <c r="BJ852" s="2" t="s">
        <v>163</v>
      </c>
      <c r="BK852" s="2" t="s">
        <v>100</v>
      </c>
      <c r="BL852" s="2" t="s">
        <v>163</v>
      </c>
      <c r="BM852" s="2" t="s">
        <v>15299</v>
      </c>
      <c r="BN852" s="2" t="n">
        <v>33602245</v>
      </c>
      <c r="BO852" s="2" t="s">
        <v>190</v>
      </c>
      <c r="BP852" s="2"/>
      <c r="BQ852" s="2"/>
      <c r="BR852" s="2" t="s">
        <v>104</v>
      </c>
      <c r="BS852" s="2" t="s">
        <v>15300</v>
      </c>
      <c r="BT852" s="2" t="str">
        <f aca="false">HYPERLINK("https%3A%2F%2Fwww.webofscience.com%2Fwos%2Fwoscc%2Ffull-record%2FWOS:000620935100004","View Full Record in Web of Science")</f>
        <v>View Full Record in Web of Science</v>
      </c>
    </row>
    <row r="853" customFormat="false" ht="12.75" hidden="false" customHeight="false" outlineLevel="0" collapsed="false">
      <c r="A853" s="2" t="s">
        <v>72</v>
      </c>
      <c r="B853" s="2" t="s">
        <v>15301</v>
      </c>
      <c r="C853" s="2"/>
      <c r="D853" s="2"/>
      <c r="E853" s="2"/>
      <c r="F853" s="2" t="s">
        <v>15302</v>
      </c>
      <c r="G853" s="2"/>
      <c r="H853" s="2"/>
      <c r="I853" s="2" t="s">
        <v>15303</v>
      </c>
      <c r="J853" s="2" t="s">
        <v>370</v>
      </c>
      <c r="K853" s="2"/>
      <c r="L853" s="2"/>
      <c r="M853" s="2" t="s">
        <v>77</v>
      </c>
      <c r="N853" s="2" t="s">
        <v>78</v>
      </c>
      <c r="O853" s="2"/>
      <c r="P853" s="2"/>
      <c r="Q853" s="2"/>
      <c r="R853" s="2"/>
      <c r="S853" s="2"/>
      <c r="T853" s="2" t="s">
        <v>15304</v>
      </c>
      <c r="U853" s="2" t="s">
        <v>15305</v>
      </c>
      <c r="V853" s="2" t="s">
        <v>15306</v>
      </c>
      <c r="W853" s="2" t="s">
        <v>15307</v>
      </c>
      <c r="X853" s="2" t="s">
        <v>15308</v>
      </c>
      <c r="Y853" s="2" t="s">
        <v>15309</v>
      </c>
      <c r="Z853" s="2" t="s">
        <v>15310</v>
      </c>
      <c r="AA853" s="2"/>
      <c r="AB853" s="2"/>
      <c r="AC853" s="2"/>
      <c r="AD853" s="2"/>
      <c r="AE853" s="2"/>
      <c r="AF853" s="2"/>
      <c r="AG853" s="2" t="n">
        <v>35</v>
      </c>
      <c r="AH853" s="2" t="n">
        <v>26</v>
      </c>
      <c r="AI853" s="2" t="n">
        <v>33</v>
      </c>
      <c r="AJ853" s="2" t="n">
        <v>2</v>
      </c>
      <c r="AK853" s="2" t="n">
        <v>3</v>
      </c>
      <c r="AL853" s="2" t="s">
        <v>549</v>
      </c>
      <c r="AM853" s="2" t="s">
        <v>384</v>
      </c>
      <c r="AN853" s="2" t="s">
        <v>550</v>
      </c>
      <c r="AO853" s="2" t="s">
        <v>386</v>
      </c>
      <c r="AP853" s="2" t="s">
        <v>387</v>
      </c>
      <c r="AQ853" s="2"/>
      <c r="AR853" s="2" t="s">
        <v>388</v>
      </c>
      <c r="AS853" s="2" t="s">
        <v>389</v>
      </c>
      <c r="AT853" s="2" t="s">
        <v>804</v>
      </c>
      <c r="AU853" s="2" t="n">
        <v>2007</v>
      </c>
      <c r="AV853" s="2" t="n">
        <v>40</v>
      </c>
      <c r="AW853" s="2" t="n">
        <v>3</v>
      </c>
      <c r="AX853" s="2"/>
      <c r="AY853" s="2"/>
      <c r="AZ853" s="2"/>
      <c r="BA853" s="2"/>
      <c r="BB853" s="2" t="n">
        <v>186</v>
      </c>
      <c r="BC853" s="2" t="n">
        <v>192</v>
      </c>
      <c r="BD853" s="2"/>
      <c r="BE853" s="2" t="s">
        <v>15311</v>
      </c>
      <c r="BF853" s="2" t="str">
        <f aca="false">HYPERLINK("http://dx.doi.org/10.1016/j.jcv.2007.08.004","http://dx.doi.org/10.1016/j.jcv.2007.08.004")</f>
        <v>http://dx.doi.org/10.1016/j.jcv.2007.08.004</v>
      </c>
      <c r="BG853" s="2"/>
      <c r="BH853" s="2"/>
      <c r="BI853" s="2" t="n">
        <v>7</v>
      </c>
      <c r="BJ853" s="2" t="s">
        <v>163</v>
      </c>
      <c r="BK853" s="2" t="s">
        <v>100</v>
      </c>
      <c r="BL853" s="2" t="s">
        <v>163</v>
      </c>
      <c r="BM853" s="2" t="s">
        <v>806</v>
      </c>
      <c r="BN853" s="2" t="n">
        <v>17870660</v>
      </c>
      <c r="BO853" s="2" t="s">
        <v>165</v>
      </c>
      <c r="BP853" s="2"/>
      <c r="BQ853" s="2"/>
      <c r="BR853" s="2" t="s">
        <v>104</v>
      </c>
      <c r="BS853" s="2" t="s">
        <v>15312</v>
      </c>
      <c r="BT853" s="2" t="str">
        <f aca="false">HYPERLINK("https%3A%2F%2Fwww.webofscience.com%2Fwos%2Fwoscc%2Ffull-record%2FWOS:000250935300003","View Full Record in Web of Science")</f>
        <v>View Full Record in Web of Science</v>
      </c>
    </row>
    <row r="854" customFormat="false" ht="12.75" hidden="false" customHeight="false" outlineLevel="0" collapsed="false">
      <c r="A854" s="2" t="s">
        <v>72</v>
      </c>
      <c r="B854" s="2" t="s">
        <v>15313</v>
      </c>
      <c r="C854" s="2"/>
      <c r="D854" s="2"/>
      <c r="E854" s="2"/>
      <c r="F854" s="2" t="s">
        <v>15314</v>
      </c>
      <c r="G854" s="2"/>
      <c r="H854" s="2"/>
      <c r="I854" s="2" t="s">
        <v>15315</v>
      </c>
      <c r="J854" s="2" t="s">
        <v>141</v>
      </c>
      <c r="K854" s="2"/>
      <c r="L854" s="2"/>
      <c r="M854" s="2" t="s">
        <v>77</v>
      </c>
      <c r="N854" s="2" t="s">
        <v>78</v>
      </c>
      <c r="O854" s="2"/>
      <c r="P854" s="2"/>
      <c r="Q854" s="2"/>
      <c r="R854" s="2"/>
      <c r="S854" s="2"/>
      <c r="T854" s="2" t="s">
        <v>15316</v>
      </c>
      <c r="U854" s="2" t="s">
        <v>15317</v>
      </c>
      <c r="V854" s="2" t="s">
        <v>15318</v>
      </c>
      <c r="W854" s="2" t="s">
        <v>15319</v>
      </c>
      <c r="X854" s="2" t="s">
        <v>15320</v>
      </c>
      <c r="Y854" s="2" t="s">
        <v>15321</v>
      </c>
      <c r="Z854" s="2" t="s">
        <v>15322</v>
      </c>
      <c r="AA854" s="2" t="s">
        <v>15323</v>
      </c>
      <c r="AB854" s="2" t="s">
        <v>15324</v>
      </c>
      <c r="AC854" s="2"/>
      <c r="AD854" s="2"/>
      <c r="AE854" s="2"/>
      <c r="AF854" s="2"/>
      <c r="AG854" s="2" t="n">
        <v>35</v>
      </c>
      <c r="AH854" s="2" t="n">
        <v>14</v>
      </c>
      <c r="AI854" s="2" t="n">
        <v>15</v>
      </c>
      <c r="AJ854" s="2" t="n">
        <v>0</v>
      </c>
      <c r="AK854" s="2" t="n">
        <v>7</v>
      </c>
      <c r="AL854" s="2" t="s">
        <v>154</v>
      </c>
      <c r="AM854" s="2" t="s">
        <v>155</v>
      </c>
      <c r="AN854" s="2" t="s">
        <v>156</v>
      </c>
      <c r="AO854" s="2" t="s">
        <v>157</v>
      </c>
      <c r="AP854" s="2" t="s">
        <v>158</v>
      </c>
      <c r="AQ854" s="2"/>
      <c r="AR854" s="2" t="s">
        <v>159</v>
      </c>
      <c r="AS854" s="2" t="s">
        <v>160</v>
      </c>
      <c r="AT854" s="2" t="s">
        <v>390</v>
      </c>
      <c r="AU854" s="2" t="n">
        <v>2016</v>
      </c>
      <c r="AV854" s="2" t="n">
        <v>88</v>
      </c>
      <c r="AW854" s="2" t="n">
        <v>5</v>
      </c>
      <c r="AX854" s="2"/>
      <c r="AY854" s="2"/>
      <c r="AZ854" s="2"/>
      <c r="BA854" s="2"/>
      <c r="BB854" s="2" t="n">
        <v>774</v>
      </c>
      <c r="BC854" s="2" t="n">
        <v>781</v>
      </c>
      <c r="BD854" s="2"/>
      <c r="BE854" s="2" t="s">
        <v>15325</v>
      </c>
      <c r="BF854" s="2" t="str">
        <f aca="false">HYPERLINK("http://dx.doi.org/10.1002/jmv.24411","http://dx.doi.org/10.1002/jmv.24411")</f>
        <v>http://dx.doi.org/10.1002/jmv.24411</v>
      </c>
      <c r="BG854" s="2"/>
      <c r="BH854" s="2"/>
      <c r="BI854" s="2" t="n">
        <v>8</v>
      </c>
      <c r="BJ854" s="2" t="s">
        <v>163</v>
      </c>
      <c r="BK854" s="2" t="s">
        <v>100</v>
      </c>
      <c r="BL854" s="2" t="s">
        <v>163</v>
      </c>
      <c r="BM854" s="2" t="s">
        <v>15326</v>
      </c>
      <c r="BN854" s="2" t="n">
        <v>26488078</v>
      </c>
      <c r="BO854" s="2" t="s">
        <v>165</v>
      </c>
      <c r="BP854" s="2"/>
      <c r="BQ854" s="2"/>
      <c r="BR854" s="2" t="s">
        <v>104</v>
      </c>
      <c r="BS854" s="2" t="s">
        <v>15327</v>
      </c>
      <c r="BT854" s="2" t="str">
        <f aca="false">HYPERLINK("https%3A%2F%2Fwww.webofscience.com%2Fwos%2Fwoscc%2Ffull-record%2FWOS:000372267500006","View Full Record in Web of Science")</f>
        <v>View Full Record in Web of Science</v>
      </c>
    </row>
    <row r="855" customFormat="false" ht="12.75" hidden="false" customHeight="false" outlineLevel="0" collapsed="false">
      <c r="A855" s="2" t="s">
        <v>72</v>
      </c>
      <c r="B855" s="2" t="s">
        <v>15328</v>
      </c>
      <c r="C855" s="2"/>
      <c r="D855" s="2"/>
      <c r="E855" s="2"/>
      <c r="F855" s="2" t="s">
        <v>15329</v>
      </c>
      <c r="G855" s="2"/>
      <c r="H855" s="2"/>
      <c r="I855" s="2" t="s">
        <v>15330</v>
      </c>
      <c r="J855" s="2" t="s">
        <v>493</v>
      </c>
      <c r="K855" s="2"/>
      <c r="L855" s="2"/>
      <c r="M855" s="2" t="s">
        <v>77</v>
      </c>
      <c r="N855" s="2" t="s">
        <v>78</v>
      </c>
      <c r="O855" s="2"/>
      <c r="P855" s="2"/>
      <c r="Q855" s="2"/>
      <c r="R855" s="2"/>
      <c r="S855" s="2"/>
      <c r="T855" s="2" t="s">
        <v>15331</v>
      </c>
      <c r="U855" s="2" t="s">
        <v>15332</v>
      </c>
      <c r="V855" s="2" t="s">
        <v>15333</v>
      </c>
      <c r="W855" s="2" t="s">
        <v>15334</v>
      </c>
      <c r="X855" s="2" t="s">
        <v>6025</v>
      </c>
      <c r="Y855" s="2" t="s">
        <v>15335</v>
      </c>
      <c r="Z855" s="2" t="s">
        <v>15336</v>
      </c>
      <c r="AA855" s="2" t="s">
        <v>13394</v>
      </c>
      <c r="AB855" s="2" t="s">
        <v>15337</v>
      </c>
      <c r="AC855" s="2" t="s">
        <v>15338</v>
      </c>
      <c r="AD855" s="2" t="s">
        <v>15339</v>
      </c>
      <c r="AE855" s="2" t="s">
        <v>15340</v>
      </c>
      <c r="AF855" s="2"/>
      <c r="AG855" s="2" t="n">
        <v>43</v>
      </c>
      <c r="AH855" s="2" t="n">
        <v>2</v>
      </c>
      <c r="AI855" s="2" t="n">
        <v>2</v>
      </c>
      <c r="AJ855" s="2" t="n">
        <v>0</v>
      </c>
      <c r="AK855" s="2" t="n">
        <v>3</v>
      </c>
      <c r="AL855" s="2" t="s">
        <v>91</v>
      </c>
      <c r="AM855" s="2" t="s">
        <v>92</v>
      </c>
      <c r="AN855" s="2" t="s">
        <v>93</v>
      </c>
      <c r="AO855" s="2"/>
      <c r="AP855" s="2" t="s">
        <v>506</v>
      </c>
      <c r="AQ855" s="2"/>
      <c r="AR855" s="2" t="s">
        <v>493</v>
      </c>
      <c r="AS855" s="2" t="s">
        <v>507</v>
      </c>
      <c r="AT855" s="2" t="s">
        <v>390</v>
      </c>
      <c r="AU855" s="2" t="n">
        <v>2022</v>
      </c>
      <c r="AV855" s="2" t="n">
        <v>14</v>
      </c>
      <c r="AW855" s="2" t="n">
        <v>5</v>
      </c>
      <c r="AX855" s="2"/>
      <c r="AY855" s="2"/>
      <c r="AZ855" s="2"/>
      <c r="BA855" s="2"/>
      <c r="BB855" s="2"/>
      <c r="BC855" s="2"/>
      <c r="BD855" s="2" t="n">
        <v>1058</v>
      </c>
      <c r="BE855" s="2" t="s">
        <v>15341</v>
      </c>
      <c r="BF855" s="2" t="str">
        <f aca="false">HYPERLINK("http://dx.doi.org/10.3390/v14051058","http://dx.doi.org/10.3390/v14051058")</f>
        <v>http://dx.doi.org/10.3390/v14051058</v>
      </c>
      <c r="BG855" s="2"/>
      <c r="BH855" s="2"/>
      <c r="BI855" s="2" t="n">
        <v>11</v>
      </c>
      <c r="BJ855" s="2" t="s">
        <v>163</v>
      </c>
      <c r="BK855" s="2" t="s">
        <v>100</v>
      </c>
      <c r="BL855" s="2" t="s">
        <v>163</v>
      </c>
      <c r="BM855" s="2" t="s">
        <v>15342</v>
      </c>
      <c r="BN855" s="2" t="n">
        <v>35632799</v>
      </c>
      <c r="BO855" s="2" t="s">
        <v>103</v>
      </c>
      <c r="BP855" s="2"/>
      <c r="BQ855" s="2"/>
      <c r="BR855" s="2" t="s">
        <v>104</v>
      </c>
      <c r="BS855" s="2" t="s">
        <v>15343</v>
      </c>
      <c r="BT855" s="2" t="str">
        <f aca="false">HYPERLINK("https%3A%2F%2Fwww.webofscience.com%2Fwos%2Fwoscc%2Ffull-record%2FWOS:000802688700001","View Full Record in Web of Science")</f>
        <v>View Full Record in Web of Science</v>
      </c>
    </row>
    <row r="856" customFormat="false" ht="12.75" hidden="false" customHeight="false" outlineLevel="0" collapsed="false">
      <c r="A856" s="2" t="s">
        <v>72</v>
      </c>
      <c r="B856" s="2" t="s">
        <v>15344</v>
      </c>
      <c r="C856" s="2"/>
      <c r="D856" s="2"/>
      <c r="E856" s="2"/>
      <c r="F856" s="2" t="s">
        <v>15345</v>
      </c>
      <c r="G856" s="2"/>
      <c r="H856" s="2"/>
      <c r="I856" s="2" t="s">
        <v>15346</v>
      </c>
      <c r="J856" s="2" t="s">
        <v>141</v>
      </c>
      <c r="K856" s="2"/>
      <c r="L856" s="2"/>
      <c r="M856" s="2" t="s">
        <v>77</v>
      </c>
      <c r="N856" s="2" t="s">
        <v>78</v>
      </c>
      <c r="O856" s="2"/>
      <c r="P856" s="2"/>
      <c r="Q856" s="2"/>
      <c r="R856" s="2"/>
      <c r="S856" s="2"/>
      <c r="T856" s="2" t="s">
        <v>15347</v>
      </c>
      <c r="U856" s="2" t="s">
        <v>15348</v>
      </c>
      <c r="V856" s="2" t="s">
        <v>15349</v>
      </c>
      <c r="W856" s="2" t="s">
        <v>15350</v>
      </c>
      <c r="X856" s="2" t="s">
        <v>15351</v>
      </c>
      <c r="Y856" s="2" t="s">
        <v>15352</v>
      </c>
      <c r="Z856" s="2" t="s">
        <v>15353</v>
      </c>
      <c r="AA856" s="2" t="s">
        <v>8870</v>
      </c>
      <c r="AB856" s="2" t="s">
        <v>8871</v>
      </c>
      <c r="AC856" s="2"/>
      <c r="AD856" s="2"/>
      <c r="AE856" s="2"/>
      <c r="AF856" s="2"/>
      <c r="AG856" s="2" t="n">
        <v>54</v>
      </c>
      <c r="AH856" s="2" t="n">
        <v>15</v>
      </c>
      <c r="AI856" s="2" t="n">
        <v>15</v>
      </c>
      <c r="AJ856" s="2" t="n">
        <v>1</v>
      </c>
      <c r="AK856" s="2" t="n">
        <v>4</v>
      </c>
      <c r="AL856" s="2" t="s">
        <v>154</v>
      </c>
      <c r="AM856" s="2" t="s">
        <v>155</v>
      </c>
      <c r="AN856" s="2" t="s">
        <v>156</v>
      </c>
      <c r="AO856" s="2" t="s">
        <v>157</v>
      </c>
      <c r="AP856" s="2" t="s">
        <v>158</v>
      </c>
      <c r="AQ856" s="2"/>
      <c r="AR856" s="2" t="s">
        <v>159</v>
      </c>
      <c r="AS856" s="2" t="s">
        <v>160</v>
      </c>
      <c r="AT856" s="2" t="s">
        <v>97</v>
      </c>
      <c r="AU856" s="2" t="n">
        <v>2011</v>
      </c>
      <c r="AV856" s="2" t="n">
        <v>83</v>
      </c>
      <c r="AW856" s="2" t="n">
        <v>3</v>
      </c>
      <c r="AX856" s="2"/>
      <c r="AY856" s="2"/>
      <c r="AZ856" s="2"/>
      <c r="BA856" s="2"/>
      <c r="BB856" s="2" t="n">
        <v>517</v>
      </c>
      <c r="BC856" s="2" t="n">
        <v>524</v>
      </c>
      <c r="BD856" s="2"/>
      <c r="BE856" s="2" t="s">
        <v>15354</v>
      </c>
      <c r="BF856" s="2" t="str">
        <f aca="false">HYPERLINK("http://dx.doi.org/10.1002/jmv.22002","http://dx.doi.org/10.1002/jmv.22002")</f>
        <v>http://dx.doi.org/10.1002/jmv.22002</v>
      </c>
      <c r="BG856" s="2"/>
      <c r="BH856" s="2"/>
      <c r="BI856" s="2" t="n">
        <v>8</v>
      </c>
      <c r="BJ856" s="2" t="s">
        <v>163</v>
      </c>
      <c r="BK856" s="2" t="s">
        <v>100</v>
      </c>
      <c r="BL856" s="2" t="s">
        <v>163</v>
      </c>
      <c r="BM856" s="2" t="s">
        <v>15355</v>
      </c>
      <c r="BN856" s="2" t="n">
        <v>21264874</v>
      </c>
      <c r="BO856" s="2" t="s">
        <v>11117</v>
      </c>
      <c r="BP856" s="2"/>
      <c r="BQ856" s="2"/>
      <c r="BR856" s="2" t="s">
        <v>104</v>
      </c>
      <c r="BS856" s="2" t="s">
        <v>15356</v>
      </c>
      <c r="BT856" s="2" t="str">
        <f aca="false">HYPERLINK("https%3A%2F%2Fwww.webofscience.com%2Fwos%2Fwoscc%2Ffull-record%2FWOS:000286540000019","View Full Record in Web of Science")</f>
        <v>View Full Record in Web of Science</v>
      </c>
    </row>
    <row r="857" customFormat="false" ht="12.75" hidden="false" customHeight="false" outlineLevel="0" collapsed="false">
      <c r="A857" s="2" t="s">
        <v>72</v>
      </c>
      <c r="B857" s="2" t="s">
        <v>15357</v>
      </c>
      <c r="C857" s="2"/>
      <c r="D857" s="2"/>
      <c r="E857" s="2"/>
      <c r="F857" s="2" t="s">
        <v>15358</v>
      </c>
      <c r="G857" s="2"/>
      <c r="H857" s="2"/>
      <c r="I857" s="2" t="s">
        <v>15359</v>
      </c>
      <c r="J857" s="2" t="s">
        <v>15360</v>
      </c>
      <c r="K857" s="2"/>
      <c r="L857" s="2"/>
      <c r="M857" s="2" t="s">
        <v>77</v>
      </c>
      <c r="N857" s="2" t="s">
        <v>78</v>
      </c>
      <c r="O857" s="2"/>
      <c r="P857" s="2"/>
      <c r="Q857" s="2"/>
      <c r="R857" s="2"/>
      <c r="S857" s="2"/>
      <c r="T857" s="2" t="s">
        <v>15361</v>
      </c>
      <c r="U857" s="2" t="s">
        <v>15362</v>
      </c>
      <c r="V857" s="2" t="s">
        <v>15363</v>
      </c>
      <c r="W857" s="2" t="s">
        <v>15364</v>
      </c>
      <c r="X857" s="2" t="s">
        <v>15365</v>
      </c>
      <c r="Y857" s="2" t="s">
        <v>15366</v>
      </c>
      <c r="Z857" s="2" t="s">
        <v>15367</v>
      </c>
      <c r="AA857" s="2"/>
      <c r="AB857" s="2" t="s">
        <v>15368</v>
      </c>
      <c r="AC857" s="2" t="s">
        <v>15369</v>
      </c>
      <c r="AD857" s="2" t="s">
        <v>15370</v>
      </c>
      <c r="AE857" s="2" t="s">
        <v>15371</v>
      </c>
      <c r="AF857" s="2"/>
      <c r="AG857" s="2" t="n">
        <v>34</v>
      </c>
      <c r="AH857" s="2" t="n">
        <v>0</v>
      </c>
      <c r="AI857" s="2" t="n">
        <v>1</v>
      </c>
      <c r="AJ857" s="2" t="n">
        <v>0</v>
      </c>
      <c r="AK857" s="2" t="n">
        <v>2</v>
      </c>
      <c r="AL857" s="2" t="s">
        <v>383</v>
      </c>
      <c r="AM857" s="2" t="s">
        <v>384</v>
      </c>
      <c r="AN857" s="2" t="s">
        <v>385</v>
      </c>
      <c r="AO857" s="2" t="s">
        <v>15372</v>
      </c>
      <c r="AP857" s="2" t="s">
        <v>15373</v>
      </c>
      <c r="AQ857" s="2"/>
      <c r="AR857" s="2" t="s">
        <v>15374</v>
      </c>
      <c r="AS857" s="2" t="s">
        <v>15375</v>
      </c>
      <c r="AT857" s="2" t="s">
        <v>692</v>
      </c>
      <c r="AU857" s="2" t="n">
        <v>2023</v>
      </c>
      <c r="AV857" s="2" t="n">
        <v>45</v>
      </c>
      <c r="AW857" s="2" t="n">
        <v>4</v>
      </c>
      <c r="AX857" s="2"/>
      <c r="AY857" s="2"/>
      <c r="AZ857" s="2"/>
      <c r="BA857" s="2"/>
      <c r="BB857" s="2" t="n">
        <v>197</v>
      </c>
      <c r="BC857" s="2" t="n">
        <v>204</v>
      </c>
      <c r="BD857" s="2"/>
      <c r="BE857" s="2" t="s">
        <v>15376</v>
      </c>
      <c r="BF857" s="2" t="str">
        <f aca="false">HYPERLINK("http://dx.doi.org/10.1016/j.braindev.2023.01.001","http://dx.doi.org/10.1016/j.braindev.2023.01.001")</f>
        <v>http://dx.doi.org/10.1016/j.braindev.2023.01.001</v>
      </c>
      <c r="BG857" s="2"/>
      <c r="BH857" s="2" t="s">
        <v>5450</v>
      </c>
      <c r="BI857" s="2" t="n">
        <v>8</v>
      </c>
      <c r="BJ857" s="2" t="s">
        <v>11512</v>
      </c>
      <c r="BK857" s="2" t="s">
        <v>100</v>
      </c>
      <c r="BL857" s="2" t="s">
        <v>11513</v>
      </c>
      <c r="BM857" s="2" t="s">
        <v>15377</v>
      </c>
      <c r="BN857" s="2" t="n">
        <v>36702664</v>
      </c>
      <c r="BO857" s="2"/>
      <c r="BP857" s="2"/>
      <c r="BQ857" s="2"/>
      <c r="BR857" s="2" t="s">
        <v>104</v>
      </c>
      <c r="BS857" s="2" t="s">
        <v>15378</v>
      </c>
      <c r="BT857" s="2" t="str">
        <f aca="false">HYPERLINK("https%3A%2F%2Fwww.webofscience.com%2Fwos%2Fwoscc%2Ffull-record%2FWOS:000962031200001","View Full Record in Web of Science")</f>
        <v>View Full Record in Web of Science</v>
      </c>
    </row>
    <row r="858" customFormat="false" ht="12.75" hidden="false" customHeight="false" outlineLevel="0" collapsed="false">
      <c r="A858" s="2" t="s">
        <v>72</v>
      </c>
      <c r="B858" s="2" t="s">
        <v>15379</v>
      </c>
      <c r="C858" s="2"/>
      <c r="D858" s="2"/>
      <c r="E858" s="2"/>
      <c r="F858" s="2" t="s">
        <v>15380</v>
      </c>
      <c r="G858" s="2"/>
      <c r="H858" s="2"/>
      <c r="I858" s="2" t="s">
        <v>15381</v>
      </c>
      <c r="J858" s="2" t="s">
        <v>109</v>
      </c>
      <c r="K858" s="2"/>
      <c r="L858" s="2"/>
      <c r="M858" s="2" t="s">
        <v>77</v>
      </c>
      <c r="N858" s="2" t="s">
        <v>78</v>
      </c>
      <c r="O858" s="2"/>
      <c r="P858" s="2"/>
      <c r="Q858" s="2"/>
      <c r="R858" s="2"/>
      <c r="S858" s="2"/>
      <c r="T858" s="2" t="s">
        <v>15382</v>
      </c>
      <c r="U858" s="2" t="s">
        <v>15383</v>
      </c>
      <c r="V858" s="2" t="s">
        <v>15384</v>
      </c>
      <c r="W858" s="2" t="s">
        <v>15385</v>
      </c>
      <c r="X858" s="2" t="s">
        <v>15386</v>
      </c>
      <c r="Y858" s="2" t="s">
        <v>15387</v>
      </c>
      <c r="Z858" s="2" t="s">
        <v>15388</v>
      </c>
      <c r="AA858" s="2"/>
      <c r="AB858" s="2"/>
      <c r="AC858" s="2" t="s">
        <v>15389</v>
      </c>
      <c r="AD858" s="2" t="s">
        <v>15390</v>
      </c>
      <c r="AE858" s="2" t="s">
        <v>15391</v>
      </c>
      <c r="AF858" s="2"/>
      <c r="AG858" s="2" t="n">
        <v>20</v>
      </c>
      <c r="AH858" s="2" t="n">
        <v>36</v>
      </c>
      <c r="AI858" s="2" t="n">
        <v>42</v>
      </c>
      <c r="AJ858" s="2" t="n">
        <v>0</v>
      </c>
      <c r="AK858" s="2" t="n">
        <v>4</v>
      </c>
      <c r="AL858" s="2" t="s">
        <v>122</v>
      </c>
      <c r="AM858" s="2" t="s">
        <v>123</v>
      </c>
      <c r="AN858" s="2" t="s">
        <v>124</v>
      </c>
      <c r="AO858" s="2" t="s">
        <v>125</v>
      </c>
      <c r="AP858" s="2" t="s">
        <v>126</v>
      </c>
      <c r="AQ858" s="2"/>
      <c r="AR858" s="2" t="s">
        <v>127</v>
      </c>
      <c r="AS858" s="2" t="s">
        <v>128</v>
      </c>
      <c r="AT858" s="2" t="s">
        <v>446</v>
      </c>
      <c r="AU858" s="2" t="n">
        <v>2009</v>
      </c>
      <c r="AV858" s="2" t="n">
        <v>28</v>
      </c>
      <c r="AW858" s="2" t="n">
        <v>12</v>
      </c>
      <c r="AX858" s="2"/>
      <c r="AY858" s="2"/>
      <c r="AZ858" s="2"/>
      <c r="BA858" s="2"/>
      <c r="BB858" s="2" t="n">
        <v>1057</v>
      </c>
      <c r="BC858" s="2" t="n">
        <v>1060</v>
      </c>
      <c r="BD858" s="2"/>
      <c r="BE858" s="2" t="s">
        <v>15392</v>
      </c>
      <c r="BF858" s="2" t="str">
        <f aca="false">HYPERLINK("http://dx.doi.org/10.1097/INF.0b013e3181acd221","http://dx.doi.org/10.1097/INF.0b013e3181acd221")</f>
        <v>http://dx.doi.org/10.1097/INF.0b013e3181acd221</v>
      </c>
      <c r="BG858" s="2"/>
      <c r="BH858" s="2"/>
      <c r="BI858" s="2" t="n">
        <v>4</v>
      </c>
      <c r="BJ858" s="2" t="s">
        <v>134</v>
      </c>
      <c r="BK858" s="2" t="s">
        <v>100</v>
      </c>
      <c r="BL858" s="2" t="s">
        <v>134</v>
      </c>
      <c r="BM858" s="2" t="s">
        <v>15393</v>
      </c>
      <c r="BN858" s="2" t="n">
        <v>19755929</v>
      </c>
      <c r="BO858" s="2"/>
      <c r="BP858" s="2"/>
      <c r="BQ858" s="2"/>
      <c r="BR858" s="2" t="s">
        <v>104</v>
      </c>
      <c r="BS858" s="2" t="s">
        <v>15394</v>
      </c>
      <c r="BT858" s="2" t="str">
        <f aca="false">HYPERLINK("https%3A%2F%2Fwww.webofscience.com%2Fwos%2Fwoscc%2Ffull-record%2FWOS:000272225200004","View Full Record in Web of Science")</f>
        <v>View Full Record in Web of Science</v>
      </c>
    </row>
    <row r="859" customFormat="false" ht="12.75" hidden="false" customHeight="false" outlineLevel="0" collapsed="false">
      <c r="A859" s="2" t="s">
        <v>72</v>
      </c>
      <c r="B859" s="2" t="s">
        <v>15395</v>
      </c>
      <c r="C859" s="2"/>
      <c r="D859" s="2"/>
      <c r="E859" s="2"/>
      <c r="F859" s="2" t="s">
        <v>15396</v>
      </c>
      <c r="G859" s="2"/>
      <c r="H859" s="2"/>
      <c r="I859" s="2" t="s">
        <v>15397</v>
      </c>
      <c r="J859" s="2" t="s">
        <v>370</v>
      </c>
      <c r="K859" s="2"/>
      <c r="L859" s="2"/>
      <c r="M859" s="2" t="s">
        <v>77</v>
      </c>
      <c r="N859" s="2" t="s">
        <v>78</v>
      </c>
      <c r="O859" s="2"/>
      <c r="P859" s="2"/>
      <c r="Q859" s="2"/>
      <c r="R859" s="2"/>
      <c r="S859" s="2"/>
      <c r="T859" s="2" t="s">
        <v>15398</v>
      </c>
      <c r="U859" s="2" t="s">
        <v>15399</v>
      </c>
      <c r="V859" s="2" t="s">
        <v>15400</v>
      </c>
      <c r="W859" s="2" t="s">
        <v>15401</v>
      </c>
      <c r="X859" s="2" t="s">
        <v>15402</v>
      </c>
      <c r="Y859" s="2" t="s">
        <v>15403</v>
      </c>
      <c r="Z859" s="2" t="s">
        <v>15404</v>
      </c>
      <c r="AA859" s="2" t="s">
        <v>15405</v>
      </c>
      <c r="AB859" s="2" t="s">
        <v>15406</v>
      </c>
      <c r="AC859" s="2" t="s">
        <v>15407</v>
      </c>
      <c r="AD859" s="2" t="s">
        <v>15408</v>
      </c>
      <c r="AE859" s="2" t="s">
        <v>15409</v>
      </c>
      <c r="AF859" s="2"/>
      <c r="AG859" s="2" t="n">
        <v>35</v>
      </c>
      <c r="AH859" s="2" t="n">
        <v>18</v>
      </c>
      <c r="AI859" s="2" t="n">
        <v>19</v>
      </c>
      <c r="AJ859" s="2" t="n">
        <v>0</v>
      </c>
      <c r="AK859" s="2" t="n">
        <v>1</v>
      </c>
      <c r="AL859" s="2" t="s">
        <v>383</v>
      </c>
      <c r="AM859" s="2" t="s">
        <v>384</v>
      </c>
      <c r="AN859" s="2" t="s">
        <v>385</v>
      </c>
      <c r="AO859" s="2" t="s">
        <v>386</v>
      </c>
      <c r="AP859" s="2" t="s">
        <v>387</v>
      </c>
      <c r="AQ859" s="2"/>
      <c r="AR859" s="2" t="s">
        <v>388</v>
      </c>
      <c r="AS859" s="2" t="s">
        <v>389</v>
      </c>
      <c r="AT859" s="2" t="s">
        <v>804</v>
      </c>
      <c r="AU859" s="2" t="n">
        <v>2020</v>
      </c>
      <c r="AV859" s="2" t="n">
        <v>132</v>
      </c>
      <c r="AW859" s="2"/>
      <c r="AX859" s="2"/>
      <c r="AY859" s="2"/>
      <c r="AZ859" s="2"/>
      <c r="BA859" s="2"/>
      <c r="BB859" s="2"/>
      <c r="BC859" s="2"/>
      <c r="BD859" s="2" t="n">
        <v>104590</v>
      </c>
      <c r="BE859" s="2" t="s">
        <v>15410</v>
      </c>
      <c r="BF859" s="2" t="str">
        <f aca="false">HYPERLINK("http://dx.doi.org/10.1016/j.jcv.2020.104590","http://dx.doi.org/10.1016/j.jcv.2020.104590")</f>
        <v>http://dx.doi.org/10.1016/j.jcv.2020.104590</v>
      </c>
      <c r="BG859" s="2"/>
      <c r="BH859" s="2"/>
      <c r="BI859" s="2" t="n">
        <v>9</v>
      </c>
      <c r="BJ859" s="2" t="s">
        <v>163</v>
      </c>
      <c r="BK859" s="2" t="s">
        <v>100</v>
      </c>
      <c r="BL859" s="2" t="s">
        <v>163</v>
      </c>
      <c r="BM859" s="2" t="s">
        <v>15411</v>
      </c>
      <c r="BN859" s="2" t="n">
        <v>32957052</v>
      </c>
      <c r="BO859" s="2" t="s">
        <v>15412</v>
      </c>
      <c r="BP859" s="2"/>
      <c r="BQ859" s="2"/>
      <c r="BR859" s="2" t="s">
        <v>104</v>
      </c>
      <c r="BS859" s="2" t="s">
        <v>15413</v>
      </c>
      <c r="BT859" s="2" t="str">
        <f aca="false">HYPERLINK("https%3A%2F%2Fwww.webofscience.com%2Fwos%2Fwoscc%2Ffull-record%2FWOS:000591241200014","View Full Record in Web of Science")</f>
        <v>View Full Record in Web of Science</v>
      </c>
    </row>
    <row r="860" customFormat="false" ht="12.75" hidden="false" customHeight="false" outlineLevel="0" collapsed="false">
      <c r="A860" s="2" t="s">
        <v>72</v>
      </c>
      <c r="B860" s="2" t="s">
        <v>15414</v>
      </c>
      <c r="C860" s="2"/>
      <c r="D860" s="2"/>
      <c r="E860" s="2"/>
      <c r="F860" s="2" t="s">
        <v>15415</v>
      </c>
      <c r="G860" s="2"/>
      <c r="H860" s="2"/>
      <c r="I860" s="2" t="s">
        <v>15416</v>
      </c>
      <c r="J860" s="2" t="s">
        <v>4895</v>
      </c>
      <c r="K860" s="2"/>
      <c r="L860" s="2"/>
      <c r="M860" s="2" t="s">
        <v>77</v>
      </c>
      <c r="N860" s="2" t="s">
        <v>78</v>
      </c>
      <c r="O860" s="2"/>
      <c r="P860" s="2"/>
      <c r="Q860" s="2"/>
      <c r="R860" s="2"/>
      <c r="S860" s="2"/>
      <c r="T860" s="2" t="s">
        <v>15417</v>
      </c>
      <c r="U860" s="2" t="s">
        <v>15418</v>
      </c>
      <c r="V860" s="2" t="s">
        <v>15419</v>
      </c>
      <c r="W860" s="2" t="s">
        <v>15420</v>
      </c>
      <c r="X860" s="2"/>
      <c r="Y860" s="2" t="s">
        <v>15421</v>
      </c>
      <c r="Z860" s="2" t="s">
        <v>15422</v>
      </c>
      <c r="AA860" s="2" t="s">
        <v>15423</v>
      </c>
      <c r="AB860" s="2"/>
      <c r="AC860" s="2" t="s">
        <v>15424</v>
      </c>
      <c r="AD860" s="2" t="s">
        <v>15424</v>
      </c>
      <c r="AE860" s="2" t="s">
        <v>15425</v>
      </c>
      <c r="AF860" s="2"/>
      <c r="AG860" s="2" t="n">
        <v>38</v>
      </c>
      <c r="AH860" s="2" t="n">
        <v>0</v>
      </c>
      <c r="AI860" s="2" t="n">
        <v>0</v>
      </c>
      <c r="AJ860" s="2" t="n">
        <v>5</v>
      </c>
      <c r="AK860" s="2" t="n">
        <v>5</v>
      </c>
      <c r="AL860" s="2" t="s">
        <v>592</v>
      </c>
      <c r="AM860" s="2" t="s">
        <v>593</v>
      </c>
      <c r="AN860" s="2" t="s">
        <v>859</v>
      </c>
      <c r="AO860" s="2" t="s">
        <v>4905</v>
      </c>
      <c r="AP860" s="2" t="s">
        <v>4906</v>
      </c>
      <c r="AQ860" s="2"/>
      <c r="AR860" s="2" t="s">
        <v>4907</v>
      </c>
      <c r="AS860" s="2" t="s">
        <v>4908</v>
      </c>
      <c r="AT860" s="2" t="s">
        <v>599</v>
      </c>
      <c r="AU860" s="2" t="n">
        <v>2024</v>
      </c>
      <c r="AV860" s="2" t="n">
        <v>43</v>
      </c>
      <c r="AW860" s="2" t="n">
        <v>7</v>
      </c>
      <c r="AX860" s="2"/>
      <c r="AY860" s="2"/>
      <c r="AZ860" s="2"/>
      <c r="BA860" s="2"/>
      <c r="BB860" s="2" t="n">
        <v>1445</v>
      </c>
      <c r="BC860" s="2" t="n">
        <v>1452</v>
      </c>
      <c r="BD860" s="2"/>
      <c r="BE860" s="2" t="s">
        <v>15426</v>
      </c>
      <c r="BF860" s="2" t="str">
        <f aca="false">HYPERLINK("http://dx.doi.org/10.1007/s10096-024-04858-z","http://dx.doi.org/10.1007/s10096-024-04858-z")</f>
        <v>http://dx.doi.org/10.1007/s10096-024-04858-z</v>
      </c>
      <c r="BG860" s="2"/>
      <c r="BH860" s="2" t="s">
        <v>2310</v>
      </c>
      <c r="BI860" s="2" t="n">
        <v>8</v>
      </c>
      <c r="BJ860" s="2" t="s">
        <v>1467</v>
      </c>
      <c r="BK860" s="2" t="s">
        <v>100</v>
      </c>
      <c r="BL860" s="2" t="s">
        <v>1467</v>
      </c>
      <c r="BM860" s="2" t="s">
        <v>15427</v>
      </c>
      <c r="BN860" s="2" t="n">
        <v>38801487</v>
      </c>
      <c r="BO860" s="2"/>
      <c r="BP860" s="2"/>
      <c r="BQ860" s="2"/>
      <c r="BR860" s="2" t="s">
        <v>104</v>
      </c>
      <c r="BS860" s="2" t="s">
        <v>15428</v>
      </c>
      <c r="BT860" s="2" t="str">
        <f aca="false">HYPERLINK("https%3A%2F%2Fwww.webofscience.com%2Fwos%2Fwoscc%2Ffull-record%2FWOS:001232224500003","View Full Record in Web of Science")</f>
        <v>View Full Record in Web of Science</v>
      </c>
    </row>
    <row r="861" customFormat="false" ht="12.75" hidden="false" customHeight="false" outlineLevel="0" collapsed="false">
      <c r="A861" s="2" t="s">
        <v>72</v>
      </c>
      <c r="B861" s="2" t="s">
        <v>15429</v>
      </c>
      <c r="C861" s="2"/>
      <c r="D861" s="2"/>
      <c r="E861" s="2"/>
      <c r="F861" s="2" t="s">
        <v>15430</v>
      </c>
      <c r="G861" s="2"/>
      <c r="H861" s="2"/>
      <c r="I861" s="2" t="s">
        <v>15431</v>
      </c>
      <c r="J861" s="2" t="s">
        <v>3719</v>
      </c>
      <c r="K861" s="2"/>
      <c r="L861" s="2"/>
      <c r="M861" s="2" t="s">
        <v>77</v>
      </c>
      <c r="N861" s="2" t="s">
        <v>78</v>
      </c>
      <c r="O861" s="2"/>
      <c r="P861" s="2"/>
      <c r="Q861" s="2"/>
      <c r="R861" s="2"/>
      <c r="S861" s="2"/>
      <c r="T861" s="2" t="s">
        <v>15432</v>
      </c>
      <c r="U861" s="2" t="s">
        <v>15433</v>
      </c>
      <c r="V861" s="2" t="s">
        <v>15434</v>
      </c>
      <c r="W861" s="2" t="s">
        <v>15435</v>
      </c>
      <c r="X861" s="2" t="s">
        <v>15436</v>
      </c>
      <c r="Y861" s="2" t="s">
        <v>15437</v>
      </c>
      <c r="Z861" s="2" t="s">
        <v>15438</v>
      </c>
      <c r="AA861" s="2" t="s">
        <v>15439</v>
      </c>
      <c r="AB861" s="2" t="s">
        <v>15440</v>
      </c>
      <c r="AC861" s="2" t="s">
        <v>15441</v>
      </c>
      <c r="AD861" s="2" t="s">
        <v>15442</v>
      </c>
      <c r="AE861" s="2" t="s">
        <v>15443</v>
      </c>
      <c r="AF861" s="2"/>
      <c r="AG861" s="2" t="n">
        <v>48</v>
      </c>
      <c r="AH861" s="2" t="n">
        <v>6</v>
      </c>
      <c r="AI861" s="2" t="n">
        <v>7</v>
      </c>
      <c r="AJ861" s="2" t="n">
        <v>1</v>
      </c>
      <c r="AK861" s="2" t="n">
        <v>4</v>
      </c>
      <c r="AL861" s="2" t="s">
        <v>3584</v>
      </c>
      <c r="AM861" s="2" t="s">
        <v>303</v>
      </c>
      <c r="AN861" s="2" t="s">
        <v>3585</v>
      </c>
      <c r="AO861" s="2" t="s">
        <v>3732</v>
      </c>
      <c r="AP861" s="2" t="s">
        <v>4677</v>
      </c>
      <c r="AQ861" s="2"/>
      <c r="AR861" s="2" t="s">
        <v>3733</v>
      </c>
      <c r="AS861" s="2" t="s">
        <v>3734</v>
      </c>
      <c r="AT861" s="2" t="s">
        <v>185</v>
      </c>
      <c r="AU861" s="2" t="n">
        <v>2023</v>
      </c>
      <c r="AV861" s="2" t="n">
        <v>87</v>
      </c>
      <c r="AW861" s="2" t="n">
        <v>2</v>
      </c>
      <c r="AX861" s="2"/>
      <c r="AY861" s="2"/>
      <c r="AZ861" s="2"/>
      <c r="BA861" s="2"/>
      <c r="BB861" s="2" t="n">
        <v>103</v>
      </c>
      <c r="BC861" s="2" t="n">
        <v>110</v>
      </c>
      <c r="BD861" s="2"/>
      <c r="BE861" s="2" t="s">
        <v>15444</v>
      </c>
      <c r="BF861" s="2" t="str">
        <f aca="false">HYPERLINK("http://dx.doi.org/10.1016/j.jinf.2023.05.004","http://dx.doi.org/10.1016/j.jinf.2023.05.004")</f>
        <v>http://dx.doi.org/10.1016/j.jinf.2023.05.004</v>
      </c>
      <c r="BG861" s="2"/>
      <c r="BH861" s="2" t="s">
        <v>280</v>
      </c>
      <c r="BI861" s="2" t="n">
        <v>8</v>
      </c>
      <c r="BJ861" s="2" t="s">
        <v>575</v>
      </c>
      <c r="BK861" s="2" t="s">
        <v>100</v>
      </c>
      <c r="BL861" s="2" t="s">
        <v>575</v>
      </c>
      <c r="BM861" s="2" t="s">
        <v>15445</v>
      </c>
      <c r="BN861" s="2" t="n">
        <v>37178807</v>
      </c>
      <c r="BO861" s="2" t="s">
        <v>2278</v>
      </c>
      <c r="BP861" s="2"/>
      <c r="BQ861" s="2"/>
      <c r="BR861" s="2" t="s">
        <v>104</v>
      </c>
      <c r="BS861" s="2" t="s">
        <v>15446</v>
      </c>
      <c r="BT861" s="2" t="str">
        <f aca="false">HYPERLINK("https%3A%2F%2Fwww.webofscience.com%2Fwos%2Fwoscc%2Ffull-record%2FWOS:001040222200001","View Full Record in Web of Science")</f>
        <v>View Full Record in Web of Science</v>
      </c>
    </row>
    <row r="862" customFormat="false" ht="12.75" hidden="false" customHeight="false" outlineLevel="0" collapsed="false">
      <c r="A862" s="2" t="s">
        <v>72</v>
      </c>
      <c r="B862" s="2" t="s">
        <v>15447</v>
      </c>
      <c r="C862" s="2"/>
      <c r="D862" s="2"/>
      <c r="E862" s="2"/>
      <c r="F862" s="2" t="s">
        <v>15448</v>
      </c>
      <c r="G862" s="2"/>
      <c r="H862" s="2"/>
      <c r="I862" s="2" t="s">
        <v>15449</v>
      </c>
      <c r="J862" s="2" t="s">
        <v>3438</v>
      </c>
      <c r="K862" s="2"/>
      <c r="L862" s="2"/>
      <c r="M862" s="2" t="s">
        <v>77</v>
      </c>
      <c r="N862" s="2" t="s">
        <v>78</v>
      </c>
      <c r="O862" s="2"/>
      <c r="P862" s="2"/>
      <c r="Q862" s="2"/>
      <c r="R862" s="2"/>
      <c r="S862" s="2"/>
      <c r="T862" s="2" t="s">
        <v>15450</v>
      </c>
      <c r="U862" s="2" t="s">
        <v>15451</v>
      </c>
      <c r="V862" s="2" t="s">
        <v>15452</v>
      </c>
      <c r="W862" s="2" t="s">
        <v>15453</v>
      </c>
      <c r="X862" s="2" t="s">
        <v>15454</v>
      </c>
      <c r="Y862" s="2" t="s">
        <v>15455</v>
      </c>
      <c r="Z862" s="2" t="s">
        <v>15456</v>
      </c>
      <c r="AA862" s="2" t="s">
        <v>15457</v>
      </c>
      <c r="AB862" s="2" t="s">
        <v>15458</v>
      </c>
      <c r="AC862" s="2" t="s">
        <v>15459</v>
      </c>
      <c r="AD862" s="2" t="s">
        <v>15459</v>
      </c>
      <c r="AE862" s="2" t="s">
        <v>15460</v>
      </c>
      <c r="AF862" s="2"/>
      <c r="AG862" s="2" t="n">
        <v>15</v>
      </c>
      <c r="AH862" s="2" t="n">
        <v>4</v>
      </c>
      <c r="AI862" s="2" t="n">
        <v>6</v>
      </c>
      <c r="AJ862" s="2" t="n">
        <v>0</v>
      </c>
      <c r="AK862" s="2" t="n">
        <v>1</v>
      </c>
      <c r="AL862" s="2" t="s">
        <v>3451</v>
      </c>
      <c r="AM862" s="2" t="s">
        <v>3452</v>
      </c>
      <c r="AN862" s="2" t="s">
        <v>3453</v>
      </c>
      <c r="AO862" s="2" t="s">
        <v>3454</v>
      </c>
      <c r="AP862" s="2"/>
      <c r="AQ862" s="2"/>
      <c r="AR862" s="2" t="s">
        <v>3455</v>
      </c>
      <c r="AS862" s="2" t="s">
        <v>3456</v>
      </c>
      <c r="AT862" s="2" t="s">
        <v>2882</v>
      </c>
      <c r="AU862" s="2" t="n">
        <v>2015</v>
      </c>
      <c r="AV862" s="2" t="n">
        <v>48</v>
      </c>
      <c r="AW862" s="2" t="n">
        <v>6</v>
      </c>
      <c r="AX862" s="2"/>
      <c r="AY862" s="2"/>
      <c r="AZ862" s="2"/>
      <c r="BA862" s="2"/>
      <c r="BB862" s="2" t="n">
        <v>762</v>
      </c>
      <c r="BC862" s="2" t="n">
        <v>764</v>
      </c>
      <c r="BD862" s="2"/>
      <c r="BE862" s="2" t="s">
        <v>15461</v>
      </c>
      <c r="BF862" s="2" t="str">
        <f aca="false">HYPERLINK("http://dx.doi.org/10.1590/0037-8682-0107-2015","http://dx.doi.org/10.1590/0037-8682-0107-2015")</f>
        <v>http://dx.doi.org/10.1590/0037-8682-0107-2015</v>
      </c>
      <c r="BG862" s="2"/>
      <c r="BH862" s="2"/>
      <c r="BI862" s="2" t="n">
        <v>3</v>
      </c>
      <c r="BJ862" s="2" t="s">
        <v>3199</v>
      </c>
      <c r="BK862" s="2" t="s">
        <v>100</v>
      </c>
      <c r="BL862" s="2" t="s">
        <v>3199</v>
      </c>
      <c r="BM862" s="2" t="s">
        <v>15462</v>
      </c>
      <c r="BN862" s="2" t="n">
        <v>26676503</v>
      </c>
      <c r="BO862" s="2" t="s">
        <v>3201</v>
      </c>
      <c r="BP862" s="2"/>
      <c r="BQ862" s="2"/>
      <c r="BR862" s="2" t="s">
        <v>104</v>
      </c>
      <c r="BS862" s="2" t="s">
        <v>15463</v>
      </c>
      <c r="BT862" s="2" t="str">
        <f aca="false">HYPERLINK("https%3A%2F%2Fwww.webofscience.com%2Fwos%2Fwoscc%2Ffull-record%2FWOS:000367158500018","View Full Record in Web of Science")</f>
        <v>View Full Record in Web of Science</v>
      </c>
    </row>
    <row r="863" customFormat="false" ht="12.75" hidden="false" customHeight="false" outlineLevel="0" collapsed="false">
      <c r="A863" s="2" t="s">
        <v>72</v>
      </c>
      <c r="B863" s="2" t="s">
        <v>15464</v>
      </c>
      <c r="C863" s="2"/>
      <c r="D863" s="2"/>
      <c r="E863" s="2"/>
      <c r="F863" s="2" t="s">
        <v>15465</v>
      </c>
      <c r="G863" s="2"/>
      <c r="H863" s="2"/>
      <c r="I863" s="2" t="s">
        <v>15466</v>
      </c>
      <c r="J863" s="2" t="s">
        <v>370</v>
      </c>
      <c r="K863" s="2"/>
      <c r="L863" s="2"/>
      <c r="M863" s="2" t="s">
        <v>77</v>
      </c>
      <c r="N863" s="2" t="s">
        <v>78</v>
      </c>
      <c r="O863" s="2"/>
      <c r="P863" s="2"/>
      <c r="Q863" s="2"/>
      <c r="R863" s="2"/>
      <c r="S863" s="2"/>
      <c r="T863" s="2" t="s">
        <v>15467</v>
      </c>
      <c r="U863" s="2" t="s">
        <v>15468</v>
      </c>
      <c r="V863" s="2" t="s">
        <v>15469</v>
      </c>
      <c r="W863" s="2" t="s">
        <v>15470</v>
      </c>
      <c r="X863" s="2" t="s">
        <v>4262</v>
      </c>
      <c r="Y863" s="2" t="s">
        <v>9632</v>
      </c>
      <c r="Z863" s="2" t="s">
        <v>6724</v>
      </c>
      <c r="AA863" s="2" t="s">
        <v>15471</v>
      </c>
      <c r="AB863" s="2" t="s">
        <v>15472</v>
      </c>
      <c r="AC863" s="2" t="s">
        <v>15473</v>
      </c>
      <c r="AD863" s="2" t="s">
        <v>15474</v>
      </c>
      <c r="AE863" s="2" t="s">
        <v>15475</v>
      </c>
      <c r="AF863" s="2"/>
      <c r="AG863" s="2" t="n">
        <v>47</v>
      </c>
      <c r="AH863" s="2" t="n">
        <v>40</v>
      </c>
      <c r="AI863" s="2" t="n">
        <v>42</v>
      </c>
      <c r="AJ863" s="2" t="n">
        <v>4</v>
      </c>
      <c r="AK863" s="2" t="n">
        <v>13</v>
      </c>
      <c r="AL863" s="2" t="s">
        <v>549</v>
      </c>
      <c r="AM863" s="2" t="s">
        <v>384</v>
      </c>
      <c r="AN863" s="2" t="s">
        <v>550</v>
      </c>
      <c r="AO863" s="2" t="s">
        <v>386</v>
      </c>
      <c r="AP863" s="2"/>
      <c r="AQ863" s="2"/>
      <c r="AR863" s="2" t="s">
        <v>388</v>
      </c>
      <c r="AS863" s="2" t="s">
        <v>389</v>
      </c>
      <c r="AT863" s="2" t="s">
        <v>185</v>
      </c>
      <c r="AU863" s="2" t="n">
        <v>2012</v>
      </c>
      <c r="AV863" s="2" t="n">
        <v>54</v>
      </c>
      <c r="AW863" s="2" t="n">
        <v>4</v>
      </c>
      <c r="AX863" s="2"/>
      <c r="AY863" s="2"/>
      <c r="AZ863" s="2"/>
      <c r="BA863" s="2"/>
      <c r="BB863" s="2" t="n">
        <v>371</v>
      </c>
      <c r="BC863" s="2" t="n">
        <v>375</v>
      </c>
      <c r="BD863" s="2"/>
      <c r="BE863" s="2" t="s">
        <v>15476</v>
      </c>
      <c r="BF863" s="2" t="str">
        <f aca="false">HYPERLINK("http://dx.doi.org/10.1016/j.jcv.2012.05.005","http://dx.doi.org/10.1016/j.jcv.2012.05.005")</f>
        <v>http://dx.doi.org/10.1016/j.jcv.2012.05.005</v>
      </c>
      <c r="BG863" s="2"/>
      <c r="BH863" s="2"/>
      <c r="BI863" s="2" t="n">
        <v>5</v>
      </c>
      <c r="BJ863" s="2" t="s">
        <v>163</v>
      </c>
      <c r="BK863" s="2" t="s">
        <v>100</v>
      </c>
      <c r="BL863" s="2" t="s">
        <v>163</v>
      </c>
      <c r="BM863" s="2" t="s">
        <v>15477</v>
      </c>
      <c r="BN863" s="2" t="n">
        <v>22677006</v>
      </c>
      <c r="BO863" s="2" t="s">
        <v>695</v>
      </c>
      <c r="BP863" s="2"/>
      <c r="BQ863" s="2"/>
      <c r="BR863" s="2" t="s">
        <v>104</v>
      </c>
      <c r="BS863" s="2" t="s">
        <v>15478</v>
      </c>
      <c r="BT863" s="2" t="str">
        <f aca="false">HYPERLINK("https%3A%2F%2Fwww.webofscience.com%2Fwos%2Fwoscc%2Ffull-record%2FWOS:000306374700018","View Full Record in Web of Science")</f>
        <v>View Full Record in Web of Science</v>
      </c>
    </row>
    <row r="864" customFormat="false" ht="12.75" hidden="false" customHeight="false" outlineLevel="0" collapsed="false">
      <c r="A864" s="2" t="s">
        <v>72</v>
      </c>
      <c r="B864" s="2" t="s">
        <v>15479</v>
      </c>
      <c r="C864" s="2"/>
      <c r="D864" s="2"/>
      <c r="E864" s="2"/>
      <c r="F864" s="2" t="s">
        <v>15480</v>
      </c>
      <c r="G864" s="2"/>
      <c r="H864" s="2"/>
      <c r="I864" s="2" t="s">
        <v>15481</v>
      </c>
      <c r="J864" s="2" t="s">
        <v>1048</v>
      </c>
      <c r="K864" s="2"/>
      <c r="L864" s="2"/>
      <c r="M864" s="2" t="s">
        <v>77</v>
      </c>
      <c r="N864" s="2" t="s">
        <v>78</v>
      </c>
      <c r="O864" s="2"/>
      <c r="P864" s="2"/>
      <c r="Q864" s="2"/>
      <c r="R864" s="2"/>
      <c r="S864" s="2"/>
      <c r="T864" s="2" t="s">
        <v>15482</v>
      </c>
      <c r="U864" s="2" t="s">
        <v>15483</v>
      </c>
      <c r="V864" s="2" t="s">
        <v>15484</v>
      </c>
      <c r="W864" s="2" t="s">
        <v>15485</v>
      </c>
      <c r="X864" s="2" t="s">
        <v>15486</v>
      </c>
      <c r="Y864" s="2" t="s">
        <v>15487</v>
      </c>
      <c r="Z864" s="2" t="s">
        <v>15488</v>
      </c>
      <c r="AA864" s="2" t="s">
        <v>15489</v>
      </c>
      <c r="AB864" s="2" t="s">
        <v>15490</v>
      </c>
      <c r="AC864" s="2"/>
      <c r="AD864" s="2"/>
      <c r="AE864" s="2"/>
      <c r="AF864" s="2"/>
      <c r="AG864" s="2" t="n">
        <v>54</v>
      </c>
      <c r="AH864" s="2" t="n">
        <v>4</v>
      </c>
      <c r="AI864" s="2" t="n">
        <v>5</v>
      </c>
      <c r="AJ864" s="2" t="n">
        <v>0</v>
      </c>
      <c r="AK864" s="2" t="n">
        <v>1</v>
      </c>
      <c r="AL864" s="2" t="s">
        <v>91</v>
      </c>
      <c r="AM864" s="2" t="s">
        <v>92</v>
      </c>
      <c r="AN864" s="2" t="s">
        <v>93</v>
      </c>
      <c r="AO864" s="2"/>
      <c r="AP864" s="2" t="s">
        <v>1061</v>
      </c>
      <c r="AQ864" s="2"/>
      <c r="AR864" s="2" t="s">
        <v>1048</v>
      </c>
      <c r="AS864" s="2" t="s">
        <v>1062</v>
      </c>
      <c r="AT864" s="2" t="s">
        <v>486</v>
      </c>
      <c r="AU864" s="2" t="n">
        <v>2020</v>
      </c>
      <c r="AV864" s="2" t="n">
        <v>8</v>
      </c>
      <c r="AW864" s="2" t="n">
        <v>6</v>
      </c>
      <c r="AX864" s="2"/>
      <c r="AY864" s="2"/>
      <c r="AZ864" s="2"/>
      <c r="BA864" s="2"/>
      <c r="BB864" s="2"/>
      <c r="BC864" s="2"/>
      <c r="BD864" s="2" t="n">
        <v>824</v>
      </c>
      <c r="BE864" s="2" t="s">
        <v>15491</v>
      </c>
      <c r="BF864" s="2" t="str">
        <f aca="false">HYPERLINK("http://dx.doi.org/10.3390/microorganisms8060824","http://dx.doi.org/10.3390/microorganisms8060824")</f>
        <v>http://dx.doi.org/10.3390/microorganisms8060824</v>
      </c>
      <c r="BG864" s="2"/>
      <c r="BH864" s="2"/>
      <c r="BI864" s="2" t="n">
        <v>20</v>
      </c>
      <c r="BJ864" s="2" t="s">
        <v>211</v>
      </c>
      <c r="BK864" s="2" t="s">
        <v>100</v>
      </c>
      <c r="BL864" s="2" t="s">
        <v>211</v>
      </c>
      <c r="BM864" s="2" t="s">
        <v>15492</v>
      </c>
      <c r="BN864" s="2" t="n">
        <v>32486193</v>
      </c>
      <c r="BO864" s="2" t="s">
        <v>103</v>
      </c>
      <c r="BP864" s="2"/>
      <c r="BQ864" s="2"/>
      <c r="BR864" s="2" t="s">
        <v>104</v>
      </c>
      <c r="BS864" s="2" t="s">
        <v>15493</v>
      </c>
      <c r="BT864" s="2" t="str">
        <f aca="false">HYPERLINK("https%3A%2F%2Fwww.webofscience.com%2Fwos%2Fwoscc%2Ffull-record%2FWOS:000553531900001","View Full Record in Web of Science")</f>
        <v>View Full Record in Web of Science</v>
      </c>
    </row>
    <row r="865" customFormat="false" ht="12.75" hidden="false" customHeight="false" outlineLevel="0" collapsed="false">
      <c r="A865" s="2" t="s">
        <v>72</v>
      </c>
      <c r="B865" s="2" t="s">
        <v>15494</v>
      </c>
      <c r="C865" s="2"/>
      <c r="D865" s="2"/>
      <c r="E865" s="2"/>
      <c r="F865" s="2" t="s">
        <v>15495</v>
      </c>
      <c r="G865" s="2"/>
      <c r="H865" s="2"/>
      <c r="I865" s="2" t="s">
        <v>15496</v>
      </c>
      <c r="J865" s="2" t="s">
        <v>1863</v>
      </c>
      <c r="K865" s="2"/>
      <c r="L865" s="2"/>
      <c r="M865" s="2" t="s">
        <v>77</v>
      </c>
      <c r="N865" s="2" t="s">
        <v>78</v>
      </c>
      <c r="O865" s="2"/>
      <c r="P865" s="2"/>
      <c r="Q865" s="2"/>
      <c r="R865" s="2"/>
      <c r="S865" s="2"/>
      <c r="T865" s="2" t="s">
        <v>15497</v>
      </c>
      <c r="U865" s="2" t="s">
        <v>15498</v>
      </c>
      <c r="V865" s="2" t="s">
        <v>15499</v>
      </c>
      <c r="W865" s="2" t="s">
        <v>15500</v>
      </c>
      <c r="X865" s="2"/>
      <c r="Y865" s="2" t="s">
        <v>15501</v>
      </c>
      <c r="Z865" s="2" t="s">
        <v>15502</v>
      </c>
      <c r="AA865" s="2"/>
      <c r="AB865" s="2"/>
      <c r="AC865" s="2" t="s">
        <v>15503</v>
      </c>
      <c r="AD865" s="2" t="s">
        <v>15504</v>
      </c>
      <c r="AE865" s="2" t="s">
        <v>15505</v>
      </c>
      <c r="AF865" s="2"/>
      <c r="AG865" s="2" t="n">
        <v>37</v>
      </c>
      <c r="AH865" s="2" t="n">
        <v>5</v>
      </c>
      <c r="AI865" s="2" t="n">
        <v>5</v>
      </c>
      <c r="AJ865" s="2" t="n">
        <v>2</v>
      </c>
      <c r="AK865" s="2" t="n">
        <v>8</v>
      </c>
      <c r="AL865" s="2" t="s">
        <v>302</v>
      </c>
      <c r="AM865" s="2" t="s">
        <v>303</v>
      </c>
      <c r="AN865" s="2" t="s">
        <v>304</v>
      </c>
      <c r="AO865" s="2"/>
      <c r="AP865" s="2" t="s">
        <v>1876</v>
      </c>
      <c r="AQ865" s="2"/>
      <c r="AR865" s="2" t="s">
        <v>1877</v>
      </c>
      <c r="AS865" s="2" t="s">
        <v>1878</v>
      </c>
      <c r="AT865" s="2" t="s">
        <v>15506</v>
      </c>
      <c r="AU865" s="2" t="n">
        <v>2022</v>
      </c>
      <c r="AV865" s="2" t="n">
        <v>19</v>
      </c>
      <c r="AW865" s="2" t="n">
        <v>1</v>
      </c>
      <c r="AX865" s="2"/>
      <c r="AY865" s="2"/>
      <c r="AZ865" s="2"/>
      <c r="BA865" s="2"/>
      <c r="BB865" s="2"/>
      <c r="BC865" s="2"/>
      <c r="BD865" s="2" t="n">
        <v>214</v>
      </c>
      <c r="BE865" s="2" t="s">
        <v>15507</v>
      </c>
      <c r="BF865" s="2" t="str">
        <f aca="false">HYPERLINK("http://dx.doi.org/10.1186/s12985-022-01949-1","http://dx.doi.org/10.1186/s12985-022-01949-1")</f>
        <v>http://dx.doi.org/10.1186/s12985-022-01949-1</v>
      </c>
      <c r="BG865" s="2"/>
      <c r="BH865" s="2"/>
      <c r="BI865" s="2" t="n">
        <v>8</v>
      </c>
      <c r="BJ865" s="2" t="s">
        <v>163</v>
      </c>
      <c r="BK865" s="2" t="s">
        <v>100</v>
      </c>
      <c r="BL865" s="2" t="s">
        <v>163</v>
      </c>
      <c r="BM865" s="2" t="s">
        <v>15508</v>
      </c>
      <c r="BN865" s="2" t="n">
        <v>36496397</v>
      </c>
      <c r="BO865" s="2" t="s">
        <v>11315</v>
      </c>
      <c r="BP865" s="2"/>
      <c r="BQ865" s="2"/>
      <c r="BR865" s="2" t="s">
        <v>104</v>
      </c>
      <c r="BS865" s="2" t="s">
        <v>15509</v>
      </c>
      <c r="BT865" s="2" t="str">
        <f aca="false">HYPERLINK("https%3A%2F%2Fwww.webofscience.com%2Fwos%2Fwoscc%2Ffull-record%2FWOS:000897456700002","View Full Record in Web of Science")</f>
        <v>View Full Record in Web of Science</v>
      </c>
    </row>
    <row r="866" customFormat="false" ht="12.75" hidden="false" customHeight="false" outlineLevel="0" collapsed="false">
      <c r="A866" s="2" t="s">
        <v>72</v>
      </c>
      <c r="B866" s="2" t="s">
        <v>15510</v>
      </c>
      <c r="C866" s="2"/>
      <c r="D866" s="2"/>
      <c r="E866" s="2"/>
      <c r="F866" s="2" t="s">
        <v>15511</v>
      </c>
      <c r="G866" s="2"/>
      <c r="H866" s="2"/>
      <c r="I866" s="2" t="s">
        <v>15512</v>
      </c>
      <c r="J866" s="2" t="s">
        <v>2547</v>
      </c>
      <c r="K866" s="2"/>
      <c r="L866" s="2"/>
      <c r="M866" s="2" t="s">
        <v>77</v>
      </c>
      <c r="N866" s="2" t="s">
        <v>78</v>
      </c>
      <c r="O866" s="2"/>
      <c r="P866" s="2"/>
      <c r="Q866" s="2"/>
      <c r="R866" s="2"/>
      <c r="S866" s="2"/>
      <c r="T866" s="2" t="s">
        <v>15513</v>
      </c>
      <c r="U866" s="2" t="s">
        <v>15514</v>
      </c>
      <c r="V866" s="2" t="s">
        <v>15515</v>
      </c>
      <c r="W866" s="2" t="s">
        <v>15516</v>
      </c>
      <c r="X866" s="2" t="s">
        <v>15517</v>
      </c>
      <c r="Y866" s="2" t="s">
        <v>15518</v>
      </c>
      <c r="Z866" s="2" t="s">
        <v>15519</v>
      </c>
      <c r="AA866" s="2" t="s">
        <v>15520</v>
      </c>
      <c r="AB866" s="2" t="s">
        <v>15521</v>
      </c>
      <c r="AC866" s="2" t="s">
        <v>15522</v>
      </c>
      <c r="AD866" s="2" t="s">
        <v>15523</v>
      </c>
      <c r="AE866" s="2"/>
      <c r="AF866" s="2"/>
      <c r="AG866" s="2" t="n">
        <v>30</v>
      </c>
      <c r="AH866" s="2" t="n">
        <v>49</v>
      </c>
      <c r="AI866" s="2" t="n">
        <v>59</v>
      </c>
      <c r="AJ866" s="2" t="n">
        <v>0</v>
      </c>
      <c r="AK866" s="2" t="n">
        <v>1</v>
      </c>
      <c r="AL866" s="2" t="s">
        <v>782</v>
      </c>
      <c r="AM866" s="2" t="s">
        <v>783</v>
      </c>
      <c r="AN866" s="2" t="s">
        <v>784</v>
      </c>
      <c r="AO866" s="2" t="s">
        <v>2556</v>
      </c>
      <c r="AP866" s="2"/>
      <c r="AQ866" s="2"/>
      <c r="AR866" s="2" t="s">
        <v>2547</v>
      </c>
      <c r="AS866" s="2" t="s">
        <v>2558</v>
      </c>
      <c r="AT866" s="2" t="s">
        <v>15524</v>
      </c>
      <c r="AU866" s="2" t="n">
        <v>2007</v>
      </c>
      <c r="AV866" s="2" t="n">
        <v>25</v>
      </c>
      <c r="AW866" s="2" t="n">
        <v>27</v>
      </c>
      <c r="AX866" s="2"/>
      <c r="AY866" s="2"/>
      <c r="AZ866" s="2"/>
      <c r="BA866" s="2"/>
      <c r="BB866" s="2" t="n">
        <v>5034</v>
      </c>
      <c r="BC866" s="2" t="n">
        <v>5040</v>
      </c>
      <c r="BD866" s="2"/>
      <c r="BE866" s="2" t="s">
        <v>15525</v>
      </c>
      <c r="BF866" s="2" t="str">
        <f aca="false">HYPERLINK("http://dx.doi.org/10.1016/j.vaccine.2007.04.075","http://dx.doi.org/10.1016/j.vaccine.2007.04.075")</f>
        <v>http://dx.doi.org/10.1016/j.vaccine.2007.04.075</v>
      </c>
      <c r="BG866" s="2"/>
      <c r="BH866" s="2"/>
      <c r="BI866" s="2" t="n">
        <v>7</v>
      </c>
      <c r="BJ866" s="2" t="s">
        <v>187</v>
      </c>
      <c r="BK866" s="2" t="s">
        <v>100</v>
      </c>
      <c r="BL866" s="2" t="s">
        <v>188</v>
      </c>
      <c r="BM866" s="2" t="s">
        <v>15526</v>
      </c>
      <c r="BN866" s="2" t="n">
        <v>17543425</v>
      </c>
      <c r="BO866" s="2" t="s">
        <v>695</v>
      </c>
      <c r="BP866" s="2"/>
      <c r="BQ866" s="2"/>
      <c r="BR866" s="2" t="s">
        <v>104</v>
      </c>
      <c r="BS866" s="2" t="s">
        <v>15527</v>
      </c>
      <c r="BT866" s="2" t="str">
        <f aca="false">HYPERLINK("https%3A%2F%2Fwww.webofscience.com%2Fwos%2Fwoscc%2Ffull-record%2FWOS:000247924000008","View Full Record in Web of Science")</f>
        <v>View Full Record in Web of Science</v>
      </c>
    </row>
    <row r="867" customFormat="false" ht="12.75" hidden="false" customHeight="false" outlineLevel="0" collapsed="false">
      <c r="A867" s="2" t="s">
        <v>72</v>
      </c>
      <c r="B867" s="2" t="s">
        <v>15528</v>
      </c>
      <c r="C867" s="2"/>
      <c r="D867" s="2"/>
      <c r="E867" s="2"/>
      <c r="F867" s="2" t="s">
        <v>15529</v>
      </c>
      <c r="G867" s="2"/>
      <c r="H867" s="2"/>
      <c r="I867" s="2" t="s">
        <v>15530</v>
      </c>
      <c r="J867" s="2" t="s">
        <v>6051</v>
      </c>
      <c r="K867" s="2"/>
      <c r="L867" s="2"/>
      <c r="M867" s="2" t="s">
        <v>77</v>
      </c>
      <c r="N867" s="2" t="s">
        <v>78</v>
      </c>
      <c r="O867" s="2"/>
      <c r="P867" s="2"/>
      <c r="Q867" s="2"/>
      <c r="R867" s="2"/>
      <c r="S867" s="2"/>
      <c r="T867" s="2" t="s">
        <v>15531</v>
      </c>
      <c r="U867" s="2" t="s">
        <v>15532</v>
      </c>
      <c r="V867" s="2" t="s">
        <v>15533</v>
      </c>
      <c r="W867" s="2" t="s">
        <v>15534</v>
      </c>
      <c r="X867" s="2" t="s">
        <v>15535</v>
      </c>
      <c r="Y867" s="2" t="s">
        <v>15536</v>
      </c>
      <c r="Z867" s="2"/>
      <c r="AA867" s="2" t="s">
        <v>15537</v>
      </c>
      <c r="AB867" s="2" t="s">
        <v>15538</v>
      </c>
      <c r="AC867" s="2" t="s">
        <v>4711</v>
      </c>
      <c r="AD867" s="2" t="s">
        <v>4712</v>
      </c>
      <c r="AE867" s="2" t="s">
        <v>15539</v>
      </c>
      <c r="AF867" s="2"/>
      <c r="AG867" s="2" t="n">
        <v>52</v>
      </c>
      <c r="AH867" s="2" t="n">
        <v>1</v>
      </c>
      <c r="AI867" s="2" t="n">
        <v>1</v>
      </c>
      <c r="AJ867" s="2" t="n">
        <v>0</v>
      </c>
      <c r="AK867" s="2" t="n">
        <v>0</v>
      </c>
      <c r="AL867" s="2" t="s">
        <v>2954</v>
      </c>
      <c r="AM867" s="2" t="s">
        <v>593</v>
      </c>
      <c r="AN867" s="2" t="s">
        <v>2955</v>
      </c>
      <c r="AO867" s="2" t="s">
        <v>6064</v>
      </c>
      <c r="AP867" s="2" t="s">
        <v>13147</v>
      </c>
      <c r="AQ867" s="2"/>
      <c r="AR867" s="2" t="s">
        <v>6065</v>
      </c>
      <c r="AS867" s="2" t="s">
        <v>6066</v>
      </c>
      <c r="AT867" s="2" t="s">
        <v>129</v>
      </c>
      <c r="AU867" s="2" t="n">
        <v>2024</v>
      </c>
      <c r="AV867" s="2" t="n">
        <v>71</v>
      </c>
      <c r="AW867" s="2" t="n">
        <v>3</v>
      </c>
      <c r="AX867" s="2"/>
      <c r="AY867" s="2"/>
      <c r="AZ867" s="2"/>
      <c r="BA867" s="2"/>
      <c r="BB867" s="2" t="n">
        <v>294</v>
      </c>
      <c r="BC867" s="2" t="n">
        <v>306</v>
      </c>
      <c r="BD867" s="2"/>
      <c r="BE867" s="2" t="s">
        <v>15540</v>
      </c>
      <c r="BF867" s="2" t="str">
        <f aca="false">HYPERLINK("http://dx.doi.org/10.1165/rcmb.2024-0004OC","http://dx.doi.org/10.1165/rcmb.2024-0004OC")</f>
        <v>http://dx.doi.org/10.1165/rcmb.2024-0004OC</v>
      </c>
      <c r="BG867" s="2"/>
      <c r="BH867" s="2"/>
      <c r="BI867" s="2" t="n">
        <v>13</v>
      </c>
      <c r="BJ867" s="2" t="s">
        <v>6068</v>
      </c>
      <c r="BK867" s="2" t="s">
        <v>100</v>
      </c>
      <c r="BL867" s="2" t="s">
        <v>6068</v>
      </c>
      <c r="BM867" s="2" t="s">
        <v>15541</v>
      </c>
      <c r="BN867" s="2" t="n">
        <v>38696270</v>
      </c>
      <c r="BO867" s="2" t="s">
        <v>2278</v>
      </c>
      <c r="BP867" s="2"/>
      <c r="BQ867" s="2"/>
      <c r="BR867" s="2" t="s">
        <v>104</v>
      </c>
      <c r="BS867" s="2" t="s">
        <v>15542</v>
      </c>
      <c r="BT867" s="2" t="str">
        <f aca="false">HYPERLINK("https%3A%2F%2Fwww.webofscience.com%2Fwos%2Fwoscc%2Ffull-record%2FWOS:001322578200007","View Full Record in Web of Science")</f>
        <v>View Full Record in Web of Science</v>
      </c>
    </row>
    <row r="868" customFormat="false" ht="12.75" hidden="false" customHeight="false" outlineLevel="0" collapsed="false">
      <c r="A868" s="2" t="s">
        <v>72</v>
      </c>
      <c r="B868" s="2" t="s">
        <v>15543</v>
      </c>
      <c r="C868" s="2"/>
      <c r="D868" s="2"/>
      <c r="E868" s="2"/>
      <c r="F868" s="2" t="s">
        <v>15544</v>
      </c>
      <c r="G868" s="2"/>
      <c r="H868" s="2"/>
      <c r="I868" s="2" t="s">
        <v>15545</v>
      </c>
      <c r="J868" s="2" t="s">
        <v>2021</v>
      </c>
      <c r="K868" s="2"/>
      <c r="L868" s="2"/>
      <c r="M868" s="2" t="s">
        <v>77</v>
      </c>
      <c r="N868" s="2" t="s">
        <v>78</v>
      </c>
      <c r="O868" s="2"/>
      <c r="P868" s="2"/>
      <c r="Q868" s="2"/>
      <c r="R868" s="2"/>
      <c r="S868" s="2"/>
      <c r="T868" s="2" t="s">
        <v>15546</v>
      </c>
      <c r="U868" s="2" t="s">
        <v>15547</v>
      </c>
      <c r="V868" s="2" t="s">
        <v>15548</v>
      </c>
      <c r="W868" s="2" t="s">
        <v>15549</v>
      </c>
      <c r="X868" s="2" t="s">
        <v>15550</v>
      </c>
      <c r="Y868" s="2" t="s">
        <v>15551</v>
      </c>
      <c r="Z868" s="2" t="s">
        <v>15552</v>
      </c>
      <c r="AA868" s="2" t="s">
        <v>15553</v>
      </c>
      <c r="AB868" s="2"/>
      <c r="AC868" s="2" t="s">
        <v>15554</v>
      </c>
      <c r="AD868" s="2" t="s">
        <v>15555</v>
      </c>
      <c r="AE868" s="2" t="s">
        <v>15556</v>
      </c>
      <c r="AF868" s="2"/>
      <c r="AG868" s="2" t="n">
        <v>38</v>
      </c>
      <c r="AH868" s="2" t="n">
        <v>15</v>
      </c>
      <c r="AI868" s="2" t="n">
        <v>19</v>
      </c>
      <c r="AJ868" s="2" t="n">
        <v>0</v>
      </c>
      <c r="AK868" s="2" t="n">
        <v>7</v>
      </c>
      <c r="AL868" s="2" t="s">
        <v>527</v>
      </c>
      <c r="AM868" s="2" t="s">
        <v>528</v>
      </c>
      <c r="AN868" s="2" t="s">
        <v>529</v>
      </c>
      <c r="AO868" s="2" t="s">
        <v>2033</v>
      </c>
      <c r="AP868" s="2" t="s">
        <v>2034</v>
      </c>
      <c r="AQ868" s="2"/>
      <c r="AR868" s="2" t="s">
        <v>2035</v>
      </c>
      <c r="AS868" s="2" t="s">
        <v>2036</v>
      </c>
      <c r="AT868" s="2" t="s">
        <v>15557</v>
      </c>
      <c r="AU868" s="2" t="n">
        <v>2021</v>
      </c>
      <c r="AV868" s="2" t="n">
        <v>72</v>
      </c>
      <c r="AW868" s="2" t="n">
        <v>1</v>
      </c>
      <c r="AX868" s="2"/>
      <c r="AY868" s="2"/>
      <c r="AZ868" s="2"/>
      <c r="BA868" s="2"/>
      <c r="BB868" s="2" t="n">
        <v>108</v>
      </c>
      <c r="BC868" s="2" t="n">
        <v>117</v>
      </c>
      <c r="BD868" s="2"/>
      <c r="BE868" s="2" t="s">
        <v>15558</v>
      </c>
      <c r="BF868" s="2" t="str">
        <f aca="false">HYPERLINK("http://dx.doi.org/10.1093/cid/ciaa088","http://dx.doi.org/10.1093/cid/ciaa088")</f>
        <v>http://dx.doi.org/10.1093/cid/ciaa088</v>
      </c>
      <c r="BG868" s="2"/>
      <c r="BH868" s="2"/>
      <c r="BI868" s="2" t="n">
        <v>10</v>
      </c>
      <c r="BJ868" s="2" t="s">
        <v>536</v>
      </c>
      <c r="BK868" s="2" t="s">
        <v>100</v>
      </c>
      <c r="BL868" s="2" t="s">
        <v>536</v>
      </c>
      <c r="BM868" s="2" t="s">
        <v>15559</v>
      </c>
      <c r="BN868" s="2" t="n">
        <v>32010955</v>
      </c>
      <c r="BO868" s="2" t="s">
        <v>165</v>
      </c>
      <c r="BP868" s="2"/>
      <c r="BQ868" s="2"/>
      <c r="BR868" s="2" t="s">
        <v>104</v>
      </c>
      <c r="BS868" s="2" t="s">
        <v>15560</v>
      </c>
      <c r="BT868" s="2" t="str">
        <f aca="false">HYPERLINK("https%3A%2F%2Fwww.webofscience.com%2Fwos%2Fwoscc%2Ffull-record%2FWOS:000646251200016","View Full Record in Web of Science")</f>
        <v>View Full Record in Web of Science</v>
      </c>
    </row>
    <row r="869" customFormat="false" ht="12.75" hidden="false" customHeight="false" outlineLevel="0" collapsed="false">
      <c r="A869" s="2" t="s">
        <v>72</v>
      </c>
      <c r="B869" s="2" t="s">
        <v>15561</v>
      </c>
      <c r="C869" s="2"/>
      <c r="D869" s="2"/>
      <c r="E869" s="2"/>
      <c r="F869" s="2" t="s">
        <v>15562</v>
      </c>
      <c r="G869" s="2"/>
      <c r="H869" s="2"/>
      <c r="I869" s="2" t="s">
        <v>15563</v>
      </c>
      <c r="J869" s="2" t="s">
        <v>607</v>
      </c>
      <c r="K869" s="2"/>
      <c r="L869" s="2"/>
      <c r="M869" s="2" t="s">
        <v>77</v>
      </c>
      <c r="N869" s="2" t="s">
        <v>78</v>
      </c>
      <c r="O869" s="2"/>
      <c r="P869" s="2"/>
      <c r="Q869" s="2"/>
      <c r="R869" s="2"/>
      <c r="S869" s="2"/>
      <c r="T869" s="2" t="s">
        <v>15564</v>
      </c>
      <c r="U869" s="2" t="s">
        <v>15565</v>
      </c>
      <c r="V869" s="2" t="s">
        <v>15566</v>
      </c>
      <c r="W869" s="2" t="s">
        <v>15567</v>
      </c>
      <c r="X869" s="2" t="s">
        <v>15568</v>
      </c>
      <c r="Y869" s="2" t="s">
        <v>15569</v>
      </c>
      <c r="Z869" s="2" t="s">
        <v>15570</v>
      </c>
      <c r="AA869" s="2"/>
      <c r="AB869" s="2" t="s">
        <v>15571</v>
      </c>
      <c r="AC869" s="2" t="s">
        <v>15572</v>
      </c>
      <c r="AD869" s="2" t="s">
        <v>15573</v>
      </c>
      <c r="AE869" s="2" t="s">
        <v>15574</v>
      </c>
      <c r="AF869" s="2"/>
      <c r="AG869" s="2" t="n">
        <v>52</v>
      </c>
      <c r="AH869" s="2" t="n">
        <v>1</v>
      </c>
      <c r="AI869" s="2" t="n">
        <v>1</v>
      </c>
      <c r="AJ869" s="2" t="n">
        <v>0</v>
      </c>
      <c r="AK869" s="2" t="n">
        <v>0</v>
      </c>
      <c r="AL869" s="2" t="s">
        <v>620</v>
      </c>
      <c r="AM869" s="2" t="s">
        <v>621</v>
      </c>
      <c r="AN869" s="2" t="s">
        <v>622</v>
      </c>
      <c r="AO869" s="2" t="s">
        <v>623</v>
      </c>
      <c r="AP869" s="2"/>
      <c r="AQ869" s="2"/>
      <c r="AR869" s="2" t="s">
        <v>624</v>
      </c>
      <c r="AS869" s="2" t="s">
        <v>625</v>
      </c>
      <c r="AT869" s="2" t="s">
        <v>2296</v>
      </c>
      <c r="AU869" s="2" t="n">
        <v>2023</v>
      </c>
      <c r="AV869" s="2" t="n">
        <v>14</v>
      </c>
      <c r="AW869" s="2"/>
      <c r="AX869" s="2"/>
      <c r="AY869" s="2"/>
      <c r="AZ869" s="2"/>
      <c r="BA869" s="2"/>
      <c r="BB869" s="2"/>
      <c r="BC869" s="2"/>
      <c r="BD869" s="2" t="n">
        <v>1173605</v>
      </c>
      <c r="BE869" s="2" t="s">
        <v>15575</v>
      </c>
      <c r="BF869" s="2" t="str">
        <f aca="false">HYPERLINK("http://dx.doi.org/10.3389/fimmu.2023.1173605","http://dx.doi.org/10.3389/fimmu.2023.1173605")</f>
        <v>http://dx.doi.org/10.3389/fimmu.2023.1173605</v>
      </c>
      <c r="BG869" s="2"/>
      <c r="BH869" s="2"/>
      <c r="BI869" s="2" t="n">
        <v>15</v>
      </c>
      <c r="BJ869" s="2" t="s">
        <v>628</v>
      </c>
      <c r="BK869" s="2" t="s">
        <v>100</v>
      </c>
      <c r="BL869" s="2" t="s">
        <v>628</v>
      </c>
      <c r="BM869" s="2" t="s">
        <v>15576</v>
      </c>
      <c r="BN869" s="2" t="n">
        <v>37435074</v>
      </c>
      <c r="BO869" s="2" t="s">
        <v>103</v>
      </c>
      <c r="BP869" s="2"/>
      <c r="BQ869" s="2"/>
      <c r="BR869" s="2" t="s">
        <v>104</v>
      </c>
      <c r="BS869" s="2" t="s">
        <v>15577</v>
      </c>
      <c r="BT869" s="2" t="str">
        <f aca="false">HYPERLINK("https%3A%2F%2Fwww.webofscience.com%2Fwos%2Fwoscc%2Ffull-record%2FWOS:001025810900001","View Full Record in Web of Science")</f>
        <v>View Full Record in Web of Science</v>
      </c>
    </row>
    <row r="870" customFormat="false" ht="12.75" hidden="false" customHeight="false" outlineLevel="0" collapsed="false">
      <c r="A870" s="2" t="s">
        <v>72</v>
      </c>
      <c r="B870" s="2" t="s">
        <v>15578</v>
      </c>
      <c r="C870" s="2"/>
      <c r="D870" s="2"/>
      <c r="E870" s="2"/>
      <c r="F870" s="2" t="s">
        <v>15578</v>
      </c>
      <c r="G870" s="2"/>
      <c r="H870" s="2"/>
      <c r="I870" s="2" t="s">
        <v>15579</v>
      </c>
      <c r="J870" s="2" t="s">
        <v>7060</v>
      </c>
      <c r="K870" s="2"/>
      <c r="L870" s="2"/>
      <c r="M870" s="2" t="s">
        <v>77</v>
      </c>
      <c r="N870" s="2" t="s">
        <v>78</v>
      </c>
      <c r="O870" s="2"/>
      <c r="P870" s="2"/>
      <c r="Q870" s="2"/>
      <c r="R870" s="2"/>
      <c r="S870" s="2"/>
      <c r="T870" s="2" t="s">
        <v>15580</v>
      </c>
      <c r="U870" s="2" t="s">
        <v>15581</v>
      </c>
      <c r="V870" s="2" t="s">
        <v>15582</v>
      </c>
      <c r="W870" s="2" t="s">
        <v>15583</v>
      </c>
      <c r="X870" s="2" t="s">
        <v>15584</v>
      </c>
      <c r="Y870" s="2" t="s">
        <v>15585</v>
      </c>
      <c r="Z870" s="2"/>
      <c r="AA870" s="2"/>
      <c r="AB870" s="2"/>
      <c r="AC870" s="2" t="s">
        <v>15586</v>
      </c>
      <c r="AD870" s="2" t="s">
        <v>9670</v>
      </c>
      <c r="AE870" s="2"/>
      <c r="AF870" s="2"/>
      <c r="AG870" s="2" t="n">
        <v>15</v>
      </c>
      <c r="AH870" s="2" t="n">
        <v>200</v>
      </c>
      <c r="AI870" s="2" t="n">
        <v>235</v>
      </c>
      <c r="AJ870" s="2" t="n">
        <v>1</v>
      </c>
      <c r="AK870" s="2" t="n">
        <v>3</v>
      </c>
      <c r="AL870" s="2" t="s">
        <v>7073</v>
      </c>
      <c r="AM870" s="2" t="s">
        <v>7074</v>
      </c>
      <c r="AN870" s="2" t="s">
        <v>7075</v>
      </c>
      <c r="AO870" s="2" t="s">
        <v>7076</v>
      </c>
      <c r="AP870" s="2"/>
      <c r="AQ870" s="2"/>
      <c r="AR870" s="2" t="s">
        <v>7060</v>
      </c>
      <c r="AS870" s="2" t="s">
        <v>601</v>
      </c>
      <c r="AT870" s="2" t="s">
        <v>486</v>
      </c>
      <c r="AU870" s="2" t="n">
        <v>2003</v>
      </c>
      <c r="AV870" s="2" t="n">
        <v>111</v>
      </c>
      <c r="AW870" s="2" t="n">
        <v>6</v>
      </c>
      <c r="AX870" s="2"/>
      <c r="AY870" s="2"/>
      <c r="AZ870" s="2"/>
      <c r="BA870" s="2"/>
      <c r="BB870" s="2" t="n">
        <v>1407</v>
      </c>
      <c r="BC870" s="2" t="n">
        <v>1410</v>
      </c>
      <c r="BD870" s="2"/>
      <c r="BE870" s="2" t="s">
        <v>15587</v>
      </c>
      <c r="BF870" s="2" t="str">
        <f aca="false">HYPERLINK("http://dx.doi.org/10.1542/peds.111.6.1407","http://dx.doi.org/10.1542/peds.111.6.1407")</f>
        <v>http://dx.doi.org/10.1542/peds.111.6.1407</v>
      </c>
      <c r="BG870" s="2"/>
      <c r="BH870" s="2"/>
      <c r="BI870" s="2" t="n">
        <v>4</v>
      </c>
      <c r="BJ870" s="2" t="s">
        <v>601</v>
      </c>
      <c r="BK870" s="2" t="s">
        <v>100</v>
      </c>
      <c r="BL870" s="2" t="s">
        <v>601</v>
      </c>
      <c r="BM870" s="2" t="s">
        <v>15588</v>
      </c>
      <c r="BN870" s="2" t="n">
        <v>12777560</v>
      </c>
      <c r="BO870" s="2"/>
      <c r="BP870" s="2"/>
      <c r="BQ870" s="2"/>
      <c r="BR870" s="2" t="s">
        <v>104</v>
      </c>
      <c r="BS870" s="2" t="s">
        <v>15589</v>
      </c>
      <c r="BT870" s="2" t="str">
        <f aca="false">HYPERLINK("https%3A%2F%2Fwww.webofscience.com%2Fwos%2Fwoscc%2Ffull-record%2FWOS:000183696000039","View Full Record in Web of Science")</f>
        <v>View Full Record in Web of Science</v>
      </c>
    </row>
    <row r="871" customFormat="false" ht="12.75" hidden="false" customHeight="false" outlineLevel="0" collapsed="false">
      <c r="A871" s="2" t="s">
        <v>72</v>
      </c>
      <c r="B871" s="2" t="s">
        <v>15590</v>
      </c>
      <c r="C871" s="2"/>
      <c r="D871" s="2"/>
      <c r="E871" s="2"/>
      <c r="F871" s="2" t="s">
        <v>15591</v>
      </c>
      <c r="G871" s="2"/>
      <c r="H871" s="2"/>
      <c r="I871" s="2" t="s">
        <v>15592</v>
      </c>
      <c r="J871" s="2" t="s">
        <v>141</v>
      </c>
      <c r="K871" s="2"/>
      <c r="L871" s="2"/>
      <c r="M871" s="2" t="s">
        <v>77</v>
      </c>
      <c r="N871" s="2" t="s">
        <v>78</v>
      </c>
      <c r="O871" s="2"/>
      <c r="P871" s="2"/>
      <c r="Q871" s="2"/>
      <c r="R871" s="2"/>
      <c r="S871" s="2"/>
      <c r="T871" s="2" t="s">
        <v>15593</v>
      </c>
      <c r="U871" s="2" t="s">
        <v>15594</v>
      </c>
      <c r="V871" s="2" t="s">
        <v>15595</v>
      </c>
      <c r="W871" s="2" t="s">
        <v>15596</v>
      </c>
      <c r="X871" s="2" t="s">
        <v>15597</v>
      </c>
      <c r="Y871" s="2" t="s">
        <v>15598</v>
      </c>
      <c r="Z871" s="2" t="s">
        <v>15599</v>
      </c>
      <c r="AA871" s="2" t="s">
        <v>15600</v>
      </c>
      <c r="AB871" s="2" t="s">
        <v>5025</v>
      </c>
      <c r="AC871" s="2"/>
      <c r="AD871" s="2"/>
      <c r="AE871" s="2"/>
      <c r="AF871" s="2"/>
      <c r="AG871" s="2" t="n">
        <v>30</v>
      </c>
      <c r="AH871" s="2" t="n">
        <v>14</v>
      </c>
      <c r="AI871" s="2" t="n">
        <v>16</v>
      </c>
      <c r="AJ871" s="2" t="n">
        <v>0</v>
      </c>
      <c r="AK871" s="2" t="n">
        <v>1</v>
      </c>
      <c r="AL871" s="2" t="s">
        <v>154</v>
      </c>
      <c r="AM871" s="2" t="s">
        <v>155</v>
      </c>
      <c r="AN871" s="2" t="s">
        <v>156</v>
      </c>
      <c r="AO871" s="2" t="s">
        <v>157</v>
      </c>
      <c r="AP871" s="2" t="s">
        <v>158</v>
      </c>
      <c r="AQ871" s="2"/>
      <c r="AR871" s="2" t="s">
        <v>159</v>
      </c>
      <c r="AS871" s="2" t="s">
        <v>160</v>
      </c>
      <c r="AT871" s="2" t="s">
        <v>1041</v>
      </c>
      <c r="AU871" s="2" t="n">
        <v>2009</v>
      </c>
      <c r="AV871" s="2" t="n">
        <v>81</v>
      </c>
      <c r="AW871" s="2" t="n">
        <v>2</v>
      </c>
      <c r="AX871" s="2"/>
      <c r="AY871" s="2"/>
      <c r="AZ871" s="2"/>
      <c r="BA871" s="2"/>
      <c r="BB871" s="2" t="n">
        <v>340</v>
      </c>
      <c r="BC871" s="2" t="n">
        <v>344</v>
      </c>
      <c r="BD871" s="2"/>
      <c r="BE871" s="2" t="s">
        <v>15601</v>
      </c>
      <c r="BF871" s="2" t="str">
        <f aca="false">HYPERLINK("http://dx.doi.org/10.1002/jmv.21399","http://dx.doi.org/10.1002/jmv.21399")</f>
        <v>http://dx.doi.org/10.1002/jmv.21399</v>
      </c>
      <c r="BG871" s="2"/>
      <c r="BH871" s="2"/>
      <c r="BI871" s="2" t="n">
        <v>5</v>
      </c>
      <c r="BJ871" s="2" t="s">
        <v>163</v>
      </c>
      <c r="BK871" s="2" t="s">
        <v>100</v>
      </c>
      <c r="BL871" s="2" t="s">
        <v>163</v>
      </c>
      <c r="BM871" s="2" t="s">
        <v>15602</v>
      </c>
      <c r="BN871" s="2" t="n">
        <v>19107972</v>
      </c>
      <c r="BO871" s="2"/>
      <c r="BP871" s="2"/>
      <c r="BQ871" s="2"/>
      <c r="BR871" s="2" t="s">
        <v>104</v>
      </c>
      <c r="BS871" s="2" t="s">
        <v>15603</v>
      </c>
      <c r="BT871" s="2" t="str">
        <f aca="false">HYPERLINK("https%3A%2F%2Fwww.webofscience.com%2Fwos%2Fwoscc%2Ffull-record%2FWOS:000262095300019","View Full Record in Web of Science")</f>
        <v>View Full Record in Web of Science</v>
      </c>
    </row>
    <row r="872" customFormat="false" ht="12.75" hidden="false" customHeight="false" outlineLevel="0" collapsed="false">
      <c r="A872" s="2" t="s">
        <v>72</v>
      </c>
      <c r="B872" s="2" t="s">
        <v>15604</v>
      </c>
      <c r="C872" s="2"/>
      <c r="D872" s="2"/>
      <c r="E872" s="2"/>
      <c r="F872" s="2" t="s">
        <v>15604</v>
      </c>
      <c r="G872" s="2"/>
      <c r="H872" s="2"/>
      <c r="I872" s="2" t="s">
        <v>15605</v>
      </c>
      <c r="J872" s="2" t="s">
        <v>141</v>
      </c>
      <c r="K872" s="2"/>
      <c r="L872" s="2"/>
      <c r="M872" s="2" t="s">
        <v>77</v>
      </c>
      <c r="N872" s="2" t="s">
        <v>78</v>
      </c>
      <c r="O872" s="2"/>
      <c r="P872" s="2"/>
      <c r="Q872" s="2"/>
      <c r="R872" s="2"/>
      <c r="S872" s="2"/>
      <c r="T872" s="2" t="s">
        <v>15606</v>
      </c>
      <c r="U872" s="2" t="s">
        <v>15607</v>
      </c>
      <c r="V872" s="2" t="s">
        <v>15608</v>
      </c>
      <c r="W872" s="2" t="s">
        <v>15609</v>
      </c>
      <c r="X872" s="2" t="s">
        <v>15610</v>
      </c>
      <c r="Y872" s="2" t="s">
        <v>15611</v>
      </c>
      <c r="Z872" s="2" t="s">
        <v>15612</v>
      </c>
      <c r="AA872" s="2" t="s">
        <v>15613</v>
      </c>
      <c r="AB872" s="2"/>
      <c r="AC872" s="2"/>
      <c r="AD872" s="2"/>
      <c r="AE872" s="2"/>
      <c r="AF872" s="2"/>
      <c r="AG872" s="2" t="n">
        <v>26</v>
      </c>
      <c r="AH872" s="2" t="n">
        <v>49</v>
      </c>
      <c r="AI872" s="2" t="n">
        <v>57</v>
      </c>
      <c r="AJ872" s="2" t="n">
        <v>0</v>
      </c>
      <c r="AK872" s="2" t="n">
        <v>1</v>
      </c>
      <c r="AL872" s="2" t="s">
        <v>154</v>
      </c>
      <c r="AM872" s="2" t="s">
        <v>155</v>
      </c>
      <c r="AN872" s="2" t="s">
        <v>156</v>
      </c>
      <c r="AO872" s="2" t="s">
        <v>157</v>
      </c>
      <c r="AP872" s="2" t="s">
        <v>158</v>
      </c>
      <c r="AQ872" s="2"/>
      <c r="AR872" s="2" t="s">
        <v>159</v>
      </c>
      <c r="AS872" s="2" t="s">
        <v>160</v>
      </c>
      <c r="AT872" s="2" t="s">
        <v>599</v>
      </c>
      <c r="AU872" s="2" t="n">
        <v>2004</v>
      </c>
      <c r="AV872" s="2" t="n">
        <v>73</v>
      </c>
      <c r="AW872" s="2" t="n">
        <v>3</v>
      </c>
      <c r="AX872" s="2"/>
      <c r="AY872" s="2"/>
      <c r="AZ872" s="2"/>
      <c r="BA872" s="2"/>
      <c r="BB872" s="2" t="n">
        <v>486</v>
      </c>
      <c r="BC872" s="2" t="n">
        <v>493</v>
      </c>
      <c r="BD872" s="2"/>
      <c r="BE872" s="2" t="s">
        <v>15614</v>
      </c>
      <c r="BF872" s="2" t="str">
        <f aca="false">HYPERLINK("http://dx.doi.org/10.1002/jmv.20116","http://dx.doi.org/10.1002/jmv.20116")</f>
        <v>http://dx.doi.org/10.1002/jmv.20116</v>
      </c>
      <c r="BG872" s="2"/>
      <c r="BH872" s="2"/>
      <c r="BI872" s="2" t="n">
        <v>8</v>
      </c>
      <c r="BJ872" s="2" t="s">
        <v>163</v>
      </c>
      <c r="BK872" s="2" t="s">
        <v>100</v>
      </c>
      <c r="BL872" s="2" t="s">
        <v>163</v>
      </c>
      <c r="BM872" s="2" t="s">
        <v>15615</v>
      </c>
      <c r="BN872" s="2" t="n">
        <v>15170647</v>
      </c>
      <c r="BO872" s="2" t="s">
        <v>765</v>
      </c>
      <c r="BP872" s="2"/>
      <c r="BQ872" s="2"/>
      <c r="BR872" s="2" t="s">
        <v>104</v>
      </c>
      <c r="BS872" s="2" t="s">
        <v>15616</v>
      </c>
      <c r="BT872" s="2" t="str">
        <f aca="false">HYPERLINK("https%3A%2F%2Fwww.webofscience.com%2Fwos%2Fwoscc%2Ffull-record%2FWOS:000221677700024","View Full Record in Web of Science")</f>
        <v>View Full Record in Web of Science</v>
      </c>
    </row>
    <row r="873" customFormat="false" ht="12.75" hidden="false" customHeight="false" outlineLevel="0" collapsed="false">
      <c r="A873" s="2" t="s">
        <v>72</v>
      </c>
      <c r="B873" s="2" t="s">
        <v>15617</v>
      </c>
      <c r="C873" s="2"/>
      <c r="D873" s="2"/>
      <c r="E873" s="2"/>
      <c r="F873" s="2" t="s">
        <v>15618</v>
      </c>
      <c r="G873" s="2"/>
      <c r="H873" s="2"/>
      <c r="I873" s="2" t="s">
        <v>15619</v>
      </c>
      <c r="J873" s="2" t="s">
        <v>5511</v>
      </c>
      <c r="K873" s="2"/>
      <c r="L873" s="2"/>
      <c r="M873" s="2" t="s">
        <v>77</v>
      </c>
      <c r="N873" s="2" t="s">
        <v>78</v>
      </c>
      <c r="O873" s="2"/>
      <c r="P873" s="2"/>
      <c r="Q873" s="2"/>
      <c r="R873" s="2"/>
      <c r="S873" s="2"/>
      <c r="T873" s="2" t="s">
        <v>15620</v>
      </c>
      <c r="U873" s="2" t="s">
        <v>15621</v>
      </c>
      <c r="V873" s="2" t="s">
        <v>15622</v>
      </c>
      <c r="W873" s="2" t="s">
        <v>15623</v>
      </c>
      <c r="X873" s="2" t="s">
        <v>14560</v>
      </c>
      <c r="Y873" s="2" t="s">
        <v>15624</v>
      </c>
      <c r="Z873" s="2" t="s">
        <v>15625</v>
      </c>
      <c r="AA873" s="2" t="s">
        <v>14563</v>
      </c>
      <c r="AB873" s="2"/>
      <c r="AC873" s="2" t="s">
        <v>15626</v>
      </c>
      <c r="AD873" s="2" t="s">
        <v>15627</v>
      </c>
      <c r="AE873" s="2" t="s">
        <v>15628</v>
      </c>
      <c r="AF873" s="2"/>
      <c r="AG873" s="2" t="n">
        <v>35</v>
      </c>
      <c r="AH873" s="2" t="n">
        <v>1</v>
      </c>
      <c r="AI873" s="2" t="n">
        <v>1</v>
      </c>
      <c r="AJ873" s="2" t="n">
        <v>0</v>
      </c>
      <c r="AK873" s="2" t="n">
        <v>3</v>
      </c>
      <c r="AL873" s="2" t="s">
        <v>5523</v>
      </c>
      <c r="AM873" s="2" t="s">
        <v>5524</v>
      </c>
      <c r="AN873" s="2" t="s">
        <v>5525</v>
      </c>
      <c r="AO873" s="2" t="s">
        <v>5526</v>
      </c>
      <c r="AP873" s="2" t="s">
        <v>5527</v>
      </c>
      <c r="AQ873" s="2"/>
      <c r="AR873" s="2" t="s">
        <v>5528</v>
      </c>
      <c r="AS873" s="2" t="s">
        <v>5529</v>
      </c>
      <c r="AT873" s="2" t="s">
        <v>15629</v>
      </c>
      <c r="AU873" s="2" t="n">
        <v>2023</v>
      </c>
      <c r="AV873" s="2" t="n">
        <v>36</v>
      </c>
      <c r="AW873" s="2" t="n">
        <v>7</v>
      </c>
      <c r="AX873" s="2"/>
      <c r="AY873" s="2"/>
      <c r="AZ873" s="2"/>
      <c r="BA873" s="2"/>
      <c r="BB873" s="2" t="n">
        <v>449</v>
      </c>
      <c r="BC873" s="2" t="n">
        <v>457</v>
      </c>
      <c r="BD873" s="2"/>
      <c r="BE873" s="2" t="s">
        <v>15630</v>
      </c>
      <c r="BF873" s="2" t="str">
        <f aca="false">HYPERLINK("http://dx.doi.org/10.1089/vim.2023.0027","http://dx.doi.org/10.1089/vim.2023.0027")</f>
        <v>http://dx.doi.org/10.1089/vim.2023.0027</v>
      </c>
      <c r="BG873" s="2"/>
      <c r="BH873" s="2" t="s">
        <v>280</v>
      </c>
      <c r="BI873" s="2" t="n">
        <v>9</v>
      </c>
      <c r="BJ873" s="2" t="s">
        <v>5531</v>
      </c>
      <c r="BK873" s="2" t="s">
        <v>100</v>
      </c>
      <c r="BL873" s="2" t="s">
        <v>5531</v>
      </c>
      <c r="BM873" s="2" t="s">
        <v>15631</v>
      </c>
      <c r="BN873" s="2" t="n">
        <v>37406292</v>
      </c>
      <c r="BO873" s="2"/>
      <c r="BP873" s="2"/>
      <c r="BQ873" s="2"/>
      <c r="BR873" s="2" t="s">
        <v>104</v>
      </c>
      <c r="BS873" s="2" t="s">
        <v>15632</v>
      </c>
      <c r="BT873" s="2" t="str">
        <f aca="false">HYPERLINK("https%3A%2F%2Fwww.webofscience.com%2Fwos%2Fwoscc%2Ffull-record%2FWOS:001022093500001","View Full Record in Web of Science")</f>
        <v>View Full Record in Web of Science</v>
      </c>
    </row>
    <row r="874" customFormat="false" ht="12.75" hidden="false" customHeight="false" outlineLevel="0" collapsed="false">
      <c r="A874" s="2" t="s">
        <v>72</v>
      </c>
      <c r="B874" s="2" t="s">
        <v>15633</v>
      </c>
      <c r="C874" s="2"/>
      <c r="D874" s="2"/>
      <c r="E874" s="2"/>
      <c r="F874" s="2" t="s">
        <v>15634</v>
      </c>
      <c r="G874" s="2"/>
      <c r="H874" s="2"/>
      <c r="I874" s="2" t="s">
        <v>15635</v>
      </c>
      <c r="J874" s="2" t="s">
        <v>370</v>
      </c>
      <c r="K874" s="2"/>
      <c r="L874" s="2"/>
      <c r="M874" s="2" t="s">
        <v>77</v>
      </c>
      <c r="N874" s="2" t="s">
        <v>78</v>
      </c>
      <c r="O874" s="2"/>
      <c r="P874" s="2"/>
      <c r="Q874" s="2"/>
      <c r="R874" s="2"/>
      <c r="S874" s="2"/>
      <c r="T874" s="2" t="s">
        <v>15636</v>
      </c>
      <c r="U874" s="2" t="s">
        <v>15637</v>
      </c>
      <c r="V874" s="2" t="s">
        <v>15638</v>
      </c>
      <c r="W874" s="2" t="s">
        <v>15639</v>
      </c>
      <c r="X874" s="2" t="s">
        <v>15035</v>
      </c>
      <c r="Y874" s="2" t="s">
        <v>15640</v>
      </c>
      <c r="Z874" s="2" t="s">
        <v>9866</v>
      </c>
      <c r="AA874" s="2" t="s">
        <v>9867</v>
      </c>
      <c r="AB874" s="2" t="s">
        <v>15641</v>
      </c>
      <c r="AC874" s="2"/>
      <c r="AD874" s="2"/>
      <c r="AE874" s="2"/>
      <c r="AF874" s="2"/>
      <c r="AG874" s="2" t="n">
        <v>36</v>
      </c>
      <c r="AH874" s="2" t="n">
        <v>104</v>
      </c>
      <c r="AI874" s="2" t="n">
        <v>116</v>
      </c>
      <c r="AJ874" s="2" t="n">
        <v>0</v>
      </c>
      <c r="AK874" s="2" t="n">
        <v>6</v>
      </c>
      <c r="AL874" s="2" t="s">
        <v>383</v>
      </c>
      <c r="AM874" s="2" t="s">
        <v>384</v>
      </c>
      <c r="AN874" s="2" t="s">
        <v>385</v>
      </c>
      <c r="AO874" s="2" t="s">
        <v>386</v>
      </c>
      <c r="AP874" s="2" t="s">
        <v>387</v>
      </c>
      <c r="AQ874" s="2"/>
      <c r="AR874" s="2" t="s">
        <v>388</v>
      </c>
      <c r="AS874" s="2" t="s">
        <v>389</v>
      </c>
      <c r="AT874" s="2" t="s">
        <v>97</v>
      </c>
      <c r="AU874" s="2" t="n">
        <v>2007</v>
      </c>
      <c r="AV874" s="2" t="n">
        <v>38</v>
      </c>
      <c r="AW874" s="2" t="n">
        <v>3</v>
      </c>
      <c r="AX874" s="2"/>
      <c r="AY874" s="2"/>
      <c r="AZ874" s="2"/>
      <c r="BA874" s="2"/>
      <c r="BB874" s="2" t="n">
        <v>221</v>
      </c>
      <c r="BC874" s="2" t="n">
        <v>226</v>
      </c>
      <c r="BD874" s="2"/>
      <c r="BE874" s="2" t="s">
        <v>15642</v>
      </c>
      <c r="BF874" s="2" t="str">
        <f aca="false">HYPERLINK("http://dx.doi.org/10.1016/j.jcv.2006.12.005","http://dx.doi.org/10.1016/j.jcv.2006.12.005")</f>
        <v>http://dx.doi.org/10.1016/j.jcv.2006.12.005</v>
      </c>
      <c r="BG874" s="2"/>
      <c r="BH874" s="2"/>
      <c r="BI874" s="2" t="n">
        <v>6</v>
      </c>
      <c r="BJ874" s="2" t="s">
        <v>163</v>
      </c>
      <c r="BK874" s="2" t="s">
        <v>100</v>
      </c>
      <c r="BL874" s="2" t="s">
        <v>163</v>
      </c>
      <c r="BM874" s="2" t="s">
        <v>15643</v>
      </c>
      <c r="BN874" s="2" t="n">
        <v>17241812</v>
      </c>
      <c r="BO874" s="2"/>
      <c r="BP874" s="2"/>
      <c r="BQ874" s="2"/>
      <c r="BR874" s="2" t="s">
        <v>104</v>
      </c>
      <c r="BS874" s="2" t="s">
        <v>15644</v>
      </c>
      <c r="BT874" s="2" t="str">
        <f aca="false">HYPERLINK("https%3A%2F%2Fwww.webofscience.com%2Fwos%2Fwoscc%2Ffull-record%2FWOS:000245160900006","View Full Record in Web of Science")</f>
        <v>View Full Record in Web of Science</v>
      </c>
    </row>
    <row r="875" customFormat="false" ht="12.75" hidden="false" customHeight="false" outlineLevel="0" collapsed="false">
      <c r="A875" s="2" t="s">
        <v>72</v>
      </c>
      <c r="B875" s="2" t="s">
        <v>15645</v>
      </c>
      <c r="C875" s="2"/>
      <c r="D875" s="2"/>
      <c r="E875" s="2"/>
      <c r="F875" s="2" t="s">
        <v>15646</v>
      </c>
      <c r="G875" s="2"/>
      <c r="H875" s="2"/>
      <c r="I875" s="2" t="s">
        <v>15647</v>
      </c>
      <c r="J875" s="2" t="s">
        <v>770</v>
      </c>
      <c r="K875" s="2"/>
      <c r="L875" s="2"/>
      <c r="M875" s="2" t="s">
        <v>77</v>
      </c>
      <c r="N875" s="2" t="s">
        <v>78</v>
      </c>
      <c r="O875" s="2"/>
      <c r="P875" s="2"/>
      <c r="Q875" s="2"/>
      <c r="R875" s="2"/>
      <c r="S875" s="2"/>
      <c r="T875" s="2" t="s">
        <v>15648</v>
      </c>
      <c r="U875" s="2" t="s">
        <v>15649</v>
      </c>
      <c r="V875" s="2" t="s">
        <v>15650</v>
      </c>
      <c r="W875" s="2" t="s">
        <v>15651</v>
      </c>
      <c r="X875" s="2" t="s">
        <v>3785</v>
      </c>
      <c r="Y875" s="2" t="s">
        <v>15652</v>
      </c>
      <c r="Z875" s="2" t="s">
        <v>3787</v>
      </c>
      <c r="AA875" s="2" t="s">
        <v>12747</v>
      </c>
      <c r="AB875" s="2"/>
      <c r="AC875" s="2" t="s">
        <v>15653</v>
      </c>
      <c r="AD875" s="2" t="s">
        <v>15654</v>
      </c>
      <c r="AE875" s="2" t="s">
        <v>15655</v>
      </c>
      <c r="AF875" s="2"/>
      <c r="AG875" s="2" t="n">
        <v>46</v>
      </c>
      <c r="AH875" s="2" t="n">
        <v>9</v>
      </c>
      <c r="AI875" s="2" t="n">
        <v>12</v>
      </c>
      <c r="AJ875" s="2" t="n">
        <v>0</v>
      </c>
      <c r="AK875" s="2" t="n">
        <v>5</v>
      </c>
      <c r="AL875" s="2" t="s">
        <v>782</v>
      </c>
      <c r="AM875" s="2" t="s">
        <v>783</v>
      </c>
      <c r="AN875" s="2" t="s">
        <v>784</v>
      </c>
      <c r="AO875" s="2" t="s">
        <v>785</v>
      </c>
      <c r="AP875" s="2" t="s">
        <v>786</v>
      </c>
      <c r="AQ875" s="2"/>
      <c r="AR875" s="2" t="s">
        <v>787</v>
      </c>
      <c r="AS875" s="2" t="s">
        <v>788</v>
      </c>
      <c r="AT875" s="2" t="s">
        <v>1041</v>
      </c>
      <c r="AU875" s="2" t="n">
        <v>2020</v>
      </c>
      <c r="AV875" s="2" t="n">
        <v>91</v>
      </c>
      <c r="AW875" s="2"/>
      <c r="AX875" s="2"/>
      <c r="AY875" s="2"/>
      <c r="AZ875" s="2"/>
      <c r="BA875" s="2"/>
      <c r="BB875" s="2" t="n">
        <v>137</v>
      </c>
      <c r="BC875" s="2" t="n">
        <v>142</v>
      </c>
      <c r="BD875" s="2"/>
      <c r="BE875" s="2" t="s">
        <v>15656</v>
      </c>
      <c r="BF875" s="2" t="str">
        <f aca="false">HYPERLINK("http://dx.doi.org/10.1016/j.ijid.2019.11.012","http://dx.doi.org/10.1016/j.ijid.2019.11.012")</f>
        <v>http://dx.doi.org/10.1016/j.ijid.2019.11.012</v>
      </c>
      <c r="BG875" s="2"/>
      <c r="BH875" s="2"/>
      <c r="BI875" s="2" t="n">
        <v>6</v>
      </c>
      <c r="BJ875" s="2" t="s">
        <v>575</v>
      </c>
      <c r="BK875" s="2" t="s">
        <v>100</v>
      </c>
      <c r="BL875" s="2" t="s">
        <v>575</v>
      </c>
      <c r="BM875" s="2" t="s">
        <v>15657</v>
      </c>
      <c r="BN875" s="2" t="n">
        <v>31821893</v>
      </c>
      <c r="BO875" s="2" t="s">
        <v>1355</v>
      </c>
      <c r="BP875" s="2"/>
      <c r="BQ875" s="2"/>
      <c r="BR875" s="2" t="s">
        <v>104</v>
      </c>
      <c r="BS875" s="2" t="s">
        <v>15658</v>
      </c>
      <c r="BT875" s="2" t="str">
        <f aca="false">HYPERLINK("https%3A%2F%2Fwww.webofscience.com%2Fwos%2Fwoscc%2Ffull-record%2FWOS:000510867100022","View Full Record in Web of Science")</f>
        <v>View Full Record in Web of Science</v>
      </c>
    </row>
    <row r="876" customFormat="false" ht="12.75" hidden="false" customHeight="false" outlineLevel="0" collapsed="false">
      <c r="A876" s="2" t="s">
        <v>72</v>
      </c>
      <c r="B876" s="2" t="s">
        <v>15659</v>
      </c>
      <c r="C876" s="2"/>
      <c r="D876" s="2"/>
      <c r="E876" s="2"/>
      <c r="F876" s="2" t="s">
        <v>15660</v>
      </c>
      <c r="G876" s="2"/>
      <c r="H876" s="2"/>
      <c r="I876" s="2" t="s">
        <v>15661</v>
      </c>
      <c r="J876" s="2" t="s">
        <v>15662</v>
      </c>
      <c r="K876" s="2"/>
      <c r="L876" s="2"/>
      <c r="M876" s="2" t="s">
        <v>77</v>
      </c>
      <c r="N876" s="2" t="s">
        <v>78</v>
      </c>
      <c r="O876" s="2"/>
      <c r="P876" s="2"/>
      <c r="Q876" s="2"/>
      <c r="R876" s="2"/>
      <c r="S876" s="2"/>
      <c r="T876" s="2" t="s">
        <v>15663</v>
      </c>
      <c r="U876" s="2"/>
      <c r="V876" s="2" t="s">
        <v>15664</v>
      </c>
      <c r="W876" s="2" t="s">
        <v>15665</v>
      </c>
      <c r="X876" s="2" t="s">
        <v>15666</v>
      </c>
      <c r="Y876" s="2" t="s">
        <v>15667</v>
      </c>
      <c r="Z876" s="2" t="s">
        <v>15668</v>
      </c>
      <c r="AA876" s="2" t="s">
        <v>15669</v>
      </c>
      <c r="AB876" s="2"/>
      <c r="AC876" s="2"/>
      <c r="AD876" s="2"/>
      <c r="AE876" s="2"/>
      <c r="AF876" s="2"/>
      <c r="AG876" s="2" t="n">
        <v>15</v>
      </c>
      <c r="AH876" s="2" t="n">
        <v>0</v>
      </c>
      <c r="AI876" s="2" t="n">
        <v>0</v>
      </c>
      <c r="AJ876" s="2" t="n">
        <v>0</v>
      </c>
      <c r="AK876" s="2" t="n">
        <v>1</v>
      </c>
      <c r="AL876" s="2" t="s">
        <v>15670</v>
      </c>
      <c r="AM876" s="2" t="s">
        <v>15671</v>
      </c>
      <c r="AN876" s="2" t="s">
        <v>15672</v>
      </c>
      <c r="AO876" s="2" t="s">
        <v>15673</v>
      </c>
      <c r="AP876" s="2" t="s">
        <v>15674</v>
      </c>
      <c r="AQ876" s="2"/>
      <c r="AR876" s="2" t="s">
        <v>15675</v>
      </c>
      <c r="AS876" s="2" t="s">
        <v>15676</v>
      </c>
      <c r="AT876" s="2" t="s">
        <v>804</v>
      </c>
      <c r="AU876" s="2" t="n">
        <v>2015</v>
      </c>
      <c r="AV876" s="2" t="n">
        <v>3</v>
      </c>
      <c r="AW876" s="2" t="n">
        <v>6</v>
      </c>
      <c r="AX876" s="2"/>
      <c r="AY876" s="2"/>
      <c r="AZ876" s="2"/>
      <c r="BA876" s="2"/>
      <c r="BB876" s="2" t="n">
        <v>456</v>
      </c>
      <c r="BC876" s="2" t="n">
        <v>460</v>
      </c>
      <c r="BD876" s="2"/>
      <c r="BE876" s="2" t="s">
        <v>15677</v>
      </c>
      <c r="BF876" s="2" t="str">
        <f aca="false">HYPERLINK("http://dx.doi.org/10.4168/aard.2015.3.6.456","http://dx.doi.org/10.4168/aard.2015.3.6.456")</f>
        <v>http://dx.doi.org/10.4168/aard.2015.3.6.456</v>
      </c>
      <c r="BG876" s="2"/>
      <c r="BH876" s="2"/>
      <c r="BI876" s="2" t="n">
        <v>5</v>
      </c>
      <c r="BJ876" s="2" t="s">
        <v>15678</v>
      </c>
      <c r="BK876" s="2" t="s">
        <v>339</v>
      </c>
      <c r="BL876" s="2" t="s">
        <v>15678</v>
      </c>
      <c r="BM876" s="2" t="s">
        <v>15679</v>
      </c>
      <c r="BN876" s="2"/>
      <c r="BO876" s="2"/>
      <c r="BP876" s="2"/>
      <c r="BQ876" s="2"/>
      <c r="BR876" s="2" t="s">
        <v>104</v>
      </c>
      <c r="BS876" s="2" t="s">
        <v>15680</v>
      </c>
      <c r="BT876" s="2" t="str">
        <f aca="false">HYPERLINK("https%3A%2F%2Fwww.webofscience.com%2Fwos%2Fwoscc%2Ffull-record%2FWOS:000218647900013","View Full Record in Web of Science")</f>
        <v>View Full Record in Web of Science</v>
      </c>
    </row>
    <row r="877" customFormat="false" ht="12.75" hidden="false" customHeight="false" outlineLevel="0" collapsed="false">
      <c r="A877" s="2" t="s">
        <v>72</v>
      </c>
      <c r="B877" s="2" t="s">
        <v>15681</v>
      </c>
      <c r="C877" s="2"/>
      <c r="D877" s="2"/>
      <c r="E877" s="2"/>
      <c r="F877" s="2" t="s">
        <v>15682</v>
      </c>
      <c r="G877" s="2"/>
      <c r="H877" s="2"/>
      <c r="I877" s="2" t="s">
        <v>15683</v>
      </c>
      <c r="J877" s="2" t="s">
        <v>5377</v>
      </c>
      <c r="K877" s="2"/>
      <c r="L877" s="2"/>
      <c r="M877" s="2" t="s">
        <v>77</v>
      </c>
      <c r="N877" s="2" t="s">
        <v>78</v>
      </c>
      <c r="O877" s="2"/>
      <c r="P877" s="2"/>
      <c r="Q877" s="2"/>
      <c r="R877" s="2"/>
      <c r="S877" s="2"/>
      <c r="T877" s="2" t="s">
        <v>15684</v>
      </c>
      <c r="U877" s="2" t="s">
        <v>15685</v>
      </c>
      <c r="V877" s="2" t="s">
        <v>15686</v>
      </c>
      <c r="W877" s="2" t="s">
        <v>15687</v>
      </c>
      <c r="X877" s="2" t="s">
        <v>9462</v>
      </c>
      <c r="Y877" s="2" t="s">
        <v>15688</v>
      </c>
      <c r="Z877" s="2" t="s">
        <v>15689</v>
      </c>
      <c r="AA877" s="2" t="s">
        <v>9465</v>
      </c>
      <c r="AB877" s="2"/>
      <c r="AC877" s="2" t="s">
        <v>15690</v>
      </c>
      <c r="AD877" s="2" t="s">
        <v>15691</v>
      </c>
      <c r="AE877" s="2" t="s">
        <v>15692</v>
      </c>
      <c r="AF877" s="2"/>
      <c r="AG877" s="2" t="n">
        <v>27</v>
      </c>
      <c r="AH877" s="2" t="n">
        <v>7</v>
      </c>
      <c r="AI877" s="2" t="n">
        <v>14</v>
      </c>
      <c r="AJ877" s="2" t="n">
        <v>2</v>
      </c>
      <c r="AK877" s="2" t="n">
        <v>12</v>
      </c>
      <c r="AL877" s="2" t="s">
        <v>5385</v>
      </c>
      <c r="AM877" s="2" t="s">
        <v>303</v>
      </c>
      <c r="AN877" s="2" t="s">
        <v>5386</v>
      </c>
      <c r="AO877" s="2" t="s">
        <v>5387</v>
      </c>
      <c r="AP877" s="2"/>
      <c r="AQ877" s="2"/>
      <c r="AR877" s="2" t="s">
        <v>5388</v>
      </c>
      <c r="AS877" s="2" t="s">
        <v>5389</v>
      </c>
      <c r="AT877" s="2" t="s">
        <v>185</v>
      </c>
      <c r="AU877" s="2" t="n">
        <v>2016</v>
      </c>
      <c r="AV877" s="2" t="n">
        <v>30</v>
      </c>
      <c r="AW877" s="2" t="n">
        <v>4</v>
      </c>
      <c r="AX877" s="2"/>
      <c r="AY877" s="2"/>
      <c r="AZ877" s="2"/>
      <c r="BA877" s="2"/>
      <c r="BB877" s="2" t="n">
        <v>231</v>
      </c>
      <c r="BC877" s="2" t="n">
        <v>237</v>
      </c>
      <c r="BD877" s="2"/>
      <c r="BE877" s="2" t="s">
        <v>15693</v>
      </c>
      <c r="BF877" s="2" t="str">
        <f aca="false">HYPERLINK("http://dx.doi.org/10.1016/j.mcp.2016.06.003","http://dx.doi.org/10.1016/j.mcp.2016.06.003")</f>
        <v>http://dx.doi.org/10.1016/j.mcp.2016.06.003</v>
      </c>
      <c r="BG877" s="2"/>
      <c r="BH877" s="2"/>
      <c r="BI877" s="2" t="n">
        <v>7</v>
      </c>
      <c r="BJ877" s="2" t="s">
        <v>5391</v>
      </c>
      <c r="BK877" s="2" t="s">
        <v>100</v>
      </c>
      <c r="BL877" s="2" t="s">
        <v>5392</v>
      </c>
      <c r="BM877" s="2" t="s">
        <v>15694</v>
      </c>
      <c r="BN877" s="2" t="n">
        <v>27328610</v>
      </c>
      <c r="BO877" s="2"/>
      <c r="BP877" s="2"/>
      <c r="BQ877" s="2"/>
      <c r="BR877" s="2" t="s">
        <v>104</v>
      </c>
      <c r="BS877" s="2" t="s">
        <v>15695</v>
      </c>
      <c r="BT877" s="2" t="str">
        <f aca="false">HYPERLINK("https%3A%2F%2Fwww.webofscience.com%2Fwos%2Fwoscc%2Ffull-record%2FWOS:000381780700007","View Full Record in Web of Science")</f>
        <v>View Full Record in Web of Science</v>
      </c>
    </row>
    <row r="878" customFormat="false" ht="12.75" hidden="false" customHeight="false" outlineLevel="0" collapsed="false">
      <c r="A878" s="2" t="s">
        <v>72</v>
      </c>
      <c r="B878" s="2" t="s">
        <v>15696</v>
      </c>
      <c r="C878" s="2"/>
      <c r="D878" s="2"/>
      <c r="E878" s="2"/>
      <c r="F878" s="2" t="s">
        <v>15697</v>
      </c>
      <c r="G878" s="2"/>
      <c r="H878" s="2" t="s">
        <v>15698</v>
      </c>
      <c r="I878" s="2" t="s">
        <v>15699</v>
      </c>
      <c r="J878" s="2" t="s">
        <v>514</v>
      </c>
      <c r="K878" s="2"/>
      <c r="L878" s="2"/>
      <c r="M878" s="2" t="s">
        <v>77</v>
      </c>
      <c r="N878" s="2" t="s">
        <v>78</v>
      </c>
      <c r="O878" s="2"/>
      <c r="P878" s="2"/>
      <c r="Q878" s="2"/>
      <c r="R878" s="2"/>
      <c r="S878" s="2"/>
      <c r="T878" s="2" t="s">
        <v>15700</v>
      </c>
      <c r="U878" s="2" t="s">
        <v>15701</v>
      </c>
      <c r="V878" s="2" t="s">
        <v>15702</v>
      </c>
      <c r="W878" s="2" t="s">
        <v>15703</v>
      </c>
      <c r="X878" s="2" t="s">
        <v>15704</v>
      </c>
      <c r="Y878" s="2" t="s">
        <v>15705</v>
      </c>
      <c r="Z878" s="2" t="s">
        <v>15706</v>
      </c>
      <c r="AA878" s="2" t="s">
        <v>7049</v>
      </c>
      <c r="AB878" s="2" t="s">
        <v>15707</v>
      </c>
      <c r="AC878" s="2" t="s">
        <v>15708</v>
      </c>
      <c r="AD878" s="2" t="s">
        <v>15709</v>
      </c>
      <c r="AE878" s="2" t="s">
        <v>15710</v>
      </c>
      <c r="AF878" s="2"/>
      <c r="AG878" s="2" t="n">
        <v>49</v>
      </c>
      <c r="AH878" s="2" t="n">
        <v>2</v>
      </c>
      <c r="AI878" s="2" t="n">
        <v>2</v>
      </c>
      <c r="AJ878" s="2" t="n">
        <v>0</v>
      </c>
      <c r="AK878" s="2" t="n">
        <v>5</v>
      </c>
      <c r="AL878" s="2" t="s">
        <v>527</v>
      </c>
      <c r="AM878" s="2" t="s">
        <v>528</v>
      </c>
      <c r="AN878" s="2" t="s">
        <v>529</v>
      </c>
      <c r="AO878" s="2" t="s">
        <v>530</v>
      </c>
      <c r="AP878" s="2" t="s">
        <v>531</v>
      </c>
      <c r="AQ878" s="2"/>
      <c r="AR878" s="2" t="s">
        <v>532</v>
      </c>
      <c r="AS878" s="2" t="s">
        <v>533</v>
      </c>
      <c r="AT878" s="2" t="s">
        <v>2037</v>
      </c>
      <c r="AU878" s="2" t="n">
        <v>2021</v>
      </c>
      <c r="AV878" s="2" t="n">
        <v>223</v>
      </c>
      <c r="AW878" s="2" t="n">
        <v>12</v>
      </c>
      <c r="AX878" s="2"/>
      <c r="AY878" s="2"/>
      <c r="AZ878" s="2"/>
      <c r="BA878" s="2"/>
      <c r="BB878" s="2" t="n">
        <v>2072</v>
      </c>
      <c r="BC878" s="2" t="n">
        <v>2079</v>
      </c>
      <c r="BD878" s="2"/>
      <c r="BE878" s="2" t="s">
        <v>15711</v>
      </c>
      <c r="BF878" s="2" t="str">
        <f aca="false">HYPERLINK("http://dx.doi.org/10.1093/infdis/jiaa019","http://dx.doi.org/10.1093/infdis/jiaa019")</f>
        <v>http://dx.doi.org/10.1093/infdis/jiaa019</v>
      </c>
      <c r="BG878" s="2"/>
      <c r="BH878" s="2"/>
      <c r="BI878" s="2" t="n">
        <v>8</v>
      </c>
      <c r="BJ878" s="2" t="s">
        <v>536</v>
      </c>
      <c r="BK878" s="2" t="s">
        <v>100</v>
      </c>
      <c r="BL878" s="2" t="s">
        <v>536</v>
      </c>
      <c r="BM878" s="2" t="s">
        <v>15712</v>
      </c>
      <c r="BN878" s="2" t="n">
        <v>31965186</v>
      </c>
      <c r="BO878" s="2" t="s">
        <v>136</v>
      </c>
      <c r="BP878" s="2"/>
      <c r="BQ878" s="2"/>
      <c r="BR878" s="2" t="s">
        <v>104</v>
      </c>
      <c r="BS878" s="2" t="s">
        <v>15713</v>
      </c>
      <c r="BT878" s="2" t="str">
        <f aca="false">HYPERLINK("https%3A%2F%2Fwww.webofscience.com%2Fwos%2Fwoscc%2Ffull-record%2FWOS:000692634200008","View Full Record in Web of Science")</f>
        <v>View Full Record in Web of Science</v>
      </c>
    </row>
    <row r="879" customFormat="false" ht="12.75" hidden="false" customHeight="false" outlineLevel="0" collapsed="false">
      <c r="A879" s="2" t="s">
        <v>72</v>
      </c>
      <c r="B879" s="2" t="s">
        <v>15714</v>
      </c>
      <c r="C879" s="2"/>
      <c r="D879" s="2"/>
      <c r="E879" s="2"/>
      <c r="F879" s="2" t="s">
        <v>15714</v>
      </c>
      <c r="G879" s="2"/>
      <c r="H879" s="2"/>
      <c r="I879" s="2" t="s">
        <v>15715</v>
      </c>
      <c r="J879" s="2" t="s">
        <v>370</v>
      </c>
      <c r="K879" s="2"/>
      <c r="L879" s="2"/>
      <c r="M879" s="2" t="s">
        <v>77</v>
      </c>
      <c r="N879" s="2" t="s">
        <v>78</v>
      </c>
      <c r="O879" s="2"/>
      <c r="P879" s="2"/>
      <c r="Q879" s="2"/>
      <c r="R879" s="2"/>
      <c r="S879" s="2"/>
      <c r="T879" s="2" t="s">
        <v>15716</v>
      </c>
      <c r="U879" s="2" t="s">
        <v>15717</v>
      </c>
      <c r="V879" s="2" t="s">
        <v>15718</v>
      </c>
      <c r="W879" s="2" t="s">
        <v>15719</v>
      </c>
      <c r="X879" s="2" t="s">
        <v>15720</v>
      </c>
      <c r="Y879" s="2" t="s">
        <v>15721</v>
      </c>
      <c r="Z879" s="2" t="s">
        <v>15722</v>
      </c>
      <c r="AA879" s="2" t="s">
        <v>15723</v>
      </c>
      <c r="AB879" s="2" t="s">
        <v>15724</v>
      </c>
      <c r="AC879" s="2"/>
      <c r="AD879" s="2"/>
      <c r="AE879" s="2"/>
      <c r="AF879" s="2"/>
      <c r="AG879" s="2" t="n">
        <v>17</v>
      </c>
      <c r="AH879" s="2" t="n">
        <v>86</v>
      </c>
      <c r="AI879" s="2" t="n">
        <v>99</v>
      </c>
      <c r="AJ879" s="2" t="n">
        <v>0</v>
      </c>
      <c r="AK879" s="2" t="n">
        <v>1</v>
      </c>
      <c r="AL879" s="2" t="s">
        <v>549</v>
      </c>
      <c r="AM879" s="2" t="s">
        <v>384</v>
      </c>
      <c r="AN879" s="2" t="s">
        <v>550</v>
      </c>
      <c r="AO879" s="2" t="s">
        <v>386</v>
      </c>
      <c r="AP879" s="2" t="s">
        <v>387</v>
      </c>
      <c r="AQ879" s="2"/>
      <c r="AR879" s="2" t="s">
        <v>388</v>
      </c>
      <c r="AS879" s="2" t="s">
        <v>389</v>
      </c>
      <c r="AT879" s="2" t="s">
        <v>599</v>
      </c>
      <c r="AU879" s="2" t="n">
        <v>2004</v>
      </c>
      <c r="AV879" s="2" t="n">
        <v>30</v>
      </c>
      <c r="AW879" s="2" t="n">
        <v>3</v>
      </c>
      <c r="AX879" s="2"/>
      <c r="AY879" s="2"/>
      <c r="AZ879" s="2"/>
      <c r="BA879" s="2"/>
      <c r="BB879" s="2" t="n">
        <v>267</v>
      </c>
      <c r="BC879" s="2" t="n">
        <v>270</v>
      </c>
      <c r="BD879" s="2"/>
      <c r="BE879" s="2" t="s">
        <v>15725</v>
      </c>
      <c r="BF879" s="2" t="str">
        <f aca="false">HYPERLINK("http://dx.doi.org/10.1016/j.jcv.2003.12.012","http://dx.doi.org/10.1016/j.jcv.2003.12.012")</f>
        <v>http://dx.doi.org/10.1016/j.jcv.2003.12.012</v>
      </c>
      <c r="BG879" s="2"/>
      <c r="BH879" s="2"/>
      <c r="BI879" s="2" t="n">
        <v>4</v>
      </c>
      <c r="BJ879" s="2" t="s">
        <v>163</v>
      </c>
      <c r="BK879" s="2" t="s">
        <v>100</v>
      </c>
      <c r="BL879" s="2" t="s">
        <v>163</v>
      </c>
      <c r="BM879" s="2" t="s">
        <v>15726</v>
      </c>
      <c r="BN879" s="2" t="n">
        <v>15135747</v>
      </c>
      <c r="BO879" s="2" t="s">
        <v>165</v>
      </c>
      <c r="BP879" s="2"/>
      <c r="BQ879" s="2"/>
      <c r="BR879" s="2" t="s">
        <v>104</v>
      </c>
      <c r="BS879" s="2" t="s">
        <v>15727</v>
      </c>
      <c r="BT879" s="2" t="str">
        <f aca="false">HYPERLINK("https%3A%2F%2Fwww.webofscience.com%2Fwos%2Fwoscc%2Ffull-record%2FWOS:000221845900013","View Full Record in Web of Science")</f>
        <v>View Full Record in Web of Science</v>
      </c>
    </row>
    <row r="880" customFormat="false" ht="12.75" hidden="false" customHeight="false" outlineLevel="0" collapsed="false">
      <c r="A880" s="2" t="s">
        <v>72</v>
      </c>
      <c r="B880" s="2" t="s">
        <v>15728</v>
      </c>
      <c r="C880" s="2"/>
      <c r="D880" s="2"/>
      <c r="E880" s="2"/>
      <c r="F880" s="2" t="s">
        <v>15729</v>
      </c>
      <c r="G880" s="2"/>
      <c r="H880" s="2"/>
      <c r="I880" s="2" t="s">
        <v>15730</v>
      </c>
      <c r="J880" s="2" t="s">
        <v>15731</v>
      </c>
      <c r="K880" s="2"/>
      <c r="L880" s="2"/>
      <c r="M880" s="2" t="s">
        <v>77</v>
      </c>
      <c r="N880" s="2" t="s">
        <v>78</v>
      </c>
      <c r="O880" s="2"/>
      <c r="P880" s="2"/>
      <c r="Q880" s="2"/>
      <c r="R880" s="2"/>
      <c r="S880" s="2"/>
      <c r="T880" s="2" t="s">
        <v>15732</v>
      </c>
      <c r="U880" s="2" t="s">
        <v>15733</v>
      </c>
      <c r="V880" s="2" t="s">
        <v>15734</v>
      </c>
      <c r="W880" s="2" t="s">
        <v>15735</v>
      </c>
      <c r="X880" s="2" t="s">
        <v>15736</v>
      </c>
      <c r="Y880" s="2" t="s">
        <v>15737</v>
      </c>
      <c r="Z880" s="2"/>
      <c r="AA880" s="2"/>
      <c r="AB880" s="2"/>
      <c r="AC880" s="2"/>
      <c r="AD880" s="2"/>
      <c r="AE880" s="2"/>
      <c r="AF880" s="2"/>
      <c r="AG880" s="2" t="n">
        <v>26</v>
      </c>
      <c r="AH880" s="2" t="n">
        <v>3</v>
      </c>
      <c r="AI880" s="2" t="n">
        <v>3</v>
      </c>
      <c r="AJ880" s="2" t="n">
        <v>0</v>
      </c>
      <c r="AK880" s="2" t="n">
        <v>2</v>
      </c>
      <c r="AL880" s="2" t="s">
        <v>1460</v>
      </c>
      <c r="AM880" s="2" t="s">
        <v>593</v>
      </c>
      <c r="AN880" s="2" t="s">
        <v>1461</v>
      </c>
      <c r="AO880" s="2" t="s">
        <v>15738</v>
      </c>
      <c r="AP880" s="2"/>
      <c r="AQ880" s="2"/>
      <c r="AR880" s="2" t="s">
        <v>15739</v>
      </c>
      <c r="AS880" s="2" t="s">
        <v>15740</v>
      </c>
      <c r="AT880" s="2" t="s">
        <v>390</v>
      </c>
      <c r="AU880" s="2" t="n">
        <v>2010</v>
      </c>
      <c r="AV880" s="2" t="n">
        <v>38</v>
      </c>
      <c r="AW880" s="2" t="n">
        <v>4</v>
      </c>
      <c r="AX880" s="2"/>
      <c r="AY880" s="2"/>
      <c r="AZ880" s="2"/>
      <c r="BA880" s="2"/>
      <c r="BB880" s="2" t="n">
        <v>456</v>
      </c>
      <c r="BC880" s="2" t="n">
        <v>459</v>
      </c>
      <c r="BD880" s="2"/>
      <c r="BE880" s="2" t="s">
        <v>15741</v>
      </c>
      <c r="BF880" s="2" t="str">
        <f aca="false">HYPERLINK("http://dx.doi.org/10.1016/j.jemermed.2007.11.051","http://dx.doi.org/10.1016/j.jemermed.2007.11.051")</f>
        <v>http://dx.doi.org/10.1016/j.jemermed.2007.11.051</v>
      </c>
      <c r="BG880" s="2"/>
      <c r="BH880" s="2"/>
      <c r="BI880" s="2" t="n">
        <v>4</v>
      </c>
      <c r="BJ880" s="2" t="s">
        <v>15742</v>
      </c>
      <c r="BK880" s="2" t="s">
        <v>100</v>
      </c>
      <c r="BL880" s="2" t="s">
        <v>15742</v>
      </c>
      <c r="BM880" s="2" t="s">
        <v>15743</v>
      </c>
      <c r="BN880" s="2" t="n">
        <v>18584996</v>
      </c>
      <c r="BO880" s="2" t="s">
        <v>8809</v>
      </c>
      <c r="BP880" s="2"/>
      <c r="BQ880" s="2"/>
      <c r="BR880" s="2" t="s">
        <v>104</v>
      </c>
      <c r="BS880" s="2" t="s">
        <v>15744</v>
      </c>
      <c r="BT880" s="2" t="str">
        <f aca="false">HYPERLINK("https%3A%2F%2Fwww.webofscience.com%2Fwos%2Fwoscc%2Ffull-record%2FWOS:000277802600009","View Full Record in Web of Science")</f>
        <v>View Full Record in Web of Science</v>
      </c>
    </row>
    <row r="881" customFormat="false" ht="12.75" hidden="false" customHeight="false" outlineLevel="0" collapsed="false">
      <c r="A881" s="2" t="s">
        <v>72</v>
      </c>
      <c r="B881" s="2" t="s">
        <v>15745</v>
      </c>
      <c r="C881" s="2"/>
      <c r="D881" s="2"/>
      <c r="E881" s="2"/>
      <c r="F881" s="2" t="s">
        <v>15745</v>
      </c>
      <c r="G881" s="2"/>
      <c r="H881" s="2"/>
      <c r="I881" s="2" t="s">
        <v>15746</v>
      </c>
      <c r="J881" s="2" t="s">
        <v>109</v>
      </c>
      <c r="K881" s="2"/>
      <c r="L881" s="2"/>
      <c r="M881" s="2" t="s">
        <v>77</v>
      </c>
      <c r="N881" s="2" t="s">
        <v>78</v>
      </c>
      <c r="O881" s="2"/>
      <c r="P881" s="2"/>
      <c r="Q881" s="2"/>
      <c r="R881" s="2"/>
      <c r="S881" s="2"/>
      <c r="T881" s="2" t="s">
        <v>15747</v>
      </c>
      <c r="U881" s="2" t="s">
        <v>15748</v>
      </c>
      <c r="V881" s="2" t="s">
        <v>15749</v>
      </c>
      <c r="W881" s="2" t="s">
        <v>15750</v>
      </c>
      <c r="X881" s="2" t="s">
        <v>15751</v>
      </c>
      <c r="Y881" s="2" t="s">
        <v>15752</v>
      </c>
      <c r="Z881" s="2"/>
      <c r="AA881" s="2"/>
      <c r="AB881" s="2" t="s">
        <v>7510</v>
      </c>
      <c r="AC881" s="2"/>
      <c r="AD881" s="2"/>
      <c r="AE881" s="2"/>
      <c r="AF881" s="2"/>
      <c r="AG881" s="2" t="n">
        <v>18</v>
      </c>
      <c r="AH881" s="2" t="n">
        <v>90</v>
      </c>
      <c r="AI881" s="2" t="n">
        <v>112</v>
      </c>
      <c r="AJ881" s="2" t="n">
        <v>0</v>
      </c>
      <c r="AK881" s="2" t="n">
        <v>1</v>
      </c>
      <c r="AL881" s="2" t="s">
        <v>122</v>
      </c>
      <c r="AM881" s="2" t="s">
        <v>123</v>
      </c>
      <c r="AN881" s="2" t="s">
        <v>124</v>
      </c>
      <c r="AO881" s="2" t="s">
        <v>125</v>
      </c>
      <c r="AP881" s="2" t="s">
        <v>126</v>
      </c>
      <c r="AQ881" s="2"/>
      <c r="AR881" s="2" t="s">
        <v>127</v>
      </c>
      <c r="AS881" s="2" t="s">
        <v>128</v>
      </c>
      <c r="AT881" s="2" t="s">
        <v>390</v>
      </c>
      <c r="AU881" s="2" t="n">
        <v>2004</v>
      </c>
      <c r="AV881" s="2" t="n">
        <v>23</v>
      </c>
      <c r="AW881" s="2" t="n">
        <v>5</v>
      </c>
      <c r="AX881" s="2"/>
      <c r="AY881" s="2"/>
      <c r="AZ881" s="2"/>
      <c r="BA881" s="2"/>
      <c r="BB881" s="2" t="n">
        <v>436</v>
      </c>
      <c r="BC881" s="2" t="n">
        <v>440</v>
      </c>
      <c r="BD881" s="2"/>
      <c r="BE881" s="2" t="s">
        <v>15753</v>
      </c>
      <c r="BF881" s="2" t="str">
        <f aca="false">HYPERLINK("http://dx.doi.org/10.1097/01.inf.000126401.21779.7","http://dx.doi.org/10.1097/01.inf.000126401.21779.7")</f>
        <v>http://dx.doi.org/10.1097/01.inf.000126401.21779.7</v>
      </c>
      <c r="BG881" s="2"/>
      <c r="BH881" s="2"/>
      <c r="BI881" s="2" t="n">
        <v>5</v>
      </c>
      <c r="BJ881" s="2" t="s">
        <v>134</v>
      </c>
      <c r="BK881" s="2" t="s">
        <v>100</v>
      </c>
      <c r="BL881" s="2" t="s">
        <v>134</v>
      </c>
      <c r="BM881" s="2" t="s">
        <v>15754</v>
      </c>
      <c r="BN881" s="2" t="n">
        <v>15131467</v>
      </c>
      <c r="BO881" s="2"/>
      <c r="BP881" s="2"/>
      <c r="BQ881" s="2"/>
      <c r="BR881" s="2" t="s">
        <v>104</v>
      </c>
      <c r="BS881" s="2" t="s">
        <v>15755</v>
      </c>
      <c r="BT881" s="2" t="str">
        <f aca="false">HYPERLINK("https%3A%2F%2Fwww.webofscience.com%2Fwos%2Fwoscc%2Ffull-record%2FWOS:000221509000009","View Full Record in Web of Science")</f>
        <v>View Full Record in Web of Science</v>
      </c>
    </row>
    <row r="882" customFormat="false" ht="12.75" hidden="false" customHeight="false" outlineLevel="0" collapsed="false">
      <c r="A882" s="2" t="s">
        <v>72</v>
      </c>
      <c r="B882" s="2" t="s">
        <v>15756</v>
      </c>
      <c r="C882" s="2"/>
      <c r="D882" s="2"/>
      <c r="E882" s="2"/>
      <c r="F882" s="2" t="s">
        <v>15757</v>
      </c>
      <c r="G882" s="2"/>
      <c r="H882" s="2"/>
      <c r="I882" s="2" t="s">
        <v>15758</v>
      </c>
      <c r="J882" s="2" t="s">
        <v>15759</v>
      </c>
      <c r="K882" s="2"/>
      <c r="L882" s="2"/>
      <c r="M882" s="2" t="s">
        <v>77</v>
      </c>
      <c r="N882" s="2" t="s">
        <v>78</v>
      </c>
      <c r="O882" s="2"/>
      <c r="P882" s="2"/>
      <c r="Q882" s="2"/>
      <c r="R882" s="2"/>
      <c r="S882" s="2"/>
      <c r="T882" s="2" t="s">
        <v>15760</v>
      </c>
      <c r="U882" s="2" t="s">
        <v>15761</v>
      </c>
      <c r="V882" s="2" t="s">
        <v>15762</v>
      </c>
      <c r="W882" s="2" t="s">
        <v>15763</v>
      </c>
      <c r="X882" s="2" t="s">
        <v>15764</v>
      </c>
      <c r="Y882" s="2" t="s">
        <v>15765</v>
      </c>
      <c r="Z882" s="2" t="s">
        <v>15766</v>
      </c>
      <c r="AA882" s="2" t="s">
        <v>15767</v>
      </c>
      <c r="AB882" s="2" t="s">
        <v>15768</v>
      </c>
      <c r="AC882" s="2"/>
      <c r="AD882" s="2"/>
      <c r="AE882" s="2"/>
      <c r="AF882" s="2"/>
      <c r="AG882" s="2" t="n">
        <v>73</v>
      </c>
      <c r="AH882" s="2" t="n">
        <v>34</v>
      </c>
      <c r="AI882" s="2" t="n">
        <v>41</v>
      </c>
      <c r="AJ882" s="2" t="n">
        <v>0</v>
      </c>
      <c r="AK882" s="2" t="n">
        <v>7</v>
      </c>
      <c r="AL882" s="2" t="s">
        <v>957</v>
      </c>
      <c r="AM882" s="2" t="s">
        <v>123</v>
      </c>
      <c r="AN882" s="2" t="s">
        <v>958</v>
      </c>
      <c r="AO882" s="2" t="s">
        <v>15769</v>
      </c>
      <c r="AP882" s="2" t="s">
        <v>15770</v>
      </c>
      <c r="AQ882" s="2"/>
      <c r="AR882" s="2" t="s">
        <v>15771</v>
      </c>
      <c r="AS882" s="2" t="s">
        <v>15772</v>
      </c>
      <c r="AT882" s="2" t="s">
        <v>185</v>
      </c>
      <c r="AU882" s="2" t="n">
        <v>2019</v>
      </c>
      <c r="AV882" s="2" t="n">
        <v>39</v>
      </c>
      <c r="AW882" s="2" t="n">
        <v>3</v>
      </c>
      <c r="AX882" s="2"/>
      <c r="AY882" s="2"/>
      <c r="AZ882" s="2"/>
      <c r="BA882" s="2"/>
      <c r="BB882" s="2" t="n">
        <v>391</v>
      </c>
      <c r="BC882" s="2" t="s">
        <v>986</v>
      </c>
      <c r="BD882" s="2"/>
      <c r="BE882" s="2" t="s">
        <v>15773</v>
      </c>
      <c r="BF882" s="2" t="str">
        <f aca="false">HYPERLINK("http://dx.doi.org/10.1016/j.iac.2019.03.007","http://dx.doi.org/10.1016/j.iac.2019.03.007")</f>
        <v>http://dx.doi.org/10.1016/j.iac.2019.03.007</v>
      </c>
      <c r="BG882" s="2"/>
      <c r="BH882" s="2"/>
      <c r="BI882" s="2" t="n">
        <v>12</v>
      </c>
      <c r="BJ882" s="2" t="s">
        <v>254</v>
      </c>
      <c r="BK882" s="2" t="s">
        <v>100</v>
      </c>
      <c r="BL882" s="2" t="s">
        <v>254</v>
      </c>
      <c r="BM882" s="2" t="s">
        <v>15774</v>
      </c>
      <c r="BN882" s="2" t="n">
        <v>31284928</v>
      </c>
      <c r="BO882" s="2" t="s">
        <v>165</v>
      </c>
      <c r="BP882" s="2"/>
      <c r="BQ882" s="2"/>
      <c r="BR882" s="2" t="s">
        <v>104</v>
      </c>
      <c r="BS882" s="2" t="s">
        <v>15775</v>
      </c>
      <c r="BT882" s="2" t="str">
        <f aca="false">HYPERLINK("https%3A%2F%2Fwww.webofscience.com%2Fwos%2Fwoscc%2Ffull-record%2FWOS:000481567600010","View Full Record in Web of Science")</f>
        <v>View Full Record in Web of Science</v>
      </c>
    </row>
    <row r="883" customFormat="false" ht="12.75" hidden="false" customHeight="false" outlineLevel="0" collapsed="false">
      <c r="A883" s="2" t="s">
        <v>72</v>
      </c>
      <c r="B883" s="2" t="s">
        <v>15776</v>
      </c>
      <c r="C883" s="2"/>
      <c r="D883" s="2"/>
      <c r="E883" s="2"/>
      <c r="F883" s="2" t="s">
        <v>15777</v>
      </c>
      <c r="G883" s="2"/>
      <c r="H883" s="2"/>
      <c r="I883" s="2" t="s">
        <v>15778</v>
      </c>
      <c r="J883" s="2" t="s">
        <v>1886</v>
      </c>
      <c r="K883" s="2"/>
      <c r="L883" s="2"/>
      <c r="M883" s="2" t="s">
        <v>77</v>
      </c>
      <c r="N883" s="2" t="s">
        <v>78</v>
      </c>
      <c r="O883" s="2"/>
      <c r="P883" s="2"/>
      <c r="Q883" s="2"/>
      <c r="R883" s="2"/>
      <c r="S883" s="2"/>
      <c r="T883" s="2" t="s">
        <v>15779</v>
      </c>
      <c r="U883" s="2" t="s">
        <v>15780</v>
      </c>
      <c r="V883" s="2" t="s">
        <v>15781</v>
      </c>
      <c r="W883" s="2" t="s">
        <v>15782</v>
      </c>
      <c r="X883" s="2" t="s">
        <v>10170</v>
      </c>
      <c r="Y883" s="2" t="s">
        <v>15783</v>
      </c>
      <c r="Z883" s="2" t="s">
        <v>15784</v>
      </c>
      <c r="AA883" s="2" t="s">
        <v>10173</v>
      </c>
      <c r="AB883" s="2"/>
      <c r="AC883" s="2" t="s">
        <v>15785</v>
      </c>
      <c r="AD883" s="2" t="s">
        <v>15786</v>
      </c>
      <c r="AE883" s="2" t="s">
        <v>15787</v>
      </c>
      <c r="AF883" s="2"/>
      <c r="AG883" s="2" t="n">
        <v>41</v>
      </c>
      <c r="AH883" s="2" t="n">
        <v>35</v>
      </c>
      <c r="AI883" s="2" t="n">
        <v>37</v>
      </c>
      <c r="AJ883" s="2" t="n">
        <v>0</v>
      </c>
      <c r="AK883" s="2" t="n">
        <v>2</v>
      </c>
      <c r="AL883" s="2" t="s">
        <v>1896</v>
      </c>
      <c r="AM883" s="2" t="s">
        <v>92</v>
      </c>
      <c r="AN883" s="2" t="s">
        <v>1897</v>
      </c>
      <c r="AO883" s="2" t="s">
        <v>1898</v>
      </c>
      <c r="AP883" s="2" t="s">
        <v>1899</v>
      </c>
      <c r="AQ883" s="2"/>
      <c r="AR883" s="2" t="s">
        <v>1886</v>
      </c>
      <c r="AS883" s="2" t="s">
        <v>1900</v>
      </c>
      <c r="AT883" s="2"/>
      <c r="AU883" s="2" t="n">
        <v>2015</v>
      </c>
      <c r="AV883" s="2" t="n">
        <v>58</v>
      </c>
      <c r="AW883" s="2" t="n">
        <v>6</v>
      </c>
      <c r="AX883" s="2"/>
      <c r="AY883" s="2"/>
      <c r="AZ883" s="2"/>
      <c r="BA883" s="2"/>
      <c r="BB883" s="2" t="n">
        <v>403</v>
      </c>
      <c r="BC883" s="2" t="n">
        <v>412</v>
      </c>
      <c r="BD883" s="2"/>
      <c r="BE883" s="2" t="s">
        <v>15788</v>
      </c>
      <c r="BF883" s="2" t="str">
        <f aca="false">HYPERLINK("http://dx.doi.org/10.1159/000445059","http://dx.doi.org/10.1159/000445059")</f>
        <v>http://dx.doi.org/10.1159/000445059</v>
      </c>
      <c r="BG883" s="2"/>
      <c r="BH883" s="2"/>
      <c r="BI883" s="2" t="n">
        <v>10</v>
      </c>
      <c r="BJ883" s="2" t="s">
        <v>163</v>
      </c>
      <c r="BK883" s="2" t="s">
        <v>100</v>
      </c>
      <c r="BL883" s="2" t="s">
        <v>163</v>
      </c>
      <c r="BM883" s="2" t="s">
        <v>15789</v>
      </c>
      <c r="BN883" s="2" t="n">
        <v>27096202</v>
      </c>
      <c r="BO883" s="2" t="s">
        <v>656</v>
      </c>
      <c r="BP883" s="2"/>
      <c r="BQ883" s="2"/>
      <c r="BR883" s="2" t="s">
        <v>104</v>
      </c>
      <c r="BS883" s="2" t="s">
        <v>15790</v>
      </c>
      <c r="BT883" s="2" t="str">
        <f aca="false">HYPERLINK("https%3A%2F%2Fwww.webofscience.com%2Fwos%2Fwoscc%2Ffull-record%2FWOS:000375765100010","View Full Record in Web of Science")</f>
        <v>View Full Record in Web of Science</v>
      </c>
    </row>
    <row r="884" customFormat="false" ht="12.75" hidden="false" customHeight="false" outlineLevel="0" collapsed="false">
      <c r="A884" s="2" t="s">
        <v>72</v>
      </c>
      <c r="B884" s="2" t="s">
        <v>15791</v>
      </c>
      <c r="C884" s="2"/>
      <c r="D884" s="2"/>
      <c r="E884" s="2"/>
      <c r="F884" s="2" t="s">
        <v>15792</v>
      </c>
      <c r="G884" s="2"/>
      <c r="H884" s="2"/>
      <c r="I884" s="2" t="s">
        <v>15793</v>
      </c>
      <c r="J884" s="2" t="s">
        <v>717</v>
      </c>
      <c r="K884" s="2"/>
      <c r="L884" s="2"/>
      <c r="M884" s="2" t="s">
        <v>77</v>
      </c>
      <c r="N884" s="2" t="s">
        <v>78</v>
      </c>
      <c r="O884" s="2"/>
      <c r="P884" s="2"/>
      <c r="Q884" s="2"/>
      <c r="R884" s="2"/>
      <c r="S884" s="2"/>
      <c r="T884" s="2" t="s">
        <v>15794</v>
      </c>
      <c r="U884" s="2" t="s">
        <v>15795</v>
      </c>
      <c r="V884" s="2" t="s">
        <v>15796</v>
      </c>
      <c r="W884" s="2" t="s">
        <v>15797</v>
      </c>
      <c r="X884" s="2" t="s">
        <v>15798</v>
      </c>
      <c r="Y884" s="2" t="s">
        <v>15799</v>
      </c>
      <c r="Z884" s="2" t="s">
        <v>1366</v>
      </c>
      <c r="AA884" s="2" t="s">
        <v>15800</v>
      </c>
      <c r="AB884" s="2"/>
      <c r="AC884" s="2" t="s">
        <v>15801</v>
      </c>
      <c r="AD884" s="2" t="s">
        <v>15802</v>
      </c>
      <c r="AE884" s="2" t="s">
        <v>15803</v>
      </c>
      <c r="AF884" s="2"/>
      <c r="AG884" s="2" t="n">
        <v>30</v>
      </c>
      <c r="AH884" s="2" t="n">
        <v>17</v>
      </c>
      <c r="AI884" s="2" t="n">
        <v>18</v>
      </c>
      <c r="AJ884" s="2" t="n">
        <v>0</v>
      </c>
      <c r="AK884" s="2" t="n">
        <v>4</v>
      </c>
      <c r="AL884" s="2" t="s">
        <v>549</v>
      </c>
      <c r="AM884" s="2" t="s">
        <v>384</v>
      </c>
      <c r="AN884" s="2" t="s">
        <v>550</v>
      </c>
      <c r="AO884" s="2" t="s">
        <v>729</v>
      </c>
      <c r="AP884" s="2"/>
      <c r="AQ884" s="2"/>
      <c r="AR884" s="2" t="s">
        <v>731</v>
      </c>
      <c r="AS884" s="2" t="s">
        <v>732</v>
      </c>
      <c r="AT884" s="2" t="s">
        <v>336</v>
      </c>
      <c r="AU884" s="2" t="n">
        <v>2012</v>
      </c>
      <c r="AV884" s="2" t="n">
        <v>185</v>
      </c>
      <c r="AW884" s="2" t="n">
        <v>1</v>
      </c>
      <c r="AX884" s="2"/>
      <c r="AY884" s="2"/>
      <c r="AZ884" s="2"/>
      <c r="BA884" s="2"/>
      <c r="BB884" s="2" t="n">
        <v>61</v>
      </c>
      <c r="BC884" s="2" t="n">
        <v>68</v>
      </c>
      <c r="BD884" s="2"/>
      <c r="BE884" s="2" t="s">
        <v>15804</v>
      </c>
      <c r="BF884" s="2" t="str">
        <f aca="false">HYPERLINK("http://dx.doi.org/10.1016/j.jviromet.2012.05.030","http://dx.doi.org/10.1016/j.jviromet.2012.05.030")</f>
        <v>http://dx.doi.org/10.1016/j.jviromet.2012.05.030</v>
      </c>
      <c r="BG884" s="2"/>
      <c r="BH884" s="2"/>
      <c r="BI884" s="2" t="n">
        <v>8</v>
      </c>
      <c r="BJ884" s="2" t="s">
        <v>735</v>
      </c>
      <c r="BK884" s="2" t="s">
        <v>100</v>
      </c>
      <c r="BL884" s="2" t="s">
        <v>736</v>
      </c>
      <c r="BM884" s="2" t="s">
        <v>15805</v>
      </c>
      <c r="BN884" s="2" t="n">
        <v>22684013</v>
      </c>
      <c r="BO884" s="2" t="s">
        <v>695</v>
      </c>
      <c r="BP884" s="2"/>
      <c r="BQ884" s="2"/>
      <c r="BR884" s="2" t="s">
        <v>104</v>
      </c>
      <c r="BS884" s="2" t="s">
        <v>15806</v>
      </c>
      <c r="BT884" s="2" t="str">
        <f aca="false">HYPERLINK("https%3A%2F%2Fwww.webofscience.com%2Fwos%2Fwoscc%2Ffull-record%2FWOS:000307615400009","View Full Record in Web of Science")</f>
        <v>View Full Record in Web of Science</v>
      </c>
    </row>
    <row r="885" customFormat="false" ht="12.75" hidden="false" customHeight="false" outlineLevel="0" collapsed="false">
      <c r="A885" s="2" t="s">
        <v>72</v>
      </c>
      <c r="B885" s="2" t="s">
        <v>15807</v>
      </c>
      <c r="C885" s="2"/>
      <c r="D885" s="2"/>
      <c r="E885" s="2"/>
      <c r="F885" s="2" t="s">
        <v>15808</v>
      </c>
      <c r="G885" s="2"/>
      <c r="H885" s="2"/>
      <c r="I885" s="2" t="s">
        <v>15809</v>
      </c>
      <c r="J885" s="2" t="s">
        <v>1413</v>
      </c>
      <c r="K885" s="2"/>
      <c r="L885" s="2"/>
      <c r="M885" s="2" t="s">
        <v>77</v>
      </c>
      <c r="N885" s="2" t="s">
        <v>78</v>
      </c>
      <c r="O885" s="2"/>
      <c r="P885" s="2"/>
      <c r="Q885" s="2"/>
      <c r="R885" s="2"/>
      <c r="S885" s="2"/>
      <c r="T885" s="2" t="s">
        <v>15810</v>
      </c>
      <c r="U885" s="2" t="s">
        <v>15811</v>
      </c>
      <c r="V885" s="2" t="s">
        <v>15812</v>
      </c>
      <c r="W885" s="2" t="s">
        <v>15813</v>
      </c>
      <c r="X885" s="2" t="s">
        <v>15814</v>
      </c>
      <c r="Y885" s="2" t="s">
        <v>15815</v>
      </c>
      <c r="Z885" s="2" t="s">
        <v>15816</v>
      </c>
      <c r="AA885" s="2"/>
      <c r="AB885" s="2"/>
      <c r="AC885" s="2"/>
      <c r="AD885" s="2"/>
      <c r="AE885" s="2"/>
      <c r="AF885" s="2"/>
      <c r="AG885" s="2" t="n">
        <v>53</v>
      </c>
      <c r="AH885" s="2" t="n">
        <v>15</v>
      </c>
      <c r="AI885" s="2" t="n">
        <v>21</v>
      </c>
      <c r="AJ885" s="2" t="n">
        <v>0</v>
      </c>
      <c r="AK885" s="2" t="n">
        <v>2</v>
      </c>
      <c r="AL885" s="2" t="s">
        <v>383</v>
      </c>
      <c r="AM885" s="2" t="s">
        <v>384</v>
      </c>
      <c r="AN885" s="2" t="s">
        <v>385</v>
      </c>
      <c r="AO885" s="2" t="s">
        <v>1421</v>
      </c>
      <c r="AP885" s="2" t="s">
        <v>1422</v>
      </c>
      <c r="AQ885" s="2"/>
      <c r="AR885" s="2" t="s">
        <v>1423</v>
      </c>
      <c r="AS885" s="2" t="s">
        <v>1424</v>
      </c>
      <c r="AT885" s="2" t="s">
        <v>1041</v>
      </c>
      <c r="AU885" s="2" t="n">
        <v>2008</v>
      </c>
      <c r="AV885" s="2" t="n">
        <v>131</v>
      </c>
      <c r="AW885" s="2" t="n">
        <v>2</v>
      </c>
      <c r="AX885" s="2"/>
      <c r="AY885" s="2"/>
      <c r="AZ885" s="2"/>
      <c r="BA885" s="2"/>
      <c r="BB885" s="2" t="n">
        <v>121</v>
      </c>
      <c r="BC885" s="2" t="n">
        <v>131</v>
      </c>
      <c r="BD885" s="2"/>
      <c r="BE885" s="2" t="s">
        <v>15817</v>
      </c>
      <c r="BF885" s="2" t="str">
        <f aca="false">HYPERLINK("http://dx.doi.org/10.1016/j.virusres.2007.08.014","http://dx.doi.org/10.1016/j.virusres.2007.08.014")</f>
        <v>http://dx.doi.org/10.1016/j.virusres.2007.08.014</v>
      </c>
      <c r="BG885" s="2"/>
      <c r="BH885" s="2"/>
      <c r="BI885" s="2" t="n">
        <v>11</v>
      </c>
      <c r="BJ885" s="2" t="s">
        <v>163</v>
      </c>
      <c r="BK885" s="2" t="s">
        <v>100</v>
      </c>
      <c r="BL885" s="2" t="s">
        <v>163</v>
      </c>
      <c r="BM885" s="2" t="s">
        <v>15818</v>
      </c>
      <c r="BN885" s="2" t="n">
        <v>17931731</v>
      </c>
      <c r="BO885" s="2" t="s">
        <v>165</v>
      </c>
      <c r="BP885" s="2"/>
      <c r="BQ885" s="2"/>
      <c r="BR885" s="2" t="s">
        <v>104</v>
      </c>
      <c r="BS885" s="2" t="s">
        <v>15819</v>
      </c>
      <c r="BT885" s="2" t="str">
        <f aca="false">HYPERLINK("https%3A%2F%2Fwww.webofscience.com%2Fwos%2Fwoscc%2Ffull-record%2FWOS:000253786200002","View Full Record in Web of Science")</f>
        <v>View Full Record in Web of Science</v>
      </c>
    </row>
    <row r="886" customFormat="false" ht="12.75" hidden="false" customHeight="false" outlineLevel="0" collapsed="false">
      <c r="A886" s="2" t="s">
        <v>72</v>
      </c>
      <c r="B886" s="2" t="s">
        <v>15820</v>
      </c>
      <c r="C886" s="2"/>
      <c r="D886" s="2"/>
      <c r="E886" s="2"/>
      <c r="F886" s="2" t="s">
        <v>15821</v>
      </c>
      <c r="G886" s="2"/>
      <c r="H886" s="2"/>
      <c r="I886" s="2" t="s">
        <v>15822</v>
      </c>
      <c r="J886" s="2" t="s">
        <v>15823</v>
      </c>
      <c r="K886" s="2"/>
      <c r="L886" s="2"/>
      <c r="M886" s="2" t="s">
        <v>77</v>
      </c>
      <c r="N886" s="2" t="s">
        <v>78</v>
      </c>
      <c r="O886" s="2"/>
      <c r="P886" s="2"/>
      <c r="Q886" s="2"/>
      <c r="R886" s="2"/>
      <c r="S886" s="2"/>
      <c r="T886" s="2" t="s">
        <v>15824</v>
      </c>
      <c r="U886" s="2" t="s">
        <v>15825</v>
      </c>
      <c r="V886" s="2" t="s">
        <v>15826</v>
      </c>
      <c r="W886" s="2" t="s">
        <v>15827</v>
      </c>
      <c r="X886" s="2" t="s">
        <v>1891</v>
      </c>
      <c r="Y886" s="2" t="s">
        <v>15828</v>
      </c>
      <c r="Z886" s="2" t="s">
        <v>15829</v>
      </c>
      <c r="AA886" s="2" t="s">
        <v>15830</v>
      </c>
      <c r="AB886" s="2" t="s">
        <v>15831</v>
      </c>
      <c r="AC886" s="2" t="s">
        <v>15832</v>
      </c>
      <c r="AD886" s="2" t="s">
        <v>15833</v>
      </c>
      <c r="AE886" s="2" t="s">
        <v>15834</v>
      </c>
      <c r="AF886" s="2"/>
      <c r="AG886" s="2" t="n">
        <v>29</v>
      </c>
      <c r="AH886" s="2" t="n">
        <v>1</v>
      </c>
      <c r="AI886" s="2" t="n">
        <v>1</v>
      </c>
      <c r="AJ886" s="2" t="n">
        <v>2</v>
      </c>
      <c r="AK886" s="2" t="n">
        <v>9</v>
      </c>
      <c r="AL886" s="2" t="s">
        <v>755</v>
      </c>
      <c r="AM886" s="2" t="s">
        <v>273</v>
      </c>
      <c r="AN886" s="2" t="s">
        <v>756</v>
      </c>
      <c r="AO886" s="2" t="s">
        <v>15835</v>
      </c>
      <c r="AP886" s="2" t="s">
        <v>15836</v>
      </c>
      <c r="AQ886" s="2"/>
      <c r="AR886" s="2" t="s">
        <v>15837</v>
      </c>
      <c r="AS886" s="2" t="s">
        <v>15838</v>
      </c>
      <c r="AT886" s="2" t="s">
        <v>15839</v>
      </c>
      <c r="AU886" s="2" t="n">
        <v>2022</v>
      </c>
      <c r="AV886" s="2" t="n">
        <v>66</v>
      </c>
      <c r="AW886" s="2" t="n">
        <v>10</v>
      </c>
      <c r="AX886" s="2"/>
      <c r="AY886" s="2"/>
      <c r="AZ886" s="2"/>
      <c r="BA886" s="2"/>
      <c r="BB886" s="2"/>
      <c r="BC886" s="2"/>
      <c r="BD886" s="2"/>
      <c r="BE886" s="2" t="s">
        <v>15840</v>
      </c>
      <c r="BF886" s="2" t="str">
        <f aca="false">HYPERLINK("http://dx.doi.org/10.1128/aac.01008-22","http://dx.doi.org/10.1128/aac.01008-22")</f>
        <v>http://dx.doi.org/10.1128/aac.01008-22</v>
      </c>
      <c r="BG886" s="2"/>
      <c r="BH886" s="2" t="s">
        <v>6262</v>
      </c>
      <c r="BI886" s="2" t="n">
        <v>9</v>
      </c>
      <c r="BJ886" s="2" t="s">
        <v>7809</v>
      </c>
      <c r="BK886" s="2" t="s">
        <v>100</v>
      </c>
      <c r="BL886" s="2" t="s">
        <v>7809</v>
      </c>
      <c r="BM886" s="2" t="s">
        <v>15841</v>
      </c>
      <c r="BN886" s="2" t="n">
        <v>36094205</v>
      </c>
      <c r="BO886" s="2" t="s">
        <v>3775</v>
      </c>
      <c r="BP886" s="2"/>
      <c r="BQ886" s="2"/>
      <c r="BR886" s="2" t="s">
        <v>104</v>
      </c>
      <c r="BS886" s="2" t="s">
        <v>15842</v>
      </c>
      <c r="BT886" s="2" t="str">
        <f aca="false">HYPERLINK("https%3A%2F%2Fwww.webofscience.com%2Fwos%2Fwoscc%2Ffull-record%2FWOS:000852950000001","View Full Record in Web of Science")</f>
        <v>View Full Record in Web of Science</v>
      </c>
    </row>
    <row r="887" customFormat="false" ht="12.75" hidden="false" customHeight="false" outlineLevel="0" collapsed="false">
      <c r="A887" s="2" t="s">
        <v>72</v>
      </c>
      <c r="B887" s="2" t="s">
        <v>15843</v>
      </c>
      <c r="C887" s="2"/>
      <c r="D887" s="2"/>
      <c r="E887" s="2"/>
      <c r="F887" s="2" t="s">
        <v>15844</v>
      </c>
      <c r="G887" s="2"/>
      <c r="H887" s="2"/>
      <c r="I887" s="2" t="s">
        <v>15845</v>
      </c>
      <c r="J887" s="2" t="s">
        <v>370</v>
      </c>
      <c r="K887" s="2"/>
      <c r="L887" s="2"/>
      <c r="M887" s="2" t="s">
        <v>77</v>
      </c>
      <c r="N887" s="2" t="s">
        <v>78</v>
      </c>
      <c r="O887" s="2"/>
      <c r="P887" s="2"/>
      <c r="Q887" s="2"/>
      <c r="R887" s="2"/>
      <c r="S887" s="2"/>
      <c r="T887" s="2" t="s">
        <v>15846</v>
      </c>
      <c r="U887" s="2" t="s">
        <v>15847</v>
      </c>
      <c r="V887" s="2" t="s">
        <v>15848</v>
      </c>
      <c r="W887" s="2" t="s">
        <v>15849</v>
      </c>
      <c r="X887" s="2" t="s">
        <v>12353</v>
      </c>
      <c r="Y887" s="2" t="s">
        <v>15850</v>
      </c>
      <c r="Z887" s="2" t="s">
        <v>12355</v>
      </c>
      <c r="AA887" s="2"/>
      <c r="AB887" s="2" t="s">
        <v>2414</v>
      </c>
      <c r="AC887" s="2"/>
      <c r="AD887" s="2"/>
      <c r="AE887" s="2"/>
      <c r="AF887" s="2"/>
      <c r="AG887" s="2" t="n">
        <v>11</v>
      </c>
      <c r="AH887" s="2" t="n">
        <v>8</v>
      </c>
      <c r="AI887" s="2" t="n">
        <v>9</v>
      </c>
      <c r="AJ887" s="2" t="n">
        <v>3</v>
      </c>
      <c r="AK887" s="2" t="n">
        <v>4</v>
      </c>
      <c r="AL887" s="2" t="s">
        <v>549</v>
      </c>
      <c r="AM887" s="2" t="s">
        <v>384</v>
      </c>
      <c r="AN887" s="2" t="s">
        <v>550</v>
      </c>
      <c r="AO887" s="2" t="s">
        <v>386</v>
      </c>
      <c r="AP887" s="2" t="s">
        <v>387</v>
      </c>
      <c r="AQ887" s="2"/>
      <c r="AR887" s="2" t="s">
        <v>388</v>
      </c>
      <c r="AS887" s="2" t="s">
        <v>389</v>
      </c>
      <c r="AT887" s="2" t="s">
        <v>161</v>
      </c>
      <c r="AU887" s="2" t="n">
        <v>2009</v>
      </c>
      <c r="AV887" s="2" t="n">
        <v>44</v>
      </c>
      <c r="AW887" s="2" t="n">
        <v>1</v>
      </c>
      <c r="AX887" s="2"/>
      <c r="AY887" s="2"/>
      <c r="AZ887" s="2"/>
      <c r="BA887" s="2"/>
      <c r="BB887" s="2" t="n">
        <v>88</v>
      </c>
      <c r="BC887" s="2" t="n">
        <v>90</v>
      </c>
      <c r="BD887" s="2"/>
      <c r="BE887" s="2" t="s">
        <v>15851</v>
      </c>
      <c r="BF887" s="2" t="str">
        <f aca="false">HYPERLINK("http://dx.doi.org/10.1016/j.jcv.2008.09.011","http://dx.doi.org/10.1016/j.jcv.2008.09.011")</f>
        <v>http://dx.doi.org/10.1016/j.jcv.2008.09.011</v>
      </c>
      <c r="BG887" s="2"/>
      <c r="BH887" s="2"/>
      <c r="BI887" s="2" t="n">
        <v>3</v>
      </c>
      <c r="BJ887" s="2" t="s">
        <v>163</v>
      </c>
      <c r="BK887" s="2" t="s">
        <v>100</v>
      </c>
      <c r="BL887" s="2" t="s">
        <v>163</v>
      </c>
      <c r="BM887" s="2" t="s">
        <v>15852</v>
      </c>
      <c r="BN887" s="2" t="n">
        <v>19010729</v>
      </c>
      <c r="BO887" s="2" t="s">
        <v>165</v>
      </c>
      <c r="BP887" s="2"/>
      <c r="BQ887" s="2"/>
      <c r="BR887" s="2" t="s">
        <v>104</v>
      </c>
      <c r="BS887" s="2" t="s">
        <v>15853</v>
      </c>
      <c r="BT887" s="2" t="str">
        <f aca="false">HYPERLINK("https%3A%2F%2Fwww.webofscience.com%2Fwos%2Fwoscc%2Ffull-record%2FWOS:000262761000022","View Full Record in Web of Science")</f>
        <v>View Full Record in Web of Science</v>
      </c>
    </row>
    <row r="888" customFormat="false" ht="12.75" hidden="false" customHeight="false" outlineLevel="0" collapsed="false">
      <c r="A888" s="2" t="s">
        <v>72</v>
      </c>
      <c r="B888" s="2" t="s">
        <v>15854</v>
      </c>
      <c r="C888" s="2"/>
      <c r="D888" s="2"/>
      <c r="E888" s="2"/>
      <c r="F888" s="2" t="s">
        <v>15855</v>
      </c>
      <c r="G888" s="2"/>
      <c r="H888" s="2"/>
      <c r="I888" s="2" t="s">
        <v>15856</v>
      </c>
      <c r="J888" s="2" t="s">
        <v>2547</v>
      </c>
      <c r="K888" s="2"/>
      <c r="L888" s="2"/>
      <c r="M888" s="2" t="s">
        <v>77</v>
      </c>
      <c r="N888" s="2" t="s">
        <v>78</v>
      </c>
      <c r="O888" s="2"/>
      <c r="P888" s="2"/>
      <c r="Q888" s="2"/>
      <c r="R888" s="2"/>
      <c r="S888" s="2"/>
      <c r="T888" s="2" t="s">
        <v>15857</v>
      </c>
      <c r="U888" s="2" t="s">
        <v>15858</v>
      </c>
      <c r="V888" s="2" t="s">
        <v>15859</v>
      </c>
      <c r="W888" s="2" t="s">
        <v>15860</v>
      </c>
      <c r="X888" s="2" t="s">
        <v>546</v>
      </c>
      <c r="Y888" s="2" t="s">
        <v>1075</v>
      </c>
      <c r="Z888" s="2" t="s">
        <v>521</v>
      </c>
      <c r="AA888" s="2"/>
      <c r="AB888" s="2"/>
      <c r="AC888" s="2" t="s">
        <v>15861</v>
      </c>
      <c r="AD888" s="2" t="s">
        <v>15862</v>
      </c>
      <c r="AE888" s="2" t="s">
        <v>15863</v>
      </c>
      <c r="AF888" s="2"/>
      <c r="AG888" s="2" t="n">
        <v>28</v>
      </c>
      <c r="AH888" s="2" t="n">
        <v>23</v>
      </c>
      <c r="AI888" s="2" t="n">
        <v>27</v>
      </c>
      <c r="AJ888" s="2" t="n">
        <v>1</v>
      </c>
      <c r="AK888" s="2" t="n">
        <v>3</v>
      </c>
      <c r="AL888" s="2" t="s">
        <v>782</v>
      </c>
      <c r="AM888" s="2" t="s">
        <v>783</v>
      </c>
      <c r="AN888" s="2" t="s">
        <v>784</v>
      </c>
      <c r="AO888" s="2" t="s">
        <v>2556</v>
      </c>
      <c r="AP888" s="2"/>
      <c r="AQ888" s="2"/>
      <c r="AR888" s="2" t="s">
        <v>2547</v>
      </c>
      <c r="AS888" s="2" t="s">
        <v>2558</v>
      </c>
      <c r="AT888" s="2" t="s">
        <v>5503</v>
      </c>
      <c r="AU888" s="2" t="n">
        <v>2010</v>
      </c>
      <c r="AV888" s="2" t="n">
        <v>28</v>
      </c>
      <c r="AW888" s="2" t="n">
        <v>6</v>
      </c>
      <c r="AX888" s="2"/>
      <c r="AY888" s="2"/>
      <c r="AZ888" s="2"/>
      <c r="BA888" s="2"/>
      <c r="BB888" s="2" t="n">
        <v>1477</v>
      </c>
      <c r="BC888" s="2" t="n">
        <v>1480</v>
      </c>
      <c r="BD888" s="2"/>
      <c r="BE888" s="2" t="s">
        <v>15864</v>
      </c>
      <c r="BF888" s="2" t="str">
        <f aca="false">HYPERLINK("http://dx.doi.org/10.1016/j.vaccine.2009.11.063","http://dx.doi.org/10.1016/j.vaccine.2009.11.063")</f>
        <v>http://dx.doi.org/10.1016/j.vaccine.2009.11.063</v>
      </c>
      <c r="BG888" s="2"/>
      <c r="BH888" s="2"/>
      <c r="BI888" s="2" t="n">
        <v>4</v>
      </c>
      <c r="BJ888" s="2" t="s">
        <v>187</v>
      </c>
      <c r="BK888" s="2" t="s">
        <v>100</v>
      </c>
      <c r="BL888" s="2" t="s">
        <v>188</v>
      </c>
      <c r="BM888" s="2" t="s">
        <v>15865</v>
      </c>
      <c r="BN888" s="2" t="n">
        <v>20003919</v>
      </c>
      <c r="BO888" s="2" t="s">
        <v>695</v>
      </c>
      <c r="BP888" s="2"/>
      <c r="BQ888" s="2"/>
      <c r="BR888" s="2" t="s">
        <v>104</v>
      </c>
      <c r="BS888" s="2" t="s">
        <v>15866</v>
      </c>
      <c r="BT888" s="2" t="str">
        <f aca="false">HYPERLINK("https%3A%2F%2Fwww.webofscience.com%2Fwos%2Fwoscc%2Ffull-record%2FWOS:000275301900009","View Full Record in Web of Science")</f>
        <v>View Full Record in Web of Science</v>
      </c>
    </row>
    <row r="889" customFormat="false" ht="12.75" hidden="false" customHeight="false" outlineLevel="0" collapsed="false">
      <c r="A889" s="2" t="s">
        <v>72</v>
      </c>
      <c r="B889" s="2" t="s">
        <v>15867</v>
      </c>
      <c r="C889" s="2"/>
      <c r="D889" s="2"/>
      <c r="E889" s="2"/>
      <c r="F889" s="2" t="s">
        <v>15868</v>
      </c>
      <c r="G889" s="2"/>
      <c r="H889" s="2"/>
      <c r="I889" s="2" t="s">
        <v>15869</v>
      </c>
      <c r="J889" s="2" t="s">
        <v>2001</v>
      </c>
      <c r="K889" s="2"/>
      <c r="L889" s="2"/>
      <c r="M889" s="2" t="s">
        <v>77</v>
      </c>
      <c r="N889" s="2" t="s">
        <v>78</v>
      </c>
      <c r="O889" s="2"/>
      <c r="P889" s="2"/>
      <c r="Q889" s="2"/>
      <c r="R889" s="2"/>
      <c r="S889" s="2"/>
      <c r="T889" s="2" t="s">
        <v>15870</v>
      </c>
      <c r="U889" s="2"/>
      <c r="V889" s="2" t="s">
        <v>15871</v>
      </c>
      <c r="W889" s="2" t="s">
        <v>15872</v>
      </c>
      <c r="X889" s="2" t="s">
        <v>4402</v>
      </c>
      <c r="Y889" s="2" t="s">
        <v>1365</v>
      </c>
      <c r="Z889" s="2" t="s">
        <v>15873</v>
      </c>
      <c r="AA889" s="2" t="s">
        <v>15800</v>
      </c>
      <c r="AB889" s="2"/>
      <c r="AC889" s="2" t="s">
        <v>15874</v>
      </c>
      <c r="AD889" s="2" t="s">
        <v>15875</v>
      </c>
      <c r="AE889" s="2" t="s">
        <v>15876</v>
      </c>
      <c r="AF889" s="2"/>
      <c r="AG889" s="2" t="n">
        <v>40</v>
      </c>
      <c r="AH889" s="2" t="n">
        <v>12</v>
      </c>
      <c r="AI889" s="2" t="n">
        <v>13</v>
      </c>
      <c r="AJ889" s="2" t="n">
        <v>0</v>
      </c>
      <c r="AK889" s="2" t="n">
        <v>3</v>
      </c>
      <c r="AL889" s="2" t="s">
        <v>6201</v>
      </c>
      <c r="AM889" s="2" t="s">
        <v>92</v>
      </c>
      <c r="AN889" s="2" t="s">
        <v>93</v>
      </c>
      <c r="AO889" s="2" t="s">
        <v>2013</v>
      </c>
      <c r="AP889" s="2"/>
      <c r="AQ889" s="2"/>
      <c r="AR889" s="2" t="s">
        <v>2001</v>
      </c>
      <c r="AS889" s="2" t="s">
        <v>2014</v>
      </c>
      <c r="AT889" s="2" t="s">
        <v>129</v>
      </c>
      <c r="AU889" s="2" t="n">
        <v>2014</v>
      </c>
      <c r="AV889" s="2" t="n">
        <v>3</v>
      </c>
      <c r="AW889" s="2" t="n">
        <v>3</v>
      </c>
      <c r="AX889" s="2"/>
      <c r="AY889" s="2"/>
      <c r="AZ889" s="2"/>
      <c r="BA889" s="2"/>
      <c r="BB889" s="2" t="n">
        <v>633</v>
      </c>
      <c r="BC889" s="2" t="n">
        <v>655</v>
      </c>
      <c r="BD889" s="2"/>
      <c r="BE889" s="2" t="s">
        <v>15877</v>
      </c>
      <c r="BF889" s="2" t="str">
        <f aca="false">HYPERLINK("http://dx.doi.org/10.3390/pathogens3030633","http://dx.doi.org/10.3390/pathogens3030633")</f>
        <v>http://dx.doi.org/10.3390/pathogens3030633</v>
      </c>
      <c r="BG889" s="2"/>
      <c r="BH889" s="2"/>
      <c r="BI889" s="2" t="n">
        <v>23</v>
      </c>
      <c r="BJ889" s="2" t="s">
        <v>211</v>
      </c>
      <c r="BK889" s="2" t="s">
        <v>339</v>
      </c>
      <c r="BL889" s="2" t="s">
        <v>211</v>
      </c>
      <c r="BM889" s="2" t="s">
        <v>15878</v>
      </c>
      <c r="BN889" s="2" t="n">
        <v>25438015</v>
      </c>
      <c r="BO889" s="2" t="s">
        <v>5702</v>
      </c>
      <c r="BP889" s="2"/>
      <c r="BQ889" s="2"/>
      <c r="BR889" s="2" t="s">
        <v>104</v>
      </c>
      <c r="BS889" s="2" t="s">
        <v>15879</v>
      </c>
      <c r="BT889" s="2" t="str">
        <f aca="false">HYPERLINK("https%3A%2F%2Fwww.webofscience.com%2Fwos%2Fwoscc%2Ffull-record%2FWOS:000216533200008","View Full Record in Web of Science")</f>
        <v>View Full Record in Web of Science</v>
      </c>
    </row>
    <row r="890" customFormat="false" ht="12.75" hidden="false" customHeight="false" outlineLevel="0" collapsed="false">
      <c r="A890" s="2" t="s">
        <v>72</v>
      </c>
      <c r="B890" s="2" t="s">
        <v>15880</v>
      </c>
      <c r="C890" s="2"/>
      <c r="D890" s="2"/>
      <c r="E890" s="2"/>
      <c r="F890" s="2" t="s">
        <v>15881</v>
      </c>
      <c r="G890" s="2"/>
      <c r="H890" s="2"/>
      <c r="I890" s="2" t="s">
        <v>15882</v>
      </c>
      <c r="J890" s="2" t="s">
        <v>109</v>
      </c>
      <c r="K890" s="2"/>
      <c r="L890" s="2"/>
      <c r="M890" s="2" t="s">
        <v>77</v>
      </c>
      <c r="N890" s="2" t="s">
        <v>78</v>
      </c>
      <c r="O890" s="2"/>
      <c r="P890" s="2"/>
      <c r="Q890" s="2"/>
      <c r="R890" s="2"/>
      <c r="S890" s="2"/>
      <c r="T890" s="2" t="s">
        <v>15883</v>
      </c>
      <c r="U890" s="2" t="s">
        <v>15884</v>
      </c>
      <c r="V890" s="2" t="s">
        <v>15885</v>
      </c>
      <c r="W890" s="2" t="s">
        <v>15886</v>
      </c>
      <c r="X890" s="2" t="s">
        <v>15887</v>
      </c>
      <c r="Y890" s="2" t="s">
        <v>15888</v>
      </c>
      <c r="Z890" s="2" t="s">
        <v>15889</v>
      </c>
      <c r="AA890" s="2" t="s">
        <v>15890</v>
      </c>
      <c r="AB890" s="2" t="s">
        <v>15891</v>
      </c>
      <c r="AC890" s="2" t="s">
        <v>15892</v>
      </c>
      <c r="AD890" s="2" t="s">
        <v>15893</v>
      </c>
      <c r="AE890" s="2" t="s">
        <v>15894</v>
      </c>
      <c r="AF890" s="2"/>
      <c r="AG890" s="2" t="n">
        <v>31</v>
      </c>
      <c r="AH890" s="2" t="n">
        <v>4</v>
      </c>
      <c r="AI890" s="2" t="n">
        <v>4</v>
      </c>
      <c r="AJ890" s="2" t="n">
        <v>0</v>
      </c>
      <c r="AK890" s="2" t="n">
        <v>6</v>
      </c>
      <c r="AL890" s="2" t="s">
        <v>122</v>
      </c>
      <c r="AM890" s="2" t="s">
        <v>123</v>
      </c>
      <c r="AN890" s="2" t="s">
        <v>124</v>
      </c>
      <c r="AO890" s="2" t="s">
        <v>125</v>
      </c>
      <c r="AP890" s="2" t="s">
        <v>126</v>
      </c>
      <c r="AQ890" s="2"/>
      <c r="AR890" s="2" t="s">
        <v>127</v>
      </c>
      <c r="AS890" s="2" t="s">
        <v>128</v>
      </c>
      <c r="AT890" s="2" t="s">
        <v>446</v>
      </c>
      <c r="AU890" s="2" t="n">
        <v>2018</v>
      </c>
      <c r="AV890" s="2" t="n">
        <v>37</v>
      </c>
      <c r="AW890" s="2" t="n">
        <v>12</v>
      </c>
      <c r="AX890" s="2"/>
      <c r="AY890" s="2"/>
      <c r="AZ890" s="2"/>
      <c r="BA890" s="2"/>
      <c r="BB890" s="2" t="n">
        <v>1217</v>
      </c>
      <c r="BC890" s="2" t="n">
        <v>1222</v>
      </c>
      <c r="BD890" s="2"/>
      <c r="BE890" s="2" t="s">
        <v>15895</v>
      </c>
      <c r="BF890" s="2" t="str">
        <f aca="false">HYPERLINK("http://dx.doi.org/10.1097/INF.0000000000001998","http://dx.doi.org/10.1097/INF.0000000000001998")</f>
        <v>http://dx.doi.org/10.1097/INF.0000000000001998</v>
      </c>
      <c r="BG890" s="2"/>
      <c r="BH890" s="2"/>
      <c r="BI890" s="2" t="n">
        <v>6</v>
      </c>
      <c r="BJ890" s="2" t="s">
        <v>134</v>
      </c>
      <c r="BK890" s="2" t="s">
        <v>100</v>
      </c>
      <c r="BL890" s="2" t="s">
        <v>134</v>
      </c>
      <c r="BM890" s="2" t="s">
        <v>15896</v>
      </c>
      <c r="BN890" s="2" t="n">
        <v>30408004</v>
      </c>
      <c r="BO890" s="2" t="s">
        <v>765</v>
      </c>
      <c r="BP890" s="2"/>
      <c r="BQ890" s="2"/>
      <c r="BR890" s="2" t="s">
        <v>104</v>
      </c>
      <c r="BS890" s="2" t="s">
        <v>15897</v>
      </c>
      <c r="BT890" s="2" t="str">
        <f aca="false">HYPERLINK("https%3A%2F%2Fwww.webofscience.com%2Fwos%2Fwoscc%2Ffull-record%2FWOS:000450735800022","View Full Record in Web of Science")</f>
        <v>View Full Record in Web of Science</v>
      </c>
    </row>
    <row r="891" customFormat="false" ht="12.75" hidden="false" customHeight="false" outlineLevel="0" collapsed="false">
      <c r="A891" s="2" t="s">
        <v>72</v>
      </c>
      <c r="B891" s="2" t="s">
        <v>15898</v>
      </c>
      <c r="C891" s="2"/>
      <c r="D891" s="2"/>
      <c r="E891" s="2"/>
      <c r="F891" s="2" t="s">
        <v>15899</v>
      </c>
      <c r="G891" s="2"/>
      <c r="H891" s="2"/>
      <c r="I891" s="2" t="s">
        <v>15900</v>
      </c>
      <c r="J891" s="2" t="s">
        <v>370</v>
      </c>
      <c r="K891" s="2"/>
      <c r="L891" s="2"/>
      <c r="M891" s="2" t="s">
        <v>77</v>
      </c>
      <c r="N891" s="2" t="s">
        <v>78</v>
      </c>
      <c r="O891" s="2"/>
      <c r="P891" s="2"/>
      <c r="Q891" s="2"/>
      <c r="R891" s="2"/>
      <c r="S891" s="2"/>
      <c r="T891" s="2" t="s">
        <v>15901</v>
      </c>
      <c r="U891" s="2" t="s">
        <v>15902</v>
      </c>
      <c r="V891" s="2" t="s">
        <v>15903</v>
      </c>
      <c r="W891" s="2" t="s">
        <v>15904</v>
      </c>
      <c r="X891" s="2" t="s">
        <v>15905</v>
      </c>
      <c r="Y891" s="2" t="s">
        <v>12304</v>
      </c>
      <c r="Z891" s="2" t="s">
        <v>5566</v>
      </c>
      <c r="AA891" s="2" t="s">
        <v>15906</v>
      </c>
      <c r="AB891" s="2" t="s">
        <v>15907</v>
      </c>
      <c r="AC891" s="2"/>
      <c r="AD891" s="2"/>
      <c r="AE891" s="2"/>
      <c r="AF891" s="2"/>
      <c r="AG891" s="2" t="n">
        <v>16</v>
      </c>
      <c r="AH891" s="2" t="n">
        <v>23</v>
      </c>
      <c r="AI891" s="2" t="n">
        <v>26</v>
      </c>
      <c r="AJ891" s="2" t="n">
        <v>0</v>
      </c>
      <c r="AK891" s="2" t="n">
        <v>1</v>
      </c>
      <c r="AL891" s="2" t="s">
        <v>549</v>
      </c>
      <c r="AM891" s="2" t="s">
        <v>384</v>
      </c>
      <c r="AN891" s="2" t="s">
        <v>550</v>
      </c>
      <c r="AO891" s="2" t="s">
        <v>386</v>
      </c>
      <c r="AP891" s="2"/>
      <c r="AQ891" s="2"/>
      <c r="AR891" s="2" t="s">
        <v>388</v>
      </c>
      <c r="AS891" s="2" t="s">
        <v>389</v>
      </c>
      <c r="AT891" s="2" t="s">
        <v>804</v>
      </c>
      <c r="AU891" s="2" t="n">
        <v>2007</v>
      </c>
      <c r="AV891" s="2" t="n">
        <v>40</v>
      </c>
      <c r="AW891" s="2" t="n">
        <v>3</v>
      </c>
      <c r="AX891" s="2"/>
      <c r="AY891" s="2"/>
      <c r="AZ891" s="2"/>
      <c r="BA891" s="2"/>
      <c r="BB891" s="2" t="n">
        <v>236</v>
      </c>
      <c r="BC891" s="2" t="n">
        <v>240</v>
      </c>
      <c r="BD891" s="2"/>
      <c r="BE891" s="2" t="s">
        <v>15908</v>
      </c>
      <c r="BF891" s="2" t="str">
        <f aca="false">HYPERLINK("http://dx.doi.org/10.1016/j.jcv.2007.08.001","http://dx.doi.org/10.1016/j.jcv.2007.08.001")</f>
        <v>http://dx.doi.org/10.1016/j.jcv.2007.08.001</v>
      </c>
      <c r="BG891" s="2"/>
      <c r="BH891" s="2"/>
      <c r="BI891" s="2" t="n">
        <v>5</v>
      </c>
      <c r="BJ891" s="2" t="s">
        <v>163</v>
      </c>
      <c r="BK891" s="2" t="s">
        <v>100</v>
      </c>
      <c r="BL891" s="2" t="s">
        <v>163</v>
      </c>
      <c r="BM891" s="2" t="s">
        <v>806</v>
      </c>
      <c r="BN891" s="2" t="n">
        <v>17855163</v>
      </c>
      <c r="BO891" s="2"/>
      <c r="BP891" s="2"/>
      <c r="BQ891" s="2"/>
      <c r="BR891" s="2" t="s">
        <v>104</v>
      </c>
      <c r="BS891" s="2" t="s">
        <v>15909</v>
      </c>
      <c r="BT891" s="2" t="str">
        <f aca="false">HYPERLINK("https%3A%2F%2Fwww.webofscience.com%2Fwos%2Fwoscc%2Ffull-record%2FWOS:000250935300012","View Full Record in Web of Science")</f>
        <v>View Full Record in Web of Science</v>
      </c>
    </row>
    <row r="892" customFormat="false" ht="12.75" hidden="false" customHeight="false" outlineLevel="0" collapsed="false">
      <c r="A892" s="2" t="s">
        <v>72</v>
      </c>
      <c r="B892" s="2" t="s">
        <v>15910</v>
      </c>
      <c r="C892" s="2"/>
      <c r="D892" s="2"/>
      <c r="E892" s="2"/>
      <c r="F892" s="2" t="s">
        <v>15911</v>
      </c>
      <c r="G892" s="2"/>
      <c r="H892" s="2"/>
      <c r="I892" s="2" t="s">
        <v>15912</v>
      </c>
      <c r="J892" s="2" t="s">
        <v>15913</v>
      </c>
      <c r="K892" s="2"/>
      <c r="L892" s="2"/>
      <c r="M892" s="2" t="s">
        <v>77</v>
      </c>
      <c r="N892" s="2" t="s">
        <v>78</v>
      </c>
      <c r="O892" s="2"/>
      <c r="P892" s="2"/>
      <c r="Q892" s="2"/>
      <c r="R892" s="2"/>
      <c r="S892" s="2"/>
      <c r="T892" s="2" t="s">
        <v>15914</v>
      </c>
      <c r="U892" s="2" t="s">
        <v>15915</v>
      </c>
      <c r="V892" s="2" t="s">
        <v>15916</v>
      </c>
      <c r="W892" s="2" t="s">
        <v>15917</v>
      </c>
      <c r="X892" s="2" t="s">
        <v>15918</v>
      </c>
      <c r="Y892" s="2" t="s">
        <v>15919</v>
      </c>
      <c r="Z892" s="2" t="s">
        <v>15920</v>
      </c>
      <c r="AA892" s="2" t="s">
        <v>15921</v>
      </c>
      <c r="AB892" s="2" t="s">
        <v>15922</v>
      </c>
      <c r="AC892" s="2" t="s">
        <v>15923</v>
      </c>
      <c r="AD892" s="2" t="s">
        <v>15923</v>
      </c>
      <c r="AE892" s="2" t="s">
        <v>15924</v>
      </c>
      <c r="AF892" s="2"/>
      <c r="AG892" s="2" t="n">
        <v>39</v>
      </c>
      <c r="AH892" s="2" t="n">
        <v>0</v>
      </c>
      <c r="AI892" s="2" t="n">
        <v>0</v>
      </c>
      <c r="AJ892" s="2" t="n">
        <v>0</v>
      </c>
      <c r="AK892" s="2" t="n">
        <v>2</v>
      </c>
      <c r="AL892" s="2" t="s">
        <v>15925</v>
      </c>
      <c r="AM892" s="2" t="s">
        <v>593</v>
      </c>
      <c r="AN892" s="2" t="s">
        <v>15926</v>
      </c>
      <c r="AO892" s="2" t="s">
        <v>15927</v>
      </c>
      <c r="AP892" s="2" t="s">
        <v>15928</v>
      </c>
      <c r="AQ892" s="2"/>
      <c r="AR892" s="2" t="s">
        <v>15929</v>
      </c>
      <c r="AS892" s="2" t="s">
        <v>15930</v>
      </c>
      <c r="AT892" s="2" t="s">
        <v>486</v>
      </c>
      <c r="AU892" s="2" t="n">
        <v>2021</v>
      </c>
      <c r="AV892" s="2" t="n">
        <v>11</v>
      </c>
      <c r="AW892" s="2" t="n">
        <v>2</v>
      </c>
      <c r="AX892" s="2"/>
      <c r="AY892" s="2"/>
      <c r="AZ892" s="2"/>
      <c r="BA892" s="2"/>
      <c r="BB892" s="2" t="n">
        <v>146</v>
      </c>
      <c r="BC892" s="2" t="n">
        <v>150</v>
      </c>
      <c r="BD892" s="2"/>
      <c r="BE892" s="2" t="s">
        <v>15931</v>
      </c>
      <c r="BF892" s="2" t="str">
        <f aca="false">HYPERLINK("http://dx.doi.org/10.21103/Article11(2)_OA4","http://dx.doi.org/10.21103/Article11(2)_OA4")</f>
        <v>http://dx.doi.org/10.21103/Article11(2)_OA4</v>
      </c>
      <c r="BG892" s="2"/>
      <c r="BH892" s="2"/>
      <c r="BI892" s="2" t="n">
        <v>5</v>
      </c>
      <c r="BJ892" s="2" t="s">
        <v>5761</v>
      </c>
      <c r="BK892" s="2" t="s">
        <v>339</v>
      </c>
      <c r="BL892" s="2" t="s">
        <v>5762</v>
      </c>
      <c r="BM892" s="2" t="s">
        <v>15932</v>
      </c>
      <c r="BN892" s="2"/>
      <c r="BO892" s="2" t="s">
        <v>1355</v>
      </c>
      <c r="BP892" s="2"/>
      <c r="BQ892" s="2"/>
      <c r="BR892" s="2" t="s">
        <v>104</v>
      </c>
      <c r="BS892" s="2" t="s">
        <v>15933</v>
      </c>
      <c r="BT892" s="2" t="str">
        <f aca="false">HYPERLINK("https%3A%2F%2Fwww.webofscience.com%2Fwos%2Fwoscc%2Ffull-record%2FWOS:000665801300006","View Full Record in Web of Science")</f>
        <v>View Full Record in Web of Science</v>
      </c>
    </row>
    <row r="893" customFormat="false" ht="12.75" hidden="false" customHeight="false" outlineLevel="0" collapsed="false">
      <c r="A893" s="2" t="s">
        <v>72</v>
      </c>
      <c r="B893" s="2" t="s">
        <v>15934</v>
      </c>
      <c r="C893" s="2"/>
      <c r="D893" s="2"/>
      <c r="E893" s="2"/>
      <c r="F893" s="2" t="s">
        <v>15935</v>
      </c>
      <c r="G893" s="2"/>
      <c r="H893" s="2"/>
      <c r="I893" s="2" t="s">
        <v>15936</v>
      </c>
      <c r="J893" s="2" t="s">
        <v>109</v>
      </c>
      <c r="K893" s="2"/>
      <c r="L893" s="2"/>
      <c r="M893" s="2" t="s">
        <v>77</v>
      </c>
      <c r="N893" s="2" t="s">
        <v>78</v>
      </c>
      <c r="O893" s="2"/>
      <c r="P893" s="2"/>
      <c r="Q893" s="2"/>
      <c r="R893" s="2"/>
      <c r="S893" s="2"/>
      <c r="T893" s="2" t="s">
        <v>15937</v>
      </c>
      <c r="U893" s="2" t="s">
        <v>15938</v>
      </c>
      <c r="V893" s="2" t="s">
        <v>15939</v>
      </c>
      <c r="W893" s="2" t="s">
        <v>15940</v>
      </c>
      <c r="X893" s="2" t="s">
        <v>15941</v>
      </c>
      <c r="Y893" s="2" t="s">
        <v>15942</v>
      </c>
      <c r="Z893" s="2" t="s">
        <v>5844</v>
      </c>
      <c r="AA893" s="2" t="s">
        <v>15943</v>
      </c>
      <c r="AB893" s="2"/>
      <c r="AC893" s="2"/>
      <c r="AD893" s="2"/>
      <c r="AE893" s="2"/>
      <c r="AF893" s="2"/>
      <c r="AG893" s="2" t="n">
        <v>31</v>
      </c>
      <c r="AH893" s="2" t="n">
        <v>27</v>
      </c>
      <c r="AI893" s="2" t="n">
        <v>30</v>
      </c>
      <c r="AJ893" s="2" t="n">
        <v>1</v>
      </c>
      <c r="AK893" s="2" t="n">
        <v>9</v>
      </c>
      <c r="AL893" s="2" t="s">
        <v>122</v>
      </c>
      <c r="AM893" s="2" t="s">
        <v>123</v>
      </c>
      <c r="AN893" s="2" t="s">
        <v>124</v>
      </c>
      <c r="AO893" s="2" t="s">
        <v>125</v>
      </c>
      <c r="AP893" s="2" t="s">
        <v>126</v>
      </c>
      <c r="AQ893" s="2"/>
      <c r="AR893" s="2" t="s">
        <v>127</v>
      </c>
      <c r="AS893" s="2" t="s">
        <v>128</v>
      </c>
      <c r="AT893" s="2" t="s">
        <v>1041</v>
      </c>
      <c r="AU893" s="2" t="n">
        <v>2010</v>
      </c>
      <c r="AV893" s="2" t="n">
        <v>29</v>
      </c>
      <c r="AW893" s="2" t="n">
        <v>2</v>
      </c>
      <c r="AX893" s="2"/>
      <c r="AY893" s="2"/>
      <c r="AZ893" s="2"/>
      <c r="BA893" s="2"/>
      <c r="BB893" s="2" t="n">
        <v>131</v>
      </c>
      <c r="BC893" s="2" t="n">
        <v>134</v>
      </c>
      <c r="BD893" s="2"/>
      <c r="BE893" s="2" t="s">
        <v>15944</v>
      </c>
      <c r="BF893" s="2" t="str">
        <f aca="false">HYPERLINK("http://dx.doi.org/10.1097/INF.0b013e3181b56009","http://dx.doi.org/10.1097/INF.0b013e3181b56009")</f>
        <v>http://dx.doi.org/10.1097/INF.0b013e3181b56009</v>
      </c>
      <c r="BG893" s="2"/>
      <c r="BH893" s="2"/>
      <c r="BI893" s="2" t="n">
        <v>4</v>
      </c>
      <c r="BJ893" s="2" t="s">
        <v>134</v>
      </c>
      <c r="BK893" s="2" t="s">
        <v>100</v>
      </c>
      <c r="BL893" s="2" t="s">
        <v>134</v>
      </c>
      <c r="BM893" s="2" t="s">
        <v>15945</v>
      </c>
      <c r="BN893" s="2" t="n">
        <v>20135829</v>
      </c>
      <c r="BO893" s="2"/>
      <c r="BP893" s="2"/>
      <c r="BQ893" s="2"/>
      <c r="BR893" s="2" t="s">
        <v>104</v>
      </c>
      <c r="BS893" s="2" t="s">
        <v>15946</v>
      </c>
      <c r="BT893" s="2" t="str">
        <f aca="false">HYPERLINK("https%3A%2F%2Fwww.webofscience.com%2Fwos%2Fwoscc%2Ffull-record%2FWOS:000274029600008","View Full Record in Web of Science")</f>
        <v>View Full Record in Web of Science</v>
      </c>
    </row>
    <row r="894" customFormat="false" ht="12.75" hidden="false" customHeight="false" outlineLevel="0" collapsed="false">
      <c r="A894" s="2" t="s">
        <v>72</v>
      </c>
      <c r="B894" s="2" t="s">
        <v>15947</v>
      </c>
      <c r="C894" s="2"/>
      <c r="D894" s="2"/>
      <c r="E894" s="2"/>
      <c r="F894" s="2" t="s">
        <v>15948</v>
      </c>
      <c r="G894" s="2"/>
      <c r="H894" s="2"/>
      <c r="I894" s="2" t="s">
        <v>15949</v>
      </c>
      <c r="J894" s="2" t="s">
        <v>109</v>
      </c>
      <c r="K894" s="2"/>
      <c r="L894" s="2"/>
      <c r="M894" s="2" t="s">
        <v>77</v>
      </c>
      <c r="N894" s="2" t="s">
        <v>78</v>
      </c>
      <c r="O894" s="2"/>
      <c r="P894" s="2"/>
      <c r="Q894" s="2"/>
      <c r="R894" s="2"/>
      <c r="S894" s="2"/>
      <c r="T894" s="2" t="s">
        <v>15950</v>
      </c>
      <c r="U894" s="2" t="s">
        <v>15951</v>
      </c>
      <c r="V894" s="2" t="s">
        <v>15952</v>
      </c>
      <c r="W894" s="2" t="s">
        <v>15953</v>
      </c>
      <c r="X894" s="2" t="s">
        <v>15954</v>
      </c>
      <c r="Y894" s="2" t="s">
        <v>9616</v>
      </c>
      <c r="Z894" s="2" t="s">
        <v>749</v>
      </c>
      <c r="AA894" s="2" t="s">
        <v>750</v>
      </c>
      <c r="AB894" s="2" t="s">
        <v>2851</v>
      </c>
      <c r="AC894" s="2" t="s">
        <v>15955</v>
      </c>
      <c r="AD894" s="2" t="s">
        <v>6084</v>
      </c>
      <c r="AE894" s="2" t="s">
        <v>15956</v>
      </c>
      <c r="AF894" s="2"/>
      <c r="AG894" s="2" t="n">
        <v>50</v>
      </c>
      <c r="AH894" s="2" t="n">
        <v>30</v>
      </c>
      <c r="AI894" s="2" t="n">
        <v>31</v>
      </c>
      <c r="AJ894" s="2" t="n">
        <v>1</v>
      </c>
      <c r="AK894" s="2" t="n">
        <v>4</v>
      </c>
      <c r="AL894" s="2" t="s">
        <v>122</v>
      </c>
      <c r="AM894" s="2" t="s">
        <v>123</v>
      </c>
      <c r="AN894" s="2" t="s">
        <v>124</v>
      </c>
      <c r="AO894" s="2" t="s">
        <v>125</v>
      </c>
      <c r="AP894" s="2" t="s">
        <v>126</v>
      </c>
      <c r="AQ894" s="2"/>
      <c r="AR894" s="2" t="s">
        <v>127</v>
      </c>
      <c r="AS894" s="2" t="s">
        <v>128</v>
      </c>
      <c r="AT894" s="2" t="s">
        <v>446</v>
      </c>
      <c r="AU894" s="2" t="n">
        <v>2015</v>
      </c>
      <c r="AV894" s="2" t="n">
        <v>34</v>
      </c>
      <c r="AW894" s="2" t="n">
        <v>12</v>
      </c>
      <c r="AX894" s="2"/>
      <c r="AY894" s="2"/>
      <c r="AZ894" s="2"/>
      <c r="BA894" s="2"/>
      <c r="BB894" s="2" t="n">
        <v>1335</v>
      </c>
      <c r="BC894" s="2" t="n">
        <v>1341</v>
      </c>
      <c r="BD894" s="2"/>
      <c r="BE894" s="2" t="s">
        <v>15957</v>
      </c>
      <c r="BF894" s="2" t="str">
        <f aca="false">HYPERLINK("http://dx.doi.org/10.1097/INF.0000000000000892","http://dx.doi.org/10.1097/INF.0000000000000892")</f>
        <v>http://dx.doi.org/10.1097/INF.0000000000000892</v>
      </c>
      <c r="BG894" s="2"/>
      <c r="BH894" s="2"/>
      <c r="BI894" s="2" t="n">
        <v>7</v>
      </c>
      <c r="BJ894" s="2" t="s">
        <v>134</v>
      </c>
      <c r="BK894" s="2" t="s">
        <v>100</v>
      </c>
      <c r="BL894" s="2" t="s">
        <v>134</v>
      </c>
      <c r="BM894" s="2" t="s">
        <v>15958</v>
      </c>
      <c r="BN894" s="2" t="n">
        <v>26372450</v>
      </c>
      <c r="BO894" s="2" t="s">
        <v>695</v>
      </c>
      <c r="BP894" s="2"/>
      <c r="BQ894" s="2"/>
      <c r="BR894" s="2" t="s">
        <v>104</v>
      </c>
      <c r="BS894" s="2" t="s">
        <v>15959</v>
      </c>
      <c r="BT894" s="2" t="str">
        <f aca="false">HYPERLINK("https%3A%2F%2Fwww.webofscience.com%2Fwos%2Fwoscc%2Ffull-record%2FWOS:000369866700014","View Full Record in Web of Science")</f>
        <v>View Full Record in Web of Science</v>
      </c>
    </row>
    <row r="895" customFormat="false" ht="12.75" hidden="false" customHeight="false" outlineLevel="0" collapsed="false">
      <c r="A895" s="2" t="s">
        <v>72</v>
      </c>
      <c r="B895" s="2" t="s">
        <v>15960</v>
      </c>
      <c r="C895" s="2"/>
      <c r="D895" s="2"/>
      <c r="E895" s="2"/>
      <c r="F895" s="2" t="s">
        <v>15961</v>
      </c>
      <c r="G895" s="2"/>
      <c r="H895" s="2"/>
      <c r="I895" s="2" t="s">
        <v>15962</v>
      </c>
      <c r="J895" s="2" t="s">
        <v>2498</v>
      </c>
      <c r="K895" s="2"/>
      <c r="L895" s="2"/>
      <c r="M895" s="2" t="s">
        <v>77</v>
      </c>
      <c r="N895" s="2" t="s">
        <v>78</v>
      </c>
      <c r="O895" s="2"/>
      <c r="P895" s="2"/>
      <c r="Q895" s="2"/>
      <c r="R895" s="2"/>
      <c r="S895" s="2"/>
      <c r="T895" s="2" t="s">
        <v>15963</v>
      </c>
      <c r="U895" s="2" t="s">
        <v>15964</v>
      </c>
      <c r="V895" s="2" t="s">
        <v>15965</v>
      </c>
      <c r="W895" s="2" t="s">
        <v>15966</v>
      </c>
      <c r="X895" s="2" t="s">
        <v>15967</v>
      </c>
      <c r="Y895" s="2" t="s">
        <v>15968</v>
      </c>
      <c r="Z895" s="2" t="s">
        <v>15969</v>
      </c>
      <c r="AA895" s="2" t="s">
        <v>15970</v>
      </c>
      <c r="AB895" s="2" t="s">
        <v>15971</v>
      </c>
      <c r="AC895" s="2"/>
      <c r="AD895" s="2"/>
      <c r="AE895" s="2"/>
      <c r="AF895" s="2"/>
      <c r="AG895" s="2" t="n">
        <v>20</v>
      </c>
      <c r="AH895" s="2" t="n">
        <v>7</v>
      </c>
      <c r="AI895" s="2" t="n">
        <v>10</v>
      </c>
      <c r="AJ895" s="2" t="n">
        <v>0</v>
      </c>
      <c r="AK895" s="2" t="n">
        <v>1</v>
      </c>
      <c r="AL895" s="2" t="s">
        <v>2507</v>
      </c>
      <c r="AM895" s="2" t="s">
        <v>2508</v>
      </c>
      <c r="AN895" s="2" t="s">
        <v>2509</v>
      </c>
      <c r="AO895" s="2" t="s">
        <v>2510</v>
      </c>
      <c r="AP895" s="2" t="s">
        <v>2511</v>
      </c>
      <c r="AQ895" s="2"/>
      <c r="AR895" s="2" t="s">
        <v>2512</v>
      </c>
      <c r="AS895" s="2" t="s">
        <v>2513</v>
      </c>
      <c r="AT895" s="2" t="s">
        <v>2770</v>
      </c>
      <c r="AU895" s="2" t="n">
        <v>2011</v>
      </c>
      <c r="AV895" s="2" t="n">
        <v>4</v>
      </c>
      <c r="AW895" s="2" t="n">
        <v>2</v>
      </c>
      <c r="AX895" s="2"/>
      <c r="AY895" s="2"/>
      <c r="AZ895" s="2"/>
      <c r="BA895" s="2"/>
      <c r="BB895" s="2" t="n">
        <v>267</v>
      </c>
      <c r="BC895" s="2" t="n">
        <v>271</v>
      </c>
      <c r="BD895" s="2"/>
      <c r="BE895" s="2" t="s">
        <v>15972</v>
      </c>
      <c r="BF895" s="2" t="str">
        <f aca="false">HYPERLINK("http://dx.doi.org/10.3892/mmr.2011.416","http://dx.doi.org/10.3892/mmr.2011.416")</f>
        <v>http://dx.doi.org/10.3892/mmr.2011.416</v>
      </c>
      <c r="BG895" s="2"/>
      <c r="BH895" s="2"/>
      <c r="BI895" s="2" t="n">
        <v>5</v>
      </c>
      <c r="BJ895" s="2" t="s">
        <v>2515</v>
      </c>
      <c r="BK895" s="2" t="s">
        <v>100</v>
      </c>
      <c r="BL895" s="2" t="s">
        <v>2516</v>
      </c>
      <c r="BM895" s="2" t="s">
        <v>15973</v>
      </c>
      <c r="BN895" s="2" t="n">
        <v>21468562</v>
      </c>
      <c r="BO895" s="2" t="s">
        <v>656</v>
      </c>
      <c r="BP895" s="2"/>
      <c r="BQ895" s="2"/>
      <c r="BR895" s="2" t="s">
        <v>104</v>
      </c>
      <c r="BS895" s="2" t="s">
        <v>15974</v>
      </c>
      <c r="BT895" s="2" t="str">
        <f aca="false">HYPERLINK("https%3A%2F%2Fwww.webofscience.com%2Fwos%2Fwoscc%2Ffull-record%2FWOS:000287785800011","View Full Record in Web of Science")</f>
        <v>View Full Record in Web of Science</v>
      </c>
    </row>
    <row r="896" customFormat="false" ht="12.75" hidden="false" customHeight="false" outlineLevel="0" collapsed="false">
      <c r="A896" s="2" t="s">
        <v>72</v>
      </c>
      <c r="B896" s="2" t="s">
        <v>15975</v>
      </c>
      <c r="C896" s="2"/>
      <c r="D896" s="2"/>
      <c r="E896" s="2"/>
      <c r="F896" s="2" t="s">
        <v>15976</v>
      </c>
      <c r="G896" s="2"/>
      <c r="H896" s="2"/>
      <c r="I896" s="2" t="s">
        <v>15977</v>
      </c>
      <c r="J896" s="2" t="s">
        <v>141</v>
      </c>
      <c r="K896" s="2"/>
      <c r="L896" s="2"/>
      <c r="M896" s="2" t="s">
        <v>77</v>
      </c>
      <c r="N896" s="2" t="s">
        <v>78</v>
      </c>
      <c r="O896" s="2"/>
      <c r="P896" s="2"/>
      <c r="Q896" s="2"/>
      <c r="R896" s="2"/>
      <c r="S896" s="2"/>
      <c r="T896" s="2" t="s">
        <v>15978</v>
      </c>
      <c r="U896" s="2" t="s">
        <v>15979</v>
      </c>
      <c r="V896" s="2" t="s">
        <v>15980</v>
      </c>
      <c r="W896" s="2" t="s">
        <v>15981</v>
      </c>
      <c r="X896" s="2" t="s">
        <v>15982</v>
      </c>
      <c r="Y896" s="2" t="s">
        <v>6382</v>
      </c>
      <c r="Z896" s="2" t="s">
        <v>15983</v>
      </c>
      <c r="AA896" s="2" t="s">
        <v>15984</v>
      </c>
      <c r="AB896" s="2" t="s">
        <v>15985</v>
      </c>
      <c r="AC896" s="2" t="s">
        <v>15986</v>
      </c>
      <c r="AD896" s="2" t="s">
        <v>15987</v>
      </c>
      <c r="AE896" s="2" t="s">
        <v>15988</v>
      </c>
      <c r="AF896" s="2"/>
      <c r="AG896" s="2" t="n">
        <v>56</v>
      </c>
      <c r="AH896" s="2" t="n">
        <v>28</v>
      </c>
      <c r="AI896" s="2" t="n">
        <v>28</v>
      </c>
      <c r="AJ896" s="2" t="n">
        <v>1</v>
      </c>
      <c r="AK896" s="2" t="n">
        <v>7</v>
      </c>
      <c r="AL896" s="2" t="s">
        <v>154</v>
      </c>
      <c r="AM896" s="2" t="s">
        <v>155</v>
      </c>
      <c r="AN896" s="2" t="s">
        <v>156</v>
      </c>
      <c r="AO896" s="2" t="s">
        <v>157</v>
      </c>
      <c r="AP896" s="2" t="s">
        <v>158</v>
      </c>
      <c r="AQ896" s="2"/>
      <c r="AR896" s="2" t="s">
        <v>159</v>
      </c>
      <c r="AS896" s="2" t="s">
        <v>160</v>
      </c>
      <c r="AT896" s="2" t="s">
        <v>336</v>
      </c>
      <c r="AU896" s="2" t="n">
        <v>2011</v>
      </c>
      <c r="AV896" s="2" t="n">
        <v>83</v>
      </c>
      <c r="AW896" s="2" t="n">
        <v>10</v>
      </c>
      <c r="AX896" s="2"/>
      <c r="AY896" s="2"/>
      <c r="AZ896" s="2"/>
      <c r="BA896" s="2"/>
      <c r="BB896" s="2" t="n">
        <v>1799</v>
      </c>
      <c r="BC896" s="2" t="n">
        <v>1810</v>
      </c>
      <c r="BD896" s="2"/>
      <c r="BE896" s="2" t="s">
        <v>15989</v>
      </c>
      <c r="BF896" s="2" t="str">
        <f aca="false">HYPERLINK("http://dx.doi.org/10.1002/jmv.22176","http://dx.doi.org/10.1002/jmv.22176")</f>
        <v>http://dx.doi.org/10.1002/jmv.22176</v>
      </c>
      <c r="BG896" s="2"/>
      <c r="BH896" s="2"/>
      <c r="BI896" s="2" t="n">
        <v>12</v>
      </c>
      <c r="BJ896" s="2" t="s">
        <v>163</v>
      </c>
      <c r="BK896" s="2" t="s">
        <v>100</v>
      </c>
      <c r="BL896" s="2" t="s">
        <v>163</v>
      </c>
      <c r="BM896" s="2" t="s">
        <v>15990</v>
      </c>
      <c r="BN896" s="2" t="n">
        <v>21837798</v>
      </c>
      <c r="BO896" s="2" t="s">
        <v>695</v>
      </c>
      <c r="BP896" s="2"/>
      <c r="BQ896" s="2"/>
      <c r="BR896" s="2" t="s">
        <v>104</v>
      </c>
      <c r="BS896" s="2" t="s">
        <v>15991</v>
      </c>
      <c r="BT896" s="2" t="str">
        <f aca="false">HYPERLINK("https%3A%2F%2Fwww.webofscience.com%2Fwos%2Fwoscc%2Ffull-record%2FWOS:000293985900018","View Full Record in Web of Science")</f>
        <v>View Full Record in Web of Science</v>
      </c>
    </row>
    <row r="897" customFormat="false" ht="12.75" hidden="false" customHeight="false" outlineLevel="0" collapsed="false">
      <c r="A897" s="2" t="s">
        <v>72</v>
      </c>
      <c r="B897" s="2" t="s">
        <v>15992</v>
      </c>
      <c r="C897" s="2"/>
      <c r="D897" s="2"/>
      <c r="E897" s="2"/>
      <c r="F897" s="2" t="s">
        <v>15993</v>
      </c>
      <c r="G897" s="2"/>
      <c r="H897" s="2"/>
      <c r="I897" s="2" t="s">
        <v>15994</v>
      </c>
      <c r="J897" s="2" t="s">
        <v>770</v>
      </c>
      <c r="K897" s="2"/>
      <c r="L897" s="2"/>
      <c r="M897" s="2" t="s">
        <v>77</v>
      </c>
      <c r="N897" s="2" t="s">
        <v>78</v>
      </c>
      <c r="O897" s="2"/>
      <c r="P897" s="2"/>
      <c r="Q897" s="2"/>
      <c r="R897" s="2"/>
      <c r="S897" s="2"/>
      <c r="T897" s="2" t="s">
        <v>15995</v>
      </c>
      <c r="U897" s="2" t="s">
        <v>15996</v>
      </c>
      <c r="V897" s="2" t="s">
        <v>15997</v>
      </c>
      <c r="W897" s="2" t="s">
        <v>15998</v>
      </c>
      <c r="X897" s="2" t="s">
        <v>15999</v>
      </c>
      <c r="Y897" s="2" t="s">
        <v>16000</v>
      </c>
      <c r="Z897" s="2" t="s">
        <v>16001</v>
      </c>
      <c r="AA897" s="2" t="s">
        <v>16002</v>
      </c>
      <c r="AB897" s="2" t="s">
        <v>16003</v>
      </c>
      <c r="AC897" s="2" t="s">
        <v>16004</v>
      </c>
      <c r="AD897" s="2" t="s">
        <v>16005</v>
      </c>
      <c r="AE897" s="2" t="s">
        <v>16006</v>
      </c>
      <c r="AF897" s="2"/>
      <c r="AG897" s="2" t="n">
        <v>34</v>
      </c>
      <c r="AH897" s="2" t="n">
        <v>2</v>
      </c>
      <c r="AI897" s="2" t="n">
        <v>2</v>
      </c>
      <c r="AJ897" s="2" t="n">
        <v>5</v>
      </c>
      <c r="AK897" s="2" t="n">
        <v>9</v>
      </c>
      <c r="AL897" s="2" t="s">
        <v>782</v>
      </c>
      <c r="AM897" s="2" t="s">
        <v>2193</v>
      </c>
      <c r="AN897" s="2" t="s">
        <v>2194</v>
      </c>
      <c r="AO897" s="2" t="s">
        <v>785</v>
      </c>
      <c r="AP897" s="2" t="s">
        <v>786</v>
      </c>
      <c r="AQ897" s="2"/>
      <c r="AR897" s="2" t="s">
        <v>787</v>
      </c>
      <c r="AS897" s="2" t="s">
        <v>788</v>
      </c>
      <c r="AT897" s="2" t="s">
        <v>446</v>
      </c>
      <c r="AU897" s="2" t="n">
        <v>2023</v>
      </c>
      <c r="AV897" s="2" t="n">
        <v>137</v>
      </c>
      <c r="AW897" s="2"/>
      <c r="AX897" s="2"/>
      <c r="AY897" s="2"/>
      <c r="AZ897" s="2"/>
      <c r="BA897" s="2"/>
      <c r="BB897" s="2" t="n">
        <v>40</v>
      </c>
      <c r="BC897" s="2" t="n">
        <v>47</v>
      </c>
      <c r="BD897" s="2"/>
      <c r="BE897" s="2" t="s">
        <v>16007</v>
      </c>
      <c r="BF897" s="2" t="str">
        <f aca="false">HYPERLINK("http://dx.doi.org/10.1016/j.ijid.2023.10.002","http://dx.doi.org/10.1016/j.ijid.2023.10.002")</f>
        <v>http://dx.doi.org/10.1016/j.ijid.2023.10.002</v>
      </c>
      <c r="BG897" s="2"/>
      <c r="BH897" s="2" t="s">
        <v>16008</v>
      </c>
      <c r="BI897" s="2" t="n">
        <v>8</v>
      </c>
      <c r="BJ897" s="2" t="s">
        <v>575</v>
      </c>
      <c r="BK897" s="2" t="s">
        <v>100</v>
      </c>
      <c r="BL897" s="2" t="s">
        <v>575</v>
      </c>
      <c r="BM897" s="2" t="s">
        <v>16009</v>
      </c>
      <c r="BN897" s="2" t="n">
        <v>37816430</v>
      </c>
      <c r="BO897" s="2" t="s">
        <v>1355</v>
      </c>
      <c r="BP897" s="2"/>
      <c r="BQ897" s="2"/>
      <c r="BR897" s="2" t="s">
        <v>104</v>
      </c>
      <c r="BS897" s="2" t="s">
        <v>16010</v>
      </c>
      <c r="BT897" s="2" t="str">
        <f aca="false">HYPERLINK("https%3A%2F%2Fwww.webofscience.com%2Fwos%2Fwoscc%2Ffull-record%2FWOS:001102399000001","View Full Record in Web of Science")</f>
        <v>View Full Record in Web of Science</v>
      </c>
    </row>
    <row r="898" customFormat="false" ht="12.75" hidden="false" customHeight="false" outlineLevel="0" collapsed="false">
      <c r="A898" s="2" t="s">
        <v>72</v>
      </c>
      <c r="B898" s="2" t="s">
        <v>16011</v>
      </c>
      <c r="C898" s="2"/>
      <c r="D898" s="2"/>
      <c r="E898" s="2"/>
      <c r="F898" s="2" t="s">
        <v>16012</v>
      </c>
      <c r="G898" s="2"/>
      <c r="H898" s="2"/>
      <c r="I898" s="2" t="s">
        <v>16013</v>
      </c>
      <c r="J898" s="2" t="s">
        <v>370</v>
      </c>
      <c r="K898" s="2"/>
      <c r="L898" s="2"/>
      <c r="M898" s="2" t="s">
        <v>77</v>
      </c>
      <c r="N898" s="2" t="s">
        <v>78</v>
      </c>
      <c r="O898" s="2"/>
      <c r="P898" s="2"/>
      <c r="Q898" s="2"/>
      <c r="R898" s="2"/>
      <c r="S898" s="2"/>
      <c r="T898" s="2" t="s">
        <v>16014</v>
      </c>
      <c r="U898" s="2" t="s">
        <v>16015</v>
      </c>
      <c r="V898" s="2" t="s">
        <v>16016</v>
      </c>
      <c r="W898" s="2" t="s">
        <v>16017</v>
      </c>
      <c r="X898" s="2" t="s">
        <v>13420</v>
      </c>
      <c r="Y898" s="2" t="s">
        <v>16018</v>
      </c>
      <c r="Z898" s="2" t="s">
        <v>13422</v>
      </c>
      <c r="AA898" s="2" t="s">
        <v>16019</v>
      </c>
      <c r="AB898" s="2" t="s">
        <v>16020</v>
      </c>
      <c r="AC898" s="2"/>
      <c r="AD898" s="2"/>
      <c r="AE898" s="2"/>
      <c r="AF898" s="2"/>
      <c r="AG898" s="2" t="n">
        <v>29</v>
      </c>
      <c r="AH898" s="2" t="n">
        <v>22</v>
      </c>
      <c r="AI898" s="2" t="n">
        <v>23</v>
      </c>
      <c r="AJ898" s="2" t="n">
        <v>0</v>
      </c>
      <c r="AK898" s="2" t="n">
        <v>0</v>
      </c>
      <c r="AL898" s="2" t="s">
        <v>383</v>
      </c>
      <c r="AM898" s="2" t="s">
        <v>384</v>
      </c>
      <c r="AN898" s="2" t="s">
        <v>385</v>
      </c>
      <c r="AO898" s="2" t="s">
        <v>386</v>
      </c>
      <c r="AP898" s="2" t="s">
        <v>387</v>
      </c>
      <c r="AQ898" s="2"/>
      <c r="AR898" s="2" t="s">
        <v>388</v>
      </c>
      <c r="AS898" s="2" t="s">
        <v>389</v>
      </c>
      <c r="AT898" s="2" t="s">
        <v>390</v>
      </c>
      <c r="AU898" s="2" t="n">
        <v>2007</v>
      </c>
      <c r="AV898" s="2" t="n">
        <v>39</v>
      </c>
      <c r="AW898" s="2" t="n">
        <v>1</v>
      </c>
      <c r="AX898" s="2"/>
      <c r="AY898" s="2"/>
      <c r="AZ898" s="2"/>
      <c r="BA898" s="2"/>
      <c r="BB898" s="2" t="n">
        <v>59</v>
      </c>
      <c r="BC898" s="2" t="n">
        <v>62</v>
      </c>
      <c r="BD898" s="2"/>
      <c r="BE898" s="2" t="s">
        <v>16021</v>
      </c>
      <c r="BF898" s="2" t="str">
        <f aca="false">HYPERLINK("http://dx.doi.org/10.1016/j.jcv.2007.01.012","http://dx.doi.org/10.1016/j.jcv.2007.01.012")</f>
        <v>http://dx.doi.org/10.1016/j.jcv.2007.01.012</v>
      </c>
      <c r="BG898" s="2"/>
      <c r="BH898" s="2"/>
      <c r="BI898" s="2" t="n">
        <v>4</v>
      </c>
      <c r="BJ898" s="2" t="s">
        <v>163</v>
      </c>
      <c r="BK898" s="2" t="s">
        <v>100</v>
      </c>
      <c r="BL898" s="2" t="s">
        <v>163</v>
      </c>
      <c r="BM898" s="2" t="s">
        <v>16022</v>
      </c>
      <c r="BN898" s="2" t="n">
        <v>17350886</v>
      </c>
      <c r="BO898" s="2"/>
      <c r="BP898" s="2"/>
      <c r="BQ898" s="2"/>
      <c r="BR898" s="2" t="s">
        <v>104</v>
      </c>
      <c r="BS898" s="2" t="s">
        <v>16023</v>
      </c>
      <c r="BT898" s="2" t="str">
        <f aca="false">HYPERLINK("https%3A%2F%2Fwww.webofscience.com%2Fwos%2Fwoscc%2Ffull-record%2FWOS:000248631300011","View Full Record in Web of Science")</f>
        <v>View Full Record in Web of Science</v>
      </c>
    </row>
    <row r="899" customFormat="false" ht="12.75" hidden="false" customHeight="false" outlineLevel="0" collapsed="false">
      <c r="A899" s="2" t="s">
        <v>72</v>
      </c>
      <c r="B899" s="2" t="s">
        <v>16024</v>
      </c>
      <c r="C899" s="2"/>
      <c r="D899" s="2"/>
      <c r="E899" s="2"/>
      <c r="F899" s="2" t="s">
        <v>16025</v>
      </c>
      <c r="G899" s="2"/>
      <c r="H899" s="2"/>
      <c r="I899" s="2" t="s">
        <v>16026</v>
      </c>
      <c r="J899" s="2" t="s">
        <v>370</v>
      </c>
      <c r="K899" s="2"/>
      <c r="L899" s="2"/>
      <c r="M899" s="2" t="s">
        <v>77</v>
      </c>
      <c r="N899" s="2" t="s">
        <v>78</v>
      </c>
      <c r="O899" s="2"/>
      <c r="P899" s="2"/>
      <c r="Q899" s="2"/>
      <c r="R899" s="2"/>
      <c r="S899" s="2"/>
      <c r="T899" s="2" t="s">
        <v>16027</v>
      </c>
      <c r="U899" s="2" t="s">
        <v>16028</v>
      </c>
      <c r="V899" s="2" t="s">
        <v>16029</v>
      </c>
      <c r="W899" s="2" t="s">
        <v>16030</v>
      </c>
      <c r="X899" s="2" t="s">
        <v>16031</v>
      </c>
      <c r="Y899" s="2" t="s">
        <v>16032</v>
      </c>
      <c r="Z899" s="2" t="s">
        <v>15983</v>
      </c>
      <c r="AA899" s="2" t="s">
        <v>16033</v>
      </c>
      <c r="AB899" s="2" t="s">
        <v>16034</v>
      </c>
      <c r="AC899" s="2"/>
      <c r="AD899" s="2"/>
      <c r="AE899" s="2"/>
      <c r="AF899" s="2"/>
      <c r="AG899" s="2" t="n">
        <v>16</v>
      </c>
      <c r="AH899" s="2" t="n">
        <v>37</v>
      </c>
      <c r="AI899" s="2" t="n">
        <v>40</v>
      </c>
      <c r="AJ899" s="2" t="n">
        <v>0</v>
      </c>
      <c r="AK899" s="2" t="n">
        <v>0</v>
      </c>
      <c r="AL899" s="2" t="s">
        <v>549</v>
      </c>
      <c r="AM899" s="2" t="s">
        <v>384</v>
      </c>
      <c r="AN899" s="2" t="s">
        <v>550</v>
      </c>
      <c r="AO899" s="2" t="s">
        <v>386</v>
      </c>
      <c r="AP899" s="2"/>
      <c r="AQ899" s="2"/>
      <c r="AR899" s="2" t="s">
        <v>388</v>
      </c>
      <c r="AS899" s="2" t="s">
        <v>389</v>
      </c>
      <c r="AT899" s="2" t="s">
        <v>161</v>
      </c>
      <c r="AU899" s="2" t="n">
        <v>2007</v>
      </c>
      <c r="AV899" s="2" t="n">
        <v>38</v>
      </c>
      <c r="AW899" s="2" t="n">
        <v>1</v>
      </c>
      <c r="AX899" s="2"/>
      <c r="AY899" s="2"/>
      <c r="AZ899" s="2"/>
      <c r="BA899" s="2"/>
      <c r="BB899" s="2" t="n">
        <v>70</v>
      </c>
      <c r="BC899" s="2" t="n">
        <v>72</v>
      </c>
      <c r="BD899" s="2"/>
      <c r="BE899" s="2" t="s">
        <v>16035</v>
      </c>
      <c r="BF899" s="2" t="str">
        <f aca="false">HYPERLINK("http://dx.doi.org/10.1016/j.jcv.2006.07.003","http://dx.doi.org/10.1016/j.jcv.2006.07.003")</f>
        <v>http://dx.doi.org/10.1016/j.jcv.2006.07.003</v>
      </c>
      <c r="BG899" s="2"/>
      <c r="BH899" s="2"/>
      <c r="BI899" s="2" t="n">
        <v>3</v>
      </c>
      <c r="BJ899" s="2" t="s">
        <v>163</v>
      </c>
      <c r="BK899" s="2" t="s">
        <v>100</v>
      </c>
      <c r="BL899" s="2" t="s">
        <v>163</v>
      </c>
      <c r="BM899" s="2" t="s">
        <v>16036</v>
      </c>
      <c r="BN899" s="2" t="n">
        <v>17085070</v>
      </c>
      <c r="BO899" s="2"/>
      <c r="BP899" s="2"/>
      <c r="BQ899" s="2"/>
      <c r="BR899" s="2" t="s">
        <v>104</v>
      </c>
      <c r="BS899" s="2" t="s">
        <v>16037</v>
      </c>
      <c r="BT899" s="2" t="str">
        <f aca="false">HYPERLINK("https%3A%2F%2Fwww.webofscience.com%2Fwos%2Fwoscc%2Ffull-record%2FWOS:000243736900012","View Full Record in Web of Science")</f>
        <v>View Full Record in Web of Science</v>
      </c>
    </row>
    <row r="900" customFormat="false" ht="12.75" hidden="false" customHeight="false" outlineLevel="0" collapsed="false">
      <c r="A900" s="2" t="s">
        <v>72</v>
      </c>
      <c r="B900" s="2" t="s">
        <v>16038</v>
      </c>
      <c r="C900" s="2"/>
      <c r="D900" s="2"/>
      <c r="E900" s="2"/>
      <c r="F900" s="2" t="s">
        <v>16039</v>
      </c>
      <c r="G900" s="2"/>
      <c r="H900" s="2"/>
      <c r="I900" s="2" t="s">
        <v>16040</v>
      </c>
      <c r="J900" s="2" t="s">
        <v>16041</v>
      </c>
      <c r="K900" s="2"/>
      <c r="L900" s="2"/>
      <c r="M900" s="2" t="s">
        <v>77</v>
      </c>
      <c r="N900" s="2" t="s">
        <v>78</v>
      </c>
      <c r="O900" s="2"/>
      <c r="P900" s="2"/>
      <c r="Q900" s="2"/>
      <c r="R900" s="2"/>
      <c r="S900" s="2"/>
      <c r="T900" s="2" t="s">
        <v>16042</v>
      </c>
      <c r="U900" s="2"/>
      <c r="V900" s="2" t="s">
        <v>16043</v>
      </c>
      <c r="W900" s="2" t="s">
        <v>16044</v>
      </c>
      <c r="X900" s="2" t="s">
        <v>16045</v>
      </c>
      <c r="Y900" s="2" t="s">
        <v>16046</v>
      </c>
      <c r="Z900" s="2" t="s">
        <v>16047</v>
      </c>
      <c r="AA900" s="2"/>
      <c r="AB900" s="2"/>
      <c r="AC900" s="2"/>
      <c r="AD900" s="2"/>
      <c r="AE900" s="2"/>
      <c r="AF900" s="2"/>
      <c r="AG900" s="2" t="n">
        <v>10</v>
      </c>
      <c r="AH900" s="2" t="n">
        <v>1</v>
      </c>
      <c r="AI900" s="2" t="n">
        <v>1</v>
      </c>
      <c r="AJ900" s="2" t="n">
        <v>0</v>
      </c>
      <c r="AK900" s="2" t="n">
        <v>3</v>
      </c>
      <c r="AL900" s="2" t="s">
        <v>16048</v>
      </c>
      <c r="AM900" s="2" t="s">
        <v>3690</v>
      </c>
      <c r="AN900" s="2" t="s">
        <v>16049</v>
      </c>
      <c r="AO900" s="2" t="s">
        <v>16050</v>
      </c>
      <c r="AP900" s="2" t="s">
        <v>16051</v>
      </c>
      <c r="AQ900" s="2"/>
      <c r="AR900" s="2" t="s">
        <v>16052</v>
      </c>
      <c r="AS900" s="2" t="s">
        <v>16053</v>
      </c>
      <c r="AT900" s="2" t="s">
        <v>97</v>
      </c>
      <c r="AU900" s="2" t="n">
        <v>2017</v>
      </c>
      <c r="AV900" s="2" t="n">
        <v>11</v>
      </c>
      <c r="AW900" s="2" t="n">
        <v>1</v>
      </c>
      <c r="AX900" s="2"/>
      <c r="AY900" s="2"/>
      <c r="AZ900" s="2"/>
      <c r="BA900" s="2"/>
      <c r="BB900" s="2" t="n">
        <v>50</v>
      </c>
      <c r="BC900" s="2" t="n">
        <v>52</v>
      </c>
      <c r="BD900" s="2"/>
      <c r="BE900" s="2" t="s">
        <v>16054</v>
      </c>
      <c r="BF900" s="2" t="str">
        <f aca="false">HYPERLINK("http://dx.doi.org/10.5578/ced.57488","http://dx.doi.org/10.5578/ced.57488")</f>
        <v>http://dx.doi.org/10.5578/ced.57488</v>
      </c>
      <c r="BG900" s="2"/>
      <c r="BH900" s="2"/>
      <c r="BI900" s="2" t="n">
        <v>3</v>
      </c>
      <c r="BJ900" s="2" t="s">
        <v>601</v>
      </c>
      <c r="BK900" s="2" t="s">
        <v>339</v>
      </c>
      <c r="BL900" s="2" t="s">
        <v>601</v>
      </c>
      <c r="BM900" s="2" t="s">
        <v>16055</v>
      </c>
      <c r="BN900" s="2"/>
      <c r="BO900" s="2" t="s">
        <v>656</v>
      </c>
      <c r="BP900" s="2"/>
      <c r="BQ900" s="2"/>
      <c r="BR900" s="2" t="s">
        <v>104</v>
      </c>
      <c r="BS900" s="2" t="s">
        <v>16056</v>
      </c>
      <c r="BT900" s="2" t="str">
        <f aca="false">HYPERLINK("https%3A%2F%2Fwww.webofscience.com%2Fwos%2Fwoscc%2Ffull-record%2FWOS:000510620200012","View Full Record in Web of Science")</f>
        <v>View Full Record in Web of Science</v>
      </c>
    </row>
    <row r="901" customFormat="false" ht="12.75" hidden="false" customHeight="false" outlineLevel="0" collapsed="false">
      <c r="A901" s="2" t="s">
        <v>72</v>
      </c>
      <c r="B901" s="2" t="s">
        <v>16057</v>
      </c>
      <c r="C901" s="2"/>
      <c r="D901" s="2"/>
      <c r="E901" s="2"/>
      <c r="F901" s="2" t="s">
        <v>16057</v>
      </c>
      <c r="G901" s="2"/>
      <c r="H901" s="2"/>
      <c r="I901" s="2" t="s">
        <v>16058</v>
      </c>
      <c r="J901" s="2" t="s">
        <v>109</v>
      </c>
      <c r="K901" s="2"/>
      <c r="L901" s="2"/>
      <c r="M901" s="2" t="s">
        <v>77</v>
      </c>
      <c r="N901" s="2" t="s">
        <v>78</v>
      </c>
      <c r="O901" s="2"/>
      <c r="P901" s="2"/>
      <c r="Q901" s="2"/>
      <c r="R901" s="2"/>
      <c r="S901" s="2"/>
      <c r="T901" s="2" t="s">
        <v>16059</v>
      </c>
      <c r="U901" s="2" t="s">
        <v>16060</v>
      </c>
      <c r="V901" s="2" t="s">
        <v>16061</v>
      </c>
      <c r="W901" s="2" t="s">
        <v>16062</v>
      </c>
      <c r="X901" s="2"/>
      <c r="Y901" s="2" t="s">
        <v>16063</v>
      </c>
      <c r="Z901" s="2"/>
      <c r="AA901" s="2"/>
      <c r="AB901" s="2" t="s">
        <v>14744</v>
      </c>
      <c r="AC901" s="2"/>
      <c r="AD901" s="2"/>
      <c r="AE901" s="2"/>
      <c r="AF901" s="2"/>
      <c r="AG901" s="2" t="n">
        <v>10</v>
      </c>
      <c r="AH901" s="2" t="n">
        <v>28</v>
      </c>
      <c r="AI901" s="2" t="n">
        <v>28</v>
      </c>
      <c r="AJ901" s="2" t="n">
        <v>0</v>
      </c>
      <c r="AK901" s="2" t="n">
        <v>0</v>
      </c>
      <c r="AL901" s="2" t="s">
        <v>122</v>
      </c>
      <c r="AM901" s="2" t="s">
        <v>123</v>
      </c>
      <c r="AN901" s="2" t="s">
        <v>839</v>
      </c>
      <c r="AO901" s="2" t="s">
        <v>125</v>
      </c>
      <c r="AP901" s="2"/>
      <c r="AQ901" s="2"/>
      <c r="AR901" s="2" t="s">
        <v>127</v>
      </c>
      <c r="AS901" s="2" t="s">
        <v>128</v>
      </c>
      <c r="AT901" s="2" t="s">
        <v>599</v>
      </c>
      <c r="AU901" s="2" t="n">
        <v>2005</v>
      </c>
      <c r="AV901" s="2" t="n">
        <v>24</v>
      </c>
      <c r="AW901" s="2" t="n">
        <v>7</v>
      </c>
      <c r="AX901" s="2"/>
      <c r="AY901" s="2"/>
      <c r="AZ901" s="2"/>
      <c r="BA901" s="2"/>
      <c r="BB901" s="2" t="n">
        <v>655</v>
      </c>
      <c r="BC901" s="2" t="n">
        <v>657</v>
      </c>
      <c r="BD901" s="2"/>
      <c r="BE901" s="2" t="s">
        <v>16064</v>
      </c>
      <c r="BF901" s="2" t="str">
        <f aca="false">HYPERLINK("http://dx.doi.org/10.1097/01.inf.0000168755.01196.49","http://dx.doi.org/10.1097/01.inf.0000168755.01196.49")</f>
        <v>http://dx.doi.org/10.1097/01.inf.0000168755.01196.49</v>
      </c>
      <c r="BG901" s="2"/>
      <c r="BH901" s="2"/>
      <c r="BI901" s="2" t="n">
        <v>3</v>
      </c>
      <c r="BJ901" s="2" t="s">
        <v>134</v>
      </c>
      <c r="BK901" s="2" t="s">
        <v>100</v>
      </c>
      <c r="BL901" s="2" t="s">
        <v>134</v>
      </c>
      <c r="BM901" s="2" t="s">
        <v>16065</v>
      </c>
      <c r="BN901" s="2" t="n">
        <v>15999017</v>
      </c>
      <c r="BO901" s="2" t="s">
        <v>656</v>
      </c>
      <c r="BP901" s="2"/>
      <c r="BQ901" s="2"/>
      <c r="BR901" s="2" t="s">
        <v>104</v>
      </c>
      <c r="BS901" s="2" t="s">
        <v>16066</v>
      </c>
      <c r="BT901" s="2" t="str">
        <f aca="false">HYPERLINK("https%3A%2F%2Fwww.webofscience.com%2Fwos%2Fwoscc%2Ffull-record%2FWOS:000230604200022","View Full Record in Web of Science")</f>
        <v>View Full Record in Web of Science</v>
      </c>
    </row>
    <row r="902" customFormat="false" ht="12.75" hidden="false" customHeight="false" outlineLevel="0" collapsed="false">
      <c r="A902" s="2" t="s">
        <v>72</v>
      </c>
      <c r="B902" s="2" t="s">
        <v>16067</v>
      </c>
      <c r="C902" s="2"/>
      <c r="D902" s="2"/>
      <c r="E902" s="2"/>
      <c r="F902" s="2" t="s">
        <v>16068</v>
      </c>
      <c r="G902" s="2"/>
      <c r="H902" s="2"/>
      <c r="I902" s="2" t="s">
        <v>16069</v>
      </c>
      <c r="J902" s="2" t="s">
        <v>4649</v>
      </c>
      <c r="K902" s="2"/>
      <c r="L902" s="2"/>
      <c r="M902" s="2" t="s">
        <v>77</v>
      </c>
      <c r="N902" s="2" t="s">
        <v>78</v>
      </c>
      <c r="O902" s="2"/>
      <c r="P902" s="2"/>
      <c r="Q902" s="2"/>
      <c r="R902" s="2"/>
      <c r="S902" s="2"/>
      <c r="T902" s="2" t="s">
        <v>16070</v>
      </c>
      <c r="U902" s="2" t="s">
        <v>16071</v>
      </c>
      <c r="V902" s="2" t="s">
        <v>16072</v>
      </c>
      <c r="W902" s="2" t="s">
        <v>16073</v>
      </c>
      <c r="X902" s="2" t="s">
        <v>16074</v>
      </c>
      <c r="Y902" s="2" t="s">
        <v>16075</v>
      </c>
      <c r="Z902" s="2" t="s">
        <v>16076</v>
      </c>
      <c r="AA902" s="2"/>
      <c r="AB902" s="2"/>
      <c r="AC902" s="2"/>
      <c r="AD902" s="2"/>
      <c r="AE902" s="2"/>
      <c r="AF902" s="2"/>
      <c r="AG902" s="2" t="n">
        <v>23</v>
      </c>
      <c r="AH902" s="2" t="n">
        <v>0</v>
      </c>
      <c r="AI902" s="2" t="n">
        <v>0</v>
      </c>
      <c r="AJ902" s="2" t="n">
        <v>0</v>
      </c>
      <c r="AK902" s="2" t="n">
        <v>1</v>
      </c>
      <c r="AL902" s="2" t="s">
        <v>122</v>
      </c>
      <c r="AM902" s="2" t="s">
        <v>123</v>
      </c>
      <c r="AN902" s="2" t="s">
        <v>124</v>
      </c>
      <c r="AO902" s="2" t="s">
        <v>4658</v>
      </c>
      <c r="AP902" s="2" t="s">
        <v>4659</v>
      </c>
      <c r="AQ902" s="2"/>
      <c r="AR902" s="2" t="s">
        <v>4660</v>
      </c>
      <c r="AS902" s="2" t="s">
        <v>4661</v>
      </c>
      <c r="AT902" s="2" t="s">
        <v>129</v>
      </c>
      <c r="AU902" s="2" t="n">
        <v>2016</v>
      </c>
      <c r="AV902" s="2" t="n">
        <v>24</v>
      </c>
      <c r="AW902" s="2" t="n">
        <v>5</v>
      </c>
      <c r="AX902" s="2"/>
      <c r="AY902" s="2"/>
      <c r="AZ902" s="2"/>
      <c r="BA902" s="2"/>
      <c r="BB902" s="2" t="s">
        <v>11769</v>
      </c>
      <c r="BC902" s="2" t="s">
        <v>7352</v>
      </c>
      <c r="BD902" s="2"/>
      <c r="BE902" s="2" t="s">
        <v>16077</v>
      </c>
      <c r="BF902" s="2" t="str">
        <f aca="false">HYPERLINK("http://dx.doi.org/10.1097/IPC.0000000000000386","http://dx.doi.org/10.1097/IPC.0000000000000386")</f>
        <v>http://dx.doi.org/10.1097/IPC.0000000000000386</v>
      </c>
      <c r="BG902" s="2"/>
      <c r="BH902" s="2"/>
      <c r="BI902" s="2" t="n">
        <v>3</v>
      </c>
      <c r="BJ902" s="2" t="s">
        <v>965</v>
      </c>
      <c r="BK902" s="2" t="s">
        <v>339</v>
      </c>
      <c r="BL902" s="2" t="s">
        <v>965</v>
      </c>
      <c r="BM902" s="2" t="s">
        <v>16078</v>
      </c>
      <c r="BN902" s="2"/>
      <c r="BO902" s="2"/>
      <c r="BP902" s="2"/>
      <c r="BQ902" s="2"/>
      <c r="BR902" s="2" t="s">
        <v>104</v>
      </c>
      <c r="BS902" s="2" t="s">
        <v>16079</v>
      </c>
      <c r="BT902" s="2" t="str">
        <f aca="false">HYPERLINK("https%3A%2F%2Fwww.webofscience.com%2Fwos%2Fwoscc%2Ffull-record%2FWOS:000384201500010","View Full Record in Web of Science")</f>
        <v>View Full Record in Web of Science</v>
      </c>
    </row>
    <row r="903" customFormat="false" ht="12.75" hidden="false" customHeight="false" outlineLevel="0" collapsed="false">
      <c r="A903" s="2" t="s">
        <v>72</v>
      </c>
      <c r="B903" s="2" t="s">
        <v>16080</v>
      </c>
      <c r="C903" s="2"/>
      <c r="D903" s="2"/>
      <c r="E903" s="2"/>
      <c r="F903" s="2" t="s">
        <v>16081</v>
      </c>
      <c r="G903" s="2"/>
      <c r="H903" s="2"/>
      <c r="I903" s="2" t="s">
        <v>16082</v>
      </c>
      <c r="J903" s="2" t="s">
        <v>1114</v>
      </c>
      <c r="K903" s="2"/>
      <c r="L903" s="2"/>
      <c r="M903" s="2" t="s">
        <v>77</v>
      </c>
      <c r="N903" s="2" t="s">
        <v>78</v>
      </c>
      <c r="O903" s="2"/>
      <c r="P903" s="2"/>
      <c r="Q903" s="2"/>
      <c r="R903" s="2"/>
      <c r="S903" s="2"/>
      <c r="T903" s="2" t="s">
        <v>16083</v>
      </c>
      <c r="U903" s="2" t="s">
        <v>16084</v>
      </c>
      <c r="V903" s="2" t="s">
        <v>16085</v>
      </c>
      <c r="W903" s="2" t="s">
        <v>16086</v>
      </c>
      <c r="X903" s="2" t="s">
        <v>16087</v>
      </c>
      <c r="Y903" s="2" t="s">
        <v>16088</v>
      </c>
      <c r="Z903" s="2" t="s">
        <v>16089</v>
      </c>
      <c r="AA903" s="2"/>
      <c r="AB903" s="2"/>
      <c r="AC903" s="2"/>
      <c r="AD903" s="2"/>
      <c r="AE903" s="2"/>
      <c r="AF903" s="2"/>
      <c r="AG903" s="2" t="n">
        <v>14</v>
      </c>
      <c r="AH903" s="2" t="n">
        <v>7</v>
      </c>
      <c r="AI903" s="2" t="n">
        <v>7</v>
      </c>
      <c r="AJ903" s="2" t="n">
        <v>0</v>
      </c>
      <c r="AK903" s="2" t="n">
        <v>6</v>
      </c>
      <c r="AL903" s="2" t="s">
        <v>122</v>
      </c>
      <c r="AM903" s="2" t="s">
        <v>123</v>
      </c>
      <c r="AN903" s="2" t="s">
        <v>839</v>
      </c>
      <c r="AO903" s="2" t="s">
        <v>1124</v>
      </c>
      <c r="AP903" s="2"/>
      <c r="AQ903" s="2"/>
      <c r="AR903" s="2" t="s">
        <v>1125</v>
      </c>
      <c r="AS903" s="2" t="s">
        <v>1126</v>
      </c>
      <c r="AT903" s="2" t="s">
        <v>185</v>
      </c>
      <c r="AU903" s="2" t="n">
        <v>2013</v>
      </c>
      <c r="AV903" s="2" t="n">
        <v>35</v>
      </c>
      <c r="AW903" s="2" t="n">
        <v>6</v>
      </c>
      <c r="AX903" s="2"/>
      <c r="AY903" s="2"/>
      <c r="AZ903" s="2"/>
      <c r="BA903" s="2"/>
      <c r="BB903" s="2" t="n">
        <v>444</v>
      </c>
      <c r="BC903" s="2" t="n">
        <v>446</v>
      </c>
      <c r="BD903" s="2"/>
      <c r="BE903" s="2" t="s">
        <v>16090</v>
      </c>
      <c r="BF903" s="2" t="str">
        <f aca="false">HYPERLINK("http://dx.doi.org/10.1097/MPH.0b013e31828ac89c","http://dx.doi.org/10.1097/MPH.0b013e31828ac89c")</f>
        <v>http://dx.doi.org/10.1097/MPH.0b013e31828ac89c</v>
      </c>
      <c r="BG903" s="2"/>
      <c r="BH903" s="2"/>
      <c r="BI903" s="2" t="n">
        <v>3</v>
      </c>
      <c r="BJ903" s="2" t="s">
        <v>1128</v>
      </c>
      <c r="BK903" s="2" t="s">
        <v>100</v>
      </c>
      <c r="BL903" s="2" t="s">
        <v>1128</v>
      </c>
      <c r="BM903" s="2" t="s">
        <v>16091</v>
      </c>
      <c r="BN903" s="2" t="n">
        <v>23588336</v>
      </c>
      <c r="BO903" s="2"/>
      <c r="BP903" s="2"/>
      <c r="BQ903" s="2"/>
      <c r="BR903" s="2" t="s">
        <v>104</v>
      </c>
      <c r="BS903" s="2" t="s">
        <v>16092</v>
      </c>
      <c r="BT903" s="2" t="str">
        <f aca="false">HYPERLINK("https%3A%2F%2Fwww.webofscience.com%2Fwos%2Fwoscc%2Ffull-record%2FWOS:000323232400015","View Full Record in Web of Science")</f>
        <v>View Full Record in Web of Science</v>
      </c>
    </row>
    <row r="904" customFormat="false" ht="12.75" hidden="false" customHeight="false" outlineLevel="0" collapsed="false">
      <c r="A904" s="2" t="s">
        <v>72</v>
      </c>
      <c r="B904" s="2" t="s">
        <v>16093</v>
      </c>
      <c r="C904" s="2"/>
      <c r="D904" s="2"/>
      <c r="E904" s="2"/>
      <c r="F904" s="2" t="s">
        <v>16094</v>
      </c>
      <c r="G904" s="2"/>
      <c r="H904" s="2"/>
      <c r="I904" s="2" t="s">
        <v>16095</v>
      </c>
      <c r="J904" s="2" t="s">
        <v>10837</v>
      </c>
      <c r="K904" s="2"/>
      <c r="L904" s="2"/>
      <c r="M904" s="2" t="s">
        <v>77</v>
      </c>
      <c r="N904" s="2" t="s">
        <v>78</v>
      </c>
      <c r="O904" s="2"/>
      <c r="P904" s="2"/>
      <c r="Q904" s="2"/>
      <c r="R904" s="2"/>
      <c r="S904" s="2"/>
      <c r="T904" s="2" t="s">
        <v>16096</v>
      </c>
      <c r="U904" s="2" t="s">
        <v>16097</v>
      </c>
      <c r="V904" s="2" t="s">
        <v>16098</v>
      </c>
      <c r="W904" s="2" t="s">
        <v>16099</v>
      </c>
      <c r="X904" s="2" t="s">
        <v>16100</v>
      </c>
      <c r="Y904" s="2" t="s">
        <v>16101</v>
      </c>
      <c r="Z904" s="2" t="s">
        <v>16102</v>
      </c>
      <c r="AA904" s="2" t="s">
        <v>16103</v>
      </c>
      <c r="AB904" s="2" t="s">
        <v>16104</v>
      </c>
      <c r="AC904" s="2" t="s">
        <v>16105</v>
      </c>
      <c r="AD904" s="2" t="s">
        <v>16106</v>
      </c>
      <c r="AE904" s="2" t="s">
        <v>16107</v>
      </c>
      <c r="AF904" s="2"/>
      <c r="AG904" s="2" t="n">
        <v>44</v>
      </c>
      <c r="AH904" s="2" t="n">
        <v>28</v>
      </c>
      <c r="AI904" s="2" t="n">
        <v>28</v>
      </c>
      <c r="AJ904" s="2" t="n">
        <v>0</v>
      </c>
      <c r="AK904" s="2" t="n">
        <v>2</v>
      </c>
      <c r="AL904" s="2" t="s">
        <v>527</v>
      </c>
      <c r="AM904" s="2" t="s">
        <v>528</v>
      </c>
      <c r="AN904" s="2" t="s">
        <v>529</v>
      </c>
      <c r="AO904" s="2" t="s">
        <v>10846</v>
      </c>
      <c r="AP904" s="2"/>
      <c r="AQ904" s="2"/>
      <c r="AR904" s="2" t="s">
        <v>10847</v>
      </c>
      <c r="AS904" s="2" t="s">
        <v>10848</v>
      </c>
      <c r="AT904" s="2" t="s">
        <v>390</v>
      </c>
      <c r="AU904" s="2" t="n">
        <v>2018</v>
      </c>
      <c r="AV904" s="2" t="n">
        <v>5</v>
      </c>
      <c r="AW904" s="2" t="n">
        <v>5</v>
      </c>
      <c r="AX904" s="2"/>
      <c r="AY904" s="2"/>
      <c r="AZ904" s="2"/>
      <c r="BA904" s="2"/>
      <c r="BB904" s="2"/>
      <c r="BC904" s="2"/>
      <c r="BD904" s="2" t="s">
        <v>16108</v>
      </c>
      <c r="BE904" s="2" t="s">
        <v>16109</v>
      </c>
      <c r="BF904" s="2" t="str">
        <f aca="false">HYPERLINK("http://dx.doi.org/10.1093/ofid/ofy077","http://dx.doi.org/10.1093/ofid/ofy077")</f>
        <v>http://dx.doi.org/10.1093/ofid/ofy077</v>
      </c>
      <c r="BG904" s="2"/>
      <c r="BH904" s="2"/>
      <c r="BI904" s="2" t="n">
        <v>9</v>
      </c>
      <c r="BJ904" s="2" t="s">
        <v>536</v>
      </c>
      <c r="BK904" s="2" t="s">
        <v>100</v>
      </c>
      <c r="BL904" s="2" t="s">
        <v>536</v>
      </c>
      <c r="BM904" s="2" t="s">
        <v>16110</v>
      </c>
      <c r="BN904" s="2" t="n">
        <v>29780847</v>
      </c>
      <c r="BO904" s="2" t="s">
        <v>341</v>
      </c>
      <c r="BP904" s="2"/>
      <c r="BQ904" s="2"/>
      <c r="BR904" s="2" t="s">
        <v>104</v>
      </c>
      <c r="BS904" s="2" t="s">
        <v>16111</v>
      </c>
      <c r="BT904" s="2" t="str">
        <f aca="false">HYPERLINK("https%3A%2F%2Fwww.webofscience.com%2Fwos%2Fwoscc%2Ffull-record%2FWOS:000434077600006","View Full Record in Web of Science")</f>
        <v>View Full Record in Web of Science</v>
      </c>
    </row>
    <row r="905" customFormat="false" ht="12.75" hidden="false" customHeight="false" outlineLevel="0" collapsed="false">
      <c r="A905" s="2" t="s">
        <v>72</v>
      </c>
      <c r="B905" s="2" t="s">
        <v>16112</v>
      </c>
      <c r="C905" s="2"/>
      <c r="D905" s="2"/>
      <c r="E905" s="2"/>
      <c r="F905" s="2" t="s">
        <v>16113</v>
      </c>
      <c r="G905" s="2"/>
      <c r="H905" s="2"/>
      <c r="I905" s="2" t="s">
        <v>16114</v>
      </c>
      <c r="J905" s="2" t="s">
        <v>141</v>
      </c>
      <c r="K905" s="2"/>
      <c r="L905" s="2"/>
      <c r="M905" s="2" t="s">
        <v>77</v>
      </c>
      <c r="N905" s="2" t="s">
        <v>78</v>
      </c>
      <c r="O905" s="2"/>
      <c r="P905" s="2"/>
      <c r="Q905" s="2"/>
      <c r="R905" s="2"/>
      <c r="S905" s="2"/>
      <c r="T905" s="2" t="s">
        <v>16115</v>
      </c>
      <c r="U905" s="2" t="s">
        <v>16116</v>
      </c>
      <c r="V905" s="2" t="s">
        <v>16117</v>
      </c>
      <c r="W905" s="2" t="s">
        <v>16118</v>
      </c>
      <c r="X905" s="2" t="s">
        <v>16119</v>
      </c>
      <c r="Y905" s="2" t="s">
        <v>16120</v>
      </c>
      <c r="Z905" s="2" t="s">
        <v>16121</v>
      </c>
      <c r="AA905" s="2"/>
      <c r="AB905" s="2"/>
      <c r="AC905" s="2"/>
      <c r="AD905" s="2"/>
      <c r="AE905" s="2"/>
      <c r="AF905" s="2"/>
      <c r="AG905" s="2" t="n">
        <v>32</v>
      </c>
      <c r="AH905" s="2" t="n">
        <v>34</v>
      </c>
      <c r="AI905" s="2" t="n">
        <v>37</v>
      </c>
      <c r="AJ905" s="2" t="n">
        <v>1</v>
      </c>
      <c r="AK905" s="2" t="n">
        <v>4</v>
      </c>
      <c r="AL905" s="2" t="s">
        <v>154</v>
      </c>
      <c r="AM905" s="2" t="s">
        <v>155</v>
      </c>
      <c r="AN905" s="2" t="s">
        <v>156</v>
      </c>
      <c r="AO905" s="2" t="s">
        <v>157</v>
      </c>
      <c r="AP905" s="2" t="s">
        <v>158</v>
      </c>
      <c r="AQ905" s="2"/>
      <c r="AR905" s="2" t="s">
        <v>159</v>
      </c>
      <c r="AS905" s="2" t="s">
        <v>160</v>
      </c>
      <c r="AT905" s="2" t="s">
        <v>129</v>
      </c>
      <c r="AU905" s="2" t="n">
        <v>2008</v>
      </c>
      <c r="AV905" s="2" t="n">
        <v>80</v>
      </c>
      <c r="AW905" s="2" t="n">
        <v>9</v>
      </c>
      <c r="AX905" s="2"/>
      <c r="AY905" s="2"/>
      <c r="AZ905" s="2"/>
      <c r="BA905" s="2"/>
      <c r="BB905" s="2" t="n">
        <v>1631</v>
      </c>
      <c r="BC905" s="2" t="n">
        <v>1638</v>
      </c>
      <c r="BD905" s="2"/>
      <c r="BE905" s="2" t="s">
        <v>16122</v>
      </c>
      <c r="BF905" s="2" t="str">
        <f aca="false">HYPERLINK("http://dx.doi.org/10.1002/jmv.21242","http://dx.doi.org/10.1002/jmv.21242")</f>
        <v>http://dx.doi.org/10.1002/jmv.21242</v>
      </c>
      <c r="BG905" s="2"/>
      <c r="BH905" s="2"/>
      <c r="BI905" s="2" t="n">
        <v>8</v>
      </c>
      <c r="BJ905" s="2" t="s">
        <v>163</v>
      </c>
      <c r="BK905" s="2" t="s">
        <v>100</v>
      </c>
      <c r="BL905" s="2" t="s">
        <v>163</v>
      </c>
      <c r="BM905" s="2" t="s">
        <v>16123</v>
      </c>
      <c r="BN905" s="2" t="n">
        <v>18649344</v>
      </c>
      <c r="BO905" s="2"/>
      <c r="BP905" s="2"/>
      <c r="BQ905" s="2"/>
      <c r="BR905" s="2" t="s">
        <v>104</v>
      </c>
      <c r="BS905" s="2" t="s">
        <v>16124</v>
      </c>
      <c r="BT905" s="2" t="str">
        <f aca="false">HYPERLINK("https%3A%2F%2Fwww.webofscience.com%2Fwos%2Fwoscc%2Ffull-record%2FWOS:000258011500017","View Full Record in Web of Science")</f>
        <v>View Full Record in Web of Science</v>
      </c>
    </row>
    <row r="906" customFormat="false" ht="12.75" hidden="false" customHeight="false" outlineLevel="0" collapsed="false">
      <c r="A906" s="2" t="s">
        <v>72</v>
      </c>
      <c r="B906" s="2" t="s">
        <v>16125</v>
      </c>
      <c r="C906" s="2"/>
      <c r="D906" s="2"/>
      <c r="E906" s="2"/>
      <c r="F906" s="2" t="s">
        <v>16126</v>
      </c>
      <c r="G906" s="2"/>
      <c r="H906" s="2"/>
      <c r="I906" s="2" t="s">
        <v>16127</v>
      </c>
      <c r="J906" s="2" t="s">
        <v>1448</v>
      </c>
      <c r="K906" s="2"/>
      <c r="L906" s="2"/>
      <c r="M906" s="2" t="s">
        <v>77</v>
      </c>
      <c r="N906" s="2" t="s">
        <v>78</v>
      </c>
      <c r="O906" s="2"/>
      <c r="P906" s="2"/>
      <c r="Q906" s="2"/>
      <c r="R906" s="2"/>
      <c r="S906" s="2"/>
      <c r="T906" s="2" t="s">
        <v>16128</v>
      </c>
      <c r="U906" s="2" t="s">
        <v>16129</v>
      </c>
      <c r="V906" s="2" t="s">
        <v>16130</v>
      </c>
      <c r="W906" s="2" t="s">
        <v>16131</v>
      </c>
      <c r="X906" s="2" t="s">
        <v>16132</v>
      </c>
      <c r="Y906" s="2" t="s">
        <v>16133</v>
      </c>
      <c r="Z906" s="2" t="s">
        <v>3483</v>
      </c>
      <c r="AA906" s="2" t="s">
        <v>16134</v>
      </c>
      <c r="AB906" s="2" t="s">
        <v>16135</v>
      </c>
      <c r="AC906" s="2" t="s">
        <v>16136</v>
      </c>
      <c r="AD906" s="2" t="s">
        <v>16137</v>
      </c>
      <c r="AE906" s="2" t="s">
        <v>16138</v>
      </c>
      <c r="AF906" s="2"/>
      <c r="AG906" s="2" t="n">
        <v>27</v>
      </c>
      <c r="AH906" s="2" t="n">
        <v>2</v>
      </c>
      <c r="AI906" s="2" t="n">
        <v>2</v>
      </c>
      <c r="AJ906" s="2" t="n">
        <v>1</v>
      </c>
      <c r="AK906" s="2" t="n">
        <v>5</v>
      </c>
      <c r="AL906" s="2" t="s">
        <v>1460</v>
      </c>
      <c r="AM906" s="2" t="s">
        <v>593</v>
      </c>
      <c r="AN906" s="2" t="s">
        <v>1461</v>
      </c>
      <c r="AO906" s="2" t="s">
        <v>1462</v>
      </c>
      <c r="AP906" s="2"/>
      <c r="AQ906" s="2"/>
      <c r="AR906" s="2" t="s">
        <v>1464</v>
      </c>
      <c r="AS906" s="2" t="s">
        <v>1465</v>
      </c>
      <c r="AT906" s="2" t="s">
        <v>692</v>
      </c>
      <c r="AU906" s="2" t="n">
        <v>2012</v>
      </c>
      <c r="AV906" s="2" t="n">
        <v>72</v>
      </c>
      <c r="AW906" s="2" t="n">
        <v>4</v>
      </c>
      <c r="AX906" s="2"/>
      <c r="AY906" s="2"/>
      <c r="AZ906" s="2"/>
      <c r="BA906" s="2"/>
      <c r="BB906" s="2" t="n">
        <v>358</v>
      </c>
      <c r="BC906" s="2" t="n">
        <v>362</v>
      </c>
      <c r="BD906" s="2"/>
      <c r="BE906" s="2" t="s">
        <v>16139</v>
      </c>
      <c r="BF906" s="2" t="str">
        <f aca="false">HYPERLINK("http://dx.doi.org/10.1016/j.diagmicrobio.2012.01.001","http://dx.doi.org/10.1016/j.diagmicrobio.2012.01.001")</f>
        <v>http://dx.doi.org/10.1016/j.diagmicrobio.2012.01.001</v>
      </c>
      <c r="BG906" s="2"/>
      <c r="BH906" s="2"/>
      <c r="BI906" s="2" t="n">
        <v>5</v>
      </c>
      <c r="BJ906" s="2" t="s">
        <v>1467</v>
      </c>
      <c r="BK906" s="2" t="s">
        <v>100</v>
      </c>
      <c r="BL906" s="2" t="s">
        <v>1467</v>
      </c>
      <c r="BM906" s="2" t="s">
        <v>16140</v>
      </c>
      <c r="BN906" s="2" t="n">
        <v>22300956</v>
      </c>
      <c r="BO906" s="2" t="s">
        <v>165</v>
      </c>
      <c r="BP906" s="2"/>
      <c r="BQ906" s="2"/>
      <c r="BR906" s="2" t="s">
        <v>104</v>
      </c>
      <c r="BS906" s="2" t="s">
        <v>16141</v>
      </c>
      <c r="BT906" s="2" t="str">
        <f aca="false">HYPERLINK("https%3A%2F%2Fwww.webofscience.com%2Fwos%2Fwoscc%2Ffull-record%2FWOS:000301913700008","View Full Record in Web of Science")</f>
        <v>View Full Record in Web of Science</v>
      </c>
    </row>
    <row r="907" customFormat="false" ht="12.75" hidden="false" customHeight="false" outlineLevel="0" collapsed="false">
      <c r="A907" s="2" t="s">
        <v>72</v>
      </c>
      <c r="B907" s="2" t="s">
        <v>16142</v>
      </c>
      <c r="C907" s="2"/>
      <c r="D907" s="2"/>
      <c r="E907" s="2"/>
      <c r="F907" s="2" t="s">
        <v>16143</v>
      </c>
      <c r="G907" s="2"/>
      <c r="H907" s="2"/>
      <c r="I907" s="2" t="s">
        <v>16144</v>
      </c>
      <c r="J907" s="2" t="s">
        <v>370</v>
      </c>
      <c r="K907" s="2"/>
      <c r="L907" s="2"/>
      <c r="M907" s="2" t="s">
        <v>77</v>
      </c>
      <c r="N907" s="2" t="s">
        <v>78</v>
      </c>
      <c r="O907" s="2"/>
      <c r="P907" s="2"/>
      <c r="Q907" s="2"/>
      <c r="R907" s="2"/>
      <c r="S907" s="2"/>
      <c r="T907" s="2" t="s">
        <v>16145</v>
      </c>
      <c r="U907" s="2" t="s">
        <v>16146</v>
      </c>
      <c r="V907" s="2" t="s">
        <v>16147</v>
      </c>
      <c r="W907" s="2" t="s">
        <v>16148</v>
      </c>
      <c r="X907" s="2"/>
      <c r="Y907" s="2" t="s">
        <v>16149</v>
      </c>
      <c r="Z907" s="2" t="s">
        <v>16150</v>
      </c>
      <c r="AA907" s="2" t="s">
        <v>16151</v>
      </c>
      <c r="AB907" s="2"/>
      <c r="AC907" s="2"/>
      <c r="AD907" s="2"/>
      <c r="AE907" s="2"/>
      <c r="AF907" s="2"/>
      <c r="AG907" s="2" t="n">
        <v>20</v>
      </c>
      <c r="AH907" s="2" t="n">
        <v>57</v>
      </c>
      <c r="AI907" s="2" t="n">
        <v>61</v>
      </c>
      <c r="AJ907" s="2" t="n">
        <v>2</v>
      </c>
      <c r="AK907" s="2" t="n">
        <v>8</v>
      </c>
      <c r="AL907" s="2" t="s">
        <v>549</v>
      </c>
      <c r="AM907" s="2" t="s">
        <v>384</v>
      </c>
      <c r="AN907" s="2" t="s">
        <v>550</v>
      </c>
      <c r="AO907" s="2" t="s">
        <v>386</v>
      </c>
      <c r="AP907" s="2"/>
      <c r="AQ907" s="2"/>
      <c r="AR907" s="2" t="s">
        <v>388</v>
      </c>
      <c r="AS907" s="2" t="s">
        <v>389</v>
      </c>
      <c r="AT907" s="2" t="s">
        <v>692</v>
      </c>
      <c r="AU907" s="2" t="n">
        <v>2006</v>
      </c>
      <c r="AV907" s="2" t="n">
        <v>35</v>
      </c>
      <c r="AW907" s="2" t="n">
        <v>4</v>
      </c>
      <c r="AX907" s="2"/>
      <c r="AY907" s="2"/>
      <c r="AZ907" s="2"/>
      <c r="BA907" s="2"/>
      <c r="BB907" s="2" t="n">
        <v>394</v>
      </c>
      <c r="BC907" s="2" t="n">
        <v>399</v>
      </c>
      <c r="BD907" s="2"/>
      <c r="BE907" s="2" t="s">
        <v>16152</v>
      </c>
      <c r="BF907" s="2" t="str">
        <f aca="false">HYPERLINK("http://dx.doi.org/10.1016/j.jcv.2005.12.009","http://dx.doi.org/10.1016/j.jcv.2005.12.009")</f>
        <v>http://dx.doi.org/10.1016/j.jcv.2005.12.009</v>
      </c>
      <c r="BG907" s="2"/>
      <c r="BH907" s="2"/>
      <c r="BI907" s="2" t="n">
        <v>6</v>
      </c>
      <c r="BJ907" s="2" t="s">
        <v>163</v>
      </c>
      <c r="BK907" s="2" t="s">
        <v>100</v>
      </c>
      <c r="BL907" s="2" t="s">
        <v>163</v>
      </c>
      <c r="BM907" s="2" t="s">
        <v>7662</v>
      </c>
      <c r="BN907" s="2" t="n">
        <v>16460998</v>
      </c>
      <c r="BO907" s="2"/>
      <c r="BP907" s="2"/>
      <c r="BQ907" s="2"/>
      <c r="BR907" s="2" t="s">
        <v>104</v>
      </c>
      <c r="BS907" s="2" t="s">
        <v>16153</v>
      </c>
      <c r="BT907" s="2" t="str">
        <f aca="false">HYPERLINK("https%3A%2F%2Fwww.webofscience.com%2Fwos%2Fwoscc%2Ffull-record%2FWOS:000239545300006","View Full Record in Web of Science")</f>
        <v>View Full Record in Web of Science</v>
      </c>
    </row>
    <row r="908" customFormat="false" ht="12.75" hidden="false" customHeight="false" outlineLevel="0" collapsed="false">
      <c r="A908" s="2" t="s">
        <v>72</v>
      </c>
      <c r="B908" s="2" t="s">
        <v>16154</v>
      </c>
      <c r="C908" s="2"/>
      <c r="D908" s="2"/>
      <c r="E908" s="2"/>
      <c r="F908" s="2" t="s">
        <v>16155</v>
      </c>
      <c r="G908" s="2"/>
      <c r="H908" s="2"/>
      <c r="I908" s="2" t="s">
        <v>16156</v>
      </c>
      <c r="J908" s="2" t="s">
        <v>581</v>
      </c>
      <c r="K908" s="2"/>
      <c r="L908" s="2"/>
      <c r="M908" s="2" t="s">
        <v>77</v>
      </c>
      <c r="N908" s="2" t="s">
        <v>78</v>
      </c>
      <c r="O908" s="2"/>
      <c r="P908" s="2"/>
      <c r="Q908" s="2"/>
      <c r="R908" s="2"/>
      <c r="S908" s="2"/>
      <c r="T908" s="2" t="s">
        <v>16157</v>
      </c>
      <c r="U908" s="2" t="s">
        <v>16158</v>
      </c>
      <c r="V908" s="2" t="s">
        <v>16159</v>
      </c>
      <c r="W908" s="2" t="s">
        <v>16160</v>
      </c>
      <c r="X908" s="2"/>
      <c r="Y908" s="2" t="s">
        <v>16161</v>
      </c>
      <c r="Z908" s="2" t="s">
        <v>16162</v>
      </c>
      <c r="AA908" s="2"/>
      <c r="AB908" s="2"/>
      <c r="AC908" s="2"/>
      <c r="AD908" s="2"/>
      <c r="AE908" s="2"/>
      <c r="AF908" s="2"/>
      <c r="AG908" s="2" t="n">
        <v>44</v>
      </c>
      <c r="AH908" s="2" t="n">
        <v>14</v>
      </c>
      <c r="AI908" s="2" t="n">
        <v>16</v>
      </c>
      <c r="AJ908" s="2" t="n">
        <v>0</v>
      </c>
      <c r="AK908" s="2" t="n">
        <v>0</v>
      </c>
      <c r="AL908" s="2" t="s">
        <v>592</v>
      </c>
      <c r="AM908" s="2" t="s">
        <v>593</v>
      </c>
      <c r="AN908" s="2" t="s">
        <v>16163</v>
      </c>
      <c r="AO908" s="2" t="s">
        <v>595</v>
      </c>
      <c r="AP908" s="2"/>
      <c r="AQ908" s="2"/>
      <c r="AR908" s="2" t="s">
        <v>597</v>
      </c>
      <c r="AS908" s="2" t="s">
        <v>598</v>
      </c>
      <c r="AT908" s="2" t="s">
        <v>161</v>
      </c>
      <c r="AU908" s="2" t="n">
        <v>2008</v>
      </c>
      <c r="AV908" s="2" t="n">
        <v>167</v>
      </c>
      <c r="AW908" s="2" t="n">
        <v>1</v>
      </c>
      <c r="AX908" s="2"/>
      <c r="AY908" s="2"/>
      <c r="AZ908" s="2"/>
      <c r="BA908" s="2"/>
      <c r="BB908" s="2" t="n">
        <v>63</v>
      </c>
      <c r="BC908" s="2" t="n">
        <v>69</v>
      </c>
      <c r="BD908" s="2"/>
      <c r="BE908" s="2" t="s">
        <v>16164</v>
      </c>
      <c r="BF908" s="2" t="str">
        <f aca="false">HYPERLINK("http://dx.doi.org/10.1007/s00431-007-0427-x","http://dx.doi.org/10.1007/s00431-007-0427-x")</f>
        <v>http://dx.doi.org/10.1007/s00431-007-0427-x</v>
      </c>
      <c r="BG908" s="2"/>
      <c r="BH908" s="2"/>
      <c r="BI908" s="2" t="n">
        <v>7</v>
      </c>
      <c r="BJ908" s="2" t="s">
        <v>601</v>
      </c>
      <c r="BK908" s="2" t="s">
        <v>100</v>
      </c>
      <c r="BL908" s="2" t="s">
        <v>601</v>
      </c>
      <c r="BM908" s="2" t="s">
        <v>16165</v>
      </c>
      <c r="BN908" s="2" t="n">
        <v>17297613</v>
      </c>
      <c r="BO908" s="2"/>
      <c r="BP908" s="2"/>
      <c r="BQ908" s="2"/>
      <c r="BR908" s="2" t="s">
        <v>104</v>
      </c>
      <c r="BS908" s="2" t="s">
        <v>16166</v>
      </c>
      <c r="BT908" s="2" t="str">
        <f aca="false">HYPERLINK("https%3A%2F%2Fwww.webofscience.com%2Fwos%2Fwoscc%2Ffull-record%2FWOS:000251171600009","View Full Record in Web of Science")</f>
        <v>View Full Record in Web of Science</v>
      </c>
    </row>
    <row r="909" customFormat="false" ht="12.75" hidden="false" customHeight="false" outlineLevel="0" collapsed="false">
      <c r="A909" s="2" t="s">
        <v>72</v>
      </c>
      <c r="B909" s="2" t="s">
        <v>16125</v>
      </c>
      <c r="C909" s="2"/>
      <c r="D909" s="2"/>
      <c r="E909" s="2"/>
      <c r="F909" s="2" t="s">
        <v>16126</v>
      </c>
      <c r="G909" s="2"/>
      <c r="H909" s="2"/>
      <c r="I909" s="2" t="s">
        <v>16167</v>
      </c>
      <c r="J909" s="2" t="s">
        <v>141</v>
      </c>
      <c r="K909" s="2"/>
      <c r="L909" s="2"/>
      <c r="M909" s="2" t="s">
        <v>77</v>
      </c>
      <c r="N909" s="2" t="s">
        <v>78</v>
      </c>
      <c r="O909" s="2"/>
      <c r="P909" s="2"/>
      <c r="Q909" s="2"/>
      <c r="R909" s="2"/>
      <c r="S909" s="2"/>
      <c r="T909" s="2" t="s">
        <v>16168</v>
      </c>
      <c r="U909" s="2" t="s">
        <v>16169</v>
      </c>
      <c r="V909" s="2" t="s">
        <v>16170</v>
      </c>
      <c r="W909" s="2" t="s">
        <v>16171</v>
      </c>
      <c r="X909" s="2" t="s">
        <v>16132</v>
      </c>
      <c r="Y909" s="2" t="s">
        <v>16172</v>
      </c>
      <c r="Z909" s="2" t="s">
        <v>3483</v>
      </c>
      <c r="AA909" s="2" t="s">
        <v>16134</v>
      </c>
      <c r="AB909" s="2" t="s">
        <v>16135</v>
      </c>
      <c r="AC909" s="2" t="s">
        <v>16173</v>
      </c>
      <c r="AD909" s="2" t="s">
        <v>16174</v>
      </c>
      <c r="AE909" s="2" t="s">
        <v>16175</v>
      </c>
      <c r="AF909" s="2"/>
      <c r="AG909" s="2" t="n">
        <v>53</v>
      </c>
      <c r="AH909" s="2" t="n">
        <v>10</v>
      </c>
      <c r="AI909" s="2" t="n">
        <v>12</v>
      </c>
      <c r="AJ909" s="2" t="n">
        <v>0</v>
      </c>
      <c r="AK909" s="2" t="n">
        <v>3</v>
      </c>
      <c r="AL909" s="2" t="s">
        <v>154</v>
      </c>
      <c r="AM909" s="2" t="s">
        <v>155</v>
      </c>
      <c r="AN909" s="2" t="s">
        <v>156</v>
      </c>
      <c r="AO909" s="2" t="s">
        <v>157</v>
      </c>
      <c r="AP909" s="2" t="s">
        <v>158</v>
      </c>
      <c r="AQ909" s="2"/>
      <c r="AR909" s="2" t="s">
        <v>159</v>
      </c>
      <c r="AS909" s="2" t="s">
        <v>160</v>
      </c>
      <c r="AT909" s="2" t="s">
        <v>336</v>
      </c>
      <c r="AU909" s="2" t="n">
        <v>2011</v>
      </c>
      <c r="AV909" s="2" t="n">
        <v>83</v>
      </c>
      <c r="AW909" s="2" t="n">
        <v>10</v>
      </c>
      <c r="AX909" s="2"/>
      <c r="AY909" s="2"/>
      <c r="AZ909" s="2"/>
      <c r="BA909" s="2"/>
      <c r="BB909" s="2" t="n">
        <v>1811</v>
      </c>
      <c r="BC909" s="2" t="n">
        <v>1817</v>
      </c>
      <c r="BD909" s="2"/>
      <c r="BE909" s="2" t="s">
        <v>16176</v>
      </c>
      <c r="BF909" s="2" t="str">
        <f aca="false">HYPERLINK("http://dx.doi.org/10.1002/jmv.22193","http://dx.doi.org/10.1002/jmv.22193")</f>
        <v>http://dx.doi.org/10.1002/jmv.22193</v>
      </c>
      <c r="BG909" s="2"/>
      <c r="BH909" s="2"/>
      <c r="BI909" s="2" t="n">
        <v>7</v>
      </c>
      <c r="BJ909" s="2" t="s">
        <v>163</v>
      </c>
      <c r="BK909" s="2" t="s">
        <v>100</v>
      </c>
      <c r="BL909" s="2" t="s">
        <v>163</v>
      </c>
      <c r="BM909" s="2" t="s">
        <v>15990</v>
      </c>
      <c r="BN909" s="2" t="n">
        <v>21837799</v>
      </c>
      <c r="BO909" s="2" t="s">
        <v>165</v>
      </c>
      <c r="BP909" s="2"/>
      <c r="BQ909" s="2"/>
      <c r="BR909" s="2" t="s">
        <v>104</v>
      </c>
      <c r="BS909" s="2" t="s">
        <v>16177</v>
      </c>
      <c r="BT909" s="2" t="str">
        <f aca="false">HYPERLINK("https%3A%2F%2Fwww.webofscience.com%2Fwos%2Fwoscc%2Ffull-record%2FWOS:000293985900019","View Full Record in Web of Science")</f>
        <v>View Full Record in Web of Science</v>
      </c>
    </row>
    <row r="910" customFormat="false" ht="12.75" hidden="false" customHeight="false" outlineLevel="0" collapsed="false">
      <c r="A910" s="2" t="s">
        <v>72</v>
      </c>
      <c r="B910" s="2" t="s">
        <v>16178</v>
      </c>
      <c r="C910" s="2"/>
      <c r="D910" s="2"/>
      <c r="E910" s="2"/>
      <c r="F910" s="2" t="s">
        <v>16179</v>
      </c>
      <c r="G910" s="2"/>
      <c r="H910" s="2"/>
      <c r="I910" s="2" t="s">
        <v>16180</v>
      </c>
      <c r="J910" s="2" t="s">
        <v>9579</v>
      </c>
      <c r="K910" s="2"/>
      <c r="L910" s="2"/>
      <c r="M910" s="2" t="s">
        <v>77</v>
      </c>
      <c r="N910" s="2" t="s">
        <v>78</v>
      </c>
      <c r="O910" s="2"/>
      <c r="P910" s="2"/>
      <c r="Q910" s="2"/>
      <c r="R910" s="2"/>
      <c r="S910" s="2"/>
      <c r="T910" s="2" t="s">
        <v>16181</v>
      </c>
      <c r="U910" s="2"/>
      <c r="V910" s="2" t="s">
        <v>16182</v>
      </c>
      <c r="W910" s="2" t="s">
        <v>16183</v>
      </c>
      <c r="X910" s="2" t="s">
        <v>16184</v>
      </c>
      <c r="Y910" s="2" t="s">
        <v>16185</v>
      </c>
      <c r="Z910" s="2" t="s">
        <v>16186</v>
      </c>
      <c r="AA910" s="2" t="s">
        <v>16187</v>
      </c>
      <c r="AB910" s="2" t="s">
        <v>16188</v>
      </c>
      <c r="AC910" s="2"/>
      <c r="AD910" s="2"/>
      <c r="AE910" s="2"/>
      <c r="AF910" s="2"/>
      <c r="AG910" s="2" t="n">
        <v>18</v>
      </c>
      <c r="AH910" s="2" t="n">
        <v>1</v>
      </c>
      <c r="AI910" s="2" t="n">
        <v>1</v>
      </c>
      <c r="AJ910" s="2" t="n">
        <v>0</v>
      </c>
      <c r="AK910" s="2" t="n">
        <v>1</v>
      </c>
      <c r="AL910" s="2" t="s">
        <v>9589</v>
      </c>
      <c r="AM910" s="2" t="s">
        <v>330</v>
      </c>
      <c r="AN910" s="2" t="s">
        <v>9590</v>
      </c>
      <c r="AO910" s="2" t="s">
        <v>9591</v>
      </c>
      <c r="AP910" s="2" t="s">
        <v>9592</v>
      </c>
      <c r="AQ910" s="2"/>
      <c r="AR910" s="2" t="s">
        <v>9593</v>
      </c>
      <c r="AS910" s="2" t="s">
        <v>9594</v>
      </c>
      <c r="AT910" s="2" t="s">
        <v>692</v>
      </c>
      <c r="AU910" s="2" t="n">
        <v>2011</v>
      </c>
      <c r="AV910" s="2" t="n">
        <v>43</v>
      </c>
      <c r="AW910" s="2" t="n">
        <v>2</v>
      </c>
      <c r="AX910" s="2"/>
      <c r="AY910" s="2"/>
      <c r="AZ910" s="2"/>
      <c r="BA910" s="2"/>
      <c r="BB910" s="2" t="n">
        <v>217</v>
      </c>
      <c r="BC910" s="2" t="n">
        <v>221</v>
      </c>
      <c r="BD910" s="2"/>
      <c r="BE910" s="2" t="s">
        <v>16189</v>
      </c>
      <c r="BF910" s="2" t="str">
        <f aca="false">HYPERLINK("http://dx.doi.org/10.3947/ic.2011.43.2.217","http://dx.doi.org/10.3947/ic.2011.43.2.217")</f>
        <v>http://dx.doi.org/10.3947/ic.2011.43.2.217</v>
      </c>
      <c r="BG910" s="2"/>
      <c r="BH910" s="2"/>
      <c r="BI910" s="2" t="n">
        <v>5</v>
      </c>
      <c r="BJ910" s="2" t="s">
        <v>575</v>
      </c>
      <c r="BK910" s="2" t="s">
        <v>339</v>
      </c>
      <c r="BL910" s="2" t="s">
        <v>575</v>
      </c>
      <c r="BM910" s="2" t="s">
        <v>16190</v>
      </c>
      <c r="BN910" s="2"/>
      <c r="BO910" s="2" t="s">
        <v>1355</v>
      </c>
      <c r="BP910" s="2"/>
      <c r="BQ910" s="2"/>
      <c r="BR910" s="2" t="s">
        <v>104</v>
      </c>
      <c r="BS910" s="2" t="s">
        <v>16191</v>
      </c>
      <c r="BT910" s="2" t="str">
        <f aca="false">HYPERLINK("https%3A%2F%2Fwww.webofscience.com%2Fwos%2Fwoscc%2Ffull-record%2FWOS:000421525400011","View Full Record in Web of Science")</f>
        <v>View Full Record in Web of Science</v>
      </c>
    </row>
    <row r="911" customFormat="false" ht="12.75" hidden="false" customHeight="false" outlineLevel="0" collapsed="false">
      <c r="A911" s="2" t="s">
        <v>72</v>
      </c>
      <c r="B911" s="2" t="s">
        <v>16192</v>
      </c>
      <c r="C911" s="2"/>
      <c r="D911" s="2"/>
      <c r="E911" s="2"/>
      <c r="F911" s="2" t="s">
        <v>16193</v>
      </c>
      <c r="G911" s="2"/>
      <c r="H911" s="2"/>
      <c r="I911" s="2" t="s">
        <v>16194</v>
      </c>
      <c r="J911" s="2" t="s">
        <v>170</v>
      </c>
      <c r="K911" s="2"/>
      <c r="L911" s="2"/>
      <c r="M911" s="2" t="s">
        <v>77</v>
      </c>
      <c r="N911" s="2" t="s">
        <v>78</v>
      </c>
      <c r="O911" s="2"/>
      <c r="P911" s="2"/>
      <c r="Q911" s="2"/>
      <c r="R911" s="2"/>
      <c r="S911" s="2"/>
      <c r="T911" s="2" t="s">
        <v>16195</v>
      </c>
      <c r="U911" s="2" t="s">
        <v>16196</v>
      </c>
      <c r="V911" s="2" t="s">
        <v>16197</v>
      </c>
      <c r="W911" s="2" t="s">
        <v>16198</v>
      </c>
      <c r="X911" s="2" t="s">
        <v>16199</v>
      </c>
      <c r="Y911" s="2" t="s">
        <v>16200</v>
      </c>
      <c r="Z911" s="2" t="s">
        <v>16201</v>
      </c>
      <c r="AA911" s="2" t="s">
        <v>16202</v>
      </c>
      <c r="AB911" s="2" t="s">
        <v>16203</v>
      </c>
      <c r="AC911" s="2" t="s">
        <v>15147</v>
      </c>
      <c r="AD911" s="2" t="s">
        <v>15148</v>
      </c>
      <c r="AE911" s="2" t="s">
        <v>16204</v>
      </c>
      <c r="AF911" s="2"/>
      <c r="AG911" s="2" t="n">
        <v>47</v>
      </c>
      <c r="AH911" s="2" t="n">
        <v>9</v>
      </c>
      <c r="AI911" s="2" t="n">
        <v>13</v>
      </c>
      <c r="AJ911" s="2" t="n">
        <v>0</v>
      </c>
      <c r="AK911" s="2" t="n">
        <v>2</v>
      </c>
      <c r="AL911" s="2" t="s">
        <v>91</v>
      </c>
      <c r="AM911" s="2" t="s">
        <v>92</v>
      </c>
      <c r="AN911" s="2" t="s">
        <v>93</v>
      </c>
      <c r="AO911" s="2"/>
      <c r="AP911" s="2" t="s">
        <v>182</v>
      </c>
      <c r="AQ911" s="2"/>
      <c r="AR911" s="2" t="s">
        <v>183</v>
      </c>
      <c r="AS911" s="2" t="s">
        <v>184</v>
      </c>
      <c r="AT911" s="2" t="s">
        <v>446</v>
      </c>
      <c r="AU911" s="2" t="n">
        <v>2019</v>
      </c>
      <c r="AV911" s="2" t="n">
        <v>7</v>
      </c>
      <c r="AW911" s="2" t="n">
        <v>4</v>
      </c>
      <c r="AX911" s="2"/>
      <c r="AY911" s="2"/>
      <c r="AZ911" s="2"/>
      <c r="BA911" s="2"/>
      <c r="BB911" s="2"/>
      <c r="BC911" s="2"/>
      <c r="BD911" s="2" t="n">
        <v>164</v>
      </c>
      <c r="BE911" s="2" t="s">
        <v>16205</v>
      </c>
      <c r="BF911" s="2" t="str">
        <f aca="false">HYPERLINK("http://dx.doi.org/10.3390/vaccines7040164","http://dx.doi.org/10.3390/vaccines7040164")</f>
        <v>http://dx.doi.org/10.3390/vaccines7040164</v>
      </c>
      <c r="BG911" s="2"/>
      <c r="BH911" s="2"/>
      <c r="BI911" s="2" t="n">
        <v>17</v>
      </c>
      <c r="BJ911" s="2" t="s">
        <v>187</v>
      </c>
      <c r="BK911" s="2" t="s">
        <v>100</v>
      </c>
      <c r="BL911" s="2" t="s">
        <v>188</v>
      </c>
      <c r="BM911" s="2" t="s">
        <v>16206</v>
      </c>
      <c r="BN911" s="2" t="n">
        <v>31671656</v>
      </c>
      <c r="BO911" s="2" t="s">
        <v>341</v>
      </c>
      <c r="BP911" s="2"/>
      <c r="BQ911" s="2"/>
      <c r="BR911" s="2" t="s">
        <v>104</v>
      </c>
      <c r="BS911" s="2" t="s">
        <v>16207</v>
      </c>
      <c r="BT911" s="2" t="str">
        <f aca="false">HYPERLINK("https%3A%2F%2Fwww.webofscience.com%2Fwos%2Fwoscc%2Ffull-record%2FWOS:000505709700012","View Full Record in Web of Science")</f>
        <v>View Full Record in Web of Science</v>
      </c>
    </row>
    <row r="912" customFormat="false" ht="12.75" hidden="false" customHeight="false" outlineLevel="0" collapsed="false">
      <c r="A912" s="2" t="s">
        <v>72</v>
      </c>
      <c r="B912" s="2" t="s">
        <v>16208</v>
      </c>
      <c r="C912" s="2"/>
      <c r="D912" s="2"/>
      <c r="E912" s="2"/>
      <c r="F912" s="2" t="s">
        <v>16209</v>
      </c>
      <c r="G912" s="2"/>
      <c r="H912" s="2"/>
      <c r="I912" s="2" t="s">
        <v>16210</v>
      </c>
      <c r="J912" s="2" t="s">
        <v>493</v>
      </c>
      <c r="K912" s="2"/>
      <c r="L912" s="2"/>
      <c r="M912" s="2" t="s">
        <v>77</v>
      </c>
      <c r="N912" s="2" t="s">
        <v>78</v>
      </c>
      <c r="O912" s="2"/>
      <c r="P912" s="2"/>
      <c r="Q912" s="2"/>
      <c r="R912" s="2"/>
      <c r="S912" s="2"/>
      <c r="T912" s="2" t="s">
        <v>16211</v>
      </c>
      <c r="U912" s="2" t="s">
        <v>16212</v>
      </c>
      <c r="V912" s="2" t="s">
        <v>16213</v>
      </c>
      <c r="W912" s="2" t="s">
        <v>16214</v>
      </c>
      <c r="X912" s="2" t="s">
        <v>16215</v>
      </c>
      <c r="Y912" s="2" t="s">
        <v>16216</v>
      </c>
      <c r="Z912" s="2" t="s">
        <v>16217</v>
      </c>
      <c r="AA912" s="2"/>
      <c r="AB912" s="2" t="s">
        <v>16218</v>
      </c>
      <c r="AC912" s="2" t="s">
        <v>16219</v>
      </c>
      <c r="AD912" s="2" t="s">
        <v>16219</v>
      </c>
      <c r="AE912" s="2" t="s">
        <v>16220</v>
      </c>
      <c r="AF912" s="2"/>
      <c r="AG912" s="2" t="n">
        <v>59</v>
      </c>
      <c r="AH912" s="2" t="n">
        <v>15</v>
      </c>
      <c r="AI912" s="2" t="n">
        <v>16</v>
      </c>
      <c r="AJ912" s="2" t="n">
        <v>0</v>
      </c>
      <c r="AK912" s="2" t="n">
        <v>8</v>
      </c>
      <c r="AL912" s="2" t="s">
        <v>91</v>
      </c>
      <c r="AM912" s="2" t="s">
        <v>92</v>
      </c>
      <c r="AN912" s="2" t="s">
        <v>93</v>
      </c>
      <c r="AO912" s="2" t="s">
        <v>506</v>
      </c>
      <c r="AP912" s="2"/>
      <c r="AQ912" s="2"/>
      <c r="AR912" s="2" t="s">
        <v>493</v>
      </c>
      <c r="AS912" s="2" t="s">
        <v>507</v>
      </c>
      <c r="AT912" s="2" t="s">
        <v>446</v>
      </c>
      <c r="AU912" s="2" t="n">
        <v>2012</v>
      </c>
      <c r="AV912" s="2" t="n">
        <v>4</v>
      </c>
      <c r="AW912" s="2" t="n">
        <v>12</v>
      </c>
      <c r="AX912" s="2"/>
      <c r="AY912" s="2"/>
      <c r="AZ912" s="2"/>
      <c r="BA912" s="2"/>
      <c r="BB912" s="2" t="n">
        <v>3785</v>
      </c>
      <c r="BC912" s="2" t="n">
        <v>3803</v>
      </c>
      <c r="BD912" s="2"/>
      <c r="BE912" s="2" t="s">
        <v>16221</v>
      </c>
      <c r="BF912" s="2" t="str">
        <f aca="false">HYPERLINK("http://dx.doi.org/10.3390/v4123785","http://dx.doi.org/10.3390/v4123785")</f>
        <v>http://dx.doi.org/10.3390/v4123785</v>
      </c>
      <c r="BG912" s="2"/>
      <c r="BH912" s="2"/>
      <c r="BI912" s="2" t="n">
        <v>19</v>
      </c>
      <c r="BJ912" s="2" t="s">
        <v>163</v>
      </c>
      <c r="BK912" s="2" t="s">
        <v>100</v>
      </c>
      <c r="BL912" s="2" t="s">
        <v>163</v>
      </c>
      <c r="BM912" s="2" t="s">
        <v>16222</v>
      </c>
      <c r="BN912" s="2" t="n">
        <v>23242371</v>
      </c>
      <c r="BO912" s="2" t="s">
        <v>6349</v>
      </c>
      <c r="BP912" s="2"/>
      <c r="BQ912" s="2"/>
      <c r="BR912" s="2" t="s">
        <v>104</v>
      </c>
      <c r="BS912" s="2" t="s">
        <v>16223</v>
      </c>
      <c r="BT912" s="2" t="str">
        <f aca="false">HYPERLINK("https%3A%2F%2Fwww.webofscience.com%2Fwos%2Fwoscc%2Ffull-record%2FWOS:000314401700026","View Full Record in Web of Science")</f>
        <v>View Full Record in Web of Science</v>
      </c>
    </row>
    <row r="913" customFormat="false" ht="12.75" hidden="false" customHeight="false" outlineLevel="0" collapsed="false">
      <c r="A913" s="2" t="s">
        <v>72</v>
      </c>
      <c r="B913" s="2" t="s">
        <v>16224</v>
      </c>
      <c r="C913" s="2"/>
      <c r="D913" s="2"/>
      <c r="E913" s="2"/>
      <c r="F913" s="2" t="s">
        <v>16225</v>
      </c>
      <c r="G913" s="2"/>
      <c r="H913" s="2"/>
      <c r="I913" s="2" t="s">
        <v>16226</v>
      </c>
      <c r="J913" s="2" t="s">
        <v>1863</v>
      </c>
      <c r="K913" s="2"/>
      <c r="L913" s="2"/>
      <c r="M913" s="2" t="s">
        <v>77</v>
      </c>
      <c r="N913" s="2" t="s">
        <v>78</v>
      </c>
      <c r="O913" s="2"/>
      <c r="P913" s="2"/>
      <c r="Q913" s="2"/>
      <c r="R913" s="2"/>
      <c r="S913" s="2"/>
      <c r="T913" s="2" t="s">
        <v>16227</v>
      </c>
      <c r="U913" s="2" t="s">
        <v>16228</v>
      </c>
      <c r="V913" s="2" t="s">
        <v>16229</v>
      </c>
      <c r="W913" s="2" t="s">
        <v>16230</v>
      </c>
      <c r="X913" s="2" t="s">
        <v>16231</v>
      </c>
      <c r="Y913" s="2" t="s">
        <v>16232</v>
      </c>
      <c r="Z913" s="2" t="s">
        <v>16233</v>
      </c>
      <c r="AA913" s="2" t="s">
        <v>16234</v>
      </c>
      <c r="AB913" s="2" t="s">
        <v>16235</v>
      </c>
      <c r="AC913" s="2" t="s">
        <v>16236</v>
      </c>
      <c r="AD913" s="2" t="s">
        <v>16237</v>
      </c>
      <c r="AE913" s="2" t="s">
        <v>16238</v>
      </c>
      <c r="AF913" s="2"/>
      <c r="AG913" s="2" t="n">
        <v>50</v>
      </c>
      <c r="AH913" s="2" t="n">
        <v>9</v>
      </c>
      <c r="AI913" s="2" t="n">
        <v>10</v>
      </c>
      <c r="AJ913" s="2" t="n">
        <v>1</v>
      </c>
      <c r="AK913" s="2" t="n">
        <v>7</v>
      </c>
      <c r="AL913" s="2" t="s">
        <v>2337</v>
      </c>
      <c r="AM913" s="2" t="s">
        <v>303</v>
      </c>
      <c r="AN913" s="2" t="s">
        <v>2338</v>
      </c>
      <c r="AO913" s="2" t="s">
        <v>1876</v>
      </c>
      <c r="AP913" s="2"/>
      <c r="AQ913" s="2"/>
      <c r="AR913" s="2" t="s">
        <v>1877</v>
      </c>
      <c r="AS913" s="2" t="s">
        <v>1878</v>
      </c>
      <c r="AT913" s="2" t="s">
        <v>13751</v>
      </c>
      <c r="AU913" s="2" t="n">
        <v>2018</v>
      </c>
      <c r="AV913" s="2" t="n">
        <v>15</v>
      </c>
      <c r="AW913" s="2"/>
      <c r="AX913" s="2"/>
      <c r="AY913" s="2"/>
      <c r="AZ913" s="2"/>
      <c r="BA913" s="2"/>
      <c r="BB913" s="2"/>
      <c r="BC913" s="2"/>
      <c r="BD913" s="2" t="n">
        <v>91</v>
      </c>
      <c r="BE913" s="2" t="s">
        <v>16239</v>
      </c>
      <c r="BF913" s="2" t="str">
        <f aca="false">HYPERLINK("http://dx.doi.org/10.1186/s12985-018-1005-8","http://dx.doi.org/10.1186/s12985-018-1005-8")</f>
        <v>http://dx.doi.org/10.1186/s12985-018-1005-8</v>
      </c>
      <c r="BG913" s="2"/>
      <c r="BH913" s="2"/>
      <c r="BI913" s="2" t="n">
        <v>11</v>
      </c>
      <c r="BJ913" s="2" t="s">
        <v>163</v>
      </c>
      <c r="BK913" s="2" t="s">
        <v>100</v>
      </c>
      <c r="BL913" s="2" t="s">
        <v>163</v>
      </c>
      <c r="BM913" s="2" t="s">
        <v>16240</v>
      </c>
      <c r="BN913" s="2" t="n">
        <v>29792212</v>
      </c>
      <c r="BO913" s="2" t="s">
        <v>103</v>
      </c>
      <c r="BP913" s="2"/>
      <c r="BQ913" s="2"/>
      <c r="BR913" s="2" t="s">
        <v>104</v>
      </c>
      <c r="BS913" s="2" t="s">
        <v>16241</v>
      </c>
      <c r="BT913" s="2" t="str">
        <f aca="false">HYPERLINK("https%3A%2F%2Fwww.webofscience.com%2Fwos%2Fwoscc%2Ffull-record%2FWOS:000433091900002","View Full Record in Web of Science")</f>
        <v>View Full Record in Web of Science</v>
      </c>
    </row>
    <row r="914" customFormat="false" ht="12.75" hidden="false" customHeight="false" outlineLevel="0" collapsed="false">
      <c r="A914" s="2" t="s">
        <v>72</v>
      </c>
      <c r="B914" s="2" t="s">
        <v>16242</v>
      </c>
      <c r="C914" s="2"/>
      <c r="D914" s="2"/>
      <c r="E914" s="2"/>
      <c r="F914" s="2" t="s">
        <v>16243</v>
      </c>
      <c r="G914" s="2"/>
      <c r="H914" s="2"/>
      <c r="I914" s="2" t="s">
        <v>16244</v>
      </c>
      <c r="J914" s="2" t="s">
        <v>10441</v>
      </c>
      <c r="K914" s="2"/>
      <c r="L914" s="2"/>
      <c r="M914" s="2" t="s">
        <v>77</v>
      </c>
      <c r="N914" s="2" t="s">
        <v>78</v>
      </c>
      <c r="O914" s="2"/>
      <c r="P914" s="2"/>
      <c r="Q914" s="2"/>
      <c r="R914" s="2"/>
      <c r="S914" s="2"/>
      <c r="T914" s="2" t="s">
        <v>16245</v>
      </c>
      <c r="U914" s="2" t="s">
        <v>16246</v>
      </c>
      <c r="V914" s="2" t="s">
        <v>16247</v>
      </c>
      <c r="W914" s="2" t="s">
        <v>16248</v>
      </c>
      <c r="X914" s="2"/>
      <c r="Y914" s="2" t="s">
        <v>16249</v>
      </c>
      <c r="Z914" s="2" t="s">
        <v>16250</v>
      </c>
      <c r="AA914" s="2" t="s">
        <v>16151</v>
      </c>
      <c r="AB914" s="2"/>
      <c r="AC914" s="2"/>
      <c r="AD914" s="2"/>
      <c r="AE914" s="2"/>
      <c r="AF914" s="2"/>
      <c r="AG914" s="2" t="n">
        <v>18</v>
      </c>
      <c r="AH914" s="2" t="n">
        <v>15</v>
      </c>
      <c r="AI914" s="2" t="n">
        <v>16</v>
      </c>
      <c r="AJ914" s="2" t="n">
        <v>0</v>
      </c>
      <c r="AK914" s="2" t="n">
        <v>1</v>
      </c>
      <c r="AL914" s="2" t="s">
        <v>16251</v>
      </c>
      <c r="AM914" s="2" t="s">
        <v>16252</v>
      </c>
      <c r="AN914" s="2" t="s">
        <v>16253</v>
      </c>
      <c r="AO914" s="2" t="s">
        <v>10453</v>
      </c>
      <c r="AP914" s="2"/>
      <c r="AQ914" s="2"/>
      <c r="AR914" s="2" t="s">
        <v>10454</v>
      </c>
      <c r="AS914" s="2" t="s">
        <v>10455</v>
      </c>
      <c r="AT914" s="2"/>
      <c r="AU914" s="2" t="n">
        <v>2007</v>
      </c>
      <c r="AV914" s="2" t="n">
        <v>51</v>
      </c>
      <c r="AW914" s="2" t="n">
        <v>7</v>
      </c>
      <c r="AX914" s="2"/>
      <c r="AY914" s="2"/>
      <c r="AZ914" s="2"/>
      <c r="BA914" s="2"/>
      <c r="BB914" s="2" t="n">
        <v>679</v>
      </c>
      <c r="BC914" s="2" t="n">
        <v>683</v>
      </c>
      <c r="BD914" s="2"/>
      <c r="BE914" s="2" t="s">
        <v>16254</v>
      </c>
      <c r="BF914" s="2" t="str">
        <f aca="false">HYPERLINK("http://dx.doi.org/10.1111/j.1348-0421.2007.tb03956.x","http://dx.doi.org/10.1111/j.1348-0421.2007.tb03956.x")</f>
        <v>http://dx.doi.org/10.1111/j.1348-0421.2007.tb03956.x</v>
      </c>
      <c r="BG914" s="2"/>
      <c r="BH914" s="2"/>
      <c r="BI914" s="2" t="n">
        <v>5</v>
      </c>
      <c r="BJ914" s="2" t="s">
        <v>2364</v>
      </c>
      <c r="BK914" s="2" t="s">
        <v>100</v>
      </c>
      <c r="BL914" s="2" t="s">
        <v>2364</v>
      </c>
      <c r="BM914" s="2" t="s">
        <v>16255</v>
      </c>
      <c r="BN914" s="2" t="n">
        <v>17641470</v>
      </c>
      <c r="BO914" s="2" t="s">
        <v>656</v>
      </c>
      <c r="BP914" s="2"/>
      <c r="BQ914" s="2"/>
      <c r="BR914" s="2" t="s">
        <v>104</v>
      </c>
      <c r="BS914" s="2" t="s">
        <v>16256</v>
      </c>
      <c r="BT914" s="2" t="str">
        <f aca="false">HYPERLINK("https%3A%2F%2Fwww.webofscience.com%2Fwos%2Fwoscc%2Ffull-record%2FWOS:000247942300005","View Full Record in Web of Science")</f>
        <v>View Full Record in Web of Science</v>
      </c>
    </row>
    <row r="915" customFormat="false" ht="12.75" hidden="false" customHeight="false" outlineLevel="0" collapsed="false">
      <c r="A915" s="2" t="s">
        <v>72</v>
      </c>
      <c r="B915" s="2" t="s">
        <v>16257</v>
      </c>
      <c r="C915" s="2"/>
      <c r="D915" s="2"/>
      <c r="E915" s="2"/>
      <c r="F915" s="2" t="s">
        <v>16258</v>
      </c>
      <c r="G915" s="2"/>
      <c r="H915" s="2"/>
      <c r="I915" s="2" t="s">
        <v>16259</v>
      </c>
      <c r="J915" s="2" t="s">
        <v>1232</v>
      </c>
      <c r="K915" s="2"/>
      <c r="L915" s="2"/>
      <c r="M915" s="2" t="s">
        <v>77</v>
      </c>
      <c r="N915" s="2" t="s">
        <v>78</v>
      </c>
      <c r="O915" s="2"/>
      <c r="P915" s="2"/>
      <c r="Q915" s="2"/>
      <c r="R915" s="2"/>
      <c r="S915" s="2"/>
      <c r="T915" s="2" t="s">
        <v>16260</v>
      </c>
      <c r="U915" s="2" t="s">
        <v>16261</v>
      </c>
      <c r="V915" s="2" t="s">
        <v>16262</v>
      </c>
      <c r="W915" s="2" t="s">
        <v>16263</v>
      </c>
      <c r="X915" s="2" t="s">
        <v>16264</v>
      </c>
      <c r="Y915" s="2" t="s">
        <v>16265</v>
      </c>
      <c r="Z915" s="2" t="s">
        <v>16266</v>
      </c>
      <c r="AA915" s="2"/>
      <c r="AB915" s="2" t="s">
        <v>16267</v>
      </c>
      <c r="AC915" s="2"/>
      <c r="AD915" s="2"/>
      <c r="AE915" s="2"/>
      <c r="AF915" s="2"/>
      <c r="AG915" s="2" t="n">
        <v>17</v>
      </c>
      <c r="AH915" s="2" t="n">
        <v>1</v>
      </c>
      <c r="AI915" s="2" t="n">
        <v>1</v>
      </c>
      <c r="AJ915" s="2" t="n">
        <v>0</v>
      </c>
      <c r="AK915" s="2" t="n">
        <v>4</v>
      </c>
      <c r="AL915" s="2" t="s">
        <v>1242</v>
      </c>
      <c r="AM915" s="2" t="s">
        <v>303</v>
      </c>
      <c r="AN915" s="2" t="s">
        <v>467</v>
      </c>
      <c r="AO915" s="2"/>
      <c r="AP915" s="2" t="s">
        <v>1243</v>
      </c>
      <c r="AQ915" s="2"/>
      <c r="AR915" s="2" t="s">
        <v>1244</v>
      </c>
      <c r="AS915" s="2" t="s">
        <v>1245</v>
      </c>
      <c r="AT915" s="2" t="s">
        <v>16268</v>
      </c>
      <c r="AU915" s="2" t="n">
        <v>2021</v>
      </c>
      <c r="AV915" s="2" t="n">
        <v>13</v>
      </c>
      <c r="AW915" s="2" t="n">
        <v>7</v>
      </c>
      <c r="AX915" s="2"/>
      <c r="AY915" s="2"/>
      <c r="AZ915" s="2"/>
      <c r="BA915" s="2"/>
      <c r="BB915" s="2"/>
      <c r="BC915" s="2"/>
      <c r="BD915" s="2" t="s">
        <v>16269</v>
      </c>
      <c r="BE915" s="2" t="s">
        <v>16270</v>
      </c>
      <c r="BF915" s="2" t="str">
        <f aca="false">HYPERLINK("http://dx.doi.org/10.7759/cureus.16434","http://dx.doi.org/10.7759/cureus.16434")</f>
        <v>http://dx.doi.org/10.7759/cureus.16434</v>
      </c>
      <c r="BG915" s="2"/>
      <c r="BH915" s="2"/>
      <c r="BI915" s="2" t="n">
        <v>5</v>
      </c>
      <c r="BJ915" s="2" t="s">
        <v>363</v>
      </c>
      <c r="BK915" s="2" t="s">
        <v>339</v>
      </c>
      <c r="BL915" s="2" t="s">
        <v>364</v>
      </c>
      <c r="BM915" s="2" t="s">
        <v>16271</v>
      </c>
      <c r="BN915" s="2" t="n">
        <v>34277314</v>
      </c>
      <c r="BO915" s="2" t="s">
        <v>190</v>
      </c>
      <c r="BP915" s="2"/>
      <c r="BQ915" s="2"/>
      <c r="BR915" s="2" t="s">
        <v>104</v>
      </c>
      <c r="BS915" s="2" t="s">
        <v>16272</v>
      </c>
      <c r="BT915" s="2" t="str">
        <f aca="false">HYPERLINK("https%3A%2F%2Fwww.webofscience.com%2Fwos%2Fwoscc%2Ffull-record%2FWOS:000677609200001","View Full Record in Web of Science")</f>
        <v>View Full Record in Web of Science</v>
      </c>
    </row>
    <row r="916" customFormat="false" ht="12.75" hidden="false" customHeight="false" outlineLevel="0" collapsed="false">
      <c r="A916" s="2" t="s">
        <v>72</v>
      </c>
      <c r="B916" s="2" t="s">
        <v>16273</v>
      </c>
      <c r="C916" s="2"/>
      <c r="D916" s="2"/>
      <c r="E916" s="2"/>
      <c r="F916" s="2" t="s">
        <v>16274</v>
      </c>
      <c r="G916" s="2"/>
      <c r="H916" s="2"/>
      <c r="I916" s="2" t="s">
        <v>16275</v>
      </c>
      <c r="J916" s="2" t="s">
        <v>16276</v>
      </c>
      <c r="K916" s="2"/>
      <c r="L916" s="2"/>
      <c r="M916" s="2" t="s">
        <v>77</v>
      </c>
      <c r="N916" s="2" t="s">
        <v>78</v>
      </c>
      <c r="O916" s="2"/>
      <c r="P916" s="2"/>
      <c r="Q916" s="2"/>
      <c r="R916" s="2"/>
      <c r="S916" s="2"/>
      <c r="T916" s="2" t="s">
        <v>16277</v>
      </c>
      <c r="U916" s="2"/>
      <c r="V916" s="2" t="s">
        <v>16278</v>
      </c>
      <c r="W916" s="2" t="s">
        <v>16279</v>
      </c>
      <c r="X916" s="2" t="s">
        <v>16280</v>
      </c>
      <c r="Y916" s="2" t="s">
        <v>16281</v>
      </c>
      <c r="Z916" s="2" t="s">
        <v>16282</v>
      </c>
      <c r="AA916" s="2" t="s">
        <v>16283</v>
      </c>
      <c r="AB916" s="2"/>
      <c r="AC916" s="2" t="s">
        <v>16284</v>
      </c>
      <c r="AD916" s="2" t="s">
        <v>16285</v>
      </c>
      <c r="AE916" s="2" t="s">
        <v>16286</v>
      </c>
      <c r="AF916" s="2"/>
      <c r="AG916" s="2" t="n">
        <v>34</v>
      </c>
      <c r="AH916" s="2" t="n">
        <v>6</v>
      </c>
      <c r="AI916" s="2" t="n">
        <v>9</v>
      </c>
      <c r="AJ916" s="2" t="n">
        <v>3</v>
      </c>
      <c r="AK916" s="2" t="n">
        <v>13</v>
      </c>
      <c r="AL916" s="2" t="s">
        <v>16287</v>
      </c>
      <c r="AM916" s="2" t="s">
        <v>3793</v>
      </c>
      <c r="AN916" s="2" t="s">
        <v>16288</v>
      </c>
      <c r="AO916" s="2" t="s">
        <v>16289</v>
      </c>
      <c r="AP916" s="2" t="s">
        <v>16290</v>
      </c>
      <c r="AQ916" s="2"/>
      <c r="AR916" s="2" t="s">
        <v>16291</v>
      </c>
      <c r="AS916" s="2" t="s">
        <v>16292</v>
      </c>
      <c r="AT916" s="2" t="s">
        <v>446</v>
      </c>
      <c r="AU916" s="2" t="n">
        <v>2022</v>
      </c>
      <c r="AV916" s="2" t="n">
        <v>37</v>
      </c>
      <c r="AW916" s="2" t="n">
        <v>6</v>
      </c>
      <c r="AX916" s="2"/>
      <c r="AY916" s="2"/>
      <c r="AZ916" s="2"/>
      <c r="BA916" s="2"/>
      <c r="BB916" s="2" t="n">
        <v>874</v>
      </c>
      <c r="BC916" s="2" t="n">
        <v>882</v>
      </c>
      <c r="BD916" s="2"/>
      <c r="BE916" s="2" t="s">
        <v>16293</v>
      </c>
      <c r="BF916" s="2" t="str">
        <f aca="false">HYPERLINK("http://dx.doi.org/10.1016/j.virs.2022.08.007","http://dx.doi.org/10.1016/j.virs.2022.08.007")</f>
        <v>http://dx.doi.org/10.1016/j.virs.2022.08.007</v>
      </c>
      <c r="BG916" s="2"/>
      <c r="BH916" s="2"/>
      <c r="BI916" s="2" t="n">
        <v>9</v>
      </c>
      <c r="BJ916" s="2" t="s">
        <v>163</v>
      </c>
      <c r="BK916" s="2" t="s">
        <v>100</v>
      </c>
      <c r="BL916" s="2" t="s">
        <v>163</v>
      </c>
      <c r="BM916" s="2" t="s">
        <v>16294</v>
      </c>
      <c r="BN916" s="2" t="n">
        <v>36007839</v>
      </c>
      <c r="BO916" s="2" t="s">
        <v>284</v>
      </c>
      <c r="BP916" s="2"/>
      <c r="BQ916" s="2"/>
      <c r="BR916" s="2" t="s">
        <v>104</v>
      </c>
      <c r="BS916" s="2" t="s">
        <v>16295</v>
      </c>
      <c r="BT916" s="2" t="str">
        <f aca="false">HYPERLINK("https%3A%2F%2Fwww.webofscience.com%2Fwos%2Fwoscc%2Ffull-record%2FWOS:000901533300001","View Full Record in Web of Science")</f>
        <v>View Full Record in Web of Science</v>
      </c>
    </row>
    <row r="917" customFormat="false" ht="12.75" hidden="false" customHeight="false" outlineLevel="0" collapsed="false">
      <c r="A917" s="2" t="s">
        <v>72</v>
      </c>
      <c r="B917" s="2" t="s">
        <v>16296</v>
      </c>
      <c r="C917" s="2"/>
      <c r="D917" s="2"/>
      <c r="E917" s="2"/>
      <c r="F917" s="2" t="s">
        <v>16297</v>
      </c>
      <c r="G917" s="2"/>
      <c r="H917" s="2"/>
      <c r="I917" s="2" t="s">
        <v>16298</v>
      </c>
      <c r="J917" s="2" t="s">
        <v>16299</v>
      </c>
      <c r="K917" s="2"/>
      <c r="L917" s="2"/>
      <c r="M917" s="2" t="s">
        <v>77</v>
      </c>
      <c r="N917" s="2" t="s">
        <v>78</v>
      </c>
      <c r="O917" s="2"/>
      <c r="P917" s="2"/>
      <c r="Q917" s="2"/>
      <c r="R917" s="2"/>
      <c r="S917" s="2"/>
      <c r="T917" s="2" t="s">
        <v>16300</v>
      </c>
      <c r="U917" s="2" t="s">
        <v>16301</v>
      </c>
      <c r="V917" s="2" t="s">
        <v>16302</v>
      </c>
      <c r="W917" s="2" t="s">
        <v>16303</v>
      </c>
      <c r="X917" s="2" t="s">
        <v>16304</v>
      </c>
      <c r="Y917" s="2" t="s">
        <v>16305</v>
      </c>
      <c r="Z917" s="2" t="s">
        <v>16306</v>
      </c>
      <c r="AA917" s="2"/>
      <c r="AB917" s="2" t="s">
        <v>16307</v>
      </c>
      <c r="AC917" s="2" t="s">
        <v>16308</v>
      </c>
      <c r="AD917" s="2" t="s">
        <v>16308</v>
      </c>
      <c r="AE917" s="2" t="s">
        <v>16309</v>
      </c>
      <c r="AF917" s="2"/>
      <c r="AG917" s="2" t="n">
        <v>32</v>
      </c>
      <c r="AH917" s="2" t="n">
        <v>1</v>
      </c>
      <c r="AI917" s="2" t="n">
        <v>1</v>
      </c>
      <c r="AJ917" s="2" t="n">
        <v>0</v>
      </c>
      <c r="AK917" s="2" t="n">
        <v>0</v>
      </c>
      <c r="AL917" s="2" t="s">
        <v>3689</v>
      </c>
      <c r="AM917" s="2" t="s">
        <v>3690</v>
      </c>
      <c r="AN917" s="2" t="s">
        <v>12016</v>
      </c>
      <c r="AO917" s="2" t="s">
        <v>16310</v>
      </c>
      <c r="AP917" s="2" t="s">
        <v>16311</v>
      </c>
      <c r="AQ917" s="2"/>
      <c r="AR917" s="2" t="s">
        <v>16312</v>
      </c>
      <c r="AS917" s="2" t="s">
        <v>16313</v>
      </c>
      <c r="AT917" s="2"/>
      <c r="AU917" s="2" t="n">
        <v>2019</v>
      </c>
      <c r="AV917" s="2" t="n">
        <v>7</v>
      </c>
      <c r="AW917" s="2" t="n">
        <v>3</v>
      </c>
      <c r="AX917" s="2"/>
      <c r="AY917" s="2"/>
      <c r="AZ917" s="2"/>
      <c r="BA917" s="2"/>
      <c r="BB917" s="2" t="n">
        <v>125</v>
      </c>
      <c r="BC917" s="2" t="n">
        <v>131</v>
      </c>
      <c r="BD917" s="2"/>
      <c r="BE917" s="2" t="s">
        <v>16314</v>
      </c>
      <c r="BF917" s="2" t="str">
        <f aca="false">HYPERLINK("http://dx.doi.org/10.25002/tji.2019.1173","http://dx.doi.org/10.25002/tji.2019.1173")</f>
        <v>http://dx.doi.org/10.25002/tji.2019.1173</v>
      </c>
      <c r="BG917" s="2"/>
      <c r="BH917" s="2"/>
      <c r="BI917" s="2" t="n">
        <v>7</v>
      </c>
      <c r="BJ917" s="2" t="s">
        <v>628</v>
      </c>
      <c r="BK917" s="2" t="s">
        <v>339</v>
      </c>
      <c r="BL917" s="2" t="s">
        <v>628</v>
      </c>
      <c r="BM917" s="2" t="s">
        <v>16315</v>
      </c>
      <c r="BN917" s="2"/>
      <c r="BO917" s="2" t="s">
        <v>1355</v>
      </c>
      <c r="BP917" s="2"/>
      <c r="BQ917" s="2"/>
      <c r="BR917" s="2" t="s">
        <v>104</v>
      </c>
      <c r="BS917" s="2" t="s">
        <v>16316</v>
      </c>
      <c r="BT917" s="2" t="str">
        <f aca="false">HYPERLINK("https%3A%2F%2Fwww.webofscience.com%2Fwos%2Fwoscc%2Ffull-record%2FWOS:000505624900004","View Full Record in Web of Science")</f>
        <v>View Full Record in Web of Science</v>
      </c>
    </row>
    <row r="918" customFormat="false" ht="12.75" hidden="false" customHeight="false" outlineLevel="0" collapsed="false">
      <c r="A918" s="2" t="s">
        <v>72</v>
      </c>
      <c r="B918" s="2" t="s">
        <v>16317</v>
      </c>
      <c r="C918" s="2"/>
      <c r="D918" s="2"/>
      <c r="E918" s="2"/>
      <c r="F918" s="2" t="s">
        <v>16318</v>
      </c>
      <c r="G918" s="2"/>
      <c r="H918" s="2"/>
      <c r="I918" s="2" t="s">
        <v>16319</v>
      </c>
      <c r="J918" s="2" t="s">
        <v>607</v>
      </c>
      <c r="K918" s="2"/>
      <c r="L918" s="2"/>
      <c r="M918" s="2" t="s">
        <v>77</v>
      </c>
      <c r="N918" s="2" t="s">
        <v>78</v>
      </c>
      <c r="O918" s="2"/>
      <c r="P918" s="2"/>
      <c r="Q918" s="2"/>
      <c r="R918" s="2"/>
      <c r="S918" s="2"/>
      <c r="T918" s="2" t="s">
        <v>16320</v>
      </c>
      <c r="U918" s="2" t="s">
        <v>16321</v>
      </c>
      <c r="V918" s="2" t="s">
        <v>16322</v>
      </c>
      <c r="W918" s="2" t="s">
        <v>16323</v>
      </c>
      <c r="X918" s="2" t="s">
        <v>16324</v>
      </c>
      <c r="Y918" s="2" t="s">
        <v>16325</v>
      </c>
      <c r="Z918" s="2" t="s">
        <v>15570</v>
      </c>
      <c r="AA918" s="2"/>
      <c r="AB918" s="2" t="s">
        <v>16326</v>
      </c>
      <c r="AC918" s="2" t="s">
        <v>16327</v>
      </c>
      <c r="AD918" s="2" t="s">
        <v>16328</v>
      </c>
      <c r="AE918" s="2" t="s">
        <v>15574</v>
      </c>
      <c r="AF918" s="2"/>
      <c r="AG918" s="2" t="n">
        <v>68</v>
      </c>
      <c r="AH918" s="2" t="n">
        <v>5</v>
      </c>
      <c r="AI918" s="2" t="n">
        <v>6</v>
      </c>
      <c r="AJ918" s="2" t="n">
        <v>0</v>
      </c>
      <c r="AK918" s="2" t="n">
        <v>11</v>
      </c>
      <c r="AL918" s="2" t="s">
        <v>620</v>
      </c>
      <c r="AM918" s="2" t="s">
        <v>621</v>
      </c>
      <c r="AN918" s="2" t="s">
        <v>622</v>
      </c>
      <c r="AO918" s="2" t="s">
        <v>623</v>
      </c>
      <c r="AP918" s="2"/>
      <c r="AQ918" s="2"/>
      <c r="AR918" s="2" t="s">
        <v>624</v>
      </c>
      <c r="AS918" s="2" t="s">
        <v>625</v>
      </c>
      <c r="AT918" s="2" t="s">
        <v>2477</v>
      </c>
      <c r="AU918" s="2" t="n">
        <v>2021</v>
      </c>
      <c r="AV918" s="2" t="n">
        <v>12</v>
      </c>
      <c r="AW918" s="2"/>
      <c r="AX918" s="2"/>
      <c r="AY918" s="2"/>
      <c r="AZ918" s="2"/>
      <c r="BA918" s="2"/>
      <c r="BB918" s="2"/>
      <c r="BC918" s="2"/>
      <c r="BD918" s="2" t="n">
        <v>563336</v>
      </c>
      <c r="BE918" s="2" t="s">
        <v>16329</v>
      </c>
      <c r="BF918" s="2" t="str">
        <f aca="false">HYPERLINK("http://dx.doi.org/10.3389/fimmu.2021.563336","http://dx.doi.org/10.3389/fimmu.2021.563336")</f>
        <v>http://dx.doi.org/10.3389/fimmu.2021.563336</v>
      </c>
      <c r="BG918" s="2"/>
      <c r="BH918" s="2"/>
      <c r="BI918" s="2" t="n">
        <v>14</v>
      </c>
      <c r="BJ918" s="2" t="s">
        <v>628</v>
      </c>
      <c r="BK918" s="2" t="s">
        <v>100</v>
      </c>
      <c r="BL918" s="2" t="s">
        <v>628</v>
      </c>
      <c r="BM918" s="2" t="s">
        <v>16330</v>
      </c>
      <c r="BN918" s="2" t="n">
        <v>34248923</v>
      </c>
      <c r="BO918" s="2" t="s">
        <v>190</v>
      </c>
      <c r="BP918" s="2"/>
      <c r="BQ918" s="2"/>
      <c r="BR918" s="2" t="s">
        <v>104</v>
      </c>
      <c r="BS918" s="2" t="s">
        <v>16331</v>
      </c>
      <c r="BT918" s="2" t="str">
        <f aca="false">HYPERLINK("https%3A%2F%2Fwww.webofscience.com%2Fwos%2Fwoscc%2Ffull-record%2FWOS:000670581600001","View Full Record in Web of Science")</f>
        <v>View Full Record in Web of Science</v>
      </c>
    </row>
    <row r="919" customFormat="false" ht="12.75" hidden="false" customHeight="false" outlineLevel="0" collapsed="false">
      <c r="A919" s="2" t="s">
        <v>72</v>
      </c>
      <c r="B919" s="2" t="s">
        <v>16332</v>
      </c>
      <c r="C919" s="2"/>
      <c r="D919" s="2"/>
      <c r="E919" s="2"/>
      <c r="F919" s="2" t="s">
        <v>16333</v>
      </c>
      <c r="G919" s="2"/>
      <c r="H919" s="2"/>
      <c r="I919" s="2" t="s">
        <v>16334</v>
      </c>
      <c r="J919" s="2" t="s">
        <v>141</v>
      </c>
      <c r="K919" s="2"/>
      <c r="L919" s="2"/>
      <c r="M919" s="2" t="s">
        <v>77</v>
      </c>
      <c r="N919" s="2" t="s">
        <v>78</v>
      </c>
      <c r="O919" s="2"/>
      <c r="P919" s="2"/>
      <c r="Q919" s="2"/>
      <c r="R919" s="2"/>
      <c r="S919" s="2"/>
      <c r="T919" s="2" t="s">
        <v>16335</v>
      </c>
      <c r="U919" s="2" t="s">
        <v>16336</v>
      </c>
      <c r="V919" s="2" t="s">
        <v>16337</v>
      </c>
      <c r="W919" s="2" t="s">
        <v>16338</v>
      </c>
      <c r="X919" s="2" t="s">
        <v>16339</v>
      </c>
      <c r="Y919" s="2" t="s">
        <v>16340</v>
      </c>
      <c r="Z919" s="2" t="s">
        <v>16341</v>
      </c>
      <c r="AA919" s="2"/>
      <c r="AB919" s="2" t="s">
        <v>16342</v>
      </c>
      <c r="AC919" s="2"/>
      <c r="AD919" s="2"/>
      <c r="AE919" s="2"/>
      <c r="AF919" s="2"/>
      <c r="AG919" s="2" t="n">
        <v>45</v>
      </c>
      <c r="AH919" s="2" t="n">
        <v>24</v>
      </c>
      <c r="AI919" s="2" t="n">
        <v>26</v>
      </c>
      <c r="AJ919" s="2" t="n">
        <v>0</v>
      </c>
      <c r="AK919" s="2" t="n">
        <v>6</v>
      </c>
      <c r="AL919" s="2" t="s">
        <v>154</v>
      </c>
      <c r="AM919" s="2" t="s">
        <v>155</v>
      </c>
      <c r="AN919" s="2" t="s">
        <v>156</v>
      </c>
      <c r="AO919" s="2" t="s">
        <v>157</v>
      </c>
      <c r="AP919" s="2" t="s">
        <v>158</v>
      </c>
      <c r="AQ919" s="2"/>
      <c r="AR919" s="2" t="s">
        <v>159</v>
      </c>
      <c r="AS919" s="2" t="s">
        <v>160</v>
      </c>
      <c r="AT919" s="2" t="s">
        <v>185</v>
      </c>
      <c r="AU919" s="2" t="n">
        <v>2019</v>
      </c>
      <c r="AV919" s="2" t="n">
        <v>91</v>
      </c>
      <c r="AW919" s="2" t="n">
        <v>8</v>
      </c>
      <c r="AX919" s="2"/>
      <c r="AY919" s="2"/>
      <c r="AZ919" s="2"/>
      <c r="BA919" s="2"/>
      <c r="BB919" s="2" t="n">
        <v>1378</v>
      </c>
      <c r="BC919" s="2" t="n">
        <v>1384</v>
      </c>
      <c r="BD919" s="2"/>
      <c r="BE919" s="2" t="s">
        <v>16343</v>
      </c>
      <c r="BF919" s="2" t="str">
        <f aca="false">HYPERLINK("http://dx.doi.org/10.1002/jmv.25464","http://dx.doi.org/10.1002/jmv.25464")</f>
        <v>http://dx.doi.org/10.1002/jmv.25464</v>
      </c>
      <c r="BG919" s="2"/>
      <c r="BH919" s="2"/>
      <c r="BI919" s="2" t="n">
        <v>7</v>
      </c>
      <c r="BJ919" s="2" t="s">
        <v>163</v>
      </c>
      <c r="BK919" s="2" t="s">
        <v>100</v>
      </c>
      <c r="BL919" s="2" t="s">
        <v>163</v>
      </c>
      <c r="BM919" s="2" t="s">
        <v>16344</v>
      </c>
      <c r="BN919" s="2" t="n">
        <v>30900750</v>
      </c>
      <c r="BO919" s="2" t="s">
        <v>538</v>
      </c>
      <c r="BP919" s="2"/>
      <c r="BQ919" s="2"/>
      <c r="BR919" s="2" t="s">
        <v>104</v>
      </c>
      <c r="BS919" s="2" t="s">
        <v>16345</v>
      </c>
      <c r="BT919" s="2" t="str">
        <f aca="false">HYPERLINK("https%3A%2F%2Fwww.webofscience.com%2Fwos%2Fwoscc%2Ffull-record%2FWOS:000473215200003","View Full Record in Web of Science")</f>
        <v>View Full Record in Web of Science</v>
      </c>
    </row>
    <row r="920" customFormat="false" ht="12.75" hidden="false" customHeight="false" outlineLevel="0" collapsed="false">
      <c r="A920" s="2" t="s">
        <v>72</v>
      </c>
      <c r="B920" s="2" t="s">
        <v>16346</v>
      </c>
      <c r="C920" s="2"/>
      <c r="D920" s="2"/>
      <c r="E920" s="2"/>
      <c r="F920" s="2" t="s">
        <v>16347</v>
      </c>
      <c r="G920" s="2"/>
      <c r="H920" s="2"/>
      <c r="I920" s="2" t="s">
        <v>16348</v>
      </c>
      <c r="J920" s="2" t="s">
        <v>2021</v>
      </c>
      <c r="K920" s="2"/>
      <c r="L920" s="2"/>
      <c r="M920" s="2" t="s">
        <v>77</v>
      </c>
      <c r="N920" s="2" t="s">
        <v>78</v>
      </c>
      <c r="O920" s="2"/>
      <c r="P920" s="2"/>
      <c r="Q920" s="2"/>
      <c r="R920" s="2"/>
      <c r="S920" s="2"/>
      <c r="T920" s="2" t="s">
        <v>16349</v>
      </c>
      <c r="U920" s="2" t="s">
        <v>16350</v>
      </c>
      <c r="V920" s="2" t="s">
        <v>16351</v>
      </c>
      <c r="W920" s="2" t="s">
        <v>16352</v>
      </c>
      <c r="X920" s="2" t="s">
        <v>16353</v>
      </c>
      <c r="Y920" s="2" t="s">
        <v>15000</v>
      </c>
      <c r="Z920" s="2" t="s">
        <v>15001</v>
      </c>
      <c r="AA920" s="2" t="s">
        <v>16354</v>
      </c>
      <c r="AB920" s="2" t="s">
        <v>16355</v>
      </c>
      <c r="AC920" s="2" t="s">
        <v>16356</v>
      </c>
      <c r="AD920" s="2" t="s">
        <v>16357</v>
      </c>
      <c r="AE920" s="2" t="s">
        <v>16358</v>
      </c>
      <c r="AF920" s="2"/>
      <c r="AG920" s="2" t="n">
        <v>30</v>
      </c>
      <c r="AH920" s="2" t="n">
        <v>56</v>
      </c>
      <c r="AI920" s="2" t="n">
        <v>56</v>
      </c>
      <c r="AJ920" s="2" t="n">
        <v>0</v>
      </c>
      <c r="AK920" s="2" t="n">
        <v>3</v>
      </c>
      <c r="AL920" s="2" t="s">
        <v>527</v>
      </c>
      <c r="AM920" s="2" t="s">
        <v>528</v>
      </c>
      <c r="AN920" s="2" t="s">
        <v>529</v>
      </c>
      <c r="AO920" s="2" t="s">
        <v>2033</v>
      </c>
      <c r="AP920" s="2" t="s">
        <v>2034</v>
      </c>
      <c r="AQ920" s="2"/>
      <c r="AR920" s="2" t="s">
        <v>2035</v>
      </c>
      <c r="AS920" s="2" t="s">
        <v>2036</v>
      </c>
      <c r="AT920" s="2" t="s">
        <v>673</v>
      </c>
      <c r="AU920" s="2" t="n">
        <v>2017</v>
      </c>
      <c r="AV920" s="2" t="n">
        <v>64</v>
      </c>
      <c r="AW920" s="2" t="n">
        <v>11</v>
      </c>
      <c r="AX920" s="2"/>
      <c r="AY920" s="2"/>
      <c r="AZ920" s="2"/>
      <c r="BA920" s="2"/>
      <c r="BB920" s="2" t="n">
        <v>1532</v>
      </c>
      <c r="BC920" s="2" t="n">
        <v>1539</v>
      </c>
      <c r="BD920" s="2"/>
      <c r="BE920" s="2" t="s">
        <v>16359</v>
      </c>
      <c r="BF920" s="2" t="str">
        <f aca="false">HYPERLINK("http://dx.doi.org/10.1093/cid/cix160","http://dx.doi.org/10.1093/cid/cix160")</f>
        <v>http://dx.doi.org/10.1093/cid/cix160</v>
      </c>
      <c r="BG920" s="2"/>
      <c r="BH920" s="2"/>
      <c r="BI920" s="2" t="n">
        <v>8</v>
      </c>
      <c r="BJ920" s="2" t="s">
        <v>536</v>
      </c>
      <c r="BK920" s="2" t="s">
        <v>100</v>
      </c>
      <c r="BL920" s="2" t="s">
        <v>536</v>
      </c>
      <c r="BM920" s="2" t="s">
        <v>16360</v>
      </c>
      <c r="BN920" s="2" t="n">
        <v>28329354</v>
      </c>
      <c r="BO920" s="2" t="s">
        <v>284</v>
      </c>
      <c r="BP920" s="2"/>
      <c r="BQ920" s="2"/>
      <c r="BR920" s="2" t="s">
        <v>104</v>
      </c>
      <c r="BS920" s="2" t="s">
        <v>16361</v>
      </c>
      <c r="BT920" s="2" t="str">
        <f aca="false">HYPERLINK("https%3A%2F%2Fwww.webofscience.com%2Fwos%2Fwoscc%2Ffull-record%2FWOS:000402139700013","View Full Record in Web of Science")</f>
        <v>View Full Record in Web of Science</v>
      </c>
    </row>
    <row r="921" customFormat="false" ht="12.75" hidden="false" customHeight="false" outlineLevel="0" collapsed="false">
      <c r="A921" s="2" t="s">
        <v>72</v>
      </c>
      <c r="B921" s="2" t="s">
        <v>16362</v>
      </c>
      <c r="C921" s="2"/>
      <c r="D921" s="2"/>
      <c r="E921" s="2"/>
      <c r="F921" s="2" t="s">
        <v>16362</v>
      </c>
      <c r="G921" s="2"/>
      <c r="H921" s="2"/>
      <c r="I921" s="2" t="s">
        <v>16363</v>
      </c>
      <c r="J921" s="2" t="s">
        <v>109</v>
      </c>
      <c r="K921" s="2"/>
      <c r="L921" s="2"/>
      <c r="M921" s="2" t="s">
        <v>77</v>
      </c>
      <c r="N921" s="2" t="s">
        <v>78</v>
      </c>
      <c r="O921" s="2"/>
      <c r="P921" s="2"/>
      <c r="Q921" s="2"/>
      <c r="R921" s="2"/>
      <c r="S921" s="2"/>
      <c r="T921" s="2" t="s">
        <v>16364</v>
      </c>
      <c r="U921" s="2" t="s">
        <v>16365</v>
      </c>
      <c r="V921" s="2" t="s">
        <v>16366</v>
      </c>
      <c r="W921" s="2" t="s">
        <v>16367</v>
      </c>
      <c r="X921" s="2"/>
      <c r="Y921" s="2" t="s">
        <v>16368</v>
      </c>
      <c r="Z921" s="2"/>
      <c r="AA921" s="2"/>
      <c r="AB921" s="2" t="s">
        <v>14744</v>
      </c>
      <c r="AC921" s="2"/>
      <c r="AD921" s="2"/>
      <c r="AE921" s="2"/>
      <c r="AF921" s="2"/>
      <c r="AG921" s="2" t="n">
        <v>10</v>
      </c>
      <c r="AH921" s="2" t="n">
        <v>41</v>
      </c>
      <c r="AI921" s="2" t="n">
        <v>47</v>
      </c>
      <c r="AJ921" s="2" t="n">
        <v>1</v>
      </c>
      <c r="AK921" s="2" t="n">
        <v>2</v>
      </c>
      <c r="AL921" s="2" t="s">
        <v>122</v>
      </c>
      <c r="AM921" s="2" t="s">
        <v>123</v>
      </c>
      <c r="AN921" s="2" t="s">
        <v>839</v>
      </c>
      <c r="AO921" s="2" t="s">
        <v>125</v>
      </c>
      <c r="AP921" s="2"/>
      <c r="AQ921" s="2"/>
      <c r="AR921" s="2" t="s">
        <v>127</v>
      </c>
      <c r="AS921" s="2" t="s">
        <v>128</v>
      </c>
      <c r="AT921" s="2" t="s">
        <v>599</v>
      </c>
      <c r="AU921" s="2" t="n">
        <v>2005</v>
      </c>
      <c r="AV921" s="2" t="n">
        <v>24</v>
      </c>
      <c r="AW921" s="2" t="n">
        <v>7</v>
      </c>
      <c r="AX921" s="2"/>
      <c r="AY921" s="2"/>
      <c r="AZ921" s="2"/>
      <c r="BA921" s="2"/>
      <c r="BB921" s="2" t="n">
        <v>645</v>
      </c>
      <c r="BC921" s="2" t="n">
        <v>646</v>
      </c>
      <c r="BD921" s="2"/>
      <c r="BE921" s="2" t="s">
        <v>16369</v>
      </c>
      <c r="BF921" s="2" t="str">
        <f aca="false">HYPERLINK("http://dx.doi.org/10.1097/01.inf.0000168846.71517.ee","http://dx.doi.org/10.1097/01.inf.0000168846.71517.ee")</f>
        <v>http://dx.doi.org/10.1097/01.inf.0000168846.71517.ee</v>
      </c>
      <c r="BG921" s="2"/>
      <c r="BH921" s="2"/>
      <c r="BI921" s="2" t="n">
        <v>2</v>
      </c>
      <c r="BJ921" s="2" t="s">
        <v>134</v>
      </c>
      <c r="BK921" s="2" t="s">
        <v>100</v>
      </c>
      <c r="BL921" s="2" t="s">
        <v>134</v>
      </c>
      <c r="BM921" s="2" t="s">
        <v>16065</v>
      </c>
      <c r="BN921" s="2" t="n">
        <v>15999010</v>
      </c>
      <c r="BO921" s="2" t="s">
        <v>656</v>
      </c>
      <c r="BP921" s="2"/>
      <c r="BQ921" s="2"/>
      <c r="BR921" s="2" t="s">
        <v>104</v>
      </c>
      <c r="BS921" s="2" t="s">
        <v>16370</v>
      </c>
      <c r="BT921" s="2" t="str">
        <f aca="false">HYPERLINK("https%3A%2F%2Fwww.webofscience.com%2Fwos%2Fwoscc%2Ffull-record%2FWOS:000230604200015","View Full Record in Web of Science")</f>
        <v>View Full Record in Web of Science</v>
      </c>
    </row>
    <row r="922" customFormat="false" ht="12.75" hidden="false" customHeight="false" outlineLevel="0" collapsed="false">
      <c r="A922" s="2" t="s">
        <v>72</v>
      </c>
      <c r="B922" s="2" t="s">
        <v>16371</v>
      </c>
      <c r="C922" s="2"/>
      <c r="D922" s="2"/>
      <c r="E922" s="2"/>
      <c r="F922" s="2" t="s">
        <v>16372</v>
      </c>
      <c r="G922" s="2"/>
      <c r="H922" s="2"/>
      <c r="I922" s="2" t="s">
        <v>16373</v>
      </c>
      <c r="J922" s="2" t="s">
        <v>16374</v>
      </c>
      <c r="K922" s="2"/>
      <c r="L922" s="2"/>
      <c r="M922" s="2" t="s">
        <v>77</v>
      </c>
      <c r="N922" s="2" t="s">
        <v>78</v>
      </c>
      <c r="O922" s="2"/>
      <c r="P922" s="2"/>
      <c r="Q922" s="2"/>
      <c r="R922" s="2"/>
      <c r="S922" s="2"/>
      <c r="T922" s="2" t="s">
        <v>16375</v>
      </c>
      <c r="U922" s="2" t="s">
        <v>16376</v>
      </c>
      <c r="V922" s="2" t="s">
        <v>16377</v>
      </c>
      <c r="W922" s="2" t="s">
        <v>16378</v>
      </c>
      <c r="X922" s="2" t="s">
        <v>16379</v>
      </c>
      <c r="Y922" s="2" t="s">
        <v>16380</v>
      </c>
      <c r="Z922" s="2" t="s">
        <v>16381</v>
      </c>
      <c r="AA922" s="2" t="s">
        <v>16382</v>
      </c>
      <c r="AB922" s="2" t="s">
        <v>16383</v>
      </c>
      <c r="AC922" s="2"/>
      <c r="AD922" s="2"/>
      <c r="AE922" s="2"/>
      <c r="AF922" s="2"/>
      <c r="AG922" s="2" t="n">
        <v>60</v>
      </c>
      <c r="AH922" s="2" t="n">
        <v>2</v>
      </c>
      <c r="AI922" s="2" t="n">
        <v>2</v>
      </c>
      <c r="AJ922" s="2" t="n">
        <v>0</v>
      </c>
      <c r="AK922" s="2" t="n">
        <v>6</v>
      </c>
      <c r="AL922" s="2" t="s">
        <v>16384</v>
      </c>
      <c r="AM922" s="2" t="s">
        <v>16385</v>
      </c>
      <c r="AN922" s="2" t="s">
        <v>16386</v>
      </c>
      <c r="AO922" s="2" t="s">
        <v>16387</v>
      </c>
      <c r="AP922" s="2" t="s">
        <v>16388</v>
      </c>
      <c r="AQ922" s="2"/>
      <c r="AR922" s="2" t="s">
        <v>16389</v>
      </c>
      <c r="AS922" s="2" t="s">
        <v>16390</v>
      </c>
      <c r="AT922" s="2" t="s">
        <v>486</v>
      </c>
      <c r="AU922" s="2" t="n">
        <v>2020</v>
      </c>
      <c r="AV922" s="2" t="n">
        <v>67</v>
      </c>
      <c r="AW922" s="2" t="n">
        <v>2</v>
      </c>
      <c r="AX922" s="2"/>
      <c r="AY922" s="2"/>
      <c r="AZ922" s="2"/>
      <c r="BA922" s="2"/>
      <c r="BB922" s="2" t="n">
        <v>112</v>
      </c>
      <c r="BC922" s="2" t="n">
        <v>119</v>
      </c>
      <c r="BD922" s="2"/>
      <c r="BE922" s="2" t="s">
        <v>16391</v>
      </c>
      <c r="BF922" s="2" t="str">
        <f aca="false">HYPERLINK("http://dx.doi.org/10.1556/030.2020.01059","http://dx.doi.org/10.1556/030.2020.01059")</f>
        <v>http://dx.doi.org/10.1556/030.2020.01059</v>
      </c>
      <c r="BG922" s="2"/>
      <c r="BH922" s="2"/>
      <c r="BI922" s="2" t="n">
        <v>8</v>
      </c>
      <c r="BJ922" s="2" t="s">
        <v>2364</v>
      </c>
      <c r="BK922" s="2" t="s">
        <v>100</v>
      </c>
      <c r="BL922" s="2" t="s">
        <v>2364</v>
      </c>
      <c r="BM922" s="2" t="s">
        <v>16392</v>
      </c>
      <c r="BN922" s="2" t="n">
        <v>32160782</v>
      </c>
      <c r="BO922" s="2" t="s">
        <v>695</v>
      </c>
      <c r="BP922" s="2"/>
      <c r="BQ922" s="2"/>
      <c r="BR922" s="2" t="s">
        <v>104</v>
      </c>
      <c r="BS922" s="2" t="s">
        <v>16393</v>
      </c>
      <c r="BT922" s="2" t="str">
        <f aca="false">HYPERLINK("https%3A%2F%2Fwww.webofscience.com%2Fwos%2Fwoscc%2Ffull-record%2FWOS:000600065500006","View Full Record in Web of Science")</f>
        <v>View Full Record in Web of Science</v>
      </c>
    </row>
    <row r="923" customFormat="false" ht="12.75" hidden="false" customHeight="false" outlineLevel="0" collapsed="false">
      <c r="A923" s="2" t="s">
        <v>72</v>
      </c>
      <c r="B923" s="2" t="s">
        <v>16394</v>
      </c>
      <c r="C923" s="2"/>
      <c r="D923" s="2"/>
      <c r="E923" s="2"/>
      <c r="F923" s="2" t="s">
        <v>16395</v>
      </c>
      <c r="G923" s="2"/>
      <c r="H923" s="2"/>
      <c r="I923" s="2" t="s">
        <v>16396</v>
      </c>
      <c r="J923" s="2" t="s">
        <v>11019</v>
      </c>
      <c r="K923" s="2"/>
      <c r="L923" s="2"/>
      <c r="M923" s="2" t="s">
        <v>77</v>
      </c>
      <c r="N923" s="2" t="s">
        <v>78</v>
      </c>
      <c r="O923" s="2"/>
      <c r="P923" s="2"/>
      <c r="Q923" s="2"/>
      <c r="R923" s="2"/>
      <c r="S923" s="2"/>
      <c r="T923" s="2" t="s">
        <v>16397</v>
      </c>
      <c r="U923" s="2" t="s">
        <v>16398</v>
      </c>
      <c r="V923" s="2" t="s">
        <v>16399</v>
      </c>
      <c r="W923" s="2" t="s">
        <v>16400</v>
      </c>
      <c r="X923" s="2" t="s">
        <v>16401</v>
      </c>
      <c r="Y923" s="2" t="s">
        <v>16402</v>
      </c>
      <c r="Z923" s="2" t="s">
        <v>8566</v>
      </c>
      <c r="AA923" s="2"/>
      <c r="AB923" s="2"/>
      <c r="AC923" s="2" t="s">
        <v>16403</v>
      </c>
      <c r="AD923" s="2" t="s">
        <v>3896</v>
      </c>
      <c r="AE923" s="2" t="s">
        <v>16404</v>
      </c>
      <c r="AF923" s="2"/>
      <c r="AG923" s="2" t="n">
        <v>23</v>
      </c>
      <c r="AH923" s="2" t="n">
        <v>21</v>
      </c>
      <c r="AI923" s="2" t="n">
        <v>26</v>
      </c>
      <c r="AJ923" s="2" t="n">
        <v>0</v>
      </c>
      <c r="AK923" s="2" t="n">
        <v>2</v>
      </c>
      <c r="AL923" s="2" t="s">
        <v>154</v>
      </c>
      <c r="AM923" s="2" t="s">
        <v>155</v>
      </c>
      <c r="AN923" s="2" t="s">
        <v>156</v>
      </c>
      <c r="AO923" s="2" t="s">
        <v>11028</v>
      </c>
      <c r="AP923" s="2" t="s">
        <v>11029</v>
      </c>
      <c r="AQ923" s="2"/>
      <c r="AR923" s="2" t="s">
        <v>11030</v>
      </c>
      <c r="AS923" s="2" t="s">
        <v>11031</v>
      </c>
      <c r="AT923" s="2" t="s">
        <v>599</v>
      </c>
      <c r="AU923" s="2" t="n">
        <v>2008</v>
      </c>
      <c r="AV923" s="2" t="n">
        <v>2</v>
      </c>
      <c r="AW923" s="2" t="n">
        <v>4</v>
      </c>
      <c r="AX923" s="2"/>
      <c r="AY923" s="2"/>
      <c r="AZ923" s="2"/>
      <c r="BA923" s="2"/>
      <c r="BB923" s="2" t="n">
        <v>135</v>
      </c>
      <c r="BC923" s="2" t="n">
        <v>138</v>
      </c>
      <c r="BD923" s="2"/>
      <c r="BE923" s="2" t="s">
        <v>16405</v>
      </c>
      <c r="BF923" s="2" t="str">
        <f aca="false">HYPERLINK("http://dx.doi.org/10.1111/j.1750-2659.2008.00049.x","http://dx.doi.org/10.1111/j.1750-2659.2008.00049.x")</f>
        <v>http://dx.doi.org/10.1111/j.1750-2659.2008.00049.x</v>
      </c>
      <c r="BG923" s="2"/>
      <c r="BH923" s="2"/>
      <c r="BI923" s="2" t="n">
        <v>4</v>
      </c>
      <c r="BJ923" s="2" t="s">
        <v>8287</v>
      </c>
      <c r="BK923" s="2" t="s">
        <v>100</v>
      </c>
      <c r="BL923" s="2" t="s">
        <v>8287</v>
      </c>
      <c r="BM923" s="2" t="s">
        <v>16406</v>
      </c>
      <c r="BN923" s="2" t="n">
        <v>19453465</v>
      </c>
      <c r="BO923" s="2" t="s">
        <v>284</v>
      </c>
      <c r="BP923" s="2"/>
      <c r="BQ923" s="2"/>
      <c r="BR923" s="2" t="s">
        <v>104</v>
      </c>
      <c r="BS923" s="2" t="s">
        <v>16407</v>
      </c>
      <c r="BT923" s="2" t="str">
        <f aca="false">HYPERLINK("https%3A%2F%2Fwww.webofscience.com%2Fwos%2Fwoscc%2Ffull-record%2FWOS:000267761600004","View Full Record in Web of Science")</f>
        <v>View Full Record in Web of Science</v>
      </c>
    </row>
    <row r="924" customFormat="false" ht="12.75" hidden="false" customHeight="false" outlineLevel="0" collapsed="false">
      <c r="A924" s="2" t="s">
        <v>72</v>
      </c>
      <c r="B924" s="2" t="s">
        <v>16408</v>
      </c>
      <c r="C924" s="2"/>
      <c r="D924" s="2"/>
      <c r="E924" s="2"/>
      <c r="F924" s="2" t="s">
        <v>16408</v>
      </c>
      <c r="G924" s="2"/>
      <c r="H924" s="2"/>
      <c r="I924" s="2" t="s">
        <v>16409</v>
      </c>
      <c r="J924" s="2" t="s">
        <v>141</v>
      </c>
      <c r="K924" s="2"/>
      <c r="L924" s="2"/>
      <c r="M924" s="2" t="s">
        <v>77</v>
      </c>
      <c r="N924" s="2" t="s">
        <v>78</v>
      </c>
      <c r="O924" s="2"/>
      <c r="P924" s="2"/>
      <c r="Q924" s="2"/>
      <c r="R924" s="2"/>
      <c r="S924" s="2"/>
      <c r="T924" s="2" t="s">
        <v>16410</v>
      </c>
      <c r="U924" s="2" t="s">
        <v>16411</v>
      </c>
      <c r="V924" s="2" t="s">
        <v>16412</v>
      </c>
      <c r="W924" s="2" t="s">
        <v>16413</v>
      </c>
      <c r="X924" s="2" t="s">
        <v>16414</v>
      </c>
      <c r="Y924" s="2" t="s">
        <v>16415</v>
      </c>
      <c r="Z924" s="2" t="s">
        <v>5566</v>
      </c>
      <c r="AA924" s="2" t="s">
        <v>16416</v>
      </c>
      <c r="AB924" s="2" t="s">
        <v>16417</v>
      </c>
      <c r="AC924" s="2"/>
      <c r="AD924" s="2"/>
      <c r="AE924" s="2"/>
      <c r="AF924" s="2"/>
      <c r="AG924" s="2" t="n">
        <v>58</v>
      </c>
      <c r="AH924" s="2" t="n">
        <v>124</v>
      </c>
      <c r="AI924" s="2" t="n">
        <v>144</v>
      </c>
      <c r="AJ924" s="2" t="n">
        <v>1</v>
      </c>
      <c r="AK924" s="2" t="n">
        <v>7</v>
      </c>
      <c r="AL924" s="2" t="s">
        <v>2746</v>
      </c>
      <c r="AM924" s="2" t="s">
        <v>155</v>
      </c>
      <c r="AN924" s="2" t="s">
        <v>2747</v>
      </c>
      <c r="AO924" s="2" t="s">
        <v>157</v>
      </c>
      <c r="AP924" s="2"/>
      <c r="AQ924" s="2"/>
      <c r="AR924" s="2" t="s">
        <v>159</v>
      </c>
      <c r="AS924" s="2" t="s">
        <v>160</v>
      </c>
      <c r="AT924" s="2" t="s">
        <v>599</v>
      </c>
      <c r="AU924" s="2" t="n">
        <v>2006</v>
      </c>
      <c r="AV924" s="2" t="n">
        <v>78</v>
      </c>
      <c r="AW924" s="2" t="n">
        <v>7</v>
      </c>
      <c r="AX924" s="2"/>
      <c r="AY924" s="2"/>
      <c r="AZ924" s="2"/>
      <c r="BA924" s="2"/>
      <c r="BB924" s="2" t="n">
        <v>938</v>
      </c>
      <c r="BC924" s="2" t="n">
        <v>949</v>
      </c>
      <c r="BD924" s="2"/>
      <c r="BE924" s="2" t="s">
        <v>16418</v>
      </c>
      <c r="BF924" s="2" t="str">
        <f aca="false">HYPERLINK("http://dx.doi.org/10.1002/jmv.20645","http://dx.doi.org/10.1002/jmv.20645")</f>
        <v>http://dx.doi.org/10.1002/jmv.20645</v>
      </c>
      <c r="BG924" s="2"/>
      <c r="BH924" s="2"/>
      <c r="BI924" s="2" t="n">
        <v>12</v>
      </c>
      <c r="BJ924" s="2" t="s">
        <v>163</v>
      </c>
      <c r="BK924" s="2" t="s">
        <v>100</v>
      </c>
      <c r="BL924" s="2" t="s">
        <v>163</v>
      </c>
      <c r="BM924" s="2" t="s">
        <v>16419</v>
      </c>
      <c r="BN924" s="2" t="n">
        <v>16721849</v>
      </c>
      <c r="BO924" s="2" t="s">
        <v>165</v>
      </c>
      <c r="BP924" s="2"/>
      <c r="BQ924" s="2"/>
      <c r="BR924" s="2" t="s">
        <v>104</v>
      </c>
      <c r="BS924" s="2" t="s">
        <v>16420</v>
      </c>
      <c r="BT924" s="2" t="str">
        <f aca="false">HYPERLINK("https%3A%2F%2Fwww.webofscience.com%2Fwos%2Fwoscc%2Ffull-record%2FWOS:000238005300013","View Full Record in Web of Science")</f>
        <v>View Full Record in Web of Science</v>
      </c>
    </row>
    <row r="925" customFormat="false" ht="12.75" hidden="false" customHeight="false" outlineLevel="0" collapsed="false">
      <c r="A925" s="2" t="s">
        <v>72</v>
      </c>
      <c r="B925" s="2" t="s">
        <v>16421</v>
      </c>
      <c r="C925" s="2"/>
      <c r="D925" s="2"/>
      <c r="E925" s="2"/>
      <c r="F925" s="2" t="s">
        <v>16422</v>
      </c>
      <c r="G925" s="2"/>
      <c r="H925" s="2"/>
      <c r="I925" s="2" t="s">
        <v>16423</v>
      </c>
      <c r="J925" s="2" t="s">
        <v>370</v>
      </c>
      <c r="K925" s="2"/>
      <c r="L925" s="2"/>
      <c r="M925" s="2" t="s">
        <v>77</v>
      </c>
      <c r="N925" s="2" t="s">
        <v>78</v>
      </c>
      <c r="O925" s="2"/>
      <c r="P925" s="2"/>
      <c r="Q925" s="2"/>
      <c r="R925" s="2"/>
      <c r="S925" s="2"/>
      <c r="T925" s="2" t="s">
        <v>16424</v>
      </c>
      <c r="U925" s="2" t="s">
        <v>16425</v>
      </c>
      <c r="V925" s="2" t="s">
        <v>16426</v>
      </c>
      <c r="W925" s="2" t="s">
        <v>16427</v>
      </c>
      <c r="X925" s="2" t="s">
        <v>3705</v>
      </c>
      <c r="Y925" s="2" t="s">
        <v>12320</v>
      </c>
      <c r="Z925" s="2" t="s">
        <v>5566</v>
      </c>
      <c r="AA925" s="2" t="s">
        <v>16428</v>
      </c>
      <c r="AB925" s="2" t="s">
        <v>16429</v>
      </c>
      <c r="AC925" s="2"/>
      <c r="AD925" s="2"/>
      <c r="AE925" s="2"/>
      <c r="AF925" s="2"/>
      <c r="AG925" s="2" t="n">
        <v>26</v>
      </c>
      <c r="AH925" s="2" t="n">
        <v>88</v>
      </c>
      <c r="AI925" s="2" t="n">
        <v>98</v>
      </c>
      <c r="AJ925" s="2" t="n">
        <v>1</v>
      </c>
      <c r="AK925" s="2" t="n">
        <v>6</v>
      </c>
      <c r="AL925" s="2" t="s">
        <v>549</v>
      </c>
      <c r="AM925" s="2" t="s">
        <v>384</v>
      </c>
      <c r="AN925" s="2" t="s">
        <v>550</v>
      </c>
      <c r="AO925" s="2" t="s">
        <v>386</v>
      </c>
      <c r="AP925" s="2"/>
      <c r="AQ925" s="2"/>
      <c r="AR925" s="2" t="s">
        <v>388</v>
      </c>
      <c r="AS925" s="2" t="s">
        <v>389</v>
      </c>
      <c r="AT925" s="2" t="s">
        <v>97</v>
      </c>
      <c r="AU925" s="2" t="n">
        <v>2007</v>
      </c>
      <c r="AV925" s="2" t="n">
        <v>38</v>
      </c>
      <c r="AW925" s="2" t="n">
        <v>3</v>
      </c>
      <c r="AX925" s="2"/>
      <c r="AY925" s="2"/>
      <c r="AZ925" s="2"/>
      <c r="BA925" s="2"/>
      <c r="BB925" s="2" t="n">
        <v>244</v>
      </c>
      <c r="BC925" s="2" t="n">
        <v>250</v>
      </c>
      <c r="BD925" s="2"/>
      <c r="BE925" s="2" t="s">
        <v>16430</v>
      </c>
      <c r="BF925" s="2" t="str">
        <f aca="false">HYPERLINK("http://dx.doi.org/10.1016/j.jcv.2006.12.008","http://dx.doi.org/10.1016/j.jcv.2006.12.008")</f>
        <v>http://dx.doi.org/10.1016/j.jcv.2006.12.008</v>
      </c>
      <c r="BG925" s="2"/>
      <c r="BH925" s="2"/>
      <c r="BI925" s="2" t="n">
        <v>7</v>
      </c>
      <c r="BJ925" s="2" t="s">
        <v>163</v>
      </c>
      <c r="BK925" s="2" t="s">
        <v>100</v>
      </c>
      <c r="BL925" s="2" t="s">
        <v>163</v>
      </c>
      <c r="BM925" s="2" t="s">
        <v>15643</v>
      </c>
      <c r="BN925" s="2" t="n">
        <v>17222582</v>
      </c>
      <c r="BO925" s="2" t="s">
        <v>1089</v>
      </c>
      <c r="BP925" s="2"/>
      <c r="BQ925" s="2"/>
      <c r="BR925" s="2" t="s">
        <v>104</v>
      </c>
      <c r="BS925" s="2" t="s">
        <v>16431</v>
      </c>
      <c r="BT925" s="2" t="str">
        <f aca="false">HYPERLINK("https%3A%2F%2Fwww.webofscience.com%2Fwos%2Fwoscc%2Ffull-record%2FWOS:000245160900009","View Full Record in Web of Science")</f>
        <v>View Full Record in Web of Science</v>
      </c>
    </row>
    <row r="926" customFormat="false" ht="12.75" hidden="false" customHeight="false" outlineLevel="0" collapsed="false">
      <c r="A926" s="2" t="s">
        <v>72</v>
      </c>
      <c r="B926" s="2" t="s">
        <v>16432</v>
      </c>
      <c r="C926" s="2"/>
      <c r="D926" s="2"/>
      <c r="E926" s="2"/>
      <c r="F926" s="2" t="s">
        <v>16433</v>
      </c>
      <c r="G926" s="2"/>
      <c r="H926" s="2" t="s">
        <v>16434</v>
      </c>
      <c r="I926" s="2" t="s">
        <v>16435</v>
      </c>
      <c r="J926" s="2" t="s">
        <v>16436</v>
      </c>
      <c r="K926" s="2"/>
      <c r="L926" s="2"/>
      <c r="M926" s="2" t="s">
        <v>77</v>
      </c>
      <c r="N926" s="2" t="s">
        <v>78</v>
      </c>
      <c r="O926" s="2"/>
      <c r="P926" s="2"/>
      <c r="Q926" s="2"/>
      <c r="R926" s="2"/>
      <c r="S926" s="2"/>
      <c r="T926" s="2" t="s">
        <v>16437</v>
      </c>
      <c r="U926" s="2" t="s">
        <v>16438</v>
      </c>
      <c r="V926" s="2" t="s">
        <v>16439</v>
      </c>
      <c r="W926" s="2" t="s">
        <v>16440</v>
      </c>
      <c r="X926" s="2" t="s">
        <v>16441</v>
      </c>
      <c r="Y926" s="2" t="s">
        <v>16442</v>
      </c>
      <c r="Z926" s="2" t="s">
        <v>16443</v>
      </c>
      <c r="AA926" s="2" t="s">
        <v>16444</v>
      </c>
      <c r="AB926" s="2" t="s">
        <v>16445</v>
      </c>
      <c r="AC926" s="2" t="s">
        <v>16446</v>
      </c>
      <c r="AD926" s="2" t="s">
        <v>16447</v>
      </c>
      <c r="AE926" s="2" t="s">
        <v>16448</v>
      </c>
      <c r="AF926" s="2"/>
      <c r="AG926" s="2" t="n">
        <v>56</v>
      </c>
      <c r="AH926" s="2" t="n">
        <v>17</v>
      </c>
      <c r="AI926" s="2" t="n">
        <v>19</v>
      </c>
      <c r="AJ926" s="2" t="n">
        <v>0</v>
      </c>
      <c r="AK926" s="2" t="n">
        <v>8</v>
      </c>
      <c r="AL926" s="2" t="s">
        <v>5385</v>
      </c>
      <c r="AM926" s="2" t="s">
        <v>303</v>
      </c>
      <c r="AN926" s="2" t="s">
        <v>5386</v>
      </c>
      <c r="AO926" s="2" t="s">
        <v>16449</v>
      </c>
      <c r="AP926" s="2" t="s">
        <v>16450</v>
      </c>
      <c r="AQ926" s="2"/>
      <c r="AR926" s="2" t="s">
        <v>16436</v>
      </c>
      <c r="AS926" s="2" t="s">
        <v>16451</v>
      </c>
      <c r="AT926" s="2" t="s">
        <v>129</v>
      </c>
      <c r="AU926" s="2" t="n">
        <v>2019</v>
      </c>
      <c r="AV926" s="2" t="n">
        <v>61</v>
      </c>
      <c r="AW926" s="2"/>
      <c r="AX926" s="2"/>
      <c r="AY926" s="2"/>
      <c r="AZ926" s="2"/>
      <c r="BA926" s="2"/>
      <c r="BB926" s="2" t="n">
        <v>85</v>
      </c>
      <c r="BC926" s="2" t="n">
        <v>94</v>
      </c>
      <c r="BD926" s="2"/>
      <c r="BE926" s="2" t="s">
        <v>16452</v>
      </c>
      <c r="BF926" s="2" t="str">
        <f aca="false">HYPERLINK("http://dx.doi.org/10.1016/j.biologicals.2018.02.002","http://dx.doi.org/10.1016/j.biologicals.2018.02.002")</f>
        <v>http://dx.doi.org/10.1016/j.biologicals.2018.02.002</v>
      </c>
      <c r="BG926" s="2"/>
      <c r="BH926" s="2"/>
      <c r="BI926" s="2" t="n">
        <v>10</v>
      </c>
      <c r="BJ926" s="2" t="s">
        <v>16453</v>
      </c>
      <c r="BK926" s="2" t="s">
        <v>100</v>
      </c>
      <c r="BL926" s="2" t="s">
        <v>16454</v>
      </c>
      <c r="BM926" s="2" t="s">
        <v>16455</v>
      </c>
      <c r="BN926" s="2" t="n">
        <v>29573967</v>
      </c>
      <c r="BO926" s="2" t="s">
        <v>765</v>
      </c>
      <c r="BP926" s="2"/>
      <c r="BQ926" s="2"/>
      <c r="BR926" s="2" t="s">
        <v>104</v>
      </c>
      <c r="BS926" s="2" t="s">
        <v>16456</v>
      </c>
      <c r="BT926" s="2" t="str">
        <f aca="false">HYPERLINK("https%3A%2F%2Fwww.webofscience.com%2Fwos%2Fwoscc%2Ffull-record%2FWOS:000488138100014","View Full Record in Web of Science")</f>
        <v>View Full Record in Web of Science</v>
      </c>
    </row>
    <row r="927" customFormat="false" ht="12.75" hidden="false" customHeight="false" outlineLevel="0" collapsed="false">
      <c r="A927" s="2" t="s">
        <v>72</v>
      </c>
      <c r="B927" s="2" t="s">
        <v>16457</v>
      </c>
      <c r="C927" s="2"/>
      <c r="D927" s="2"/>
      <c r="E927" s="2"/>
      <c r="F927" s="2" t="s">
        <v>16458</v>
      </c>
      <c r="G927" s="2"/>
      <c r="H927" s="2"/>
      <c r="I927" s="2" t="s">
        <v>16459</v>
      </c>
      <c r="J927" s="2" t="s">
        <v>141</v>
      </c>
      <c r="K927" s="2"/>
      <c r="L927" s="2"/>
      <c r="M927" s="2" t="s">
        <v>77</v>
      </c>
      <c r="N927" s="2" t="s">
        <v>78</v>
      </c>
      <c r="O927" s="2"/>
      <c r="P927" s="2"/>
      <c r="Q927" s="2"/>
      <c r="R927" s="2"/>
      <c r="S927" s="2"/>
      <c r="T927" s="2" t="s">
        <v>16460</v>
      </c>
      <c r="U927" s="2" t="s">
        <v>16461</v>
      </c>
      <c r="V927" s="2" t="s">
        <v>16462</v>
      </c>
      <c r="W927" s="2" t="s">
        <v>16463</v>
      </c>
      <c r="X927" s="2" t="s">
        <v>16464</v>
      </c>
      <c r="Y927" s="2" t="s">
        <v>16465</v>
      </c>
      <c r="Z927" s="2" t="s">
        <v>8506</v>
      </c>
      <c r="AA927" s="2" t="s">
        <v>16466</v>
      </c>
      <c r="AB927" s="2" t="s">
        <v>16467</v>
      </c>
      <c r="AC927" s="2" t="s">
        <v>16468</v>
      </c>
      <c r="AD927" s="2" t="s">
        <v>8510</v>
      </c>
      <c r="AE927" s="2" t="s">
        <v>16469</v>
      </c>
      <c r="AF927" s="2"/>
      <c r="AG927" s="2" t="n">
        <v>49</v>
      </c>
      <c r="AH927" s="2" t="n">
        <v>18</v>
      </c>
      <c r="AI927" s="2" t="n">
        <v>25</v>
      </c>
      <c r="AJ927" s="2" t="n">
        <v>0</v>
      </c>
      <c r="AK927" s="2" t="n">
        <v>7</v>
      </c>
      <c r="AL927" s="2" t="s">
        <v>154</v>
      </c>
      <c r="AM927" s="2" t="s">
        <v>155</v>
      </c>
      <c r="AN927" s="2" t="s">
        <v>156</v>
      </c>
      <c r="AO927" s="2" t="s">
        <v>157</v>
      </c>
      <c r="AP927" s="2" t="s">
        <v>158</v>
      </c>
      <c r="AQ927" s="2"/>
      <c r="AR927" s="2" t="s">
        <v>159</v>
      </c>
      <c r="AS927" s="2" t="s">
        <v>160</v>
      </c>
      <c r="AT927" s="2" t="s">
        <v>161</v>
      </c>
      <c r="AU927" s="2" t="n">
        <v>2012</v>
      </c>
      <c r="AV927" s="2" t="n">
        <v>84</v>
      </c>
      <c r="AW927" s="2" t="n">
        <v>1</v>
      </c>
      <c r="AX927" s="2"/>
      <c r="AY927" s="2"/>
      <c r="AZ927" s="2"/>
      <c r="BA927" s="2"/>
      <c r="BB927" s="2" t="n">
        <v>99</v>
      </c>
      <c r="BC927" s="2" t="n">
        <v>108</v>
      </c>
      <c r="BD927" s="2"/>
      <c r="BE927" s="2" t="s">
        <v>16470</v>
      </c>
      <c r="BF927" s="2" t="str">
        <f aca="false">HYPERLINK("http://dx.doi.org/10.1002/jmv.22217","http://dx.doi.org/10.1002/jmv.22217")</f>
        <v>http://dx.doi.org/10.1002/jmv.22217</v>
      </c>
      <c r="BG927" s="2"/>
      <c r="BH927" s="2"/>
      <c r="BI927" s="2" t="n">
        <v>10</v>
      </c>
      <c r="BJ927" s="2" t="s">
        <v>163</v>
      </c>
      <c r="BK927" s="2" t="s">
        <v>100</v>
      </c>
      <c r="BL927" s="2" t="s">
        <v>163</v>
      </c>
      <c r="BM927" s="2" t="s">
        <v>16471</v>
      </c>
      <c r="BN927" s="2" t="n">
        <v>22028039</v>
      </c>
      <c r="BO927" s="2" t="s">
        <v>165</v>
      </c>
      <c r="BP927" s="2"/>
      <c r="BQ927" s="2"/>
      <c r="BR927" s="2" t="s">
        <v>104</v>
      </c>
      <c r="BS927" s="2" t="s">
        <v>16472</v>
      </c>
      <c r="BT927" s="2" t="str">
        <f aca="false">HYPERLINK("https%3A%2F%2Fwww.webofscience.com%2Fwos%2Fwoscc%2Ffull-record%2FWOS:000297456600016","View Full Record in Web of Science")</f>
        <v>View Full Record in Web of Science</v>
      </c>
    </row>
    <row r="928" customFormat="false" ht="12.75" hidden="false" customHeight="false" outlineLevel="0" collapsed="false">
      <c r="A928" s="2" t="s">
        <v>72</v>
      </c>
      <c r="B928" s="2" t="s">
        <v>16473</v>
      </c>
      <c r="C928" s="2"/>
      <c r="D928" s="2"/>
      <c r="E928" s="2"/>
      <c r="F928" s="2" t="s">
        <v>16474</v>
      </c>
      <c r="G928" s="2"/>
      <c r="H928" s="2"/>
      <c r="I928" s="2" t="s">
        <v>16475</v>
      </c>
      <c r="J928" s="2" t="s">
        <v>2061</v>
      </c>
      <c r="K928" s="2"/>
      <c r="L928" s="2"/>
      <c r="M928" s="2" t="s">
        <v>77</v>
      </c>
      <c r="N928" s="2" t="s">
        <v>78</v>
      </c>
      <c r="O928" s="2"/>
      <c r="P928" s="2"/>
      <c r="Q928" s="2"/>
      <c r="R928" s="2"/>
      <c r="S928" s="2"/>
      <c r="T928" s="2" t="s">
        <v>16476</v>
      </c>
      <c r="U928" s="2" t="s">
        <v>16477</v>
      </c>
      <c r="V928" s="2" t="s">
        <v>16478</v>
      </c>
      <c r="W928" s="2" t="s">
        <v>16479</v>
      </c>
      <c r="X928" s="2" t="s">
        <v>16480</v>
      </c>
      <c r="Y928" s="2" t="s">
        <v>16481</v>
      </c>
      <c r="Z928" s="2" t="s">
        <v>16482</v>
      </c>
      <c r="AA928" s="2" t="s">
        <v>16483</v>
      </c>
      <c r="AB928" s="2"/>
      <c r="AC928" s="2"/>
      <c r="AD928" s="2"/>
      <c r="AE928" s="2"/>
      <c r="AF928" s="2"/>
      <c r="AG928" s="2" t="n">
        <v>31</v>
      </c>
      <c r="AH928" s="2" t="n">
        <v>6</v>
      </c>
      <c r="AI928" s="2" t="n">
        <v>6</v>
      </c>
      <c r="AJ928" s="2" t="n">
        <v>0</v>
      </c>
      <c r="AK928" s="2" t="n">
        <v>7</v>
      </c>
      <c r="AL928" s="2" t="s">
        <v>2070</v>
      </c>
      <c r="AM928" s="2" t="s">
        <v>2071</v>
      </c>
      <c r="AN928" s="2" t="s">
        <v>2072</v>
      </c>
      <c r="AO928" s="2" t="s">
        <v>2073</v>
      </c>
      <c r="AP928" s="2"/>
      <c r="AQ928" s="2"/>
      <c r="AR928" s="2" t="s">
        <v>2074</v>
      </c>
      <c r="AS928" s="2" t="s">
        <v>2075</v>
      </c>
      <c r="AT928" s="2" t="s">
        <v>336</v>
      </c>
      <c r="AU928" s="2" t="n">
        <v>2020</v>
      </c>
      <c r="AV928" s="2" t="n">
        <v>14</v>
      </c>
      <c r="AW928" s="2" t="n">
        <v>10</v>
      </c>
      <c r="AX928" s="2"/>
      <c r="AY928" s="2"/>
      <c r="AZ928" s="2"/>
      <c r="BA928" s="2"/>
      <c r="BB928" s="2" t="n">
        <v>1191</v>
      </c>
      <c r="BC928" s="2" t="n">
        <v>1196</v>
      </c>
      <c r="BD928" s="2"/>
      <c r="BE928" s="2" t="s">
        <v>16484</v>
      </c>
      <c r="BF928" s="2" t="str">
        <f aca="false">HYPERLINK("http://dx.doi.org/10.3855/jidc.12553","http://dx.doi.org/10.3855/jidc.12553")</f>
        <v>http://dx.doi.org/10.3855/jidc.12553</v>
      </c>
      <c r="BG928" s="2"/>
      <c r="BH928" s="2"/>
      <c r="BI928" s="2" t="n">
        <v>6</v>
      </c>
      <c r="BJ928" s="2" t="s">
        <v>575</v>
      </c>
      <c r="BK928" s="2" t="s">
        <v>100</v>
      </c>
      <c r="BL928" s="2" t="s">
        <v>575</v>
      </c>
      <c r="BM928" s="2" t="s">
        <v>16485</v>
      </c>
      <c r="BN928" s="2" t="n">
        <v>33175716</v>
      </c>
      <c r="BO928" s="2" t="s">
        <v>1355</v>
      </c>
      <c r="BP928" s="2"/>
      <c r="BQ928" s="2"/>
      <c r="BR928" s="2" t="s">
        <v>104</v>
      </c>
      <c r="BS928" s="2" t="s">
        <v>16486</v>
      </c>
      <c r="BT928" s="2" t="str">
        <f aca="false">HYPERLINK("https%3A%2F%2Fwww.webofscience.com%2Fwos%2Fwoscc%2Ffull-record%2FWOS:000590262200019","View Full Record in Web of Science")</f>
        <v>View Full Record in Web of Science</v>
      </c>
    </row>
    <row r="929" customFormat="false" ht="12.75" hidden="false" customHeight="false" outlineLevel="0" collapsed="false">
      <c r="A929" s="2" t="s">
        <v>72</v>
      </c>
      <c r="B929" s="2" t="s">
        <v>16487</v>
      </c>
      <c r="C929" s="2"/>
      <c r="D929" s="2"/>
      <c r="E929" s="2"/>
      <c r="F929" s="2" t="s">
        <v>16488</v>
      </c>
      <c r="G929" s="2"/>
      <c r="H929" s="2"/>
      <c r="I929" s="2" t="s">
        <v>16489</v>
      </c>
      <c r="J929" s="2" t="s">
        <v>370</v>
      </c>
      <c r="K929" s="2"/>
      <c r="L929" s="2"/>
      <c r="M929" s="2" t="s">
        <v>77</v>
      </c>
      <c r="N929" s="2" t="s">
        <v>78</v>
      </c>
      <c r="O929" s="2"/>
      <c r="P929" s="2"/>
      <c r="Q929" s="2"/>
      <c r="R929" s="2"/>
      <c r="S929" s="2"/>
      <c r="T929" s="2" t="s">
        <v>16490</v>
      </c>
      <c r="U929" s="2" t="s">
        <v>16491</v>
      </c>
      <c r="V929" s="2" t="s">
        <v>16492</v>
      </c>
      <c r="W929" s="2" t="s">
        <v>16493</v>
      </c>
      <c r="X929" s="2" t="s">
        <v>13129</v>
      </c>
      <c r="Y929" s="2" t="s">
        <v>16494</v>
      </c>
      <c r="Z929" s="2" t="s">
        <v>16495</v>
      </c>
      <c r="AA929" s="2" t="s">
        <v>3047</v>
      </c>
      <c r="AB929" s="2" t="s">
        <v>3048</v>
      </c>
      <c r="AC929" s="2"/>
      <c r="AD929" s="2"/>
      <c r="AE929" s="2"/>
      <c r="AF929" s="2"/>
      <c r="AG929" s="2" t="n">
        <v>40</v>
      </c>
      <c r="AH929" s="2" t="n">
        <v>55</v>
      </c>
      <c r="AI929" s="2" t="n">
        <v>62</v>
      </c>
      <c r="AJ929" s="2" t="n">
        <v>0</v>
      </c>
      <c r="AK929" s="2" t="n">
        <v>2</v>
      </c>
      <c r="AL929" s="2" t="s">
        <v>549</v>
      </c>
      <c r="AM929" s="2" t="s">
        <v>384</v>
      </c>
      <c r="AN929" s="2" t="s">
        <v>550</v>
      </c>
      <c r="AO929" s="2" t="s">
        <v>386</v>
      </c>
      <c r="AP929" s="2" t="s">
        <v>387</v>
      </c>
      <c r="AQ929" s="2"/>
      <c r="AR929" s="2" t="s">
        <v>388</v>
      </c>
      <c r="AS929" s="2" t="s">
        <v>389</v>
      </c>
      <c r="AT929" s="2" t="s">
        <v>804</v>
      </c>
      <c r="AU929" s="2" t="n">
        <v>2007</v>
      </c>
      <c r="AV929" s="2" t="n">
        <v>40</v>
      </c>
      <c r="AW929" s="2" t="n">
        <v>3</v>
      </c>
      <c r="AX929" s="2"/>
      <c r="AY929" s="2"/>
      <c r="AZ929" s="2"/>
      <c r="BA929" s="2"/>
      <c r="BB929" s="2" t="n">
        <v>229</v>
      </c>
      <c r="BC929" s="2" t="n">
        <v>235</v>
      </c>
      <c r="BD929" s="2"/>
      <c r="BE929" s="2" t="s">
        <v>16496</v>
      </c>
      <c r="BF929" s="2" t="str">
        <f aca="false">HYPERLINK("http://dx.doi.org/10.1016/j.jcv.2007.07.017","http://dx.doi.org/10.1016/j.jcv.2007.07.017")</f>
        <v>http://dx.doi.org/10.1016/j.jcv.2007.07.017</v>
      </c>
      <c r="BG929" s="2"/>
      <c r="BH929" s="2"/>
      <c r="BI929" s="2" t="n">
        <v>7</v>
      </c>
      <c r="BJ929" s="2" t="s">
        <v>163</v>
      </c>
      <c r="BK929" s="2" t="s">
        <v>100</v>
      </c>
      <c r="BL929" s="2" t="s">
        <v>163</v>
      </c>
      <c r="BM929" s="2" t="s">
        <v>806</v>
      </c>
      <c r="BN929" s="2" t="n">
        <v>17851126</v>
      </c>
      <c r="BO929" s="2" t="s">
        <v>165</v>
      </c>
      <c r="BP929" s="2"/>
      <c r="BQ929" s="2"/>
      <c r="BR929" s="2" t="s">
        <v>104</v>
      </c>
      <c r="BS929" s="2" t="s">
        <v>16497</v>
      </c>
      <c r="BT929" s="2" t="str">
        <f aca="false">HYPERLINK("https%3A%2F%2Fwww.webofscience.com%2Fwos%2Fwoscc%2Ffull-record%2FWOS:000250935300011","View Full Record in Web of Science")</f>
        <v>View Full Record in Web of Science</v>
      </c>
    </row>
    <row r="930" customFormat="false" ht="12.75" hidden="false" customHeight="false" outlineLevel="0" collapsed="false">
      <c r="A930" s="2" t="s">
        <v>72</v>
      </c>
      <c r="B930" s="2" t="s">
        <v>16498</v>
      </c>
      <c r="C930" s="2"/>
      <c r="D930" s="2"/>
      <c r="E930" s="2"/>
      <c r="F930" s="2" t="s">
        <v>16499</v>
      </c>
      <c r="G930" s="2"/>
      <c r="H930" s="2"/>
      <c r="I930" s="2" t="s">
        <v>16500</v>
      </c>
      <c r="J930" s="2" t="s">
        <v>109</v>
      </c>
      <c r="K930" s="2"/>
      <c r="L930" s="2"/>
      <c r="M930" s="2" t="s">
        <v>77</v>
      </c>
      <c r="N930" s="2" t="s">
        <v>78</v>
      </c>
      <c r="O930" s="2"/>
      <c r="P930" s="2"/>
      <c r="Q930" s="2"/>
      <c r="R930" s="2"/>
      <c r="S930" s="2"/>
      <c r="T930" s="2" t="s">
        <v>16501</v>
      </c>
      <c r="U930" s="2" t="s">
        <v>16502</v>
      </c>
      <c r="V930" s="2" t="s">
        <v>16503</v>
      </c>
      <c r="W930" s="2" t="s">
        <v>16504</v>
      </c>
      <c r="X930" s="2" t="s">
        <v>13116</v>
      </c>
      <c r="Y930" s="2" t="s">
        <v>16505</v>
      </c>
      <c r="Z930" s="2" t="s">
        <v>16506</v>
      </c>
      <c r="AA930" s="2"/>
      <c r="AB930" s="2"/>
      <c r="AC930" s="2"/>
      <c r="AD930" s="2"/>
      <c r="AE930" s="2"/>
      <c r="AF930" s="2"/>
      <c r="AG930" s="2" t="n">
        <v>22</v>
      </c>
      <c r="AH930" s="2" t="n">
        <v>83</v>
      </c>
      <c r="AI930" s="2" t="n">
        <v>98</v>
      </c>
      <c r="AJ930" s="2" t="n">
        <v>0</v>
      </c>
      <c r="AK930" s="2" t="n">
        <v>2</v>
      </c>
      <c r="AL930" s="2" t="s">
        <v>122</v>
      </c>
      <c r="AM930" s="2" t="s">
        <v>123</v>
      </c>
      <c r="AN930" s="2" t="s">
        <v>839</v>
      </c>
      <c r="AO930" s="2" t="s">
        <v>125</v>
      </c>
      <c r="AP930" s="2"/>
      <c r="AQ930" s="2"/>
      <c r="AR930" s="2" t="s">
        <v>127</v>
      </c>
      <c r="AS930" s="2" t="s">
        <v>128</v>
      </c>
      <c r="AT930" s="2" t="s">
        <v>804</v>
      </c>
      <c r="AU930" s="2" t="n">
        <v>2008</v>
      </c>
      <c r="AV930" s="2" t="n">
        <v>27</v>
      </c>
      <c r="AW930" s="2" t="n">
        <v>11</v>
      </c>
      <c r="AX930" s="2"/>
      <c r="AY930" s="2"/>
      <c r="AZ930" s="2"/>
      <c r="BA930" s="2"/>
      <c r="BB930" s="2" t="n">
        <v>969</v>
      </c>
      <c r="BC930" s="2" t="n">
        <v>973</v>
      </c>
      <c r="BD930" s="2"/>
      <c r="BE930" s="2" t="s">
        <v>16507</v>
      </c>
      <c r="BF930" s="2" t="str">
        <f aca="false">HYPERLINK("http://dx.doi.org/10.1097/INF.0b013e31817acfaa","http://dx.doi.org/10.1097/INF.0b013e31817acfaa")</f>
        <v>http://dx.doi.org/10.1097/INF.0b013e31817acfaa</v>
      </c>
      <c r="BG930" s="2"/>
      <c r="BH930" s="2"/>
      <c r="BI930" s="2" t="n">
        <v>5</v>
      </c>
      <c r="BJ930" s="2" t="s">
        <v>134</v>
      </c>
      <c r="BK930" s="2" t="s">
        <v>100</v>
      </c>
      <c r="BL930" s="2" t="s">
        <v>134</v>
      </c>
      <c r="BM930" s="2" t="s">
        <v>16508</v>
      </c>
      <c r="BN930" s="2" t="n">
        <v>18833027</v>
      </c>
      <c r="BO930" s="2"/>
      <c r="BP930" s="2"/>
      <c r="BQ930" s="2"/>
      <c r="BR930" s="2" t="s">
        <v>104</v>
      </c>
      <c r="BS930" s="2" t="s">
        <v>16509</v>
      </c>
      <c r="BT930" s="2" t="str">
        <f aca="false">HYPERLINK("https%3A%2F%2Fwww.webofscience.com%2Fwos%2Fwoscc%2Ffull-record%2FWOS:000260648400004","View Full Record in Web of Science")</f>
        <v>View Full Record in Web of Science</v>
      </c>
    </row>
    <row r="931" customFormat="false" ht="12.75" hidden="false" customHeight="false" outlineLevel="0" collapsed="false">
      <c r="A931" s="2" t="s">
        <v>72</v>
      </c>
      <c r="B931" s="2" t="s">
        <v>16510</v>
      </c>
      <c r="C931" s="2"/>
      <c r="D931" s="2"/>
      <c r="E931" s="2"/>
      <c r="F931" s="2" t="s">
        <v>16511</v>
      </c>
      <c r="G931" s="2"/>
      <c r="H931" s="2"/>
      <c r="I931" s="2" t="s">
        <v>16512</v>
      </c>
      <c r="J931" s="2" t="s">
        <v>10165</v>
      </c>
      <c r="K931" s="2"/>
      <c r="L931" s="2"/>
      <c r="M931" s="2" t="s">
        <v>77</v>
      </c>
      <c r="N931" s="2" t="s">
        <v>78</v>
      </c>
      <c r="O931" s="2"/>
      <c r="P931" s="2"/>
      <c r="Q931" s="2"/>
      <c r="R931" s="2"/>
      <c r="S931" s="2"/>
      <c r="T931" s="2" t="s">
        <v>16513</v>
      </c>
      <c r="U931" s="2"/>
      <c r="V931" s="2" t="s">
        <v>16514</v>
      </c>
      <c r="W931" s="2" t="s">
        <v>16515</v>
      </c>
      <c r="X931" s="2" t="s">
        <v>16516</v>
      </c>
      <c r="Y931" s="2" t="s">
        <v>16517</v>
      </c>
      <c r="Z931" s="2" t="s">
        <v>16518</v>
      </c>
      <c r="AA931" s="2" t="s">
        <v>16519</v>
      </c>
      <c r="AB931" s="2" t="s">
        <v>16520</v>
      </c>
      <c r="AC931" s="2" t="s">
        <v>16521</v>
      </c>
      <c r="AD931" s="2" t="s">
        <v>16522</v>
      </c>
      <c r="AE931" s="2" t="s">
        <v>16523</v>
      </c>
      <c r="AF931" s="2"/>
      <c r="AG931" s="2" t="n">
        <v>27</v>
      </c>
      <c r="AH931" s="2" t="n">
        <v>13</v>
      </c>
      <c r="AI931" s="2" t="n">
        <v>14</v>
      </c>
      <c r="AJ931" s="2" t="n">
        <v>2</v>
      </c>
      <c r="AK931" s="2" t="n">
        <v>10</v>
      </c>
      <c r="AL931" s="2" t="s">
        <v>10177</v>
      </c>
      <c r="AM931" s="2" t="s">
        <v>5071</v>
      </c>
      <c r="AN931" s="2" t="s">
        <v>10178</v>
      </c>
      <c r="AO931" s="2" t="s">
        <v>10179</v>
      </c>
      <c r="AP931" s="2"/>
      <c r="AQ931" s="2"/>
      <c r="AR931" s="2" t="s">
        <v>10180</v>
      </c>
      <c r="AS931" s="2" t="s">
        <v>10181</v>
      </c>
      <c r="AT931" s="2"/>
      <c r="AU931" s="2" t="n">
        <v>2019</v>
      </c>
      <c r="AV931" s="2" t="n">
        <v>65</v>
      </c>
      <c r="AW931" s="2" t="s">
        <v>1407</v>
      </c>
      <c r="AX931" s="2"/>
      <c r="AY931" s="2"/>
      <c r="AZ931" s="2"/>
      <c r="BA931" s="2"/>
      <c r="BB931" s="2" t="n">
        <v>101</v>
      </c>
      <c r="BC931" s="2" t="n">
        <v>107</v>
      </c>
      <c r="BD931" s="2"/>
      <c r="BE931" s="2" t="s">
        <v>16524</v>
      </c>
      <c r="BF931" s="2" t="str">
        <f aca="false">HYPERLINK("http://dx.doi.org/10.7754/Clin.Lab.2018.180702","http://dx.doi.org/10.7754/Clin.Lab.2018.180702")</f>
        <v>http://dx.doi.org/10.7754/Clin.Lab.2018.180702</v>
      </c>
      <c r="BG931" s="2"/>
      <c r="BH931" s="2"/>
      <c r="BI931" s="2" t="n">
        <v>7</v>
      </c>
      <c r="BJ931" s="2" t="s">
        <v>3122</v>
      </c>
      <c r="BK931" s="2" t="s">
        <v>100</v>
      </c>
      <c r="BL931" s="2" t="s">
        <v>3122</v>
      </c>
      <c r="BM931" s="2" t="s">
        <v>16525</v>
      </c>
      <c r="BN931" s="2" t="n">
        <v>30775887</v>
      </c>
      <c r="BO931" s="2"/>
      <c r="BP931" s="2"/>
      <c r="BQ931" s="2"/>
      <c r="BR931" s="2" t="s">
        <v>104</v>
      </c>
      <c r="BS931" s="2" t="s">
        <v>16526</v>
      </c>
      <c r="BT931" s="2" t="str">
        <f aca="false">HYPERLINK("https%3A%2F%2Fwww.webofscience.com%2Fwos%2Fwoscc%2Ffull-record%2FWOS:000457856100014","View Full Record in Web of Science")</f>
        <v>View Full Record in Web of Science</v>
      </c>
    </row>
    <row r="932" customFormat="false" ht="12.75" hidden="false" customHeight="false" outlineLevel="0" collapsed="false">
      <c r="A932" s="2" t="s">
        <v>72</v>
      </c>
      <c r="B932" s="2" t="s">
        <v>16527</v>
      </c>
      <c r="C932" s="2"/>
      <c r="D932" s="2"/>
      <c r="E932" s="2"/>
      <c r="F932" s="2" t="s">
        <v>16528</v>
      </c>
      <c r="G932" s="2"/>
      <c r="H932" s="2"/>
      <c r="I932" s="2" t="s">
        <v>16529</v>
      </c>
      <c r="J932" s="2" t="s">
        <v>370</v>
      </c>
      <c r="K932" s="2"/>
      <c r="L932" s="2"/>
      <c r="M932" s="2" t="s">
        <v>77</v>
      </c>
      <c r="N932" s="2" t="s">
        <v>78</v>
      </c>
      <c r="O932" s="2"/>
      <c r="P932" s="2"/>
      <c r="Q932" s="2"/>
      <c r="R932" s="2"/>
      <c r="S932" s="2"/>
      <c r="T932" s="2" t="s">
        <v>16530</v>
      </c>
      <c r="U932" s="2" t="s">
        <v>16531</v>
      </c>
      <c r="V932" s="2" t="s">
        <v>16532</v>
      </c>
      <c r="W932" s="2" t="s">
        <v>16533</v>
      </c>
      <c r="X932" s="2" t="s">
        <v>16534</v>
      </c>
      <c r="Y932" s="2" t="s">
        <v>16535</v>
      </c>
      <c r="Z932" s="2" t="s">
        <v>11175</v>
      </c>
      <c r="AA932" s="2" t="s">
        <v>16536</v>
      </c>
      <c r="AB932" s="2"/>
      <c r="AC932" s="2"/>
      <c r="AD932" s="2"/>
      <c r="AE932" s="2"/>
      <c r="AF932" s="2"/>
      <c r="AG932" s="2" t="n">
        <v>23</v>
      </c>
      <c r="AH932" s="2" t="n">
        <v>33</v>
      </c>
      <c r="AI932" s="2" t="n">
        <v>37</v>
      </c>
      <c r="AJ932" s="2" t="n">
        <v>0</v>
      </c>
      <c r="AK932" s="2" t="n">
        <v>0</v>
      </c>
      <c r="AL932" s="2" t="s">
        <v>383</v>
      </c>
      <c r="AM932" s="2" t="s">
        <v>384</v>
      </c>
      <c r="AN932" s="2" t="s">
        <v>385</v>
      </c>
      <c r="AO932" s="2" t="s">
        <v>386</v>
      </c>
      <c r="AP932" s="2" t="s">
        <v>387</v>
      </c>
      <c r="AQ932" s="2"/>
      <c r="AR932" s="2" t="s">
        <v>388</v>
      </c>
      <c r="AS932" s="2" t="s">
        <v>389</v>
      </c>
      <c r="AT932" s="2" t="s">
        <v>804</v>
      </c>
      <c r="AU932" s="2" t="n">
        <v>2008</v>
      </c>
      <c r="AV932" s="2" t="n">
        <v>43</v>
      </c>
      <c r="AW932" s="2" t="n">
        <v>3</v>
      </c>
      <c r="AX932" s="2"/>
      <c r="AY932" s="2"/>
      <c r="AZ932" s="2"/>
      <c r="BA932" s="2"/>
      <c r="BB932" s="2" t="n">
        <v>302</v>
      </c>
      <c r="BC932" s="2" t="n">
        <v>306</v>
      </c>
      <c r="BD932" s="2"/>
      <c r="BE932" s="2" t="s">
        <v>16537</v>
      </c>
      <c r="BF932" s="2" t="str">
        <f aca="false">HYPERLINK("http://dx.doi.org/10.1016/j.jcv.2008.07.009","http://dx.doi.org/10.1016/j.jcv.2008.07.009")</f>
        <v>http://dx.doi.org/10.1016/j.jcv.2008.07.009</v>
      </c>
      <c r="BG932" s="2"/>
      <c r="BH932" s="2"/>
      <c r="BI932" s="2" t="n">
        <v>5</v>
      </c>
      <c r="BJ932" s="2" t="s">
        <v>163</v>
      </c>
      <c r="BK932" s="2" t="s">
        <v>100</v>
      </c>
      <c r="BL932" s="2" t="s">
        <v>163</v>
      </c>
      <c r="BM932" s="2" t="s">
        <v>16538</v>
      </c>
      <c r="BN932" s="2" t="n">
        <v>18805051</v>
      </c>
      <c r="BO932" s="2" t="s">
        <v>1227</v>
      </c>
      <c r="BP932" s="2"/>
      <c r="BQ932" s="2"/>
      <c r="BR932" s="2" t="s">
        <v>104</v>
      </c>
      <c r="BS932" s="2" t="s">
        <v>16539</v>
      </c>
      <c r="BT932" s="2" t="str">
        <f aca="false">HYPERLINK("https%3A%2F%2Fwww.webofscience.com%2Fwos%2Fwoscc%2Ffull-record%2FWOS:000261399600010","View Full Record in Web of Science")</f>
        <v>View Full Record in Web of Science</v>
      </c>
    </row>
    <row r="933" customFormat="false" ht="12.75" hidden="false" customHeight="false" outlineLevel="0" collapsed="false">
      <c r="A933" s="2" t="s">
        <v>72</v>
      </c>
      <c r="B933" s="2" t="s">
        <v>16540</v>
      </c>
      <c r="C933" s="2"/>
      <c r="D933" s="2"/>
      <c r="E933" s="2"/>
      <c r="F933" s="2" t="s">
        <v>16541</v>
      </c>
      <c r="G933" s="2"/>
      <c r="H933" s="2"/>
      <c r="I933" s="2" t="s">
        <v>16542</v>
      </c>
      <c r="J933" s="2" t="s">
        <v>13758</v>
      </c>
      <c r="K933" s="2"/>
      <c r="L933" s="2"/>
      <c r="M933" s="2" t="s">
        <v>77</v>
      </c>
      <c r="N933" s="2" t="s">
        <v>78</v>
      </c>
      <c r="O933" s="2"/>
      <c r="P933" s="2"/>
      <c r="Q933" s="2"/>
      <c r="R933" s="2"/>
      <c r="S933" s="2"/>
      <c r="T933" s="2" t="s">
        <v>16543</v>
      </c>
      <c r="U933" s="2" t="s">
        <v>16544</v>
      </c>
      <c r="V933" s="2" t="s">
        <v>16545</v>
      </c>
      <c r="W933" s="2" t="s">
        <v>16546</v>
      </c>
      <c r="X933" s="2" t="s">
        <v>16547</v>
      </c>
      <c r="Y933" s="2" t="s">
        <v>16548</v>
      </c>
      <c r="Z933" s="2" t="s">
        <v>16549</v>
      </c>
      <c r="AA933" s="2" t="s">
        <v>16550</v>
      </c>
      <c r="AB933" s="2" t="s">
        <v>16551</v>
      </c>
      <c r="AC933" s="2" t="s">
        <v>16552</v>
      </c>
      <c r="AD933" s="2" t="s">
        <v>16552</v>
      </c>
      <c r="AE933" s="2" t="s">
        <v>16553</v>
      </c>
      <c r="AF933" s="2"/>
      <c r="AG933" s="2" t="n">
        <v>35</v>
      </c>
      <c r="AH933" s="2" t="n">
        <v>13</v>
      </c>
      <c r="AI933" s="2" t="n">
        <v>16</v>
      </c>
      <c r="AJ933" s="2" t="n">
        <v>0</v>
      </c>
      <c r="AK933" s="2" t="n">
        <v>1</v>
      </c>
      <c r="AL933" s="2" t="s">
        <v>13769</v>
      </c>
      <c r="AM933" s="2" t="s">
        <v>16554</v>
      </c>
      <c r="AN933" s="2" t="s">
        <v>16555</v>
      </c>
      <c r="AO933" s="2" t="s">
        <v>13772</v>
      </c>
      <c r="AP933" s="2" t="s">
        <v>13773</v>
      </c>
      <c r="AQ933" s="2"/>
      <c r="AR933" s="2" t="s">
        <v>13774</v>
      </c>
      <c r="AS933" s="2" t="s">
        <v>13775</v>
      </c>
      <c r="AT933" s="2" t="s">
        <v>390</v>
      </c>
      <c r="AU933" s="2" t="n">
        <v>2018</v>
      </c>
      <c r="AV933" s="2" t="n">
        <v>163</v>
      </c>
      <c r="AW933" s="2" t="n">
        <v>5</v>
      </c>
      <c r="AX933" s="2"/>
      <c r="AY933" s="2"/>
      <c r="AZ933" s="2"/>
      <c r="BA933" s="2"/>
      <c r="BB933" s="2" t="n">
        <v>1325</v>
      </c>
      <c r="BC933" s="2" t="n">
        <v>1330</v>
      </c>
      <c r="BD933" s="2"/>
      <c r="BE933" s="2" t="s">
        <v>16556</v>
      </c>
      <c r="BF933" s="2" t="str">
        <f aca="false">HYPERLINK("http://dx.doi.org/10.1007/s00705-017-3694-5","http://dx.doi.org/10.1007/s00705-017-3694-5")</f>
        <v>http://dx.doi.org/10.1007/s00705-017-3694-5</v>
      </c>
      <c r="BG933" s="2"/>
      <c r="BH933" s="2"/>
      <c r="BI933" s="2" t="n">
        <v>6</v>
      </c>
      <c r="BJ933" s="2" t="s">
        <v>163</v>
      </c>
      <c r="BK933" s="2" t="s">
        <v>100</v>
      </c>
      <c r="BL933" s="2" t="s">
        <v>163</v>
      </c>
      <c r="BM933" s="2" t="s">
        <v>16557</v>
      </c>
      <c r="BN933" s="2" t="n">
        <v>29392492</v>
      </c>
      <c r="BO933" s="2" t="s">
        <v>165</v>
      </c>
      <c r="BP933" s="2"/>
      <c r="BQ933" s="2"/>
      <c r="BR933" s="2" t="s">
        <v>104</v>
      </c>
      <c r="BS933" s="2" t="s">
        <v>16558</v>
      </c>
      <c r="BT933" s="2" t="str">
        <f aca="false">HYPERLINK("https%3A%2F%2Fwww.webofscience.com%2Fwos%2Fwoscc%2Ffull-record%2FWOS:000429328300022","View Full Record in Web of Science")</f>
        <v>View Full Record in Web of Science</v>
      </c>
    </row>
    <row r="934" customFormat="false" ht="12.75" hidden="false" customHeight="false" outlineLevel="0" collapsed="false">
      <c r="A934" s="2" t="s">
        <v>72</v>
      </c>
      <c r="B934" s="2" t="s">
        <v>16559</v>
      </c>
      <c r="C934" s="2"/>
      <c r="D934" s="2"/>
      <c r="E934" s="2"/>
      <c r="F934" s="2" t="s">
        <v>16560</v>
      </c>
      <c r="G934" s="2"/>
      <c r="H934" s="2"/>
      <c r="I934" s="2" t="s">
        <v>16561</v>
      </c>
      <c r="J934" s="2" t="s">
        <v>16562</v>
      </c>
      <c r="K934" s="2"/>
      <c r="L934" s="2"/>
      <c r="M934" s="2" t="s">
        <v>77</v>
      </c>
      <c r="N934" s="2" t="s">
        <v>78</v>
      </c>
      <c r="O934" s="2"/>
      <c r="P934" s="2"/>
      <c r="Q934" s="2"/>
      <c r="R934" s="2"/>
      <c r="S934" s="2"/>
      <c r="T934" s="2" t="s">
        <v>16563</v>
      </c>
      <c r="U934" s="2" t="s">
        <v>16564</v>
      </c>
      <c r="V934" s="2" t="s">
        <v>16565</v>
      </c>
      <c r="W934" s="2" t="s">
        <v>16566</v>
      </c>
      <c r="X934" s="2" t="s">
        <v>16567</v>
      </c>
      <c r="Y934" s="2" t="s">
        <v>16568</v>
      </c>
      <c r="Z934" s="2" t="s">
        <v>16569</v>
      </c>
      <c r="AA934" s="2" t="s">
        <v>16570</v>
      </c>
      <c r="AB934" s="2" t="s">
        <v>16571</v>
      </c>
      <c r="AC934" s="2"/>
      <c r="AD934" s="2"/>
      <c r="AE934" s="2"/>
      <c r="AF934" s="2"/>
      <c r="AG934" s="2" t="n">
        <v>28</v>
      </c>
      <c r="AH934" s="2" t="n">
        <v>12</v>
      </c>
      <c r="AI934" s="2" t="n">
        <v>13</v>
      </c>
      <c r="AJ934" s="2" t="n">
        <v>0</v>
      </c>
      <c r="AK934" s="2" t="n">
        <v>2</v>
      </c>
      <c r="AL934" s="2" t="s">
        <v>16572</v>
      </c>
      <c r="AM934" s="2" t="s">
        <v>330</v>
      </c>
      <c r="AN934" s="2" t="s">
        <v>16573</v>
      </c>
      <c r="AO934" s="2" t="s">
        <v>16574</v>
      </c>
      <c r="AP934" s="2" t="s">
        <v>16575</v>
      </c>
      <c r="AQ934" s="2"/>
      <c r="AR934" s="2" t="s">
        <v>16576</v>
      </c>
      <c r="AS934" s="2" t="s">
        <v>16577</v>
      </c>
      <c r="AT934" s="2" t="s">
        <v>599</v>
      </c>
      <c r="AU934" s="2" t="n">
        <v>2019</v>
      </c>
      <c r="AV934" s="2" t="n">
        <v>20</v>
      </c>
      <c r="AW934" s="2" t="n">
        <v>7</v>
      </c>
      <c r="AX934" s="2"/>
      <c r="AY934" s="2"/>
      <c r="AZ934" s="2"/>
      <c r="BA934" s="2"/>
      <c r="BB934" s="2" t="n">
        <v>1226</v>
      </c>
      <c r="BC934" s="2" t="n">
        <v>1235</v>
      </c>
      <c r="BD934" s="2"/>
      <c r="BE934" s="2" t="s">
        <v>16578</v>
      </c>
      <c r="BF934" s="2" t="str">
        <f aca="false">HYPERLINK("http://dx.doi.org/10.3348/kjr.2018.0634","http://dx.doi.org/10.3348/kjr.2018.0634")</f>
        <v>http://dx.doi.org/10.3348/kjr.2018.0634</v>
      </c>
      <c r="BG934" s="2"/>
      <c r="BH934" s="2"/>
      <c r="BI934" s="2" t="n">
        <v>10</v>
      </c>
      <c r="BJ934" s="2" t="s">
        <v>16579</v>
      </c>
      <c r="BK934" s="2" t="s">
        <v>100</v>
      </c>
      <c r="BL934" s="2" t="s">
        <v>16579</v>
      </c>
      <c r="BM934" s="2" t="s">
        <v>16580</v>
      </c>
      <c r="BN934" s="2" t="n">
        <v>31270986</v>
      </c>
      <c r="BO934" s="2" t="s">
        <v>5905</v>
      </c>
      <c r="BP934" s="2"/>
      <c r="BQ934" s="2"/>
      <c r="BR934" s="2" t="s">
        <v>104</v>
      </c>
      <c r="BS934" s="2" t="s">
        <v>16581</v>
      </c>
      <c r="BT934" s="2" t="str">
        <f aca="false">HYPERLINK("https%3A%2F%2Fwww.webofscience.com%2Fwos%2Fwoscc%2Ffull-record%2FWOS:000473510900015","View Full Record in Web of Science")</f>
        <v>View Full Record in Web of Science</v>
      </c>
    </row>
    <row r="935" customFormat="false" ht="12.75" hidden="false" customHeight="false" outlineLevel="0" collapsed="false">
      <c r="A935" s="2" t="s">
        <v>72</v>
      </c>
      <c r="B935" s="2" t="s">
        <v>16582</v>
      </c>
      <c r="C935" s="2"/>
      <c r="D935" s="2"/>
      <c r="E935" s="2"/>
      <c r="F935" s="2" t="s">
        <v>16583</v>
      </c>
      <c r="G935" s="2"/>
      <c r="H935" s="2"/>
      <c r="I935" s="2" t="s">
        <v>16584</v>
      </c>
      <c r="J935" s="2" t="s">
        <v>16585</v>
      </c>
      <c r="K935" s="2"/>
      <c r="L935" s="2"/>
      <c r="M935" s="2" t="s">
        <v>77</v>
      </c>
      <c r="N935" s="2" t="s">
        <v>78</v>
      </c>
      <c r="O935" s="2"/>
      <c r="P935" s="2"/>
      <c r="Q935" s="2"/>
      <c r="R935" s="2"/>
      <c r="S935" s="2"/>
      <c r="T935" s="2" t="s">
        <v>16586</v>
      </c>
      <c r="U935" s="2" t="s">
        <v>10786</v>
      </c>
      <c r="V935" s="2" t="s">
        <v>16587</v>
      </c>
      <c r="W935" s="2" t="s">
        <v>16588</v>
      </c>
      <c r="X935" s="2" t="s">
        <v>2351</v>
      </c>
      <c r="Y935" s="2" t="s">
        <v>16589</v>
      </c>
      <c r="Z935" s="2" t="s">
        <v>16590</v>
      </c>
      <c r="AA935" s="2" t="s">
        <v>16591</v>
      </c>
      <c r="AB935" s="2" t="s">
        <v>16592</v>
      </c>
      <c r="AC935" s="2"/>
      <c r="AD935" s="2"/>
      <c r="AE935" s="2"/>
      <c r="AF935" s="2"/>
      <c r="AG935" s="2" t="n">
        <v>26</v>
      </c>
      <c r="AH935" s="2" t="n">
        <v>35</v>
      </c>
      <c r="AI935" s="2" t="n">
        <v>37</v>
      </c>
      <c r="AJ935" s="2" t="n">
        <v>0</v>
      </c>
      <c r="AK935" s="2" t="n">
        <v>6</v>
      </c>
      <c r="AL935" s="2" t="s">
        <v>16593</v>
      </c>
      <c r="AM935" s="2" t="s">
        <v>16594</v>
      </c>
      <c r="AN935" s="2" t="s">
        <v>16595</v>
      </c>
      <c r="AO935" s="2" t="s">
        <v>16596</v>
      </c>
      <c r="AP935" s="2" t="s">
        <v>16597</v>
      </c>
      <c r="AQ935" s="2"/>
      <c r="AR935" s="2" t="s">
        <v>16598</v>
      </c>
      <c r="AS935" s="2" t="s">
        <v>16599</v>
      </c>
      <c r="AT935" s="2" t="s">
        <v>486</v>
      </c>
      <c r="AU935" s="2" t="n">
        <v>2020</v>
      </c>
      <c r="AV935" s="2" t="n">
        <v>16</v>
      </c>
      <c r="AW935" s="2" t="n">
        <v>3</v>
      </c>
      <c r="AX935" s="2"/>
      <c r="AY935" s="2"/>
      <c r="AZ935" s="2" t="s">
        <v>1627</v>
      </c>
      <c r="BA935" s="2"/>
      <c r="BB935" s="2" t="n">
        <v>293</v>
      </c>
      <c r="BC935" s="2" t="n">
        <v>298</v>
      </c>
      <c r="BD935" s="2"/>
      <c r="BE935" s="2" t="s">
        <v>16600</v>
      </c>
      <c r="BF935" s="2" t="str">
        <f aca="false">HYPERLINK("http://dx.doi.org/10.1007/s12519-019-00324-5","http://dx.doi.org/10.1007/s12519-019-00324-5")</f>
        <v>http://dx.doi.org/10.1007/s12519-019-00324-5</v>
      </c>
      <c r="BG935" s="2"/>
      <c r="BH935" s="2" t="s">
        <v>16601</v>
      </c>
      <c r="BI935" s="2" t="n">
        <v>6</v>
      </c>
      <c r="BJ935" s="2" t="s">
        <v>601</v>
      </c>
      <c r="BK935" s="2" t="s">
        <v>100</v>
      </c>
      <c r="BL935" s="2" t="s">
        <v>601</v>
      </c>
      <c r="BM935" s="2" t="s">
        <v>16602</v>
      </c>
      <c r="BN935" s="2" t="n">
        <v>31776891</v>
      </c>
      <c r="BO935" s="2" t="s">
        <v>1267</v>
      </c>
      <c r="BP935" s="2"/>
      <c r="BQ935" s="2"/>
      <c r="BR935" s="2" t="s">
        <v>104</v>
      </c>
      <c r="BS935" s="2" t="s">
        <v>16603</v>
      </c>
      <c r="BT935" s="2" t="str">
        <f aca="false">HYPERLINK("https%3A%2F%2Fwww.webofscience.com%2Fwos%2Fwoscc%2Ffull-record%2FWOS:000499108800001","View Full Record in Web of Science")</f>
        <v>View Full Record in Web of Science</v>
      </c>
    </row>
    <row r="936" customFormat="false" ht="12.75" hidden="false" customHeight="false" outlineLevel="0" collapsed="false">
      <c r="A936" s="2" t="s">
        <v>72</v>
      </c>
      <c r="B936" s="2" t="s">
        <v>16604</v>
      </c>
      <c r="C936" s="2"/>
      <c r="D936" s="2"/>
      <c r="E936" s="2"/>
      <c r="F936" s="2" t="s">
        <v>16605</v>
      </c>
      <c r="G936" s="2"/>
      <c r="H936" s="2"/>
      <c r="I936" s="2" t="s">
        <v>16606</v>
      </c>
      <c r="J936" s="2" t="s">
        <v>6822</v>
      </c>
      <c r="K936" s="2"/>
      <c r="L936" s="2"/>
      <c r="M936" s="2" t="s">
        <v>77</v>
      </c>
      <c r="N936" s="2" t="s">
        <v>78</v>
      </c>
      <c r="O936" s="2"/>
      <c r="P936" s="2"/>
      <c r="Q936" s="2"/>
      <c r="R936" s="2"/>
      <c r="S936" s="2"/>
      <c r="T936" s="2" t="s">
        <v>16607</v>
      </c>
      <c r="U936" s="2" t="s">
        <v>16608</v>
      </c>
      <c r="V936" s="2" t="s">
        <v>16609</v>
      </c>
      <c r="W936" s="2" t="s">
        <v>16610</v>
      </c>
      <c r="X936" s="2" t="s">
        <v>16611</v>
      </c>
      <c r="Y936" s="2" t="s">
        <v>16612</v>
      </c>
      <c r="Z936" s="2" t="s">
        <v>16613</v>
      </c>
      <c r="AA936" s="2" t="s">
        <v>16614</v>
      </c>
      <c r="AB936" s="2" t="s">
        <v>16615</v>
      </c>
      <c r="AC936" s="2" t="s">
        <v>16616</v>
      </c>
      <c r="AD936" s="2" t="s">
        <v>16617</v>
      </c>
      <c r="AE936" s="2" t="s">
        <v>16618</v>
      </c>
      <c r="AF936" s="2"/>
      <c r="AG936" s="2" t="n">
        <v>14</v>
      </c>
      <c r="AH936" s="2" t="n">
        <v>15</v>
      </c>
      <c r="AI936" s="2" t="n">
        <v>18</v>
      </c>
      <c r="AJ936" s="2" t="n">
        <v>0</v>
      </c>
      <c r="AK936" s="2" t="n">
        <v>0</v>
      </c>
      <c r="AL936" s="2" t="s">
        <v>6833</v>
      </c>
      <c r="AM936" s="2" t="s">
        <v>593</v>
      </c>
      <c r="AN936" s="2" t="s">
        <v>6834</v>
      </c>
      <c r="AO936" s="2" t="s">
        <v>6835</v>
      </c>
      <c r="AP936" s="2" t="s">
        <v>6836</v>
      </c>
      <c r="AQ936" s="2"/>
      <c r="AR936" s="2" t="s">
        <v>6837</v>
      </c>
      <c r="AS936" s="2" t="s">
        <v>6838</v>
      </c>
      <c r="AT936" s="2" t="s">
        <v>599</v>
      </c>
      <c r="AU936" s="2" t="n">
        <v>2009</v>
      </c>
      <c r="AV936" s="2" t="n">
        <v>137</v>
      </c>
      <c r="AW936" s="2" t="n">
        <v>7</v>
      </c>
      <c r="AX936" s="2"/>
      <c r="AY936" s="2"/>
      <c r="AZ936" s="2"/>
      <c r="BA936" s="2"/>
      <c r="BB936" s="2" t="n">
        <v>1032</v>
      </c>
      <c r="BC936" s="2" t="n">
        <v>1036</v>
      </c>
      <c r="BD936" s="2"/>
      <c r="BE936" s="2" t="s">
        <v>16619</v>
      </c>
      <c r="BF936" s="2" t="str">
        <f aca="false">HYPERLINK("http://dx.doi.org/10.1017/S0950268808001842","http://dx.doi.org/10.1017/S0950268808001842")</f>
        <v>http://dx.doi.org/10.1017/S0950268808001842</v>
      </c>
      <c r="BG936" s="2"/>
      <c r="BH936" s="2"/>
      <c r="BI936" s="2" t="n">
        <v>5</v>
      </c>
      <c r="BJ936" s="2" t="s">
        <v>2113</v>
      </c>
      <c r="BK936" s="2" t="s">
        <v>100</v>
      </c>
      <c r="BL936" s="2" t="s">
        <v>2113</v>
      </c>
      <c r="BM936" s="2" t="s">
        <v>16620</v>
      </c>
      <c r="BN936" s="2" t="n">
        <v>19134237</v>
      </c>
      <c r="BO936" s="2" t="s">
        <v>656</v>
      </c>
      <c r="BP936" s="2"/>
      <c r="BQ936" s="2"/>
      <c r="BR936" s="2" t="s">
        <v>104</v>
      </c>
      <c r="BS936" s="2" t="s">
        <v>16621</v>
      </c>
      <c r="BT936" s="2" t="str">
        <f aca="false">HYPERLINK("https%3A%2F%2Fwww.webofscience.com%2Fwos%2Fwoscc%2Ffull-record%2FWOS:000267298400016","View Full Record in Web of Science")</f>
        <v>View Full Record in Web of Science</v>
      </c>
    </row>
    <row r="937" customFormat="false" ht="12.75" hidden="false" customHeight="false" outlineLevel="0" collapsed="false">
      <c r="A937" s="2" t="s">
        <v>72</v>
      </c>
      <c r="B937" s="2" t="s">
        <v>16622</v>
      </c>
      <c r="C937" s="2"/>
      <c r="D937" s="2"/>
      <c r="E937" s="2"/>
      <c r="F937" s="2" t="s">
        <v>16623</v>
      </c>
      <c r="G937" s="2"/>
      <c r="H937" s="2"/>
      <c r="I937" s="2" t="s">
        <v>16624</v>
      </c>
      <c r="J937" s="2" t="s">
        <v>1765</v>
      </c>
      <c r="K937" s="2"/>
      <c r="L937" s="2"/>
      <c r="M937" s="2" t="s">
        <v>77</v>
      </c>
      <c r="N937" s="2" t="s">
        <v>78</v>
      </c>
      <c r="O937" s="2"/>
      <c r="P937" s="2"/>
      <c r="Q937" s="2"/>
      <c r="R937" s="2"/>
      <c r="S937" s="2"/>
      <c r="T937" s="2" t="s">
        <v>16625</v>
      </c>
      <c r="U937" s="2" t="s">
        <v>16626</v>
      </c>
      <c r="V937" s="2" t="s">
        <v>16627</v>
      </c>
      <c r="W937" s="2" t="s">
        <v>16628</v>
      </c>
      <c r="X937" s="2" t="s">
        <v>16629</v>
      </c>
      <c r="Y937" s="2" t="s">
        <v>16630</v>
      </c>
      <c r="Z937" s="2" t="s">
        <v>16631</v>
      </c>
      <c r="AA937" s="2" t="s">
        <v>16632</v>
      </c>
      <c r="AB937" s="2" t="s">
        <v>16633</v>
      </c>
      <c r="AC937" s="2" t="s">
        <v>16634</v>
      </c>
      <c r="AD937" s="2" t="s">
        <v>16635</v>
      </c>
      <c r="AE937" s="2" t="s">
        <v>16636</v>
      </c>
      <c r="AF937" s="2"/>
      <c r="AG937" s="2" t="n">
        <v>26</v>
      </c>
      <c r="AH937" s="2" t="n">
        <v>8</v>
      </c>
      <c r="AI937" s="2" t="n">
        <v>8</v>
      </c>
      <c r="AJ937" s="2" t="n">
        <v>4</v>
      </c>
      <c r="AK937" s="2" t="n">
        <v>10</v>
      </c>
      <c r="AL937" s="2" t="s">
        <v>620</v>
      </c>
      <c r="AM937" s="2" t="s">
        <v>621</v>
      </c>
      <c r="AN937" s="2" t="s">
        <v>622</v>
      </c>
      <c r="AO937" s="2" t="s">
        <v>1778</v>
      </c>
      <c r="AP937" s="2"/>
      <c r="AQ937" s="2"/>
      <c r="AR937" s="2" t="s">
        <v>1779</v>
      </c>
      <c r="AS937" s="2" t="s">
        <v>1780</v>
      </c>
      <c r="AT937" s="2" t="s">
        <v>11669</v>
      </c>
      <c r="AU937" s="2" t="n">
        <v>2023</v>
      </c>
      <c r="AV937" s="2" t="n">
        <v>10</v>
      </c>
      <c r="AW937" s="2"/>
      <c r="AX937" s="2"/>
      <c r="AY937" s="2"/>
      <c r="AZ937" s="2"/>
      <c r="BA937" s="2"/>
      <c r="BB937" s="2"/>
      <c r="BC937" s="2"/>
      <c r="BD937" s="2" t="n">
        <v>1074484</v>
      </c>
      <c r="BE937" s="2" t="s">
        <v>16637</v>
      </c>
      <c r="BF937" s="2" t="str">
        <f aca="false">HYPERLINK("http://dx.doi.org/10.3389/fped.2022.1074484","http://dx.doi.org/10.3389/fped.2022.1074484")</f>
        <v>http://dx.doi.org/10.3389/fped.2022.1074484</v>
      </c>
      <c r="BG937" s="2"/>
      <c r="BH937" s="2"/>
      <c r="BI937" s="2" t="n">
        <v>10</v>
      </c>
      <c r="BJ937" s="2" t="s">
        <v>601</v>
      </c>
      <c r="BK937" s="2" t="s">
        <v>100</v>
      </c>
      <c r="BL937" s="2" t="s">
        <v>601</v>
      </c>
      <c r="BM937" s="2" t="s">
        <v>16638</v>
      </c>
      <c r="BN937" s="2" t="n">
        <v>36704137</v>
      </c>
      <c r="BO937" s="2" t="s">
        <v>103</v>
      </c>
      <c r="BP937" s="2"/>
      <c r="BQ937" s="2"/>
      <c r="BR937" s="2" t="s">
        <v>104</v>
      </c>
      <c r="BS937" s="2" t="s">
        <v>16639</v>
      </c>
      <c r="BT937" s="2" t="str">
        <f aca="false">HYPERLINK("https%3A%2F%2Fwww.webofscience.com%2Fwos%2Fwoscc%2Ffull-record%2FWOS:000919820500001","View Full Record in Web of Science")</f>
        <v>View Full Record in Web of Science</v>
      </c>
    </row>
    <row r="938" customFormat="false" ht="12.75" hidden="false" customHeight="false" outlineLevel="0" collapsed="false">
      <c r="A938" s="2" t="s">
        <v>72</v>
      </c>
      <c r="B938" s="2" t="s">
        <v>16640</v>
      </c>
      <c r="C938" s="2"/>
      <c r="D938" s="2"/>
      <c r="E938" s="2"/>
      <c r="F938" s="2" t="s">
        <v>16641</v>
      </c>
      <c r="G938" s="2"/>
      <c r="H938" s="2"/>
      <c r="I938" s="2" t="s">
        <v>16642</v>
      </c>
      <c r="J938" s="2" t="s">
        <v>109</v>
      </c>
      <c r="K938" s="2"/>
      <c r="L938" s="2"/>
      <c r="M938" s="2" t="s">
        <v>77</v>
      </c>
      <c r="N938" s="2" t="s">
        <v>78</v>
      </c>
      <c r="O938" s="2"/>
      <c r="P938" s="2"/>
      <c r="Q938" s="2"/>
      <c r="R938" s="2"/>
      <c r="S938" s="2"/>
      <c r="T938" s="2" t="s">
        <v>16643</v>
      </c>
      <c r="U938" s="2" t="s">
        <v>16644</v>
      </c>
      <c r="V938" s="2" t="s">
        <v>16645</v>
      </c>
      <c r="W938" s="2" t="s">
        <v>16646</v>
      </c>
      <c r="X938" s="2" t="s">
        <v>3027</v>
      </c>
      <c r="Y938" s="2" t="s">
        <v>16647</v>
      </c>
      <c r="Z938" s="2" t="s">
        <v>3029</v>
      </c>
      <c r="AA938" s="2" t="s">
        <v>16648</v>
      </c>
      <c r="AB938" s="2" t="s">
        <v>16649</v>
      </c>
      <c r="AC938" s="2" t="s">
        <v>16650</v>
      </c>
      <c r="AD938" s="2" t="s">
        <v>16651</v>
      </c>
      <c r="AE938" s="2" t="s">
        <v>16652</v>
      </c>
      <c r="AF938" s="2"/>
      <c r="AG938" s="2" t="n">
        <v>44</v>
      </c>
      <c r="AH938" s="2" t="n">
        <v>87</v>
      </c>
      <c r="AI938" s="2" t="n">
        <v>104</v>
      </c>
      <c r="AJ938" s="2" t="n">
        <v>0</v>
      </c>
      <c r="AK938" s="2" t="n">
        <v>13</v>
      </c>
      <c r="AL938" s="2" t="s">
        <v>122</v>
      </c>
      <c r="AM938" s="2" t="s">
        <v>123</v>
      </c>
      <c r="AN938" s="2" t="s">
        <v>839</v>
      </c>
      <c r="AO938" s="2" t="s">
        <v>125</v>
      </c>
      <c r="AP938" s="2"/>
      <c r="AQ938" s="2"/>
      <c r="AR938" s="2" t="s">
        <v>127</v>
      </c>
      <c r="AS938" s="2" t="s">
        <v>128</v>
      </c>
      <c r="AT938" s="2" t="s">
        <v>185</v>
      </c>
      <c r="AU938" s="2" t="n">
        <v>2012</v>
      </c>
      <c r="AV938" s="2" t="n">
        <v>31</v>
      </c>
      <c r="AW938" s="2" t="n">
        <v>8</v>
      </c>
      <c r="AX938" s="2"/>
      <c r="AY938" s="2"/>
      <c r="AZ938" s="2"/>
      <c r="BA938" s="2"/>
      <c r="BB938" s="2" t="n">
        <v>808</v>
      </c>
      <c r="BC938" s="2" t="n">
        <v>813</v>
      </c>
      <c r="BD938" s="2"/>
      <c r="BE938" s="2" t="s">
        <v>16653</v>
      </c>
      <c r="BF938" s="2" t="str">
        <f aca="false">HYPERLINK("http://dx.doi.org/10.1097/INF.0b013e3182568c67","http://dx.doi.org/10.1097/INF.0b013e3182568c67")</f>
        <v>http://dx.doi.org/10.1097/INF.0b013e3182568c67</v>
      </c>
      <c r="BG938" s="2"/>
      <c r="BH938" s="2"/>
      <c r="BI938" s="2" t="n">
        <v>6</v>
      </c>
      <c r="BJ938" s="2" t="s">
        <v>134</v>
      </c>
      <c r="BK938" s="2" t="s">
        <v>100</v>
      </c>
      <c r="BL938" s="2" t="s">
        <v>134</v>
      </c>
      <c r="BM938" s="2" t="s">
        <v>16654</v>
      </c>
      <c r="BN938" s="2" t="n">
        <v>22531244</v>
      </c>
      <c r="BO938" s="2"/>
      <c r="BP938" s="2"/>
      <c r="BQ938" s="2"/>
      <c r="BR938" s="2" t="s">
        <v>104</v>
      </c>
      <c r="BS938" s="2" t="s">
        <v>16655</v>
      </c>
      <c r="BT938" s="2" t="str">
        <f aca="false">HYPERLINK("https%3A%2F%2Fwww.webofscience.com%2Fwos%2Fwoscc%2Ffull-record%2FWOS:000306572500010","View Full Record in Web of Science")</f>
        <v>View Full Record in Web of Science</v>
      </c>
    </row>
    <row r="939" customFormat="false" ht="12.75" hidden="false" customHeight="false" outlineLevel="0" collapsed="false">
      <c r="A939" s="2" t="s">
        <v>72</v>
      </c>
      <c r="B939" s="2" t="s">
        <v>16656</v>
      </c>
      <c r="C939" s="2"/>
      <c r="D939" s="2"/>
      <c r="E939" s="2"/>
      <c r="F939" s="2" t="s">
        <v>16657</v>
      </c>
      <c r="G939" s="2"/>
      <c r="H939" s="2"/>
      <c r="I939" s="2" t="s">
        <v>16658</v>
      </c>
      <c r="J939" s="2" t="s">
        <v>5575</v>
      </c>
      <c r="K939" s="2"/>
      <c r="L939" s="2"/>
      <c r="M939" s="2" t="s">
        <v>77</v>
      </c>
      <c r="N939" s="2" t="s">
        <v>78</v>
      </c>
      <c r="O939" s="2"/>
      <c r="P939" s="2"/>
      <c r="Q939" s="2"/>
      <c r="R939" s="2"/>
      <c r="S939" s="2"/>
      <c r="T939" s="2" t="s">
        <v>16659</v>
      </c>
      <c r="U939" s="2" t="s">
        <v>16660</v>
      </c>
      <c r="V939" s="2" t="s">
        <v>16661</v>
      </c>
      <c r="W939" s="2" t="s">
        <v>16662</v>
      </c>
      <c r="X939" s="2" t="s">
        <v>16663</v>
      </c>
      <c r="Y939" s="2" t="s">
        <v>16664</v>
      </c>
      <c r="Z939" s="2" t="s">
        <v>16665</v>
      </c>
      <c r="AA939" s="2" t="s">
        <v>16666</v>
      </c>
      <c r="AB939" s="2" t="s">
        <v>16667</v>
      </c>
      <c r="AC939" s="2" t="s">
        <v>16668</v>
      </c>
      <c r="AD939" s="2" t="s">
        <v>16669</v>
      </c>
      <c r="AE939" s="2" t="s">
        <v>16670</v>
      </c>
      <c r="AF939" s="2"/>
      <c r="AG939" s="2" t="n">
        <v>70</v>
      </c>
      <c r="AH939" s="2" t="n">
        <v>17</v>
      </c>
      <c r="AI939" s="2" t="n">
        <v>19</v>
      </c>
      <c r="AJ939" s="2" t="n">
        <v>0</v>
      </c>
      <c r="AK939" s="2" t="n">
        <v>2</v>
      </c>
      <c r="AL939" s="2" t="s">
        <v>5588</v>
      </c>
      <c r="AM939" s="2" t="s">
        <v>5589</v>
      </c>
      <c r="AN939" s="2" t="s">
        <v>5590</v>
      </c>
      <c r="AO939" s="2" t="s">
        <v>5591</v>
      </c>
      <c r="AP939" s="2"/>
      <c r="AQ939" s="2"/>
      <c r="AR939" s="2" t="s">
        <v>5575</v>
      </c>
      <c r="AS939" s="2" t="s">
        <v>163</v>
      </c>
      <c r="AT939" s="2" t="s">
        <v>7237</v>
      </c>
      <c r="AU939" s="2" t="n">
        <v>2011</v>
      </c>
      <c r="AV939" s="2" t="n">
        <v>417</v>
      </c>
      <c r="AW939" s="2" t="n">
        <v>1</v>
      </c>
      <c r="AX939" s="2"/>
      <c r="AY939" s="2"/>
      <c r="AZ939" s="2"/>
      <c r="BA939" s="2"/>
      <c r="BB939" s="2" t="n">
        <v>64</v>
      </c>
      <c r="BC939" s="2" t="n">
        <v>70</v>
      </c>
      <c r="BD939" s="2"/>
      <c r="BE939" s="2" t="s">
        <v>16671</v>
      </c>
      <c r="BF939" s="2" t="str">
        <f aca="false">HYPERLINK("http://dx.doi.org/10.1016/j.virol.2011.04.016","http://dx.doi.org/10.1016/j.virol.2011.04.016")</f>
        <v>http://dx.doi.org/10.1016/j.virol.2011.04.016</v>
      </c>
      <c r="BG939" s="2"/>
      <c r="BH939" s="2"/>
      <c r="BI939" s="2" t="n">
        <v>7</v>
      </c>
      <c r="BJ939" s="2" t="s">
        <v>163</v>
      </c>
      <c r="BK939" s="2" t="s">
        <v>100</v>
      </c>
      <c r="BL939" s="2" t="s">
        <v>163</v>
      </c>
      <c r="BM939" s="2" t="s">
        <v>16672</v>
      </c>
      <c r="BN939" s="2" t="n">
        <v>21636105</v>
      </c>
      <c r="BO939" s="2" t="s">
        <v>1267</v>
      </c>
      <c r="BP939" s="2"/>
      <c r="BQ939" s="2"/>
      <c r="BR939" s="2" t="s">
        <v>104</v>
      </c>
      <c r="BS939" s="2" t="s">
        <v>16673</v>
      </c>
      <c r="BT939" s="2" t="str">
        <f aca="false">HYPERLINK("https%3A%2F%2Fwww.webofscience.com%2Fwos%2Fwoscc%2Ffull-record%2FWOS:000293820300008","View Full Record in Web of Science")</f>
        <v>View Full Record in Web of Science</v>
      </c>
    </row>
    <row r="940" customFormat="false" ht="12.75" hidden="false" customHeight="false" outlineLevel="0" collapsed="false">
      <c r="A940" s="2" t="s">
        <v>72</v>
      </c>
      <c r="B940" s="2" t="s">
        <v>16674</v>
      </c>
      <c r="C940" s="2"/>
      <c r="D940" s="2"/>
      <c r="E940" s="2"/>
      <c r="F940" s="2" t="s">
        <v>16675</v>
      </c>
      <c r="G940" s="2"/>
      <c r="H940" s="2"/>
      <c r="I940" s="2" t="s">
        <v>16676</v>
      </c>
      <c r="J940" s="2" t="s">
        <v>16677</v>
      </c>
      <c r="K940" s="2"/>
      <c r="L940" s="2"/>
      <c r="M940" s="2" t="s">
        <v>77</v>
      </c>
      <c r="N940" s="2" t="s">
        <v>78</v>
      </c>
      <c r="O940" s="2"/>
      <c r="P940" s="2"/>
      <c r="Q940" s="2"/>
      <c r="R940" s="2"/>
      <c r="S940" s="2"/>
      <c r="T940" s="2" t="s">
        <v>16678</v>
      </c>
      <c r="U940" s="2" t="s">
        <v>16679</v>
      </c>
      <c r="V940" s="2" t="s">
        <v>16680</v>
      </c>
      <c r="W940" s="2" t="s">
        <v>16681</v>
      </c>
      <c r="X940" s="2" t="s">
        <v>16682</v>
      </c>
      <c r="Y940" s="2" t="s">
        <v>16683</v>
      </c>
      <c r="Z940" s="2" t="s">
        <v>16684</v>
      </c>
      <c r="AA940" s="2" t="s">
        <v>16685</v>
      </c>
      <c r="AB940" s="2" t="s">
        <v>16686</v>
      </c>
      <c r="AC940" s="2" t="s">
        <v>16687</v>
      </c>
      <c r="AD940" s="2" t="s">
        <v>16688</v>
      </c>
      <c r="AE940" s="2" t="s">
        <v>16689</v>
      </c>
      <c r="AF940" s="2"/>
      <c r="AG940" s="2" t="n">
        <v>16</v>
      </c>
      <c r="AH940" s="2" t="n">
        <v>15</v>
      </c>
      <c r="AI940" s="2" t="n">
        <v>15</v>
      </c>
      <c r="AJ940" s="2" t="n">
        <v>0</v>
      </c>
      <c r="AK940" s="2" t="n">
        <v>0</v>
      </c>
      <c r="AL940" s="2" t="s">
        <v>154</v>
      </c>
      <c r="AM940" s="2" t="s">
        <v>155</v>
      </c>
      <c r="AN940" s="2" t="s">
        <v>156</v>
      </c>
      <c r="AO940" s="2"/>
      <c r="AP940" s="2" t="s">
        <v>16690</v>
      </c>
      <c r="AQ940" s="2"/>
      <c r="AR940" s="2" t="s">
        <v>16691</v>
      </c>
      <c r="AS940" s="2" t="s">
        <v>16692</v>
      </c>
      <c r="AT940" s="2" t="s">
        <v>185</v>
      </c>
      <c r="AU940" s="2" t="n">
        <v>2018</v>
      </c>
      <c r="AV940" s="2" t="n">
        <v>1</v>
      </c>
      <c r="AW940" s="2" t="n">
        <v>8</v>
      </c>
      <c r="AX940" s="2"/>
      <c r="AY940" s="2"/>
      <c r="AZ940" s="2"/>
      <c r="BA940" s="2"/>
      <c r="BB940" s="2"/>
      <c r="BC940" s="2"/>
      <c r="BD940" s="2" t="s">
        <v>16693</v>
      </c>
      <c r="BE940" s="2" t="s">
        <v>16694</v>
      </c>
      <c r="BF940" s="2" t="str">
        <f aca="false">HYPERLINK("http://dx.doi.org/10.1002/hsr2.59","http://dx.doi.org/10.1002/hsr2.59")</f>
        <v>http://dx.doi.org/10.1002/hsr2.59</v>
      </c>
      <c r="BG940" s="2"/>
      <c r="BH940" s="2"/>
      <c r="BI940" s="2" t="n">
        <v>7</v>
      </c>
      <c r="BJ940" s="2" t="s">
        <v>16695</v>
      </c>
      <c r="BK940" s="2" t="s">
        <v>339</v>
      </c>
      <c r="BL940" s="2" t="s">
        <v>16696</v>
      </c>
      <c r="BM940" s="2" t="s">
        <v>16697</v>
      </c>
      <c r="BN940" s="2" t="n">
        <v>30623094</v>
      </c>
      <c r="BO940" s="2" t="s">
        <v>103</v>
      </c>
      <c r="BP940" s="2"/>
      <c r="BQ940" s="2"/>
      <c r="BR940" s="2" t="s">
        <v>104</v>
      </c>
      <c r="BS940" s="2" t="s">
        <v>16698</v>
      </c>
      <c r="BT940" s="2" t="str">
        <f aca="false">HYPERLINK("https%3A%2F%2Fwww.webofscience.com%2Fwos%2Fwoscc%2Ffull-record%2FWOS:000697868800005","View Full Record in Web of Science")</f>
        <v>View Full Record in Web of Science</v>
      </c>
    </row>
    <row r="941" customFormat="false" ht="12.75" hidden="false" customHeight="false" outlineLevel="0" collapsed="false">
      <c r="A941" s="2" t="s">
        <v>72</v>
      </c>
      <c r="B941" s="2" t="s">
        <v>16699</v>
      </c>
      <c r="C941" s="2"/>
      <c r="D941" s="2"/>
      <c r="E941" s="2"/>
      <c r="F941" s="2" t="s">
        <v>16700</v>
      </c>
      <c r="G941" s="2"/>
      <c r="H941" s="2"/>
      <c r="I941" s="2" t="s">
        <v>16701</v>
      </c>
      <c r="J941" s="2" t="s">
        <v>370</v>
      </c>
      <c r="K941" s="2"/>
      <c r="L941" s="2"/>
      <c r="M941" s="2" t="s">
        <v>77</v>
      </c>
      <c r="N941" s="2" t="s">
        <v>78</v>
      </c>
      <c r="O941" s="2"/>
      <c r="P941" s="2"/>
      <c r="Q941" s="2"/>
      <c r="R941" s="2"/>
      <c r="S941" s="2"/>
      <c r="T941" s="2" t="s">
        <v>16702</v>
      </c>
      <c r="U941" s="2" t="s">
        <v>16703</v>
      </c>
      <c r="V941" s="2" t="s">
        <v>16704</v>
      </c>
      <c r="W941" s="2" t="s">
        <v>16705</v>
      </c>
      <c r="X941" s="2" t="s">
        <v>16706</v>
      </c>
      <c r="Y941" s="2" t="s">
        <v>16707</v>
      </c>
      <c r="Z941" s="2" t="s">
        <v>7658</v>
      </c>
      <c r="AA941" s="2" t="s">
        <v>16708</v>
      </c>
      <c r="AB941" s="2" t="s">
        <v>16709</v>
      </c>
      <c r="AC941" s="2" t="s">
        <v>16710</v>
      </c>
      <c r="AD941" s="2" t="s">
        <v>16711</v>
      </c>
      <c r="AE941" s="2" t="s">
        <v>16712</v>
      </c>
      <c r="AF941" s="2"/>
      <c r="AG941" s="2" t="n">
        <v>27</v>
      </c>
      <c r="AH941" s="2" t="n">
        <v>51</v>
      </c>
      <c r="AI941" s="2" t="n">
        <v>57</v>
      </c>
      <c r="AJ941" s="2" t="n">
        <v>0</v>
      </c>
      <c r="AK941" s="2" t="n">
        <v>0</v>
      </c>
      <c r="AL941" s="2" t="s">
        <v>383</v>
      </c>
      <c r="AM941" s="2" t="s">
        <v>384</v>
      </c>
      <c r="AN941" s="2" t="s">
        <v>385</v>
      </c>
      <c r="AO941" s="2" t="s">
        <v>386</v>
      </c>
      <c r="AP941" s="2" t="s">
        <v>387</v>
      </c>
      <c r="AQ941" s="2"/>
      <c r="AR941" s="2" t="s">
        <v>388</v>
      </c>
      <c r="AS941" s="2" t="s">
        <v>389</v>
      </c>
      <c r="AT941" s="2" t="s">
        <v>336</v>
      </c>
      <c r="AU941" s="2" t="n">
        <v>2008</v>
      </c>
      <c r="AV941" s="2" t="n">
        <v>43</v>
      </c>
      <c r="AW941" s="2" t="n">
        <v>2</v>
      </c>
      <c r="AX941" s="2"/>
      <c r="AY941" s="2"/>
      <c r="AZ941" s="2"/>
      <c r="BA941" s="2"/>
      <c r="BB941" s="2" t="n">
        <v>142</v>
      </c>
      <c r="BC941" s="2" t="n">
        <v>147</v>
      </c>
      <c r="BD941" s="2"/>
      <c r="BE941" s="2" t="s">
        <v>16713</v>
      </c>
      <c r="BF941" s="2" t="str">
        <f aca="false">HYPERLINK("http://dx.doi.org/10.1016/j.jcv.2008.05.010","http://dx.doi.org/10.1016/j.jcv.2008.05.010")</f>
        <v>http://dx.doi.org/10.1016/j.jcv.2008.05.010</v>
      </c>
      <c r="BG941" s="2"/>
      <c r="BH941" s="2"/>
      <c r="BI941" s="2" t="n">
        <v>6</v>
      </c>
      <c r="BJ941" s="2" t="s">
        <v>163</v>
      </c>
      <c r="BK941" s="2" t="s">
        <v>100</v>
      </c>
      <c r="BL941" s="2" t="s">
        <v>163</v>
      </c>
      <c r="BM941" s="2" t="s">
        <v>16714</v>
      </c>
      <c r="BN941" s="2" t="n">
        <v>18644746</v>
      </c>
      <c r="BO941" s="2" t="s">
        <v>1089</v>
      </c>
      <c r="BP941" s="2"/>
      <c r="BQ941" s="2"/>
      <c r="BR941" s="2" t="s">
        <v>104</v>
      </c>
      <c r="BS941" s="2" t="s">
        <v>16715</v>
      </c>
      <c r="BT941" s="2" t="str">
        <f aca="false">HYPERLINK("https%3A%2F%2Fwww.webofscience.com%2Fwos%2Fwoscc%2Ffull-record%2FWOS:000260071700002","View Full Record in Web of Science")</f>
        <v>View Full Record in Web of Science</v>
      </c>
    </row>
    <row r="942" customFormat="false" ht="12.75" hidden="false" customHeight="false" outlineLevel="0" collapsed="false">
      <c r="A942" s="2" t="s">
        <v>72</v>
      </c>
      <c r="B942" s="2" t="s">
        <v>16716</v>
      </c>
      <c r="C942" s="2"/>
      <c r="D942" s="2"/>
      <c r="E942" s="2"/>
      <c r="F942" s="2" t="s">
        <v>16717</v>
      </c>
      <c r="G942" s="2"/>
      <c r="H942" s="2"/>
      <c r="I942" s="2" t="s">
        <v>16718</v>
      </c>
      <c r="J942" s="2" t="s">
        <v>370</v>
      </c>
      <c r="K942" s="2"/>
      <c r="L942" s="2"/>
      <c r="M942" s="2" t="s">
        <v>77</v>
      </c>
      <c r="N942" s="2" t="s">
        <v>78</v>
      </c>
      <c r="O942" s="2"/>
      <c r="P942" s="2"/>
      <c r="Q942" s="2"/>
      <c r="R942" s="2"/>
      <c r="S942" s="2"/>
      <c r="T942" s="2" t="s">
        <v>16719</v>
      </c>
      <c r="U942" s="2" t="s">
        <v>16720</v>
      </c>
      <c r="V942" s="2" t="s">
        <v>16721</v>
      </c>
      <c r="W942" s="2" t="s">
        <v>16722</v>
      </c>
      <c r="X942" s="2" t="s">
        <v>16723</v>
      </c>
      <c r="Y942" s="2" t="s">
        <v>16724</v>
      </c>
      <c r="Z942" s="2" t="s">
        <v>16725</v>
      </c>
      <c r="AA942" s="2"/>
      <c r="AB942" s="2"/>
      <c r="AC942" s="2"/>
      <c r="AD942" s="2"/>
      <c r="AE942" s="2"/>
      <c r="AF942" s="2"/>
      <c r="AG942" s="2" t="n">
        <v>13</v>
      </c>
      <c r="AH942" s="2" t="n">
        <v>51</v>
      </c>
      <c r="AI942" s="2" t="n">
        <v>57</v>
      </c>
      <c r="AJ942" s="2" t="n">
        <v>0</v>
      </c>
      <c r="AK942" s="2" t="n">
        <v>1</v>
      </c>
      <c r="AL942" s="2" t="s">
        <v>383</v>
      </c>
      <c r="AM942" s="2" t="s">
        <v>384</v>
      </c>
      <c r="AN942" s="2" t="s">
        <v>385</v>
      </c>
      <c r="AO942" s="2" t="s">
        <v>386</v>
      </c>
      <c r="AP942" s="2" t="s">
        <v>387</v>
      </c>
      <c r="AQ942" s="2"/>
      <c r="AR942" s="2" t="s">
        <v>388</v>
      </c>
      <c r="AS942" s="2" t="s">
        <v>389</v>
      </c>
      <c r="AT942" s="2" t="s">
        <v>161</v>
      </c>
      <c r="AU942" s="2" t="n">
        <v>2008</v>
      </c>
      <c r="AV942" s="2" t="n">
        <v>41</v>
      </c>
      <c r="AW942" s="2" t="n">
        <v>1</v>
      </c>
      <c r="AX942" s="2"/>
      <c r="AY942" s="2"/>
      <c r="AZ942" s="2"/>
      <c r="BA942" s="2"/>
      <c r="BB942" s="2" t="n">
        <v>34</v>
      </c>
      <c r="BC942" s="2" t="n">
        <v>37</v>
      </c>
      <c r="BD942" s="2"/>
      <c r="BE942" s="2" t="s">
        <v>16726</v>
      </c>
      <c r="BF942" s="2" t="str">
        <f aca="false">HYPERLINK("http://dx.doi.org/10.1016/j.jcv.2007.10.025","http://dx.doi.org/10.1016/j.jcv.2007.10.025")</f>
        <v>http://dx.doi.org/10.1016/j.jcv.2007.10.025</v>
      </c>
      <c r="BG942" s="2"/>
      <c r="BH942" s="2"/>
      <c r="BI942" s="2" t="n">
        <v>4</v>
      </c>
      <c r="BJ942" s="2" t="s">
        <v>163</v>
      </c>
      <c r="BK942" s="2" t="s">
        <v>100</v>
      </c>
      <c r="BL942" s="2" t="s">
        <v>163</v>
      </c>
      <c r="BM942" s="2" t="s">
        <v>5570</v>
      </c>
      <c r="BN942" s="2" t="n">
        <v>18069054</v>
      </c>
      <c r="BO942" s="2" t="s">
        <v>1089</v>
      </c>
      <c r="BP942" s="2"/>
      <c r="BQ942" s="2"/>
      <c r="BR942" s="2" t="s">
        <v>104</v>
      </c>
      <c r="BS942" s="2" t="s">
        <v>16727</v>
      </c>
      <c r="BT942" s="2" t="str">
        <f aca="false">HYPERLINK("https%3A%2F%2Fwww.webofscience.com%2Fwos%2Fwoscc%2Ffull-record%2FWOS:000253060400008","View Full Record in Web of Science")</f>
        <v>View Full Record in Web of Science</v>
      </c>
    </row>
    <row r="943" customFormat="false" ht="12.75" hidden="false" customHeight="false" outlineLevel="0" collapsed="false">
      <c r="A943" s="2" t="s">
        <v>72</v>
      </c>
      <c r="B943" s="2" t="s">
        <v>16728</v>
      </c>
      <c r="C943" s="2"/>
      <c r="D943" s="2"/>
      <c r="E943" s="2"/>
      <c r="F943" s="2" t="s">
        <v>16729</v>
      </c>
      <c r="G943" s="2"/>
      <c r="H943" s="2"/>
      <c r="I943" s="2" t="s">
        <v>16730</v>
      </c>
      <c r="J943" s="2" t="s">
        <v>141</v>
      </c>
      <c r="K943" s="2"/>
      <c r="L943" s="2"/>
      <c r="M943" s="2" t="s">
        <v>77</v>
      </c>
      <c r="N943" s="2" t="s">
        <v>78</v>
      </c>
      <c r="O943" s="2"/>
      <c r="P943" s="2"/>
      <c r="Q943" s="2"/>
      <c r="R943" s="2"/>
      <c r="S943" s="2"/>
      <c r="T943" s="2" t="s">
        <v>16731</v>
      </c>
      <c r="U943" s="2" t="s">
        <v>16732</v>
      </c>
      <c r="V943" s="2" t="s">
        <v>16733</v>
      </c>
      <c r="W943" s="2" t="s">
        <v>16734</v>
      </c>
      <c r="X943" s="2" t="s">
        <v>16735</v>
      </c>
      <c r="Y943" s="2" t="s">
        <v>16736</v>
      </c>
      <c r="Z943" s="2" t="s">
        <v>16737</v>
      </c>
      <c r="AA943" s="2" t="s">
        <v>16738</v>
      </c>
      <c r="AB943" s="2" t="s">
        <v>16739</v>
      </c>
      <c r="AC943" s="2"/>
      <c r="AD943" s="2"/>
      <c r="AE943" s="2"/>
      <c r="AF943" s="2"/>
      <c r="AG943" s="2" t="n">
        <v>17</v>
      </c>
      <c r="AH943" s="2" t="n">
        <v>68</v>
      </c>
      <c r="AI943" s="2" t="n">
        <v>76</v>
      </c>
      <c r="AJ943" s="2" t="n">
        <v>1</v>
      </c>
      <c r="AK943" s="2" t="n">
        <v>5</v>
      </c>
      <c r="AL943" s="2" t="s">
        <v>2746</v>
      </c>
      <c r="AM943" s="2" t="s">
        <v>155</v>
      </c>
      <c r="AN943" s="2" t="s">
        <v>2747</v>
      </c>
      <c r="AO943" s="2" t="s">
        <v>157</v>
      </c>
      <c r="AP943" s="2"/>
      <c r="AQ943" s="2"/>
      <c r="AR943" s="2" t="s">
        <v>159</v>
      </c>
      <c r="AS943" s="2" t="s">
        <v>160</v>
      </c>
      <c r="AT943" s="2" t="s">
        <v>390</v>
      </c>
      <c r="AU943" s="2" t="n">
        <v>2007</v>
      </c>
      <c r="AV943" s="2" t="n">
        <v>79</v>
      </c>
      <c r="AW943" s="2" t="n">
        <v>5</v>
      </c>
      <c r="AX943" s="2"/>
      <c r="AY943" s="2"/>
      <c r="AZ943" s="2"/>
      <c r="BA943" s="2"/>
      <c r="BB943" s="2" t="n">
        <v>539</v>
      </c>
      <c r="BC943" s="2" t="n">
        <v>543</v>
      </c>
      <c r="BD943" s="2"/>
      <c r="BE943" s="2" t="s">
        <v>16740</v>
      </c>
      <c r="BF943" s="2" t="str">
        <f aca="false">HYPERLINK("http://dx.doi.org/10.1002/jmv.20815","http://dx.doi.org/10.1002/jmv.20815")</f>
        <v>http://dx.doi.org/10.1002/jmv.20815</v>
      </c>
      <c r="BG943" s="2"/>
      <c r="BH943" s="2"/>
      <c r="BI943" s="2" t="n">
        <v>5</v>
      </c>
      <c r="BJ943" s="2" t="s">
        <v>163</v>
      </c>
      <c r="BK943" s="2" t="s">
        <v>100</v>
      </c>
      <c r="BL943" s="2" t="s">
        <v>163</v>
      </c>
      <c r="BM943" s="2" t="s">
        <v>16741</v>
      </c>
      <c r="BN943" s="2" t="n">
        <v>17385723</v>
      </c>
      <c r="BO943" s="2" t="s">
        <v>165</v>
      </c>
      <c r="BP943" s="2"/>
      <c r="BQ943" s="2"/>
      <c r="BR943" s="2" t="s">
        <v>104</v>
      </c>
      <c r="BS943" s="2" t="s">
        <v>16742</v>
      </c>
      <c r="BT943" s="2" t="str">
        <f aca="false">HYPERLINK("https%3A%2F%2Fwww.webofscience.com%2Fwos%2Fwoscc%2Ffull-record%2FWOS:000245484700010","View Full Record in Web of Science")</f>
        <v>View Full Record in Web of Science</v>
      </c>
    </row>
    <row r="944" customFormat="false" ht="12.75" hidden="false" customHeight="false" outlineLevel="0" collapsed="false">
      <c r="A944" s="2" t="s">
        <v>72</v>
      </c>
      <c r="B944" s="2" t="s">
        <v>16743</v>
      </c>
      <c r="C944" s="2"/>
      <c r="D944" s="2"/>
      <c r="E944" s="2"/>
      <c r="F944" s="2" t="s">
        <v>16744</v>
      </c>
      <c r="G944" s="2"/>
      <c r="H944" s="2"/>
      <c r="I944" s="2" t="s">
        <v>16745</v>
      </c>
      <c r="J944" s="2" t="s">
        <v>1448</v>
      </c>
      <c r="K944" s="2"/>
      <c r="L944" s="2"/>
      <c r="M944" s="2" t="s">
        <v>77</v>
      </c>
      <c r="N944" s="2" t="s">
        <v>78</v>
      </c>
      <c r="O944" s="2"/>
      <c r="P944" s="2"/>
      <c r="Q944" s="2"/>
      <c r="R944" s="2"/>
      <c r="S944" s="2"/>
      <c r="T944" s="2" t="s">
        <v>16746</v>
      </c>
      <c r="U944" s="2" t="s">
        <v>16747</v>
      </c>
      <c r="V944" s="2" t="s">
        <v>16748</v>
      </c>
      <c r="W944" s="2" t="s">
        <v>16749</v>
      </c>
      <c r="X944" s="2" t="s">
        <v>16750</v>
      </c>
      <c r="Y944" s="2" t="s">
        <v>16751</v>
      </c>
      <c r="Z944" s="2" t="s">
        <v>16752</v>
      </c>
      <c r="AA944" s="2" t="s">
        <v>16753</v>
      </c>
      <c r="AB944" s="2" t="s">
        <v>16754</v>
      </c>
      <c r="AC944" s="2" t="s">
        <v>16755</v>
      </c>
      <c r="AD944" s="2" t="s">
        <v>16755</v>
      </c>
      <c r="AE944" s="2" t="s">
        <v>16756</v>
      </c>
      <c r="AF944" s="2"/>
      <c r="AG944" s="2" t="n">
        <v>43</v>
      </c>
      <c r="AH944" s="2" t="n">
        <v>2</v>
      </c>
      <c r="AI944" s="2" t="n">
        <v>2</v>
      </c>
      <c r="AJ944" s="2" t="n">
        <v>0</v>
      </c>
      <c r="AK944" s="2" t="n">
        <v>7</v>
      </c>
      <c r="AL944" s="2" t="s">
        <v>1460</v>
      </c>
      <c r="AM944" s="2" t="s">
        <v>593</v>
      </c>
      <c r="AN944" s="2" t="s">
        <v>2088</v>
      </c>
      <c r="AO944" s="2" t="s">
        <v>1462</v>
      </c>
      <c r="AP944" s="2" t="s">
        <v>1463</v>
      </c>
      <c r="AQ944" s="2"/>
      <c r="AR944" s="2" t="s">
        <v>1464</v>
      </c>
      <c r="AS944" s="2" t="s">
        <v>1465</v>
      </c>
      <c r="AT944" s="2" t="s">
        <v>804</v>
      </c>
      <c r="AU944" s="2" t="n">
        <v>2023</v>
      </c>
      <c r="AV944" s="2" t="n">
        <v>107</v>
      </c>
      <c r="AW944" s="2" t="n">
        <v>3</v>
      </c>
      <c r="AX944" s="2"/>
      <c r="AY944" s="2"/>
      <c r="AZ944" s="2"/>
      <c r="BA944" s="2"/>
      <c r="BB944" s="2"/>
      <c r="BC944" s="2"/>
      <c r="BD944" s="2" t="n">
        <v>116050</v>
      </c>
      <c r="BE944" s="2" t="s">
        <v>16757</v>
      </c>
      <c r="BF944" s="2" t="str">
        <f aca="false">HYPERLINK("http://dx.doi.org/10.1016/j.diagmicrobio.2023.116050","http://dx.doi.org/10.1016/j.diagmicrobio.2023.116050")</f>
        <v>http://dx.doi.org/10.1016/j.diagmicrobio.2023.116050</v>
      </c>
      <c r="BG944" s="2"/>
      <c r="BH944" s="2" t="s">
        <v>5077</v>
      </c>
      <c r="BI944" s="2" t="n">
        <v>6</v>
      </c>
      <c r="BJ944" s="2" t="s">
        <v>1467</v>
      </c>
      <c r="BK944" s="2" t="s">
        <v>100</v>
      </c>
      <c r="BL944" s="2" t="s">
        <v>1467</v>
      </c>
      <c r="BM944" s="2" t="s">
        <v>16758</v>
      </c>
      <c r="BN944" s="2" t="n">
        <v>37597460</v>
      </c>
      <c r="BO944" s="2"/>
      <c r="BP944" s="2"/>
      <c r="BQ944" s="2"/>
      <c r="BR944" s="2" t="s">
        <v>104</v>
      </c>
      <c r="BS944" s="2" t="s">
        <v>16759</v>
      </c>
      <c r="BT944" s="2" t="str">
        <f aca="false">HYPERLINK("https%3A%2F%2Fwww.webofscience.com%2Fwos%2Fwoscc%2Ffull-record%2FWOS:001059063700001","View Full Record in Web of Science")</f>
        <v>View Full Record in Web of Science</v>
      </c>
    </row>
    <row r="945" customFormat="false" ht="12.75" hidden="false" customHeight="false" outlineLevel="0" collapsed="false">
      <c r="A945" s="2" t="s">
        <v>72</v>
      </c>
      <c r="B945" s="2" t="s">
        <v>16760</v>
      </c>
      <c r="C945" s="2"/>
      <c r="D945" s="2"/>
      <c r="E945" s="2"/>
      <c r="F945" s="2" t="s">
        <v>16761</v>
      </c>
      <c r="G945" s="2"/>
      <c r="H945" s="2"/>
      <c r="I945" s="2" t="s">
        <v>16762</v>
      </c>
      <c r="J945" s="2" t="s">
        <v>3545</v>
      </c>
      <c r="K945" s="2"/>
      <c r="L945" s="2"/>
      <c r="M945" s="2" t="s">
        <v>77</v>
      </c>
      <c r="N945" s="2" t="s">
        <v>78</v>
      </c>
      <c r="O945" s="2"/>
      <c r="P945" s="2"/>
      <c r="Q945" s="2"/>
      <c r="R945" s="2"/>
      <c r="S945" s="2"/>
      <c r="T945" s="2" t="s">
        <v>16763</v>
      </c>
      <c r="U945" s="2" t="s">
        <v>16764</v>
      </c>
      <c r="V945" s="2" t="s">
        <v>16765</v>
      </c>
      <c r="W945" s="2" t="s">
        <v>16766</v>
      </c>
      <c r="X945" s="2" t="s">
        <v>16767</v>
      </c>
      <c r="Y945" s="2" t="s">
        <v>16768</v>
      </c>
      <c r="Z945" s="2" t="s">
        <v>16769</v>
      </c>
      <c r="AA945" s="2" t="s">
        <v>16770</v>
      </c>
      <c r="AB945" s="2" t="s">
        <v>16771</v>
      </c>
      <c r="AC945" s="2"/>
      <c r="AD945" s="2"/>
      <c r="AE945" s="2"/>
      <c r="AF945" s="2"/>
      <c r="AG945" s="2" t="n">
        <v>27</v>
      </c>
      <c r="AH945" s="2" t="n">
        <v>1</v>
      </c>
      <c r="AI945" s="2" t="n">
        <v>1</v>
      </c>
      <c r="AJ945" s="2" t="n">
        <v>2</v>
      </c>
      <c r="AK945" s="2" t="n">
        <v>4</v>
      </c>
      <c r="AL945" s="2" t="s">
        <v>3557</v>
      </c>
      <c r="AM945" s="2" t="s">
        <v>330</v>
      </c>
      <c r="AN945" s="2" t="s">
        <v>3558</v>
      </c>
      <c r="AO945" s="2" t="s">
        <v>3559</v>
      </c>
      <c r="AP945" s="2" t="s">
        <v>3560</v>
      </c>
      <c r="AQ945" s="2"/>
      <c r="AR945" s="2" t="s">
        <v>3561</v>
      </c>
      <c r="AS945" s="2" t="s">
        <v>3562</v>
      </c>
      <c r="AT945" s="2" t="s">
        <v>16772</v>
      </c>
      <c r="AU945" s="2" t="n">
        <v>2024</v>
      </c>
      <c r="AV945" s="2" t="n">
        <v>39</v>
      </c>
      <c r="AW945" s="2" t="n">
        <v>4</v>
      </c>
      <c r="AX945" s="2"/>
      <c r="AY945" s="2"/>
      <c r="AZ945" s="2"/>
      <c r="BA945" s="2"/>
      <c r="BB945" s="2"/>
      <c r="BC945" s="2"/>
      <c r="BD945" s="2" t="s">
        <v>16773</v>
      </c>
      <c r="BE945" s="2" t="s">
        <v>16774</v>
      </c>
      <c r="BF945" s="2" t="str">
        <f aca="false">HYPERLINK("http://dx.doi.org/10.3346/jkms.2024.39.e38eISSN1598-6357pISSN1011-8934","http://dx.doi.org/10.3346/jkms.2024.39.e38eISSN1598-6357pISSN1011-8934")</f>
        <v>http://dx.doi.org/10.3346/jkms.2024.39.e38eISSN1598-6357pISSN1011-8934</v>
      </c>
      <c r="BG945" s="2"/>
      <c r="BH945" s="2"/>
      <c r="BI945" s="2" t="n">
        <v>12</v>
      </c>
      <c r="BJ945" s="2" t="s">
        <v>363</v>
      </c>
      <c r="BK945" s="2" t="s">
        <v>100</v>
      </c>
      <c r="BL945" s="2" t="s">
        <v>364</v>
      </c>
      <c r="BM945" s="2" t="s">
        <v>16775</v>
      </c>
      <c r="BN945" s="2" t="n">
        <v>38288539</v>
      </c>
      <c r="BO945" s="2"/>
      <c r="BP945" s="2"/>
      <c r="BQ945" s="2"/>
      <c r="BR945" s="2" t="s">
        <v>104</v>
      </c>
      <c r="BS945" s="2" t="s">
        <v>16776</v>
      </c>
      <c r="BT945" s="2" t="str">
        <f aca="false">HYPERLINK("https%3A%2F%2Fwww.webofscience.com%2Fwos%2Fwoscc%2Ffull-record%2FWOS:001156480400001","View Full Record in Web of Science")</f>
        <v>View Full Record in Web of Science</v>
      </c>
    </row>
    <row r="946" customFormat="false" ht="12.75" hidden="false" customHeight="false" outlineLevel="0" collapsed="false">
      <c r="A946" s="2" t="s">
        <v>72</v>
      </c>
      <c r="B946" s="2" t="s">
        <v>16777</v>
      </c>
      <c r="C946" s="2"/>
      <c r="D946" s="2"/>
      <c r="E946" s="2"/>
      <c r="F946" s="2" t="s">
        <v>16778</v>
      </c>
      <c r="G946" s="2"/>
      <c r="H946" s="2"/>
      <c r="I946" s="2" t="s">
        <v>16779</v>
      </c>
      <c r="J946" s="2" t="s">
        <v>16780</v>
      </c>
      <c r="K946" s="2"/>
      <c r="L946" s="2"/>
      <c r="M946" s="2" t="s">
        <v>77</v>
      </c>
      <c r="N946" s="2" t="s">
        <v>78</v>
      </c>
      <c r="O946" s="2"/>
      <c r="P946" s="2"/>
      <c r="Q946" s="2"/>
      <c r="R946" s="2"/>
      <c r="S946" s="2"/>
      <c r="T946" s="2" t="s">
        <v>16781</v>
      </c>
      <c r="U946" s="2" t="s">
        <v>16782</v>
      </c>
      <c r="V946" s="2" t="s">
        <v>16783</v>
      </c>
      <c r="W946" s="2" t="s">
        <v>16784</v>
      </c>
      <c r="X946" s="2" t="s">
        <v>8909</v>
      </c>
      <c r="Y946" s="2" t="s">
        <v>16785</v>
      </c>
      <c r="Z946" s="2" t="s">
        <v>8911</v>
      </c>
      <c r="AA946" s="2" t="s">
        <v>16786</v>
      </c>
      <c r="AB946" s="2" t="s">
        <v>8913</v>
      </c>
      <c r="AC946" s="2" t="s">
        <v>11716</v>
      </c>
      <c r="AD946" s="2" t="s">
        <v>11717</v>
      </c>
      <c r="AE946" s="2" t="s">
        <v>16787</v>
      </c>
      <c r="AF946" s="2"/>
      <c r="AG946" s="2" t="n">
        <v>30</v>
      </c>
      <c r="AH946" s="2" t="n">
        <v>24</v>
      </c>
      <c r="AI946" s="2" t="n">
        <v>24</v>
      </c>
      <c r="AJ946" s="2" t="n">
        <v>0</v>
      </c>
      <c r="AK946" s="2" t="n">
        <v>4</v>
      </c>
      <c r="AL946" s="2" t="s">
        <v>9887</v>
      </c>
      <c r="AM946" s="2" t="s">
        <v>9888</v>
      </c>
      <c r="AN946" s="2" t="s">
        <v>9889</v>
      </c>
      <c r="AO946" s="2" t="s">
        <v>16788</v>
      </c>
      <c r="AP946" s="2"/>
      <c r="AQ946" s="2"/>
      <c r="AR946" s="2" t="s">
        <v>16789</v>
      </c>
      <c r="AS946" s="2" t="s">
        <v>16790</v>
      </c>
      <c r="AT946" s="2" t="s">
        <v>446</v>
      </c>
      <c r="AU946" s="2" t="n">
        <v>2016</v>
      </c>
      <c r="AV946" s="2" t="n">
        <v>144</v>
      </c>
      <c r="AW946" s="2"/>
      <c r="AX946" s="2"/>
      <c r="AY946" s="2"/>
      <c r="AZ946" s="2"/>
      <c r="BA946" s="2"/>
      <c r="BB946" s="2" t="n">
        <v>877</v>
      </c>
      <c r="BC946" s="2" t="n">
        <v>885</v>
      </c>
      <c r="BD946" s="2"/>
      <c r="BE946" s="2" t="s">
        <v>16791</v>
      </c>
      <c r="BF946" s="2" t="str">
        <f aca="false">HYPERLINK("http://dx.doi.org/10.4103/ijmr.IJMR_22_15","http://dx.doi.org/10.4103/ijmr.IJMR_22_15")</f>
        <v>http://dx.doi.org/10.4103/ijmr.IJMR_22_15</v>
      </c>
      <c r="BG946" s="2"/>
      <c r="BH946" s="2"/>
      <c r="BI946" s="2" t="n">
        <v>9</v>
      </c>
      <c r="BJ946" s="2" t="s">
        <v>16792</v>
      </c>
      <c r="BK946" s="2" t="s">
        <v>100</v>
      </c>
      <c r="BL946" s="2" t="s">
        <v>16793</v>
      </c>
      <c r="BM946" s="2" t="s">
        <v>16794</v>
      </c>
      <c r="BN946" s="2" t="n">
        <v>28474624</v>
      </c>
      <c r="BO946" s="2" t="s">
        <v>2582</v>
      </c>
      <c r="BP946" s="2"/>
      <c r="BQ946" s="2"/>
      <c r="BR946" s="2" t="s">
        <v>104</v>
      </c>
      <c r="BS946" s="2" t="s">
        <v>16795</v>
      </c>
      <c r="BT946" s="2" t="str">
        <f aca="false">HYPERLINK("https%3A%2F%2Fwww.webofscience.com%2Fwos%2Fwoscc%2Ffull-record%2FWOS:000400915900013","View Full Record in Web of Science")</f>
        <v>View Full Record in Web of Science</v>
      </c>
    </row>
    <row r="947" customFormat="false" ht="12.75" hidden="false" customHeight="false" outlineLevel="0" collapsed="false">
      <c r="A947" s="2" t="s">
        <v>72</v>
      </c>
      <c r="B947" s="2" t="s">
        <v>16796</v>
      </c>
      <c r="C947" s="2"/>
      <c r="D947" s="2"/>
      <c r="E947" s="2"/>
      <c r="F947" s="2" t="s">
        <v>16797</v>
      </c>
      <c r="G947" s="2"/>
      <c r="H947" s="2"/>
      <c r="I947" s="2" t="s">
        <v>16798</v>
      </c>
      <c r="J947" s="2" t="s">
        <v>370</v>
      </c>
      <c r="K947" s="2"/>
      <c r="L947" s="2"/>
      <c r="M947" s="2" t="s">
        <v>77</v>
      </c>
      <c r="N947" s="2" t="s">
        <v>78</v>
      </c>
      <c r="O947" s="2"/>
      <c r="P947" s="2"/>
      <c r="Q947" s="2"/>
      <c r="R947" s="2"/>
      <c r="S947" s="2"/>
      <c r="T947" s="2" t="s">
        <v>16799</v>
      </c>
      <c r="U947" s="2" t="s">
        <v>16800</v>
      </c>
      <c r="V947" s="2" t="s">
        <v>16801</v>
      </c>
      <c r="W947" s="2" t="s">
        <v>16802</v>
      </c>
      <c r="X947" s="2" t="s">
        <v>16803</v>
      </c>
      <c r="Y947" s="2" t="s">
        <v>16804</v>
      </c>
      <c r="Z947" s="2" t="s">
        <v>16805</v>
      </c>
      <c r="AA947" s="2" t="s">
        <v>16806</v>
      </c>
      <c r="AB947" s="2" t="s">
        <v>16807</v>
      </c>
      <c r="AC947" s="2" t="s">
        <v>16808</v>
      </c>
      <c r="AD947" s="2" t="s">
        <v>16809</v>
      </c>
      <c r="AE947" s="2" t="s">
        <v>16810</v>
      </c>
      <c r="AF947" s="2"/>
      <c r="AG947" s="2" t="n">
        <v>15</v>
      </c>
      <c r="AH947" s="2" t="n">
        <v>6</v>
      </c>
      <c r="AI947" s="2" t="n">
        <v>6</v>
      </c>
      <c r="AJ947" s="2" t="n">
        <v>0</v>
      </c>
      <c r="AK947" s="2" t="n">
        <v>2</v>
      </c>
      <c r="AL947" s="2" t="s">
        <v>383</v>
      </c>
      <c r="AM947" s="2" t="s">
        <v>384</v>
      </c>
      <c r="AN947" s="2" t="s">
        <v>385</v>
      </c>
      <c r="AO947" s="2" t="s">
        <v>386</v>
      </c>
      <c r="AP947" s="2" t="s">
        <v>387</v>
      </c>
      <c r="AQ947" s="2"/>
      <c r="AR947" s="2" t="s">
        <v>388</v>
      </c>
      <c r="AS947" s="2" t="s">
        <v>389</v>
      </c>
      <c r="AT947" s="2" t="s">
        <v>446</v>
      </c>
      <c r="AU947" s="2" t="n">
        <v>2015</v>
      </c>
      <c r="AV947" s="2" t="n">
        <v>73</v>
      </c>
      <c r="AW947" s="2"/>
      <c r="AX947" s="2"/>
      <c r="AY947" s="2"/>
      <c r="AZ947" s="2"/>
      <c r="BA947" s="2"/>
      <c r="BB947" s="2" t="n">
        <v>77</v>
      </c>
      <c r="BC947" s="2" t="n">
        <v>80</v>
      </c>
      <c r="BD947" s="2"/>
      <c r="BE947" s="2" t="s">
        <v>16811</v>
      </c>
      <c r="BF947" s="2" t="str">
        <f aca="false">HYPERLINK("http://dx.doi.org/10.1016/j.jcv.2015.11.007","http://dx.doi.org/10.1016/j.jcv.2015.11.007")</f>
        <v>http://dx.doi.org/10.1016/j.jcv.2015.11.007</v>
      </c>
      <c r="BG947" s="2"/>
      <c r="BH947" s="2"/>
      <c r="BI947" s="2" t="n">
        <v>4</v>
      </c>
      <c r="BJ947" s="2" t="s">
        <v>163</v>
      </c>
      <c r="BK947" s="2" t="s">
        <v>100</v>
      </c>
      <c r="BL947" s="2" t="s">
        <v>163</v>
      </c>
      <c r="BM947" s="2" t="s">
        <v>16812</v>
      </c>
      <c r="BN947" s="2" t="n">
        <v>26580407</v>
      </c>
      <c r="BO947" s="2"/>
      <c r="BP947" s="2"/>
      <c r="BQ947" s="2"/>
      <c r="BR947" s="2" t="s">
        <v>104</v>
      </c>
      <c r="BS947" s="2" t="s">
        <v>16813</v>
      </c>
      <c r="BT947" s="2" t="str">
        <f aca="false">HYPERLINK("https%3A%2F%2Fwww.webofscience.com%2Fwos%2Fwoscc%2Ffull-record%2FWOS:000367390700015","View Full Record in Web of Science")</f>
        <v>View Full Record in Web of Science</v>
      </c>
    </row>
    <row r="948" customFormat="false" ht="12.75" hidden="false" customHeight="false" outlineLevel="0" collapsed="false">
      <c r="A948" s="2" t="s">
        <v>72</v>
      </c>
      <c r="B948" s="2" t="s">
        <v>16814</v>
      </c>
      <c r="C948" s="2"/>
      <c r="D948" s="2"/>
      <c r="E948" s="2"/>
      <c r="F948" s="2" t="s">
        <v>16815</v>
      </c>
      <c r="G948" s="2"/>
      <c r="H948" s="2"/>
      <c r="I948" s="2" t="s">
        <v>16816</v>
      </c>
      <c r="J948" s="2" t="s">
        <v>607</v>
      </c>
      <c r="K948" s="2"/>
      <c r="L948" s="2"/>
      <c r="M948" s="2" t="s">
        <v>77</v>
      </c>
      <c r="N948" s="2" t="s">
        <v>78</v>
      </c>
      <c r="O948" s="2"/>
      <c r="P948" s="2"/>
      <c r="Q948" s="2"/>
      <c r="R948" s="2"/>
      <c r="S948" s="2"/>
      <c r="T948" s="2" t="s">
        <v>16817</v>
      </c>
      <c r="U948" s="2" t="s">
        <v>16818</v>
      </c>
      <c r="V948" s="2" t="s">
        <v>16819</v>
      </c>
      <c r="W948" s="2" t="s">
        <v>16820</v>
      </c>
      <c r="X948" s="2" t="s">
        <v>16821</v>
      </c>
      <c r="Y948" s="2" t="s">
        <v>16822</v>
      </c>
      <c r="Z948" s="2" t="s">
        <v>1643</v>
      </c>
      <c r="AA948" s="2" t="s">
        <v>16823</v>
      </c>
      <c r="AB948" s="2" t="s">
        <v>16824</v>
      </c>
      <c r="AC948" s="2" t="s">
        <v>16825</v>
      </c>
      <c r="AD948" s="2" t="s">
        <v>16826</v>
      </c>
      <c r="AE948" s="2" t="s">
        <v>16827</v>
      </c>
      <c r="AF948" s="2"/>
      <c r="AG948" s="2" t="n">
        <v>56</v>
      </c>
      <c r="AH948" s="2" t="n">
        <v>37</v>
      </c>
      <c r="AI948" s="2" t="n">
        <v>41</v>
      </c>
      <c r="AJ948" s="2" t="n">
        <v>0</v>
      </c>
      <c r="AK948" s="2" t="n">
        <v>0</v>
      </c>
      <c r="AL948" s="2" t="s">
        <v>620</v>
      </c>
      <c r="AM948" s="2" t="s">
        <v>621</v>
      </c>
      <c r="AN948" s="2" t="s">
        <v>622</v>
      </c>
      <c r="AO948" s="2" t="s">
        <v>623</v>
      </c>
      <c r="AP948" s="2"/>
      <c r="AQ948" s="2"/>
      <c r="AR948" s="2" t="s">
        <v>624</v>
      </c>
      <c r="AS948" s="2" t="s">
        <v>625</v>
      </c>
      <c r="AT948" s="2" t="s">
        <v>12484</v>
      </c>
      <c r="AU948" s="2" t="n">
        <v>2018</v>
      </c>
      <c r="AV948" s="2" t="n">
        <v>9</v>
      </c>
      <c r="AW948" s="2"/>
      <c r="AX948" s="2"/>
      <c r="AY948" s="2"/>
      <c r="AZ948" s="2"/>
      <c r="BA948" s="2"/>
      <c r="BB948" s="2"/>
      <c r="BC948" s="2"/>
      <c r="BD948" s="2" t="n">
        <v>2875</v>
      </c>
      <c r="BE948" s="2" t="s">
        <v>16828</v>
      </c>
      <c r="BF948" s="2" t="str">
        <f aca="false">HYPERLINK("http://dx.doi.org/10.3389/fimmu.2018.02875","http://dx.doi.org/10.3389/fimmu.2018.02875")</f>
        <v>http://dx.doi.org/10.3389/fimmu.2018.02875</v>
      </c>
      <c r="BG948" s="2"/>
      <c r="BH948" s="2"/>
      <c r="BI948" s="2" t="n">
        <v>16</v>
      </c>
      <c r="BJ948" s="2" t="s">
        <v>628</v>
      </c>
      <c r="BK948" s="2" t="s">
        <v>100</v>
      </c>
      <c r="BL948" s="2" t="s">
        <v>628</v>
      </c>
      <c r="BM948" s="2" t="s">
        <v>16829</v>
      </c>
      <c r="BN948" s="2" t="n">
        <v>30581437</v>
      </c>
      <c r="BO948" s="2" t="s">
        <v>103</v>
      </c>
      <c r="BP948" s="2"/>
      <c r="BQ948" s="2"/>
      <c r="BR948" s="2" t="s">
        <v>104</v>
      </c>
      <c r="BS948" s="2" t="s">
        <v>16830</v>
      </c>
      <c r="BT948" s="2" t="str">
        <f aca="false">HYPERLINK("https%3A%2F%2Fwww.webofscience.com%2Fwos%2Fwoscc%2Ffull-record%2FWOS:000452526700001","View Full Record in Web of Science")</f>
        <v>View Full Record in Web of Science</v>
      </c>
    </row>
    <row r="949" customFormat="false" ht="12.75" hidden="false" customHeight="false" outlineLevel="0" collapsed="false">
      <c r="A949" s="2" t="s">
        <v>72</v>
      </c>
      <c r="B949" s="2" t="s">
        <v>16831</v>
      </c>
      <c r="C949" s="2"/>
      <c r="D949" s="2"/>
      <c r="E949" s="2"/>
      <c r="F949" s="2" t="s">
        <v>16832</v>
      </c>
      <c r="G949" s="2"/>
      <c r="H949" s="2"/>
      <c r="I949" s="2" t="s">
        <v>16833</v>
      </c>
      <c r="J949" s="2" t="s">
        <v>3182</v>
      </c>
      <c r="K949" s="2"/>
      <c r="L949" s="2"/>
      <c r="M949" s="2" t="s">
        <v>77</v>
      </c>
      <c r="N949" s="2" t="s">
        <v>78</v>
      </c>
      <c r="O949" s="2"/>
      <c r="P949" s="2"/>
      <c r="Q949" s="2"/>
      <c r="R949" s="2"/>
      <c r="S949" s="2"/>
      <c r="T949" s="2" t="s">
        <v>16834</v>
      </c>
      <c r="U949" s="2" t="s">
        <v>16835</v>
      </c>
      <c r="V949" s="2" t="s">
        <v>16836</v>
      </c>
      <c r="W949" s="2" t="s">
        <v>16837</v>
      </c>
      <c r="X949" s="2" t="s">
        <v>16838</v>
      </c>
      <c r="Y949" s="2" t="s">
        <v>16839</v>
      </c>
      <c r="Z949" s="2" t="s">
        <v>16840</v>
      </c>
      <c r="AA949" s="2" t="s">
        <v>16841</v>
      </c>
      <c r="AB949" s="2" t="s">
        <v>16842</v>
      </c>
      <c r="AC949" s="2" t="s">
        <v>16843</v>
      </c>
      <c r="AD949" s="2" t="s">
        <v>16844</v>
      </c>
      <c r="AE949" s="2" t="s">
        <v>16845</v>
      </c>
      <c r="AF949" s="2"/>
      <c r="AG949" s="2" t="n">
        <v>32</v>
      </c>
      <c r="AH949" s="2" t="n">
        <v>4</v>
      </c>
      <c r="AI949" s="2" t="n">
        <v>5</v>
      </c>
      <c r="AJ949" s="2" t="n">
        <v>1</v>
      </c>
      <c r="AK949" s="2" t="n">
        <v>3</v>
      </c>
      <c r="AL949" s="2" t="s">
        <v>3192</v>
      </c>
      <c r="AM949" s="2" t="s">
        <v>2876</v>
      </c>
      <c r="AN949" s="2" t="s">
        <v>3193</v>
      </c>
      <c r="AO949" s="2" t="s">
        <v>3194</v>
      </c>
      <c r="AP949" s="2" t="s">
        <v>3195</v>
      </c>
      <c r="AQ949" s="2"/>
      <c r="AR949" s="2" t="s">
        <v>3196</v>
      </c>
      <c r="AS949" s="2" t="s">
        <v>3197</v>
      </c>
      <c r="AT949" s="2" t="s">
        <v>336</v>
      </c>
      <c r="AU949" s="2" t="n">
        <v>2017</v>
      </c>
      <c r="AV949" s="2" t="n">
        <v>112</v>
      </c>
      <c r="AW949" s="2" t="n">
        <v>10</v>
      </c>
      <c r="AX949" s="2"/>
      <c r="AY949" s="2"/>
      <c r="AZ949" s="2"/>
      <c r="BA949" s="2"/>
      <c r="BB949" s="2" t="n">
        <v>655</v>
      </c>
      <c r="BC949" s="2" t="n">
        <v>663</v>
      </c>
      <c r="BD949" s="2"/>
      <c r="BE949" s="2" t="s">
        <v>16846</v>
      </c>
      <c r="BF949" s="2" t="str">
        <f aca="false">HYPERLINK("http://dx.doi.org/10.1590/0074-02760170013","http://dx.doi.org/10.1590/0074-02760170013")</f>
        <v>http://dx.doi.org/10.1590/0074-02760170013</v>
      </c>
      <c r="BG949" s="2"/>
      <c r="BH949" s="2"/>
      <c r="BI949" s="2" t="n">
        <v>9</v>
      </c>
      <c r="BJ949" s="2" t="s">
        <v>3199</v>
      </c>
      <c r="BK949" s="2" t="s">
        <v>100</v>
      </c>
      <c r="BL949" s="2" t="s">
        <v>3199</v>
      </c>
      <c r="BM949" s="2" t="s">
        <v>16847</v>
      </c>
      <c r="BN949" s="2" t="n">
        <v>28953993</v>
      </c>
      <c r="BO949" s="2" t="s">
        <v>103</v>
      </c>
      <c r="BP949" s="2"/>
      <c r="BQ949" s="2"/>
      <c r="BR949" s="2" t="s">
        <v>104</v>
      </c>
      <c r="BS949" s="2" t="s">
        <v>16848</v>
      </c>
      <c r="BT949" s="2" t="str">
        <f aca="false">HYPERLINK("https%3A%2F%2Fwww.webofscience.com%2Fwos%2Fwoscc%2Ffull-record%2FWOS:000411575900002","View Full Record in Web of Science")</f>
        <v>View Full Record in Web of Science</v>
      </c>
    </row>
    <row r="950" customFormat="false" ht="12.75" hidden="false" customHeight="false" outlineLevel="0" collapsed="false">
      <c r="A950" s="2" t="s">
        <v>72</v>
      </c>
      <c r="B950" s="2" t="s">
        <v>16849</v>
      </c>
      <c r="C950" s="2"/>
      <c r="D950" s="2"/>
      <c r="E950" s="2"/>
      <c r="F950" s="2" t="s">
        <v>16850</v>
      </c>
      <c r="G950" s="2"/>
      <c r="H950" s="2"/>
      <c r="I950" s="2" t="s">
        <v>16851</v>
      </c>
      <c r="J950" s="2" t="s">
        <v>141</v>
      </c>
      <c r="K950" s="2"/>
      <c r="L950" s="2"/>
      <c r="M950" s="2" t="s">
        <v>77</v>
      </c>
      <c r="N950" s="2" t="s">
        <v>78</v>
      </c>
      <c r="O950" s="2"/>
      <c r="P950" s="2"/>
      <c r="Q950" s="2"/>
      <c r="R950" s="2"/>
      <c r="S950" s="2"/>
      <c r="T950" s="2" t="s">
        <v>16852</v>
      </c>
      <c r="U950" s="2" t="s">
        <v>16853</v>
      </c>
      <c r="V950" s="2" t="s">
        <v>16854</v>
      </c>
      <c r="W950" s="2" t="s">
        <v>16855</v>
      </c>
      <c r="X950" s="2" t="s">
        <v>4280</v>
      </c>
      <c r="Y950" s="2" t="s">
        <v>16856</v>
      </c>
      <c r="Z950" s="2" t="s">
        <v>16857</v>
      </c>
      <c r="AA950" s="2" t="s">
        <v>16858</v>
      </c>
      <c r="AB950" s="2" t="s">
        <v>16859</v>
      </c>
      <c r="AC950" s="2" t="s">
        <v>16860</v>
      </c>
      <c r="AD950" s="2" t="s">
        <v>16861</v>
      </c>
      <c r="AE950" s="2" t="s">
        <v>16862</v>
      </c>
      <c r="AF950" s="2"/>
      <c r="AG950" s="2" t="n">
        <v>29</v>
      </c>
      <c r="AH950" s="2" t="n">
        <v>17</v>
      </c>
      <c r="AI950" s="2" t="n">
        <v>17</v>
      </c>
      <c r="AJ950" s="2" t="n">
        <v>0</v>
      </c>
      <c r="AK950" s="2" t="n">
        <v>7</v>
      </c>
      <c r="AL950" s="2" t="s">
        <v>154</v>
      </c>
      <c r="AM950" s="2" t="s">
        <v>155</v>
      </c>
      <c r="AN950" s="2" t="s">
        <v>156</v>
      </c>
      <c r="AO950" s="2" t="s">
        <v>157</v>
      </c>
      <c r="AP950" s="2" t="s">
        <v>158</v>
      </c>
      <c r="AQ950" s="2"/>
      <c r="AR950" s="2" t="s">
        <v>159</v>
      </c>
      <c r="AS950" s="2" t="s">
        <v>160</v>
      </c>
      <c r="AT950" s="2" t="s">
        <v>336</v>
      </c>
      <c r="AU950" s="2" t="n">
        <v>2013</v>
      </c>
      <c r="AV950" s="2" t="n">
        <v>85</v>
      </c>
      <c r="AW950" s="2" t="n">
        <v>10</v>
      </c>
      <c r="AX950" s="2"/>
      <c r="AY950" s="2"/>
      <c r="AZ950" s="2"/>
      <c r="BA950" s="2"/>
      <c r="BB950" s="2" t="n">
        <v>1852</v>
      </c>
      <c r="BC950" s="2" t="n">
        <v>1859</v>
      </c>
      <c r="BD950" s="2"/>
      <c r="BE950" s="2" t="s">
        <v>16863</v>
      </c>
      <c r="BF950" s="2" t="str">
        <f aca="false">HYPERLINK("http://dx.doi.org/10.1002/jmv.23648","http://dx.doi.org/10.1002/jmv.23648")</f>
        <v>http://dx.doi.org/10.1002/jmv.23648</v>
      </c>
      <c r="BG950" s="2"/>
      <c r="BH950" s="2"/>
      <c r="BI950" s="2" t="n">
        <v>8</v>
      </c>
      <c r="BJ950" s="2" t="s">
        <v>163</v>
      </c>
      <c r="BK950" s="2" t="s">
        <v>100</v>
      </c>
      <c r="BL950" s="2" t="s">
        <v>163</v>
      </c>
      <c r="BM950" s="2" t="s">
        <v>16864</v>
      </c>
      <c r="BN950" s="2" t="n">
        <v>23861138</v>
      </c>
      <c r="BO950" s="2" t="s">
        <v>538</v>
      </c>
      <c r="BP950" s="2"/>
      <c r="BQ950" s="2"/>
      <c r="BR950" s="2" t="s">
        <v>104</v>
      </c>
      <c r="BS950" s="2" t="s">
        <v>16865</v>
      </c>
      <c r="BT950" s="2" t="str">
        <f aca="false">HYPERLINK("https%3A%2F%2Fwww.webofscience.com%2Fwos%2Fwoscc%2Ffull-record%2FWOS:000322992100021","View Full Record in Web of Science")</f>
        <v>View Full Record in Web of Science</v>
      </c>
    </row>
    <row r="951" customFormat="false" ht="12.75" hidden="false" customHeight="false" outlineLevel="0" collapsed="false">
      <c r="A951" s="2" t="s">
        <v>72</v>
      </c>
      <c r="B951" s="2" t="s">
        <v>16866</v>
      </c>
      <c r="C951" s="2"/>
      <c r="D951" s="2"/>
      <c r="E951" s="2"/>
      <c r="F951" s="2" t="s">
        <v>16867</v>
      </c>
      <c r="G951" s="2"/>
      <c r="H951" s="2"/>
      <c r="I951" s="2" t="s">
        <v>16868</v>
      </c>
      <c r="J951" s="2" t="s">
        <v>16869</v>
      </c>
      <c r="K951" s="2"/>
      <c r="L951" s="2"/>
      <c r="M951" s="2" t="s">
        <v>77</v>
      </c>
      <c r="N951" s="2" t="s">
        <v>78</v>
      </c>
      <c r="O951" s="2"/>
      <c r="P951" s="2"/>
      <c r="Q951" s="2"/>
      <c r="R951" s="2"/>
      <c r="S951" s="2"/>
      <c r="T951" s="2" t="s">
        <v>16870</v>
      </c>
      <c r="U951" s="2" t="s">
        <v>16871</v>
      </c>
      <c r="V951" s="2" t="s">
        <v>16872</v>
      </c>
      <c r="W951" s="2" t="s">
        <v>16873</v>
      </c>
      <c r="X951" s="2" t="s">
        <v>16874</v>
      </c>
      <c r="Y951" s="2" t="s">
        <v>16875</v>
      </c>
      <c r="Z951" s="2" t="s">
        <v>16876</v>
      </c>
      <c r="AA951" s="2" t="s">
        <v>16877</v>
      </c>
      <c r="AB951" s="2" t="s">
        <v>16878</v>
      </c>
      <c r="AC951" s="2" t="s">
        <v>16879</v>
      </c>
      <c r="AD951" s="2" t="s">
        <v>16880</v>
      </c>
      <c r="AE951" s="2" t="s">
        <v>16881</v>
      </c>
      <c r="AF951" s="2"/>
      <c r="AG951" s="2" t="n">
        <v>54</v>
      </c>
      <c r="AH951" s="2" t="n">
        <v>23</v>
      </c>
      <c r="AI951" s="2" t="n">
        <v>23</v>
      </c>
      <c r="AJ951" s="2" t="n">
        <v>0</v>
      </c>
      <c r="AK951" s="2" t="n">
        <v>7</v>
      </c>
      <c r="AL951" s="2" t="s">
        <v>755</v>
      </c>
      <c r="AM951" s="2" t="s">
        <v>273</v>
      </c>
      <c r="AN951" s="2" t="s">
        <v>756</v>
      </c>
      <c r="AO951" s="2" t="s">
        <v>16882</v>
      </c>
      <c r="AP951" s="2"/>
      <c r="AQ951" s="2"/>
      <c r="AR951" s="2" t="s">
        <v>16869</v>
      </c>
      <c r="AS951" s="2" t="s">
        <v>16883</v>
      </c>
      <c r="AT951" s="2" t="s">
        <v>362</v>
      </c>
      <c r="AU951" s="2" t="n">
        <v>2016</v>
      </c>
      <c r="AV951" s="2" t="n">
        <v>1</v>
      </c>
      <c r="AW951" s="2" t="n">
        <v>3</v>
      </c>
      <c r="AX951" s="2"/>
      <c r="AY951" s="2"/>
      <c r="AZ951" s="2"/>
      <c r="BA951" s="2"/>
      <c r="BB951" s="2"/>
      <c r="BC951" s="2"/>
      <c r="BD951" s="2" t="s">
        <v>16884</v>
      </c>
      <c r="BE951" s="2" t="s">
        <v>16885</v>
      </c>
      <c r="BF951" s="2" t="str">
        <f aca="false">HYPERLINK("http://dx.doi.org/10.1128/mSystems.00051-16","http://dx.doi.org/10.1128/mSystems.00051-16")</f>
        <v>http://dx.doi.org/10.1128/mSystems.00051-16</v>
      </c>
      <c r="BG951" s="2"/>
      <c r="BH951" s="2"/>
      <c r="BI951" s="2" t="n">
        <v>15</v>
      </c>
      <c r="BJ951" s="2" t="s">
        <v>211</v>
      </c>
      <c r="BK951" s="2" t="s">
        <v>100</v>
      </c>
      <c r="BL951" s="2" t="s">
        <v>211</v>
      </c>
      <c r="BM951" s="2" t="s">
        <v>16886</v>
      </c>
      <c r="BN951" s="2"/>
      <c r="BO951" s="2" t="s">
        <v>190</v>
      </c>
      <c r="BP951" s="2"/>
      <c r="BQ951" s="2"/>
      <c r="BR951" s="2" t="s">
        <v>104</v>
      </c>
      <c r="BS951" s="2" t="s">
        <v>16887</v>
      </c>
      <c r="BT951" s="2" t="str">
        <f aca="false">HYPERLINK("https%3A%2F%2Fwww.webofscience.com%2Fwos%2Fwoscc%2Ffull-record%2FWOS:000408191500017","View Full Record in Web of Science")</f>
        <v>View Full Record in Web of Science</v>
      </c>
    </row>
    <row r="952" customFormat="false" ht="12.75" hidden="false" customHeight="false" outlineLevel="0" collapsed="false">
      <c r="A952" s="2" t="s">
        <v>72</v>
      </c>
      <c r="B952" s="2" t="s">
        <v>16888</v>
      </c>
      <c r="C952" s="2"/>
      <c r="D952" s="2"/>
      <c r="E952" s="2"/>
      <c r="F952" s="2" t="s">
        <v>16889</v>
      </c>
      <c r="G952" s="2"/>
      <c r="H952" s="2"/>
      <c r="I952" s="2" t="s">
        <v>16890</v>
      </c>
      <c r="J952" s="2" t="s">
        <v>3741</v>
      </c>
      <c r="K952" s="2"/>
      <c r="L952" s="2"/>
      <c r="M952" s="2" t="s">
        <v>77</v>
      </c>
      <c r="N952" s="2" t="s">
        <v>78</v>
      </c>
      <c r="O952" s="2"/>
      <c r="P952" s="2"/>
      <c r="Q952" s="2"/>
      <c r="R952" s="2"/>
      <c r="S952" s="2"/>
      <c r="T952" s="2" t="s">
        <v>16891</v>
      </c>
      <c r="U952" s="2" t="s">
        <v>16892</v>
      </c>
      <c r="V952" s="2" t="s">
        <v>16893</v>
      </c>
      <c r="W952" s="2" t="s">
        <v>16894</v>
      </c>
      <c r="X952" s="2" t="s">
        <v>16895</v>
      </c>
      <c r="Y952" s="2" t="s">
        <v>16896</v>
      </c>
      <c r="Z952" s="2" t="s">
        <v>16897</v>
      </c>
      <c r="AA952" s="2" t="s">
        <v>16898</v>
      </c>
      <c r="AB952" s="2" t="s">
        <v>16899</v>
      </c>
      <c r="AC952" s="2" t="s">
        <v>16900</v>
      </c>
      <c r="AD952" s="2" t="s">
        <v>16901</v>
      </c>
      <c r="AE952" s="2" t="s">
        <v>16902</v>
      </c>
      <c r="AF952" s="2"/>
      <c r="AG952" s="2" t="n">
        <v>93</v>
      </c>
      <c r="AH952" s="2" t="n">
        <v>0</v>
      </c>
      <c r="AI952" s="2" t="n">
        <v>0</v>
      </c>
      <c r="AJ952" s="2" t="n">
        <v>1</v>
      </c>
      <c r="AK952" s="2" t="n">
        <v>14</v>
      </c>
      <c r="AL952" s="2" t="s">
        <v>755</v>
      </c>
      <c r="AM952" s="2" t="s">
        <v>273</v>
      </c>
      <c r="AN952" s="2" t="s">
        <v>756</v>
      </c>
      <c r="AO952" s="2" t="s">
        <v>3753</v>
      </c>
      <c r="AP952" s="2"/>
      <c r="AQ952" s="2"/>
      <c r="AR952" s="2" t="s">
        <v>3754</v>
      </c>
      <c r="AS952" s="2" t="s">
        <v>3755</v>
      </c>
      <c r="AT952" s="2" t="s">
        <v>16903</v>
      </c>
      <c r="AU952" s="2" t="n">
        <v>2023</v>
      </c>
      <c r="AV952" s="2" t="n">
        <v>11</v>
      </c>
      <c r="AW952" s="2" t="n">
        <v>2</v>
      </c>
      <c r="AX952" s="2"/>
      <c r="AY952" s="2"/>
      <c r="AZ952" s="2"/>
      <c r="BA952" s="2"/>
      <c r="BB952" s="2"/>
      <c r="BC952" s="2"/>
      <c r="BD952" s="2"/>
      <c r="BE952" s="2" t="s">
        <v>16904</v>
      </c>
      <c r="BF952" s="2" t="str">
        <f aca="false">HYPERLINK("http://dx.doi.org/10.1128/spectrum.04107-22","http://dx.doi.org/10.1128/spectrum.04107-22")</f>
        <v>http://dx.doi.org/10.1128/spectrum.04107-22</v>
      </c>
      <c r="BG952" s="2"/>
      <c r="BH952" s="2" t="s">
        <v>5450</v>
      </c>
      <c r="BI952" s="2" t="n">
        <v>17</v>
      </c>
      <c r="BJ952" s="2" t="s">
        <v>211</v>
      </c>
      <c r="BK952" s="2" t="s">
        <v>100</v>
      </c>
      <c r="BL952" s="2" t="s">
        <v>211</v>
      </c>
      <c r="BM952" s="2" t="s">
        <v>16905</v>
      </c>
      <c r="BN952" s="2" t="n">
        <v>36861979</v>
      </c>
      <c r="BO952" s="2" t="s">
        <v>103</v>
      </c>
      <c r="BP952" s="2"/>
      <c r="BQ952" s="2"/>
      <c r="BR952" s="2" t="s">
        <v>104</v>
      </c>
      <c r="BS952" s="2" t="s">
        <v>16906</v>
      </c>
      <c r="BT952" s="2" t="str">
        <f aca="false">HYPERLINK("https%3A%2F%2Fwww.webofscience.com%2Fwos%2Fwoscc%2Ffull-record%2FWOS:000942390500001","View Full Record in Web of Science")</f>
        <v>View Full Record in Web of Science</v>
      </c>
    </row>
    <row r="953" customFormat="false" ht="12.75" hidden="false" customHeight="false" outlineLevel="0" collapsed="false">
      <c r="A953" s="2" t="s">
        <v>72</v>
      </c>
      <c r="B953" s="2" t="s">
        <v>16907</v>
      </c>
      <c r="C953" s="2"/>
      <c r="D953" s="2"/>
      <c r="E953" s="2"/>
      <c r="F953" s="2" t="s">
        <v>16908</v>
      </c>
      <c r="G953" s="2"/>
      <c r="H953" s="2"/>
      <c r="I953" s="2" t="s">
        <v>16909</v>
      </c>
      <c r="J953" s="2" t="s">
        <v>557</v>
      </c>
      <c r="K953" s="2"/>
      <c r="L953" s="2"/>
      <c r="M953" s="2" t="s">
        <v>77</v>
      </c>
      <c r="N953" s="2" t="s">
        <v>78</v>
      </c>
      <c r="O953" s="2"/>
      <c r="P953" s="2"/>
      <c r="Q953" s="2"/>
      <c r="R953" s="2"/>
      <c r="S953" s="2"/>
      <c r="T953" s="2" t="s">
        <v>16910</v>
      </c>
      <c r="U953" s="2" t="s">
        <v>16911</v>
      </c>
      <c r="V953" s="2" t="s">
        <v>16912</v>
      </c>
      <c r="W953" s="2" t="s">
        <v>16913</v>
      </c>
      <c r="X953" s="2" t="s">
        <v>16914</v>
      </c>
      <c r="Y953" s="2" t="s">
        <v>16915</v>
      </c>
      <c r="Z953" s="2" t="s">
        <v>16916</v>
      </c>
      <c r="AA953" s="2" t="s">
        <v>16917</v>
      </c>
      <c r="AB953" s="2" t="s">
        <v>11505</v>
      </c>
      <c r="AC953" s="2" t="s">
        <v>16468</v>
      </c>
      <c r="AD953" s="2" t="s">
        <v>8510</v>
      </c>
      <c r="AE953" s="2" t="s">
        <v>16918</v>
      </c>
      <c r="AF953" s="2"/>
      <c r="AG953" s="2" t="n">
        <v>40</v>
      </c>
      <c r="AH953" s="2" t="n">
        <v>49</v>
      </c>
      <c r="AI953" s="2" t="n">
        <v>56</v>
      </c>
      <c r="AJ953" s="2" t="n">
        <v>0</v>
      </c>
      <c r="AK953" s="2" t="n">
        <v>12</v>
      </c>
      <c r="AL953" s="2" t="s">
        <v>2337</v>
      </c>
      <c r="AM953" s="2" t="s">
        <v>303</v>
      </c>
      <c r="AN953" s="2" t="s">
        <v>2338</v>
      </c>
      <c r="AO953" s="2" t="s">
        <v>570</v>
      </c>
      <c r="AP953" s="2"/>
      <c r="AQ953" s="2"/>
      <c r="AR953" s="2" t="s">
        <v>571</v>
      </c>
      <c r="AS953" s="2" t="s">
        <v>572</v>
      </c>
      <c r="AT953" s="2" t="s">
        <v>16919</v>
      </c>
      <c r="AU953" s="2" t="n">
        <v>2012</v>
      </c>
      <c r="AV953" s="2" t="n">
        <v>12</v>
      </c>
      <c r="AW953" s="2"/>
      <c r="AX953" s="2"/>
      <c r="AY953" s="2"/>
      <c r="AZ953" s="2"/>
      <c r="BA953" s="2"/>
      <c r="BB953" s="2"/>
      <c r="BC953" s="2"/>
      <c r="BD953" s="2" t="n">
        <v>365</v>
      </c>
      <c r="BE953" s="2" t="s">
        <v>16920</v>
      </c>
      <c r="BF953" s="2" t="str">
        <f aca="false">HYPERLINK("http://dx.doi.org/10.1186/1471-2334-12-365","http://dx.doi.org/10.1186/1471-2334-12-365")</f>
        <v>http://dx.doi.org/10.1186/1471-2334-12-365</v>
      </c>
      <c r="BG953" s="2"/>
      <c r="BH953" s="2"/>
      <c r="BI953" s="2" t="n">
        <v>7</v>
      </c>
      <c r="BJ953" s="2" t="s">
        <v>575</v>
      </c>
      <c r="BK953" s="2" t="s">
        <v>100</v>
      </c>
      <c r="BL953" s="2" t="s">
        <v>575</v>
      </c>
      <c r="BM953" s="2" t="s">
        <v>16921</v>
      </c>
      <c r="BN953" s="2" t="n">
        <v>23256846</v>
      </c>
      <c r="BO953" s="2" t="s">
        <v>190</v>
      </c>
      <c r="BP953" s="2"/>
      <c r="BQ953" s="2"/>
      <c r="BR953" s="2" t="s">
        <v>104</v>
      </c>
      <c r="BS953" s="2" t="s">
        <v>16922</v>
      </c>
      <c r="BT953" s="2" t="str">
        <f aca="false">HYPERLINK("https%3A%2F%2Fwww.webofscience.com%2Fwos%2Fwoscc%2Ffull-record%2FWOS:000314096100001","View Full Record in Web of Science")</f>
        <v>View Full Record in Web of Science</v>
      </c>
    </row>
    <row r="954" customFormat="false" ht="12.75" hidden="false" customHeight="false" outlineLevel="0" collapsed="false">
      <c r="A954" s="2" t="s">
        <v>72</v>
      </c>
      <c r="B954" s="2" t="s">
        <v>16923</v>
      </c>
      <c r="C954" s="2"/>
      <c r="D954" s="2"/>
      <c r="E954" s="2"/>
      <c r="F954" s="2" t="s">
        <v>16924</v>
      </c>
      <c r="G954" s="2"/>
      <c r="H954" s="2"/>
      <c r="I954" s="2" t="s">
        <v>16925</v>
      </c>
      <c r="J954" s="2" t="s">
        <v>1232</v>
      </c>
      <c r="K954" s="2"/>
      <c r="L954" s="2"/>
      <c r="M954" s="2" t="s">
        <v>77</v>
      </c>
      <c r="N954" s="2" t="s">
        <v>78</v>
      </c>
      <c r="O954" s="2"/>
      <c r="P954" s="2"/>
      <c r="Q954" s="2"/>
      <c r="R954" s="2"/>
      <c r="S954" s="2"/>
      <c r="T954" s="2" t="s">
        <v>16926</v>
      </c>
      <c r="U954" s="2" t="s">
        <v>16927</v>
      </c>
      <c r="V954" s="2" t="s">
        <v>16928</v>
      </c>
      <c r="W954" s="2" t="s">
        <v>16929</v>
      </c>
      <c r="X954" s="2" t="s">
        <v>16930</v>
      </c>
      <c r="Y954" s="2" t="s">
        <v>16931</v>
      </c>
      <c r="Z954" s="2" t="s">
        <v>16932</v>
      </c>
      <c r="AA954" s="2"/>
      <c r="AB954" s="2"/>
      <c r="AC954" s="2"/>
      <c r="AD954" s="2"/>
      <c r="AE954" s="2"/>
      <c r="AF954" s="2"/>
      <c r="AG954" s="2" t="n">
        <v>25</v>
      </c>
      <c r="AH954" s="2" t="n">
        <v>1</v>
      </c>
      <c r="AI954" s="2" t="n">
        <v>1</v>
      </c>
      <c r="AJ954" s="2" t="n">
        <v>0</v>
      </c>
      <c r="AK954" s="2" t="n">
        <v>0</v>
      </c>
      <c r="AL954" s="2" t="s">
        <v>1242</v>
      </c>
      <c r="AM954" s="2" t="s">
        <v>303</v>
      </c>
      <c r="AN954" s="2" t="s">
        <v>467</v>
      </c>
      <c r="AO954" s="2"/>
      <c r="AP954" s="2" t="s">
        <v>1243</v>
      </c>
      <c r="AQ954" s="2"/>
      <c r="AR954" s="2" t="s">
        <v>1244</v>
      </c>
      <c r="AS954" s="2" t="s">
        <v>1245</v>
      </c>
      <c r="AT954" s="2" t="s">
        <v>13969</v>
      </c>
      <c r="AU954" s="2" t="n">
        <v>2024</v>
      </c>
      <c r="AV954" s="2" t="n">
        <v>16</v>
      </c>
      <c r="AW954" s="2" t="n">
        <v>1</v>
      </c>
      <c r="AX954" s="2"/>
      <c r="AY954" s="2"/>
      <c r="AZ954" s="2"/>
      <c r="BA954" s="2"/>
      <c r="BB954" s="2"/>
      <c r="BC954" s="2"/>
      <c r="BD954" s="2" t="s">
        <v>16933</v>
      </c>
      <c r="BE954" s="2" t="s">
        <v>16934</v>
      </c>
      <c r="BF954" s="2" t="str">
        <f aca="false">HYPERLINK("http://dx.doi.org/10.7759/cureus.52321","http://dx.doi.org/10.7759/cureus.52321")</f>
        <v>http://dx.doi.org/10.7759/cureus.52321</v>
      </c>
      <c r="BG954" s="2"/>
      <c r="BH954" s="2"/>
      <c r="BI954" s="2" t="n">
        <v>7</v>
      </c>
      <c r="BJ954" s="2" t="s">
        <v>363</v>
      </c>
      <c r="BK954" s="2" t="s">
        <v>339</v>
      </c>
      <c r="BL954" s="2" t="s">
        <v>364</v>
      </c>
      <c r="BM954" s="2" t="s">
        <v>16935</v>
      </c>
      <c r="BN954" s="2" t="n">
        <v>38357041</v>
      </c>
      <c r="BO954" s="2" t="s">
        <v>190</v>
      </c>
      <c r="BP954" s="2"/>
      <c r="BQ954" s="2"/>
      <c r="BR954" s="2" t="s">
        <v>104</v>
      </c>
      <c r="BS954" s="2" t="s">
        <v>16936</v>
      </c>
      <c r="BT954" s="2" t="str">
        <f aca="false">HYPERLINK("https%3A%2F%2Fwww.webofscience.com%2Fwos%2Fwoscc%2Ffull-record%2FWOS:001155606700028","View Full Record in Web of Science")</f>
        <v>View Full Record in Web of Science</v>
      </c>
    </row>
    <row r="955" customFormat="false" ht="12.75" hidden="false" customHeight="false" outlineLevel="0" collapsed="false">
      <c r="A955" s="2" t="s">
        <v>72</v>
      </c>
      <c r="B955" s="2" t="s">
        <v>16937</v>
      </c>
      <c r="C955" s="2"/>
      <c r="D955" s="2"/>
      <c r="E955" s="2"/>
      <c r="F955" s="2" t="s">
        <v>16938</v>
      </c>
      <c r="G955" s="2"/>
      <c r="H955" s="2" t="s">
        <v>6142</v>
      </c>
      <c r="I955" s="2" t="s">
        <v>16939</v>
      </c>
      <c r="J955" s="2" t="s">
        <v>1765</v>
      </c>
      <c r="K955" s="2"/>
      <c r="L955" s="2"/>
      <c r="M955" s="2" t="s">
        <v>77</v>
      </c>
      <c r="N955" s="2" t="s">
        <v>78</v>
      </c>
      <c r="O955" s="2"/>
      <c r="P955" s="2"/>
      <c r="Q955" s="2"/>
      <c r="R955" s="2"/>
      <c r="S955" s="2"/>
      <c r="T955" s="2" t="s">
        <v>16940</v>
      </c>
      <c r="U955" s="2" t="s">
        <v>16941</v>
      </c>
      <c r="V955" s="2" t="s">
        <v>16942</v>
      </c>
      <c r="W955" s="2" t="s">
        <v>16943</v>
      </c>
      <c r="X955" s="2" t="s">
        <v>16944</v>
      </c>
      <c r="Y955" s="2" t="s">
        <v>16945</v>
      </c>
      <c r="Z955" s="2" t="s">
        <v>16946</v>
      </c>
      <c r="AA955" s="2" t="s">
        <v>16947</v>
      </c>
      <c r="AB955" s="2" t="s">
        <v>6152</v>
      </c>
      <c r="AC955" s="2"/>
      <c r="AD955" s="2"/>
      <c r="AE955" s="2"/>
      <c r="AF955" s="2"/>
      <c r="AG955" s="2" t="n">
        <v>38</v>
      </c>
      <c r="AH955" s="2" t="n">
        <v>1</v>
      </c>
      <c r="AI955" s="2" t="n">
        <v>1</v>
      </c>
      <c r="AJ955" s="2" t="n">
        <v>0</v>
      </c>
      <c r="AK955" s="2" t="n">
        <v>2</v>
      </c>
      <c r="AL955" s="2" t="s">
        <v>620</v>
      </c>
      <c r="AM955" s="2" t="s">
        <v>621</v>
      </c>
      <c r="AN955" s="2" t="s">
        <v>622</v>
      </c>
      <c r="AO955" s="2" t="s">
        <v>1778</v>
      </c>
      <c r="AP955" s="2"/>
      <c r="AQ955" s="2"/>
      <c r="AR955" s="2" t="s">
        <v>1779</v>
      </c>
      <c r="AS955" s="2" t="s">
        <v>1780</v>
      </c>
      <c r="AT955" s="2" t="s">
        <v>16948</v>
      </c>
      <c r="AU955" s="2" t="n">
        <v>2022</v>
      </c>
      <c r="AV955" s="2" t="n">
        <v>10</v>
      </c>
      <c r="AW955" s="2"/>
      <c r="AX955" s="2"/>
      <c r="AY955" s="2"/>
      <c r="AZ955" s="2"/>
      <c r="BA955" s="2"/>
      <c r="BB955" s="2"/>
      <c r="BC955" s="2"/>
      <c r="BD955" s="2" t="n">
        <v>963274</v>
      </c>
      <c r="BE955" s="2" t="s">
        <v>16949</v>
      </c>
      <c r="BF955" s="2" t="str">
        <f aca="false">HYPERLINK("http://dx.doi.org/10.3389/fped.2022.963274","http://dx.doi.org/10.3389/fped.2022.963274")</f>
        <v>http://dx.doi.org/10.3389/fped.2022.963274</v>
      </c>
      <c r="BG955" s="2"/>
      <c r="BH955" s="2"/>
      <c r="BI955" s="2" t="n">
        <v>12</v>
      </c>
      <c r="BJ955" s="2" t="s">
        <v>601</v>
      </c>
      <c r="BK955" s="2" t="s">
        <v>100</v>
      </c>
      <c r="BL955" s="2" t="s">
        <v>601</v>
      </c>
      <c r="BM955" s="2" t="s">
        <v>16950</v>
      </c>
      <c r="BN955" s="2" t="n">
        <v>36160779</v>
      </c>
      <c r="BO955" s="2" t="s">
        <v>190</v>
      </c>
      <c r="BP955" s="2"/>
      <c r="BQ955" s="2"/>
      <c r="BR955" s="2" t="s">
        <v>104</v>
      </c>
      <c r="BS955" s="2" t="s">
        <v>16951</v>
      </c>
      <c r="BT955" s="2" t="str">
        <f aca="false">HYPERLINK("https%3A%2F%2Fwww.webofscience.com%2Fwos%2Fwoscc%2Ffull-record%2FWOS:000871682900001","View Full Record in Web of Science")</f>
        <v>View Full Record in Web of Science</v>
      </c>
    </row>
    <row r="956" customFormat="false" ht="12.75" hidden="false" customHeight="false" outlineLevel="0" collapsed="false">
      <c r="A956" s="2" t="s">
        <v>72</v>
      </c>
      <c r="B956" s="2" t="s">
        <v>16952</v>
      </c>
      <c r="C956" s="2"/>
      <c r="D956" s="2"/>
      <c r="E956" s="2"/>
      <c r="F956" s="2" t="s">
        <v>16953</v>
      </c>
      <c r="G956" s="2"/>
      <c r="H956" s="2"/>
      <c r="I956" s="2" t="s">
        <v>16954</v>
      </c>
      <c r="J956" s="2" t="s">
        <v>8645</v>
      </c>
      <c r="K956" s="2"/>
      <c r="L956" s="2"/>
      <c r="M956" s="2" t="s">
        <v>77</v>
      </c>
      <c r="N956" s="2" t="s">
        <v>78</v>
      </c>
      <c r="O956" s="2"/>
      <c r="P956" s="2"/>
      <c r="Q956" s="2"/>
      <c r="R956" s="2"/>
      <c r="S956" s="2"/>
      <c r="T956" s="2" t="s">
        <v>16955</v>
      </c>
      <c r="U956" s="2" t="s">
        <v>16956</v>
      </c>
      <c r="V956" s="2" t="s">
        <v>16957</v>
      </c>
      <c r="W956" s="2" t="s">
        <v>16958</v>
      </c>
      <c r="X956" s="2" t="s">
        <v>16959</v>
      </c>
      <c r="Y956" s="2" t="s">
        <v>16960</v>
      </c>
      <c r="Z956" s="2" t="s">
        <v>16961</v>
      </c>
      <c r="AA956" s="2"/>
      <c r="AB956" s="2"/>
      <c r="AC956" s="2" t="s">
        <v>16962</v>
      </c>
      <c r="AD956" s="2" t="s">
        <v>16963</v>
      </c>
      <c r="AE956" s="2" t="s">
        <v>16964</v>
      </c>
      <c r="AF956" s="2"/>
      <c r="AG956" s="2" t="n">
        <v>25</v>
      </c>
      <c r="AH956" s="2" t="n">
        <v>0</v>
      </c>
      <c r="AI956" s="2" t="n">
        <v>0</v>
      </c>
      <c r="AJ956" s="2" t="n">
        <v>0</v>
      </c>
      <c r="AK956" s="2" t="n">
        <v>2</v>
      </c>
      <c r="AL956" s="2" t="s">
        <v>302</v>
      </c>
      <c r="AM956" s="2" t="s">
        <v>303</v>
      </c>
      <c r="AN956" s="2" t="s">
        <v>304</v>
      </c>
      <c r="AO956" s="2"/>
      <c r="AP956" s="2" t="s">
        <v>8656</v>
      </c>
      <c r="AQ956" s="2"/>
      <c r="AR956" s="2" t="s">
        <v>8645</v>
      </c>
      <c r="AS956" s="2" t="s">
        <v>8657</v>
      </c>
      <c r="AT956" s="2" t="s">
        <v>13969</v>
      </c>
      <c r="AU956" s="2" t="n">
        <v>2022</v>
      </c>
      <c r="AV956" s="2" t="n">
        <v>22</v>
      </c>
      <c r="AW956" s="2" t="n">
        <v>1</v>
      </c>
      <c r="AX956" s="2"/>
      <c r="AY956" s="2"/>
      <c r="AZ956" s="2"/>
      <c r="BA956" s="2"/>
      <c r="BB956" s="2"/>
      <c r="BC956" s="2"/>
      <c r="BD956" s="2" t="n">
        <v>103</v>
      </c>
      <c r="BE956" s="2" t="s">
        <v>16965</v>
      </c>
      <c r="BF956" s="2" t="str">
        <f aca="false">HYPERLINK("http://dx.doi.org/10.1186/s12889-022-12523-3","http://dx.doi.org/10.1186/s12889-022-12523-3")</f>
        <v>http://dx.doi.org/10.1186/s12889-022-12523-3</v>
      </c>
      <c r="BG956" s="2"/>
      <c r="BH956" s="2"/>
      <c r="BI956" s="2" t="n">
        <v>8</v>
      </c>
      <c r="BJ956" s="2" t="s">
        <v>1353</v>
      </c>
      <c r="BK956" s="2" t="s">
        <v>100</v>
      </c>
      <c r="BL956" s="2" t="s">
        <v>1353</v>
      </c>
      <c r="BM956" s="2" t="s">
        <v>16966</v>
      </c>
      <c r="BN956" s="2" t="n">
        <v>35031041</v>
      </c>
      <c r="BO956" s="2" t="s">
        <v>190</v>
      </c>
      <c r="BP956" s="2"/>
      <c r="BQ956" s="2"/>
      <c r="BR956" s="2" t="s">
        <v>104</v>
      </c>
      <c r="BS956" s="2" t="s">
        <v>16967</v>
      </c>
      <c r="BT956" s="2" t="str">
        <f aca="false">HYPERLINK("https%3A%2F%2Fwww.webofscience.com%2Fwos%2Fwoscc%2Ffull-record%2FWOS:000742652600001","View Full Record in Web of Science")</f>
        <v>View Full Record in Web of Science</v>
      </c>
    </row>
    <row r="957" customFormat="false" ht="12.75" hidden="false" customHeight="false" outlineLevel="0" collapsed="false">
      <c r="A957" s="2" t="s">
        <v>72</v>
      </c>
      <c r="B957" s="2" t="s">
        <v>16968</v>
      </c>
      <c r="C957" s="2"/>
      <c r="D957" s="2"/>
      <c r="E957" s="2"/>
      <c r="F957" s="2" t="s">
        <v>16969</v>
      </c>
      <c r="G957" s="2"/>
      <c r="H957" s="2"/>
      <c r="I957" s="2" t="s">
        <v>16970</v>
      </c>
      <c r="J957" s="2" t="s">
        <v>2547</v>
      </c>
      <c r="K957" s="2"/>
      <c r="L957" s="2"/>
      <c r="M957" s="2" t="s">
        <v>77</v>
      </c>
      <c r="N957" s="2" t="s">
        <v>78</v>
      </c>
      <c r="O957" s="2"/>
      <c r="P957" s="2"/>
      <c r="Q957" s="2"/>
      <c r="R957" s="2"/>
      <c r="S957" s="2"/>
      <c r="T957" s="2" t="s">
        <v>16971</v>
      </c>
      <c r="U957" s="2" t="s">
        <v>16972</v>
      </c>
      <c r="V957" s="2" t="s">
        <v>16973</v>
      </c>
      <c r="W957" s="2" t="s">
        <v>16974</v>
      </c>
      <c r="X957" s="2" t="s">
        <v>8071</v>
      </c>
      <c r="Y957" s="2" t="s">
        <v>16975</v>
      </c>
      <c r="Z957" s="2" t="s">
        <v>10129</v>
      </c>
      <c r="AA957" s="2" t="s">
        <v>16976</v>
      </c>
      <c r="AB957" s="2" t="s">
        <v>16977</v>
      </c>
      <c r="AC957" s="2"/>
      <c r="AD957" s="2"/>
      <c r="AE957" s="2"/>
      <c r="AF957" s="2"/>
      <c r="AG957" s="2" t="n">
        <v>36</v>
      </c>
      <c r="AH957" s="2" t="n">
        <v>50</v>
      </c>
      <c r="AI957" s="2" t="n">
        <v>61</v>
      </c>
      <c r="AJ957" s="2" t="n">
        <v>0</v>
      </c>
      <c r="AK957" s="2" t="n">
        <v>3</v>
      </c>
      <c r="AL957" s="2" t="s">
        <v>782</v>
      </c>
      <c r="AM957" s="2" t="s">
        <v>783</v>
      </c>
      <c r="AN957" s="2" t="s">
        <v>784</v>
      </c>
      <c r="AO957" s="2" t="s">
        <v>2556</v>
      </c>
      <c r="AP957" s="2" t="s">
        <v>2557</v>
      </c>
      <c r="AQ957" s="2"/>
      <c r="AR957" s="2" t="s">
        <v>2547</v>
      </c>
      <c r="AS957" s="2" t="s">
        <v>2558</v>
      </c>
      <c r="AT957" s="2" t="s">
        <v>16978</v>
      </c>
      <c r="AU957" s="2" t="n">
        <v>2007</v>
      </c>
      <c r="AV957" s="2" t="n">
        <v>25</v>
      </c>
      <c r="AW957" s="2" t="n">
        <v>51</v>
      </c>
      <c r="AX957" s="2"/>
      <c r="AY957" s="2"/>
      <c r="AZ957" s="2"/>
      <c r="BA957" s="2"/>
      <c r="BB957" s="2" t="n">
        <v>8518</v>
      </c>
      <c r="BC957" s="2" t="n">
        <v>8528</v>
      </c>
      <c r="BD957" s="2"/>
      <c r="BE957" s="2" t="s">
        <v>16979</v>
      </c>
      <c r="BF957" s="2" t="str">
        <f aca="false">HYPERLINK("http://dx.doi.org/10.1016/j.vaccine.2007.10.022","http://dx.doi.org/10.1016/j.vaccine.2007.10.022")</f>
        <v>http://dx.doi.org/10.1016/j.vaccine.2007.10.022</v>
      </c>
      <c r="BG957" s="2"/>
      <c r="BH957" s="2"/>
      <c r="BI957" s="2" t="n">
        <v>11</v>
      </c>
      <c r="BJ957" s="2" t="s">
        <v>187</v>
      </c>
      <c r="BK957" s="2" t="s">
        <v>100</v>
      </c>
      <c r="BL957" s="2" t="s">
        <v>188</v>
      </c>
      <c r="BM957" s="2" t="s">
        <v>16980</v>
      </c>
      <c r="BN957" s="2" t="n">
        <v>17996988</v>
      </c>
      <c r="BO957" s="2"/>
      <c r="BP957" s="2"/>
      <c r="BQ957" s="2"/>
      <c r="BR957" s="2" t="s">
        <v>104</v>
      </c>
      <c r="BS957" s="2" t="s">
        <v>16981</v>
      </c>
      <c r="BT957" s="2" t="str">
        <f aca="false">HYPERLINK("https%3A%2F%2Fwww.webofscience.com%2Fwos%2Fwoscc%2Ffull-record%2FWOS:000252284000005","View Full Record in Web of Science")</f>
        <v>View Full Record in Web of Science</v>
      </c>
    </row>
    <row r="958" customFormat="false" ht="12.75" hidden="false" customHeight="false" outlineLevel="0" collapsed="false">
      <c r="A958" s="2" t="s">
        <v>72</v>
      </c>
      <c r="B958" s="2" t="s">
        <v>16982</v>
      </c>
      <c r="C958" s="2"/>
      <c r="D958" s="2"/>
      <c r="E958" s="2"/>
      <c r="F958" s="2" t="s">
        <v>16983</v>
      </c>
      <c r="G958" s="2"/>
      <c r="H958" s="2"/>
      <c r="I958" s="2" t="s">
        <v>16984</v>
      </c>
      <c r="J958" s="2" t="s">
        <v>7145</v>
      </c>
      <c r="K958" s="2"/>
      <c r="L958" s="2"/>
      <c r="M958" s="2" t="s">
        <v>77</v>
      </c>
      <c r="N958" s="2" t="s">
        <v>78</v>
      </c>
      <c r="O958" s="2"/>
      <c r="P958" s="2"/>
      <c r="Q958" s="2"/>
      <c r="R958" s="2"/>
      <c r="S958" s="2"/>
      <c r="T958" s="2" t="s">
        <v>16985</v>
      </c>
      <c r="U958" s="2" t="s">
        <v>16986</v>
      </c>
      <c r="V958" s="2" t="s">
        <v>16987</v>
      </c>
      <c r="W958" s="2" t="s">
        <v>16988</v>
      </c>
      <c r="X958" s="2" t="s">
        <v>16989</v>
      </c>
      <c r="Y958" s="2" t="s">
        <v>16990</v>
      </c>
      <c r="Z958" s="2" t="s">
        <v>16991</v>
      </c>
      <c r="AA958" s="2" t="s">
        <v>16992</v>
      </c>
      <c r="AB958" s="2" t="s">
        <v>16993</v>
      </c>
      <c r="AC958" s="2" t="s">
        <v>16994</v>
      </c>
      <c r="AD958" s="2" t="s">
        <v>16995</v>
      </c>
      <c r="AE958" s="2" t="s">
        <v>16996</v>
      </c>
      <c r="AF958" s="2"/>
      <c r="AG958" s="2" t="n">
        <v>58</v>
      </c>
      <c r="AH958" s="2" t="n">
        <v>3</v>
      </c>
      <c r="AI958" s="2" t="n">
        <v>3</v>
      </c>
      <c r="AJ958" s="2" t="n">
        <v>0</v>
      </c>
      <c r="AK958" s="2" t="n">
        <v>3</v>
      </c>
      <c r="AL958" s="2" t="s">
        <v>3426</v>
      </c>
      <c r="AM958" s="2" t="s">
        <v>303</v>
      </c>
      <c r="AN958" s="2" t="s">
        <v>3427</v>
      </c>
      <c r="AO958" s="2" t="s">
        <v>7158</v>
      </c>
      <c r="AP958" s="2" t="s">
        <v>7159</v>
      </c>
      <c r="AQ958" s="2"/>
      <c r="AR958" s="2" t="s">
        <v>7160</v>
      </c>
      <c r="AS958" s="2" t="s">
        <v>7161</v>
      </c>
      <c r="AT958" s="2" t="s">
        <v>336</v>
      </c>
      <c r="AU958" s="2" t="n">
        <v>2018</v>
      </c>
      <c r="AV958" s="2" t="n">
        <v>99</v>
      </c>
      <c r="AW958" s="2" t="n">
        <v>10</v>
      </c>
      <c r="AX958" s="2"/>
      <c r="AY958" s="2"/>
      <c r="AZ958" s="2"/>
      <c r="BA958" s="2"/>
      <c r="BB958" s="2" t="n">
        <v>1367</v>
      </c>
      <c r="BC958" s="2" t="n">
        <v>1380</v>
      </c>
      <c r="BD958" s="2"/>
      <c r="BE958" s="2" t="s">
        <v>16997</v>
      </c>
      <c r="BF958" s="2" t="str">
        <f aca="false">HYPERLINK("http://dx.doi.org/10.1099/jgv.0.001135","http://dx.doi.org/10.1099/jgv.0.001135")</f>
        <v>http://dx.doi.org/10.1099/jgv.0.001135</v>
      </c>
      <c r="BG958" s="2"/>
      <c r="BH958" s="2"/>
      <c r="BI958" s="2" t="n">
        <v>14</v>
      </c>
      <c r="BJ958" s="2" t="s">
        <v>7163</v>
      </c>
      <c r="BK958" s="2" t="s">
        <v>100</v>
      </c>
      <c r="BL958" s="2" t="s">
        <v>7163</v>
      </c>
      <c r="BM958" s="2" t="s">
        <v>16998</v>
      </c>
      <c r="BN958" s="2" t="n">
        <v>30102144</v>
      </c>
      <c r="BO958" s="2" t="s">
        <v>656</v>
      </c>
      <c r="BP958" s="2"/>
      <c r="BQ958" s="2"/>
      <c r="BR958" s="2" t="s">
        <v>104</v>
      </c>
      <c r="BS958" s="2" t="s">
        <v>16999</v>
      </c>
      <c r="BT958" s="2" t="str">
        <f aca="false">HYPERLINK("https%3A%2F%2Fwww.webofscience.com%2Fwos%2Fwoscc%2Ffull-record%2FWOS:000446007900004","View Full Record in Web of Science")</f>
        <v>View Full Record in Web of Science</v>
      </c>
    </row>
    <row r="959" customFormat="false" ht="12.75" hidden="false" customHeight="false" outlineLevel="0" collapsed="false">
      <c r="A959" s="2" t="s">
        <v>72</v>
      </c>
      <c r="B959" s="2" t="s">
        <v>17000</v>
      </c>
      <c r="C959" s="2"/>
      <c r="D959" s="2"/>
      <c r="E959" s="2"/>
      <c r="F959" s="2" t="s">
        <v>17001</v>
      </c>
      <c r="G959" s="2"/>
      <c r="H959" s="2"/>
      <c r="I959" s="2" t="s">
        <v>17002</v>
      </c>
      <c r="J959" s="2" t="s">
        <v>493</v>
      </c>
      <c r="K959" s="2"/>
      <c r="L959" s="2"/>
      <c r="M959" s="2" t="s">
        <v>77</v>
      </c>
      <c r="N959" s="2" t="s">
        <v>78</v>
      </c>
      <c r="O959" s="2"/>
      <c r="P959" s="2"/>
      <c r="Q959" s="2"/>
      <c r="R959" s="2"/>
      <c r="S959" s="2"/>
      <c r="T959" s="2" t="s">
        <v>17003</v>
      </c>
      <c r="U959" s="2" t="s">
        <v>17004</v>
      </c>
      <c r="V959" s="2" t="s">
        <v>17005</v>
      </c>
      <c r="W959" s="2" t="s">
        <v>17006</v>
      </c>
      <c r="X959" s="2" t="s">
        <v>5772</v>
      </c>
      <c r="Y959" s="2" t="s">
        <v>17007</v>
      </c>
      <c r="Z959" s="2" t="s">
        <v>17008</v>
      </c>
      <c r="AA959" s="2"/>
      <c r="AB959" s="2"/>
      <c r="AC959" s="2" t="s">
        <v>17009</v>
      </c>
      <c r="AD959" s="2" t="s">
        <v>17010</v>
      </c>
      <c r="AE959" s="2" t="s">
        <v>17011</v>
      </c>
      <c r="AF959" s="2"/>
      <c r="AG959" s="2" t="n">
        <v>36</v>
      </c>
      <c r="AH959" s="2" t="n">
        <v>10</v>
      </c>
      <c r="AI959" s="2" t="n">
        <v>12</v>
      </c>
      <c r="AJ959" s="2" t="n">
        <v>0</v>
      </c>
      <c r="AK959" s="2" t="n">
        <v>2</v>
      </c>
      <c r="AL959" s="2" t="s">
        <v>91</v>
      </c>
      <c r="AM959" s="2" t="s">
        <v>92</v>
      </c>
      <c r="AN959" s="2" t="s">
        <v>93</v>
      </c>
      <c r="AO959" s="2" t="s">
        <v>506</v>
      </c>
      <c r="AP959" s="2"/>
      <c r="AQ959" s="2"/>
      <c r="AR959" s="2" t="s">
        <v>493</v>
      </c>
      <c r="AS959" s="2" t="s">
        <v>507</v>
      </c>
      <c r="AT959" s="2" t="s">
        <v>486</v>
      </c>
      <c r="AU959" s="2" t="n">
        <v>2018</v>
      </c>
      <c r="AV959" s="2" t="n">
        <v>10</v>
      </c>
      <c r="AW959" s="2" t="n">
        <v>6</v>
      </c>
      <c r="AX959" s="2"/>
      <c r="AY959" s="2"/>
      <c r="AZ959" s="2"/>
      <c r="BA959" s="2"/>
      <c r="BB959" s="2"/>
      <c r="BC959" s="2"/>
      <c r="BD959" s="2" t="n">
        <v>278</v>
      </c>
      <c r="BE959" s="2" t="s">
        <v>17012</v>
      </c>
      <c r="BF959" s="2" t="str">
        <f aca="false">HYPERLINK("http://dx.doi.org/10.3390/v10060278","http://dx.doi.org/10.3390/v10060278")</f>
        <v>http://dx.doi.org/10.3390/v10060278</v>
      </c>
      <c r="BG959" s="2"/>
      <c r="BH959" s="2"/>
      <c r="BI959" s="2" t="n">
        <v>8</v>
      </c>
      <c r="BJ959" s="2" t="s">
        <v>163</v>
      </c>
      <c r="BK959" s="2" t="s">
        <v>100</v>
      </c>
      <c r="BL959" s="2" t="s">
        <v>163</v>
      </c>
      <c r="BM959" s="2" t="s">
        <v>17013</v>
      </c>
      <c r="BN959" s="2" t="n">
        <v>29789500</v>
      </c>
      <c r="BO959" s="2" t="s">
        <v>14604</v>
      </c>
      <c r="BP959" s="2"/>
      <c r="BQ959" s="2"/>
      <c r="BR959" s="2" t="s">
        <v>104</v>
      </c>
      <c r="BS959" s="2" t="s">
        <v>17014</v>
      </c>
      <c r="BT959" s="2" t="str">
        <f aca="false">HYPERLINK("https%3A%2F%2Fwww.webofscience.com%2Fwos%2Fwoscc%2Ffull-record%2FWOS:000436146700001","View Full Record in Web of Science")</f>
        <v>View Full Record in Web of Science</v>
      </c>
    </row>
    <row r="960" customFormat="false" ht="12.75" hidden="false" customHeight="false" outlineLevel="0" collapsed="false">
      <c r="A960" s="2" t="s">
        <v>72</v>
      </c>
      <c r="B960" s="2" t="s">
        <v>17015</v>
      </c>
      <c r="C960" s="2"/>
      <c r="D960" s="2"/>
      <c r="E960" s="2"/>
      <c r="F960" s="2" t="s">
        <v>17016</v>
      </c>
      <c r="G960" s="2"/>
      <c r="H960" s="2"/>
      <c r="I960" s="2" t="s">
        <v>17017</v>
      </c>
      <c r="J960" s="2" t="s">
        <v>17018</v>
      </c>
      <c r="K960" s="2"/>
      <c r="L960" s="2"/>
      <c r="M960" s="2" t="s">
        <v>77</v>
      </c>
      <c r="N960" s="2" t="s">
        <v>78</v>
      </c>
      <c r="O960" s="2"/>
      <c r="P960" s="2"/>
      <c r="Q960" s="2"/>
      <c r="R960" s="2"/>
      <c r="S960" s="2"/>
      <c r="T960" s="2" t="s">
        <v>17019</v>
      </c>
      <c r="U960" s="2" t="s">
        <v>17020</v>
      </c>
      <c r="V960" s="2" t="s">
        <v>17021</v>
      </c>
      <c r="W960" s="2" t="s">
        <v>17022</v>
      </c>
      <c r="X960" s="2" t="s">
        <v>15016</v>
      </c>
      <c r="Y960" s="2" t="s">
        <v>17023</v>
      </c>
      <c r="Z960" s="2" t="s">
        <v>17024</v>
      </c>
      <c r="AA960" s="2" t="s">
        <v>17025</v>
      </c>
      <c r="AB960" s="2" t="s">
        <v>17026</v>
      </c>
      <c r="AC960" s="2" t="s">
        <v>17027</v>
      </c>
      <c r="AD960" s="2" t="s">
        <v>17027</v>
      </c>
      <c r="AE960" s="2" t="s">
        <v>17028</v>
      </c>
      <c r="AF960" s="2"/>
      <c r="AG960" s="2" t="n">
        <v>34</v>
      </c>
      <c r="AH960" s="2" t="n">
        <v>0</v>
      </c>
      <c r="AI960" s="2" t="n">
        <v>0</v>
      </c>
      <c r="AJ960" s="2" t="n">
        <v>2</v>
      </c>
      <c r="AK960" s="2" t="n">
        <v>2</v>
      </c>
      <c r="AL960" s="2" t="s">
        <v>2788</v>
      </c>
      <c r="AM960" s="2" t="s">
        <v>2789</v>
      </c>
      <c r="AN960" s="2" t="s">
        <v>2790</v>
      </c>
      <c r="AO960" s="2" t="s">
        <v>17029</v>
      </c>
      <c r="AP960" s="2" t="s">
        <v>17030</v>
      </c>
      <c r="AQ960" s="2"/>
      <c r="AR960" s="2" t="s">
        <v>17031</v>
      </c>
      <c r="AS960" s="2" t="s">
        <v>17032</v>
      </c>
      <c r="AT960" s="2" t="s">
        <v>2539</v>
      </c>
      <c r="AU960" s="2" t="n">
        <v>2024</v>
      </c>
      <c r="AV960" s="2" t="n">
        <v>56</v>
      </c>
      <c r="AW960" s="2" t="n">
        <v>1</v>
      </c>
      <c r="AX960" s="2"/>
      <c r="AY960" s="2"/>
      <c r="AZ960" s="2"/>
      <c r="BA960" s="2"/>
      <c r="BB960" s="2"/>
      <c r="BC960" s="2"/>
      <c r="BD960" s="2" t="n">
        <v>2398719</v>
      </c>
      <c r="BE960" s="2" t="s">
        <v>17033</v>
      </c>
      <c r="BF960" s="2" t="str">
        <f aca="false">HYPERLINK("http://dx.doi.org/10.1080/07853890.2024.2398719","http://dx.doi.org/10.1080/07853890.2024.2398719")</f>
        <v>http://dx.doi.org/10.1080/07853890.2024.2398719</v>
      </c>
      <c r="BG960" s="2"/>
      <c r="BH960" s="2"/>
      <c r="BI960" s="2" t="n">
        <v>7</v>
      </c>
      <c r="BJ960" s="2" t="s">
        <v>363</v>
      </c>
      <c r="BK960" s="2" t="s">
        <v>100</v>
      </c>
      <c r="BL960" s="2" t="s">
        <v>364</v>
      </c>
      <c r="BM960" s="2" t="s">
        <v>17034</v>
      </c>
      <c r="BN960" s="2" t="n">
        <v>39221771</v>
      </c>
      <c r="BO960" s="2" t="s">
        <v>1355</v>
      </c>
      <c r="BP960" s="2"/>
      <c r="BQ960" s="2"/>
      <c r="BR960" s="2" t="s">
        <v>104</v>
      </c>
      <c r="BS960" s="2" t="s">
        <v>17035</v>
      </c>
      <c r="BT960" s="2" t="str">
        <f aca="false">HYPERLINK("https%3A%2F%2Fwww.webofscience.com%2Fwos%2Fwoscc%2Ffull-record%2FWOS:001302812300001","View Full Record in Web of Science")</f>
        <v>View Full Record in Web of Science</v>
      </c>
    </row>
    <row r="961" customFormat="false" ht="12.75" hidden="false" customHeight="false" outlineLevel="0" collapsed="false">
      <c r="A961" s="2" t="s">
        <v>72</v>
      </c>
      <c r="B961" s="2" t="s">
        <v>17036</v>
      </c>
      <c r="C961" s="2"/>
      <c r="D961" s="2"/>
      <c r="E961" s="2"/>
      <c r="F961" s="2" t="s">
        <v>17037</v>
      </c>
      <c r="G961" s="2"/>
      <c r="H961" s="2"/>
      <c r="I961" s="2" t="s">
        <v>17038</v>
      </c>
      <c r="J961" s="2" t="s">
        <v>1448</v>
      </c>
      <c r="K961" s="2"/>
      <c r="L961" s="2"/>
      <c r="M961" s="2" t="s">
        <v>77</v>
      </c>
      <c r="N961" s="2" t="s">
        <v>78</v>
      </c>
      <c r="O961" s="2"/>
      <c r="P961" s="2"/>
      <c r="Q961" s="2"/>
      <c r="R961" s="2"/>
      <c r="S961" s="2"/>
      <c r="T961" s="2" t="s">
        <v>17039</v>
      </c>
      <c r="U961" s="2" t="s">
        <v>17040</v>
      </c>
      <c r="V961" s="2" t="s">
        <v>17041</v>
      </c>
      <c r="W961" s="2" t="s">
        <v>17042</v>
      </c>
      <c r="X961" s="2" t="s">
        <v>17043</v>
      </c>
      <c r="Y961" s="2" t="s">
        <v>17044</v>
      </c>
      <c r="Z961" s="2" t="s">
        <v>17045</v>
      </c>
      <c r="AA961" s="2" t="s">
        <v>17046</v>
      </c>
      <c r="AB961" s="2" t="s">
        <v>17047</v>
      </c>
      <c r="AC961" s="2" t="s">
        <v>17048</v>
      </c>
      <c r="AD961" s="2" t="s">
        <v>17049</v>
      </c>
      <c r="AE961" s="2" t="s">
        <v>17050</v>
      </c>
      <c r="AF961" s="2"/>
      <c r="AG961" s="2" t="n">
        <v>28</v>
      </c>
      <c r="AH961" s="2" t="n">
        <v>6</v>
      </c>
      <c r="AI961" s="2" t="n">
        <v>10</v>
      </c>
      <c r="AJ961" s="2" t="n">
        <v>0</v>
      </c>
      <c r="AK961" s="2" t="n">
        <v>2</v>
      </c>
      <c r="AL961" s="2" t="s">
        <v>1460</v>
      </c>
      <c r="AM961" s="2" t="s">
        <v>593</v>
      </c>
      <c r="AN961" s="2" t="s">
        <v>1461</v>
      </c>
      <c r="AO961" s="2" t="s">
        <v>1462</v>
      </c>
      <c r="AP961" s="2"/>
      <c r="AQ961" s="2"/>
      <c r="AR961" s="2" t="s">
        <v>1464</v>
      </c>
      <c r="AS961" s="2" t="s">
        <v>1465</v>
      </c>
      <c r="AT961" s="2" t="s">
        <v>804</v>
      </c>
      <c r="AU961" s="2" t="n">
        <v>2012</v>
      </c>
      <c r="AV961" s="2" t="n">
        <v>74</v>
      </c>
      <c r="AW961" s="2" t="n">
        <v>3</v>
      </c>
      <c r="AX961" s="2"/>
      <c r="AY961" s="2"/>
      <c r="AZ961" s="2"/>
      <c r="BA961" s="2"/>
      <c r="BB961" s="2" t="n">
        <v>288</v>
      </c>
      <c r="BC961" s="2" t="n">
        <v>291</v>
      </c>
      <c r="BD961" s="2"/>
      <c r="BE961" s="2" t="s">
        <v>17051</v>
      </c>
      <c r="BF961" s="2" t="str">
        <f aca="false">HYPERLINK("http://dx.doi.org/10.1016/j.diagmicrobio.2012.07.004","http://dx.doi.org/10.1016/j.diagmicrobio.2012.07.004")</f>
        <v>http://dx.doi.org/10.1016/j.diagmicrobio.2012.07.004</v>
      </c>
      <c r="BG961" s="2"/>
      <c r="BH961" s="2"/>
      <c r="BI961" s="2" t="n">
        <v>4</v>
      </c>
      <c r="BJ961" s="2" t="s">
        <v>1467</v>
      </c>
      <c r="BK961" s="2" t="s">
        <v>100</v>
      </c>
      <c r="BL961" s="2" t="s">
        <v>1467</v>
      </c>
      <c r="BM961" s="2" t="s">
        <v>17052</v>
      </c>
      <c r="BN961" s="2" t="n">
        <v>22959817</v>
      </c>
      <c r="BO961" s="2"/>
      <c r="BP961" s="2"/>
      <c r="BQ961" s="2"/>
      <c r="BR961" s="2" t="s">
        <v>104</v>
      </c>
      <c r="BS961" s="2" t="s">
        <v>17053</v>
      </c>
      <c r="BT961" s="2" t="str">
        <f aca="false">HYPERLINK("https%3A%2F%2Fwww.webofscience.com%2Fwos%2Fwoscc%2Ffull-record%2FWOS:000310401900013","View Full Record in Web of Science")</f>
        <v>View Full Record in Web of Science</v>
      </c>
    </row>
    <row r="962" customFormat="false" ht="12.75" hidden="false" customHeight="false" outlineLevel="0" collapsed="false">
      <c r="A962" s="2" t="s">
        <v>72</v>
      </c>
      <c r="B962" s="2" t="s">
        <v>17054</v>
      </c>
      <c r="C962" s="2"/>
      <c r="D962" s="2"/>
      <c r="E962" s="2"/>
      <c r="F962" s="2" t="s">
        <v>17055</v>
      </c>
      <c r="G962" s="2"/>
      <c r="H962" s="2"/>
      <c r="I962" s="2" t="s">
        <v>17056</v>
      </c>
      <c r="J962" s="2" t="s">
        <v>141</v>
      </c>
      <c r="K962" s="2"/>
      <c r="L962" s="2"/>
      <c r="M962" s="2" t="s">
        <v>77</v>
      </c>
      <c r="N962" s="2" t="s">
        <v>78</v>
      </c>
      <c r="O962" s="2"/>
      <c r="P962" s="2"/>
      <c r="Q962" s="2"/>
      <c r="R962" s="2"/>
      <c r="S962" s="2"/>
      <c r="T962" s="2" t="s">
        <v>17057</v>
      </c>
      <c r="U962" s="2" t="s">
        <v>17058</v>
      </c>
      <c r="V962" s="2" t="s">
        <v>17059</v>
      </c>
      <c r="W962" s="2" t="s">
        <v>17060</v>
      </c>
      <c r="X962" s="2" t="s">
        <v>17061</v>
      </c>
      <c r="Y962" s="2" t="s">
        <v>17062</v>
      </c>
      <c r="Z962" s="2" t="s">
        <v>3046</v>
      </c>
      <c r="AA962" s="2"/>
      <c r="AB962" s="2"/>
      <c r="AC962" s="2"/>
      <c r="AD962" s="2"/>
      <c r="AE962" s="2"/>
      <c r="AF962" s="2"/>
      <c r="AG962" s="2" t="n">
        <v>34</v>
      </c>
      <c r="AH962" s="2" t="n">
        <v>30</v>
      </c>
      <c r="AI962" s="2" t="n">
        <v>32</v>
      </c>
      <c r="AJ962" s="2" t="n">
        <v>0</v>
      </c>
      <c r="AK962" s="2" t="n">
        <v>9</v>
      </c>
      <c r="AL962" s="2" t="s">
        <v>154</v>
      </c>
      <c r="AM962" s="2" t="s">
        <v>155</v>
      </c>
      <c r="AN962" s="2" t="s">
        <v>156</v>
      </c>
      <c r="AO962" s="2" t="s">
        <v>157</v>
      </c>
      <c r="AP962" s="2" t="s">
        <v>158</v>
      </c>
      <c r="AQ962" s="2"/>
      <c r="AR962" s="2" t="s">
        <v>159</v>
      </c>
      <c r="AS962" s="2" t="s">
        <v>160</v>
      </c>
      <c r="AT962" s="2" t="s">
        <v>1041</v>
      </c>
      <c r="AU962" s="2" t="n">
        <v>2015</v>
      </c>
      <c r="AV962" s="2" t="n">
        <v>87</v>
      </c>
      <c r="AW962" s="2" t="n">
        <v>2</v>
      </c>
      <c r="AX962" s="2"/>
      <c r="AY962" s="2"/>
      <c r="AZ962" s="2"/>
      <c r="BA962" s="2"/>
      <c r="BB962" s="2" t="n">
        <v>275</v>
      </c>
      <c r="BC962" s="2" t="n">
        <v>280</v>
      </c>
      <c r="BD962" s="2"/>
      <c r="BE962" s="2" t="s">
        <v>17063</v>
      </c>
      <c r="BF962" s="2" t="str">
        <f aca="false">HYPERLINK("http://dx.doi.org/10.1002/jmv.24025","http://dx.doi.org/10.1002/jmv.24025")</f>
        <v>http://dx.doi.org/10.1002/jmv.24025</v>
      </c>
      <c r="BG962" s="2"/>
      <c r="BH962" s="2"/>
      <c r="BI962" s="2" t="n">
        <v>6</v>
      </c>
      <c r="BJ962" s="2" t="s">
        <v>163</v>
      </c>
      <c r="BK962" s="2" t="s">
        <v>100</v>
      </c>
      <c r="BL962" s="2" t="s">
        <v>163</v>
      </c>
      <c r="BM962" s="2" t="s">
        <v>4043</v>
      </c>
      <c r="BN962" s="2" t="n">
        <v>25074284</v>
      </c>
      <c r="BO962" s="2" t="s">
        <v>165</v>
      </c>
      <c r="BP962" s="2"/>
      <c r="BQ962" s="2"/>
      <c r="BR962" s="2" t="s">
        <v>104</v>
      </c>
      <c r="BS962" s="2" t="s">
        <v>17064</v>
      </c>
      <c r="BT962" s="2" t="str">
        <f aca="false">HYPERLINK("https%3A%2F%2Fwww.webofscience.com%2Fwos%2Fwoscc%2Ffull-record%2FWOS:000346486800013","View Full Record in Web of Science")</f>
        <v>View Full Record in Web of Science</v>
      </c>
    </row>
    <row r="963" customFormat="false" ht="12.75" hidden="false" customHeight="false" outlineLevel="0" collapsed="false">
      <c r="A963" s="2" t="s">
        <v>72</v>
      </c>
      <c r="B963" s="2" t="s">
        <v>17065</v>
      </c>
      <c r="C963" s="2"/>
      <c r="D963" s="2"/>
      <c r="E963" s="2"/>
      <c r="F963" s="2" t="s">
        <v>17066</v>
      </c>
      <c r="G963" s="2"/>
      <c r="H963" s="2"/>
      <c r="I963" s="2" t="s">
        <v>17067</v>
      </c>
      <c r="J963" s="2" t="s">
        <v>717</v>
      </c>
      <c r="K963" s="2"/>
      <c r="L963" s="2"/>
      <c r="M963" s="2" t="s">
        <v>77</v>
      </c>
      <c r="N963" s="2" t="s">
        <v>78</v>
      </c>
      <c r="O963" s="2"/>
      <c r="P963" s="2"/>
      <c r="Q963" s="2"/>
      <c r="R963" s="2"/>
      <c r="S963" s="2"/>
      <c r="T963" s="2" t="s">
        <v>17068</v>
      </c>
      <c r="U963" s="2" t="s">
        <v>17069</v>
      </c>
      <c r="V963" s="2" t="s">
        <v>17070</v>
      </c>
      <c r="W963" s="2" t="s">
        <v>17071</v>
      </c>
      <c r="X963" s="2" t="s">
        <v>13129</v>
      </c>
      <c r="Y963" s="2" t="s">
        <v>17072</v>
      </c>
      <c r="Z963" s="2" t="s">
        <v>17073</v>
      </c>
      <c r="AA963" s="2" t="s">
        <v>3047</v>
      </c>
      <c r="AB963" s="2" t="s">
        <v>3048</v>
      </c>
      <c r="AC963" s="2" t="s">
        <v>17074</v>
      </c>
      <c r="AD963" s="2" t="s">
        <v>17075</v>
      </c>
      <c r="AE963" s="2" t="s">
        <v>17076</v>
      </c>
      <c r="AF963" s="2"/>
      <c r="AG963" s="2" t="n">
        <v>39</v>
      </c>
      <c r="AH963" s="2" t="n">
        <v>10</v>
      </c>
      <c r="AI963" s="2" t="n">
        <v>13</v>
      </c>
      <c r="AJ963" s="2" t="n">
        <v>1</v>
      </c>
      <c r="AK963" s="2" t="n">
        <v>1</v>
      </c>
      <c r="AL963" s="2" t="s">
        <v>549</v>
      </c>
      <c r="AM963" s="2" t="s">
        <v>384</v>
      </c>
      <c r="AN963" s="2" t="s">
        <v>550</v>
      </c>
      <c r="AO963" s="2" t="s">
        <v>729</v>
      </c>
      <c r="AP963" s="2" t="s">
        <v>730</v>
      </c>
      <c r="AQ963" s="2"/>
      <c r="AR963" s="2" t="s">
        <v>731</v>
      </c>
      <c r="AS963" s="2" t="s">
        <v>732</v>
      </c>
      <c r="AT963" s="2" t="s">
        <v>161</v>
      </c>
      <c r="AU963" s="2" t="n">
        <v>2010</v>
      </c>
      <c r="AV963" s="2" t="n">
        <v>163</v>
      </c>
      <c r="AW963" s="2" t="n">
        <v>1</v>
      </c>
      <c r="AX963" s="2"/>
      <c r="AY963" s="2"/>
      <c r="AZ963" s="2"/>
      <c r="BA963" s="2"/>
      <c r="BB963" s="2" t="n">
        <v>74</v>
      </c>
      <c r="BC963" s="2" t="n">
        <v>81</v>
      </c>
      <c r="BD963" s="2"/>
      <c r="BE963" s="2" t="s">
        <v>17077</v>
      </c>
      <c r="BF963" s="2" t="str">
        <f aca="false">HYPERLINK("http://dx.doi.org/10.1016/j.jviromet.2009.08.024","http://dx.doi.org/10.1016/j.jviromet.2009.08.024")</f>
        <v>http://dx.doi.org/10.1016/j.jviromet.2009.08.024</v>
      </c>
      <c r="BG963" s="2"/>
      <c r="BH963" s="2"/>
      <c r="BI963" s="2" t="n">
        <v>8</v>
      </c>
      <c r="BJ963" s="2" t="s">
        <v>735</v>
      </c>
      <c r="BK963" s="2" t="s">
        <v>100</v>
      </c>
      <c r="BL963" s="2" t="s">
        <v>736</v>
      </c>
      <c r="BM963" s="2" t="s">
        <v>17078</v>
      </c>
      <c r="BN963" s="2" t="n">
        <v>19799934</v>
      </c>
      <c r="BO963" s="2"/>
      <c r="BP963" s="2"/>
      <c r="BQ963" s="2"/>
      <c r="BR963" s="2" t="s">
        <v>104</v>
      </c>
      <c r="BS963" s="2" t="s">
        <v>17079</v>
      </c>
      <c r="BT963" s="2" t="str">
        <f aca="false">HYPERLINK("https%3A%2F%2Fwww.webofscience.com%2Fwos%2Fwoscc%2Ffull-record%2FWOS:000274042900010","View Full Record in Web of Science")</f>
        <v>View Full Record in Web of Science</v>
      </c>
    </row>
    <row r="964" customFormat="false" ht="12.75" hidden="false" customHeight="false" outlineLevel="0" collapsed="false">
      <c r="A964" s="2" t="s">
        <v>72</v>
      </c>
      <c r="B964" s="2" t="s">
        <v>17080</v>
      </c>
      <c r="C964" s="2"/>
      <c r="D964" s="2"/>
      <c r="E964" s="2"/>
      <c r="F964" s="2" t="s">
        <v>17081</v>
      </c>
      <c r="G964" s="2"/>
      <c r="H964" s="2"/>
      <c r="I964" s="2" t="s">
        <v>17082</v>
      </c>
      <c r="J964" s="2" t="s">
        <v>493</v>
      </c>
      <c r="K964" s="2"/>
      <c r="L964" s="2"/>
      <c r="M964" s="2" t="s">
        <v>77</v>
      </c>
      <c r="N964" s="2" t="s">
        <v>78</v>
      </c>
      <c r="O964" s="2"/>
      <c r="P964" s="2"/>
      <c r="Q964" s="2"/>
      <c r="R964" s="2"/>
      <c r="S964" s="2"/>
      <c r="T964" s="2" t="s">
        <v>17083</v>
      </c>
      <c r="U964" s="2"/>
      <c r="V964" s="2" t="s">
        <v>17084</v>
      </c>
      <c r="W964" s="2" t="s">
        <v>17085</v>
      </c>
      <c r="X964" s="2" t="s">
        <v>17086</v>
      </c>
      <c r="Y964" s="2" t="s">
        <v>17087</v>
      </c>
      <c r="Z964" s="2" t="s">
        <v>17088</v>
      </c>
      <c r="AA964" s="2"/>
      <c r="AB964" s="2" t="s">
        <v>17089</v>
      </c>
      <c r="AC964" s="2" t="s">
        <v>17090</v>
      </c>
      <c r="AD964" s="2" t="s">
        <v>17091</v>
      </c>
      <c r="AE964" s="2" t="s">
        <v>17092</v>
      </c>
      <c r="AF964" s="2"/>
      <c r="AG964" s="2" t="n">
        <v>35</v>
      </c>
      <c r="AH964" s="2" t="n">
        <v>22</v>
      </c>
      <c r="AI964" s="2" t="n">
        <v>24</v>
      </c>
      <c r="AJ964" s="2" t="n">
        <v>2</v>
      </c>
      <c r="AK964" s="2" t="n">
        <v>9</v>
      </c>
      <c r="AL964" s="2" t="s">
        <v>91</v>
      </c>
      <c r="AM964" s="2" t="s">
        <v>92</v>
      </c>
      <c r="AN964" s="2" t="s">
        <v>93</v>
      </c>
      <c r="AO964" s="2"/>
      <c r="AP964" s="2" t="s">
        <v>506</v>
      </c>
      <c r="AQ964" s="2"/>
      <c r="AR964" s="2" t="s">
        <v>493</v>
      </c>
      <c r="AS964" s="2" t="s">
        <v>507</v>
      </c>
      <c r="AT964" s="2" t="s">
        <v>161</v>
      </c>
      <c r="AU964" s="2" t="n">
        <v>2021</v>
      </c>
      <c r="AV964" s="2" t="n">
        <v>13</v>
      </c>
      <c r="AW964" s="2" t="n">
        <v>1</v>
      </c>
      <c r="AX964" s="2"/>
      <c r="AY964" s="2"/>
      <c r="AZ964" s="2"/>
      <c r="BA964" s="2"/>
      <c r="BB964" s="2"/>
      <c r="BC964" s="2"/>
      <c r="BD964" s="2" t="n">
        <v>139</v>
      </c>
      <c r="BE964" s="2" t="s">
        <v>17093</v>
      </c>
      <c r="BF964" s="2" t="str">
        <f aca="false">HYPERLINK("http://dx.doi.org/10.3390/v13010139","http://dx.doi.org/10.3390/v13010139")</f>
        <v>http://dx.doi.org/10.3390/v13010139</v>
      </c>
      <c r="BG964" s="2"/>
      <c r="BH964" s="2"/>
      <c r="BI964" s="2" t="n">
        <v>15</v>
      </c>
      <c r="BJ964" s="2" t="s">
        <v>163</v>
      </c>
      <c r="BK964" s="2" t="s">
        <v>100</v>
      </c>
      <c r="BL964" s="2" t="s">
        <v>163</v>
      </c>
      <c r="BM964" s="2" t="s">
        <v>17094</v>
      </c>
      <c r="BN964" s="2" t="n">
        <v>33478119</v>
      </c>
      <c r="BO964" s="2" t="s">
        <v>190</v>
      </c>
      <c r="BP964" s="2"/>
      <c r="BQ964" s="2"/>
      <c r="BR964" s="2" t="s">
        <v>104</v>
      </c>
      <c r="BS964" s="2" t="s">
        <v>17095</v>
      </c>
      <c r="BT964" s="2" t="str">
        <f aca="false">HYPERLINK("https%3A%2F%2Fwww.webofscience.com%2Fwos%2Fwoscc%2Ffull-record%2FWOS:000610816200001","View Full Record in Web of Science")</f>
        <v>View Full Record in Web of Science</v>
      </c>
    </row>
    <row r="965" customFormat="false" ht="12.75" hidden="false" customHeight="false" outlineLevel="0" collapsed="false">
      <c r="A965" s="2" t="s">
        <v>72</v>
      </c>
      <c r="B965" s="2" t="s">
        <v>17096</v>
      </c>
      <c r="C965" s="2"/>
      <c r="D965" s="2"/>
      <c r="E965" s="2"/>
      <c r="F965" s="2" t="s">
        <v>17097</v>
      </c>
      <c r="G965" s="2"/>
      <c r="H965" s="2"/>
      <c r="I965" s="2" t="s">
        <v>17098</v>
      </c>
      <c r="J965" s="2" t="s">
        <v>17099</v>
      </c>
      <c r="K965" s="2"/>
      <c r="L965" s="2"/>
      <c r="M965" s="2" t="s">
        <v>77</v>
      </c>
      <c r="N965" s="2" t="s">
        <v>78</v>
      </c>
      <c r="O965" s="2"/>
      <c r="P965" s="2"/>
      <c r="Q965" s="2"/>
      <c r="R965" s="2"/>
      <c r="S965" s="2"/>
      <c r="T965" s="2" t="s">
        <v>17100</v>
      </c>
      <c r="U965" s="2" t="s">
        <v>17101</v>
      </c>
      <c r="V965" s="2" t="s">
        <v>17102</v>
      </c>
      <c r="W965" s="2" t="s">
        <v>17103</v>
      </c>
      <c r="X965" s="2" t="s">
        <v>17104</v>
      </c>
      <c r="Y965" s="2" t="s">
        <v>14857</v>
      </c>
      <c r="Z965" s="2" t="s">
        <v>10668</v>
      </c>
      <c r="AA965" s="2" t="s">
        <v>14859</v>
      </c>
      <c r="AB965" s="2" t="s">
        <v>17105</v>
      </c>
      <c r="AC965" s="2" t="s">
        <v>17106</v>
      </c>
      <c r="AD965" s="2" t="s">
        <v>17107</v>
      </c>
      <c r="AE965" s="2" t="s">
        <v>17108</v>
      </c>
      <c r="AF965" s="2"/>
      <c r="AG965" s="2" t="n">
        <v>68</v>
      </c>
      <c r="AH965" s="2" t="n">
        <v>14</v>
      </c>
      <c r="AI965" s="2" t="n">
        <v>16</v>
      </c>
      <c r="AJ965" s="2" t="n">
        <v>1</v>
      </c>
      <c r="AK965" s="2" t="n">
        <v>5</v>
      </c>
      <c r="AL965" s="2" t="s">
        <v>7639</v>
      </c>
      <c r="AM965" s="2" t="s">
        <v>783</v>
      </c>
      <c r="AN965" s="2" t="s">
        <v>7640</v>
      </c>
      <c r="AO965" s="2" t="s">
        <v>17109</v>
      </c>
      <c r="AP965" s="2" t="s">
        <v>17110</v>
      </c>
      <c r="AQ965" s="2"/>
      <c r="AR965" s="2" t="s">
        <v>17111</v>
      </c>
      <c r="AS965" s="2" t="s">
        <v>17112</v>
      </c>
      <c r="AT965" s="2" t="s">
        <v>486</v>
      </c>
      <c r="AU965" s="2" t="n">
        <v>2017</v>
      </c>
      <c r="AV965" s="2" t="n">
        <v>101</v>
      </c>
      <c r="AW965" s="2" t="n">
        <v>6</v>
      </c>
      <c r="AX965" s="2"/>
      <c r="AY965" s="2"/>
      <c r="AZ965" s="2"/>
      <c r="BA965" s="2"/>
      <c r="BB965" s="2" t="n">
        <v>1383</v>
      </c>
      <c r="BC965" s="2" t="n">
        <v>1392</v>
      </c>
      <c r="BD965" s="2"/>
      <c r="BE965" s="2" t="s">
        <v>17113</v>
      </c>
      <c r="BF965" s="2" t="str">
        <f aca="false">HYPERLINK("http://dx.doi.org/10.1189/jlb.4A1216-519RR","http://dx.doi.org/10.1189/jlb.4A1216-519RR")</f>
        <v>http://dx.doi.org/10.1189/jlb.4A1216-519RR</v>
      </c>
      <c r="BG965" s="2"/>
      <c r="BH965" s="2"/>
      <c r="BI965" s="2" t="n">
        <v>10</v>
      </c>
      <c r="BJ965" s="2" t="s">
        <v>17114</v>
      </c>
      <c r="BK965" s="2" t="s">
        <v>100</v>
      </c>
      <c r="BL965" s="2" t="s">
        <v>17114</v>
      </c>
      <c r="BM965" s="2" t="s">
        <v>17115</v>
      </c>
      <c r="BN965" s="2" t="n">
        <v>28336678</v>
      </c>
      <c r="BO965" s="2" t="s">
        <v>1267</v>
      </c>
      <c r="BP965" s="2"/>
      <c r="BQ965" s="2"/>
      <c r="BR965" s="2" t="s">
        <v>104</v>
      </c>
      <c r="BS965" s="2" t="s">
        <v>17116</v>
      </c>
      <c r="BT965" s="2" t="str">
        <f aca="false">HYPERLINK("https%3A%2F%2Fwww.webofscience.com%2Fwos%2Fwoscc%2Ffull-record%2FWOS:000401430300012","View Full Record in Web of Science")</f>
        <v>View Full Record in Web of Science</v>
      </c>
    </row>
    <row r="966" customFormat="false" ht="12.75" hidden="false" customHeight="false" outlineLevel="0" collapsed="false">
      <c r="A966" s="2" t="s">
        <v>72</v>
      </c>
      <c r="B966" s="2" t="s">
        <v>17117</v>
      </c>
      <c r="C966" s="2"/>
      <c r="D966" s="2"/>
      <c r="E966" s="2"/>
      <c r="F966" s="2" t="s">
        <v>17118</v>
      </c>
      <c r="G966" s="2"/>
      <c r="H966" s="2"/>
      <c r="I966" s="2" t="s">
        <v>17119</v>
      </c>
      <c r="J966" s="2" t="s">
        <v>141</v>
      </c>
      <c r="K966" s="2"/>
      <c r="L966" s="2"/>
      <c r="M966" s="2" t="s">
        <v>77</v>
      </c>
      <c r="N966" s="2" t="s">
        <v>78</v>
      </c>
      <c r="O966" s="2"/>
      <c r="P966" s="2"/>
      <c r="Q966" s="2"/>
      <c r="R966" s="2"/>
      <c r="S966" s="2"/>
      <c r="T966" s="2" t="s">
        <v>17120</v>
      </c>
      <c r="U966" s="2" t="s">
        <v>17121</v>
      </c>
      <c r="V966" s="2" t="s">
        <v>17122</v>
      </c>
      <c r="W966" s="2" t="s">
        <v>17123</v>
      </c>
      <c r="X966" s="2" t="s">
        <v>17124</v>
      </c>
      <c r="Y966" s="2" t="s">
        <v>17125</v>
      </c>
      <c r="Z966" s="2" t="s">
        <v>14494</v>
      </c>
      <c r="AA966" s="2" t="s">
        <v>17126</v>
      </c>
      <c r="AB966" s="2" t="s">
        <v>17127</v>
      </c>
      <c r="AC966" s="2"/>
      <c r="AD966" s="2"/>
      <c r="AE966" s="2"/>
      <c r="AF966" s="2"/>
      <c r="AG966" s="2" t="n">
        <v>31</v>
      </c>
      <c r="AH966" s="2" t="n">
        <v>18</v>
      </c>
      <c r="AI966" s="2" t="n">
        <v>19</v>
      </c>
      <c r="AJ966" s="2" t="n">
        <v>0</v>
      </c>
      <c r="AK966" s="2" t="n">
        <v>3</v>
      </c>
      <c r="AL966" s="2" t="s">
        <v>154</v>
      </c>
      <c r="AM966" s="2" t="s">
        <v>155</v>
      </c>
      <c r="AN966" s="2" t="s">
        <v>156</v>
      </c>
      <c r="AO966" s="2" t="s">
        <v>157</v>
      </c>
      <c r="AP966" s="2" t="s">
        <v>158</v>
      </c>
      <c r="AQ966" s="2"/>
      <c r="AR966" s="2" t="s">
        <v>159</v>
      </c>
      <c r="AS966" s="2" t="s">
        <v>160</v>
      </c>
      <c r="AT966" s="2" t="s">
        <v>599</v>
      </c>
      <c r="AU966" s="2" t="n">
        <v>2008</v>
      </c>
      <c r="AV966" s="2" t="n">
        <v>80</v>
      </c>
      <c r="AW966" s="2" t="n">
        <v>7</v>
      </c>
      <c r="AX966" s="2"/>
      <c r="AY966" s="2"/>
      <c r="AZ966" s="2"/>
      <c r="BA966" s="2"/>
      <c r="BB966" s="2" t="n">
        <v>1282</v>
      </c>
      <c r="BC966" s="2" t="n">
        <v>1287</v>
      </c>
      <c r="BD966" s="2"/>
      <c r="BE966" s="2" t="s">
        <v>17128</v>
      </c>
      <c r="BF966" s="2" t="str">
        <f aca="false">HYPERLINK("http://dx.doi.org/10.1002/jmv.21196","http://dx.doi.org/10.1002/jmv.21196")</f>
        <v>http://dx.doi.org/10.1002/jmv.21196</v>
      </c>
      <c r="BG966" s="2"/>
      <c r="BH966" s="2"/>
      <c r="BI966" s="2" t="n">
        <v>6</v>
      </c>
      <c r="BJ966" s="2" t="s">
        <v>163</v>
      </c>
      <c r="BK966" s="2" t="s">
        <v>100</v>
      </c>
      <c r="BL966" s="2" t="s">
        <v>163</v>
      </c>
      <c r="BM966" s="2" t="s">
        <v>17129</v>
      </c>
      <c r="BN966" s="2" t="n">
        <v>18461619</v>
      </c>
      <c r="BO966" s="2"/>
      <c r="BP966" s="2"/>
      <c r="BQ966" s="2"/>
      <c r="BR966" s="2" t="s">
        <v>104</v>
      </c>
      <c r="BS966" s="2" t="s">
        <v>17130</v>
      </c>
      <c r="BT966" s="2" t="str">
        <f aca="false">HYPERLINK("https%3A%2F%2Fwww.webofscience.com%2Fwos%2Fwoscc%2Ffull-record%2FWOS:000255968000019","View Full Record in Web of Science")</f>
        <v>View Full Record in Web of Science</v>
      </c>
    </row>
    <row r="967" customFormat="false" ht="12.75" hidden="false" customHeight="false" outlineLevel="0" collapsed="false">
      <c r="A967" s="2" t="s">
        <v>72</v>
      </c>
      <c r="B967" s="2" t="s">
        <v>17131</v>
      </c>
      <c r="C967" s="2"/>
      <c r="D967" s="2"/>
      <c r="E967" s="2"/>
      <c r="F967" s="2" t="s">
        <v>17132</v>
      </c>
      <c r="G967" s="2"/>
      <c r="H967" s="2"/>
      <c r="I967" s="2" t="s">
        <v>17133</v>
      </c>
      <c r="J967" s="2" t="s">
        <v>742</v>
      </c>
      <c r="K967" s="2"/>
      <c r="L967" s="2"/>
      <c r="M967" s="2" t="s">
        <v>77</v>
      </c>
      <c r="N967" s="2" t="s">
        <v>78</v>
      </c>
      <c r="O967" s="2"/>
      <c r="P967" s="2"/>
      <c r="Q967" s="2"/>
      <c r="R967" s="2"/>
      <c r="S967" s="2"/>
      <c r="T967" s="2" t="s">
        <v>17134</v>
      </c>
      <c r="U967" s="2" t="s">
        <v>17135</v>
      </c>
      <c r="V967" s="2" t="s">
        <v>17136</v>
      </c>
      <c r="W967" s="2" t="s">
        <v>17137</v>
      </c>
      <c r="X967" s="2" t="s">
        <v>12027</v>
      </c>
      <c r="Y967" s="2" t="s">
        <v>12028</v>
      </c>
      <c r="Z967" s="2" t="s">
        <v>14892</v>
      </c>
      <c r="AA967" s="2"/>
      <c r="AB967" s="2"/>
      <c r="AC967" s="2" t="s">
        <v>17138</v>
      </c>
      <c r="AD967" s="2" t="s">
        <v>2416</v>
      </c>
      <c r="AE967" s="2"/>
      <c r="AF967" s="2"/>
      <c r="AG967" s="2" t="n">
        <v>57</v>
      </c>
      <c r="AH967" s="2" t="n">
        <v>47</v>
      </c>
      <c r="AI967" s="2" t="n">
        <v>51</v>
      </c>
      <c r="AJ967" s="2" t="n">
        <v>0</v>
      </c>
      <c r="AK967" s="2" t="n">
        <v>3</v>
      </c>
      <c r="AL967" s="2" t="s">
        <v>755</v>
      </c>
      <c r="AM967" s="2" t="s">
        <v>273</v>
      </c>
      <c r="AN967" s="2" t="s">
        <v>756</v>
      </c>
      <c r="AO967" s="2" t="s">
        <v>757</v>
      </c>
      <c r="AP967" s="2" t="s">
        <v>758</v>
      </c>
      <c r="AQ967" s="2"/>
      <c r="AR967" s="2" t="s">
        <v>759</v>
      </c>
      <c r="AS967" s="2" t="s">
        <v>760</v>
      </c>
      <c r="AT967" s="2" t="s">
        <v>446</v>
      </c>
      <c r="AU967" s="2" t="n">
        <v>2017</v>
      </c>
      <c r="AV967" s="2" t="n">
        <v>91</v>
      </c>
      <c r="AW967" s="2" t="n">
        <v>24</v>
      </c>
      <c r="AX967" s="2"/>
      <c r="AY967" s="2"/>
      <c r="AZ967" s="2"/>
      <c r="BA967" s="2"/>
      <c r="BB967" s="2"/>
      <c r="BC967" s="2"/>
      <c r="BD967" s="2" t="s">
        <v>17139</v>
      </c>
      <c r="BE967" s="2" t="s">
        <v>17140</v>
      </c>
      <c r="BF967" s="2" t="str">
        <f aca="false">HYPERLINK("http://dx.doi.org/10.1128/JVI.01282-17","http://dx.doi.org/10.1128/JVI.01282-17")</f>
        <v>http://dx.doi.org/10.1128/JVI.01282-17</v>
      </c>
      <c r="BG967" s="2"/>
      <c r="BH967" s="2"/>
      <c r="BI967" s="2" t="n">
        <v>18</v>
      </c>
      <c r="BJ967" s="2" t="s">
        <v>163</v>
      </c>
      <c r="BK967" s="2" t="s">
        <v>100</v>
      </c>
      <c r="BL967" s="2" t="s">
        <v>163</v>
      </c>
      <c r="BM967" s="2" t="s">
        <v>17141</v>
      </c>
      <c r="BN967" s="2" t="n">
        <v>28978704</v>
      </c>
      <c r="BO967" s="2" t="s">
        <v>538</v>
      </c>
      <c r="BP967" s="2"/>
      <c r="BQ967" s="2"/>
      <c r="BR967" s="2" t="s">
        <v>104</v>
      </c>
      <c r="BS967" s="2" t="s">
        <v>17142</v>
      </c>
      <c r="BT967" s="2" t="str">
        <f aca="false">HYPERLINK("https%3A%2F%2Fwww.webofscience.com%2Fwos%2Fwoscc%2Ffull-record%2FWOS:000416548700011","View Full Record in Web of Science")</f>
        <v>View Full Record in Web of Science</v>
      </c>
    </row>
    <row r="968" customFormat="false" ht="12.75" hidden="false" customHeight="false" outlineLevel="0" collapsed="false">
      <c r="A968" s="2" t="s">
        <v>72</v>
      </c>
      <c r="B968" s="2" t="s">
        <v>17143</v>
      </c>
      <c r="C968" s="2"/>
      <c r="D968" s="2"/>
      <c r="E968" s="2"/>
      <c r="F968" s="2" t="s">
        <v>17144</v>
      </c>
      <c r="G968" s="2"/>
      <c r="H968" s="2"/>
      <c r="I968" s="2" t="s">
        <v>17145</v>
      </c>
      <c r="J968" s="2" t="s">
        <v>742</v>
      </c>
      <c r="K968" s="2"/>
      <c r="L968" s="2"/>
      <c r="M968" s="2" t="s">
        <v>77</v>
      </c>
      <c r="N968" s="2" t="s">
        <v>78</v>
      </c>
      <c r="O968" s="2"/>
      <c r="P968" s="2"/>
      <c r="Q968" s="2"/>
      <c r="R968" s="2"/>
      <c r="S968" s="2"/>
      <c r="T968" s="2" t="s">
        <v>17146</v>
      </c>
      <c r="U968" s="2" t="s">
        <v>17147</v>
      </c>
      <c r="V968" s="2" t="s">
        <v>17148</v>
      </c>
      <c r="W968" s="2" t="s">
        <v>17149</v>
      </c>
      <c r="X968" s="2" t="s">
        <v>17150</v>
      </c>
      <c r="Y968" s="2" t="s">
        <v>17151</v>
      </c>
      <c r="Z968" s="2" t="s">
        <v>17152</v>
      </c>
      <c r="AA968" s="2" t="s">
        <v>17153</v>
      </c>
      <c r="AB968" s="2" t="s">
        <v>17154</v>
      </c>
      <c r="AC968" s="2" t="s">
        <v>17155</v>
      </c>
      <c r="AD968" s="2" t="s">
        <v>17156</v>
      </c>
      <c r="AE968" s="2" t="s">
        <v>17157</v>
      </c>
      <c r="AF968" s="2"/>
      <c r="AG968" s="2" t="n">
        <v>29</v>
      </c>
      <c r="AH968" s="2" t="n">
        <v>4</v>
      </c>
      <c r="AI968" s="2" t="n">
        <v>4</v>
      </c>
      <c r="AJ968" s="2" t="n">
        <v>1</v>
      </c>
      <c r="AK968" s="2" t="n">
        <v>3</v>
      </c>
      <c r="AL968" s="2" t="s">
        <v>755</v>
      </c>
      <c r="AM968" s="2" t="s">
        <v>273</v>
      </c>
      <c r="AN968" s="2" t="s">
        <v>756</v>
      </c>
      <c r="AO968" s="2" t="s">
        <v>757</v>
      </c>
      <c r="AP968" s="2" t="s">
        <v>758</v>
      </c>
      <c r="AQ968" s="2"/>
      <c r="AR968" s="2" t="s">
        <v>759</v>
      </c>
      <c r="AS968" s="2" t="s">
        <v>760</v>
      </c>
      <c r="AT968" s="2" t="s">
        <v>161</v>
      </c>
      <c r="AU968" s="2" t="n">
        <v>2022</v>
      </c>
      <c r="AV968" s="2" t="n">
        <v>96</v>
      </c>
      <c r="AW968" s="2" t="n">
        <v>2</v>
      </c>
      <c r="AX968" s="2"/>
      <c r="AY968" s="2"/>
      <c r="AZ968" s="2"/>
      <c r="BA968" s="2"/>
      <c r="BB968" s="2"/>
      <c r="BC968" s="2"/>
      <c r="BD968" s="2" t="s">
        <v>17158</v>
      </c>
      <c r="BE968" s="2" t="s">
        <v>17159</v>
      </c>
      <c r="BF968" s="2" t="str">
        <f aca="false">HYPERLINK("http://dx.doi.org/10.1128/JVI.00909-21","http://dx.doi.org/10.1128/JVI.00909-21")</f>
        <v>http://dx.doi.org/10.1128/JVI.00909-21</v>
      </c>
      <c r="BG968" s="2"/>
      <c r="BH968" s="2"/>
      <c r="BI968" s="2" t="n">
        <v>19</v>
      </c>
      <c r="BJ968" s="2" t="s">
        <v>163</v>
      </c>
      <c r="BK968" s="2" t="s">
        <v>100</v>
      </c>
      <c r="BL968" s="2" t="s">
        <v>163</v>
      </c>
      <c r="BM968" s="2" t="s">
        <v>17160</v>
      </c>
      <c r="BN968" s="2" t="n">
        <v>34730389</v>
      </c>
      <c r="BO968" s="2" t="s">
        <v>165</v>
      </c>
      <c r="BP968" s="2"/>
      <c r="BQ968" s="2"/>
      <c r="BR968" s="2" t="s">
        <v>104</v>
      </c>
      <c r="BS968" s="2" t="s">
        <v>17161</v>
      </c>
      <c r="BT968" s="2" t="str">
        <f aca="false">HYPERLINK("https%3A%2F%2Fwww.webofscience.com%2Fwos%2Fwoscc%2Ffull-record%2FWOS:000767612200005","View Full Record in Web of Science")</f>
        <v>View Full Record in Web of Science</v>
      </c>
    </row>
    <row r="969" customFormat="false" ht="12.75" hidden="false" customHeight="false" outlineLevel="0" collapsed="false">
      <c r="A969" s="2" t="s">
        <v>72</v>
      </c>
      <c r="B969" s="2" t="s">
        <v>17162</v>
      </c>
      <c r="C969" s="2"/>
      <c r="D969" s="2"/>
      <c r="E969" s="2"/>
      <c r="F969" s="2" t="s">
        <v>17163</v>
      </c>
      <c r="G969" s="2"/>
      <c r="H969" s="2"/>
      <c r="I969" s="2" t="s">
        <v>17164</v>
      </c>
      <c r="J969" s="2" t="s">
        <v>12362</v>
      </c>
      <c r="K969" s="2"/>
      <c r="L969" s="2"/>
      <c r="M969" s="2" t="s">
        <v>77</v>
      </c>
      <c r="N969" s="2" t="s">
        <v>78</v>
      </c>
      <c r="O969" s="2"/>
      <c r="P969" s="2"/>
      <c r="Q969" s="2"/>
      <c r="R969" s="2"/>
      <c r="S969" s="2"/>
      <c r="T969" s="2" t="s">
        <v>17165</v>
      </c>
      <c r="U969" s="2" t="s">
        <v>17166</v>
      </c>
      <c r="V969" s="2" t="s">
        <v>17167</v>
      </c>
      <c r="W969" s="2" t="s">
        <v>17168</v>
      </c>
      <c r="X969" s="2" t="s">
        <v>17169</v>
      </c>
      <c r="Y969" s="2" t="s">
        <v>17170</v>
      </c>
      <c r="Z969" s="2" t="s">
        <v>17171</v>
      </c>
      <c r="AA969" s="2" t="s">
        <v>17172</v>
      </c>
      <c r="AB969" s="2" t="s">
        <v>17173</v>
      </c>
      <c r="AC969" s="2" t="s">
        <v>17174</v>
      </c>
      <c r="AD969" s="2" t="s">
        <v>17174</v>
      </c>
      <c r="AE969" s="2" t="s">
        <v>17175</v>
      </c>
      <c r="AF969" s="2"/>
      <c r="AG969" s="2" t="n">
        <v>29</v>
      </c>
      <c r="AH969" s="2" t="n">
        <v>0</v>
      </c>
      <c r="AI969" s="2" t="n">
        <v>0</v>
      </c>
      <c r="AJ969" s="2" t="n">
        <v>1</v>
      </c>
      <c r="AK969" s="2" t="n">
        <v>1</v>
      </c>
      <c r="AL969" s="2" t="s">
        <v>154</v>
      </c>
      <c r="AM969" s="2" t="s">
        <v>155</v>
      </c>
      <c r="AN969" s="2" t="s">
        <v>156</v>
      </c>
      <c r="AO969" s="2" t="s">
        <v>12374</v>
      </c>
      <c r="AP969" s="2" t="s">
        <v>12375</v>
      </c>
      <c r="AQ969" s="2"/>
      <c r="AR969" s="2" t="s">
        <v>12376</v>
      </c>
      <c r="AS969" s="2" t="s">
        <v>12377</v>
      </c>
      <c r="AT969" s="2" t="s">
        <v>97</v>
      </c>
      <c r="AU969" s="2" t="n">
        <v>2024</v>
      </c>
      <c r="AV969" s="2" t="n">
        <v>18</v>
      </c>
      <c r="AW969" s="2" t="n">
        <v>3</v>
      </c>
      <c r="AX969" s="2"/>
      <c r="AY969" s="2"/>
      <c r="AZ969" s="2"/>
      <c r="BA969" s="2"/>
      <c r="BB969" s="2"/>
      <c r="BC969" s="2"/>
      <c r="BD969" s="2" t="s">
        <v>17176</v>
      </c>
      <c r="BE969" s="2" t="s">
        <v>17177</v>
      </c>
      <c r="BF969" s="2" t="str">
        <f aca="false">HYPERLINK("http://dx.doi.org/10.1111/crj.13747","http://dx.doi.org/10.1111/crj.13747")</f>
        <v>http://dx.doi.org/10.1111/crj.13747</v>
      </c>
      <c r="BG969" s="2"/>
      <c r="BH969" s="2"/>
      <c r="BI969" s="2" t="n">
        <v>8</v>
      </c>
      <c r="BJ969" s="2" t="s">
        <v>338</v>
      </c>
      <c r="BK969" s="2" t="s">
        <v>100</v>
      </c>
      <c r="BL969" s="2" t="s">
        <v>338</v>
      </c>
      <c r="BM969" s="2" t="s">
        <v>17178</v>
      </c>
      <c r="BN969" s="2" t="n">
        <v>38529669</v>
      </c>
      <c r="BO969" s="2" t="s">
        <v>190</v>
      </c>
      <c r="BP969" s="2"/>
      <c r="BQ969" s="2"/>
      <c r="BR969" s="2" t="s">
        <v>104</v>
      </c>
      <c r="BS969" s="2" t="s">
        <v>17179</v>
      </c>
      <c r="BT969" s="2" t="str">
        <f aca="false">HYPERLINK("https%3A%2F%2Fwww.webofscience.com%2Fwos%2Fwoscc%2Ffull-record%2FWOS:001190933000001","View Full Record in Web of Science")</f>
        <v>View Full Record in Web of Science</v>
      </c>
    </row>
    <row r="970" customFormat="false" ht="12.75" hidden="false" customHeight="false" outlineLevel="0" collapsed="false">
      <c r="A970" s="2" t="s">
        <v>72</v>
      </c>
      <c r="B970" s="2" t="s">
        <v>17180</v>
      </c>
      <c r="C970" s="2"/>
      <c r="D970" s="2"/>
      <c r="E970" s="2"/>
      <c r="F970" s="2" t="s">
        <v>17181</v>
      </c>
      <c r="G970" s="2"/>
      <c r="H970" s="2"/>
      <c r="I970" s="2" t="s">
        <v>17182</v>
      </c>
      <c r="J970" s="2" t="s">
        <v>1413</v>
      </c>
      <c r="K970" s="2"/>
      <c r="L970" s="2"/>
      <c r="M970" s="2" t="s">
        <v>77</v>
      </c>
      <c r="N970" s="2" t="s">
        <v>78</v>
      </c>
      <c r="O970" s="2"/>
      <c r="P970" s="2"/>
      <c r="Q970" s="2"/>
      <c r="R970" s="2"/>
      <c r="S970" s="2"/>
      <c r="T970" s="2" t="s">
        <v>17183</v>
      </c>
      <c r="U970" s="2" t="s">
        <v>17184</v>
      </c>
      <c r="V970" s="2" t="s">
        <v>17185</v>
      </c>
      <c r="W970" s="2" t="s">
        <v>17186</v>
      </c>
      <c r="X970" s="2" t="s">
        <v>17187</v>
      </c>
      <c r="Y970" s="2" t="s">
        <v>14650</v>
      </c>
      <c r="Z970" s="2" t="s">
        <v>14651</v>
      </c>
      <c r="AA970" s="2" t="s">
        <v>17188</v>
      </c>
      <c r="AB970" s="2"/>
      <c r="AC970" s="2" t="s">
        <v>17189</v>
      </c>
      <c r="AD970" s="2" t="s">
        <v>17190</v>
      </c>
      <c r="AE970" s="2" t="s">
        <v>17191</v>
      </c>
      <c r="AF970" s="2"/>
      <c r="AG970" s="2" t="n">
        <v>54</v>
      </c>
      <c r="AH970" s="2" t="n">
        <v>11</v>
      </c>
      <c r="AI970" s="2" t="n">
        <v>14</v>
      </c>
      <c r="AJ970" s="2" t="n">
        <v>0</v>
      </c>
      <c r="AK970" s="2" t="n">
        <v>3</v>
      </c>
      <c r="AL970" s="2" t="s">
        <v>383</v>
      </c>
      <c r="AM970" s="2" t="s">
        <v>384</v>
      </c>
      <c r="AN970" s="2" t="s">
        <v>385</v>
      </c>
      <c r="AO970" s="2" t="s">
        <v>1421</v>
      </c>
      <c r="AP970" s="2" t="s">
        <v>1422</v>
      </c>
      <c r="AQ970" s="2"/>
      <c r="AR970" s="2" t="s">
        <v>1423</v>
      </c>
      <c r="AS970" s="2" t="s">
        <v>1424</v>
      </c>
      <c r="AT970" s="2" t="s">
        <v>129</v>
      </c>
      <c r="AU970" s="2" t="n">
        <v>2013</v>
      </c>
      <c r="AV970" s="2" t="n">
        <v>176</v>
      </c>
      <c r="AW970" s="2" t="s">
        <v>1407</v>
      </c>
      <c r="AX970" s="2"/>
      <c r="AY970" s="2"/>
      <c r="AZ970" s="2"/>
      <c r="BA970" s="2"/>
      <c r="BB970" s="2" t="n">
        <v>241</v>
      </c>
      <c r="BC970" s="2" t="n">
        <v>250</v>
      </c>
      <c r="BD970" s="2"/>
      <c r="BE970" s="2" t="s">
        <v>17192</v>
      </c>
      <c r="BF970" s="2" t="str">
        <f aca="false">HYPERLINK("http://dx.doi.org/10.1016/j.virusres.2013.06.014","http://dx.doi.org/10.1016/j.virusres.2013.06.014")</f>
        <v>http://dx.doi.org/10.1016/j.virusres.2013.06.014</v>
      </c>
      <c r="BG970" s="2"/>
      <c r="BH970" s="2"/>
      <c r="BI970" s="2" t="n">
        <v>10</v>
      </c>
      <c r="BJ970" s="2" t="s">
        <v>163</v>
      </c>
      <c r="BK970" s="2" t="s">
        <v>100</v>
      </c>
      <c r="BL970" s="2" t="s">
        <v>163</v>
      </c>
      <c r="BM970" s="2" t="s">
        <v>17193</v>
      </c>
      <c r="BN970" s="2" t="n">
        <v>23845303</v>
      </c>
      <c r="BO970" s="2" t="s">
        <v>695</v>
      </c>
      <c r="BP970" s="2"/>
      <c r="BQ970" s="2"/>
      <c r="BR970" s="2" t="s">
        <v>104</v>
      </c>
      <c r="BS970" s="2" t="s">
        <v>17194</v>
      </c>
      <c r="BT970" s="2" t="str">
        <f aca="false">HYPERLINK("https%3A%2F%2Fwww.webofscience.com%2Fwos%2Fwoscc%2Ffull-record%2FWOS:000323858500028","View Full Record in Web of Science")</f>
        <v>View Full Record in Web of Science</v>
      </c>
    </row>
    <row r="971" customFormat="false" ht="12.75" hidden="false" customHeight="false" outlineLevel="0" collapsed="false">
      <c r="A971" s="2" t="s">
        <v>72</v>
      </c>
      <c r="B971" s="2" t="s">
        <v>17195</v>
      </c>
      <c r="C971" s="2"/>
      <c r="D971" s="2"/>
      <c r="E971" s="2"/>
      <c r="F971" s="2" t="s">
        <v>17196</v>
      </c>
      <c r="G971" s="2"/>
      <c r="H971" s="2"/>
      <c r="I971" s="2" t="s">
        <v>17197</v>
      </c>
      <c r="J971" s="2" t="s">
        <v>2001</v>
      </c>
      <c r="K971" s="2"/>
      <c r="L971" s="2"/>
      <c r="M971" s="2" t="s">
        <v>77</v>
      </c>
      <c r="N971" s="2" t="s">
        <v>78</v>
      </c>
      <c r="O971" s="2"/>
      <c r="P971" s="2"/>
      <c r="Q971" s="2"/>
      <c r="R971" s="2"/>
      <c r="S971" s="2"/>
      <c r="T971" s="2" t="s">
        <v>17198</v>
      </c>
      <c r="U971" s="2" t="s">
        <v>17199</v>
      </c>
      <c r="V971" s="2" t="s">
        <v>17200</v>
      </c>
      <c r="W971" s="2" t="s">
        <v>17201</v>
      </c>
      <c r="X971" s="2" t="s">
        <v>17202</v>
      </c>
      <c r="Y971" s="2" t="s">
        <v>17203</v>
      </c>
      <c r="Z971" s="2" t="s">
        <v>17204</v>
      </c>
      <c r="AA971" s="2" t="s">
        <v>14859</v>
      </c>
      <c r="AB971" s="2" t="s">
        <v>14860</v>
      </c>
      <c r="AC971" s="2" t="s">
        <v>17205</v>
      </c>
      <c r="AD971" s="2" t="s">
        <v>17206</v>
      </c>
      <c r="AE971" s="2" t="s">
        <v>17207</v>
      </c>
      <c r="AF971" s="2"/>
      <c r="AG971" s="2" t="n">
        <v>40</v>
      </c>
      <c r="AH971" s="2" t="n">
        <v>3</v>
      </c>
      <c r="AI971" s="2" t="n">
        <v>4</v>
      </c>
      <c r="AJ971" s="2" t="n">
        <v>0</v>
      </c>
      <c r="AK971" s="2" t="n">
        <v>3</v>
      </c>
      <c r="AL971" s="2" t="s">
        <v>91</v>
      </c>
      <c r="AM971" s="2" t="s">
        <v>92</v>
      </c>
      <c r="AN971" s="2" t="s">
        <v>93</v>
      </c>
      <c r="AO971" s="2"/>
      <c r="AP971" s="2" t="s">
        <v>2013</v>
      </c>
      <c r="AQ971" s="2"/>
      <c r="AR971" s="2" t="s">
        <v>2001</v>
      </c>
      <c r="AS971" s="2" t="s">
        <v>2014</v>
      </c>
      <c r="AT971" s="2" t="s">
        <v>129</v>
      </c>
      <c r="AU971" s="2" t="n">
        <v>2020</v>
      </c>
      <c r="AV971" s="2" t="n">
        <v>9</v>
      </c>
      <c r="AW971" s="2" t="n">
        <v>9</v>
      </c>
      <c r="AX971" s="2"/>
      <c r="AY971" s="2"/>
      <c r="AZ971" s="2"/>
      <c r="BA971" s="2"/>
      <c r="BB971" s="2"/>
      <c r="BC971" s="2"/>
      <c r="BD971" s="2" t="n">
        <v>726</v>
      </c>
      <c r="BE971" s="2" t="s">
        <v>17208</v>
      </c>
      <c r="BF971" s="2" t="str">
        <f aca="false">HYPERLINK("http://dx.doi.org/10.3390/pathogens9090726","http://dx.doi.org/10.3390/pathogens9090726")</f>
        <v>http://dx.doi.org/10.3390/pathogens9090726</v>
      </c>
      <c r="BG971" s="2"/>
      <c r="BH971" s="2"/>
      <c r="BI971" s="2" t="n">
        <v>12</v>
      </c>
      <c r="BJ971" s="2" t="s">
        <v>211</v>
      </c>
      <c r="BK971" s="2" t="s">
        <v>100</v>
      </c>
      <c r="BL971" s="2" t="s">
        <v>211</v>
      </c>
      <c r="BM971" s="2" t="s">
        <v>17209</v>
      </c>
      <c r="BN971" s="2" t="n">
        <v>32899224</v>
      </c>
      <c r="BO971" s="2" t="s">
        <v>103</v>
      </c>
      <c r="BP971" s="2"/>
      <c r="BQ971" s="2"/>
      <c r="BR971" s="2" t="s">
        <v>104</v>
      </c>
      <c r="BS971" s="2" t="s">
        <v>17210</v>
      </c>
      <c r="BT971" s="2" t="str">
        <f aca="false">HYPERLINK("https%3A%2F%2Fwww.webofscience.com%2Fwos%2Fwoscc%2Ffull-record%2FWOS:000579925600001","View Full Record in Web of Science")</f>
        <v>View Full Record in Web of Science</v>
      </c>
    </row>
    <row r="972" customFormat="false" ht="12.75" hidden="false" customHeight="false" outlineLevel="0" collapsed="false">
      <c r="A972" s="2" t="s">
        <v>72</v>
      </c>
      <c r="B972" s="2" t="s">
        <v>17211</v>
      </c>
      <c r="C972" s="2"/>
      <c r="D972" s="2"/>
      <c r="E972" s="2"/>
      <c r="F972" s="2" t="s">
        <v>17212</v>
      </c>
      <c r="G972" s="2"/>
      <c r="H972" s="2"/>
      <c r="I972" s="2" t="s">
        <v>17213</v>
      </c>
      <c r="J972" s="2" t="s">
        <v>141</v>
      </c>
      <c r="K972" s="2"/>
      <c r="L972" s="2"/>
      <c r="M972" s="2" t="s">
        <v>77</v>
      </c>
      <c r="N972" s="2" t="s">
        <v>78</v>
      </c>
      <c r="O972" s="2"/>
      <c r="P972" s="2"/>
      <c r="Q972" s="2"/>
      <c r="R972" s="2"/>
      <c r="S972" s="2"/>
      <c r="T972" s="2" t="s">
        <v>17214</v>
      </c>
      <c r="U972" s="2" t="s">
        <v>17215</v>
      </c>
      <c r="V972" s="2" t="s">
        <v>17216</v>
      </c>
      <c r="W972" s="2" t="s">
        <v>17217</v>
      </c>
      <c r="X972" s="2" t="s">
        <v>17218</v>
      </c>
      <c r="Y972" s="2" t="s">
        <v>17219</v>
      </c>
      <c r="Z972" s="2"/>
      <c r="AA972" s="2" t="s">
        <v>17220</v>
      </c>
      <c r="AB972" s="2" t="s">
        <v>17221</v>
      </c>
      <c r="AC972" s="2" t="s">
        <v>17222</v>
      </c>
      <c r="AD972" s="2" t="s">
        <v>17223</v>
      </c>
      <c r="AE972" s="2" t="s">
        <v>17224</v>
      </c>
      <c r="AF972" s="2"/>
      <c r="AG972" s="2" t="n">
        <v>29</v>
      </c>
      <c r="AH972" s="2" t="n">
        <v>29</v>
      </c>
      <c r="AI972" s="2" t="n">
        <v>31</v>
      </c>
      <c r="AJ972" s="2" t="n">
        <v>0</v>
      </c>
      <c r="AK972" s="2" t="n">
        <v>0</v>
      </c>
      <c r="AL972" s="2" t="s">
        <v>154</v>
      </c>
      <c r="AM972" s="2" t="s">
        <v>155</v>
      </c>
      <c r="AN972" s="2" t="s">
        <v>156</v>
      </c>
      <c r="AO972" s="2" t="s">
        <v>157</v>
      </c>
      <c r="AP972" s="2" t="s">
        <v>158</v>
      </c>
      <c r="AQ972" s="2"/>
      <c r="AR972" s="2" t="s">
        <v>159</v>
      </c>
      <c r="AS972" s="2" t="s">
        <v>160</v>
      </c>
      <c r="AT972" s="2" t="s">
        <v>486</v>
      </c>
      <c r="AU972" s="2" t="n">
        <v>2010</v>
      </c>
      <c r="AV972" s="2" t="n">
        <v>82</v>
      </c>
      <c r="AW972" s="2" t="n">
        <v>6</v>
      </c>
      <c r="AX972" s="2"/>
      <c r="AY972" s="2"/>
      <c r="AZ972" s="2"/>
      <c r="BA972" s="2"/>
      <c r="BB972" s="2" t="n">
        <v>1012</v>
      </c>
      <c r="BC972" s="2" t="n">
        <v>1016</v>
      </c>
      <c r="BD972" s="2"/>
      <c r="BE972" s="2" t="s">
        <v>17225</v>
      </c>
      <c r="BF972" s="2" t="str">
        <f aca="false">HYPERLINK("http://dx.doi.org/10.1002/jmv.21768","http://dx.doi.org/10.1002/jmv.21768")</f>
        <v>http://dx.doi.org/10.1002/jmv.21768</v>
      </c>
      <c r="BG972" s="2"/>
      <c r="BH972" s="2"/>
      <c r="BI972" s="2" t="n">
        <v>5</v>
      </c>
      <c r="BJ972" s="2" t="s">
        <v>163</v>
      </c>
      <c r="BK972" s="2" t="s">
        <v>100</v>
      </c>
      <c r="BL972" s="2" t="s">
        <v>163</v>
      </c>
      <c r="BM972" s="2" t="s">
        <v>14749</v>
      </c>
      <c r="BN972" s="2" t="n">
        <v>20419816</v>
      </c>
      <c r="BO972" s="2" t="s">
        <v>695</v>
      </c>
      <c r="BP972" s="2"/>
      <c r="BQ972" s="2"/>
      <c r="BR972" s="2" t="s">
        <v>104</v>
      </c>
      <c r="BS972" s="2" t="s">
        <v>17226</v>
      </c>
      <c r="BT972" s="2" t="str">
        <f aca="false">HYPERLINK("https%3A%2F%2Fwww.webofscience.com%2Fwos%2Fwoscc%2Ffull-record%2FWOS:000276981700014","View Full Record in Web of Science")</f>
        <v>View Full Record in Web of Science</v>
      </c>
    </row>
    <row r="973" customFormat="false" ht="12.75" hidden="false" customHeight="false" outlineLevel="0" collapsed="false">
      <c r="A973" s="2" t="s">
        <v>72</v>
      </c>
      <c r="B973" s="2" t="s">
        <v>17227</v>
      </c>
      <c r="C973" s="2"/>
      <c r="D973" s="2"/>
      <c r="E973" s="2"/>
      <c r="F973" s="2" t="s">
        <v>17228</v>
      </c>
      <c r="G973" s="2"/>
      <c r="H973" s="2"/>
      <c r="I973" s="2" t="s">
        <v>17229</v>
      </c>
      <c r="J973" s="2" t="s">
        <v>17230</v>
      </c>
      <c r="K973" s="2"/>
      <c r="L973" s="2"/>
      <c r="M973" s="2" t="s">
        <v>77</v>
      </c>
      <c r="N973" s="2" t="s">
        <v>78</v>
      </c>
      <c r="O973" s="2"/>
      <c r="P973" s="2"/>
      <c r="Q973" s="2"/>
      <c r="R973" s="2"/>
      <c r="S973" s="2"/>
      <c r="T973" s="2" t="s">
        <v>17231</v>
      </c>
      <c r="U973" s="2" t="s">
        <v>17232</v>
      </c>
      <c r="V973" s="2" t="s">
        <v>17233</v>
      </c>
      <c r="W973" s="2" t="s">
        <v>17234</v>
      </c>
      <c r="X973" s="2" t="s">
        <v>17235</v>
      </c>
      <c r="Y973" s="2" t="s">
        <v>17236</v>
      </c>
      <c r="Z973" s="2" t="s">
        <v>17237</v>
      </c>
      <c r="AA973" s="2" t="s">
        <v>17238</v>
      </c>
      <c r="AB973" s="2" t="s">
        <v>17239</v>
      </c>
      <c r="AC973" s="2" t="s">
        <v>17240</v>
      </c>
      <c r="AD973" s="2" t="s">
        <v>17241</v>
      </c>
      <c r="AE973" s="2" t="s">
        <v>17242</v>
      </c>
      <c r="AF973" s="2"/>
      <c r="AG973" s="2" t="n">
        <v>63</v>
      </c>
      <c r="AH973" s="2" t="n">
        <v>13</v>
      </c>
      <c r="AI973" s="2" t="n">
        <v>16</v>
      </c>
      <c r="AJ973" s="2" t="n">
        <v>0</v>
      </c>
      <c r="AK973" s="2" t="n">
        <v>5</v>
      </c>
      <c r="AL973" s="2" t="s">
        <v>154</v>
      </c>
      <c r="AM973" s="2" t="s">
        <v>155</v>
      </c>
      <c r="AN973" s="2" t="s">
        <v>156</v>
      </c>
      <c r="AO973" s="2" t="s">
        <v>17243</v>
      </c>
      <c r="AP973" s="2" t="s">
        <v>17244</v>
      </c>
      <c r="AQ973" s="2"/>
      <c r="AR973" s="2" t="s">
        <v>17245</v>
      </c>
      <c r="AS973" s="2" t="s">
        <v>17246</v>
      </c>
      <c r="AT973" s="2" t="s">
        <v>692</v>
      </c>
      <c r="AU973" s="2" t="n">
        <v>2017</v>
      </c>
      <c r="AV973" s="2" t="n">
        <v>47</v>
      </c>
      <c r="AW973" s="2" t="n">
        <v>4</v>
      </c>
      <c r="AX973" s="2"/>
      <c r="AY973" s="2"/>
      <c r="AZ973" s="2"/>
      <c r="BA973" s="2"/>
      <c r="BB973" s="2" t="n">
        <v>692</v>
      </c>
      <c r="BC973" s="2" t="n">
        <v>703</v>
      </c>
      <c r="BD973" s="2"/>
      <c r="BE973" s="2" t="s">
        <v>17247</v>
      </c>
      <c r="BF973" s="2" t="str">
        <f aca="false">HYPERLINK("http://dx.doi.org/10.1002/eji.201646756","http://dx.doi.org/10.1002/eji.201646756")</f>
        <v>http://dx.doi.org/10.1002/eji.201646756</v>
      </c>
      <c r="BG973" s="2"/>
      <c r="BH973" s="2"/>
      <c r="BI973" s="2" t="n">
        <v>12</v>
      </c>
      <c r="BJ973" s="2" t="s">
        <v>628</v>
      </c>
      <c r="BK973" s="2" t="s">
        <v>100</v>
      </c>
      <c r="BL973" s="2" t="s">
        <v>628</v>
      </c>
      <c r="BM973" s="2" t="s">
        <v>17248</v>
      </c>
      <c r="BN973" s="2" t="n">
        <v>28191644</v>
      </c>
      <c r="BO973" s="2" t="s">
        <v>656</v>
      </c>
      <c r="BP973" s="2"/>
      <c r="BQ973" s="2"/>
      <c r="BR973" s="2" t="s">
        <v>104</v>
      </c>
      <c r="BS973" s="2" t="s">
        <v>17249</v>
      </c>
      <c r="BT973" s="2" t="str">
        <f aca="false">HYPERLINK("https%3A%2F%2Fwww.webofscience.com%2Fwos%2Fwoscc%2Ffull-record%2FWOS:000398808900012","View Full Record in Web of Science")</f>
        <v>View Full Record in Web of Science</v>
      </c>
    </row>
    <row r="974" customFormat="false" ht="12.75" hidden="false" customHeight="false" outlineLevel="0" collapsed="false">
      <c r="A974" s="2" t="s">
        <v>72</v>
      </c>
      <c r="B974" s="2" t="s">
        <v>17250</v>
      </c>
      <c r="C974" s="2"/>
      <c r="D974" s="2"/>
      <c r="E974" s="2"/>
      <c r="F974" s="2" t="s">
        <v>17251</v>
      </c>
      <c r="G974" s="2"/>
      <c r="H974" s="2"/>
      <c r="I974" s="2" t="s">
        <v>17252</v>
      </c>
      <c r="J974" s="2" t="s">
        <v>12384</v>
      </c>
      <c r="K974" s="2"/>
      <c r="L974" s="2"/>
      <c r="M974" s="2" t="s">
        <v>77</v>
      </c>
      <c r="N974" s="2" t="s">
        <v>78</v>
      </c>
      <c r="O974" s="2"/>
      <c r="P974" s="2"/>
      <c r="Q974" s="2"/>
      <c r="R974" s="2"/>
      <c r="S974" s="2"/>
      <c r="T974" s="2" t="s">
        <v>17253</v>
      </c>
      <c r="U974" s="2" t="s">
        <v>17254</v>
      </c>
      <c r="V974" s="2" t="s">
        <v>17255</v>
      </c>
      <c r="W974" s="2" t="s">
        <v>17256</v>
      </c>
      <c r="X974" s="2" t="s">
        <v>17257</v>
      </c>
      <c r="Y974" s="2" t="s">
        <v>17258</v>
      </c>
      <c r="Z974" s="2" t="s">
        <v>17259</v>
      </c>
      <c r="AA974" s="2"/>
      <c r="AB974" s="2"/>
      <c r="AC974" s="2" t="s">
        <v>17257</v>
      </c>
      <c r="AD974" s="2" t="s">
        <v>17257</v>
      </c>
      <c r="AE974" s="2" t="s">
        <v>17260</v>
      </c>
      <c r="AF974" s="2"/>
      <c r="AG974" s="2" t="n">
        <v>76</v>
      </c>
      <c r="AH974" s="2" t="n">
        <v>0</v>
      </c>
      <c r="AI974" s="2" t="n">
        <v>1</v>
      </c>
      <c r="AJ974" s="2" t="n">
        <v>0</v>
      </c>
      <c r="AK974" s="2" t="n">
        <v>1</v>
      </c>
      <c r="AL974" s="2" t="s">
        <v>383</v>
      </c>
      <c r="AM974" s="2" t="s">
        <v>384</v>
      </c>
      <c r="AN974" s="2" t="s">
        <v>385</v>
      </c>
      <c r="AO974" s="2" t="s">
        <v>12396</v>
      </c>
      <c r="AP974" s="2" t="s">
        <v>12397</v>
      </c>
      <c r="AQ974" s="2"/>
      <c r="AR974" s="2" t="s">
        <v>12398</v>
      </c>
      <c r="AS974" s="2" t="s">
        <v>12399</v>
      </c>
      <c r="AT974" s="2" t="s">
        <v>446</v>
      </c>
      <c r="AU974" s="2" t="n">
        <v>2021</v>
      </c>
      <c r="AV974" s="2" t="n">
        <v>96</v>
      </c>
      <c r="AW974" s="2"/>
      <c r="AX974" s="2"/>
      <c r="AY974" s="2"/>
      <c r="AZ974" s="2"/>
      <c r="BA974" s="2"/>
      <c r="BB974" s="2"/>
      <c r="BC974" s="2"/>
      <c r="BD974" s="2" t="n">
        <v>105096</v>
      </c>
      <c r="BE974" s="2" t="s">
        <v>17261</v>
      </c>
      <c r="BF974" s="2" t="str">
        <f aca="false">HYPERLINK("http://dx.doi.org/10.1016/j.meegid.2021.105096","http://dx.doi.org/10.1016/j.meegid.2021.105096")</f>
        <v>http://dx.doi.org/10.1016/j.meegid.2021.105096</v>
      </c>
      <c r="BG974" s="2"/>
      <c r="BH974" s="2" t="s">
        <v>3158</v>
      </c>
      <c r="BI974" s="2" t="n">
        <v>11</v>
      </c>
      <c r="BJ974" s="2" t="s">
        <v>575</v>
      </c>
      <c r="BK974" s="2" t="s">
        <v>100</v>
      </c>
      <c r="BL974" s="2" t="s">
        <v>575</v>
      </c>
      <c r="BM974" s="2" t="s">
        <v>17262</v>
      </c>
      <c r="BN974" s="2" t="n">
        <v>34601094</v>
      </c>
      <c r="BO974" s="2"/>
      <c r="BP974" s="2"/>
      <c r="BQ974" s="2"/>
      <c r="BR974" s="2" t="s">
        <v>104</v>
      </c>
      <c r="BS974" s="2" t="s">
        <v>17263</v>
      </c>
      <c r="BT974" s="2" t="str">
        <f aca="false">HYPERLINK("https%3A%2F%2Fwww.webofscience.com%2Fwos%2Fwoscc%2Ffull-record%2FWOS:000708680000012","View Full Record in Web of Science")</f>
        <v>View Full Record in Web of Science</v>
      </c>
    </row>
    <row r="975" customFormat="false" ht="12.75" hidden="false" customHeight="false" outlineLevel="0" collapsed="false">
      <c r="A975" s="2" t="s">
        <v>72</v>
      </c>
      <c r="B975" s="2" t="s">
        <v>17264</v>
      </c>
      <c r="C975" s="2"/>
      <c r="D975" s="2"/>
      <c r="E975" s="2"/>
      <c r="F975" s="2" t="s">
        <v>17265</v>
      </c>
      <c r="G975" s="2"/>
      <c r="H975" s="2"/>
      <c r="I975" s="2" t="s">
        <v>17266</v>
      </c>
      <c r="J975" s="2" t="s">
        <v>5575</v>
      </c>
      <c r="K975" s="2"/>
      <c r="L975" s="2"/>
      <c r="M975" s="2" t="s">
        <v>77</v>
      </c>
      <c r="N975" s="2" t="s">
        <v>78</v>
      </c>
      <c r="O975" s="2"/>
      <c r="P975" s="2"/>
      <c r="Q975" s="2"/>
      <c r="R975" s="2"/>
      <c r="S975" s="2"/>
      <c r="T975" s="2" t="s">
        <v>17267</v>
      </c>
      <c r="U975" s="2" t="s">
        <v>17268</v>
      </c>
      <c r="V975" s="2" t="s">
        <v>17269</v>
      </c>
      <c r="W975" s="2" t="s">
        <v>17270</v>
      </c>
      <c r="X975" s="2" t="s">
        <v>17271</v>
      </c>
      <c r="Y975" s="2" t="s">
        <v>14650</v>
      </c>
      <c r="Z975" s="2" t="s">
        <v>14651</v>
      </c>
      <c r="AA975" s="2" t="s">
        <v>17272</v>
      </c>
      <c r="AB975" s="2"/>
      <c r="AC975" s="2" t="s">
        <v>17273</v>
      </c>
      <c r="AD975" s="2" t="s">
        <v>17274</v>
      </c>
      <c r="AE975" s="2" t="s">
        <v>17275</v>
      </c>
      <c r="AF975" s="2"/>
      <c r="AG975" s="2" t="n">
        <v>51</v>
      </c>
      <c r="AH975" s="2" t="n">
        <v>15</v>
      </c>
      <c r="AI975" s="2" t="n">
        <v>15</v>
      </c>
      <c r="AJ975" s="2" t="n">
        <v>2</v>
      </c>
      <c r="AK975" s="2" t="n">
        <v>5</v>
      </c>
      <c r="AL975" s="2" t="s">
        <v>5588</v>
      </c>
      <c r="AM975" s="2" t="s">
        <v>5589</v>
      </c>
      <c r="AN975" s="2" t="s">
        <v>5590</v>
      </c>
      <c r="AO975" s="2" t="s">
        <v>5591</v>
      </c>
      <c r="AP975" s="2"/>
      <c r="AQ975" s="2"/>
      <c r="AR975" s="2" t="s">
        <v>5575</v>
      </c>
      <c r="AS975" s="2" t="s">
        <v>163</v>
      </c>
      <c r="AT975" s="2" t="s">
        <v>446</v>
      </c>
      <c r="AU975" s="2" t="n">
        <v>2016</v>
      </c>
      <c r="AV975" s="2" t="n">
        <v>499</v>
      </c>
      <c r="AW975" s="2"/>
      <c r="AX975" s="2"/>
      <c r="AY975" s="2"/>
      <c r="AZ975" s="2"/>
      <c r="BA975" s="2"/>
      <c r="BB975" s="2" t="n">
        <v>361</v>
      </c>
      <c r="BC975" s="2" t="n">
        <v>368</v>
      </c>
      <c r="BD975" s="2"/>
      <c r="BE975" s="2" t="s">
        <v>17276</v>
      </c>
      <c r="BF975" s="2" t="str">
        <f aca="false">HYPERLINK("http://dx.doi.org/10.1016/j.virol.2016.09.026","http://dx.doi.org/10.1016/j.virol.2016.09.026")</f>
        <v>http://dx.doi.org/10.1016/j.virol.2016.09.026</v>
      </c>
      <c r="BG975" s="2"/>
      <c r="BH975" s="2"/>
      <c r="BI975" s="2" t="n">
        <v>8</v>
      </c>
      <c r="BJ975" s="2" t="s">
        <v>163</v>
      </c>
      <c r="BK975" s="2" t="s">
        <v>100</v>
      </c>
      <c r="BL975" s="2" t="s">
        <v>163</v>
      </c>
      <c r="BM975" s="2" t="s">
        <v>17277</v>
      </c>
      <c r="BN975" s="2" t="n">
        <v>27743962</v>
      </c>
      <c r="BO975" s="2" t="s">
        <v>2643</v>
      </c>
      <c r="BP975" s="2"/>
      <c r="BQ975" s="2"/>
      <c r="BR975" s="2" t="s">
        <v>104</v>
      </c>
      <c r="BS975" s="2" t="s">
        <v>17278</v>
      </c>
      <c r="BT975" s="2" t="str">
        <f aca="false">HYPERLINK("https%3A%2F%2Fwww.webofscience.com%2Fwos%2Fwoscc%2Ffull-record%2FWOS:000388062600038","View Full Record in Web of Science")</f>
        <v>View Full Record in Web of Science</v>
      </c>
    </row>
    <row r="976" customFormat="false" ht="12.75" hidden="false" customHeight="false" outlineLevel="0" collapsed="false">
      <c r="A976" s="2" t="s">
        <v>72</v>
      </c>
      <c r="B976" s="2" t="s">
        <v>17279</v>
      </c>
      <c r="C976" s="2"/>
      <c r="D976" s="2"/>
      <c r="E976" s="2"/>
      <c r="F976" s="2" t="s">
        <v>17280</v>
      </c>
      <c r="G976" s="2"/>
      <c r="H976" s="2"/>
      <c r="I976" s="2" t="s">
        <v>17281</v>
      </c>
      <c r="J976" s="2" t="s">
        <v>170</v>
      </c>
      <c r="K976" s="2"/>
      <c r="L976" s="2"/>
      <c r="M976" s="2" t="s">
        <v>77</v>
      </c>
      <c r="N976" s="2" t="s">
        <v>78</v>
      </c>
      <c r="O976" s="2"/>
      <c r="P976" s="2"/>
      <c r="Q976" s="2"/>
      <c r="R976" s="2"/>
      <c r="S976" s="2"/>
      <c r="T976" s="2" t="s">
        <v>17282</v>
      </c>
      <c r="U976" s="2" t="s">
        <v>17283</v>
      </c>
      <c r="V976" s="2" t="s">
        <v>17284</v>
      </c>
      <c r="W976" s="2" t="s">
        <v>17285</v>
      </c>
      <c r="X976" s="2" t="s">
        <v>17286</v>
      </c>
      <c r="Y976" s="2" t="s">
        <v>17287</v>
      </c>
      <c r="Z976" s="2" t="s">
        <v>17288</v>
      </c>
      <c r="AA976" s="2" t="s">
        <v>17289</v>
      </c>
      <c r="AB976" s="2"/>
      <c r="AC976" s="2" t="s">
        <v>17290</v>
      </c>
      <c r="AD976" s="2" t="s">
        <v>17291</v>
      </c>
      <c r="AE976" s="2" t="s">
        <v>17292</v>
      </c>
      <c r="AF976" s="2"/>
      <c r="AG976" s="2" t="n">
        <v>79</v>
      </c>
      <c r="AH976" s="2" t="n">
        <v>4</v>
      </c>
      <c r="AI976" s="2" t="n">
        <v>4</v>
      </c>
      <c r="AJ976" s="2" t="n">
        <v>0</v>
      </c>
      <c r="AK976" s="2" t="n">
        <v>3</v>
      </c>
      <c r="AL976" s="2" t="s">
        <v>91</v>
      </c>
      <c r="AM976" s="2" t="s">
        <v>92</v>
      </c>
      <c r="AN976" s="2" t="s">
        <v>93</v>
      </c>
      <c r="AO976" s="2" t="s">
        <v>182</v>
      </c>
      <c r="AP976" s="2"/>
      <c r="AQ976" s="2"/>
      <c r="AR976" s="2" t="s">
        <v>183</v>
      </c>
      <c r="AS976" s="2" t="s">
        <v>184</v>
      </c>
      <c r="AT976" s="2" t="s">
        <v>446</v>
      </c>
      <c r="AU976" s="2" t="n">
        <v>2017</v>
      </c>
      <c r="AV976" s="2" t="n">
        <v>5</v>
      </c>
      <c r="AW976" s="2" t="n">
        <v>4</v>
      </c>
      <c r="AX976" s="2"/>
      <c r="AY976" s="2"/>
      <c r="AZ976" s="2"/>
      <c r="BA976" s="2"/>
      <c r="BB976" s="2"/>
      <c r="BC976" s="2"/>
      <c r="BD976" s="2" t="n">
        <v>45</v>
      </c>
      <c r="BE976" s="2" t="s">
        <v>17293</v>
      </c>
      <c r="BF976" s="2" t="str">
        <f aca="false">HYPERLINK("http://dx.doi.org/10.3390/vaccines5040045","http://dx.doi.org/10.3390/vaccines5040045")</f>
        <v>http://dx.doi.org/10.3390/vaccines5040045</v>
      </c>
      <c r="BG976" s="2"/>
      <c r="BH976" s="2"/>
      <c r="BI976" s="2" t="n">
        <v>17</v>
      </c>
      <c r="BJ976" s="2" t="s">
        <v>187</v>
      </c>
      <c r="BK976" s="2" t="s">
        <v>100</v>
      </c>
      <c r="BL976" s="2" t="s">
        <v>188</v>
      </c>
      <c r="BM976" s="2" t="s">
        <v>17294</v>
      </c>
      <c r="BN976" s="2" t="n">
        <v>29207503</v>
      </c>
      <c r="BO976" s="2" t="s">
        <v>14604</v>
      </c>
      <c r="BP976" s="2"/>
      <c r="BQ976" s="2"/>
      <c r="BR976" s="2" t="s">
        <v>104</v>
      </c>
      <c r="BS976" s="2" t="s">
        <v>17295</v>
      </c>
      <c r="BT976" s="2" t="str">
        <f aca="false">HYPERLINK("https%3A%2F%2Fwww.webofscience.com%2Fwos%2Fwoscc%2Ffull-record%2FWOS:000419226400014","View Full Record in Web of Science")</f>
        <v>View Full Record in Web of Science</v>
      </c>
    </row>
    <row r="977" customFormat="false" ht="12.75" hidden="false" customHeight="false" outlineLevel="0" collapsed="false">
      <c r="A977" s="2" t="s">
        <v>72</v>
      </c>
      <c r="B977" s="2" t="s">
        <v>17296</v>
      </c>
      <c r="C977" s="2"/>
      <c r="D977" s="2"/>
      <c r="E977" s="2"/>
      <c r="F977" s="2" t="s">
        <v>17297</v>
      </c>
      <c r="G977" s="2"/>
      <c r="H977" s="2"/>
      <c r="I977" s="2" t="s">
        <v>17298</v>
      </c>
      <c r="J977" s="2" t="s">
        <v>607</v>
      </c>
      <c r="K977" s="2"/>
      <c r="L977" s="2"/>
      <c r="M977" s="2" t="s">
        <v>77</v>
      </c>
      <c r="N977" s="2" t="s">
        <v>78</v>
      </c>
      <c r="O977" s="2"/>
      <c r="P977" s="2"/>
      <c r="Q977" s="2"/>
      <c r="R977" s="2"/>
      <c r="S977" s="2"/>
      <c r="T977" s="2" t="s">
        <v>17299</v>
      </c>
      <c r="U977" s="2" t="s">
        <v>17300</v>
      </c>
      <c r="V977" s="2" t="s">
        <v>17301</v>
      </c>
      <c r="W977" s="2" t="s">
        <v>17302</v>
      </c>
      <c r="X977" s="2" t="s">
        <v>17303</v>
      </c>
      <c r="Y977" s="2" t="s">
        <v>17304</v>
      </c>
      <c r="Z977" s="2" t="s">
        <v>17305</v>
      </c>
      <c r="AA977" s="2" t="s">
        <v>17306</v>
      </c>
      <c r="AB977" s="2" t="s">
        <v>17307</v>
      </c>
      <c r="AC977" s="2" t="s">
        <v>17308</v>
      </c>
      <c r="AD977" s="2" t="s">
        <v>17309</v>
      </c>
      <c r="AE977" s="2" t="s">
        <v>17310</v>
      </c>
      <c r="AF977" s="2"/>
      <c r="AG977" s="2" t="n">
        <v>59</v>
      </c>
      <c r="AH977" s="2" t="n">
        <v>1</v>
      </c>
      <c r="AI977" s="2" t="n">
        <v>1</v>
      </c>
      <c r="AJ977" s="2" t="n">
        <v>0</v>
      </c>
      <c r="AK977" s="2" t="n">
        <v>1</v>
      </c>
      <c r="AL977" s="2" t="s">
        <v>620</v>
      </c>
      <c r="AM977" s="2" t="s">
        <v>621</v>
      </c>
      <c r="AN977" s="2" t="s">
        <v>622</v>
      </c>
      <c r="AO977" s="2" t="s">
        <v>623</v>
      </c>
      <c r="AP977" s="2"/>
      <c r="AQ977" s="2"/>
      <c r="AR977" s="2" t="s">
        <v>624</v>
      </c>
      <c r="AS977" s="2" t="s">
        <v>625</v>
      </c>
      <c r="AT977" s="2" t="s">
        <v>17311</v>
      </c>
      <c r="AU977" s="2" t="n">
        <v>2024</v>
      </c>
      <c r="AV977" s="2" t="n">
        <v>15</v>
      </c>
      <c r="AW977" s="2"/>
      <c r="AX977" s="2"/>
      <c r="AY977" s="2"/>
      <c r="AZ977" s="2"/>
      <c r="BA977" s="2"/>
      <c r="BB977" s="2"/>
      <c r="BC977" s="2"/>
      <c r="BD977" s="2" t="n">
        <v>1330209</v>
      </c>
      <c r="BE977" s="2" t="s">
        <v>17312</v>
      </c>
      <c r="BF977" s="2" t="str">
        <f aca="false">HYPERLINK("http://dx.doi.org/10.3389/fimmu.2024.1330209","http://dx.doi.org/10.3389/fimmu.2024.1330209")</f>
        <v>http://dx.doi.org/10.3389/fimmu.2024.1330209</v>
      </c>
      <c r="BG977" s="2"/>
      <c r="BH977" s="2"/>
      <c r="BI977" s="2" t="n">
        <v>14</v>
      </c>
      <c r="BJ977" s="2" t="s">
        <v>628</v>
      </c>
      <c r="BK977" s="2" t="s">
        <v>100</v>
      </c>
      <c r="BL977" s="2" t="s">
        <v>628</v>
      </c>
      <c r="BM977" s="2" t="s">
        <v>17313</v>
      </c>
      <c r="BN977" s="2" t="n">
        <v>38404579</v>
      </c>
      <c r="BO977" s="2" t="s">
        <v>190</v>
      </c>
      <c r="BP977" s="2"/>
      <c r="BQ977" s="2"/>
      <c r="BR977" s="2" t="s">
        <v>104</v>
      </c>
      <c r="BS977" s="2" t="s">
        <v>17314</v>
      </c>
      <c r="BT977" s="2" t="str">
        <f aca="false">HYPERLINK("https%3A%2F%2Fwww.webofscience.com%2Fwos%2Fwoscc%2Ffull-record%2FWOS:001169451200001","View Full Record in Web of Science")</f>
        <v>View Full Record in Web of Science</v>
      </c>
    </row>
    <row r="978" customFormat="false" ht="12.75" hidden="false" customHeight="false" outlineLevel="0" collapsed="false">
      <c r="A978" s="2" t="s">
        <v>72</v>
      </c>
      <c r="B978" s="2" t="s">
        <v>17315</v>
      </c>
      <c r="C978" s="2"/>
      <c r="D978" s="2"/>
      <c r="E978" s="2"/>
      <c r="F978" s="2" t="s">
        <v>17316</v>
      </c>
      <c r="G978" s="2"/>
      <c r="H978" s="2"/>
      <c r="I978" s="2" t="s">
        <v>17317</v>
      </c>
      <c r="J978" s="2" t="s">
        <v>141</v>
      </c>
      <c r="K978" s="2"/>
      <c r="L978" s="2"/>
      <c r="M978" s="2" t="s">
        <v>77</v>
      </c>
      <c r="N978" s="2" t="s">
        <v>78</v>
      </c>
      <c r="O978" s="2"/>
      <c r="P978" s="2"/>
      <c r="Q978" s="2"/>
      <c r="R978" s="2"/>
      <c r="S978" s="2"/>
      <c r="T978" s="2" t="s">
        <v>17318</v>
      </c>
      <c r="U978" s="2" t="s">
        <v>17319</v>
      </c>
      <c r="V978" s="2" t="s">
        <v>17320</v>
      </c>
      <c r="W978" s="2" t="s">
        <v>17321</v>
      </c>
      <c r="X978" s="2" t="s">
        <v>17322</v>
      </c>
      <c r="Y978" s="2" t="s">
        <v>17323</v>
      </c>
      <c r="Z978" s="2" t="s">
        <v>17324</v>
      </c>
      <c r="AA978" s="2" t="s">
        <v>17325</v>
      </c>
      <c r="AB978" s="2" t="s">
        <v>17326</v>
      </c>
      <c r="AC978" s="2" t="s">
        <v>17327</v>
      </c>
      <c r="AD978" s="2" t="s">
        <v>17328</v>
      </c>
      <c r="AE978" s="2" t="s">
        <v>17329</v>
      </c>
      <c r="AF978" s="2"/>
      <c r="AG978" s="2" t="n">
        <v>61</v>
      </c>
      <c r="AH978" s="2" t="n">
        <v>3</v>
      </c>
      <c r="AI978" s="2" t="n">
        <v>3</v>
      </c>
      <c r="AJ978" s="2" t="n">
        <v>0</v>
      </c>
      <c r="AK978" s="2" t="n">
        <v>2</v>
      </c>
      <c r="AL978" s="2" t="s">
        <v>154</v>
      </c>
      <c r="AM978" s="2" t="s">
        <v>155</v>
      </c>
      <c r="AN978" s="2" t="s">
        <v>156</v>
      </c>
      <c r="AO978" s="2" t="s">
        <v>157</v>
      </c>
      <c r="AP978" s="2" t="s">
        <v>158</v>
      </c>
      <c r="AQ978" s="2"/>
      <c r="AR978" s="2" t="s">
        <v>159</v>
      </c>
      <c r="AS978" s="2" t="s">
        <v>160</v>
      </c>
      <c r="AT978" s="2" t="s">
        <v>446</v>
      </c>
      <c r="AU978" s="2" t="n">
        <v>2020</v>
      </c>
      <c r="AV978" s="2" t="n">
        <v>92</v>
      </c>
      <c r="AW978" s="2" t="n">
        <v>12</v>
      </c>
      <c r="AX978" s="2"/>
      <c r="AY978" s="2"/>
      <c r="AZ978" s="2"/>
      <c r="BA978" s="2"/>
      <c r="BB978" s="2" t="n">
        <v>2946</v>
      </c>
      <c r="BC978" s="2" t="n">
        <v>2954</v>
      </c>
      <c r="BD978" s="2"/>
      <c r="BE978" s="2" t="s">
        <v>17330</v>
      </c>
      <c r="BF978" s="2" t="str">
        <f aca="false">HYPERLINK("http://dx.doi.org/10.1002/jmv.25713","http://dx.doi.org/10.1002/jmv.25713")</f>
        <v>http://dx.doi.org/10.1002/jmv.25713</v>
      </c>
      <c r="BG978" s="2"/>
      <c r="BH978" s="2" t="s">
        <v>17331</v>
      </c>
      <c r="BI978" s="2" t="n">
        <v>9</v>
      </c>
      <c r="BJ978" s="2" t="s">
        <v>163</v>
      </c>
      <c r="BK978" s="2" t="s">
        <v>100</v>
      </c>
      <c r="BL978" s="2" t="s">
        <v>163</v>
      </c>
      <c r="BM978" s="2" t="s">
        <v>17332</v>
      </c>
      <c r="BN978" s="2" t="n">
        <v>32073159</v>
      </c>
      <c r="BO978" s="2" t="s">
        <v>695</v>
      </c>
      <c r="BP978" s="2"/>
      <c r="BQ978" s="2"/>
      <c r="BR978" s="2" t="s">
        <v>104</v>
      </c>
      <c r="BS978" s="2" t="s">
        <v>17333</v>
      </c>
      <c r="BT978" s="2" t="str">
        <f aca="false">HYPERLINK("https%3A%2F%2Fwww.webofscience.com%2Fwos%2Fwoscc%2Ffull-record%2FWOS:000517680000001","View Full Record in Web of Science")</f>
        <v>View Full Record in Web of Science</v>
      </c>
    </row>
    <row r="979" customFormat="false" ht="12.75" hidden="false" customHeight="false" outlineLevel="0" collapsed="false">
      <c r="A979" s="2" t="s">
        <v>72</v>
      </c>
      <c r="B979" s="2" t="s">
        <v>17334</v>
      </c>
      <c r="C979" s="2"/>
      <c r="D979" s="2"/>
      <c r="E979" s="2"/>
      <c r="F979" s="2" t="s">
        <v>17335</v>
      </c>
      <c r="G979" s="2"/>
      <c r="H979" s="2"/>
      <c r="I979" s="2" t="s">
        <v>17336</v>
      </c>
      <c r="J979" s="2" t="s">
        <v>7102</v>
      </c>
      <c r="K979" s="2"/>
      <c r="L979" s="2"/>
      <c r="M979" s="2" t="s">
        <v>77</v>
      </c>
      <c r="N979" s="2" t="s">
        <v>78</v>
      </c>
      <c r="O979" s="2"/>
      <c r="P979" s="2"/>
      <c r="Q979" s="2"/>
      <c r="R979" s="2"/>
      <c r="S979" s="2"/>
      <c r="T979" s="2" t="s">
        <v>17337</v>
      </c>
      <c r="U979" s="2" t="s">
        <v>17338</v>
      </c>
      <c r="V979" s="2" t="s">
        <v>17339</v>
      </c>
      <c r="W979" s="2" t="s">
        <v>17340</v>
      </c>
      <c r="X979" s="2" t="s">
        <v>17341</v>
      </c>
      <c r="Y979" s="2" t="s">
        <v>17342</v>
      </c>
      <c r="Z979" s="2" t="s">
        <v>12029</v>
      </c>
      <c r="AA979" s="2" t="s">
        <v>17343</v>
      </c>
      <c r="AB979" s="2" t="s">
        <v>17344</v>
      </c>
      <c r="AC979" s="2" t="s">
        <v>17345</v>
      </c>
      <c r="AD979" s="2" t="s">
        <v>17346</v>
      </c>
      <c r="AE979" s="2" t="s">
        <v>17347</v>
      </c>
      <c r="AF979" s="2"/>
      <c r="AG979" s="2" t="n">
        <v>49</v>
      </c>
      <c r="AH979" s="2" t="n">
        <v>15</v>
      </c>
      <c r="AI979" s="2" t="n">
        <v>16</v>
      </c>
      <c r="AJ979" s="2" t="n">
        <v>0</v>
      </c>
      <c r="AK979" s="2" t="n">
        <v>5</v>
      </c>
      <c r="AL979" s="2" t="s">
        <v>755</v>
      </c>
      <c r="AM979" s="2" t="s">
        <v>273</v>
      </c>
      <c r="AN979" s="2" t="s">
        <v>756</v>
      </c>
      <c r="AO979" s="2" t="s">
        <v>7114</v>
      </c>
      <c r="AP979" s="2"/>
      <c r="AQ979" s="2"/>
      <c r="AR979" s="2" t="s">
        <v>7102</v>
      </c>
      <c r="AS979" s="2" t="s">
        <v>7115</v>
      </c>
      <c r="AT979" s="2" t="s">
        <v>15524</v>
      </c>
      <c r="AU979" s="2" t="n">
        <v>2022</v>
      </c>
      <c r="AV979" s="2" t="n">
        <v>13</v>
      </c>
      <c r="AW979" s="2" t="n">
        <v>3</v>
      </c>
      <c r="AX979" s="2"/>
      <c r="AY979" s="2"/>
      <c r="AZ979" s="2"/>
      <c r="BA979" s="2"/>
      <c r="BB979" s="2"/>
      <c r="BC979" s="2"/>
      <c r="BD979" s="2"/>
      <c r="BE979" s="2" t="s">
        <v>17348</v>
      </c>
      <c r="BF979" s="2" t="str">
        <f aca="false">HYPERLINK("http://dx.doi.org/10.1128/mbio.01099-22","http://dx.doi.org/10.1128/mbio.01099-22")</f>
        <v>http://dx.doi.org/10.1128/mbio.01099-22</v>
      </c>
      <c r="BG979" s="2"/>
      <c r="BH979" s="2" t="s">
        <v>1352</v>
      </c>
      <c r="BI979" s="2" t="n">
        <v>18</v>
      </c>
      <c r="BJ979" s="2" t="s">
        <v>211</v>
      </c>
      <c r="BK979" s="2" t="s">
        <v>100</v>
      </c>
      <c r="BL979" s="2" t="s">
        <v>211</v>
      </c>
      <c r="BM979" s="2" t="s">
        <v>17349</v>
      </c>
      <c r="BN979" s="2" t="n">
        <v>35536005</v>
      </c>
      <c r="BO979" s="2" t="s">
        <v>165</v>
      </c>
      <c r="BP979" s="2"/>
      <c r="BQ979" s="2"/>
      <c r="BR979" s="2" t="s">
        <v>104</v>
      </c>
      <c r="BS979" s="2" t="s">
        <v>17350</v>
      </c>
      <c r="BT979" s="2" t="str">
        <f aca="false">HYPERLINK("https%3A%2F%2Fwww.webofscience.com%2Fwos%2Fwoscc%2Ffull-record%2FWOS:000797908900002","View Full Record in Web of Science")</f>
        <v>View Full Record in Web of Science</v>
      </c>
    </row>
    <row r="980" customFormat="false" ht="12.75" hidden="false" customHeight="false" outlineLevel="0" collapsed="false">
      <c r="A980" s="2" t="s">
        <v>72</v>
      </c>
      <c r="B980" s="2" t="s">
        <v>17351</v>
      </c>
      <c r="C980" s="2"/>
      <c r="D980" s="2"/>
      <c r="E980" s="2"/>
      <c r="F980" s="2" t="s">
        <v>17351</v>
      </c>
      <c r="G980" s="2"/>
      <c r="H980" s="2"/>
      <c r="I980" s="2" t="s">
        <v>17352</v>
      </c>
      <c r="J980" s="2" t="s">
        <v>2406</v>
      </c>
      <c r="K980" s="2"/>
      <c r="L980" s="2"/>
      <c r="M980" s="2" t="s">
        <v>77</v>
      </c>
      <c r="N980" s="2" t="s">
        <v>78</v>
      </c>
      <c r="O980" s="2"/>
      <c r="P980" s="2"/>
      <c r="Q980" s="2"/>
      <c r="R980" s="2"/>
      <c r="S980" s="2"/>
      <c r="T980" s="2" t="s">
        <v>17353</v>
      </c>
      <c r="U980" s="2" t="s">
        <v>17354</v>
      </c>
      <c r="V980" s="2" t="s">
        <v>17355</v>
      </c>
      <c r="W980" s="2" t="s">
        <v>17356</v>
      </c>
      <c r="X980" s="2" t="s">
        <v>17357</v>
      </c>
      <c r="Y980" s="2" t="s">
        <v>17358</v>
      </c>
      <c r="Z980" s="2" t="s">
        <v>2413</v>
      </c>
      <c r="AA980" s="2"/>
      <c r="AB980" s="2"/>
      <c r="AC980" s="2" t="s">
        <v>2415</v>
      </c>
      <c r="AD980" s="2" t="s">
        <v>2416</v>
      </c>
      <c r="AE980" s="2"/>
      <c r="AF980" s="2"/>
      <c r="AG980" s="2" t="n">
        <v>44</v>
      </c>
      <c r="AH980" s="2" t="n">
        <v>41</v>
      </c>
      <c r="AI980" s="2" t="n">
        <v>54</v>
      </c>
      <c r="AJ980" s="2" t="n">
        <v>0</v>
      </c>
      <c r="AK980" s="2" t="n">
        <v>9</v>
      </c>
      <c r="AL980" s="2" t="s">
        <v>549</v>
      </c>
      <c r="AM980" s="2" t="s">
        <v>384</v>
      </c>
      <c r="AN980" s="2" t="s">
        <v>550</v>
      </c>
      <c r="AO980" s="2" t="s">
        <v>2417</v>
      </c>
      <c r="AP980" s="2"/>
      <c r="AQ980" s="2"/>
      <c r="AR980" s="2" t="s">
        <v>2418</v>
      </c>
      <c r="AS980" s="2" t="s">
        <v>2419</v>
      </c>
      <c r="AT980" s="2" t="s">
        <v>599</v>
      </c>
      <c r="AU980" s="2" t="n">
        <v>2004</v>
      </c>
      <c r="AV980" s="2" t="n">
        <v>63</v>
      </c>
      <c r="AW980" s="2" t="n">
        <v>1</v>
      </c>
      <c r="AX980" s="2"/>
      <c r="AY980" s="2"/>
      <c r="AZ980" s="2"/>
      <c r="BA980" s="2"/>
      <c r="BB980" s="2" t="n">
        <v>51</v>
      </c>
      <c r="BC980" s="2" t="n">
        <v>59</v>
      </c>
      <c r="BD980" s="2"/>
      <c r="BE980" s="2" t="s">
        <v>17359</v>
      </c>
      <c r="BF980" s="2" t="str">
        <f aca="false">HYPERLINK("http://dx.doi.org/10.1016/j.antiviral.2004.02.006","http://dx.doi.org/10.1016/j.antiviral.2004.02.006")</f>
        <v>http://dx.doi.org/10.1016/j.antiviral.2004.02.006</v>
      </c>
      <c r="BG980" s="2"/>
      <c r="BH980" s="2"/>
      <c r="BI980" s="2" t="n">
        <v>9</v>
      </c>
      <c r="BJ980" s="2" t="s">
        <v>2421</v>
      </c>
      <c r="BK980" s="2" t="s">
        <v>100</v>
      </c>
      <c r="BL980" s="2" t="s">
        <v>2421</v>
      </c>
      <c r="BM980" s="2" t="s">
        <v>17360</v>
      </c>
      <c r="BN980" s="2" t="n">
        <v>15196820</v>
      </c>
      <c r="BO980" s="2"/>
      <c r="BP980" s="2"/>
      <c r="BQ980" s="2"/>
      <c r="BR980" s="2" t="s">
        <v>104</v>
      </c>
      <c r="BS980" s="2" t="s">
        <v>17361</v>
      </c>
      <c r="BT980" s="2" t="str">
        <f aca="false">HYPERLINK("https%3A%2F%2Fwww.webofscience.com%2Fwos%2Fwoscc%2Ffull-record%2FWOS:000222423500007","View Full Record in Web of Science")</f>
        <v>View Full Record in Web of Science</v>
      </c>
    </row>
    <row r="981" customFormat="false" ht="12.75" hidden="false" customHeight="false" outlineLevel="0" collapsed="false">
      <c r="A981" s="2" t="s">
        <v>72</v>
      </c>
      <c r="B981" s="2" t="s">
        <v>17362</v>
      </c>
      <c r="C981" s="2"/>
      <c r="D981" s="2"/>
      <c r="E981" s="2"/>
      <c r="F981" s="2" t="s">
        <v>17362</v>
      </c>
      <c r="G981" s="2"/>
      <c r="H981" s="2"/>
      <c r="I981" s="2" t="s">
        <v>17363</v>
      </c>
      <c r="J981" s="2" t="s">
        <v>7244</v>
      </c>
      <c r="K981" s="2"/>
      <c r="L981" s="2"/>
      <c r="M981" s="2" t="s">
        <v>77</v>
      </c>
      <c r="N981" s="2" t="s">
        <v>78</v>
      </c>
      <c r="O981" s="2"/>
      <c r="P981" s="2"/>
      <c r="Q981" s="2"/>
      <c r="R981" s="2"/>
      <c r="S981" s="2"/>
      <c r="T981" s="2" t="s">
        <v>17364</v>
      </c>
      <c r="U981" s="2" t="s">
        <v>17365</v>
      </c>
      <c r="V981" s="2" t="s">
        <v>17366</v>
      </c>
      <c r="W981" s="2" t="s">
        <v>17367</v>
      </c>
      <c r="X981" s="2" t="s">
        <v>17368</v>
      </c>
      <c r="Y981" s="2" t="s">
        <v>17369</v>
      </c>
      <c r="Z981" s="2" t="s">
        <v>17370</v>
      </c>
      <c r="AA981" s="2" t="s">
        <v>13647</v>
      </c>
      <c r="AB981" s="2" t="s">
        <v>17371</v>
      </c>
      <c r="AC981" s="2"/>
      <c r="AD981" s="2"/>
      <c r="AE981" s="2"/>
      <c r="AF981" s="2"/>
      <c r="AG981" s="2" t="n">
        <v>28</v>
      </c>
      <c r="AH981" s="2" t="n">
        <v>16</v>
      </c>
      <c r="AI981" s="2" t="n">
        <v>16</v>
      </c>
      <c r="AJ981" s="2" t="n">
        <v>0</v>
      </c>
      <c r="AK981" s="2" t="n">
        <v>2</v>
      </c>
      <c r="AL981" s="2" t="s">
        <v>782</v>
      </c>
      <c r="AM981" s="2" t="s">
        <v>783</v>
      </c>
      <c r="AN981" s="2" t="s">
        <v>784</v>
      </c>
      <c r="AO981" s="2" t="s">
        <v>7252</v>
      </c>
      <c r="AP981" s="2" t="s">
        <v>7253</v>
      </c>
      <c r="AQ981" s="2"/>
      <c r="AR981" s="2" t="s">
        <v>7254</v>
      </c>
      <c r="AS981" s="2" t="s">
        <v>7255</v>
      </c>
      <c r="AT981" s="2" t="s">
        <v>390</v>
      </c>
      <c r="AU981" s="2" t="n">
        <v>2005</v>
      </c>
      <c r="AV981" s="2" t="n">
        <v>11</v>
      </c>
      <c r="AW981" s="2" t="n">
        <v>5</v>
      </c>
      <c r="AX981" s="2"/>
      <c r="AY981" s="2"/>
      <c r="AZ981" s="2"/>
      <c r="BA981" s="2"/>
      <c r="BB981" s="2" t="n">
        <v>366</v>
      </c>
      <c r="BC981" s="2" t="n">
        <v>371</v>
      </c>
      <c r="BD981" s="2"/>
      <c r="BE981" s="2" t="s">
        <v>17372</v>
      </c>
      <c r="BF981" s="2" t="str">
        <f aca="false">HYPERLINK("http://dx.doi.org/10.1111/j.1469-0691.2005.01129.x","http://dx.doi.org/10.1111/j.1469-0691.2005.01129.x")</f>
        <v>http://dx.doi.org/10.1111/j.1469-0691.2005.01129.x</v>
      </c>
      <c r="BG981" s="2"/>
      <c r="BH981" s="2"/>
      <c r="BI981" s="2" t="n">
        <v>6</v>
      </c>
      <c r="BJ981" s="2" t="s">
        <v>1467</v>
      </c>
      <c r="BK981" s="2" t="s">
        <v>100</v>
      </c>
      <c r="BL981" s="2" t="s">
        <v>1467</v>
      </c>
      <c r="BM981" s="2" t="s">
        <v>17373</v>
      </c>
      <c r="BN981" s="2" t="n">
        <v>15819862</v>
      </c>
      <c r="BO981" s="2" t="s">
        <v>538</v>
      </c>
      <c r="BP981" s="2"/>
      <c r="BQ981" s="2"/>
      <c r="BR981" s="2" t="s">
        <v>104</v>
      </c>
      <c r="BS981" s="2" t="s">
        <v>17374</v>
      </c>
      <c r="BT981" s="2" t="str">
        <f aca="false">HYPERLINK("https%3A%2F%2Fwww.webofscience.com%2Fwos%2Fwoscc%2Ffull-record%2FWOS:000228700800005","View Full Record in Web of Science")</f>
        <v>View Full Record in Web of Science</v>
      </c>
    </row>
    <row r="982" customFormat="false" ht="12.75" hidden="false" customHeight="false" outlineLevel="0" collapsed="false">
      <c r="A982" s="2" t="s">
        <v>72</v>
      </c>
      <c r="B982" s="2" t="s">
        <v>17375</v>
      </c>
      <c r="C982" s="2"/>
      <c r="D982" s="2"/>
      <c r="E982" s="2"/>
      <c r="F982" s="2" t="s">
        <v>17376</v>
      </c>
      <c r="G982" s="2"/>
      <c r="H982" s="2"/>
      <c r="I982" s="2" t="s">
        <v>17377</v>
      </c>
      <c r="J982" s="2" t="s">
        <v>4724</v>
      </c>
      <c r="K982" s="2"/>
      <c r="L982" s="2"/>
      <c r="M982" s="2" t="s">
        <v>77</v>
      </c>
      <c r="N982" s="2" t="s">
        <v>78</v>
      </c>
      <c r="O982" s="2"/>
      <c r="P982" s="2"/>
      <c r="Q982" s="2"/>
      <c r="R982" s="2"/>
      <c r="S982" s="2"/>
      <c r="T982" s="2" t="s">
        <v>17378</v>
      </c>
      <c r="U982" s="2" t="s">
        <v>17379</v>
      </c>
      <c r="V982" s="2" t="s">
        <v>17380</v>
      </c>
      <c r="W982" s="2" t="s">
        <v>17381</v>
      </c>
      <c r="X982" s="2" t="s">
        <v>16821</v>
      </c>
      <c r="Y982" s="2" t="s">
        <v>17382</v>
      </c>
      <c r="Z982" s="2" t="s">
        <v>1643</v>
      </c>
      <c r="AA982" s="2" t="s">
        <v>17383</v>
      </c>
      <c r="AB982" s="2" t="s">
        <v>17384</v>
      </c>
      <c r="AC982" s="2" t="s">
        <v>17385</v>
      </c>
      <c r="AD982" s="2" t="s">
        <v>17386</v>
      </c>
      <c r="AE982" s="2" t="s">
        <v>17387</v>
      </c>
      <c r="AF982" s="2"/>
      <c r="AG982" s="2" t="n">
        <v>68</v>
      </c>
      <c r="AH982" s="2" t="n">
        <v>7</v>
      </c>
      <c r="AI982" s="2" t="n">
        <v>8</v>
      </c>
      <c r="AJ982" s="2" t="n">
        <v>0</v>
      </c>
      <c r="AK982" s="2" t="n">
        <v>2</v>
      </c>
      <c r="AL982" s="2" t="s">
        <v>620</v>
      </c>
      <c r="AM982" s="2" t="s">
        <v>621</v>
      </c>
      <c r="AN982" s="2" t="s">
        <v>622</v>
      </c>
      <c r="AO982" s="2" t="s">
        <v>4737</v>
      </c>
      <c r="AP982" s="2"/>
      <c r="AQ982" s="2"/>
      <c r="AR982" s="2" t="s">
        <v>4738</v>
      </c>
      <c r="AS982" s="2" t="s">
        <v>4739</v>
      </c>
      <c r="AT982" s="2" t="s">
        <v>17388</v>
      </c>
      <c r="AU982" s="2" t="n">
        <v>2021</v>
      </c>
      <c r="AV982" s="2" t="n">
        <v>11</v>
      </c>
      <c r="AW982" s="2"/>
      <c r="AX982" s="2"/>
      <c r="AY982" s="2"/>
      <c r="AZ982" s="2"/>
      <c r="BA982" s="2"/>
      <c r="BB982" s="2"/>
      <c r="BC982" s="2"/>
      <c r="BD982" s="2" t="n">
        <v>662714</v>
      </c>
      <c r="BE982" s="2" t="s">
        <v>17389</v>
      </c>
      <c r="BF982" s="2" t="str">
        <f aca="false">HYPERLINK("http://dx.doi.org/10.3389/fcimb.2021.662714","http://dx.doi.org/10.3389/fcimb.2021.662714")</f>
        <v>http://dx.doi.org/10.3389/fcimb.2021.662714</v>
      </c>
      <c r="BG982" s="2"/>
      <c r="BH982" s="2"/>
      <c r="BI982" s="2" t="n">
        <v>17</v>
      </c>
      <c r="BJ982" s="2" t="s">
        <v>2364</v>
      </c>
      <c r="BK982" s="2" t="s">
        <v>100</v>
      </c>
      <c r="BL982" s="2" t="s">
        <v>2364</v>
      </c>
      <c r="BM982" s="2" t="s">
        <v>17390</v>
      </c>
      <c r="BN982" s="2" t="n">
        <v>34268134</v>
      </c>
      <c r="BO982" s="2" t="s">
        <v>190</v>
      </c>
      <c r="BP982" s="2"/>
      <c r="BQ982" s="2"/>
      <c r="BR982" s="2" t="s">
        <v>104</v>
      </c>
      <c r="BS982" s="2" t="s">
        <v>17391</v>
      </c>
      <c r="BT982" s="2" t="str">
        <f aca="false">HYPERLINK("https%3A%2F%2Fwww.webofscience.com%2Fwos%2Fwoscc%2Ffull-record%2FWOS:000672957600001","View Full Record in Web of Science")</f>
        <v>View Full Record in Web of Science</v>
      </c>
    </row>
    <row r="983" customFormat="false" ht="12.75" hidden="false" customHeight="false" outlineLevel="0" collapsed="false">
      <c r="A983" s="2" t="s">
        <v>72</v>
      </c>
      <c r="B983" s="2" t="s">
        <v>17392</v>
      </c>
      <c r="C983" s="2"/>
      <c r="D983" s="2"/>
      <c r="E983" s="2"/>
      <c r="F983" s="2" t="s">
        <v>17393</v>
      </c>
      <c r="G983" s="2"/>
      <c r="H983" s="2"/>
      <c r="I983" s="2" t="s">
        <v>17394</v>
      </c>
      <c r="J983" s="2" t="s">
        <v>17395</v>
      </c>
      <c r="K983" s="2"/>
      <c r="L983" s="2"/>
      <c r="M983" s="2" t="s">
        <v>77</v>
      </c>
      <c r="N983" s="2" t="s">
        <v>78</v>
      </c>
      <c r="O983" s="2"/>
      <c r="P983" s="2"/>
      <c r="Q983" s="2"/>
      <c r="R983" s="2"/>
      <c r="S983" s="2"/>
      <c r="T983" s="2" t="s">
        <v>17396</v>
      </c>
      <c r="U983" s="2"/>
      <c r="V983" s="2" t="s">
        <v>17397</v>
      </c>
      <c r="W983" s="2" t="s">
        <v>17398</v>
      </c>
      <c r="X983" s="2" t="s">
        <v>17399</v>
      </c>
      <c r="Y983" s="2" t="s">
        <v>17400</v>
      </c>
      <c r="Z983" s="2" t="s">
        <v>17401</v>
      </c>
      <c r="AA983" s="2"/>
      <c r="AB983" s="2"/>
      <c r="AC983" s="2"/>
      <c r="AD983" s="2"/>
      <c r="AE983" s="2"/>
      <c r="AF983" s="2"/>
      <c r="AG983" s="2" t="n">
        <v>31</v>
      </c>
      <c r="AH983" s="2" t="n">
        <v>2</v>
      </c>
      <c r="AI983" s="2" t="n">
        <v>2</v>
      </c>
      <c r="AJ983" s="2" t="n">
        <v>0</v>
      </c>
      <c r="AK983" s="2" t="n">
        <v>0</v>
      </c>
      <c r="AL983" s="2" t="s">
        <v>17402</v>
      </c>
      <c r="AM983" s="2" t="s">
        <v>17403</v>
      </c>
      <c r="AN983" s="2" t="s">
        <v>17404</v>
      </c>
      <c r="AO983" s="2" t="s">
        <v>17405</v>
      </c>
      <c r="AP983" s="2"/>
      <c r="AQ983" s="2"/>
      <c r="AR983" s="2" t="s">
        <v>17406</v>
      </c>
      <c r="AS983" s="2" t="s">
        <v>17407</v>
      </c>
      <c r="AT983" s="2" t="s">
        <v>1041</v>
      </c>
      <c r="AU983" s="2" t="n">
        <v>2012</v>
      </c>
      <c r="AV983" s="2" t="n">
        <v>16</v>
      </c>
      <c r="AW983" s="2" t="n">
        <v>1</v>
      </c>
      <c r="AX983" s="2"/>
      <c r="AY983" s="2"/>
      <c r="AZ983" s="2"/>
      <c r="BA983" s="2"/>
      <c r="BB983" s="2" t="n">
        <v>22</v>
      </c>
      <c r="BC983" s="2" t="n">
        <v>25</v>
      </c>
      <c r="BD983" s="2"/>
      <c r="BE983" s="2"/>
      <c r="BF983" s="2"/>
      <c r="BG983" s="2"/>
      <c r="BH983" s="2"/>
      <c r="BI983" s="2" t="n">
        <v>4</v>
      </c>
      <c r="BJ983" s="2" t="s">
        <v>473</v>
      </c>
      <c r="BK983" s="2" t="s">
        <v>339</v>
      </c>
      <c r="BL983" s="2" t="s">
        <v>364</v>
      </c>
      <c r="BM983" s="2" t="s">
        <v>17408</v>
      </c>
      <c r="BN983" s="2"/>
      <c r="BO983" s="2"/>
      <c r="BP983" s="2"/>
      <c r="BQ983" s="2"/>
      <c r="BR983" s="2" t="s">
        <v>104</v>
      </c>
      <c r="BS983" s="2" t="s">
        <v>17409</v>
      </c>
      <c r="BT983" s="2" t="str">
        <f aca="false">HYPERLINK("https%3A%2F%2Fwww.webofscience.com%2Fwos%2Fwoscc%2Ffull-record%2FWOS:000439926800004","View Full Record in Web of Science")</f>
        <v>View Full Record in Web of Science</v>
      </c>
    </row>
    <row r="984" customFormat="false" ht="12.75" hidden="false" customHeight="false" outlineLevel="0" collapsed="false">
      <c r="A984" s="2" t="s">
        <v>72</v>
      </c>
      <c r="B984" s="2" t="s">
        <v>17410</v>
      </c>
      <c r="C984" s="2"/>
      <c r="D984" s="2"/>
      <c r="E984" s="2"/>
      <c r="F984" s="2" t="s">
        <v>17410</v>
      </c>
      <c r="G984" s="2"/>
      <c r="H984" s="2"/>
      <c r="I984" s="2" t="s">
        <v>17411</v>
      </c>
      <c r="J984" s="2" t="s">
        <v>2406</v>
      </c>
      <c r="K984" s="2"/>
      <c r="L984" s="2"/>
      <c r="M984" s="2" t="s">
        <v>77</v>
      </c>
      <c r="N984" s="2" t="s">
        <v>78</v>
      </c>
      <c r="O984" s="2"/>
      <c r="P984" s="2"/>
      <c r="Q984" s="2"/>
      <c r="R984" s="2"/>
      <c r="S984" s="2"/>
      <c r="T984" s="2" t="s">
        <v>17412</v>
      </c>
      <c r="U984" s="2" t="s">
        <v>17413</v>
      </c>
      <c r="V984" s="2" t="s">
        <v>17414</v>
      </c>
      <c r="W984" s="2" t="s">
        <v>17415</v>
      </c>
      <c r="X984" s="2" t="s">
        <v>17416</v>
      </c>
      <c r="Y984" s="2" t="s">
        <v>2412</v>
      </c>
      <c r="Z984" s="2" t="s">
        <v>2413</v>
      </c>
      <c r="AA984" s="2"/>
      <c r="AB984" s="2"/>
      <c r="AC984" s="2" t="s">
        <v>2415</v>
      </c>
      <c r="AD984" s="2" t="s">
        <v>2416</v>
      </c>
      <c r="AE984" s="2"/>
      <c r="AF984" s="2"/>
      <c r="AG984" s="2" t="n">
        <v>37</v>
      </c>
      <c r="AH984" s="2" t="n">
        <v>42</v>
      </c>
      <c r="AI984" s="2" t="n">
        <v>49</v>
      </c>
      <c r="AJ984" s="2" t="n">
        <v>0</v>
      </c>
      <c r="AK984" s="2" t="n">
        <v>3</v>
      </c>
      <c r="AL984" s="2" t="s">
        <v>549</v>
      </c>
      <c r="AM984" s="2" t="s">
        <v>384</v>
      </c>
      <c r="AN984" s="2" t="s">
        <v>550</v>
      </c>
      <c r="AO984" s="2" t="s">
        <v>2417</v>
      </c>
      <c r="AP984" s="2"/>
      <c r="AQ984" s="2"/>
      <c r="AR984" s="2" t="s">
        <v>2418</v>
      </c>
      <c r="AS984" s="2" t="s">
        <v>2419</v>
      </c>
      <c r="AT984" s="2" t="s">
        <v>692</v>
      </c>
      <c r="AU984" s="2" t="n">
        <v>2005</v>
      </c>
      <c r="AV984" s="2" t="n">
        <v>66</v>
      </c>
      <c r="AW984" s="2" t="n">
        <v>1</v>
      </c>
      <c r="AX984" s="2"/>
      <c r="AY984" s="2"/>
      <c r="AZ984" s="2"/>
      <c r="BA984" s="2"/>
      <c r="BB984" s="2" t="n">
        <v>57</v>
      </c>
      <c r="BC984" s="2" t="n">
        <v>66</v>
      </c>
      <c r="BD984" s="2"/>
      <c r="BE984" s="2" t="s">
        <v>17417</v>
      </c>
      <c r="BF984" s="2" t="str">
        <f aca="false">HYPERLINK("http://dx.doi.org/10.1016/j.antiviral.2004.12.009","http://dx.doi.org/10.1016/j.antiviral.2004.12.009")</f>
        <v>http://dx.doi.org/10.1016/j.antiviral.2004.12.009</v>
      </c>
      <c r="BG984" s="2"/>
      <c r="BH984" s="2"/>
      <c r="BI984" s="2" t="n">
        <v>10</v>
      </c>
      <c r="BJ984" s="2" t="s">
        <v>2421</v>
      </c>
      <c r="BK984" s="2" t="s">
        <v>100</v>
      </c>
      <c r="BL984" s="2" t="s">
        <v>2421</v>
      </c>
      <c r="BM984" s="2" t="s">
        <v>17418</v>
      </c>
      <c r="BN984" s="2" t="n">
        <v>15781133</v>
      </c>
      <c r="BO984" s="2"/>
      <c r="BP984" s="2"/>
      <c r="BQ984" s="2"/>
      <c r="BR984" s="2" t="s">
        <v>104</v>
      </c>
      <c r="BS984" s="2" t="s">
        <v>17419</v>
      </c>
      <c r="BT984" s="2" t="str">
        <f aca="false">HYPERLINK("https%3A%2F%2Fwww.webofscience.com%2Fwos%2Fwoscc%2Ffull-record%2FWOS:000228237800009","View Full Record in Web of Science")</f>
        <v>View Full Record in Web of Science</v>
      </c>
    </row>
    <row r="985" customFormat="false" ht="12.75" hidden="false" customHeight="false" outlineLevel="0" collapsed="false">
      <c r="A985" s="2" t="s">
        <v>72</v>
      </c>
      <c r="B985" s="2" t="s">
        <v>17420</v>
      </c>
      <c r="C985" s="2"/>
      <c r="D985" s="2"/>
      <c r="E985" s="2"/>
      <c r="F985" s="2" t="s">
        <v>17421</v>
      </c>
      <c r="G985" s="2"/>
      <c r="H985" s="2"/>
      <c r="I985" s="2" t="s">
        <v>17422</v>
      </c>
      <c r="J985" s="2" t="s">
        <v>17423</v>
      </c>
      <c r="K985" s="2"/>
      <c r="L985" s="2"/>
      <c r="M985" s="2" t="s">
        <v>77</v>
      </c>
      <c r="N985" s="2" t="s">
        <v>78</v>
      </c>
      <c r="O985" s="2"/>
      <c r="P985" s="2"/>
      <c r="Q985" s="2"/>
      <c r="R985" s="2"/>
      <c r="S985" s="2"/>
      <c r="T985" s="2" t="s">
        <v>17424</v>
      </c>
      <c r="U985" s="2" t="s">
        <v>17425</v>
      </c>
      <c r="V985" s="2" t="s">
        <v>17426</v>
      </c>
      <c r="W985" s="2" t="s">
        <v>17427</v>
      </c>
      <c r="X985" s="2" t="s">
        <v>17428</v>
      </c>
      <c r="Y985" s="2" t="s">
        <v>17429</v>
      </c>
      <c r="Z985" s="2" t="s">
        <v>17430</v>
      </c>
      <c r="AA985" s="2"/>
      <c r="AB985" s="2" t="s">
        <v>17431</v>
      </c>
      <c r="AC985" s="2" t="s">
        <v>17432</v>
      </c>
      <c r="AD985" s="2" t="s">
        <v>17432</v>
      </c>
      <c r="AE985" s="2" t="s">
        <v>17433</v>
      </c>
      <c r="AF985" s="2"/>
      <c r="AG985" s="2" t="n">
        <v>52</v>
      </c>
      <c r="AH985" s="2" t="n">
        <v>4</v>
      </c>
      <c r="AI985" s="2" t="n">
        <v>5</v>
      </c>
      <c r="AJ985" s="2" t="n">
        <v>0</v>
      </c>
      <c r="AK985" s="2" t="n">
        <v>3</v>
      </c>
      <c r="AL985" s="2" t="s">
        <v>91</v>
      </c>
      <c r="AM985" s="2" t="s">
        <v>92</v>
      </c>
      <c r="AN985" s="2" t="s">
        <v>93</v>
      </c>
      <c r="AO985" s="2"/>
      <c r="AP985" s="2" t="s">
        <v>17434</v>
      </c>
      <c r="AQ985" s="2"/>
      <c r="AR985" s="2" t="s">
        <v>17423</v>
      </c>
      <c r="AS985" s="2" t="s">
        <v>17435</v>
      </c>
      <c r="AT985" s="2" t="s">
        <v>336</v>
      </c>
      <c r="AU985" s="2" t="n">
        <v>2022</v>
      </c>
      <c r="AV985" s="2" t="n">
        <v>10</v>
      </c>
      <c r="AW985" s="2" t="n">
        <v>10</v>
      </c>
      <c r="AX985" s="2"/>
      <c r="AY985" s="2"/>
      <c r="AZ985" s="2"/>
      <c r="BA985" s="2"/>
      <c r="BB985" s="2"/>
      <c r="BC985" s="2"/>
      <c r="BD985" s="2" t="n">
        <v>2516</v>
      </c>
      <c r="BE985" s="2" t="s">
        <v>17436</v>
      </c>
      <c r="BF985" s="2" t="str">
        <f aca="false">HYPERLINK("http://dx.doi.org/10.3390/biomedicines10102516","http://dx.doi.org/10.3390/biomedicines10102516")</f>
        <v>http://dx.doi.org/10.3390/biomedicines10102516</v>
      </c>
      <c r="BG985" s="2"/>
      <c r="BH985" s="2"/>
      <c r="BI985" s="2" t="n">
        <v>11</v>
      </c>
      <c r="BJ985" s="2" t="s">
        <v>17437</v>
      </c>
      <c r="BK985" s="2" t="s">
        <v>100</v>
      </c>
      <c r="BL985" s="2" t="s">
        <v>17438</v>
      </c>
      <c r="BM985" s="2" t="s">
        <v>17439</v>
      </c>
      <c r="BN985" s="2" t="n">
        <v>36289776</v>
      </c>
      <c r="BO985" s="2" t="s">
        <v>190</v>
      </c>
      <c r="BP985" s="2"/>
      <c r="BQ985" s="2"/>
      <c r="BR985" s="2" t="s">
        <v>104</v>
      </c>
      <c r="BS985" s="2" t="s">
        <v>17440</v>
      </c>
      <c r="BT985" s="2" t="str">
        <f aca="false">HYPERLINK("https%3A%2F%2Fwww.webofscience.com%2Fwos%2Fwoscc%2Ffull-record%2FWOS:000872243600001","View Full Record in Web of Science")</f>
        <v>View Full Record in Web of Science</v>
      </c>
    </row>
    <row r="986" customFormat="false" ht="12.75" hidden="false" customHeight="false" outlineLevel="0" collapsed="false">
      <c r="A986" s="2" t="s">
        <v>72</v>
      </c>
      <c r="B986" s="2" t="s">
        <v>17441</v>
      </c>
      <c r="C986" s="2"/>
      <c r="D986" s="2"/>
      <c r="E986" s="2"/>
      <c r="F986" s="2" t="s">
        <v>17442</v>
      </c>
      <c r="G986" s="2"/>
      <c r="H986" s="2"/>
      <c r="I986" s="2" t="s">
        <v>17443</v>
      </c>
      <c r="J986" s="2" t="s">
        <v>8394</v>
      </c>
      <c r="K986" s="2"/>
      <c r="L986" s="2"/>
      <c r="M986" s="2" t="s">
        <v>77</v>
      </c>
      <c r="N986" s="2" t="s">
        <v>78</v>
      </c>
      <c r="O986" s="2"/>
      <c r="P986" s="2"/>
      <c r="Q986" s="2"/>
      <c r="R986" s="2"/>
      <c r="S986" s="2"/>
      <c r="T986" s="2" t="s">
        <v>17444</v>
      </c>
      <c r="U986" s="2" t="s">
        <v>16626</v>
      </c>
      <c r="V986" s="2" t="s">
        <v>17445</v>
      </c>
      <c r="W986" s="2" t="s">
        <v>17446</v>
      </c>
      <c r="X986" s="2" t="s">
        <v>17447</v>
      </c>
      <c r="Y986" s="2" t="s">
        <v>17448</v>
      </c>
      <c r="Z986" s="2" t="s">
        <v>17449</v>
      </c>
      <c r="AA986" s="2" t="s">
        <v>17450</v>
      </c>
      <c r="AB986" s="2" t="s">
        <v>17451</v>
      </c>
      <c r="AC986" s="2"/>
      <c r="AD986" s="2"/>
      <c r="AE986" s="2"/>
      <c r="AF986" s="2"/>
      <c r="AG986" s="2" t="n">
        <v>14</v>
      </c>
      <c r="AH986" s="2" t="n">
        <v>0</v>
      </c>
      <c r="AI986" s="2" t="n">
        <v>0</v>
      </c>
      <c r="AJ986" s="2" t="n">
        <v>0</v>
      </c>
      <c r="AK986" s="2" t="n">
        <v>2</v>
      </c>
      <c r="AL986" s="2" t="s">
        <v>7639</v>
      </c>
      <c r="AM986" s="2" t="s">
        <v>783</v>
      </c>
      <c r="AN986" s="2" t="s">
        <v>7640</v>
      </c>
      <c r="AO986" s="2" t="s">
        <v>8402</v>
      </c>
      <c r="AP986" s="2" t="s">
        <v>8403</v>
      </c>
      <c r="AQ986" s="2"/>
      <c r="AR986" s="2" t="s">
        <v>8404</v>
      </c>
      <c r="AS986" s="2" t="s">
        <v>8405</v>
      </c>
      <c r="AT986" s="2" t="s">
        <v>17452</v>
      </c>
      <c r="AU986" s="2" t="n">
        <v>2023</v>
      </c>
      <c r="AV986" s="2" t="n">
        <v>12</v>
      </c>
      <c r="AW986" s="2" t="n">
        <v>1</v>
      </c>
      <c r="AX986" s="2"/>
      <c r="AY986" s="2"/>
      <c r="AZ986" s="2"/>
      <c r="BA986" s="2"/>
      <c r="BB986" s="2" t="n">
        <v>53</v>
      </c>
      <c r="BC986" s="2" t="n">
        <v>55</v>
      </c>
      <c r="BD986" s="2"/>
      <c r="BE986" s="2" t="s">
        <v>17453</v>
      </c>
      <c r="BF986" s="2" t="str">
        <f aca="false">HYPERLINK("http://dx.doi.org/10.1093/jpids/piac112","http://dx.doi.org/10.1093/jpids/piac112")</f>
        <v>http://dx.doi.org/10.1093/jpids/piac112</v>
      </c>
      <c r="BG986" s="2"/>
      <c r="BH986" s="2" t="s">
        <v>15025</v>
      </c>
      <c r="BI986" s="2" t="n">
        <v>3</v>
      </c>
      <c r="BJ986" s="2" t="s">
        <v>417</v>
      </c>
      <c r="BK986" s="2" t="s">
        <v>100</v>
      </c>
      <c r="BL986" s="2" t="s">
        <v>417</v>
      </c>
      <c r="BM986" s="2" t="s">
        <v>17454</v>
      </c>
      <c r="BN986" s="2" t="n">
        <v>36306473</v>
      </c>
      <c r="BO986" s="2"/>
      <c r="BP986" s="2"/>
      <c r="BQ986" s="2"/>
      <c r="BR986" s="2" t="s">
        <v>104</v>
      </c>
      <c r="BS986" s="2" t="s">
        <v>17455</v>
      </c>
      <c r="BT986" s="2" t="str">
        <f aca="false">HYPERLINK("https%3A%2F%2Fwww.webofscience.com%2Fwos%2Fwoscc%2Ffull-record%2FWOS:000891991700001","View Full Record in Web of Science")</f>
        <v>View Full Record in Web of Science</v>
      </c>
    </row>
    <row r="987" customFormat="false" ht="12.75" hidden="false" customHeight="false" outlineLevel="0" collapsed="false">
      <c r="A987" s="2" t="s">
        <v>72</v>
      </c>
      <c r="B987" s="2" t="s">
        <v>17456</v>
      </c>
      <c r="C987" s="2"/>
      <c r="D987" s="2"/>
      <c r="E987" s="2"/>
      <c r="F987" s="2" t="s">
        <v>17457</v>
      </c>
      <c r="G987" s="2"/>
      <c r="H987" s="2"/>
      <c r="I987" s="2" t="s">
        <v>17458</v>
      </c>
      <c r="J987" s="2" t="s">
        <v>10462</v>
      </c>
      <c r="K987" s="2"/>
      <c r="L987" s="2"/>
      <c r="M987" s="2" t="s">
        <v>77</v>
      </c>
      <c r="N987" s="2" t="s">
        <v>78</v>
      </c>
      <c r="O987" s="2"/>
      <c r="P987" s="2"/>
      <c r="Q987" s="2"/>
      <c r="R987" s="2"/>
      <c r="S987" s="2"/>
      <c r="T987" s="2" t="s">
        <v>17459</v>
      </c>
      <c r="U987" s="2" t="s">
        <v>17460</v>
      </c>
      <c r="V987" s="2" t="s">
        <v>17461</v>
      </c>
      <c r="W987" s="2" t="s">
        <v>17462</v>
      </c>
      <c r="X987" s="2" t="s">
        <v>17463</v>
      </c>
      <c r="Y987" s="2" t="s">
        <v>17464</v>
      </c>
      <c r="Z987" s="2" t="s">
        <v>17465</v>
      </c>
      <c r="AA987" s="2" t="s">
        <v>17466</v>
      </c>
      <c r="AB987" s="2" t="s">
        <v>17467</v>
      </c>
      <c r="AC987" s="2"/>
      <c r="AD987" s="2"/>
      <c r="AE987" s="2"/>
      <c r="AF987" s="2"/>
      <c r="AG987" s="2" t="n">
        <v>39</v>
      </c>
      <c r="AH987" s="2" t="n">
        <v>11</v>
      </c>
      <c r="AI987" s="2" t="n">
        <v>11</v>
      </c>
      <c r="AJ987" s="2" t="n">
        <v>0</v>
      </c>
      <c r="AK987" s="2" t="n">
        <v>2</v>
      </c>
      <c r="AL987" s="2" t="s">
        <v>10470</v>
      </c>
      <c r="AM987" s="2" t="s">
        <v>10471</v>
      </c>
      <c r="AN987" s="2" t="s">
        <v>10472</v>
      </c>
      <c r="AO987" s="2" t="s">
        <v>10473</v>
      </c>
      <c r="AP987" s="2"/>
      <c r="AQ987" s="2"/>
      <c r="AR987" s="2" t="s">
        <v>10474</v>
      </c>
      <c r="AS987" s="2" t="s">
        <v>10475</v>
      </c>
      <c r="AT987" s="2" t="s">
        <v>336</v>
      </c>
      <c r="AU987" s="2" t="n">
        <v>2011</v>
      </c>
      <c r="AV987" s="2" t="n">
        <v>34</v>
      </c>
      <c r="AW987" s="2" t="n">
        <v>4</v>
      </c>
      <c r="AX987" s="2"/>
      <c r="AY987" s="2"/>
      <c r="AZ987" s="2"/>
      <c r="BA987" s="2"/>
      <c r="BB987" s="2" t="n">
        <v>337</v>
      </c>
      <c r="BC987" s="2" t="n">
        <v>344</v>
      </c>
      <c r="BD987" s="2"/>
      <c r="BE987" s="2"/>
      <c r="BF987" s="2"/>
      <c r="BG987" s="2"/>
      <c r="BH987" s="2"/>
      <c r="BI987" s="2" t="n">
        <v>8</v>
      </c>
      <c r="BJ987" s="2" t="s">
        <v>211</v>
      </c>
      <c r="BK987" s="2" t="s">
        <v>100</v>
      </c>
      <c r="BL987" s="2" t="s">
        <v>211</v>
      </c>
      <c r="BM987" s="2" t="s">
        <v>17468</v>
      </c>
      <c r="BN987" s="2" t="n">
        <v>22143806</v>
      </c>
      <c r="BO987" s="2"/>
      <c r="BP987" s="2"/>
      <c r="BQ987" s="2"/>
      <c r="BR987" s="2" t="s">
        <v>104</v>
      </c>
      <c r="BS987" s="2" t="s">
        <v>17469</v>
      </c>
      <c r="BT987" s="2" t="str">
        <f aca="false">HYPERLINK("https%3A%2F%2Fwww.webofscience.com%2Fwos%2Fwoscc%2Ffull-record%2FWOS:000297603800001","View Full Record in Web of Science")</f>
        <v>View Full Record in Web of Science</v>
      </c>
    </row>
    <row r="988" customFormat="false" ht="12.75" hidden="false" customHeight="false" outlineLevel="0" collapsed="false">
      <c r="A988" s="2" t="s">
        <v>72</v>
      </c>
      <c r="B988" s="2" t="s">
        <v>17470</v>
      </c>
      <c r="C988" s="2"/>
      <c r="D988" s="2"/>
      <c r="E988" s="2"/>
      <c r="F988" s="2" t="s">
        <v>17471</v>
      </c>
      <c r="G988" s="2"/>
      <c r="H988" s="2"/>
      <c r="I988" s="2" t="s">
        <v>17472</v>
      </c>
      <c r="J988" s="2" t="s">
        <v>2522</v>
      </c>
      <c r="K988" s="2"/>
      <c r="L988" s="2"/>
      <c r="M988" s="2" t="s">
        <v>77</v>
      </c>
      <c r="N988" s="2" t="s">
        <v>78</v>
      </c>
      <c r="O988" s="2"/>
      <c r="P988" s="2"/>
      <c r="Q988" s="2"/>
      <c r="R988" s="2"/>
      <c r="S988" s="2"/>
      <c r="T988" s="2" t="s">
        <v>17473</v>
      </c>
      <c r="U988" s="2" t="s">
        <v>17474</v>
      </c>
      <c r="V988" s="2" t="s">
        <v>17475</v>
      </c>
      <c r="W988" s="2" t="s">
        <v>17476</v>
      </c>
      <c r="X988" s="2" t="s">
        <v>17477</v>
      </c>
      <c r="Y988" s="2" t="s">
        <v>17478</v>
      </c>
      <c r="Z988" s="2" t="s">
        <v>17479</v>
      </c>
      <c r="AA988" s="2" t="s">
        <v>17480</v>
      </c>
      <c r="AB988" s="2"/>
      <c r="AC988" s="2" t="s">
        <v>17481</v>
      </c>
      <c r="AD988" s="2" t="s">
        <v>17482</v>
      </c>
      <c r="AE988" s="2" t="s">
        <v>17483</v>
      </c>
      <c r="AF988" s="2"/>
      <c r="AG988" s="2" t="n">
        <v>73</v>
      </c>
      <c r="AH988" s="2" t="n">
        <v>6</v>
      </c>
      <c r="AI988" s="2" t="n">
        <v>6</v>
      </c>
      <c r="AJ988" s="2" t="n">
        <v>4</v>
      </c>
      <c r="AK988" s="2" t="n">
        <v>8</v>
      </c>
      <c r="AL988" s="2" t="s">
        <v>2533</v>
      </c>
      <c r="AM988" s="2" t="s">
        <v>123</v>
      </c>
      <c r="AN988" s="2" t="s">
        <v>2534</v>
      </c>
      <c r="AO988" s="2" t="s">
        <v>2535</v>
      </c>
      <c r="AP988" s="2" t="s">
        <v>2536</v>
      </c>
      <c r="AQ988" s="2"/>
      <c r="AR988" s="2" t="s">
        <v>2537</v>
      </c>
      <c r="AS988" s="2" t="s">
        <v>2538</v>
      </c>
      <c r="AT988" s="2" t="s">
        <v>10024</v>
      </c>
      <c r="AU988" s="2" t="n">
        <v>2023</v>
      </c>
      <c r="AV988" s="2" t="n">
        <v>19</v>
      </c>
      <c r="AW988" s="2" t="n">
        <v>3</v>
      </c>
      <c r="AX988" s="2"/>
      <c r="AY988" s="2"/>
      <c r="AZ988" s="2"/>
      <c r="BA988" s="2"/>
      <c r="BB988" s="2"/>
      <c r="BC988" s="2"/>
      <c r="BD988" s="2" t="n">
        <v>2293300</v>
      </c>
      <c r="BE988" s="2" t="s">
        <v>17484</v>
      </c>
      <c r="BF988" s="2" t="str">
        <f aca="false">HYPERLINK("http://dx.doi.org/10.1080/21645515.2023.2293300","http://dx.doi.org/10.1080/21645515.2023.2293300")</f>
        <v>http://dx.doi.org/10.1080/21645515.2023.2293300</v>
      </c>
      <c r="BG988" s="2"/>
      <c r="BH988" s="2"/>
      <c r="BI988" s="2" t="n">
        <v>16</v>
      </c>
      <c r="BJ988" s="2" t="s">
        <v>2541</v>
      </c>
      <c r="BK988" s="2" t="s">
        <v>100</v>
      </c>
      <c r="BL988" s="2" t="s">
        <v>2541</v>
      </c>
      <c r="BM988" s="2" t="s">
        <v>17485</v>
      </c>
      <c r="BN988" s="2" t="n">
        <v>38172569</v>
      </c>
      <c r="BO988" s="2" t="s">
        <v>103</v>
      </c>
      <c r="BP988" s="2"/>
      <c r="BQ988" s="2"/>
      <c r="BR988" s="2" t="s">
        <v>104</v>
      </c>
      <c r="BS988" s="2" t="s">
        <v>17486</v>
      </c>
      <c r="BT988" s="2" t="str">
        <f aca="false">HYPERLINK("https%3A%2F%2Fwww.webofscience.com%2Fwos%2Fwoscc%2Ffull-record%2FWOS:001136957900001","View Full Record in Web of Science")</f>
        <v>View Full Record in Web of Science</v>
      </c>
    </row>
    <row r="989" customFormat="false" ht="12.75" hidden="false" customHeight="false" outlineLevel="0" collapsed="false">
      <c r="A989" s="2" t="s">
        <v>72</v>
      </c>
      <c r="B989" s="2" t="s">
        <v>17487</v>
      </c>
      <c r="C989" s="2"/>
      <c r="D989" s="2"/>
      <c r="E989" s="2"/>
      <c r="F989" s="2" t="s">
        <v>17488</v>
      </c>
      <c r="G989" s="2"/>
      <c r="H989" s="2"/>
      <c r="I989" s="2" t="s">
        <v>17489</v>
      </c>
      <c r="J989" s="2" t="s">
        <v>141</v>
      </c>
      <c r="K989" s="2"/>
      <c r="L989" s="2"/>
      <c r="M989" s="2" t="s">
        <v>77</v>
      </c>
      <c r="N989" s="2" t="s">
        <v>78</v>
      </c>
      <c r="O989" s="2"/>
      <c r="P989" s="2"/>
      <c r="Q989" s="2"/>
      <c r="R989" s="2"/>
      <c r="S989" s="2"/>
      <c r="T989" s="2" t="s">
        <v>17490</v>
      </c>
      <c r="U989" s="2" t="s">
        <v>17491</v>
      </c>
      <c r="V989" s="2" t="s">
        <v>17492</v>
      </c>
      <c r="W989" s="2" t="s">
        <v>17493</v>
      </c>
      <c r="X989" s="2" t="s">
        <v>17494</v>
      </c>
      <c r="Y989" s="2" t="s">
        <v>11748</v>
      </c>
      <c r="Z989" s="2" t="s">
        <v>9937</v>
      </c>
      <c r="AA989" s="2" t="s">
        <v>14909</v>
      </c>
      <c r="AB989" s="2"/>
      <c r="AC989" s="2" t="s">
        <v>17495</v>
      </c>
      <c r="AD989" s="2" t="s">
        <v>17495</v>
      </c>
      <c r="AE989" s="2" t="s">
        <v>17496</v>
      </c>
      <c r="AF989" s="2"/>
      <c r="AG989" s="2" t="n">
        <v>23</v>
      </c>
      <c r="AH989" s="2" t="n">
        <v>25</v>
      </c>
      <c r="AI989" s="2" t="n">
        <v>28</v>
      </c>
      <c r="AJ989" s="2" t="n">
        <v>0</v>
      </c>
      <c r="AK989" s="2" t="n">
        <v>1</v>
      </c>
      <c r="AL989" s="2" t="s">
        <v>154</v>
      </c>
      <c r="AM989" s="2" t="s">
        <v>155</v>
      </c>
      <c r="AN989" s="2" t="s">
        <v>156</v>
      </c>
      <c r="AO989" s="2" t="s">
        <v>157</v>
      </c>
      <c r="AP989" s="2" t="s">
        <v>158</v>
      </c>
      <c r="AQ989" s="2"/>
      <c r="AR989" s="2" t="s">
        <v>159</v>
      </c>
      <c r="AS989" s="2" t="s">
        <v>160</v>
      </c>
      <c r="AT989" s="2" t="s">
        <v>446</v>
      </c>
      <c r="AU989" s="2" t="n">
        <v>2010</v>
      </c>
      <c r="AV989" s="2" t="n">
        <v>82</v>
      </c>
      <c r="AW989" s="2" t="n">
        <v>12</v>
      </c>
      <c r="AX989" s="2"/>
      <c r="AY989" s="2"/>
      <c r="AZ989" s="2"/>
      <c r="BA989" s="2"/>
      <c r="BB989" s="2" t="n">
        <v>2092</v>
      </c>
      <c r="BC989" s="2" t="n">
        <v>2096</v>
      </c>
      <c r="BD989" s="2"/>
      <c r="BE989" s="2" t="s">
        <v>17497</v>
      </c>
      <c r="BF989" s="2" t="str">
        <f aca="false">HYPERLINK("http://dx.doi.org/10.1002/jmv.21920","http://dx.doi.org/10.1002/jmv.21920")</f>
        <v>http://dx.doi.org/10.1002/jmv.21920</v>
      </c>
      <c r="BG989" s="2"/>
      <c r="BH989" s="2"/>
      <c r="BI989" s="2" t="n">
        <v>5</v>
      </c>
      <c r="BJ989" s="2" t="s">
        <v>163</v>
      </c>
      <c r="BK989" s="2" t="s">
        <v>100</v>
      </c>
      <c r="BL989" s="2" t="s">
        <v>163</v>
      </c>
      <c r="BM989" s="2" t="s">
        <v>17498</v>
      </c>
      <c r="BN989" s="2" t="n">
        <v>20981798</v>
      </c>
      <c r="BO989" s="2"/>
      <c r="BP989" s="2"/>
      <c r="BQ989" s="2"/>
      <c r="BR989" s="2" t="s">
        <v>104</v>
      </c>
      <c r="BS989" s="2" t="s">
        <v>17499</v>
      </c>
      <c r="BT989" s="2" t="str">
        <f aca="false">HYPERLINK("https%3A%2F%2Fwww.webofscience.com%2Fwos%2Fwoscc%2Ffull-record%2FWOS:000283628700015","View Full Record in Web of Science")</f>
        <v>View Full Record in Web of Science</v>
      </c>
    </row>
    <row r="990" customFormat="false" ht="12.75" hidden="false" customHeight="false" outlineLevel="0" collapsed="false">
      <c r="A990" s="2" t="s">
        <v>72</v>
      </c>
      <c r="B990" s="2" t="s">
        <v>17500</v>
      </c>
      <c r="C990" s="2"/>
      <c r="D990" s="2"/>
      <c r="E990" s="2"/>
      <c r="F990" s="2" t="s">
        <v>17501</v>
      </c>
      <c r="G990" s="2"/>
      <c r="H990" s="2"/>
      <c r="I990" s="2" t="s">
        <v>17502</v>
      </c>
      <c r="J990" s="2" t="s">
        <v>109</v>
      </c>
      <c r="K990" s="2"/>
      <c r="L990" s="2"/>
      <c r="M990" s="2" t="s">
        <v>77</v>
      </c>
      <c r="N990" s="2" t="s">
        <v>78</v>
      </c>
      <c r="O990" s="2"/>
      <c r="P990" s="2"/>
      <c r="Q990" s="2"/>
      <c r="R990" s="2"/>
      <c r="S990" s="2"/>
      <c r="T990" s="2" t="s">
        <v>17503</v>
      </c>
      <c r="U990" s="2"/>
      <c r="V990" s="2" t="s">
        <v>17504</v>
      </c>
      <c r="W990" s="2" t="s">
        <v>17505</v>
      </c>
      <c r="X990" s="2" t="s">
        <v>17506</v>
      </c>
      <c r="Y990" s="2" t="s">
        <v>17507</v>
      </c>
      <c r="Z990" s="2" t="s">
        <v>17508</v>
      </c>
      <c r="AA990" s="2" t="s">
        <v>17509</v>
      </c>
      <c r="AB990" s="2" t="s">
        <v>17510</v>
      </c>
      <c r="AC990" s="2"/>
      <c r="AD990" s="2"/>
      <c r="AE990" s="2"/>
      <c r="AF990" s="2"/>
      <c r="AG990" s="2" t="n">
        <v>17</v>
      </c>
      <c r="AH990" s="2" t="n">
        <v>0</v>
      </c>
      <c r="AI990" s="2" t="n">
        <v>0</v>
      </c>
      <c r="AJ990" s="2" t="n">
        <v>0</v>
      </c>
      <c r="AK990" s="2" t="n">
        <v>1</v>
      </c>
      <c r="AL990" s="2" t="s">
        <v>122</v>
      </c>
      <c r="AM990" s="2" t="s">
        <v>123</v>
      </c>
      <c r="AN990" s="2" t="s">
        <v>124</v>
      </c>
      <c r="AO990" s="2" t="s">
        <v>125</v>
      </c>
      <c r="AP990" s="2" t="s">
        <v>126</v>
      </c>
      <c r="AQ990" s="2"/>
      <c r="AR990" s="2" t="s">
        <v>127</v>
      </c>
      <c r="AS990" s="2" t="s">
        <v>128</v>
      </c>
      <c r="AT990" s="2" t="s">
        <v>692</v>
      </c>
      <c r="AU990" s="2" t="n">
        <v>2024</v>
      </c>
      <c r="AV990" s="2" t="n">
        <v>43</v>
      </c>
      <c r="AW990" s="2" t="n">
        <v>4</v>
      </c>
      <c r="AX990" s="2"/>
      <c r="AY990" s="2"/>
      <c r="AZ990" s="2"/>
      <c r="BA990" s="2"/>
      <c r="BB990" s="2" t="s">
        <v>17511</v>
      </c>
      <c r="BC990" s="2" t="s">
        <v>17512</v>
      </c>
      <c r="BD990" s="2"/>
      <c r="BE990" s="2" t="s">
        <v>17513</v>
      </c>
      <c r="BF990" s="2" t="str">
        <f aca="false">HYPERLINK("http://dx.doi.org/10.1097/INF.0000000000004221","http://dx.doi.org/10.1097/INF.0000000000004221")</f>
        <v>http://dx.doi.org/10.1097/INF.0000000000004221</v>
      </c>
      <c r="BG990" s="2"/>
      <c r="BH990" s="2"/>
      <c r="BI990" s="2" t="n">
        <v>4</v>
      </c>
      <c r="BJ990" s="2" t="s">
        <v>134</v>
      </c>
      <c r="BK990" s="2" t="s">
        <v>100</v>
      </c>
      <c r="BL990" s="2" t="s">
        <v>134</v>
      </c>
      <c r="BM990" s="2" t="s">
        <v>17514</v>
      </c>
      <c r="BN990" s="2" t="n">
        <v>38241663</v>
      </c>
      <c r="BO990" s="2" t="s">
        <v>136</v>
      </c>
      <c r="BP990" s="2"/>
      <c r="BQ990" s="2"/>
      <c r="BR990" s="2" t="s">
        <v>104</v>
      </c>
      <c r="BS990" s="2" t="s">
        <v>17515</v>
      </c>
      <c r="BT990" s="2" t="str">
        <f aca="false">HYPERLINK("https%3A%2F%2Fwww.webofscience.com%2Fwos%2Fwoscc%2Ffull-record%2FWOS:001235391600029","View Full Record in Web of Science")</f>
        <v>View Full Record in Web of Science</v>
      </c>
    </row>
    <row r="991" customFormat="false" ht="12.75" hidden="false" customHeight="false" outlineLevel="0" collapsed="false">
      <c r="A991" s="2" t="s">
        <v>72</v>
      </c>
      <c r="B991" s="2" t="s">
        <v>17516</v>
      </c>
      <c r="C991" s="2"/>
      <c r="D991" s="2"/>
      <c r="E991" s="2"/>
      <c r="F991" s="2" t="s">
        <v>17517</v>
      </c>
      <c r="G991" s="2"/>
      <c r="H991" s="2"/>
      <c r="I991" s="2" t="s">
        <v>17518</v>
      </c>
      <c r="J991" s="2" t="s">
        <v>493</v>
      </c>
      <c r="K991" s="2"/>
      <c r="L991" s="2"/>
      <c r="M991" s="2" t="s">
        <v>77</v>
      </c>
      <c r="N991" s="2" t="s">
        <v>78</v>
      </c>
      <c r="O991" s="2"/>
      <c r="P991" s="2"/>
      <c r="Q991" s="2"/>
      <c r="R991" s="2"/>
      <c r="S991" s="2"/>
      <c r="T991" s="2" t="s">
        <v>17519</v>
      </c>
      <c r="U991" s="2" t="s">
        <v>17520</v>
      </c>
      <c r="V991" s="2" t="s">
        <v>17521</v>
      </c>
      <c r="W991" s="2" t="s">
        <v>17522</v>
      </c>
      <c r="X991" s="2" t="s">
        <v>17523</v>
      </c>
      <c r="Y991" s="2" t="s">
        <v>17524</v>
      </c>
      <c r="Z991" s="2" t="s">
        <v>17525</v>
      </c>
      <c r="AA991" s="2" t="s">
        <v>15520</v>
      </c>
      <c r="AB991" s="2" t="s">
        <v>17526</v>
      </c>
      <c r="AC991" s="2"/>
      <c r="AD991" s="2"/>
      <c r="AE991" s="2"/>
      <c r="AF991" s="2"/>
      <c r="AG991" s="2" t="n">
        <v>52</v>
      </c>
      <c r="AH991" s="2" t="n">
        <v>3</v>
      </c>
      <c r="AI991" s="2" t="n">
        <v>4</v>
      </c>
      <c r="AJ991" s="2" t="n">
        <v>0</v>
      </c>
      <c r="AK991" s="2" t="n">
        <v>2</v>
      </c>
      <c r="AL991" s="2" t="s">
        <v>91</v>
      </c>
      <c r="AM991" s="2" t="s">
        <v>92</v>
      </c>
      <c r="AN991" s="2" t="s">
        <v>93</v>
      </c>
      <c r="AO991" s="2"/>
      <c r="AP991" s="2" t="s">
        <v>506</v>
      </c>
      <c r="AQ991" s="2"/>
      <c r="AR991" s="2" t="s">
        <v>493</v>
      </c>
      <c r="AS991" s="2" t="s">
        <v>507</v>
      </c>
      <c r="AT991" s="2" t="s">
        <v>1041</v>
      </c>
      <c r="AU991" s="2" t="n">
        <v>2023</v>
      </c>
      <c r="AV991" s="2" t="n">
        <v>15</v>
      </c>
      <c r="AW991" s="2" t="n">
        <v>2</v>
      </c>
      <c r="AX991" s="2"/>
      <c r="AY991" s="2"/>
      <c r="AZ991" s="2"/>
      <c r="BA991" s="2"/>
      <c r="BB991" s="2"/>
      <c r="BC991" s="2"/>
      <c r="BD991" s="2" t="n">
        <v>476</v>
      </c>
      <c r="BE991" s="2" t="s">
        <v>17527</v>
      </c>
      <c r="BF991" s="2" t="str">
        <f aca="false">HYPERLINK("http://dx.doi.org/10.3390/v15020476","http://dx.doi.org/10.3390/v15020476")</f>
        <v>http://dx.doi.org/10.3390/v15020476</v>
      </c>
      <c r="BG991" s="2"/>
      <c r="BH991" s="2"/>
      <c r="BI991" s="2" t="n">
        <v>11</v>
      </c>
      <c r="BJ991" s="2" t="s">
        <v>163</v>
      </c>
      <c r="BK991" s="2" t="s">
        <v>100</v>
      </c>
      <c r="BL991" s="2" t="s">
        <v>163</v>
      </c>
      <c r="BM991" s="2" t="s">
        <v>17528</v>
      </c>
      <c r="BN991" s="2" t="n">
        <v>36851691</v>
      </c>
      <c r="BO991" s="2" t="s">
        <v>103</v>
      </c>
      <c r="BP991" s="2"/>
      <c r="BQ991" s="2"/>
      <c r="BR991" s="2" t="s">
        <v>104</v>
      </c>
      <c r="BS991" s="2" t="s">
        <v>17529</v>
      </c>
      <c r="BT991" s="2" t="str">
        <f aca="false">HYPERLINK("https%3A%2F%2Fwww.webofscience.com%2Fwos%2Fwoscc%2Ffull-record%2FWOS:000941986400001","View Full Record in Web of Science")</f>
        <v>View Full Record in Web of Science</v>
      </c>
    </row>
    <row r="992" customFormat="false" ht="12.75" hidden="false" customHeight="false" outlineLevel="0" collapsed="false">
      <c r="A992" s="2" t="s">
        <v>72</v>
      </c>
      <c r="B992" s="2" t="s">
        <v>17530</v>
      </c>
      <c r="C992" s="2"/>
      <c r="D992" s="2"/>
      <c r="E992" s="2"/>
      <c r="F992" s="2" t="s">
        <v>17531</v>
      </c>
      <c r="G992" s="2"/>
      <c r="H992" s="2"/>
      <c r="I992" s="2" t="s">
        <v>17532</v>
      </c>
      <c r="J992" s="2" t="s">
        <v>493</v>
      </c>
      <c r="K992" s="2"/>
      <c r="L992" s="2"/>
      <c r="M992" s="2" t="s">
        <v>77</v>
      </c>
      <c r="N992" s="2" t="s">
        <v>78</v>
      </c>
      <c r="O992" s="2"/>
      <c r="P992" s="2"/>
      <c r="Q992" s="2"/>
      <c r="R992" s="2"/>
      <c r="S992" s="2"/>
      <c r="T992" s="2" t="s">
        <v>17533</v>
      </c>
      <c r="U992" s="2" t="s">
        <v>17534</v>
      </c>
      <c r="V992" s="2" t="s">
        <v>17535</v>
      </c>
      <c r="W992" s="2" t="s">
        <v>17536</v>
      </c>
      <c r="X992" s="2" t="s">
        <v>17537</v>
      </c>
      <c r="Y992" s="2" t="s">
        <v>17538</v>
      </c>
      <c r="Z992" s="2" t="s">
        <v>17539</v>
      </c>
      <c r="AA992" s="2"/>
      <c r="AB992" s="2"/>
      <c r="AC992" s="2"/>
      <c r="AD992" s="2"/>
      <c r="AE992" s="2"/>
      <c r="AF992" s="2"/>
      <c r="AG992" s="2" t="n">
        <v>33</v>
      </c>
      <c r="AH992" s="2" t="n">
        <v>13</v>
      </c>
      <c r="AI992" s="2" t="n">
        <v>17</v>
      </c>
      <c r="AJ992" s="2" t="n">
        <v>0</v>
      </c>
      <c r="AK992" s="2" t="n">
        <v>3</v>
      </c>
      <c r="AL992" s="2" t="s">
        <v>91</v>
      </c>
      <c r="AM992" s="2" t="s">
        <v>92</v>
      </c>
      <c r="AN992" s="2" t="s">
        <v>93</v>
      </c>
      <c r="AO992" s="2" t="s">
        <v>506</v>
      </c>
      <c r="AP992" s="2"/>
      <c r="AQ992" s="2"/>
      <c r="AR992" s="2" t="s">
        <v>493</v>
      </c>
      <c r="AS992" s="2" t="s">
        <v>507</v>
      </c>
      <c r="AT992" s="2" t="s">
        <v>804</v>
      </c>
      <c r="AU992" s="2" t="n">
        <v>2012</v>
      </c>
      <c r="AV992" s="2" t="n">
        <v>4</v>
      </c>
      <c r="AW992" s="2" t="n">
        <v>11</v>
      </c>
      <c r="AX992" s="2"/>
      <c r="AY992" s="2"/>
      <c r="AZ992" s="2"/>
      <c r="BA992" s="2"/>
      <c r="BB992" s="2" t="n">
        <v>2754</v>
      </c>
      <c r="BC992" s="2" t="n">
        <v>2765</v>
      </c>
      <c r="BD992" s="2"/>
      <c r="BE992" s="2" t="s">
        <v>17540</v>
      </c>
      <c r="BF992" s="2" t="str">
        <f aca="false">HYPERLINK("http://dx.doi.org/10.3390/v4112754","http://dx.doi.org/10.3390/v4112754")</f>
        <v>http://dx.doi.org/10.3390/v4112754</v>
      </c>
      <c r="BG992" s="2"/>
      <c r="BH992" s="2"/>
      <c r="BI992" s="2" t="n">
        <v>12</v>
      </c>
      <c r="BJ992" s="2" t="s">
        <v>163</v>
      </c>
      <c r="BK992" s="2" t="s">
        <v>100</v>
      </c>
      <c r="BL992" s="2" t="s">
        <v>163</v>
      </c>
      <c r="BM992" s="2" t="s">
        <v>17541</v>
      </c>
      <c r="BN992" s="2" t="n">
        <v>23202503</v>
      </c>
      <c r="BO992" s="2" t="s">
        <v>11315</v>
      </c>
      <c r="BP992" s="2"/>
      <c r="BQ992" s="2"/>
      <c r="BR992" s="2" t="s">
        <v>104</v>
      </c>
      <c r="BS992" s="2" t="s">
        <v>17542</v>
      </c>
      <c r="BT992" s="2" t="str">
        <f aca="false">HYPERLINK("https%3A%2F%2Fwww.webofscience.com%2Fwos%2Fwoscc%2Ffull-record%2FWOS:000311429900016","View Full Record in Web of Science")</f>
        <v>View Full Record in Web of Science</v>
      </c>
    </row>
    <row r="993" customFormat="false" ht="12.75" hidden="false" customHeight="false" outlineLevel="0" collapsed="false">
      <c r="A993" s="2" t="s">
        <v>72</v>
      </c>
      <c r="B993" s="2" t="s">
        <v>17543</v>
      </c>
      <c r="C993" s="2"/>
      <c r="D993" s="2"/>
      <c r="E993" s="2"/>
      <c r="F993" s="2" t="s">
        <v>17544</v>
      </c>
      <c r="G993" s="2"/>
      <c r="H993" s="2"/>
      <c r="I993" s="2" t="s">
        <v>17545</v>
      </c>
      <c r="J993" s="2" t="s">
        <v>10141</v>
      </c>
      <c r="K993" s="2"/>
      <c r="L993" s="2"/>
      <c r="M993" s="2" t="s">
        <v>77</v>
      </c>
      <c r="N993" s="2" t="s">
        <v>78</v>
      </c>
      <c r="O993" s="2"/>
      <c r="P993" s="2"/>
      <c r="Q993" s="2"/>
      <c r="R993" s="2"/>
      <c r="S993" s="2"/>
      <c r="T993" s="2" t="s">
        <v>17546</v>
      </c>
      <c r="U993" s="2" t="s">
        <v>17547</v>
      </c>
      <c r="V993" s="2" t="s">
        <v>17548</v>
      </c>
      <c r="W993" s="2" t="s">
        <v>17549</v>
      </c>
      <c r="X993" s="2" t="s">
        <v>17550</v>
      </c>
      <c r="Y993" s="2" t="s">
        <v>17551</v>
      </c>
      <c r="Z993" s="2" t="s">
        <v>17237</v>
      </c>
      <c r="AA993" s="2" t="s">
        <v>17552</v>
      </c>
      <c r="AB993" s="2" t="s">
        <v>17553</v>
      </c>
      <c r="AC993" s="2" t="s">
        <v>17554</v>
      </c>
      <c r="AD993" s="2" t="s">
        <v>17555</v>
      </c>
      <c r="AE993" s="2" t="s">
        <v>17556</v>
      </c>
      <c r="AF993" s="2"/>
      <c r="AG993" s="2" t="n">
        <v>43</v>
      </c>
      <c r="AH993" s="2" t="n">
        <v>6</v>
      </c>
      <c r="AI993" s="2" t="n">
        <v>7</v>
      </c>
      <c r="AJ993" s="2" t="n">
        <v>0</v>
      </c>
      <c r="AK993" s="2" t="n">
        <v>0</v>
      </c>
      <c r="AL993" s="2" t="s">
        <v>10152</v>
      </c>
      <c r="AM993" s="2" t="s">
        <v>10153</v>
      </c>
      <c r="AN993" s="2" t="s">
        <v>10154</v>
      </c>
      <c r="AO993" s="2"/>
      <c r="AP993" s="2" t="s">
        <v>10155</v>
      </c>
      <c r="AQ993" s="2"/>
      <c r="AR993" s="2" t="s">
        <v>10141</v>
      </c>
      <c r="AS993" s="2" t="s">
        <v>10156</v>
      </c>
      <c r="AT993" s="2" t="s">
        <v>17557</v>
      </c>
      <c r="AU993" s="2" t="n">
        <v>2016</v>
      </c>
      <c r="AV993" s="2" t="n">
        <v>7</v>
      </c>
      <c r="AW993" s="2" t="n">
        <v>41</v>
      </c>
      <c r="AX993" s="2"/>
      <c r="AY993" s="2"/>
      <c r="AZ993" s="2"/>
      <c r="BA993" s="2"/>
      <c r="BB993" s="2" t="n">
        <v>66468</v>
      </c>
      <c r="BC993" s="2" t="n">
        <v>66479</v>
      </c>
      <c r="BD993" s="2"/>
      <c r="BE993" s="2" t="s">
        <v>17558</v>
      </c>
      <c r="BF993" s="2" t="str">
        <f aca="false">HYPERLINK("http://dx.doi.org/10.18632/oncotarget.11979","http://dx.doi.org/10.18632/oncotarget.11979")</f>
        <v>http://dx.doi.org/10.18632/oncotarget.11979</v>
      </c>
      <c r="BG993" s="2"/>
      <c r="BH993" s="2"/>
      <c r="BI993" s="2" t="n">
        <v>12</v>
      </c>
      <c r="BJ993" s="2" t="s">
        <v>10159</v>
      </c>
      <c r="BK993" s="2" t="s">
        <v>100</v>
      </c>
      <c r="BL993" s="2" t="s">
        <v>10159</v>
      </c>
      <c r="BM993" s="2" t="s">
        <v>17559</v>
      </c>
      <c r="BN993" s="2" t="n">
        <v>27634893</v>
      </c>
      <c r="BO993" s="2" t="s">
        <v>5702</v>
      </c>
      <c r="BP993" s="2"/>
      <c r="BQ993" s="2"/>
      <c r="BR993" s="2" t="s">
        <v>104</v>
      </c>
      <c r="BS993" s="2" t="s">
        <v>17560</v>
      </c>
      <c r="BT993" s="2" t="str">
        <f aca="false">HYPERLINK("https%3A%2F%2Fwww.webofscience.com%2Fwos%2Fwoscc%2Ffull-record%2FWOS:000387446200013","View Full Record in Web of Science")</f>
        <v>View Full Record in Web of Science</v>
      </c>
    </row>
    <row r="994" customFormat="false" ht="12.75" hidden="false" customHeight="false" outlineLevel="0" collapsed="false">
      <c r="A994" s="2" t="s">
        <v>72</v>
      </c>
      <c r="B994" s="2" t="s">
        <v>17561</v>
      </c>
      <c r="C994" s="2"/>
      <c r="D994" s="2"/>
      <c r="E994" s="2"/>
      <c r="F994" s="2" t="s">
        <v>17562</v>
      </c>
      <c r="G994" s="2"/>
      <c r="H994" s="2"/>
      <c r="I994" s="2" t="s">
        <v>17563</v>
      </c>
      <c r="J994" s="2" t="s">
        <v>370</v>
      </c>
      <c r="K994" s="2"/>
      <c r="L994" s="2"/>
      <c r="M994" s="2" t="s">
        <v>77</v>
      </c>
      <c r="N994" s="2" t="s">
        <v>78</v>
      </c>
      <c r="O994" s="2"/>
      <c r="P994" s="2"/>
      <c r="Q994" s="2"/>
      <c r="R994" s="2"/>
      <c r="S994" s="2"/>
      <c r="T994" s="2" t="s">
        <v>17564</v>
      </c>
      <c r="U994" s="2" t="s">
        <v>17565</v>
      </c>
      <c r="V994" s="2" t="s">
        <v>17566</v>
      </c>
      <c r="W994" s="2" t="s">
        <v>17567</v>
      </c>
      <c r="X994" s="2" t="s">
        <v>17568</v>
      </c>
      <c r="Y994" s="2" t="s">
        <v>17569</v>
      </c>
      <c r="Z994" s="2" t="s">
        <v>801</v>
      </c>
      <c r="AA994" s="2" t="s">
        <v>17570</v>
      </c>
      <c r="AB994" s="2" t="s">
        <v>17571</v>
      </c>
      <c r="AC994" s="2"/>
      <c r="AD994" s="2"/>
      <c r="AE994" s="2"/>
      <c r="AF994" s="2"/>
      <c r="AG994" s="2" t="n">
        <v>34</v>
      </c>
      <c r="AH994" s="2" t="n">
        <v>14</v>
      </c>
      <c r="AI994" s="2" t="n">
        <v>15</v>
      </c>
      <c r="AJ994" s="2" t="n">
        <v>0</v>
      </c>
      <c r="AK994" s="2" t="n">
        <v>1</v>
      </c>
      <c r="AL994" s="2" t="s">
        <v>549</v>
      </c>
      <c r="AM994" s="2" t="s">
        <v>384</v>
      </c>
      <c r="AN994" s="2" t="s">
        <v>550</v>
      </c>
      <c r="AO994" s="2" t="s">
        <v>386</v>
      </c>
      <c r="AP994" s="2"/>
      <c r="AQ994" s="2"/>
      <c r="AR994" s="2" t="s">
        <v>388</v>
      </c>
      <c r="AS994" s="2" t="s">
        <v>389</v>
      </c>
      <c r="AT994" s="2" t="s">
        <v>599</v>
      </c>
      <c r="AU994" s="2" t="n">
        <v>2008</v>
      </c>
      <c r="AV994" s="2" t="n">
        <v>42</v>
      </c>
      <c r="AW994" s="2" t="n">
        <v>3</v>
      </c>
      <c r="AX994" s="2"/>
      <c r="AY994" s="2"/>
      <c r="AZ994" s="2"/>
      <c r="BA994" s="2"/>
      <c r="BB994" s="2" t="n">
        <v>273</v>
      </c>
      <c r="BC994" s="2" t="n">
        <v>279</v>
      </c>
      <c r="BD994" s="2"/>
      <c r="BE994" s="2" t="s">
        <v>17572</v>
      </c>
      <c r="BF994" s="2" t="str">
        <f aca="false">HYPERLINK("http://dx.doi.org/10.1016/j.jcv.2008.03.011","http://dx.doi.org/10.1016/j.jcv.2008.03.011")</f>
        <v>http://dx.doi.org/10.1016/j.jcv.2008.03.011</v>
      </c>
      <c r="BG994" s="2"/>
      <c r="BH994" s="2"/>
      <c r="BI994" s="2" t="n">
        <v>7</v>
      </c>
      <c r="BJ994" s="2" t="s">
        <v>163</v>
      </c>
      <c r="BK994" s="2" t="s">
        <v>100</v>
      </c>
      <c r="BL994" s="2" t="s">
        <v>163</v>
      </c>
      <c r="BM994" s="2" t="s">
        <v>9065</v>
      </c>
      <c r="BN994" s="2" t="n">
        <v>18455957</v>
      </c>
      <c r="BO994" s="2"/>
      <c r="BP994" s="2"/>
      <c r="BQ994" s="2"/>
      <c r="BR994" s="2" t="s">
        <v>104</v>
      </c>
      <c r="BS994" s="2" t="s">
        <v>17573</v>
      </c>
      <c r="BT994" s="2" t="str">
        <f aca="false">HYPERLINK("https%3A%2F%2Fwww.webofscience.com%2Fwos%2Fwoscc%2Ffull-record%2FWOS:000257956500008","View Full Record in Web of Science")</f>
        <v>View Full Record in Web of Science</v>
      </c>
    </row>
    <row r="995" customFormat="false" ht="12.75" hidden="false" customHeight="false" outlineLevel="0" collapsed="false">
      <c r="A995" s="2" t="s">
        <v>72</v>
      </c>
      <c r="B995" s="2" t="s">
        <v>17574</v>
      </c>
      <c r="C995" s="2"/>
      <c r="D995" s="2"/>
      <c r="E995" s="2"/>
      <c r="F995" s="2" t="s">
        <v>17574</v>
      </c>
      <c r="G995" s="2"/>
      <c r="H995" s="2"/>
      <c r="I995" s="2" t="s">
        <v>17575</v>
      </c>
      <c r="J995" s="2" t="s">
        <v>370</v>
      </c>
      <c r="K995" s="2"/>
      <c r="L995" s="2"/>
      <c r="M995" s="2" t="s">
        <v>77</v>
      </c>
      <c r="N995" s="2" t="s">
        <v>78</v>
      </c>
      <c r="O995" s="2"/>
      <c r="P995" s="2"/>
      <c r="Q995" s="2"/>
      <c r="R995" s="2"/>
      <c r="S995" s="2"/>
      <c r="T995" s="2" t="s">
        <v>17576</v>
      </c>
      <c r="U995" s="2" t="s">
        <v>17577</v>
      </c>
      <c r="V995" s="2" t="s">
        <v>17578</v>
      </c>
      <c r="W995" s="2" t="s">
        <v>17579</v>
      </c>
      <c r="X995" s="2" t="s">
        <v>17580</v>
      </c>
      <c r="Y995" s="2" t="s">
        <v>17581</v>
      </c>
      <c r="Z995" s="2" t="s">
        <v>16495</v>
      </c>
      <c r="AA995" s="2" t="s">
        <v>3047</v>
      </c>
      <c r="AB995" s="2" t="s">
        <v>3048</v>
      </c>
      <c r="AC995" s="2"/>
      <c r="AD995" s="2"/>
      <c r="AE995" s="2"/>
      <c r="AF995" s="2"/>
      <c r="AG995" s="2" t="n">
        <v>19</v>
      </c>
      <c r="AH995" s="2" t="n">
        <v>31</v>
      </c>
      <c r="AI995" s="2" t="n">
        <v>37</v>
      </c>
      <c r="AJ995" s="2" t="n">
        <v>0</v>
      </c>
      <c r="AK995" s="2" t="n">
        <v>1</v>
      </c>
      <c r="AL995" s="2" t="s">
        <v>549</v>
      </c>
      <c r="AM995" s="2" t="s">
        <v>384</v>
      </c>
      <c r="AN995" s="2" t="s">
        <v>550</v>
      </c>
      <c r="AO995" s="2" t="s">
        <v>386</v>
      </c>
      <c r="AP995" s="2"/>
      <c r="AQ995" s="2"/>
      <c r="AR995" s="2" t="s">
        <v>388</v>
      </c>
      <c r="AS995" s="2" t="s">
        <v>389</v>
      </c>
      <c r="AT995" s="2" t="s">
        <v>446</v>
      </c>
      <c r="AU995" s="2" t="n">
        <v>2004</v>
      </c>
      <c r="AV995" s="2" t="n">
        <v>31</v>
      </c>
      <c r="AW995" s="2" t="n">
        <v>4</v>
      </c>
      <c r="AX995" s="2"/>
      <c r="AY995" s="2"/>
      <c r="AZ995" s="2"/>
      <c r="BA995" s="2"/>
      <c r="BB995" s="2" t="n">
        <v>283</v>
      </c>
      <c r="BC995" s="2" t="n">
        <v>288</v>
      </c>
      <c r="BD995" s="2"/>
      <c r="BE995" s="2" t="s">
        <v>17582</v>
      </c>
      <c r="BF995" s="2" t="str">
        <f aca="false">HYPERLINK("http://dx.doi.org/10.1016/j.jcv.2004.06.007","http://dx.doi.org/10.1016/j.jcv.2004.06.007")</f>
        <v>http://dx.doi.org/10.1016/j.jcv.2004.06.007</v>
      </c>
      <c r="BG995" s="2"/>
      <c r="BH995" s="2"/>
      <c r="BI995" s="2" t="n">
        <v>6</v>
      </c>
      <c r="BJ995" s="2" t="s">
        <v>163</v>
      </c>
      <c r="BK995" s="2" t="s">
        <v>100</v>
      </c>
      <c r="BL995" s="2" t="s">
        <v>163</v>
      </c>
      <c r="BM995" s="2" t="s">
        <v>17583</v>
      </c>
      <c r="BN995" s="2" t="n">
        <v>15494270</v>
      </c>
      <c r="BO995" s="2"/>
      <c r="BP995" s="2"/>
      <c r="BQ995" s="2"/>
      <c r="BR995" s="2" t="s">
        <v>104</v>
      </c>
      <c r="BS995" s="2" t="s">
        <v>17584</v>
      </c>
      <c r="BT995" s="2" t="str">
        <f aca="false">HYPERLINK("https%3A%2F%2Fwww.webofscience.com%2Fwos%2Fwoscc%2Ffull-record%2FWOS:000225200300008","View Full Record in Web of Science")</f>
        <v>View Full Record in Web of Science</v>
      </c>
    </row>
    <row r="996" customFormat="false" ht="12.75" hidden="false" customHeight="false" outlineLevel="0" collapsed="false">
      <c r="A996" s="2" t="s">
        <v>72</v>
      </c>
      <c r="B996" s="2" t="s">
        <v>17585</v>
      </c>
      <c r="C996" s="2"/>
      <c r="D996" s="2"/>
      <c r="E996" s="2"/>
      <c r="F996" s="2" t="s">
        <v>17586</v>
      </c>
      <c r="G996" s="2"/>
      <c r="H996" s="2"/>
      <c r="I996" s="2" t="s">
        <v>17587</v>
      </c>
      <c r="J996" s="2" t="s">
        <v>846</v>
      </c>
      <c r="K996" s="2"/>
      <c r="L996" s="2"/>
      <c r="M996" s="2" t="s">
        <v>77</v>
      </c>
      <c r="N996" s="2" t="s">
        <v>78</v>
      </c>
      <c r="O996" s="2"/>
      <c r="P996" s="2"/>
      <c r="Q996" s="2"/>
      <c r="R996" s="2"/>
      <c r="S996" s="2"/>
      <c r="T996" s="2" t="s">
        <v>17588</v>
      </c>
      <c r="U996" s="2" t="s">
        <v>17589</v>
      </c>
      <c r="V996" s="2" t="s">
        <v>17590</v>
      </c>
      <c r="W996" s="2" t="s">
        <v>17591</v>
      </c>
      <c r="X996" s="2" t="s">
        <v>17592</v>
      </c>
      <c r="Y996" s="2" t="s">
        <v>17593</v>
      </c>
      <c r="Z996" s="2" t="s">
        <v>17594</v>
      </c>
      <c r="AA996" s="2" t="s">
        <v>17595</v>
      </c>
      <c r="AB996" s="2" t="s">
        <v>17596</v>
      </c>
      <c r="AC996" s="2" t="s">
        <v>17597</v>
      </c>
      <c r="AD996" s="2" t="s">
        <v>17597</v>
      </c>
      <c r="AE996" s="2" t="s">
        <v>17598</v>
      </c>
      <c r="AF996" s="2"/>
      <c r="AG996" s="2" t="n">
        <v>52</v>
      </c>
      <c r="AH996" s="2" t="n">
        <v>3</v>
      </c>
      <c r="AI996" s="2" t="n">
        <v>3</v>
      </c>
      <c r="AJ996" s="2" t="n">
        <v>0</v>
      </c>
      <c r="AK996" s="2" t="n">
        <v>1</v>
      </c>
      <c r="AL996" s="2" t="s">
        <v>592</v>
      </c>
      <c r="AM996" s="2" t="s">
        <v>593</v>
      </c>
      <c r="AN996" s="2" t="s">
        <v>859</v>
      </c>
      <c r="AO996" s="2" t="s">
        <v>860</v>
      </c>
      <c r="AP996" s="2" t="s">
        <v>861</v>
      </c>
      <c r="AQ996" s="2"/>
      <c r="AR996" s="2" t="s">
        <v>862</v>
      </c>
      <c r="AS996" s="2" t="s">
        <v>863</v>
      </c>
      <c r="AT996" s="2" t="s">
        <v>486</v>
      </c>
      <c r="AU996" s="2" t="n">
        <v>2022</v>
      </c>
      <c r="AV996" s="2" t="n">
        <v>53</v>
      </c>
      <c r="AW996" s="2" t="n">
        <v>2</v>
      </c>
      <c r="AX996" s="2"/>
      <c r="AY996" s="2"/>
      <c r="AZ996" s="2"/>
      <c r="BA996" s="2"/>
      <c r="BB996" s="2" t="n">
        <v>655</v>
      </c>
      <c r="BC996" s="2" t="n">
        <v>661</v>
      </c>
      <c r="BD996" s="2"/>
      <c r="BE996" s="2" t="s">
        <v>17599</v>
      </c>
      <c r="BF996" s="2" t="str">
        <f aca="false">HYPERLINK("http://dx.doi.org/10.1007/s42770-022-00689-2","http://dx.doi.org/10.1007/s42770-022-00689-2")</f>
        <v>http://dx.doi.org/10.1007/s42770-022-00689-2</v>
      </c>
      <c r="BG996" s="2"/>
      <c r="BH996" s="2" t="s">
        <v>10762</v>
      </c>
      <c r="BI996" s="2" t="n">
        <v>7</v>
      </c>
      <c r="BJ996" s="2" t="s">
        <v>211</v>
      </c>
      <c r="BK996" s="2" t="s">
        <v>100</v>
      </c>
      <c r="BL996" s="2" t="s">
        <v>211</v>
      </c>
      <c r="BM996" s="2" t="s">
        <v>17600</v>
      </c>
      <c r="BN996" s="2" t="n">
        <v>35118597</v>
      </c>
      <c r="BO996" s="2" t="s">
        <v>165</v>
      </c>
      <c r="BP996" s="2"/>
      <c r="BQ996" s="2"/>
      <c r="BR996" s="2" t="s">
        <v>104</v>
      </c>
      <c r="BS996" s="2" t="s">
        <v>17601</v>
      </c>
      <c r="BT996" s="2" t="str">
        <f aca="false">HYPERLINK("https%3A%2F%2Fwww.webofscience.com%2Fwos%2Fwoscc%2Ffull-record%2FWOS:000750698900001","View Full Record in Web of Science")</f>
        <v>View Full Record in Web of Science</v>
      </c>
    </row>
    <row r="997" customFormat="false" ht="12.75" hidden="false" customHeight="false" outlineLevel="0" collapsed="false">
      <c r="A997" s="2" t="s">
        <v>72</v>
      </c>
      <c r="B997" s="2" t="s">
        <v>17602</v>
      </c>
      <c r="C997" s="2"/>
      <c r="D997" s="2"/>
      <c r="E997" s="2"/>
      <c r="F997" s="2" t="s">
        <v>17602</v>
      </c>
      <c r="G997" s="2"/>
      <c r="H997" s="2"/>
      <c r="I997" s="2" t="s">
        <v>17603</v>
      </c>
      <c r="J997" s="2" t="s">
        <v>3719</v>
      </c>
      <c r="K997" s="2"/>
      <c r="L997" s="2"/>
      <c r="M997" s="2" t="s">
        <v>77</v>
      </c>
      <c r="N997" s="2" t="s">
        <v>78</v>
      </c>
      <c r="O997" s="2"/>
      <c r="P997" s="2"/>
      <c r="Q997" s="2"/>
      <c r="R997" s="2"/>
      <c r="S997" s="2"/>
      <c r="T997" s="2" t="s">
        <v>17604</v>
      </c>
      <c r="U997" s="2" t="s">
        <v>17605</v>
      </c>
      <c r="V997" s="2" t="s">
        <v>17606</v>
      </c>
      <c r="W997" s="2" t="s">
        <v>17607</v>
      </c>
      <c r="X997" s="2" t="s">
        <v>6996</v>
      </c>
      <c r="Y997" s="2" t="s">
        <v>17608</v>
      </c>
      <c r="Z997" s="2" t="s">
        <v>6998</v>
      </c>
      <c r="AA997" s="2" t="s">
        <v>17609</v>
      </c>
      <c r="AB997" s="2" t="s">
        <v>17610</v>
      </c>
      <c r="AC997" s="2"/>
      <c r="AD997" s="2"/>
      <c r="AE997" s="2"/>
      <c r="AF997" s="2"/>
      <c r="AG997" s="2" t="n">
        <v>29</v>
      </c>
      <c r="AH997" s="2" t="n">
        <v>29</v>
      </c>
      <c r="AI997" s="2" t="n">
        <v>34</v>
      </c>
      <c r="AJ997" s="2" t="n">
        <v>0</v>
      </c>
      <c r="AK997" s="2" t="n">
        <v>0</v>
      </c>
      <c r="AL997" s="2" t="s">
        <v>3584</v>
      </c>
      <c r="AM997" s="2" t="s">
        <v>303</v>
      </c>
      <c r="AN997" s="2" t="s">
        <v>3585</v>
      </c>
      <c r="AO997" s="2" t="s">
        <v>3732</v>
      </c>
      <c r="AP997" s="2" t="s">
        <v>4677</v>
      </c>
      <c r="AQ997" s="2"/>
      <c r="AR997" s="2" t="s">
        <v>3733</v>
      </c>
      <c r="AS997" s="2" t="s">
        <v>3734</v>
      </c>
      <c r="AT997" s="2" t="s">
        <v>692</v>
      </c>
      <c r="AU997" s="2" t="n">
        <v>2006</v>
      </c>
      <c r="AV997" s="2" t="n">
        <v>52</v>
      </c>
      <c r="AW997" s="2" t="n">
        <v>4</v>
      </c>
      <c r="AX997" s="2"/>
      <c r="AY997" s="2"/>
      <c r="AZ997" s="2"/>
      <c r="BA997" s="2"/>
      <c r="BB997" s="2" t="n">
        <v>254</v>
      </c>
      <c r="BC997" s="2" t="n">
        <v>263</v>
      </c>
      <c r="BD997" s="2"/>
      <c r="BE997" s="2" t="s">
        <v>17611</v>
      </c>
      <c r="BF997" s="2" t="str">
        <f aca="false">HYPERLINK("http://dx.doi.org/10.1016/j.jinf.2005.07.001","http://dx.doi.org/10.1016/j.jinf.2005.07.001")</f>
        <v>http://dx.doi.org/10.1016/j.jinf.2005.07.001</v>
      </c>
      <c r="BG997" s="2"/>
      <c r="BH997" s="2"/>
      <c r="BI997" s="2" t="n">
        <v>10</v>
      </c>
      <c r="BJ997" s="2" t="s">
        <v>575</v>
      </c>
      <c r="BK997" s="2" t="s">
        <v>100</v>
      </c>
      <c r="BL997" s="2" t="s">
        <v>575</v>
      </c>
      <c r="BM997" s="2" t="s">
        <v>17612</v>
      </c>
      <c r="BN997" s="2" t="n">
        <v>16183133</v>
      </c>
      <c r="BO997" s="2"/>
      <c r="BP997" s="2"/>
      <c r="BQ997" s="2"/>
      <c r="BR997" s="2" t="s">
        <v>104</v>
      </c>
      <c r="BS997" s="2" t="s">
        <v>17613</v>
      </c>
      <c r="BT997" s="2" t="str">
        <f aca="false">HYPERLINK("https%3A%2F%2Fwww.webofscience.com%2Fwos%2Fwoscc%2Ffull-record%2FWOS:000236994400005","View Full Record in Web of Science")</f>
        <v>View Full Record in Web of Science</v>
      </c>
    </row>
    <row r="998" customFormat="false" ht="12.75" hidden="false" customHeight="false" outlineLevel="0" collapsed="false">
      <c r="A998" s="2" t="s">
        <v>72</v>
      </c>
      <c r="B998" s="2" t="s">
        <v>17614</v>
      </c>
      <c r="C998" s="2"/>
      <c r="D998" s="2"/>
      <c r="E998" s="2"/>
      <c r="F998" s="2" t="s">
        <v>17615</v>
      </c>
      <c r="G998" s="2"/>
      <c r="H998" s="2"/>
      <c r="I998" s="2" t="s">
        <v>17616</v>
      </c>
      <c r="J998" s="2" t="s">
        <v>17617</v>
      </c>
      <c r="K998" s="2"/>
      <c r="L998" s="2"/>
      <c r="M998" s="2" t="s">
        <v>77</v>
      </c>
      <c r="N998" s="2" t="s">
        <v>78</v>
      </c>
      <c r="O998" s="2"/>
      <c r="P998" s="2"/>
      <c r="Q998" s="2"/>
      <c r="R998" s="2"/>
      <c r="S998" s="2"/>
      <c r="T998" s="2" t="s">
        <v>17618</v>
      </c>
      <c r="U998" s="2" t="s">
        <v>17619</v>
      </c>
      <c r="V998" s="2" t="s">
        <v>17620</v>
      </c>
      <c r="W998" s="2" t="s">
        <v>17621</v>
      </c>
      <c r="X998" s="2" t="s">
        <v>17622</v>
      </c>
      <c r="Y998" s="2" t="s">
        <v>17623</v>
      </c>
      <c r="Z998" s="2" t="s">
        <v>17624</v>
      </c>
      <c r="AA998" s="2" t="s">
        <v>17625</v>
      </c>
      <c r="AB998" s="2" t="s">
        <v>17626</v>
      </c>
      <c r="AC998" s="2" t="s">
        <v>17627</v>
      </c>
      <c r="AD998" s="2" t="s">
        <v>17628</v>
      </c>
      <c r="AE998" s="2" t="s">
        <v>17629</v>
      </c>
      <c r="AF998" s="2"/>
      <c r="AG998" s="2" t="n">
        <v>40</v>
      </c>
      <c r="AH998" s="2" t="n">
        <v>19</v>
      </c>
      <c r="AI998" s="2" t="n">
        <v>19</v>
      </c>
      <c r="AJ998" s="2" t="n">
        <v>2</v>
      </c>
      <c r="AK998" s="2" t="n">
        <v>14</v>
      </c>
      <c r="AL998" s="2" t="s">
        <v>91</v>
      </c>
      <c r="AM998" s="2" t="s">
        <v>92</v>
      </c>
      <c r="AN998" s="2" t="s">
        <v>93</v>
      </c>
      <c r="AO998" s="2"/>
      <c r="AP998" s="2" t="s">
        <v>17630</v>
      </c>
      <c r="AQ998" s="2"/>
      <c r="AR998" s="2" t="s">
        <v>17617</v>
      </c>
      <c r="AS998" s="2" t="s">
        <v>17631</v>
      </c>
      <c r="AT998" s="2" t="s">
        <v>336</v>
      </c>
      <c r="AU998" s="2" t="n">
        <v>2011</v>
      </c>
      <c r="AV998" s="2" t="n">
        <v>16</v>
      </c>
      <c r="AW998" s="2" t="n">
        <v>10</v>
      </c>
      <c r="AX998" s="2"/>
      <c r="AY998" s="2"/>
      <c r="AZ998" s="2"/>
      <c r="BA998" s="2"/>
      <c r="BB998" s="2" t="n">
        <v>8437</v>
      </c>
      <c r="BC998" s="2" t="n">
        <v>8450</v>
      </c>
      <c r="BD998" s="2"/>
      <c r="BE998" s="2" t="s">
        <v>17632</v>
      </c>
      <c r="BF998" s="2" t="str">
        <f aca="false">HYPERLINK("http://dx.doi.org/10.3390/molecules16108437","http://dx.doi.org/10.3390/molecules16108437")</f>
        <v>http://dx.doi.org/10.3390/molecules16108437</v>
      </c>
      <c r="BG998" s="2"/>
      <c r="BH998" s="2"/>
      <c r="BI998" s="2" t="n">
        <v>14</v>
      </c>
      <c r="BJ998" s="2" t="s">
        <v>7942</v>
      </c>
      <c r="BK998" s="2" t="s">
        <v>100</v>
      </c>
      <c r="BL998" s="2" t="s">
        <v>7943</v>
      </c>
      <c r="BM998" s="2" t="s">
        <v>17633</v>
      </c>
      <c r="BN998" s="2" t="n">
        <v>21986522</v>
      </c>
      <c r="BO998" s="2" t="s">
        <v>14604</v>
      </c>
      <c r="BP998" s="2"/>
      <c r="BQ998" s="2"/>
      <c r="BR998" s="2" t="s">
        <v>104</v>
      </c>
      <c r="BS998" s="2" t="s">
        <v>17634</v>
      </c>
      <c r="BT998" s="2" t="str">
        <f aca="false">HYPERLINK("https%3A%2F%2Fwww.webofscience.com%2Fwos%2Fwoscc%2Ffull-record%2FWOS:000296973000022","View Full Record in Web of Science")</f>
        <v>View Full Record in Web of Science</v>
      </c>
    </row>
    <row r="999" customFormat="false" ht="12.75" hidden="false" customHeight="false" outlineLevel="0" collapsed="false">
      <c r="A999" s="2" t="s">
        <v>72</v>
      </c>
      <c r="B999" s="2" t="s">
        <v>17635</v>
      </c>
      <c r="C999" s="2"/>
      <c r="D999" s="2"/>
      <c r="E999" s="2"/>
      <c r="F999" s="2" t="s">
        <v>17636</v>
      </c>
      <c r="G999" s="2"/>
      <c r="H999" s="2"/>
      <c r="I999" s="2" t="s">
        <v>17637</v>
      </c>
      <c r="J999" s="2" t="s">
        <v>5575</v>
      </c>
      <c r="K999" s="2"/>
      <c r="L999" s="2"/>
      <c r="M999" s="2" t="s">
        <v>77</v>
      </c>
      <c r="N999" s="2" t="s">
        <v>78</v>
      </c>
      <c r="O999" s="2"/>
      <c r="P999" s="2"/>
      <c r="Q999" s="2"/>
      <c r="R999" s="2"/>
      <c r="S999" s="2"/>
      <c r="T999" s="2" t="s">
        <v>17638</v>
      </c>
      <c r="U999" s="2" t="s">
        <v>17639</v>
      </c>
      <c r="V999" s="2" t="s">
        <v>17640</v>
      </c>
      <c r="W999" s="2" t="s">
        <v>17641</v>
      </c>
      <c r="X999" s="2" t="s">
        <v>2614</v>
      </c>
      <c r="Y999" s="2" t="s">
        <v>17642</v>
      </c>
      <c r="Z999" s="2" t="s">
        <v>14113</v>
      </c>
      <c r="AA999" s="2" t="s">
        <v>17643</v>
      </c>
      <c r="AB999" s="2"/>
      <c r="AC999" s="2" t="s">
        <v>17644</v>
      </c>
      <c r="AD999" s="2" t="s">
        <v>15523</v>
      </c>
      <c r="AE999" s="2"/>
      <c r="AF999" s="2"/>
      <c r="AG999" s="2" t="n">
        <v>60</v>
      </c>
      <c r="AH999" s="2" t="n">
        <v>60</v>
      </c>
      <c r="AI999" s="2" t="n">
        <v>71</v>
      </c>
      <c r="AJ999" s="2" t="n">
        <v>0</v>
      </c>
      <c r="AK999" s="2" t="n">
        <v>2</v>
      </c>
      <c r="AL999" s="2" t="s">
        <v>5588</v>
      </c>
      <c r="AM999" s="2" t="s">
        <v>5589</v>
      </c>
      <c r="AN999" s="2" t="s">
        <v>5590</v>
      </c>
      <c r="AO999" s="2" t="s">
        <v>5591</v>
      </c>
      <c r="AP999" s="2"/>
      <c r="AQ999" s="2"/>
      <c r="AR999" s="2" t="s">
        <v>5575</v>
      </c>
      <c r="AS999" s="2" t="s">
        <v>163</v>
      </c>
      <c r="AT999" s="2" t="s">
        <v>17645</v>
      </c>
      <c r="AU999" s="2" t="n">
        <v>2007</v>
      </c>
      <c r="AV999" s="2" t="n">
        <v>368</v>
      </c>
      <c r="AW999" s="2" t="n">
        <v>1</v>
      </c>
      <c r="AX999" s="2"/>
      <c r="AY999" s="2"/>
      <c r="AZ999" s="2"/>
      <c r="BA999" s="2"/>
      <c r="BB999" s="2" t="n">
        <v>91</v>
      </c>
      <c r="BC999" s="2" t="n">
        <v>101</v>
      </c>
      <c r="BD999" s="2"/>
      <c r="BE999" s="2" t="s">
        <v>17646</v>
      </c>
      <c r="BF999" s="2" t="str">
        <f aca="false">HYPERLINK("http://dx.doi.org/10.1016/j.virol.2007.06.023","http://dx.doi.org/10.1016/j.virol.2007.06.023")</f>
        <v>http://dx.doi.org/10.1016/j.virol.2007.06.023</v>
      </c>
      <c r="BG999" s="2"/>
      <c r="BH999" s="2"/>
      <c r="BI999" s="2" t="n">
        <v>11</v>
      </c>
      <c r="BJ999" s="2" t="s">
        <v>163</v>
      </c>
      <c r="BK999" s="2" t="s">
        <v>100</v>
      </c>
      <c r="BL999" s="2" t="s">
        <v>163</v>
      </c>
      <c r="BM999" s="2" t="s">
        <v>17647</v>
      </c>
      <c r="BN999" s="2" t="n">
        <v>17655903</v>
      </c>
      <c r="BO999" s="2" t="s">
        <v>5372</v>
      </c>
      <c r="BP999" s="2"/>
      <c r="BQ999" s="2"/>
      <c r="BR999" s="2" t="s">
        <v>104</v>
      </c>
      <c r="BS999" s="2" t="s">
        <v>17648</v>
      </c>
      <c r="BT999" s="2" t="str">
        <f aca="false">HYPERLINK("https%3A%2F%2Fwww.webofscience.com%2Fwos%2Fwoscc%2Ffull-record%2FWOS:000250679100011","View Full Record in Web of Science")</f>
        <v>View Full Record in Web of Science</v>
      </c>
    </row>
    <row r="1000" customFormat="false" ht="12.75" hidden="false" customHeight="false" outlineLevel="0" collapsed="false">
      <c r="A1000" s="2" t="s">
        <v>72</v>
      </c>
      <c r="B1000" s="2" t="s">
        <v>17649</v>
      </c>
      <c r="C1000" s="2"/>
      <c r="D1000" s="2"/>
      <c r="E1000" s="2"/>
      <c r="F1000" s="2" t="s">
        <v>17650</v>
      </c>
      <c r="G1000" s="2"/>
      <c r="H1000" s="2"/>
      <c r="I1000" s="2" t="s">
        <v>17651</v>
      </c>
      <c r="J1000" s="2" t="s">
        <v>5511</v>
      </c>
      <c r="K1000" s="2"/>
      <c r="L1000" s="2"/>
      <c r="M1000" s="2" t="s">
        <v>77</v>
      </c>
      <c r="N1000" s="2" t="s">
        <v>78</v>
      </c>
      <c r="O1000" s="2"/>
      <c r="P1000" s="2"/>
      <c r="Q1000" s="2"/>
      <c r="R1000" s="2"/>
      <c r="S1000" s="2"/>
      <c r="T1000" s="2" t="s">
        <v>17652</v>
      </c>
      <c r="U1000" s="2" t="s">
        <v>17653</v>
      </c>
      <c r="V1000" s="2" t="s">
        <v>17654</v>
      </c>
      <c r="W1000" s="2" t="s">
        <v>17655</v>
      </c>
      <c r="X1000" s="2" t="s">
        <v>17656</v>
      </c>
      <c r="Y1000" s="2" t="s">
        <v>17657</v>
      </c>
      <c r="Z1000" s="2" t="s">
        <v>17658</v>
      </c>
      <c r="AA1000" s="2" t="s">
        <v>17659</v>
      </c>
      <c r="AB1000" s="2" t="s">
        <v>17660</v>
      </c>
      <c r="AC1000" s="2" t="s">
        <v>17661</v>
      </c>
      <c r="AD1000" s="2" t="s">
        <v>17662</v>
      </c>
      <c r="AE1000" s="2" t="s">
        <v>17663</v>
      </c>
      <c r="AF1000" s="2"/>
      <c r="AG1000" s="2" t="n">
        <v>40</v>
      </c>
      <c r="AH1000" s="2" t="n">
        <v>3</v>
      </c>
      <c r="AI1000" s="2" t="n">
        <v>4</v>
      </c>
      <c r="AJ1000" s="2" t="n">
        <v>0</v>
      </c>
      <c r="AK1000" s="2" t="n">
        <v>3</v>
      </c>
      <c r="AL1000" s="2" t="s">
        <v>5523</v>
      </c>
      <c r="AM1000" s="2" t="s">
        <v>5524</v>
      </c>
      <c r="AN1000" s="2" t="s">
        <v>5525</v>
      </c>
      <c r="AO1000" s="2" t="s">
        <v>5526</v>
      </c>
      <c r="AP1000" s="2" t="s">
        <v>5527</v>
      </c>
      <c r="AQ1000" s="2"/>
      <c r="AR1000" s="2" t="s">
        <v>5528</v>
      </c>
      <c r="AS1000" s="2" t="s">
        <v>5529</v>
      </c>
      <c r="AT1000" s="2" t="s">
        <v>390</v>
      </c>
      <c r="AU1000" s="2" t="n">
        <v>2018</v>
      </c>
      <c r="AV1000" s="2" t="n">
        <v>31</v>
      </c>
      <c r="AW1000" s="2" t="n">
        <v>4</v>
      </c>
      <c r="AX1000" s="2"/>
      <c r="AY1000" s="2"/>
      <c r="AZ1000" s="2"/>
      <c r="BA1000" s="2"/>
      <c r="BB1000" s="2" t="n">
        <v>306</v>
      </c>
      <c r="BC1000" s="2" t="n">
        <v>314</v>
      </c>
      <c r="BD1000" s="2"/>
      <c r="BE1000" s="2" t="s">
        <v>17664</v>
      </c>
      <c r="BF1000" s="2" t="str">
        <f aca="false">HYPERLINK("http://dx.doi.org/10.1089/vim.2017.0159","http://dx.doi.org/10.1089/vim.2017.0159")</f>
        <v>http://dx.doi.org/10.1089/vim.2017.0159</v>
      </c>
      <c r="BG1000" s="2"/>
      <c r="BH1000" s="2" t="s">
        <v>17665</v>
      </c>
      <c r="BI1000" s="2" t="n">
        <v>9</v>
      </c>
      <c r="BJ1000" s="2" t="s">
        <v>5531</v>
      </c>
      <c r="BK1000" s="2" t="s">
        <v>100</v>
      </c>
      <c r="BL1000" s="2" t="s">
        <v>5531</v>
      </c>
      <c r="BM1000" s="2" t="s">
        <v>17666</v>
      </c>
      <c r="BN1000" s="2" t="n">
        <v>29373084</v>
      </c>
      <c r="BO1000" s="2"/>
      <c r="BP1000" s="2"/>
      <c r="BQ1000" s="2"/>
      <c r="BR1000" s="2" t="s">
        <v>104</v>
      </c>
      <c r="BS1000" s="2" t="s">
        <v>17667</v>
      </c>
      <c r="BT1000" s="2" t="str">
        <f aca="false">HYPERLINK("https%3A%2F%2Fwww.webofscience.com%2Fwos%2Fwoscc%2Ffull-record%2FWOS:000423520200001","View Full Record in Web of Science")</f>
        <v>View Full Record in Web of Science</v>
      </c>
    </row>
    <row r="1001" customFormat="false" ht="12.75" hidden="false" customHeight="false" outlineLevel="0" collapsed="false">
      <c r="A1001" s="2" t="s">
        <v>72</v>
      </c>
      <c r="B1001" s="2" t="s">
        <v>17668</v>
      </c>
      <c r="C1001" s="2"/>
      <c r="D1001" s="2"/>
      <c r="E1001" s="2"/>
      <c r="F1001" s="2" t="s">
        <v>17669</v>
      </c>
      <c r="G1001" s="2"/>
      <c r="H1001" s="2" t="s">
        <v>17670</v>
      </c>
      <c r="I1001" s="2" t="s">
        <v>17671</v>
      </c>
      <c r="J1001" s="2" t="s">
        <v>17672</v>
      </c>
      <c r="K1001" s="2"/>
      <c r="L1001" s="2"/>
      <c r="M1001" s="2" t="s">
        <v>77</v>
      </c>
      <c r="N1001" s="2" t="s">
        <v>78</v>
      </c>
      <c r="O1001" s="2"/>
      <c r="P1001" s="2"/>
      <c r="Q1001" s="2"/>
      <c r="R1001" s="2"/>
      <c r="S1001" s="2"/>
      <c r="T1001" s="2" t="s">
        <v>17673</v>
      </c>
      <c r="U1001" s="2" t="s">
        <v>17674</v>
      </c>
      <c r="V1001" s="2" t="s">
        <v>17675</v>
      </c>
      <c r="W1001" s="2" t="s">
        <v>17676</v>
      </c>
      <c r="X1001" s="2" t="s">
        <v>17677</v>
      </c>
      <c r="Y1001" s="2" t="s">
        <v>17678</v>
      </c>
      <c r="Z1001" s="2" t="s">
        <v>17679</v>
      </c>
      <c r="AA1001" s="2" t="s">
        <v>17680</v>
      </c>
      <c r="AB1001" s="2" t="s">
        <v>17681</v>
      </c>
      <c r="AC1001" s="2"/>
      <c r="AD1001" s="2"/>
      <c r="AE1001" s="2"/>
      <c r="AF1001" s="2"/>
      <c r="AG1001" s="2" t="n">
        <v>18</v>
      </c>
      <c r="AH1001" s="2" t="n">
        <v>37</v>
      </c>
      <c r="AI1001" s="2" t="n">
        <v>39</v>
      </c>
      <c r="AJ1001" s="2" t="n">
        <v>0</v>
      </c>
      <c r="AK1001" s="2" t="n">
        <v>2</v>
      </c>
      <c r="AL1001" s="2" t="s">
        <v>122</v>
      </c>
      <c r="AM1001" s="2" t="s">
        <v>123</v>
      </c>
      <c r="AN1001" s="2" t="s">
        <v>124</v>
      </c>
      <c r="AO1001" s="2" t="s">
        <v>17682</v>
      </c>
      <c r="AP1001" s="2" t="s">
        <v>17683</v>
      </c>
      <c r="AQ1001" s="2"/>
      <c r="AR1001" s="2" t="s">
        <v>17672</v>
      </c>
      <c r="AS1001" s="2" t="s">
        <v>17684</v>
      </c>
      <c r="AT1001" s="2" t="s">
        <v>8076</v>
      </c>
      <c r="AU1001" s="2" t="n">
        <v>2008</v>
      </c>
      <c r="AV1001" s="2" t="n">
        <v>22</v>
      </c>
      <c r="AW1001" s="2" t="n">
        <v>6</v>
      </c>
      <c r="AX1001" s="2"/>
      <c r="AY1001" s="2"/>
      <c r="AZ1001" s="2"/>
      <c r="BA1001" s="2"/>
      <c r="BB1001" s="2" t="n">
        <v>701</v>
      </c>
      <c r="BC1001" s="2" t="n">
        <v>705</v>
      </c>
      <c r="BD1001" s="2"/>
      <c r="BE1001" s="2" t="s">
        <v>17685</v>
      </c>
      <c r="BF1001" s="2" t="str">
        <f aca="false">HYPERLINK("http://dx.doi.org/10.1097/QAD.0b013e3282f470ac","http://dx.doi.org/10.1097/QAD.0b013e3282f470ac")</f>
        <v>http://dx.doi.org/10.1097/QAD.0b013e3282f470ac</v>
      </c>
      <c r="BG1001" s="2"/>
      <c r="BH1001" s="2"/>
      <c r="BI1001" s="2" t="n">
        <v>5</v>
      </c>
      <c r="BJ1001" s="2" t="s">
        <v>17686</v>
      </c>
      <c r="BK1001" s="2" t="s">
        <v>100</v>
      </c>
      <c r="BL1001" s="2" t="s">
        <v>17686</v>
      </c>
      <c r="BM1001" s="2" t="s">
        <v>17687</v>
      </c>
      <c r="BN1001" s="2" t="n">
        <v>18356599</v>
      </c>
      <c r="BO1001" s="2" t="s">
        <v>656</v>
      </c>
      <c r="BP1001" s="2"/>
      <c r="BQ1001" s="2"/>
      <c r="BR1001" s="2" t="s">
        <v>104</v>
      </c>
      <c r="BS1001" s="2" t="s">
        <v>17688</v>
      </c>
      <c r="BT1001" s="2" t="str">
        <f aca="false">HYPERLINK("https%3A%2F%2Fwww.webofscience.com%2Fwos%2Fwoscc%2Ffull-record%2FWOS:000255218800004","View Full Record in Web of Science")</f>
        <v>View Full Record in Web of Science</v>
      </c>
    </row>
    <row r="1002" customFormat="false" ht="12.75" hidden="false" customHeight="false" outlineLevel="0" collapsed="false">
      <c r="A1002" s="2" t="s">
        <v>72</v>
      </c>
      <c r="B1002" s="2" t="s">
        <v>17689</v>
      </c>
      <c r="C1002" s="2"/>
      <c r="D1002" s="2"/>
      <c r="E1002" s="2"/>
      <c r="F1002" s="2" t="s">
        <v>17690</v>
      </c>
      <c r="G1002" s="2"/>
      <c r="H1002" s="2"/>
      <c r="I1002" s="2" t="s">
        <v>17691</v>
      </c>
      <c r="J1002" s="2" t="s">
        <v>2021</v>
      </c>
      <c r="K1002" s="2"/>
      <c r="L1002" s="2"/>
      <c r="M1002" s="2" t="s">
        <v>77</v>
      </c>
      <c r="N1002" s="2" t="s">
        <v>78</v>
      </c>
      <c r="O1002" s="2"/>
      <c r="P1002" s="2"/>
      <c r="Q1002" s="2"/>
      <c r="R1002" s="2"/>
      <c r="S1002" s="2"/>
      <c r="T1002" s="2" t="s">
        <v>17692</v>
      </c>
      <c r="U1002" s="2" t="s">
        <v>17693</v>
      </c>
      <c r="V1002" s="2" t="s">
        <v>17694</v>
      </c>
      <c r="W1002" s="2" t="s">
        <v>17695</v>
      </c>
      <c r="X1002" s="2" t="s">
        <v>17696</v>
      </c>
      <c r="Y1002" s="2" t="s">
        <v>17697</v>
      </c>
      <c r="Z1002" s="2" t="s">
        <v>17698</v>
      </c>
      <c r="AA1002" s="2" t="s">
        <v>17699</v>
      </c>
      <c r="AB1002" s="2" t="s">
        <v>17700</v>
      </c>
      <c r="AC1002" s="2" t="s">
        <v>17701</v>
      </c>
      <c r="AD1002" s="2" t="s">
        <v>17702</v>
      </c>
      <c r="AE1002" s="2" t="s">
        <v>17703</v>
      </c>
      <c r="AF1002" s="2"/>
      <c r="AG1002" s="2" t="n">
        <v>22</v>
      </c>
      <c r="AH1002" s="2" t="n">
        <v>19</v>
      </c>
      <c r="AI1002" s="2" t="n">
        <v>20</v>
      </c>
      <c r="AJ1002" s="2" t="n">
        <v>0</v>
      </c>
      <c r="AK1002" s="2" t="n">
        <v>8</v>
      </c>
      <c r="AL1002" s="2" t="s">
        <v>527</v>
      </c>
      <c r="AM1002" s="2" t="s">
        <v>528</v>
      </c>
      <c r="AN1002" s="2" t="s">
        <v>529</v>
      </c>
      <c r="AO1002" s="2" t="s">
        <v>2033</v>
      </c>
      <c r="AP1002" s="2" t="s">
        <v>2034</v>
      </c>
      <c r="AQ1002" s="2"/>
      <c r="AR1002" s="2" t="s">
        <v>2035</v>
      </c>
      <c r="AS1002" s="2" t="s">
        <v>2036</v>
      </c>
      <c r="AT1002" s="2" t="s">
        <v>4214</v>
      </c>
      <c r="AU1002" s="2" t="n">
        <v>2020</v>
      </c>
      <c r="AV1002" s="2" t="n">
        <v>70</v>
      </c>
      <c r="AW1002" s="2" t="n">
        <v>6</v>
      </c>
      <c r="AX1002" s="2"/>
      <c r="AY1002" s="2"/>
      <c r="AZ1002" s="2"/>
      <c r="BA1002" s="2"/>
      <c r="BB1002" s="2" t="n">
        <v>1147</v>
      </c>
      <c r="BC1002" s="2" t="n">
        <v>1152</v>
      </c>
      <c r="BD1002" s="2"/>
      <c r="BE1002" s="2" t="s">
        <v>17704</v>
      </c>
      <c r="BF1002" s="2" t="str">
        <f aca="false">HYPERLINK("http://dx.doi.org/10.1093/cid/ciz332","http://dx.doi.org/10.1093/cid/ciz332")</f>
        <v>http://dx.doi.org/10.1093/cid/ciz332</v>
      </c>
      <c r="BG1002" s="2"/>
      <c r="BH1002" s="2"/>
      <c r="BI1002" s="2" t="n">
        <v>6</v>
      </c>
      <c r="BJ1002" s="2" t="s">
        <v>536</v>
      </c>
      <c r="BK1002" s="2" t="s">
        <v>100</v>
      </c>
      <c r="BL1002" s="2" t="s">
        <v>536</v>
      </c>
      <c r="BM1002" s="2" t="s">
        <v>17705</v>
      </c>
      <c r="BN1002" s="2" t="n">
        <v>31286137</v>
      </c>
      <c r="BO1002" s="2" t="s">
        <v>538</v>
      </c>
      <c r="BP1002" s="2"/>
      <c r="BQ1002" s="2"/>
      <c r="BR1002" s="2" t="s">
        <v>104</v>
      </c>
      <c r="BS1002" s="2" t="s">
        <v>17706</v>
      </c>
      <c r="BT1002" s="2" t="str">
        <f aca="false">HYPERLINK("https%3A%2F%2Fwww.webofscience.com%2Fwos%2Fwoscc%2Ffull-record%2FWOS:000518549900024","View Full Record in Web of Science")</f>
        <v>View Full Record in Web of Science</v>
      </c>
    </row>
    <row r="1003" customFormat="false" ht="12.75" hidden="false" customHeight="false" outlineLevel="0" collapsed="false">
      <c r="A1003" s="2" t="s">
        <v>72</v>
      </c>
      <c r="B1003" s="2" t="s">
        <v>17707</v>
      </c>
      <c r="C1003" s="2"/>
      <c r="D1003" s="2"/>
      <c r="E1003" s="2"/>
      <c r="F1003" s="2" t="s">
        <v>17708</v>
      </c>
      <c r="G1003" s="2"/>
      <c r="H1003" s="2"/>
      <c r="I1003" s="2" t="s">
        <v>17709</v>
      </c>
      <c r="J1003" s="2" t="s">
        <v>1765</v>
      </c>
      <c r="K1003" s="2"/>
      <c r="L1003" s="2"/>
      <c r="M1003" s="2" t="s">
        <v>77</v>
      </c>
      <c r="N1003" s="2" t="s">
        <v>78</v>
      </c>
      <c r="O1003" s="2"/>
      <c r="P1003" s="2"/>
      <c r="Q1003" s="2"/>
      <c r="R1003" s="2"/>
      <c r="S1003" s="2"/>
      <c r="T1003" s="2" t="s">
        <v>17710</v>
      </c>
      <c r="U1003" s="2"/>
      <c r="V1003" s="2" t="s">
        <v>17711</v>
      </c>
      <c r="W1003" s="2" t="s">
        <v>17712</v>
      </c>
      <c r="X1003" s="2" t="s">
        <v>17713</v>
      </c>
      <c r="Y1003" s="2" t="s">
        <v>17714</v>
      </c>
      <c r="Z1003" s="2" t="s">
        <v>17715</v>
      </c>
      <c r="AA1003" s="2" t="s">
        <v>17716</v>
      </c>
      <c r="AB1003" s="2"/>
      <c r="AC1003" s="2" t="s">
        <v>17717</v>
      </c>
      <c r="AD1003" s="2" t="s">
        <v>17718</v>
      </c>
      <c r="AE1003" s="2" t="s">
        <v>17719</v>
      </c>
      <c r="AF1003" s="2"/>
      <c r="AG1003" s="2" t="n">
        <v>23</v>
      </c>
      <c r="AH1003" s="2" t="n">
        <v>10</v>
      </c>
      <c r="AI1003" s="2" t="n">
        <v>12</v>
      </c>
      <c r="AJ1003" s="2" t="n">
        <v>1</v>
      </c>
      <c r="AK1003" s="2" t="n">
        <v>8</v>
      </c>
      <c r="AL1003" s="2" t="s">
        <v>620</v>
      </c>
      <c r="AM1003" s="2" t="s">
        <v>621</v>
      </c>
      <c r="AN1003" s="2" t="s">
        <v>622</v>
      </c>
      <c r="AO1003" s="2" t="s">
        <v>1778</v>
      </c>
      <c r="AP1003" s="2"/>
      <c r="AQ1003" s="2"/>
      <c r="AR1003" s="2" t="s">
        <v>1779</v>
      </c>
      <c r="AS1003" s="2" t="s">
        <v>1780</v>
      </c>
      <c r="AT1003" s="2" t="s">
        <v>17720</v>
      </c>
      <c r="AU1003" s="2" t="n">
        <v>2021</v>
      </c>
      <c r="AV1003" s="2" t="n">
        <v>9</v>
      </c>
      <c r="AW1003" s="2"/>
      <c r="AX1003" s="2"/>
      <c r="AY1003" s="2"/>
      <c r="AZ1003" s="2"/>
      <c r="BA1003" s="2"/>
      <c r="BB1003" s="2"/>
      <c r="BC1003" s="2"/>
      <c r="BD1003" s="2" t="n">
        <v>659164</v>
      </c>
      <c r="BE1003" s="2" t="s">
        <v>17721</v>
      </c>
      <c r="BF1003" s="2" t="str">
        <f aca="false">HYPERLINK("http://dx.doi.org/10.3389/fped.2021.659164","http://dx.doi.org/10.3389/fped.2021.659164")</f>
        <v>http://dx.doi.org/10.3389/fped.2021.659164</v>
      </c>
      <c r="BG1003" s="2"/>
      <c r="BH1003" s="2"/>
      <c r="BI1003" s="2" t="n">
        <v>10</v>
      </c>
      <c r="BJ1003" s="2" t="s">
        <v>601</v>
      </c>
      <c r="BK1003" s="2" t="s">
        <v>100</v>
      </c>
      <c r="BL1003" s="2" t="s">
        <v>601</v>
      </c>
      <c r="BM1003" s="2" t="s">
        <v>17722</v>
      </c>
      <c r="BN1003" s="2" t="n">
        <v>34249808</v>
      </c>
      <c r="BO1003" s="2" t="s">
        <v>103</v>
      </c>
      <c r="BP1003" s="2"/>
      <c r="BQ1003" s="2"/>
      <c r="BR1003" s="2" t="s">
        <v>104</v>
      </c>
      <c r="BS1003" s="2" t="s">
        <v>17723</v>
      </c>
      <c r="BT1003" s="2" t="str">
        <f aca="false">HYPERLINK("https%3A%2F%2Fwww.webofscience.com%2Fwos%2Fwoscc%2Ffull-record%2FWOS:000670892300001","View Full Record in Web of Science")</f>
        <v>View Full Record in Web of Science</v>
      </c>
    </row>
    <row r="1004" customFormat="false" ht="12.75" hidden="false" customHeight="false" outlineLevel="0" collapsed="false">
      <c r="A1004" s="2" t="s">
        <v>72</v>
      </c>
      <c r="B1004" s="2" t="s">
        <v>17724</v>
      </c>
      <c r="C1004" s="2"/>
      <c r="D1004" s="2"/>
      <c r="E1004" s="2"/>
      <c r="F1004" s="2" t="s">
        <v>17725</v>
      </c>
      <c r="G1004" s="2"/>
      <c r="H1004" s="2"/>
      <c r="I1004" s="2" t="s">
        <v>17726</v>
      </c>
      <c r="J1004" s="2" t="s">
        <v>1863</v>
      </c>
      <c r="K1004" s="2"/>
      <c r="L1004" s="2"/>
      <c r="M1004" s="2" t="s">
        <v>77</v>
      </c>
      <c r="N1004" s="2" t="s">
        <v>78</v>
      </c>
      <c r="O1004" s="2"/>
      <c r="P1004" s="2"/>
      <c r="Q1004" s="2"/>
      <c r="R1004" s="2"/>
      <c r="S1004" s="2"/>
      <c r="T1004" s="2" t="s">
        <v>17727</v>
      </c>
      <c r="U1004" s="2"/>
      <c r="V1004" s="2" t="s">
        <v>17728</v>
      </c>
      <c r="W1004" s="2" t="s">
        <v>17729</v>
      </c>
      <c r="X1004" s="2" t="s">
        <v>17730</v>
      </c>
      <c r="Y1004" s="2" t="s">
        <v>17731</v>
      </c>
      <c r="Z1004" s="2" t="s">
        <v>17732</v>
      </c>
      <c r="AA1004" s="2"/>
      <c r="AB1004" s="2" t="s">
        <v>17733</v>
      </c>
      <c r="AC1004" s="2" t="s">
        <v>17734</v>
      </c>
      <c r="AD1004" s="2" t="s">
        <v>17735</v>
      </c>
      <c r="AE1004" s="2" t="s">
        <v>17736</v>
      </c>
      <c r="AF1004" s="2"/>
      <c r="AG1004" s="2" t="n">
        <v>12</v>
      </c>
      <c r="AH1004" s="2" t="n">
        <v>20</v>
      </c>
      <c r="AI1004" s="2" t="n">
        <v>25</v>
      </c>
      <c r="AJ1004" s="2" t="n">
        <v>0</v>
      </c>
      <c r="AK1004" s="2" t="n">
        <v>19</v>
      </c>
      <c r="AL1004" s="2" t="s">
        <v>2337</v>
      </c>
      <c r="AM1004" s="2" t="s">
        <v>303</v>
      </c>
      <c r="AN1004" s="2" t="s">
        <v>2338</v>
      </c>
      <c r="AO1004" s="2" t="s">
        <v>1876</v>
      </c>
      <c r="AP1004" s="2"/>
      <c r="AQ1004" s="2"/>
      <c r="AR1004" s="2" t="s">
        <v>1877</v>
      </c>
      <c r="AS1004" s="2" t="s">
        <v>1878</v>
      </c>
      <c r="AT1004" s="2" t="s">
        <v>17737</v>
      </c>
      <c r="AU1004" s="2" t="n">
        <v>2012</v>
      </c>
      <c r="AV1004" s="2" t="n">
        <v>9</v>
      </c>
      <c r="AW1004" s="2"/>
      <c r="AX1004" s="2"/>
      <c r="AY1004" s="2"/>
      <c r="AZ1004" s="2"/>
      <c r="BA1004" s="2"/>
      <c r="BB1004" s="2"/>
      <c r="BC1004" s="2"/>
      <c r="BD1004" s="2" t="n">
        <v>261</v>
      </c>
      <c r="BE1004" s="2" t="s">
        <v>17738</v>
      </c>
      <c r="BF1004" s="2" t="str">
        <f aca="false">HYPERLINK("http://dx.doi.org/10.1186/1743-422X-9-261","http://dx.doi.org/10.1186/1743-422X-9-261")</f>
        <v>http://dx.doi.org/10.1186/1743-422X-9-261</v>
      </c>
      <c r="BG1004" s="2"/>
      <c r="BH1004" s="2"/>
      <c r="BI1004" s="2" t="n">
        <v>9</v>
      </c>
      <c r="BJ1004" s="2" t="s">
        <v>163</v>
      </c>
      <c r="BK1004" s="2" t="s">
        <v>100</v>
      </c>
      <c r="BL1004" s="2" t="s">
        <v>163</v>
      </c>
      <c r="BM1004" s="2" t="s">
        <v>17739</v>
      </c>
      <c r="BN1004" s="2" t="n">
        <v>23131097</v>
      </c>
      <c r="BO1004" s="2" t="s">
        <v>103</v>
      </c>
      <c r="BP1004" s="2"/>
      <c r="BQ1004" s="2"/>
      <c r="BR1004" s="2" t="s">
        <v>104</v>
      </c>
      <c r="BS1004" s="2" t="s">
        <v>17740</v>
      </c>
      <c r="BT1004" s="2" t="str">
        <f aca="false">HYPERLINK("https%3A%2F%2Fwww.webofscience.com%2Fwos%2Fwoscc%2Ffull-record%2FWOS:000313915500001","View Full Record in Web of Science")</f>
        <v>View Full Record in Web of Science</v>
      </c>
    </row>
    <row r="1005" customFormat="false" ht="12.75" hidden="false" customHeight="false" outlineLevel="0" collapsed="false">
      <c r="A1005" s="2" t="s">
        <v>72</v>
      </c>
      <c r="B1005" s="2" t="s">
        <v>17741</v>
      </c>
      <c r="C1005" s="2"/>
      <c r="D1005" s="2"/>
      <c r="E1005" s="2"/>
      <c r="F1005" s="2" t="s">
        <v>17742</v>
      </c>
      <c r="G1005" s="2"/>
      <c r="H1005" s="2"/>
      <c r="I1005" s="2" t="s">
        <v>17743</v>
      </c>
      <c r="J1005" s="2" t="s">
        <v>17744</v>
      </c>
      <c r="K1005" s="2"/>
      <c r="L1005" s="2"/>
      <c r="M1005" s="2" t="s">
        <v>77</v>
      </c>
      <c r="N1005" s="2" t="s">
        <v>78</v>
      </c>
      <c r="O1005" s="2"/>
      <c r="P1005" s="2"/>
      <c r="Q1005" s="2"/>
      <c r="R1005" s="2"/>
      <c r="S1005" s="2"/>
      <c r="T1005" s="2" t="s">
        <v>17745</v>
      </c>
      <c r="U1005" s="2" t="s">
        <v>17746</v>
      </c>
      <c r="V1005" s="2" t="s">
        <v>17747</v>
      </c>
      <c r="W1005" s="2" t="s">
        <v>17748</v>
      </c>
      <c r="X1005" s="2" t="s">
        <v>17749</v>
      </c>
      <c r="Y1005" s="2" t="s">
        <v>17750</v>
      </c>
      <c r="Z1005" s="2" t="s">
        <v>17751</v>
      </c>
      <c r="AA1005" s="2" t="s">
        <v>17752</v>
      </c>
      <c r="AB1005" s="2"/>
      <c r="AC1005" s="2"/>
      <c r="AD1005" s="2"/>
      <c r="AE1005" s="2"/>
      <c r="AF1005" s="2"/>
      <c r="AG1005" s="2" t="n">
        <v>31</v>
      </c>
      <c r="AH1005" s="2" t="n">
        <v>25</v>
      </c>
      <c r="AI1005" s="2" t="n">
        <v>26</v>
      </c>
      <c r="AJ1005" s="2" t="n">
        <v>0</v>
      </c>
      <c r="AK1005" s="2" t="n">
        <v>2</v>
      </c>
      <c r="AL1005" s="2" t="s">
        <v>122</v>
      </c>
      <c r="AM1005" s="2" t="s">
        <v>123</v>
      </c>
      <c r="AN1005" s="2" t="s">
        <v>124</v>
      </c>
      <c r="AO1005" s="2" t="s">
        <v>17753</v>
      </c>
      <c r="AP1005" s="2" t="s">
        <v>17754</v>
      </c>
      <c r="AQ1005" s="2"/>
      <c r="AR1005" s="2" t="s">
        <v>17755</v>
      </c>
      <c r="AS1005" s="2" t="s">
        <v>17756</v>
      </c>
      <c r="AT1005" s="2" t="s">
        <v>185</v>
      </c>
      <c r="AU1005" s="2" t="n">
        <v>2007</v>
      </c>
      <c r="AV1005" s="2" t="n">
        <v>22</v>
      </c>
      <c r="AW1005" s="2" t="n">
        <v>3</v>
      </c>
      <c r="AX1005" s="2"/>
      <c r="AY1005" s="2"/>
      <c r="AZ1005" s="2"/>
      <c r="BA1005" s="2"/>
      <c r="BB1005" s="2" t="n">
        <v>292</v>
      </c>
      <c r="BC1005" s="2" t="n">
        <v>299</v>
      </c>
      <c r="BD1005" s="2"/>
      <c r="BE1005" s="2" t="s">
        <v>17757</v>
      </c>
      <c r="BF1005" s="2" t="str">
        <f aca="false">HYPERLINK("http://dx.doi.org/10.1097/RTI.0b013e31805467f4","http://dx.doi.org/10.1097/RTI.0b013e31805467f4")</f>
        <v>http://dx.doi.org/10.1097/RTI.0b013e31805467f4</v>
      </c>
      <c r="BG1005" s="2"/>
      <c r="BH1005" s="2"/>
      <c r="BI1005" s="2" t="n">
        <v>8</v>
      </c>
      <c r="BJ1005" s="2" t="s">
        <v>16579</v>
      </c>
      <c r="BK1005" s="2" t="s">
        <v>100</v>
      </c>
      <c r="BL1005" s="2" t="s">
        <v>16579</v>
      </c>
      <c r="BM1005" s="2" t="s">
        <v>17758</v>
      </c>
      <c r="BN1005" s="2" t="n">
        <v>17721347</v>
      </c>
      <c r="BO1005" s="2"/>
      <c r="BP1005" s="2"/>
      <c r="BQ1005" s="2"/>
      <c r="BR1005" s="2" t="s">
        <v>104</v>
      </c>
      <c r="BS1005" s="2" t="s">
        <v>17759</v>
      </c>
      <c r="BT1005" s="2" t="str">
        <f aca="false">HYPERLINK("https%3A%2F%2Fwww.webofscience.com%2Fwos%2Fwoscc%2Ffull-record%2FWOS:000249144700019","View Full Record in Web of Science")</f>
        <v>View Full Record in Web of Science</v>
      </c>
    </row>
    <row r="1006" customFormat="false" ht="12.75" hidden="false" customHeight="false" outlineLevel="0" collapsed="false">
      <c r="A1006" s="2" t="s">
        <v>72</v>
      </c>
      <c r="B1006" s="2" t="s">
        <v>17760</v>
      </c>
      <c r="C1006" s="2"/>
      <c r="D1006" s="2"/>
      <c r="E1006" s="2"/>
      <c r="F1006" s="2" t="s">
        <v>17761</v>
      </c>
      <c r="G1006" s="2"/>
      <c r="H1006" s="2"/>
      <c r="I1006" s="2" t="s">
        <v>17762</v>
      </c>
      <c r="J1006" s="2" t="s">
        <v>109</v>
      </c>
      <c r="K1006" s="2"/>
      <c r="L1006" s="2"/>
      <c r="M1006" s="2" t="s">
        <v>77</v>
      </c>
      <c r="N1006" s="2" t="s">
        <v>78</v>
      </c>
      <c r="O1006" s="2"/>
      <c r="P1006" s="2"/>
      <c r="Q1006" s="2"/>
      <c r="R1006" s="2"/>
      <c r="S1006" s="2"/>
      <c r="T1006" s="2" t="s">
        <v>17763</v>
      </c>
      <c r="U1006" s="2" t="s">
        <v>17764</v>
      </c>
      <c r="V1006" s="2" t="s">
        <v>17765</v>
      </c>
      <c r="W1006" s="2" t="s">
        <v>17766</v>
      </c>
      <c r="X1006" s="2" t="s">
        <v>17767</v>
      </c>
      <c r="Y1006" s="2" t="s">
        <v>17768</v>
      </c>
      <c r="Z1006" s="2" t="s">
        <v>17769</v>
      </c>
      <c r="AA1006" s="2" t="s">
        <v>17770</v>
      </c>
      <c r="AB1006" s="2" t="s">
        <v>17771</v>
      </c>
      <c r="AC1006" s="2"/>
      <c r="AD1006" s="2"/>
      <c r="AE1006" s="2"/>
      <c r="AF1006" s="2"/>
      <c r="AG1006" s="2" t="n">
        <v>36</v>
      </c>
      <c r="AH1006" s="2" t="n">
        <v>6</v>
      </c>
      <c r="AI1006" s="2" t="n">
        <v>6</v>
      </c>
      <c r="AJ1006" s="2" t="n">
        <v>0</v>
      </c>
      <c r="AK1006" s="2" t="n">
        <v>6</v>
      </c>
      <c r="AL1006" s="2" t="s">
        <v>122</v>
      </c>
      <c r="AM1006" s="2" t="s">
        <v>123</v>
      </c>
      <c r="AN1006" s="2" t="s">
        <v>124</v>
      </c>
      <c r="AO1006" s="2" t="s">
        <v>125</v>
      </c>
      <c r="AP1006" s="2" t="s">
        <v>126</v>
      </c>
      <c r="AQ1006" s="2"/>
      <c r="AR1006" s="2" t="s">
        <v>127</v>
      </c>
      <c r="AS1006" s="2" t="s">
        <v>128</v>
      </c>
      <c r="AT1006" s="2" t="s">
        <v>1041</v>
      </c>
      <c r="AU1006" s="2" t="n">
        <v>2020</v>
      </c>
      <c r="AV1006" s="2" t="n">
        <v>39</v>
      </c>
      <c r="AW1006" s="2" t="n">
        <v>2</v>
      </c>
      <c r="AX1006" s="2"/>
      <c r="AY1006" s="2"/>
      <c r="AZ1006" s="2"/>
      <c r="BA1006" s="2"/>
      <c r="BB1006" s="2" t="n">
        <v>102</v>
      </c>
      <c r="BC1006" s="2" t="n">
        <v>107</v>
      </c>
      <c r="BD1006" s="2"/>
      <c r="BE1006" s="2" t="s">
        <v>17772</v>
      </c>
      <c r="BF1006" s="2" t="str">
        <f aca="false">HYPERLINK("http://dx.doi.org/10.1097/INF.0000000000002512","http://dx.doi.org/10.1097/INF.0000000000002512")</f>
        <v>http://dx.doi.org/10.1097/INF.0000000000002512</v>
      </c>
      <c r="BG1006" s="2"/>
      <c r="BH1006" s="2"/>
      <c r="BI1006" s="2" t="n">
        <v>6</v>
      </c>
      <c r="BJ1006" s="2" t="s">
        <v>134</v>
      </c>
      <c r="BK1006" s="2" t="s">
        <v>100</v>
      </c>
      <c r="BL1006" s="2" t="s">
        <v>134</v>
      </c>
      <c r="BM1006" s="2" t="s">
        <v>17773</v>
      </c>
      <c r="BN1006" s="2" t="n">
        <v>31725117</v>
      </c>
      <c r="BO1006" s="2"/>
      <c r="BP1006" s="2"/>
      <c r="BQ1006" s="2"/>
      <c r="BR1006" s="2" t="s">
        <v>104</v>
      </c>
      <c r="BS1006" s="2" t="s">
        <v>17774</v>
      </c>
      <c r="BT1006" s="2" t="str">
        <f aca="false">HYPERLINK("https%3A%2F%2Fwww.webofscience.com%2Fwos%2Fwoscc%2Ffull-record%2FWOS:000509535000008","View Full Record in Web of Science")</f>
        <v>View Full Record in Web of Science</v>
      </c>
    </row>
    <row r="1007" customFormat="false" ht="12.75" hidden="false" customHeight="false" outlineLevel="0" collapsed="false">
      <c r="A1007" s="2" t="s">
        <v>72</v>
      </c>
      <c r="B1007" s="2" t="s">
        <v>17775</v>
      </c>
      <c r="C1007" s="2"/>
      <c r="D1007" s="2"/>
      <c r="E1007" s="2"/>
      <c r="F1007" s="2" t="s">
        <v>17776</v>
      </c>
      <c r="G1007" s="2"/>
      <c r="H1007" s="2"/>
      <c r="I1007" s="2" t="s">
        <v>17777</v>
      </c>
      <c r="J1007" s="2" t="s">
        <v>493</v>
      </c>
      <c r="K1007" s="2"/>
      <c r="L1007" s="2"/>
      <c r="M1007" s="2" t="s">
        <v>77</v>
      </c>
      <c r="N1007" s="2" t="s">
        <v>78</v>
      </c>
      <c r="O1007" s="2"/>
      <c r="P1007" s="2"/>
      <c r="Q1007" s="2"/>
      <c r="R1007" s="2"/>
      <c r="S1007" s="2"/>
      <c r="T1007" s="2" t="s">
        <v>17778</v>
      </c>
      <c r="U1007" s="2"/>
      <c r="V1007" s="2" t="s">
        <v>17779</v>
      </c>
      <c r="W1007" s="2" t="s">
        <v>17780</v>
      </c>
      <c r="X1007" s="2"/>
      <c r="Y1007" s="2" t="s">
        <v>17781</v>
      </c>
      <c r="Z1007" s="2" t="s">
        <v>17782</v>
      </c>
      <c r="AA1007" s="2" t="s">
        <v>17783</v>
      </c>
      <c r="AB1007" s="2" t="s">
        <v>17784</v>
      </c>
      <c r="AC1007" s="2" t="s">
        <v>17785</v>
      </c>
      <c r="AD1007" s="2" t="s">
        <v>17786</v>
      </c>
      <c r="AE1007" s="2" t="s">
        <v>17787</v>
      </c>
      <c r="AF1007" s="2"/>
      <c r="AG1007" s="2" t="n">
        <v>22</v>
      </c>
      <c r="AH1007" s="2" t="n">
        <v>7</v>
      </c>
      <c r="AI1007" s="2" t="n">
        <v>7</v>
      </c>
      <c r="AJ1007" s="2" t="n">
        <v>0</v>
      </c>
      <c r="AK1007" s="2" t="n">
        <v>1</v>
      </c>
      <c r="AL1007" s="2" t="s">
        <v>91</v>
      </c>
      <c r="AM1007" s="2" t="s">
        <v>92</v>
      </c>
      <c r="AN1007" s="2" t="s">
        <v>93</v>
      </c>
      <c r="AO1007" s="2"/>
      <c r="AP1007" s="2" t="s">
        <v>506</v>
      </c>
      <c r="AQ1007" s="2"/>
      <c r="AR1007" s="2" t="s">
        <v>493</v>
      </c>
      <c r="AS1007" s="2" t="s">
        <v>507</v>
      </c>
      <c r="AT1007" s="2" t="s">
        <v>692</v>
      </c>
      <c r="AU1007" s="2" t="n">
        <v>2023</v>
      </c>
      <c r="AV1007" s="2" t="n">
        <v>15</v>
      </c>
      <c r="AW1007" s="2" t="n">
        <v>4</v>
      </c>
      <c r="AX1007" s="2"/>
      <c r="AY1007" s="2"/>
      <c r="AZ1007" s="2"/>
      <c r="BA1007" s="2"/>
      <c r="BB1007" s="2"/>
      <c r="BC1007" s="2"/>
      <c r="BD1007" s="2" t="n">
        <v>934</v>
      </c>
      <c r="BE1007" s="2" t="s">
        <v>17788</v>
      </c>
      <c r="BF1007" s="2" t="str">
        <f aca="false">HYPERLINK("http://dx.doi.org/10.3390/v15040934","http://dx.doi.org/10.3390/v15040934")</f>
        <v>http://dx.doi.org/10.3390/v15040934</v>
      </c>
      <c r="BG1007" s="2"/>
      <c r="BH1007" s="2"/>
      <c r="BI1007" s="2" t="n">
        <v>13</v>
      </c>
      <c r="BJ1007" s="2" t="s">
        <v>163</v>
      </c>
      <c r="BK1007" s="2" t="s">
        <v>100</v>
      </c>
      <c r="BL1007" s="2" t="s">
        <v>163</v>
      </c>
      <c r="BM1007" s="2" t="s">
        <v>17789</v>
      </c>
      <c r="BN1007" s="2" t="n">
        <v>37112913</v>
      </c>
      <c r="BO1007" s="2" t="s">
        <v>190</v>
      </c>
      <c r="BP1007" s="2"/>
      <c r="BQ1007" s="2"/>
      <c r="BR1007" s="2" t="s">
        <v>104</v>
      </c>
      <c r="BS1007" s="2" t="s">
        <v>17790</v>
      </c>
      <c r="BT1007" s="2" t="str">
        <f aca="false">HYPERLINK("https%3A%2F%2Fwww.webofscience.com%2Fwos%2Fwoscc%2Ffull-record%2FWOS:000979448200001","View Full Record in Web of Science")</f>
        <v>View Full Record in Web of Science</v>
      </c>
    </row>
    <row r="1008" customFormat="false" ht="12.75" hidden="false" customHeight="false" outlineLevel="0" collapsed="false">
      <c r="A1008" s="2" t="s">
        <v>72</v>
      </c>
      <c r="B1008" s="2" t="s">
        <v>17791</v>
      </c>
      <c r="C1008" s="2"/>
      <c r="D1008" s="2"/>
      <c r="E1008" s="2"/>
      <c r="F1008" s="2" t="s">
        <v>17792</v>
      </c>
      <c r="G1008" s="2"/>
      <c r="H1008" s="2"/>
      <c r="I1008" s="2" t="s">
        <v>17793</v>
      </c>
      <c r="J1008" s="2" t="s">
        <v>11019</v>
      </c>
      <c r="K1008" s="2"/>
      <c r="L1008" s="2"/>
      <c r="M1008" s="2" t="s">
        <v>77</v>
      </c>
      <c r="N1008" s="2" t="s">
        <v>78</v>
      </c>
      <c r="O1008" s="2"/>
      <c r="P1008" s="2"/>
      <c r="Q1008" s="2"/>
      <c r="R1008" s="2"/>
      <c r="S1008" s="2"/>
      <c r="T1008" s="2" t="s">
        <v>17794</v>
      </c>
      <c r="U1008" s="2" t="s">
        <v>17795</v>
      </c>
      <c r="V1008" s="2" t="s">
        <v>17796</v>
      </c>
      <c r="W1008" s="2" t="s">
        <v>17797</v>
      </c>
      <c r="X1008" s="2" t="s">
        <v>17798</v>
      </c>
      <c r="Y1008" s="2" t="s">
        <v>17799</v>
      </c>
      <c r="Z1008" s="2" t="s">
        <v>17800</v>
      </c>
      <c r="AA1008" s="2" t="s">
        <v>17801</v>
      </c>
      <c r="AB1008" s="2" t="s">
        <v>17802</v>
      </c>
      <c r="AC1008" s="2"/>
      <c r="AD1008" s="2"/>
      <c r="AE1008" s="2"/>
      <c r="AF1008" s="2"/>
      <c r="AG1008" s="2" t="n">
        <v>20</v>
      </c>
      <c r="AH1008" s="2" t="n">
        <v>6</v>
      </c>
      <c r="AI1008" s="2" t="n">
        <v>8</v>
      </c>
      <c r="AJ1008" s="2" t="n">
        <v>0</v>
      </c>
      <c r="AK1008" s="2" t="n">
        <v>5</v>
      </c>
      <c r="AL1008" s="2" t="s">
        <v>154</v>
      </c>
      <c r="AM1008" s="2" t="s">
        <v>155</v>
      </c>
      <c r="AN1008" s="2" t="s">
        <v>156</v>
      </c>
      <c r="AO1008" s="2" t="s">
        <v>11028</v>
      </c>
      <c r="AP1008" s="2" t="s">
        <v>11029</v>
      </c>
      <c r="AQ1008" s="2"/>
      <c r="AR1008" s="2" t="s">
        <v>11030</v>
      </c>
      <c r="AS1008" s="2" t="s">
        <v>11031</v>
      </c>
      <c r="AT1008" s="2" t="s">
        <v>97</v>
      </c>
      <c r="AU1008" s="2" t="n">
        <v>2011</v>
      </c>
      <c r="AV1008" s="2" t="n">
        <v>5</v>
      </c>
      <c r="AW1008" s="2" t="n">
        <v>2</v>
      </c>
      <c r="AX1008" s="2"/>
      <c r="AY1008" s="2"/>
      <c r="AZ1008" s="2"/>
      <c r="BA1008" s="2"/>
      <c r="BB1008" s="2" t="n">
        <v>110</v>
      </c>
      <c r="BC1008" s="2" t="n">
        <v>114</v>
      </c>
      <c r="BD1008" s="2"/>
      <c r="BE1008" s="2" t="s">
        <v>17803</v>
      </c>
      <c r="BF1008" s="2" t="str">
        <f aca="false">HYPERLINK("http://dx.doi.org/10.1111/j.1750-2659.2010.00178.x","http://dx.doi.org/10.1111/j.1750-2659.2010.00178.x")</f>
        <v>http://dx.doi.org/10.1111/j.1750-2659.2010.00178.x</v>
      </c>
      <c r="BG1008" s="2"/>
      <c r="BH1008" s="2"/>
      <c r="BI1008" s="2" t="n">
        <v>5</v>
      </c>
      <c r="BJ1008" s="2" t="s">
        <v>8287</v>
      </c>
      <c r="BK1008" s="2" t="s">
        <v>100</v>
      </c>
      <c r="BL1008" s="2" t="s">
        <v>8287</v>
      </c>
      <c r="BM1008" s="2" t="s">
        <v>17804</v>
      </c>
      <c r="BN1008" s="2" t="n">
        <v>21306574</v>
      </c>
      <c r="BO1008" s="2" t="s">
        <v>284</v>
      </c>
      <c r="BP1008" s="2"/>
      <c r="BQ1008" s="2"/>
      <c r="BR1008" s="2" t="s">
        <v>104</v>
      </c>
      <c r="BS1008" s="2" t="s">
        <v>17805</v>
      </c>
      <c r="BT1008" s="2" t="str">
        <f aca="false">HYPERLINK("https%3A%2F%2Fwww.webofscience.com%2Fwos%2Fwoscc%2Ffull-record%2FWOS:000287196200007","View Full Record in Web of Science")</f>
        <v>View Full Record in Web of Science</v>
      </c>
    </row>
    <row r="1009" customFormat="false" ht="12.75" hidden="false" customHeight="false" outlineLevel="0" collapsed="false">
      <c r="A1009" s="2" t="s">
        <v>72</v>
      </c>
      <c r="B1009" s="2" t="s">
        <v>17806</v>
      </c>
      <c r="C1009" s="2"/>
      <c r="D1009" s="2"/>
      <c r="E1009" s="2"/>
      <c r="F1009" s="2" t="s">
        <v>17807</v>
      </c>
      <c r="G1009" s="2"/>
      <c r="H1009" s="2"/>
      <c r="I1009" s="2" t="s">
        <v>17808</v>
      </c>
      <c r="J1009" s="2" t="s">
        <v>3545</v>
      </c>
      <c r="K1009" s="2"/>
      <c r="L1009" s="2"/>
      <c r="M1009" s="2" t="s">
        <v>77</v>
      </c>
      <c r="N1009" s="2" t="s">
        <v>78</v>
      </c>
      <c r="O1009" s="2"/>
      <c r="P1009" s="2"/>
      <c r="Q1009" s="2"/>
      <c r="R1009" s="2"/>
      <c r="S1009" s="2"/>
      <c r="T1009" s="2" t="s">
        <v>17809</v>
      </c>
      <c r="U1009" s="2" t="s">
        <v>17810</v>
      </c>
      <c r="V1009" s="2" t="s">
        <v>17811</v>
      </c>
      <c r="W1009" s="2" t="s">
        <v>17812</v>
      </c>
      <c r="X1009" s="2" t="s">
        <v>17813</v>
      </c>
      <c r="Y1009" s="2" t="s">
        <v>17814</v>
      </c>
      <c r="Z1009" s="2" t="s">
        <v>17815</v>
      </c>
      <c r="AA1009" s="2" t="s">
        <v>17816</v>
      </c>
      <c r="AB1009" s="2" t="s">
        <v>17817</v>
      </c>
      <c r="AC1009" s="2" t="s">
        <v>17818</v>
      </c>
      <c r="AD1009" s="2" t="s">
        <v>17819</v>
      </c>
      <c r="AE1009" s="2" t="s">
        <v>17820</v>
      </c>
      <c r="AF1009" s="2"/>
      <c r="AG1009" s="2" t="n">
        <v>29</v>
      </c>
      <c r="AH1009" s="2" t="n">
        <v>30</v>
      </c>
      <c r="AI1009" s="2" t="n">
        <v>31</v>
      </c>
      <c r="AJ1009" s="2" t="n">
        <v>3</v>
      </c>
      <c r="AK1009" s="2" t="n">
        <v>11</v>
      </c>
      <c r="AL1009" s="2" t="s">
        <v>3557</v>
      </c>
      <c r="AM1009" s="2" t="s">
        <v>330</v>
      </c>
      <c r="AN1009" s="2" t="s">
        <v>9451</v>
      </c>
      <c r="AO1009" s="2" t="s">
        <v>3559</v>
      </c>
      <c r="AP1009" s="2"/>
      <c r="AQ1009" s="2"/>
      <c r="AR1009" s="2" t="s">
        <v>3561</v>
      </c>
      <c r="AS1009" s="2" t="s">
        <v>3562</v>
      </c>
      <c r="AT1009" s="2" t="s">
        <v>161</v>
      </c>
      <c r="AU1009" s="2" t="n">
        <v>2013</v>
      </c>
      <c r="AV1009" s="2" t="n">
        <v>28</v>
      </c>
      <c r="AW1009" s="2" t="n">
        <v>1</v>
      </c>
      <c r="AX1009" s="2"/>
      <c r="AY1009" s="2"/>
      <c r="AZ1009" s="2"/>
      <c r="BA1009" s="2"/>
      <c r="BB1009" s="2" t="n">
        <v>36</v>
      </c>
      <c r="BC1009" s="2" t="n">
        <v>41</v>
      </c>
      <c r="BD1009" s="2"/>
      <c r="BE1009" s="2" t="s">
        <v>17821</v>
      </c>
      <c r="BF1009" s="2" t="str">
        <f aca="false">HYPERLINK("http://dx.doi.org/10.3346/jkms.2013.28.1.36","http://dx.doi.org/10.3346/jkms.2013.28.1.36")</f>
        <v>http://dx.doi.org/10.3346/jkms.2013.28.1.36</v>
      </c>
      <c r="BG1009" s="2"/>
      <c r="BH1009" s="2"/>
      <c r="BI1009" s="2" t="n">
        <v>6</v>
      </c>
      <c r="BJ1009" s="2" t="s">
        <v>363</v>
      </c>
      <c r="BK1009" s="2" t="s">
        <v>100</v>
      </c>
      <c r="BL1009" s="2" t="s">
        <v>364</v>
      </c>
      <c r="BM1009" s="2" t="s">
        <v>17822</v>
      </c>
      <c r="BN1009" s="2" t="n">
        <v>23341709</v>
      </c>
      <c r="BO1009" s="2" t="s">
        <v>5702</v>
      </c>
      <c r="BP1009" s="2"/>
      <c r="BQ1009" s="2"/>
      <c r="BR1009" s="2" t="s">
        <v>104</v>
      </c>
      <c r="BS1009" s="2" t="s">
        <v>17823</v>
      </c>
      <c r="BT1009" s="2" t="str">
        <f aca="false">HYPERLINK("https%3A%2F%2Fwww.webofscience.com%2Fwos%2Fwoscc%2Ffull-record%2FWOS:000314527100005","View Full Record in Web of Science")</f>
        <v>View Full Record in Web of Science</v>
      </c>
    </row>
    <row r="1010" customFormat="false" ht="12.75" hidden="false" customHeight="false" outlineLevel="0" collapsed="false">
      <c r="A1010" s="2" t="s">
        <v>72</v>
      </c>
      <c r="B1010" s="2" t="s">
        <v>17824</v>
      </c>
      <c r="C1010" s="2"/>
      <c r="D1010" s="2"/>
      <c r="E1010" s="2"/>
      <c r="F1010" s="2" t="s">
        <v>17825</v>
      </c>
      <c r="G1010" s="2"/>
      <c r="H1010" s="2"/>
      <c r="I1010" s="2" t="s">
        <v>17826</v>
      </c>
      <c r="J1010" s="2" t="s">
        <v>8394</v>
      </c>
      <c r="K1010" s="2"/>
      <c r="L1010" s="2"/>
      <c r="M1010" s="2" t="s">
        <v>77</v>
      </c>
      <c r="N1010" s="2" t="s">
        <v>78</v>
      </c>
      <c r="O1010" s="2"/>
      <c r="P1010" s="2"/>
      <c r="Q1010" s="2"/>
      <c r="R1010" s="2"/>
      <c r="S1010" s="2"/>
      <c r="T1010" s="2" t="s">
        <v>17827</v>
      </c>
      <c r="U1010" s="2" t="s">
        <v>17828</v>
      </c>
      <c r="V1010" s="2" t="s">
        <v>17829</v>
      </c>
      <c r="W1010" s="2" t="s">
        <v>17830</v>
      </c>
      <c r="X1010" s="2" t="s">
        <v>17831</v>
      </c>
      <c r="Y1010" s="2" t="s">
        <v>17832</v>
      </c>
      <c r="Z1010" s="2" t="s">
        <v>17833</v>
      </c>
      <c r="AA1010" s="2" t="s">
        <v>17834</v>
      </c>
      <c r="AB1010" s="2" t="s">
        <v>17835</v>
      </c>
      <c r="AC1010" s="2"/>
      <c r="AD1010" s="2"/>
      <c r="AE1010" s="2"/>
      <c r="AF1010" s="2"/>
      <c r="AG1010" s="2" t="n">
        <v>16</v>
      </c>
      <c r="AH1010" s="2" t="n">
        <v>51</v>
      </c>
      <c r="AI1010" s="2" t="n">
        <v>51</v>
      </c>
      <c r="AJ1010" s="2" t="n">
        <v>0</v>
      </c>
      <c r="AK1010" s="2" t="n">
        <v>1</v>
      </c>
      <c r="AL1010" s="2" t="s">
        <v>7639</v>
      </c>
      <c r="AM1010" s="2" t="s">
        <v>783</v>
      </c>
      <c r="AN1010" s="2" t="s">
        <v>7640</v>
      </c>
      <c r="AO1010" s="2" t="s">
        <v>8402</v>
      </c>
      <c r="AP1010" s="2" t="s">
        <v>8403</v>
      </c>
      <c r="AQ1010" s="2"/>
      <c r="AR1010" s="2" t="s">
        <v>8404</v>
      </c>
      <c r="AS1010" s="2" t="s">
        <v>8405</v>
      </c>
      <c r="AT1010" s="2" t="s">
        <v>446</v>
      </c>
      <c r="AU1010" s="2" t="n">
        <v>2018</v>
      </c>
      <c r="AV1010" s="2" t="n">
        <v>7</v>
      </c>
      <c r="AW1010" s="2" t="n">
        <v>4</v>
      </c>
      <c r="AX1010" s="2"/>
      <c r="AY1010" s="2"/>
      <c r="AZ1010" s="2"/>
      <c r="BA1010" s="2"/>
      <c r="BB1010" s="2" t="n">
        <v>275</v>
      </c>
      <c r="BC1010" s="2" t="n">
        <v>282</v>
      </c>
      <c r="BD1010" s="2"/>
      <c r="BE1010" s="2" t="s">
        <v>17836</v>
      </c>
      <c r="BF1010" s="2" t="str">
        <f aca="false">HYPERLINK("http://dx.doi.org/10.1093/jpids/pix051","http://dx.doi.org/10.1093/jpids/pix051")</f>
        <v>http://dx.doi.org/10.1093/jpids/pix051</v>
      </c>
      <c r="BG1010" s="2"/>
      <c r="BH1010" s="2"/>
      <c r="BI1010" s="2" t="n">
        <v>8</v>
      </c>
      <c r="BJ1010" s="2" t="s">
        <v>417</v>
      </c>
      <c r="BK1010" s="2" t="s">
        <v>100</v>
      </c>
      <c r="BL1010" s="2" t="s">
        <v>417</v>
      </c>
      <c r="BM1010" s="2" t="s">
        <v>17837</v>
      </c>
      <c r="BN1010" s="2" t="n">
        <v>29106589</v>
      </c>
      <c r="BO1010" s="2" t="s">
        <v>1267</v>
      </c>
      <c r="BP1010" s="2"/>
      <c r="BQ1010" s="2"/>
      <c r="BR1010" s="2" t="s">
        <v>104</v>
      </c>
      <c r="BS1010" s="2" t="s">
        <v>17838</v>
      </c>
      <c r="BT1010" s="2" t="str">
        <f aca="false">HYPERLINK("https%3A%2F%2Fwww.webofscience.com%2Fwos%2Fwoscc%2Ffull-record%2FWOS:000456128300003","View Full Record in Web of Science")</f>
        <v>View Full Record in Web of Science</v>
      </c>
    </row>
    <row r="1011" customFormat="false" ht="12.75" hidden="false" customHeight="false" outlineLevel="0" collapsed="false">
      <c r="A1011" s="2" t="s">
        <v>72</v>
      </c>
      <c r="B1011" s="2" t="s">
        <v>17839</v>
      </c>
      <c r="C1011" s="2"/>
      <c r="D1011" s="2"/>
      <c r="E1011" s="2"/>
      <c r="F1011" s="2" t="s">
        <v>17840</v>
      </c>
      <c r="G1011" s="2"/>
      <c r="H1011" s="2"/>
      <c r="I1011" s="2" t="s">
        <v>17841</v>
      </c>
      <c r="J1011" s="2" t="s">
        <v>949</v>
      </c>
      <c r="K1011" s="2"/>
      <c r="L1011" s="2"/>
      <c r="M1011" s="2" t="s">
        <v>77</v>
      </c>
      <c r="N1011" s="2" t="s">
        <v>78</v>
      </c>
      <c r="O1011" s="2"/>
      <c r="P1011" s="2"/>
      <c r="Q1011" s="2"/>
      <c r="R1011" s="2"/>
      <c r="S1011" s="2"/>
      <c r="T1011" s="2" t="s">
        <v>17842</v>
      </c>
      <c r="U1011" s="2" t="s">
        <v>17843</v>
      </c>
      <c r="V1011" s="2" t="s">
        <v>17844</v>
      </c>
      <c r="W1011" s="2" t="s">
        <v>17845</v>
      </c>
      <c r="X1011" s="2" t="s">
        <v>1501</v>
      </c>
      <c r="Y1011" s="2" t="s">
        <v>17846</v>
      </c>
      <c r="Z1011" s="2" t="s">
        <v>17847</v>
      </c>
      <c r="AA1011" s="2"/>
      <c r="AB1011" s="2"/>
      <c r="AC1011" s="2"/>
      <c r="AD1011" s="2"/>
      <c r="AE1011" s="2"/>
      <c r="AF1011" s="2"/>
      <c r="AG1011" s="2" t="n">
        <v>132</v>
      </c>
      <c r="AH1011" s="2" t="n">
        <v>23</v>
      </c>
      <c r="AI1011" s="2" t="n">
        <v>22</v>
      </c>
      <c r="AJ1011" s="2" t="n">
        <v>0</v>
      </c>
      <c r="AK1011" s="2" t="n">
        <v>9</v>
      </c>
      <c r="AL1011" s="2" t="s">
        <v>957</v>
      </c>
      <c r="AM1011" s="2" t="s">
        <v>123</v>
      </c>
      <c r="AN1011" s="2" t="s">
        <v>958</v>
      </c>
      <c r="AO1011" s="2" t="s">
        <v>959</v>
      </c>
      <c r="AP1011" s="2" t="s">
        <v>960</v>
      </c>
      <c r="AQ1011" s="2"/>
      <c r="AR1011" s="2" t="s">
        <v>961</v>
      </c>
      <c r="AS1011" s="2" t="s">
        <v>962</v>
      </c>
      <c r="AT1011" s="2" t="s">
        <v>486</v>
      </c>
      <c r="AU1011" s="2" t="n">
        <v>2010</v>
      </c>
      <c r="AV1011" s="2" t="n">
        <v>24</v>
      </c>
      <c r="AW1011" s="2" t="n">
        <v>2</v>
      </c>
      <c r="AX1011" s="2"/>
      <c r="AY1011" s="2"/>
      <c r="AZ1011" s="2"/>
      <c r="BA1011" s="2"/>
      <c r="BB1011" s="2" t="n">
        <v>395</v>
      </c>
      <c r="BC1011" s="2" t="s">
        <v>986</v>
      </c>
      <c r="BD1011" s="2"/>
      <c r="BE1011" s="2" t="s">
        <v>17848</v>
      </c>
      <c r="BF1011" s="2" t="str">
        <f aca="false">HYPERLINK("http://dx.doi.org/10.1016/j.idc.2010.01.007","http://dx.doi.org/10.1016/j.idc.2010.01.007")</f>
        <v>http://dx.doi.org/10.1016/j.idc.2010.01.007</v>
      </c>
      <c r="BG1011" s="2"/>
      <c r="BH1011" s="2"/>
      <c r="BI1011" s="2" t="n">
        <v>20</v>
      </c>
      <c r="BJ1011" s="2" t="s">
        <v>965</v>
      </c>
      <c r="BK1011" s="2" t="s">
        <v>100</v>
      </c>
      <c r="BL1011" s="2" t="s">
        <v>965</v>
      </c>
      <c r="BM1011" s="2" t="s">
        <v>17849</v>
      </c>
      <c r="BN1011" s="2" t="n">
        <v>20466276</v>
      </c>
      <c r="BO1011" s="2" t="s">
        <v>1089</v>
      </c>
      <c r="BP1011" s="2"/>
      <c r="BQ1011" s="2"/>
      <c r="BR1011" s="2" t="s">
        <v>104</v>
      </c>
      <c r="BS1011" s="2" t="s">
        <v>17850</v>
      </c>
      <c r="BT1011" s="2" t="str">
        <f aca="false">HYPERLINK("https%3A%2F%2Fwww.webofscience.com%2Fwos%2Fwoscc%2Ffull-record%2FWOS:000278466600009","View Full Record in Web of Science")</f>
        <v>View Full Record in Web of Science</v>
      </c>
    </row>
    <row r="1012" customFormat="false" ht="12.75" hidden="false" customHeight="false" outlineLevel="0" collapsed="false">
      <c r="A1012" s="2" t="s">
        <v>72</v>
      </c>
      <c r="B1012" s="2" t="s">
        <v>17851</v>
      </c>
      <c r="C1012" s="2"/>
      <c r="D1012" s="2"/>
      <c r="E1012" s="2"/>
      <c r="F1012" s="2" t="s">
        <v>17852</v>
      </c>
      <c r="G1012" s="2"/>
      <c r="H1012" s="2"/>
      <c r="I1012" s="2" t="s">
        <v>17853</v>
      </c>
      <c r="J1012" s="2" t="s">
        <v>1413</v>
      </c>
      <c r="K1012" s="2"/>
      <c r="L1012" s="2"/>
      <c r="M1012" s="2" t="s">
        <v>77</v>
      </c>
      <c r="N1012" s="2" t="s">
        <v>78</v>
      </c>
      <c r="O1012" s="2"/>
      <c r="P1012" s="2"/>
      <c r="Q1012" s="2"/>
      <c r="R1012" s="2"/>
      <c r="S1012" s="2"/>
      <c r="T1012" s="2" t="s">
        <v>17854</v>
      </c>
      <c r="U1012" s="2" t="s">
        <v>17855</v>
      </c>
      <c r="V1012" s="2" t="s">
        <v>17856</v>
      </c>
      <c r="W1012" s="2" t="s">
        <v>17857</v>
      </c>
      <c r="X1012" s="2" t="s">
        <v>17858</v>
      </c>
      <c r="Y1012" s="2" t="s">
        <v>17859</v>
      </c>
      <c r="Z1012" s="2" t="s">
        <v>17860</v>
      </c>
      <c r="AA1012" s="2" t="s">
        <v>17861</v>
      </c>
      <c r="AB1012" s="2" t="s">
        <v>17862</v>
      </c>
      <c r="AC1012" s="2" t="s">
        <v>17863</v>
      </c>
      <c r="AD1012" s="2" t="s">
        <v>17864</v>
      </c>
      <c r="AE1012" s="2" t="s">
        <v>17865</v>
      </c>
      <c r="AF1012" s="2"/>
      <c r="AG1012" s="2" t="n">
        <v>74</v>
      </c>
      <c r="AH1012" s="2" t="n">
        <v>18</v>
      </c>
      <c r="AI1012" s="2" t="n">
        <v>22</v>
      </c>
      <c r="AJ1012" s="2" t="n">
        <v>0</v>
      </c>
      <c r="AK1012" s="2" t="n">
        <v>9</v>
      </c>
      <c r="AL1012" s="2" t="s">
        <v>383</v>
      </c>
      <c r="AM1012" s="2" t="s">
        <v>384</v>
      </c>
      <c r="AN1012" s="2" t="s">
        <v>385</v>
      </c>
      <c r="AO1012" s="2" t="s">
        <v>1421</v>
      </c>
      <c r="AP1012" s="2" t="s">
        <v>1422</v>
      </c>
      <c r="AQ1012" s="2"/>
      <c r="AR1012" s="2" t="s">
        <v>1423</v>
      </c>
      <c r="AS1012" s="2" t="s">
        <v>1424</v>
      </c>
      <c r="AT1012" s="2" t="s">
        <v>129</v>
      </c>
      <c r="AU1012" s="2" t="n">
        <v>2011</v>
      </c>
      <c r="AV1012" s="2" t="n">
        <v>160</v>
      </c>
      <c r="AW1012" s="2" t="s">
        <v>1407</v>
      </c>
      <c r="AX1012" s="2"/>
      <c r="AY1012" s="2"/>
      <c r="AZ1012" s="2"/>
      <c r="BA1012" s="2"/>
      <c r="BB1012" s="2" t="n">
        <v>283</v>
      </c>
      <c r="BC1012" s="2" t="n">
        <v>293</v>
      </c>
      <c r="BD1012" s="2"/>
      <c r="BE1012" s="2" t="s">
        <v>17866</v>
      </c>
      <c r="BF1012" s="2" t="str">
        <f aca="false">HYPERLINK("http://dx.doi.org/10.1016/j.virusres.2011.06.029","http://dx.doi.org/10.1016/j.virusres.2011.06.029")</f>
        <v>http://dx.doi.org/10.1016/j.virusres.2011.06.029</v>
      </c>
      <c r="BG1012" s="2"/>
      <c r="BH1012" s="2"/>
      <c r="BI1012" s="2" t="n">
        <v>11</v>
      </c>
      <c r="BJ1012" s="2" t="s">
        <v>163</v>
      </c>
      <c r="BK1012" s="2" t="s">
        <v>100</v>
      </c>
      <c r="BL1012" s="2" t="s">
        <v>163</v>
      </c>
      <c r="BM1012" s="2" t="s">
        <v>9739</v>
      </c>
      <c r="BN1012" s="2" t="n">
        <v>21798295</v>
      </c>
      <c r="BO1012" s="2" t="s">
        <v>165</v>
      </c>
      <c r="BP1012" s="2"/>
      <c r="BQ1012" s="2"/>
      <c r="BR1012" s="2" t="s">
        <v>104</v>
      </c>
      <c r="BS1012" s="2" t="s">
        <v>17867</v>
      </c>
      <c r="BT1012" s="2" t="str">
        <f aca="false">HYPERLINK("https%3A%2F%2Fwww.webofscience.com%2Fwos%2Fwoscc%2Ffull-record%2FWOS:000295345600035","View Full Record in Web of Science")</f>
        <v>View Full Record in Web of Science</v>
      </c>
    </row>
    <row r="1013" customFormat="false" ht="12.75" hidden="false" customHeight="false" outlineLevel="0" collapsed="false">
      <c r="A1013" s="2" t="s">
        <v>72</v>
      </c>
      <c r="B1013" s="2" t="s">
        <v>17868</v>
      </c>
      <c r="C1013" s="2"/>
      <c r="D1013" s="2"/>
      <c r="E1013" s="2"/>
      <c r="F1013" s="2" t="s">
        <v>17869</v>
      </c>
      <c r="G1013" s="2"/>
      <c r="H1013" s="2"/>
      <c r="I1013" s="2" t="s">
        <v>17870</v>
      </c>
      <c r="J1013" s="2" t="s">
        <v>370</v>
      </c>
      <c r="K1013" s="2"/>
      <c r="L1013" s="2"/>
      <c r="M1013" s="2" t="s">
        <v>77</v>
      </c>
      <c r="N1013" s="2" t="s">
        <v>78</v>
      </c>
      <c r="O1013" s="2"/>
      <c r="P1013" s="2"/>
      <c r="Q1013" s="2"/>
      <c r="R1013" s="2"/>
      <c r="S1013" s="2"/>
      <c r="T1013" s="2" t="s">
        <v>17871</v>
      </c>
      <c r="U1013" s="2" t="s">
        <v>17872</v>
      </c>
      <c r="V1013" s="2" t="s">
        <v>17873</v>
      </c>
      <c r="W1013" s="2" t="s">
        <v>17874</v>
      </c>
      <c r="X1013" s="2" t="s">
        <v>9444</v>
      </c>
      <c r="Y1013" s="2" t="s">
        <v>17875</v>
      </c>
      <c r="Z1013" s="2" t="s">
        <v>223</v>
      </c>
      <c r="AA1013" s="2" t="s">
        <v>224</v>
      </c>
      <c r="AB1013" s="2" t="s">
        <v>225</v>
      </c>
      <c r="AC1013" s="2"/>
      <c r="AD1013" s="2"/>
      <c r="AE1013" s="2"/>
      <c r="AF1013" s="2"/>
      <c r="AG1013" s="2" t="n">
        <v>19</v>
      </c>
      <c r="AH1013" s="2" t="n">
        <v>40</v>
      </c>
      <c r="AI1013" s="2" t="n">
        <v>42</v>
      </c>
      <c r="AJ1013" s="2" t="n">
        <v>0</v>
      </c>
      <c r="AK1013" s="2" t="n">
        <v>3</v>
      </c>
      <c r="AL1013" s="2" t="s">
        <v>549</v>
      </c>
      <c r="AM1013" s="2" t="s">
        <v>384</v>
      </c>
      <c r="AN1013" s="2" t="s">
        <v>550</v>
      </c>
      <c r="AO1013" s="2" t="s">
        <v>386</v>
      </c>
      <c r="AP1013" s="2"/>
      <c r="AQ1013" s="2"/>
      <c r="AR1013" s="2" t="s">
        <v>388</v>
      </c>
      <c r="AS1013" s="2" t="s">
        <v>389</v>
      </c>
      <c r="AT1013" s="2" t="s">
        <v>161</v>
      </c>
      <c r="AU1013" s="2" t="n">
        <v>2007</v>
      </c>
      <c r="AV1013" s="2" t="n">
        <v>38</v>
      </c>
      <c r="AW1013" s="2" t="n">
        <v>1</v>
      </c>
      <c r="AX1013" s="2"/>
      <c r="AY1013" s="2"/>
      <c r="AZ1013" s="2"/>
      <c r="BA1013" s="2"/>
      <c r="BB1013" s="2" t="n">
        <v>27</v>
      </c>
      <c r="BC1013" s="2" t="n">
        <v>31</v>
      </c>
      <c r="BD1013" s="2"/>
      <c r="BE1013" s="2" t="s">
        <v>17876</v>
      </c>
      <c r="BF1013" s="2" t="str">
        <f aca="false">HYPERLINK("http://dx.doi.org/10.1016/j.jcv.2006.10.009","http://dx.doi.org/10.1016/j.jcv.2006.10.009")</f>
        <v>http://dx.doi.org/10.1016/j.jcv.2006.10.009</v>
      </c>
      <c r="BG1013" s="2"/>
      <c r="BH1013" s="2"/>
      <c r="BI1013" s="2" t="n">
        <v>5</v>
      </c>
      <c r="BJ1013" s="2" t="s">
        <v>163</v>
      </c>
      <c r="BK1013" s="2" t="s">
        <v>100</v>
      </c>
      <c r="BL1013" s="2" t="s">
        <v>163</v>
      </c>
      <c r="BM1013" s="2" t="s">
        <v>16036</v>
      </c>
      <c r="BN1013" s="2" t="n">
        <v>17137835</v>
      </c>
      <c r="BO1013" s="2" t="s">
        <v>1089</v>
      </c>
      <c r="BP1013" s="2"/>
      <c r="BQ1013" s="2"/>
      <c r="BR1013" s="2" t="s">
        <v>104</v>
      </c>
      <c r="BS1013" s="2" t="s">
        <v>17877</v>
      </c>
      <c r="BT1013" s="2" t="str">
        <f aca="false">HYPERLINK("https%3A%2F%2Fwww.webofscience.com%2Fwos%2Fwoscc%2Ffull-record%2FWOS:000243736900005","View Full Record in Web of Science")</f>
        <v>View Full Record in Web of Science</v>
      </c>
    </row>
    <row r="1014" customFormat="false" ht="12.75" hidden="false" customHeight="false" outlineLevel="0" collapsed="false">
      <c r="A1014" s="2" t="s">
        <v>72</v>
      </c>
      <c r="B1014" s="2" t="s">
        <v>17878</v>
      </c>
      <c r="C1014" s="2"/>
      <c r="D1014" s="2"/>
      <c r="E1014" s="2"/>
      <c r="F1014" s="2" t="s">
        <v>17878</v>
      </c>
      <c r="G1014" s="2"/>
      <c r="H1014" s="2"/>
      <c r="I1014" s="2" t="s">
        <v>17879</v>
      </c>
      <c r="J1014" s="2" t="s">
        <v>141</v>
      </c>
      <c r="K1014" s="2"/>
      <c r="L1014" s="2"/>
      <c r="M1014" s="2" t="s">
        <v>77</v>
      </c>
      <c r="N1014" s="2" t="s">
        <v>78</v>
      </c>
      <c r="O1014" s="2"/>
      <c r="P1014" s="2"/>
      <c r="Q1014" s="2"/>
      <c r="R1014" s="2"/>
      <c r="S1014" s="2"/>
      <c r="T1014" s="2" t="s">
        <v>17880</v>
      </c>
      <c r="U1014" s="2" t="s">
        <v>17881</v>
      </c>
      <c r="V1014" s="2" t="s">
        <v>17882</v>
      </c>
      <c r="W1014" s="2" t="s">
        <v>17883</v>
      </c>
      <c r="X1014" s="2" t="s">
        <v>12119</v>
      </c>
      <c r="Y1014" s="2" t="s">
        <v>17884</v>
      </c>
      <c r="Z1014" s="2" t="s">
        <v>13853</v>
      </c>
      <c r="AA1014" s="2"/>
      <c r="AB1014" s="2" t="s">
        <v>13855</v>
      </c>
      <c r="AC1014" s="2"/>
      <c r="AD1014" s="2"/>
      <c r="AE1014" s="2"/>
      <c r="AF1014" s="2"/>
      <c r="AG1014" s="2" t="n">
        <v>14</v>
      </c>
      <c r="AH1014" s="2" t="n">
        <v>83</v>
      </c>
      <c r="AI1014" s="2" t="n">
        <v>94</v>
      </c>
      <c r="AJ1014" s="2" t="n">
        <v>1</v>
      </c>
      <c r="AK1014" s="2" t="n">
        <v>3</v>
      </c>
      <c r="AL1014" s="2" t="s">
        <v>154</v>
      </c>
      <c r="AM1014" s="2" t="s">
        <v>155</v>
      </c>
      <c r="AN1014" s="2" t="s">
        <v>156</v>
      </c>
      <c r="AO1014" s="2" t="s">
        <v>157</v>
      </c>
      <c r="AP1014" s="2" t="s">
        <v>158</v>
      </c>
      <c r="AQ1014" s="2"/>
      <c r="AR1014" s="2" t="s">
        <v>159</v>
      </c>
      <c r="AS1014" s="2" t="s">
        <v>160</v>
      </c>
      <c r="AT1014" s="2" t="s">
        <v>97</v>
      </c>
      <c r="AU1014" s="2" t="n">
        <v>2005</v>
      </c>
      <c r="AV1014" s="2" t="n">
        <v>75</v>
      </c>
      <c r="AW1014" s="2" t="n">
        <v>3</v>
      </c>
      <c r="AX1014" s="2"/>
      <c r="AY1014" s="2"/>
      <c r="AZ1014" s="2"/>
      <c r="BA1014" s="2"/>
      <c r="BB1014" s="2" t="n">
        <v>463</v>
      </c>
      <c r="BC1014" s="2" t="n">
        <v>465</v>
      </c>
      <c r="BD1014" s="2"/>
      <c r="BE1014" s="2" t="s">
        <v>17885</v>
      </c>
      <c r="BF1014" s="2" t="str">
        <f aca="false">HYPERLINK("http://dx.doi.org/10.1002/jmv.20289","http://dx.doi.org/10.1002/jmv.20289")</f>
        <v>http://dx.doi.org/10.1002/jmv.20289</v>
      </c>
      <c r="BG1014" s="2"/>
      <c r="BH1014" s="2"/>
      <c r="BI1014" s="2" t="n">
        <v>3</v>
      </c>
      <c r="BJ1014" s="2" t="s">
        <v>163</v>
      </c>
      <c r="BK1014" s="2" t="s">
        <v>100</v>
      </c>
      <c r="BL1014" s="2" t="s">
        <v>163</v>
      </c>
      <c r="BM1014" s="2" t="s">
        <v>17886</v>
      </c>
      <c r="BN1014" s="2" t="n">
        <v>15648061</v>
      </c>
      <c r="BO1014" s="2" t="s">
        <v>538</v>
      </c>
      <c r="BP1014" s="2"/>
      <c r="BQ1014" s="2"/>
      <c r="BR1014" s="2" t="s">
        <v>104</v>
      </c>
      <c r="BS1014" s="2" t="s">
        <v>17887</v>
      </c>
      <c r="BT1014" s="2" t="str">
        <f aca="false">HYPERLINK("https%3A%2F%2Fwww.webofscience.com%2Fwos%2Fwoscc%2Ffull-record%2FWOS:000226700900015","View Full Record in Web of Science")</f>
        <v>View Full Record in Web of Science</v>
      </c>
    </row>
    <row r="1015" customFormat="false" ht="12.75" hidden="false" customHeight="false" outlineLevel="0" collapsed="false">
      <c r="A1015" s="2" t="s">
        <v>72</v>
      </c>
      <c r="B1015" s="2" t="s">
        <v>17888</v>
      </c>
      <c r="C1015" s="2"/>
      <c r="D1015" s="2"/>
      <c r="E1015" s="2"/>
      <c r="F1015" s="2" t="s">
        <v>17889</v>
      </c>
      <c r="G1015" s="2"/>
      <c r="H1015" s="2"/>
      <c r="I1015" s="2" t="s">
        <v>17890</v>
      </c>
      <c r="J1015" s="2" t="s">
        <v>17891</v>
      </c>
      <c r="K1015" s="2"/>
      <c r="L1015" s="2"/>
      <c r="M1015" s="2" t="s">
        <v>77</v>
      </c>
      <c r="N1015" s="2" t="s">
        <v>78</v>
      </c>
      <c r="O1015" s="2"/>
      <c r="P1015" s="2"/>
      <c r="Q1015" s="2"/>
      <c r="R1015" s="2"/>
      <c r="S1015" s="2"/>
      <c r="T1015" s="2" t="s">
        <v>17892</v>
      </c>
      <c r="U1015" s="2" t="s">
        <v>17893</v>
      </c>
      <c r="V1015" s="2" t="s">
        <v>17894</v>
      </c>
      <c r="W1015" s="2" t="s">
        <v>17895</v>
      </c>
      <c r="X1015" s="2"/>
      <c r="Y1015" s="2" t="s">
        <v>17896</v>
      </c>
      <c r="Z1015" s="2" t="s">
        <v>17897</v>
      </c>
      <c r="AA1015" s="2"/>
      <c r="AB1015" s="2"/>
      <c r="AC1015" s="2"/>
      <c r="AD1015" s="2"/>
      <c r="AE1015" s="2"/>
      <c r="AF1015" s="2"/>
      <c r="AG1015" s="2" t="n">
        <v>56</v>
      </c>
      <c r="AH1015" s="2" t="n">
        <v>0</v>
      </c>
      <c r="AI1015" s="2" t="n">
        <v>0</v>
      </c>
      <c r="AJ1015" s="2" t="n">
        <v>1</v>
      </c>
      <c r="AK1015" s="2" t="n">
        <v>1</v>
      </c>
      <c r="AL1015" s="2" t="s">
        <v>17898</v>
      </c>
      <c r="AM1015" s="2" t="s">
        <v>17899</v>
      </c>
      <c r="AN1015" s="2" t="s">
        <v>17900</v>
      </c>
      <c r="AO1015" s="2"/>
      <c r="AP1015" s="2" t="s">
        <v>17901</v>
      </c>
      <c r="AQ1015" s="2"/>
      <c r="AR1015" s="2" t="s">
        <v>17902</v>
      </c>
      <c r="AS1015" s="2" t="s">
        <v>17903</v>
      </c>
      <c r="AT1015" s="2" t="s">
        <v>97</v>
      </c>
      <c r="AU1015" s="2" t="n">
        <v>2024</v>
      </c>
      <c r="AV1015" s="2" t="n">
        <v>7</v>
      </c>
      <c r="AW1015" s="2" t="n">
        <v>1</v>
      </c>
      <c r="AX1015" s="2"/>
      <c r="AY1015" s="2"/>
      <c r="AZ1015" s="2"/>
      <c r="BA1015" s="2"/>
      <c r="BB1015" s="2" t="n">
        <v>24</v>
      </c>
      <c r="BC1015" s="2" t="n">
        <v>38</v>
      </c>
      <c r="BD1015" s="2"/>
      <c r="BE1015" s="2" t="s">
        <v>17904</v>
      </c>
      <c r="BF1015" s="2" t="str">
        <f aca="false">HYPERLINK("http://dx.doi.org/10.18502/dmj.v7i1.17497","http://dx.doi.org/10.18502/dmj.v7i1.17497")</f>
        <v>http://dx.doi.org/10.18502/dmj.v7i1.17497</v>
      </c>
      <c r="BG1015" s="2"/>
      <c r="BH1015" s="2"/>
      <c r="BI1015" s="2" t="n">
        <v>15</v>
      </c>
      <c r="BJ1015" s="2" t="s">
        <v>363</v>
      </c>
      <c r="BK1015" s="2" t="s">
        <v>339</v>
      </c>
      <c r="BL1015" s="2" t="s">
        <v>364</v>
      </c>
      <c r="BM1015" s="2" t="s">
        <v>17905</v>
      </c>
      <c r="BN1015" s="2"/>
      <c r="BO1015" s="2" t="s">
        <v>1355</v>
      </c>
      <c r="BP1015" s="2"/>
      <c r="BQ1015" s="2"/>
      <c r="BR1015" s="2" t="s">
        <v>104</v>
      </c>
      <c r="BS1015" s="2" t="s">
        <v>17906</v>
      </c>
      <c r="BT1015" s="2" t="str">
        <f aca="false">HYPERLINK("https%3A%2F%2Fwww.webofscience.com%2Fwos%2Fwoscc%2Ffull-record%2FWOS:001358043400005","View Full Record in Web of Science")</f>
        <v>View Full Record in Web of Science</v>
      </c>
    </row>
    <row r="1016" customFormat="false" ht="12.75" hidden="false" customHeight="false" outlineLevel="0" collapsed="false">
      <c r="A1016" s="2" t="s">
        <v>72</v>
      </c>
      <c r="B1016" s="2" t="s">
        <v>17907</v>
      </c>
      <c r="C1016" s="2"/>
      <c r="D1016" s="2"/>
      <c r="E1016" s="2"/>
      <c r="F1016" s="2" t="s">
        <v>17908</v>
      </c>
      <c r="G1016" s="2"/>
      <c r="H1016" s="2"/>
      <c r="I1016" s="2" t="s">
        <v>17909</v>
      </c>
      <c r="J1016" s="2" t="s">
        <v>11019</v>
      </c>
      <c r="K1016" s="2"/>
      <c r="L1016" s="2"/>
      <c r="M1016" s="2" t="s">
        <v>77</v>
      </c>
      <c r="N1016" s="2" t="s">
        <v>78</v>
      </c>
      <c r="O1016" s="2"/>
      <c r="P1016" s="2"/>
      <c r="Q1016" s="2"/>
      <c r="R1016" s="2"/>
      <c r="S1016" s="2"/>
      <c r="T1016" s="2" t="s">
        <v>17910</v>
      </c>
      <c r="U1016" s="2" t="s">
        <v>17911</v>
      </c>
      <c r="V1016" s="2" t="s">
        <v>17912</v>
      </c>
      <c r="W1016" s="2" t="s">
        <v>17913</v>
      </c>
      <c r="X1016" s="2" t="s">
        <v>17914</v>
      </c>
      <c r="Y1016" s="2" t="s">
        <v>17915</v>
      </c>
      <c r="Z1016" s="2" t="s">
        <v>17916</v>
      </c>
      <c r="AA1016" s="2"/>
      <c r="AB1016" s="2" t="s">
        <v>17917</v>
      </c>
      <c r="AC1016" s="2" t="s">
        <v>17918</v>
      </c>
      <c r="AD1016" s="2" t="s">
        <v>17919</v>
      </c>
      <c r="AE1016" s="2" t="s">
        <v>17920</v>
      </c>
      <c r="AF1016" s="2"/>
      <c r="AG1016" s="2" t="n">
        <v>15</v>
      </c>
      <c r="AH1016" s="2" t="n">
        <v>1</v>
      </c>
      <c r="AI1016" s="2" t="n">
        <v>1</v>
      </c>
      <c r="AJ1016" s="2" t="n">
        <v>1</v>
      </c>
      <c r="AK1016" s="2" t="n">
        <v>1</v>
      </c>
      <c r="AL1016" s="2" t="s">
        <v>154</v>
      </c>
      <c r="AM1016" s="2" t="s">
        <v>155</v>
      </c>
      <c r="AN1016" s="2" t="s">
        <v>156</v>
      </c>
      <c r="AO1016" s="2" t="s">
        <v>11028</v>
      </c>
      <c r="AP1016" s="2" t="s">
        <v>11029</v>
      </c>
      <c r="AQ1016" s="2"/>
      <c r="AR1016" s="2" t="s">
        <v>11030</v>
      </c>
      <c r="AS1016" s="2" t="s">
        <v>11031</v>
      </c>
      <c r="AT1016" s="2" t="s">
        <v>390</v>
      </c>
      <c r="AU1016" s="2" t="n">
        <v>2024</v>
      </c>
      <c r="AV1016" s="2" t="n">
        <v>18</v>
      </c>
      <c r="AW1016" s="2" t="n">
        <v>5</v>
      </c>
      <c r="AX1016" s="2"/>
      <c r="AY1016" s="2"/>
      <c r="AZ1016" s="2"/>
      <c r="BA1016" s="2"/>
      <c r="BB1016" s="2"/>
      <c r="BC1016" s="2"/>
      <c r="BD1016" s="2" t="s">
        <v>17921</v>
      </c>
      <c r="BE1016" s="2" t="s">
        <v>17922</v>
      </c>
      <c r="BF1016" s="2" t="str">
        <f aca="false">HYPERLINK("http://dx.doi.org/10.1111/irv.13275","http://dx.doi.org/10.1111/irv.13275")</f>
        <v>http://dx.doi.org/10.1111/irv.13275</v>
      </c>
      <c r="BG1016" s="2"/>
      <c r="BH1016" s="2"/>
      <c r="BI1016" s="2" t="n">
        <v>10</v>
      </c>
      <c r="BJ1016" s="2" t="s">
        <v>8287</v>
      </c>
      <c r="BK1016" s="2" t="s">
        <v>100</v>
      </c>
      <c r="BL1016" s="2" t="s">
        <v>8287</v>
      </c>
      <c r="BM1016" s="2" t="s">
        <v>17923</v>
      </c>
      <c r="BN1016" s="2" t="n">
        <v>38692663</v>
      </c>
      <c r="BO1016" s="2" t="s">
        <v>165</v>
      </c>
      <c r="BP1016" s="2"/>
      <c r="BQ1016" s="2"/>
      <c r="BR1016" s="2" t="s">
        <v>104</v>
      </c>
      <c r="BS1016" s="2" t="s">
        <v>17924</v>
      </c>
      <c r="BT1016" s="2" t="str">
        <f aca="false">HYPERLINK("https%3A%2F%2Fwww.webofscience.com%2Fwos%2Fwoscc%2Ffull-record%2FWOS:001210914700001","View Full Record in Web of Science")</f>
        <v>View Full Record in Web of Science</v>
      </c>
    </row>
    <row r="1017" customFormat="false" ht="12.75" hidden="false" customHeight="false" outlineLevel="0" collapsed="false">
      <c r="A1017" s="2" t="s">
        <v>72</v>
      </c>
      <c r="B1017" s="2" t="s">
        <v>17925</v>
      </c>
      <c r="C1017" s="2"/>
      <c r="D1017" s="2"/>
      <c r="E1017" s="2"/>
      <c r="F1017" s="2" t="s">
        <v>17926</v>
      </c>
      <c r="G1017" s="2"/>
      <c r="H1017" s="2"/>
      <c r="I1017" s="2" t="s">
        <v>17927</v>
      </c>
      <c r="J1017" s="2" t="s">
        <v>17928</v>
      </c>
      <c r="K1017" s="2"/>
      <c r="L1017" s="2"/>
      <c r="M1017" s="2" t="s">
        <v>77</v>
      </c>
      <c r="N1017" s="2" t="s">
        <v>78</v>
      </c>
      <c r="O1017" s="2"/>
      <c r="P1017" s="2"/>
      <c r="Q1017" s="2"/>
      <c r="R1017" s="2"/>
      <c r="S1017" s="2"/>
      <c r="T1017" s="2" t="s">
        <v>17929</v>
      </c>
      <c r="U1017" s="2" t="s">
        <v>17930</v>
      </c>
      <c r="V1017" s="2" t="s">
        <v>17931</v>
      </c>
      <c r="W1017" s="2" t="s">
        <v>17932</v>
      </c>
      <c r="X1017" s="2" t="s">
        <v>17933</v>
      </c>
      <c r="Y1017" s="2" t="s">
        <v>17934</v>
      </c>
      <c r="Z1017" s="2" t="s">
        <v>17935</v>
      </c>
      <c r="AA1017" s="2" t="s">
        <v>17936</v>
      </c>
      <c r="AB1017" s="2" t="s">
        <v>17937</v>
      </c>
      <c r="AC1017" s="2"/>
      <c r="AD1017" s="2"/>
      <c r="AE1017" s="2"/>
      <c r="AF1017" s="2"/>
      <c r="AG1017" s="2" t="n">
        <v>33</v>
      </c>
      <c r="AH1017" s="2" t="n">
        <v>21</v>
      </c>
      <c r="AI1017" s="2" t="n">
        <v>21</v>
      </c>
      <c r="AJ1017" s="2" t="n">
        <v>0</v>
      </c>
      <c r="AK1017" s="2" t="n">
        <v>2</v>
      </c>
      <c r="AL1017" s="2" t="s">
        <v>782</v>
      </c>
      <c r="AM1017" s="2" t="s">
        <v>783</v>
      </c>
      <c r="AN1017" s="2" t="s">
        <v>784</v>
      </c>
      <c r="AO1017" s="2" t="s">
        <v>17938</v>
      </c>
      <c r="AP1017" s="2" t="s">
        <v>17939</v>
      </c>
      <c r="AQ1017" s="2"/>
      <c r="AR1017" s="2" t="s">
        <v>17940</v>
      </c>
      <c r="AS1017" s="2" t="s">
        <v>17941</v>
      </c>
      <c r="AT1017" s="2" t="s">
        <v>161</v>
      </c>
      <c r="AU1017" s="2" t="n">
        <v>2012</v>
      </c>
      <c r="AV1017" s="2" t="n">
        <v>10</v>
      </c>
      <c r="AW1017" s="2" t="n">
        <v>1</v>
      </c>
      <c r="AX1017" s="2"/>
      <c r="AY1017" s="2"/>
      <c r="AZ1017" s="2"/>
      <c r="BA1017" s="2"/>
      <c r="BB1017" s="2" t="n">
        <v>18</v>
      </c>
      <c r="BC1017" s="2" t="n">
        <v>24</v>
      </c>
      <c r="BD1017" s="2"/>
      <c r="BE1017" s="2" t="s">
        <v>17942</v>
      </c>
      <c r="BF1017" s="2" t="str">
        <f aca="false">HYPERLINK("http://dx.doi.org/10.1016/j.tmaid.2011.11.002","http://dx.doi.org/10.1016/j.tmaid.2011.11.002")</f>
        <v>http://dx.doi.org/10.1016/j.tmaid.2011.11.002</v>
      </c>
      <c r="BG1017" s="2"/>
      <c r="BH1017" s="2"/>
      <c r="BI1017" s="2" t="n">
        <v>7</v>
      </c>
      <c r="BJ1017" s="2" t="s">
        <v>2113</v>
      </c>
      <c r="BK1017" s="2" t="s">
        <v>100</v>
      </c>
      <c r="BL1017" s="2" t="s">
        <v>2113</v>
      </c>
      <c r="BM1017" s="2" t="s">
        <v>17943</v>
      </c>
      <c r="BN1017" s="2" t="n">
        <v>22197024</v>
      </c>
      <c r="BO1017" s="2" t="s">
        <v>1227</v>
      </c>
      <c r="BP1017" s="2"/>
      <c r="BQ1017" s="2"/>
      <c r="BR1017" s="2" t="s">
        <v>104</v>
      </c>
      <c r="BS1017" s="2" t="s">
        <v>17944</v>
      </c>
      <c r="BT1017" s="2" t="str">
        <f aca="false">HYPERLINK("https%3A%2F%2Fwww.webofscience.com%2Fwos%2Fwoscc%2Ffull-record%2FWOS:000301879300002","View Full Record in Web of Science")</f>
        <v>View Full Record in Web of Science</v>
      </c>
    </row>
    <row r="1018" customFormat="false" ht="12.75" hidden="false" customHeight="false" outlineLevel="0" collapsed="false">
      <c r="A1018" s="2" t="s">
        <v>72</v>
      </c>
      <c r="B1018" s="2" t="s">
        <v>17945</v>
      </c>
      <c r="C1018" s="2"/>
      <c r="D1018" s="2"/>
      <c r="E1018" s="2"/>
      <c r="F1018" s="2" t="s">
        <v>17946</v>
      </c>
      <c r="G1018" s="2"/>
      <c r="H1018" s="2"/>
      <c r="I1018" s="2" t="s">
        <v>17947</v>
      </c>
      <c r="J1018" s="2" t="s">
        <v>2001</v>
      </c>
      <c r="K1018" s="2"/>
      <c r="L1018" s="2"/>
      <c r="M1018" s="2" t="s">
        <v>77</v>
      </c>
      <c r="N1018" s="2" t="s">
        <v>78</v>
      </c>
      <c r="O1018" s="2"/>
      <c r="P1018" s="2"/>
      <c r="Q1018" s="2"/>
      <c r="R1018" s="2"/>
      <c r="S1018" s="2"/>
      <c r="T1018" s="2" t="s">
        <v>17948</v>
      </c>
      <c r="U1018" s="2" t="s">
        <v>17949</v>
      </c>
      <c r="V1018" s="2" t="s">
        <v>17950</v>
      </c>
      <c r="W1018" s="2" t="s">
        <v>17951</v>
      </c>
      <c r="X1018" s="2" t="s">
        <v>17952</v>
      </c>
      <c r="Y1018" s="2" t="s">
        <v>17953</v>
      </c>
      <c r="Z1018" s="2" t="s">
        <v>17954</v>
      </c>
      <c r="AA1018" s="2" t="s">
        <v>17955</v>
      </c>
      <c r="AB1018" s="2" t="s">
        <v>17956</v>
      </c>
      <c r="AC1018" s="2" t="s">
        <v>17957</v>
      </c>
      <c r="AD1018" s="2" t="s">
        <v>17958</v>
      </c>
      <c r="AE1018" s="2" t="s">
        <v>17959</v>
      </c>
      <c r="AF1018" s="2"/>
      <c r="AG1018" s="2" t="n">
        <v>35</v>
      </c>
      <c r="AH1018" s="2" t="n">
        <v>12</v>
      </c>
      <c r="AI1018" s="2" t="n">
        <v>13</v>
      </c>
      <c r="AJ1018" s="2" t="n">
        <v>0</v>
      </c>
      <c r="AK1018" s="2" t="n">
        <v>2</v>
      </c>
      <c r="AL1018" s="2" t="s">
        <v>91</v>
      </c>
      <c r="AM1018" s="2" t="s">
        <v>92</v>
      </c>
      <c r="AN1018" s="2" t="s">
        <v>93</v>
      </c>
      <c r="AO1018" s="2"/>
      <c r="AP1018" s="2" t="s">
        <v>2013</v>
      </c>
      <c r="AQ1018" s="2"/>
      <c r="AR1018" s="2" t="s">
        <v>2001</v>
      </c>
      <c r="AS1018" s="2" t="s">
        <v>2014</v>
      </c>
      <c r="AT1018" s="2" t="s">
        <v>97</v>
      </c>
      <c r="AU1018" s="2" t="n">
        <v>2021</v>
      </c>
      <c r="AV1018" s="2" t="n">
        <v>10</v>
      </c>
      <c r="AW1018" s="2" t="n">
        <v>3</v>
      </c>
      <c r="AX1018" s="2"/>
      <c r="AY1018" s="2"/>
      <c r="AZ1018" s="2"/>
      <c r="BA1018" s="2"/>
      <c r="BB1018" s="2"/>
      <c r="BC1018" s="2"/>
      <c r="BD1018" s="2" t="n">
        <v>315</v>
      </c>
      <c r="BE1018" s="2" t="s">
        <v>17960</v>
      </c>
      <c r="BF1018" s="2" t="str">
        <f aca="false">HYPERLINK("http://dx.doi.org/10.3390/pathogens10030315","http://dx.doi.org/10.3390/pathogens10030315")</f>
        <v>http://dx.doi.org/10.3390/pathogens10030315</v>
      </c>
      <c r="BG1018" s="2"/>
      <c r="BH1018" s="2"/>
      <c r="BI1018" s="2" t="n">
        <v>9</v>
      </c>
      <c r="BJ1018" s="2" t="s">
        <v>211</v>
      </c>
      <c r="BK1018" s="2" t="s">
        <v>100</v>
      </c>
      <c r="BL1018" s="2" t="s">
        <v>211</v>
      </c>
      <c r="BM1018" s="2" t="s">
        <v>17961</v>
      </c>
      <c r="BN1018" s="2" t="n">
        <v>33800223</v>
      </c>
      <c r="BO1018" s="2" t="s">
        <v>103</v>
      </c>
      <c r="BP1018" s="2"/>
      <c r="BQ1018" s="2"/>
      <c r="BR1018" s="2" t="s">
        <v>104</v>
      </c>
      <c r="BS1018" s="2" t="s">
        <v>17962</v>
      </c>
      <c r="BT1018" s="2" t="str">
        <f aca="false">HYPERLINK("https%3A%2F%2Fwww.webofscience.com%2Fwos%2Fwoscc%2Ffull-record%2FWOS:000633977100001","View Full Record in Web of Science")</f>
        <v>View Full Record in Web of Science</v>
      </c>
    </row>
    <row r="1019" customFormat="false" ht="12.75" hidden="false" customHeight="false" outlineLevel="0" collapsed="false">
      <c r="A1019" s="2" t="s">
        <v>72</v>
      </c>
      <c r="B1019" s="2" t="s">
        <v>17963</v>
      </c>
      <c r="C1019" s="2"/>
      <c r="D1019" s="2"/>
      <c r="E1019" s="2"/>
      <c r="F1019" s="2" t="s">
        <v>17964</v>
      </c>
      <c r="G1019" s="2"/>
      <c r="H1019" s="2"/>
      <c r="I1019" s="2" t="s">
        <v>17965</v>
      </c>
      <c r="J1019" s="2" t="s">
        <v>7244</v>
      </c>
      <c r="K1019" s="2"/>
      <c r="L1019" s="2"/>
      <c r="M1019" s="2" t="s">
        <v>77</v>
      </c>
      <c r="N1019" s="2" t="s">
        <v>78</v>
      </c>
      <c r="O1019" s="2"/>
      <c r="P1019" s="2"/>
      <c r="Q1019" s="2"/>
      <c r="R1019" s="2"/>
      <c r="S1019" s="2"/>
      <c r="T1019" s="2" t="s">
        <v>17966</v>
      </c>
      <c r="U1019" s="2" t="s">
        <v>17967</v>
      </c>
      <c r="V1019" s="2" t="s">
        <v>17968</v>
      </c>
      <c r="W1019" s="2" t="s">
        <v>17969</v>
      </c>
      <c r="X1019" s="2" t="s">
        <v>17970</v>
      </c>
      <c r="Y1019" s="2" t="s">
        <v>17971</v>
      </c>
      <c r="Z1019" s="2" t="s">
        <v>17972</v>
      </c>
      <c r="AA1019" s="2" t="s">
        <v>17973</v>
      </c>
      <c r="AB1019" s="2" t="s">
        <v>17974</v>
      </c>
      <c r="AC1019" s="2"/>
      <c r="AD1019" s="2"/>
      <c r="AE1019" s="2"/>
      <c r="AF1019" s="2"/>
      <c r="AG1019" s="2" t="n">
        <v>27</v>
      </c>
      <c r="AH1019" s="2" t="n">
        <v>88</v>
      </c>
      <c r="AI1019" s="2" t="n">
        <v>93</v>
      </c>
      <c r="AJ1019" s="2" t="n">
        <v>0</v>
      </c>
      <c r="AK1019" s="2" t="n">
        <v>2</v>
      </c>
      <c r="AL1019" s="2" t="s">
        <v>782</v>
      </c>
      <c r="AM1019" s="2" t="s">
        <v>783</v>
      </c>
      <c r="AN1019" s="2" t="s">
        <v>784</v>
      </c>
      <c r="AO1019" s="2" t="s">
        <v>7252</v>
      </c>
      <c r="AP1019" s="2" t="s">
        <v>7253</v>
      </c>
      <c r="AQ1019" s="2"/>
      <c r="AR1019" s="2" t="s">
        <v>7254</v>
      </c>
      <c r="AS1019" s="2" t="s">
        <v>7255</v>
      </c>
      <c r="AT1019" s="2" t="s">
        <v>486</v>
      </c>
      <c r="AU1019" s="2" t="n">
        <v>2008</v>
      </c>
      <c r="AV1019" s="2" t="n">
        <v>14</v>
      </c>
      <c r="AW1019" s="2" t="n">
        <v>6</v>
      </c>
      <c r="AX1019" s="2"/>
      <c r="AY1019" s="2"/>
      <c r="AZ1019" s="2"/>
      <c r="BA1019" s="2"/>
      <c r="BB1019" s="2" t="n">
        <v>569</v>
      </c>
      <c r="BC1019" s="2" t="n">
        <v>574</v>
      </c>
      <c r="BD1019" s="2"/>
      <c r="BE1019" s="2" t="s">
        <v>17975</v>
      </c>
      <c r="BF1019" s="2" t="str">
        <f aca="false">HYPERLINK("http://dx.doi.org/10.1111/j.1469-0691.2008.01987.x","http://dx.doi.org/10.1111/j.1469-0691.2008.01987.x")</f>
        <v>http://dx.doi.org/10.1111/j.1469-0691.2008.01987.x</v>
      </c>
      <c r="BG1019" s="2"/>
      <c r="BH1019" s="2"/>
      <c r="BI1019" s="2" t="n">
        <v>6</v>
      </c>
      <c r="BJ1019" s="2" t="s">
        <v>1467</v>
      </c>
      <c r="BK1019" s="2" t="s">
        <v>100</v>
      </c>
      <c r="BL1019" s="2" t="s">
        <v>1467</v>
      </c>
      <c r="BM1019" s="2" t="s">
        <v>17976</v>
      </c>
      <c r="BN1019" s="2" t="n">
        <v>18373688</v>
      </c>
      <c r="BO1019" s="2" t="s">
        <v>165</v>
      </c>
      <c r="BP1019" s="2"/>
      <c r="BQ1019" s="2"/>
      <c r="BR1019" s="2" t="s">
        <v>104</v>
      </c>
      <c r="BS1019" s="2" t="s">
        <v>17977</v>
      </c>
      <c r="BT1019" s="2" t="str">
        <f aca="false">HYPERLINK("https%3A%2F%2Fwww.webofscience.com%2Fwos%2Fwoscc%2Ffull-record%2FWOS:000255602100007","View Full Record in Web of Science")</f>
        <v>View Full Record in Web of Science</v>
      </c>
    </row>
    <row r="1020" customFormat="false" ht="12.75" hidden="false" customHeight="false" outlineLevel="0" collapsed="false">
      <c r="A1020" s="2" t="s">
        <v>72</v>
      </c>
      <c r="B1020" s="2" t="s">
        <v>17978</v>
      </c>
      <c r="C1020" s="2"/>
      <c r="D1020" s="2"/>
      <c r="E1020" s="2"/>
      <c r="F1020" s="2" t="s">
        <v>17979</v>
      </c>
      <c r="G1020" s="2"/>
      <c r="H1020" s="2"/>
      <c r="I1020" s="2" t="s">
        <v>17980</v>
      </c>
      <c r="J1020" s="2" t="s">
        <v>17981</v>
      </c>
      <c r="K1020" s="2"/>
      <c r="L1020" s="2"/>
      <c r="M1020" s="2" t="s">
        <v>77</v>
      </c>
      <c r="N1020" s="2" t="s">
        <v>78</v>
      </c>
      <c r="O1020" s="2"/>
      <c r="P1020" s="2"/>
      <c r="Q1020" s="2"/>
      <c r="R1020" s="2"/>
      <c r="S1020" s="2"/>
      <c r="T1020" s="2" t="s">
        <v>17982</v>
      </c>
      <c r="U1020" s="2" t="s">
        <v>17983</v>
      </c>
      <c r="V1020" s="2" t="s">
        <v>17984</v>
      </c>
      <c r="W1020" s="2" t="s">
        <v>17985</v>
      </c>
      <c r="X1020" s="2" t="s">
        <v>17986</v>
      </c>
      <c r="Y1020" s="2" t="s">
        <v>17987</v>
      </c>
      <c r="Z1020" s="2" t="s">
        <v>17988</v>
      </c>
      <c r="AA1020" s="2" t="s">
        <v>17989</v>
      </c>
      <c r="AB1020" s="2"/>
      <c r="AC1020" s="2"/>
      <c r="AD1020" s="2"/>
      <c r="AE1020" s="2"/>
      <c r="AF1020" s="2"/>
      <c r="AG1020" s="2" t="n">
        <v>14</v>
      </c>
      <c r="AH1020" s="2" t="n">
        <v>2</v>
      </c>
      <c r="AI1020" s="2" t="n">
        <v>2</v>
      </c>
      <c r="AJ1020" s="2" t="n">
        <v>0</v>
      </c>
      <c r="AK1020" s="2" t="n">
        <v>0</v>
      </c>
      <c r="AL1020" s="2" t="s">
        <v>408</v>
      </c>
      <c r="AM1020" s="2" t="s">
        <v>409</v>
      </c>
      <c r="AN1020" s="2" t="s">
        <v>410</v>
      </c>
      <c r="AO1020" s="2" t="s">
        <v>17990</v>
      </c>
      <c r="AP1020" s="2" t="s">
        <v>17991</v>
      </c>
      <c r="AQ1020" s="2"/>
      <c r="AR1020" s="2" t="s">
        <v>17992</v>
      </c>
      <c r="AS1020" s="2" t="s">
        <v>17993</v>
      </c>
      <c r="AT1020" s="2" t="s">
        <v>252</v>
      </c>
      <c r="AU1020" s="2" t="n">
        <v>2009</v>
      </c>
      <c r="AV1020" s="2" t="n">
        <v>221</v>
      </c>
      <c r="AW1020" s="2" t="n">
        <v>5</v>
      </c>
      <c r="AX1020" s="2"/>
      <c r="AY1020" s="2"/>
      <c r="AZ1020" s="2"/>
      <c r="BA1020" s="2"/>
      <c r="BB1020" s="2" t="n">
        <v>305</v>
      </c>
      <c r="BC1020" s="2" t="n">
        <v>307</v>
      </c>
      <c r="BD1020" s="2"/>
      <c r="BE1020" s="2" t="s">
        <v>17994</v>
      </c>
      <c r="BF1020" s="2" t="str">
        <f aca="false">HYPERLINK("http://dx.doi.org/10.1055/s-0028-1104597","http://dx.doi.org/10.1055/s-0028-1104597")</f>
        <v>http://dx.doi.org/10.1055/s-0028-1104597</v>
      </c>
      <c r="BG1020" s="2"/>
      <c r="BH1020" s="2"/>
      <c r="BI1020" s="2" t="n">
        <v>3</v>
      </c>
      <c r="BJ1020" s="2" t="s">
        <v>601</v>
      </c>
      <c r="BK1020" s="2" t="s">
        <v>100</v>
      </c>
      <c r="BL1020" s="2" t="s">
        <v>601</v>
      </c>
      <c r="BM1020" s="2" t="s">
        <v>17995</v>
      </c>
      <c r="BN1020" s="2" t="n">
        <v>19199228</v>
      </c>
      <c r="BO1020" s="2"/>
      <c r="BP1020" s="2"/>
      <c r="BQ1020" s="2"/>
      <c r="BR1020" s="2" t="s">
        <v>104</v>
      </c>
      <c r="BS1020" s="2" t="s">
        <v>17996</v>
      </c>
      <c r="BT1020" s="2" t="str">
        <f aca="false">HYPERLINK("https%3A%2F%2Fwww.webofscience.com%2Fwos%2Fwoscc%2Ffull-record%2FWOS:000269761600008","View Full Record in Web of Science")</f>
        <v>View Full Record in Web of Science</v>
      </c>
    </row>
    <row r="1021" customFormat="false" ht="12.75" hidden="false" customHeight="false" outlineLevel="0" collapsed="false">
      <c r="A1021" s="2" t="s">
        <v>72</v>
      </c>
      <c r="B1021" s="2" t="s">
        <v>17997</v>
      </c>
      <c r="C1021" s="2"/>
      <c r="D1021" s="2"/>
      <c r="E1021" s="2"/>
      <c r="F1021" s="2" t="s">
        <v>17998</v>
      </c>
      <c r="G1021" s="2"/>
      <c r="H1021" s="2"/>
      <c r="I1021" s="2" t="s">
        <v>17999</v>
      </c>
      <c r="J1021" s="2" t="s">
        <v>742</v>
      </c>
      <c r="K1021" s="2"/>
      <c r="L1021" s="2"/>
      <c r="M1021" s="2" t="s">
        <v>77</v>
      </c>
      <c r="N1021" s="2" t="s">
        <v>78</v>
      </c>
      <c r="O1021" s="2"/>
      <c r="P1021" s="2"/>
      <c r="Q1021" s="2"/>
      <c r="R1021" s="2"/>
      <c r="S1021" s="2"/>
      <c r="T1021" s="2" t="s">
        <v>18000</v>
      </c>
      <c r="U1021" s="2" t="s">
        <v>18001</v>
      </c>
      <c r="V1021" s="2" t="s">
        <v>18002</v>
      </c>
      <c r="W1021" s="2" t="s">
        <v>18003</v>
      </c>
      <c r="X1021" s="2" t="s">
        <v>18004</v>
      </c>
      <c r="Y1021" s="2" t="s">
        <v>14891</v>
      </c>
      <c r="Z1021" s="2" t="s">
        <v>12029</v>
      </c>
      <c r="AA1021" s="2"/>
      <c r="AB1021" s="2" t="s">
        <v>18005</v>
      </c>
      <c r="AC1021" s="2" t="s">
        <v>18006</v>
      </c>
      <c r="AD1021" s="2" t="s">
        <v>18007</v>
      </c>
      <c r="AE1021" s="2" t="s">
        <v>18008</v>
      </c>
      <c r="AF1021" s="2"/>
      <c r="AG1021" s="2" t="n">
        <v>107</v>
      </c>
      <c r="AH1021" s="2" t="n">
        <v>19</v>
      </c>
      <c r="AI1021" s="2" t="n">
        <v>22</v>
      </c>
      <c r="AJ1021" s="2" t="n">
        <v>0</v>
      </c>
      <c r="AK1021" s="2" t="n">
        <v>3</v>
      </c>
      <c r="AL1021" s="2" t="s">
        <v>755</v>
      </c>
      <c r="AM1021" s="2" t="s">
        <v>273</v>
      </c>
      <c r="AN1021" s="2" t="s">
        <v>756</v>
      </c>
      <c r="AO1021" s="2" t="s">
        <v>757</v>
      </c>
      <c r="AP1021" s="2" t="s">
        <v>758</v>
      </c>
      <c r="AQ1021" s="2"/>
      <c r="AR1021" s="2" t="s">
        <v>759</v>
      </c>
      <c r="AS1021" s="2" t="s">
        <v>760</v>
      </c>
      <c r="AT1021" s="2" t="s">
        <v>336</v>
      </c>
      <c r="AU1021" s="2" t="n">
        <v>2020</v>
      </c>
      <c r="AV1021" s="2" t="n">
        <v>94</v>
      </c>
      <c r="AW1021" s="2" t="n">
        <v>20</v>
      </c>
      <c r="AX1021" s="2"/>
      <c r="AY1021" s="2"/>
      <c r="AZ1021" s="2"/>
      <c r="BA1021" s="2"/>
      <c r="BB1021" s="2"/>
      <c r="BC1021" s="2"/>
      <c r="BD1021" s="2" t="s">
        <v>18009</v>
      </c>
      <c r="BE1021" s="2" t="s">
        <v>18010</v>
      </c>
      <c r="BF1021" s="2" t="str">
        <f aca="false">HYPERLINK("http://dx.doi.org/10.1128/JVI.01068-20","http://dx.doi.org/10.1128/JVI.01068-20")</f>
        <v>http://dx.doi.org/10.1128/JVI.01068-20</v>
      </c>
      <c r="BG1021" s="2"/>
      <c r="BH1021" s="2"/>
      <c r="BI1021" s="2" t="n">
        <v>20</v>
      </c>
      <c r="BJ1021" s="2" t="s">
        <v>163</v>
      </c>
      <c r="BK1021" s="2" t="s">
        <v>100</v>
      </c>
      <c r="BL1021" s="2" t="s">
        <v>163</v>
      </c>
      <c r="BM1021" s="2" t="s">
        <v>18011</v>
      </c>
      <c r="BN1021" s="2" t="n">
        <v>32759319</v>
      </c>
      <c r="BO1021" s="2" t="s">
        <v>165</v>
      </c>
      <c r="BP1021" s="2"/>
      <c r="BQ1021" s="2"/>
      <c r="BR1021" s="2" t="s">
        <v>104</v>
      </c>
      <c r="BS1021" s="2" t="s">
        <v>18012</v>
      </c>
      <c r="BT1021" s="2" t="str">
        <f aca="false">HYPERLINK("https%3A%2F%2Fwww.webofscience.com%2Fwos%2Fwoscc%2Ffull-record%2FWOS:000576835500004","View Full Record in Web of Science")</f>
        <v>View Full Record in Web of Science</v>
      </c>
    </row>
    <row r="1022" customFormat="false" ht="12.75" hidden="false" customHeight="false" outlineLevel="0" collapsed="false">
      <c r="A1022" s="2" t="s">
        <v>72</v>
      </c>
      <c r="B1022" s="2" t="s">
        <v>18013</v>
      </c>
      <c r="C1022" s="2"/>
      <c r="D1022" s="2"/>
      <c r="E1022" s="2"/>
      <c r="F1022" s="2" t="s">
        <v>18014</v>
      </c>
      <c r="G1022" s="2"/>
      <c r="H1022" s="2" t="s">
        <v>18015</v>
      </c>
      <c r="I1022" s="2" t="s">
        <v>18016</v>
      </c>
      <c r="J1022" s="2" t="s">
        <v>109</v>
      </c>
      <c r="K1022" s="2"/>
      <c r="L1022" s="2"/>
      <c r="M1022" s="2" t="s">
        <v>77</v>
      </c>
      <c r="N1022" s="2" t="s">
        <v>78</v>
      </c>
      <c r="O1022" s="2"/>
      <c r="P1022" s="2"/>
      <c r="Q1022" s="2"/>
      <c r="R1022" s="2"/>
      <c r="S1022" s="2"/>
      <c r="T1022" s="2" t="s">
        <v>18017</v>
      </c>
      <c r="U1022" s="2" t="s">
        <v>18018</v>
      </c>
      <c r="V1022" s="2" t="s">
        <v>18019</v>
      </c>
      <c r="W1022" s="2" t="s">
        <v>18020</v>
      </c>
      <c r="X1022" s="2" t="s">
        <v>18021</v>
      </c>
      <c r="Y1022" s="2" t="s">
        <v>18022</v>
      </c>
      <c r="Z1022" s="2" t="s">
        <v>18023</v>
      </c>
      <c r="AA1022" s="2" t="s">
        <v>18024</v>
      </c>
      <c r="AB1022" s="2" t="s">
        <v>18025</v>
      </c>
      <c r="AC1022" s="2" t="s">
        <v>18026</v>
      </c>
      <c r="AD1022" s="2" t="s">
        <v>18027</v>
      </c>
      <c r="AE1022" s="2" t="s">
        <v>18028</v>
      </c>
      <c r="AF1022" s="2"/>
      <c r="AG1022" s="2" t="n">
        <v>45</v>
      </c>
      <c r="AH1022" s="2" t="n">
        <v>2</v>
      </c>
      <c r="AI1022" s="2" t="n">
        <v>2</v>
      </c>
      <c r="AJ1022" s="2" t="n">
        <v>0</v>
      </c>
      <c r="AK1022" s="2" t="n">
        <v>0</v>
      </c>
      <c r="AL1022" s="2" t="s">
        <v>122</v>
      </c>
      <c r="AM1022" s="2" t="s">
        <v>123</v>
      </c>
      <c r="AN1022" s="2" t="s">
        <v>124</v>
      </c>
      <c r="AO1022" s="2" t="s">
        <v>125</v>
      </c>
      <c r="AP1022" s="2" t="s">
        <v>126</v>
      </c>
      <c r="AQ1022" s="2"/>
      <c r="AR1022" s="2" t="s">
        <v>127</v>
      </c>
      <c r="AS1022" s="2" t="s">
        <v>128</v>
      </c>
      <c r="AT1022" s="2" t="s">
        <v>129</v>
      </c>
      <c r="AU1022" s="2" t="n">
        <v>2024</v>
      </c>
      <c r="AV1022" s="2" t="n">
        <v>43</v>
      </c>
      <c r="AW1022" s="2" t="n">
        <v>9</v>
      </c>
      <c r="AX1022" s="2"/>
      <c r="AY1022" s="2"/>
      <c r="AZ1022" s="2"/>
      <c r="BA1022" s="2"/>
      <c r="BB1022" s="2" t="n">
        <v>841</v>
      </c>
      <c r="BC1022" s="2" t="n">
        <v>850</v>
      </c>
      <c r="BD1022" s="2"/>
      <c r="BE1022" s="2" t="s">
        <v>18029</v>
      </c>
      <c r="BF1022" s="2" t="str">
        <f aca="false">HYPERLINK("http://dx.doi.org/10.1097/INF.0000000000004418","http://dx.doi.org/10.1097/INF.0000000000004418")</f>
        <v>http://dx.doi.org/10.1097/INF.0000000000004418</v>
      </c>
      <c r="BG1022" s="2"/>
      <c r="BH1022" s="2"/>
      <c r="BI1022" s="2" t="n">
        <v>10</v>
      </c>
      <c r="BJ1022" s="2" t="s">
        <v>134</v>
      </c>
      <c r="BK1022" s="2" t="s">
        <v>100</v>
      </c>
      <c r="BL1022" s="2" t="s">
        <v>134</v>
      </c>
      <c r="BM1022" s="2" t="s">
        <v>18030</v>
      </c>
      <c r="BN1022" s="2" t="n">
        <v>38900036</v>
      </c>
      <c r="BO1022" s="2" t="s">
        <v>2278</v>
      </c>
      <c r="BP1022" s="2"/>
      <c r="BQ1022" s="2"/>
      <c r="BR1022" s="2" t="s">
        <v>104</v>
      </c>
      <c r="BS1022" s="2" t="s">
        <v>18031</v>
      </c>
      <c r="BT1022" s="2" t="str">
        <f aca="false">HYPERLINK("https%3A%2F%2Fwww.webofscience.com%2Fwos%2Fwoscc%2Ffull-record%2FWOS:001297350900033","View Full Record in Web of Science")</f>
        <v>View Full Record in Web of Science</v>
      </c>
    </row>
    <row r="1023" customFormat="false" ht="12.75" hidden="false" customHeight="false" outlineLevel="0" collapsed="false">
      <c r="A1023" s="2" t="s">
        <v>72</v>
      </c>
      <c r="B1023" s="2" t="s">
        <v>18032</v>
      </c>
      <c r="C1023" s="2"/>
      <c r="D1023" s="2"/>
      <c r="E1023" s="2"/>
      <c r="F1023" s="2" t="s">
        <v>18033</v>
      </c>
      <c r="G1023" s="2"/>
      <c r="H1023" s="2"/>
      <c r="I1023" s="2" t="s">
        <v>18034</v>
      </c>
      <c r="J1023" s="2" t="s">
        <v>18035</v>
      </c>
      <c r="K1023" s="2"/>
      <c r="L1023" s="2"/>
      <c r="M1023" s="2" t="s">
        <v>77</v>
      </c>
      <c r="N1023" s="2" t="s">
        <v>78</v>
      </c>
      <c r="O1023" s="2"/>
      <c r="P1023" s="2"/>
      <c r="Q1023" s="2"/>
      <c r="R1023" s="2"/>
      <c r="S1023" s="2"/>
      <c r="T1023" s="2" t="s">
        <v>18036</v>
      </c>
      <c r="U1023" s="2" t="s">
        <v>18037</v>
      </c>
      <c r="V1023" s="2" t="s">
        <v>18038</v>
      </c>
      <c r="W1023" s="2" t="s">
        <v>18039</v>
      </c>
      <c r="X1023" s="2" t="s">
        <v>18040</v>
      </c>
      <c r="Y1023" s="2" t="s">
        <v>18041</v>
      </c>
      <c r="Z1023" s="2" t="s">
        <v>18042</v>
      </c>
      <c r="AA1023" s="2" t="s">
        <v>6673</v>
      </c>
      <c r="AB1023" s="2"/>
      <c r="AC1023" s="2" t="s">
        <v>18043</v>
      </c>
      <c r="AD1023" s="2" t="s">
        <v>18043</v>
      </c>
      <c r="AE1023" s="2" t="s">
        <v>18043</v>
      </c>
      <c r="AF1023" s="2"/>
      <c r="AG1023" s="2" t="n">
        <v>40</v>
      </c>
      <c r="AH1023" s="2" t="n">
        <v>18</v>
      </c>
      <c r="AI1023" s="2" t="n">
        <v>18</v>
      </c>
      <c r="AJ1023" s="2" t="n">
        <v>0</v>
      </c>
      <c r="AK1023" s="2" t="n">
        <v>13</v>
      </c>
      <c r="AL1023" s="2" t="s">
        <v>154</v>
      </c>
      <c r="AM1023" s="2" t="s">
        <v>155</v>
      </c>
      <c r="AN1023" s="2" t="s">
        <v>156</v>
      </c>
      <c r="AO1023" s="2" t="s">
        <v>18044</v>
      </c>
      <c r="AP1023" s="2" t="s">
        <v>18045</v>
      </c>
      <c r="AQ1023" s="2"/>
      <c r="AR1023" s="2" t="s">
        <v>18046</v>
      </c>
      <c r="AS1023" s="2" t="s">
        <v>18047</v>
      </c>
      <c r="AT1023" s="2" t="s">
        <v>161</v>
      </c>
      <c r="AU1023" s="2" t="n">
        <v>2018</v>
      </c>
      <c r="AV1023" s="2" t="n">
        <v>80</v>
      </c>
      <c r="AW1023" s="2" t="n">
        <v>1</v>
      </c>
      <c r="AX1023" s="2"/>
      <c r="AY1023" s="2"/>
      <c r="AZ1023" s="2" t="s">
        <v>1627</v>
      </c>
      <c r="BA1023" s="2"/>
      <c r="BB1023" s="2"/>
      <c r="BC1023" s="2"/>
      <c r="BD1023" s="2" t="s">
        <v>18048</v>
      </c>
      <c r="BE1023" s="2" t="s">
        <v>18049</v>
      </c>
      <c r="BF1023" s="2" t="str">
        <f aca="false">HYPERLINK("http://dx.doi.org/10.1002/ajp.22619","http://dx.doi.org/10.1002/ajp.22619")</f>
        <v>http://dx.doi.org/10.1002/ajp.22619</v>
      </c>
      <c r="BG1023" s="2"/>
      <c r="BH1023" s="2"/>
      <c r="BI1023" s="2" t="n">
        <v>6</v>
      </c>
      <c r="BJ1023" s="2" t="s">
        <v>18050</v>
      </c>
      <c r="BK1023" s="2" t="s">
        <v>100</v>
      </c>
      <c r="BL1023" s="2" t="s">
        <v>18050</v>
      </c>
      <c r="BM1023" s="2" t="s">
        <v>18051</v>
      </c>
      <c r="BN1023" s="2" t="n">
        <v>28095600</v>
      </c>
      <c r="BO1023" s="2" t="s">
        <v>165</v>
      </c>
      <c r="BP1023" s="2"/>
      <c r="BQ1023" s="2"/>
      <c r="BR1023" s="2" t="s">
        <v>104</v>
      </c>
      <c r="BS1023" s="2" t="s">
        <v>18052</v>
      </c>
      <c r="BT1023" s="2" t="str">
        <f aca="false">HYPERLINK("https%3A%2F%2Fwww.webofscience.com%2Fwos%2Fwoscc%2Ffull-record%2FWOS:000423175000006","View Full Record in Web of Science")</f>
        <v>View Full Record in Web of Science</v>
      </c>
    </row>
    <row r="1024" customFormat="false" ht="12.75" hidden="false" customHeight="false" outlineLevel="0" collapsed="false">
      <c r="A1024" s="2" t="s">
        <v>72</v>
      </c>
      <c r="B1024" s="2" t="s">
        <v>18053</v>
      </c>
      <c r="C1024" s="2"/>
      <c r="D1024" s="2"/>
      <c r="E1024" s="2"/>
      <c r="F1024" s="2" t="s">
        <v>18054</v>
      </c>
      <c r="G1024" s="2"/>
      <c r="H1024" s="2"/>
      <c r="I1024" s="2" t="s">
        <v>18055</v>
      </c>
      <c r="J1024" s="2" t="s">
        <v>10837</v>
      </c>
      <c r="K1024" s="2"/>
      <c r="L1024" s="2"/>
      <c r="M1024" s="2" t="s">
        <v>77</v>
      </c>
      <c r="N1024" s="2" t="s">
        <v>78</v>
      </c>
      <c r="O1024" s="2"/>
      <c r="P1024" s="2"/>
      <c r="Q1024" s="2"/>
      <c r="R1024" s="2"/>
      <c r="S1024" s="2"/>
      <c r="T1024" s="2" t="s">
        <v>18056</v>
      </c>
      <c r="U1024" s="2" t="s">
        <v>18057</v>
      </c>
      <c r="V1024" s="2" t="s">
        <v>18058</v>
      </c>
      <c r="W1024" s="2" t="s">
        <v>18059</v>
      </c>
      <c r="X1024" s="2" t="s">
        <v>18060</v>
      </c>
      <c r="Y1024" s="2" t="s">
        <v>18061</v>
      </c>
      <c r="Z1024" s="2" t="s">
        <v>18062</v>
      </c>
      <c r="AA1024" s="2"/>
      <c r="AB1024" s="2" t="s">
        <v>18063</v>
      </c>
      <c r="AC1024" s="2" t="s">
        <v>18064</v>
      </c>
      <c r="AD1024" s="2" t="s">
        <v>18065</v>
      </c>
      <c r="AE1024" s="2" t="s">
        <v>18066</v>
      </c>
      <c r="AF1024" s="2"/>
      <c r="AG1024" s="2" t="n">
        <v>31</v>
      </c>
      <c r="AH1024" s="2" t="n">
        <v>25</v>
      </c>
      <c r="AI1024" s="2" t="n">
        <v>25</v>
      </c>
      <c r="AJ1024" s="2" t="n">
        <v>0</v>
      </c>
      <c r="AK1024" s="2" t="n">
        <v>3</v>
      </c>
      <c r="AL1024" s="2" t="s">
        <v>527</v>
      </c>
      <c r="AM1024" s="2" t="s">
        <v>528</v>
      </c>
      <c r="AN1024" s="2" t="s">
        <v>529</v>
      </c>
      <c r="AO1024" s="2" t="s">
        <v>10846</v>
      </c>
      <c r="AP1024" s="2"/>
      <c r="AQ1024" s="2"/>
      <c r="AR1024" s="2" t="s">
        <v>10847</v>
      </c>
      <c r="AS1024" s="2" t="s">
        <v>10848</v>
      </c>
      <c r="AT1024" s="2" t="s">
        <v>804</v>
      </c>
      <c r="AU1024" s="2" t="n">
        <v>2021</v>
      </c>
      <c r="AV1024" s="2" t="n">
        <v>8</v>
      </c>
      <c r="AW1024" s="2" t="n">
        <v>11</v>
      </c>
      <c r="AX1024" s="2"/>
      <c r="AY1024" s="2"/>
      <c r="AZ1024" s="2"/>
      <c r="BA1024" s="2"/>
      <c r="BB1024" s="2"/>
      <c r="BC1024" s="2"/>
      <c r="BD1024" s="2" t="s">
        <v>18067</v>
      </c>
      <c r="BE1024" s="2" t="s">
        <v>18068</v>
      </c>
      <c r="BF1024" s="2" t="str">
        <f aca="false">HYPERLINK("http://dx.doi.org/10.1093/ofid/ofab491","http://dx.doi.org/10.1093/ofid/ofab491")</f>
        <v>http://dx.doi.org/10.1093/ofid/ofab491</v>
      </c>
      <c r="BG1024" s="2"/>
      <c r="BH1024" s="2"/>
      <c r="BI1024" s="2" t="n">
        <v>11</v>
      </c>
      <c r="BJ1024" s="2" t="s">
        <v>536</v>
      </c>
      <c r="BK1024" s="2" t="s">
        <v>100</v>
      </c>
      <c r="BL1024" s="2" t="s">
        <v>536</v>
      </c>
      <c r="BM1024" s="2" t="s">
        <v>18069</v>
      </c>
      <c r="BN1024" s="2" t="n">
        <v>35559130</v>
      </c>
      <c r="BO1024" s="2" t="s">
        <v>103</v>
      </c>
      <c r="BP1024" s="2"/>
      <c r="BQ1024" s="2"/>
      <c r="BR1024" s="2" t="s">
        <v>104</v>
      </c>
      <c r="BS1024" s="2" t="s">
        <v>18070</v>
      </c>
      <c r="BT1024" s="2" t="str">
        <f aca="false">HYPERLINK("https%3A%2F%2Fwww.webofscience.com%2Fwos%2Fwoscc%2Ffull-record%2FWOS:000732746200025","View Full Record in Web of Science")</f>
        <v>View Full Record in Web of Science</v>
      </c>
    </row>
    <row r="1025" customFormat="false" ht="12.75" hidden="false" customHeight="false" outlineLevel="0" collapsed="false">
      <c r="A1025" s="2" t="s">
        <v>72</v>
      </c>
      <c r="B1025" s="2" t="s">
        <v>18071</v>
      </c>
      <c r="C1025" s="2"/>
      <c r="D1025" s="2"/>
      <c r="E1025" s="2"/>
      <c r="F1025" s="2" t="s">
        <v>18072</v>
      </c>
      <c r="G1025" s="2"/>
      <c r="H1025" s="2"/>
      <c r="I1025" s="2" t="s">
        <v>18073</v>
      </c>
      <c r="J1025" s="2" t="s">
        <v>11019</v>
      </c>
      <c r="K1025" s="2"/>
      <c r="L1025" s="2"/>
      <c r="M1025" s="2" t="s">
        <v>77</v>
      </c>
      <c r="N1025" s="2" t="s">
        <v>78</v>
      </c>
      <c r="O1025" s="2"/>
      <c r="P1025" s="2"/>
      <c r="Q1025" s="2"/>
      <c r="R1025" s="2"/>
      <c r="S1025" s="2"/>
      <c r="T1025" s="2" t="s">
        <v>18074</v>
      </c>
      <c r="U1025" s="2" t="s">
        <v>18075</v>
      </c>
      <c r="V1025" s="2" t="s">
        <v>18076</v>
      </c>
      <c r="W1025" s="2" t="s">
        <v>18077</v>
      </c>
      <c r="X1025" s="2" t="s">
        <v>18078</v>
      </c>
      <c r="Y1025" s="2" t="s">
        <v>18079</v>
      </c>
      <c r="Z1025" s="2" t="s">
        <v>18062</v>
      </c>
      <c r="AA1025" s="2" t="s">
        <v>18080</v>
      </c>
      <c r="AB1025" s="2" t="s">
        <v>18081</v>
      </c>
      <c r="AC1025" s="2" t="s">
        <v>18064</v>
      </c>
      <c r="AD1025" s="2" t="s">
        <v>18065</v>
      </c>
      <c r="AE1025" s="2" t="s">
        <v>18082</v>
      </c>
      <c r="AF1025" s="2"/>
      <c r="AG1025" s="2" t="n">
        <v>16</v>
      </c>
      <c r="AH1025" s="2" t="n">
        <v>22</v>
      </c>
      <c r="AI1025" s="2" t="n">
        <v>22</v>
      </c>
      <c r="AJ1025" s="2" t="n">
        <v>0</v>
      </c>
      <c r="AK1025" s="2" t="n">
        <v>4</v>
      </c>
      <c r="AL1025" s="2" t="s">
        <v>154</v>
      </c>
      <c r="AM1025" s="2" t="s">
        <v>155</v>
      </c>
      <c r="AN1025" s="2" t="s">
        <v>156</v>
      </c>
      <c r="AO1025" s="2" t="s">
        <v>11028</v>
      </c>
      <c r="AP1025" s="2" t="s">
        <v>11029</v>
      </c>
      <c r="AQ1025" s="2"/>
      <c r="AR1025" s="2" t="s">
        <v>11030</v>
      </c>
      <c r="AS1025" s="2" t="s">
        <v>11031</v>
      </c>
      <c r="AT1025" s="2" t="s">
        <v>161</v>
      </c>
      <c r="AU1025" s="2" t="n">
        <v>2022</v>
      </c>
      <c r="AV1025" s="2" t="n">
        <v>16</v>
      </c>
      <c r="AW1025" s="2" t="n">
        <v>1</v>
      </c>
      <c r="AX1025" s="2"/>
      <c r="AY1025" s="2"/>
      <c r="AZ1025" s="2"/>
      <c r="BA1025" s="2"/>
      <c r="BB1025" s="2" t="n">
        <v>79</v>
      </c>
      <c r="BC1025" s="2" t="n">
        <v>89</v>
      </c>
      <c r="BD1025" s="2"/>
      <c r="BE1025" s="2" t="s">
        <v>18083</v>
      </c>
      <c r="BF1025" s="2" t="str">
        <f aca="false">HYPERLINK("http://dx.doi.org/10.1111/irv.12903","http://dx.doi.org/10.1111/irv.12903")</f>
        <v>http://dx.doi.org/10.1111/irv.12903</v>
      </c>
      <c r="BG1025" s="2"/>
      <c r="BH1025" s="2" t="s">
        <v>18084</v>
      </c>
      <c r="BI1025" s="2" t="n">
        <v>11</v>
      </c>
      <c r="BJ1025" s="2" t="s">
        <v>8287</v>
      </c>
      <c r="BK1025" s="2" t="s">
        <v>100</v>
      </c>
      <c r="BL1025" s="2" t="s">
        <v>8287</v>
      </c>
      <c r="BM1025" s="2" t="s">
        <v>18085</v>
      </c>
      <c r="BN1025" s="2" t="n">
        <v>34472708</v>
      </c>
      <c r="BO1025" s="2" t="s">
        <v>165</v>
      </c>
      <c r="BP1025" s="2"/>
      <c r="BQ1025" s="2"/>
      <c r="BR1025" s="2" t="s">
        <v>104</v>
      </c>
      <c r="BS1025" s="2" t="s">
        <v>18086</v>
      </c>
      <c r="BT1025" s="2" t="str">
        <f aca="false">HYPERLINK("https%3A%2F%2Fwww.webofscience.com%2Fwos%2Fwoscc%2Ffull-record%2FWOS:000693214800001","View Full Record in Web of Science")</f>
        <v>View Full Record in Web of Science</v>
      </c>
    </row>
    <row r="1026" customFormat="false" ht="12.75" hidden="false" customHeight="false" outlineLevel="0" collapsed="false">
      <c r="A1026" s="2" t="s">
        <v>72</v>
      </c>
      <c r="B1026" s="2" t="s">
        <v>18087</v>
      </c>
      <c r="C1026" s="2"/>
      <c r="D1026" s="2"/>
      <c r="E1026" s="2"/>
      <c r="F1026" s="2" t="s">
        <v>18088</v>
      </c>
      <c r="G1026" s="2"/>
      <c r="H1026" s="2"/>
      <c r="I1026" s="2" t="s">
        <v>18089</v>
      </c>
      <c r="J1026" s="2" t="s">
        <v>557</v>
      </c>
      <c r="K1026" s="2"/>
      <c r="L1026" s="2"/>
      <c r="M1026" s="2" t="s">
        <v>77</v>
      </c>
      <c r="N1026" s="2" t="s">
        <v>78</v>
      </c>
      <c r="O1026" s="2"/>
      <c r="P1026" s="2"/>
      <c r="Q1026" s="2"/>
      <c r="R1026" s="2"/>
      <c r="S1026" s="2"/>
      <c r="T1026" s="2" t="s">
        <v>18090</v>
      </c>
      <c r="U1026" s="2" t="s">
        <v>18091</v>
      </c>
      <c r="V1026" s="2" t="s">
        <v>18092</v>
      </c>
      <c r="W1026" s="2" t="s">
        <v>18093</v>
      </c>
      <c r="X1026" s="2" t="s">
        <v>12669</v>
      </c>
      <c r="Y1026" s="2" t="s">
        <v>18094</v>
      </c>
      <c r="Z1026" s="2" t="s">
        <v>18095</v>
      </c>
      <c r="AA1026" s="2"/>
      <c r="AB1026" s="2"/>
      <c r="AC1026" s="2" t="s">
        <v>18096</v>
      </c>
      <c r="AD1026" s="2" t="s">
        <v>18097</v>
      </c>
      <c r="AE1026" s="2" t="s">
        <v>18098</v>
      </c>
      <c r="AF1026" s="2"/>
      <c r="AG1026" s="2" t="n">
        <v>20</v>
      </c>
      <c r="AH1026" s="2" t="n">
        <v>35</v>
      </c>
      <c r="AI1026" s="2" t="n">
        <v>40</v>
      </c>
      <c r="AJ1026" s="2" t="n">
        <v>0</v>
      </c>
      <c r="AK1026" s="2" t="n">
        <v>10</v>
      </c>
      <c r="AL1026" s="2" t="s">
        <v>302</v>
      </c>
      <c r="AM1026" s="2" t="s">
        <v>303</v>
      </c>
      <c r="AN1026" s="2" t="s">
        <v>304</v>
      </c>
      <c r="AO1026" s="2" t="s">
        <v>570</v>
      </c>
      <c r="AP1026" s="2"/>
      <c r="AQ1026" s="2"/>
      <c r="AR1026" s="2" t="s">
        <v>571</v>
      </c>
      <c r="AS1026" s="2" t="s">
        <v>572</v>
      </c>
      <c r="AT1026" s="2" t="s">
        <v>7002</v>
      </c>
      <c r="AU1026" s="2" t="n">
        <v>2012</v>
      </c>
      <c r="AV1026" s="2" t="n">
        <v>12</v>
      </c>
      <c r="AW1026" s="2"/>
      <c r="AX1026" s="2"/>
      <c r="AY1026" s="2"/>
      <c r="AZ1026" s="2"/>
      <c r="BA1026" s="2"/>
      <c r="BB1026" s="2"/>
      <c r="BC1026" s="2"/>
      <c r="BD1026" s="2" t="n">
        <v>189</v>
      </c>
      <c r="BE1026" s="2" t="s">
        <v>18099</v>
      </c>
      <c r="BF1026" s="2" t="str">
        <f aca="false">HYPERLINK("http://dx.doi.org/10.1186/1471-2334-12-189","http://dx.doi.org/10.1186/1471-2334-12-189")</f>
        <v>http://dx.doi.org/10.1186/1471-2334-12-189</v>
      </c>
      <c r="BG1026" s="2"/>
      <c r="BH1026" s="2"/>
      <c r="BI1026" s="2" t="n">
        <v>8</v>
      </c>
      <c r="BJ1026" s="2" t="s">
        <v>575</v>
      </c>
      <c r="BK1026" s="2" t="s">
        <v>100</v>
      </c>
      <c r="BL1026" s="2" t="s">
        <v>575</v>
      </c>
      <c r="BM1026" s="2" t="s">
        <v>18100</v>
      </c>
      <c r="BN1026" s="2" t="n">
        <v>22891685</v>
      </c>
      <c r="BO1026" s="2" t="s">
        <v>190</v>
      </c>
      <c r="BP1026" s="2"/>
      <c r="BQ1026" s="2"/>
      <c r="BR1026" s="2" t="s">
        <v>104</v>
      </c>
      <c r="BS1026" s="2" t="s">
        <v>18101</v>
      </c>
      <c r="BT1026" s="2" t="str">
        <f aca="false">HYPERLINK("https%3A%2F%2Fwww.webofscience.com%2Fwos%2Fwoscc%2Ffull-record%2FWOS:000309420700001","View Full Record in Web of Science")</f>
        <v>View Full Record in Web of Science</v>
      </c>
    </row>
    <row r="1027" customFormat="false" ht="12.75" hidden="false" customHeight="false" outlineLevel="0" collapsed="false">
      <c r="A1027" s="2" t="s">
        <v>72</v>
      </c>
      <c r="B1027" s="2" t="s">
        <v>18102</v>
      </c>
      <c r="C1027" s="2"/>
      <c r="D1027" s="2"/>
      <c r="E1027" s="2"/>
      <c r="F1027" s="2" t="s">
        <v>18103</v>
      </c>
      <c r="G1027" s="2"/>
      <c r="H1027" s="2"/>
      <c r="I1027" s="2" t="s">
        <v>18104</v>
      </c>
      <c r="J1027" s="2" t="s">
        <v>8394</v>
      </c>
      <c r="K1027" s="2"/>
      <c r="L1027" s="2"/>
      <c r="M1027" s="2" t="s">
        <v>77</v>
      </c>
      <c r="N1027" s="2" t="s">
        <v>78</v>
      </c>
      <c r="O1027" s="2"/>
      <c r="P1027" s="2"/>
      <c r="Q1027" s="2"/>
      <c r="R1027" s="2"/>
      <c r="S1027" s="2"/>
      <c r="T1027" s="2" t="s">
        <v>18105</v>
      </c>
      <c r="U1027" s="2" t="s">
        <v>18106</v>
      </c>
      <c r="V1027" s="2" t="s">
        <v>18107</v>
      </c>
      <c r="W1027" s="2" t="s">
        <v>18108</v>
      </c>
      <c r="X1027" s="2" t="s">
        <v>18109</v>
      </c>
      <c r="Y1027" s="2" t="s">
        <v>18110</v>
      </c>
      <c r="Z1027" s="2" t="s">
        <v>18111</v>
      </c>
      <c r="AA1027" s="2" t="s">
        <v>18112</v>
      </c>
      <c r="AB1027" s="2" t="s">
        <v>18113</v>
      </c>
      <c r="AC1027" s="2" t="s">
        <v>18114</v>
      </c>
      <c r="AD1027" s="2" t="s">
        <v>18114</v>
      </c>
      <c r="AE1027" s="2" t="s">
        <v>18115</v>
      </c>
      <c r="AF1027" s="2"/>
      <c r="AG1027" s="2" t="n">
        <v>40</v>
      </c>
      <c r="AH1027" s="2" t="n">
        <v>7</v>
      </c>
      <c r="AI1027" s="2" t="n">
        <v>7</v>
      </c>
      <c r="AJ1027" s="2" t="n">
        <v>0</v>
      </c>
      <c r="AK1027" s="2" t="n">
        <v>1</v>
      </c>
      <c r="AL1027" s="2" t="s">
        <v>7639</v>
      </c>
      <c r="AM1027" s="2" t="s">
        <v>783</v>
      </c>
      <c r="AN1027" s="2" t="s">
        <v>7640</v>
      </c>
      <c r="AO1027" s="2" t="s">
        <v>8402</v>
      </c>
      <c r="AP1027" s="2" t="s">
        <v>8403</v>
      </c>
      <c r="AQ1027" s="2"/>
      <c r="AR1027" s="2" t="s">
        <v>8404</v>
      </c>
      <c r="AS1027" s="2" t="s">
        <v>8405</v>
      </c>
      <c r="AT1027" s="2" t="s">
        <v>692</v>
      </c>
      <c r="AU1027" s="2" t="n">
        <v>2021</v>
      </c>
      <c r="AV1027" s="2" t="n">
        <v>10</v>
      </c>
      <c r="AW1027" s="2" t="n">
        <v>4</v>
      </c>
      <c r="AX1027" s="2"/>
      <c r="AY1027" s="2"/>
      <c r="AZ1027" s="2"/>
      <c r="BA1027" s="2"/>
      <c r="BB1027" s="2" t="n">
        <v>408</v>
      </c>
      <c r="BC1027" s="2" t="n">
        <v>416</v>
      </c>
      <c r="BD1027" s="2"/>
      <c r="BE1027" s="2" t="s">
        <v>18116</v>
      </c>
      <c r="BF1027" s="2" t="str">
        <f aca="false">HYPERLINK("http://dx.doi.org/10.1093/jpids/piaa118","http://dx.doi.org/10.1093/jpids/piaa118")</f>
        <v>http://dx.doi.org/10.1093/jpids/piaa118</v>
      </c>
      <c r="BG1027" s="2"/>
      <c r="BH1027" s="2"/>
      <c r="BI1027" s="2" t="n">
        <v>9</v>
      </c>
      <c r="BJ1027" s="2" t="s">
        <v>417</v>
      </c>
      <c r="BK1027" s="2" t="s">
        <v>100</v>
      </c>
      <c r="BL1027" s="2" t="s">
        <v>417</v>
      </c>
      <c r="BM1027" s="2" t="s">
        <v>18117</v>
      </c>
      <c r="BN1027" s="2" t="n">
        <v>33137178</v>
      </c>
      <c r="BO1027" s="2"/>
      <c r="BP1027" s="2"/>
      <c r="BQ1027" s="2"/>
      <c r="BR1027" s="2" t="s">
        <v>104</v>
      </c>
      <c r="BS1027" s="2" t="s">
        <v>18118</v>
      </c>
      <c r="BT1027" s="2" t="str">
        <f aca="false">HYPERLINK("https%3A%2F%2Fwww.webofscience.com%2Fwos%2Fwoscc%2Ffull-record%2FWOS:000683384400003","View Full Record in Web of Science")</f>
        <v>View Full Record in Web of Science</v>
      </c>
    </row>
    <row r="1028" customFormat="false" ht="12.75" hidden="false" customHeight="false" outlineLevel="0" collapsed="false">
      <c r="A1028" s="2" t="s">
        <v>72</v>
      </c>
      <c r="B1028" s="2" t="s">
        <v>18119</v>
      </c>
      <c r="C1028" s="2"/>
      <c r="D1028" s="2"/>
      <c r="E1028" s="2"/>
      <c r="F1028" s="2" t="s">
        <v>18120</v>
      </c>
      <c r="G1028" s="2"/>
      <c r="H1028" s="2"/>
      <c r="I1028" s="2" t="s">
        <v>18121</v>
      </c>
      <c r="J1028" s="2" t="s">
        <v>141</v>
      </c>
      <c r="K1028" s="2"/>
      <c r="L1028" s="2"/>
      <c r="M1028" s="2" t="s">
        <v>77</v>
      </c>
      <c r="N1028" s="2" t="s">
        <v>78</v>
      </c>
      <c r="O1028" s="2"/>
      <c r="P1028" s="2"/>
      <c r="Q1028" s="2"/>
      <c r="R1028" s="2"/>
      <c r="S1028" s="2"/>
      <c r="T1028" s="2" t="s">
        <v>18122</v>
      </c>
      <c r="U1028" s="2" t="s">
        <v>18123</v>
      </c>
      <c r="V1028" s="2" t="s">
        <v>18124</v>
      </c>
      <c r="W1028" s="2" t="s">
        <v>18125</v>
      </c>
      <c r="X1028" s="2" t="s">
        <v>18126</v>
      </c>
      <c r="Y1028" s="2" t="s">
        <v>18127</v>
      </c>
      <c r="Z1028" s="2" t="s">
        <v>6180</v>
      </c>
      <c r="AA1028" s="2" t="s">
        <v>18128</v>
      </c>
      <c r="AB1028" s="2" t="s">
        <v>18129</v>
      </c>
      <c r="AC1028" s="2" t="s">
        <v>18130</v>
      </c>
      <c r="AD1028" s="2" t="s">
        <v>15709</v>
      </c>
      <c r="AE1028" s="2" t="s">
        <v>18131</v>
      </c>
      <c r="AF1028" s="2"/>
      <c r="AG1028" s="2" t="n">
        <v>40</v>
      </c>
      <c r="AH1028" s="2" t="n">
        <v>7</v>
      </c>
      <c r="AI1028" s="2" t="n">
        <v>7</v>
      </c>
      <c r="AJ1028" s="2" t="n">
        <v>0</v>
      </c>
      <c r="AK1028" s="2" t="n">
        <v>2</v>
      </c>
      <c r="AL1028" s="2" t="s">
        <v>154</v>
      </c>
      <c r="AM1028" s="2" t="s">
        <v>155</v>
      </c>
      <c r="AN1028" s="2" t="s">
        <v>156</v>
      </c>
      <c r="AO1028" s="2" t="s">
        <v>157</v>
      </c>
      <c r="AP1028" s="2" t="s">
        <v>158</v>
      </c>
      <c r="AQ1028" s="2"/>
      <c r="AR1028" s="2" t="s">
        <v>159</v>
      </c>
      <c r="AS1028" s="2" t="s">
        <v>160</v>
      </c>
      <c r="AT1028" s="2" t="s">
        <v>692</v>
      </c>
      <c r="AU1028" s="2" t="n">
        <v>2019</v>
      </c>
      <c r="AV1028" s="2" t="n">
        <v>91</v>
      </c>
      <c r="AW1028" s="2" t="n">
        <v>4</v>
      </c>
      <c r="AX1028" s="2"/>
      <c r="AY1028" s="2"/>
      <c r="AZ1028" s="2"/>
      <c r="BA1028" s="2"/>
      <c r="BB1028" s="2" t="n">
        <v>549</v>
      </c>
      <c r="BC1028" s="2" t="n">
        <v>554</v>
      </c>
      <c r="BD1028" s="2"/>
      <c r="BE1028" s="2" t="s">
        <v>18132</v>
      </c>
      <c r="BF1028" s="2" t="str">
        <f aca="false">HYPERLINK("http://dx.doi.org/10.1002/jmv.25351","http://dx.doi.org/10.1002/jmv.25351")</f>
        <v>http://dx.doi.org/10.1002/jmv.25351</v>
      </c>
      <c r="BG1028" s="2"/>
      <c r="BH1028" s="2"/>
      <c r="BI1028" s="2" t="n">
        <v>6</v>
      </c>
      <c r="BJ1028" s="2" t="s">
        <v>163</v>
      </c>
      <c r="BK1028" s="2" t="s">
        <v>100</v>
      </c>
      <c r="BL1028" s="2" t="s">
        <v>163</v>
      </c>
      <c r="BM1028" s="2" t="s">
        <v>18133</v>
      </c>
      <c r="BN1028" s="2" t="n">
        <v>30372530</v>
      </c>
      <c r="BO1028" s="2"/>
      <c r="BP1028" s="2"/>
      <c r="BQ1028" s="2"/>
      <c r="BR1028" s="2" t="s">
        <v>104</v>
      </c>
      <c r="BS1028" s="2" t="s">
        <v>18134</v>
      </c>
      <c r="BT1028" s="2" t="str">
        <f aca="false">HYPERLINK("https%3A%2F%2Fwww.webofscience.com%2Fwos%2Fwoscc%2Ffull-record%2FWOS:000458577200005","View Full Record in Web of Science")</f>
        <v>View Full Record in Web of Science</v>
      </c>
    </row>
    <row r="1029" customFormat="false" ht="12.75" hidden="false" customHeight="false" outlineLevel="0" collapsed="false">
      <c r="A1029" s="2" t="s">
        <v>72</v>
      </c>
      <c r="B1029" s="2" t="s">
        <v>18135</v>
      </c>
      <c r="C1029" s="2"/>
      <c r="D1029" s="2"/>
      <c r="E1029" s="2"/>
      <c r="F1029" s="2" t="s">
        <v>18136</v>
      </c>
      <c r="G1029" s="2"/>
      <c r="H1029" s="2"/>
      <c r="I1029" s="2" t="s">
        <v>18137</v>
      </c>
      <c r="J1029" s="2" t="s">
        <v>141</v>
      </c>
      <c r="K1029" s="2"/>
      <c r="L1029" s="2"/>
      <c r="M1029" s="2" t="s">
        <v>77</v>
      </c>
      <c r="N1029" s="2" t="s">
        <v>78</v>
      </c>
      <c r="O1029" s="2"/>
      <c r="P1029" s="2"/>
      <c r="Q1029" s="2"/>
      <c r="R1029" s="2"/>
      <c r="S1029" s="2"/>
      <c r="T1029" s="2" t="s">
        <v>18138</v>
      </c>
      <c r="U1029" s="2" t="s">
        <v>18139</v>
      </c>
      <c r="V1029" s="2" t="s">
        <v>18140</v>
      </c>
      <c r="W1029" s="2" t="s">
        <v>18141</v>
      </c>
      <c r="X1029" s="2" t="s">
        <v>6500</v>
      </c>
      <c r="Y1029" s="2" t="s">
        <v>18142</v>
      </c>
      <c r="Z1029" s="2" t="s">
        <v>6502</v>
      </c>
      <c r="AA1029" s="2" t="s">
        <v>6503</v>
      </c>
      <c r="AB1029" s="2" t="s">
        <v>18143</v>
      </c>
      <c r="AC1029" s="2" t="s">
        <v>18144</v>
      </c>
      <c r="AD1029" s="2" t="s">
        <v>6506</v>
      </c>
      <c r="AE1029" s="2" t="s">
        <v>18145</v>
      </c>
      <c r="AF1029" s="2"/>
      <c r="AG1029" s="2" t="n">
        <v>50</v>
      </c>
      <c r="AH1029" s="2" t="n">
        <v>18</v>
      </c>
      <c r="AI1029" s="2" t="n">
        <v>18</v>
      </c>
      <c r="AJ1029" s="2" t="n">
        <v>1</v>
      </c>
      <c r="AK1029" s="2" t="n">
        <v>2</v>
      </c>
      <c r="AL1029" s="2" t="s">
        <v>154</v>
      </c>
      <c r="AM1029" s="2" t="s">
        <v>155</v>
      </c>
      <c r="AN1029" s="2" t="s">
        <v>156</v>
      </c>
      <c r="AO1029" s="2" t="s">
        <v>157</v>
      </c>
      <c r="AP1029" s="2" t="s">
        <v>158</v>
      </c>
      <c r="AQ1029" s="2"/>
      <c r="AR1029" s="2" t="s">
        <v>159</v>
      </c>
      <c r="AS1029" s="2" t="s">
        <v>160</v>
      </c>
      <c r="AT1029" s="2" t="s">
        <v>486</v>
      </c>
      <c r="AU1029" s="2" t="n">
        <v>2021</v>
      </c>
      <c r="AV1029" s="2" t="n">
        <v>93</v>
      </c>
      <c r="AW1029" s="2" t="n">
        <v>6</v>
      </c>
      <c r="AX1029" s="2"/>
      <c r="AY1029" s="2"/>
      <c r="AZ1029" s="2"/>
      <c r="BA1029" s="2"/>
      <c r="BB1029" s="2" t="n">
        <v>3401</v>
      </c>
      <c r="BC1029" s="2" t="n">
        <v>3411</v>
      </c>
      <c r="BD1029" s="2"/>
      <c r="BE1029" s="2" t="s">
        <v>18146</v>
      </c>
      <c r="BF1029" s="2" t="str">
        <f aca="false">HYPERLINK("http://dx.doi.org/10.1002/jmv.26415","http://dx.doi.org/10.1002/jmv.26415")</f>
        <v>http://dx.doi.org/10.1002/jmv.26415</v>
      </c>
      <c r="BG1029" s="2"/>
      <c r="BH1029" s="2" t="s">
        <v>9014</v>
      </c>
      <c r="BI1029" s="2" t="n">
        <v>11</v>
      </c>
      <c r="BJ1029" s="2" t="s">
        <v>163</v>
      </c>
      <c r="BK1029" s="2" t="s">
        <v>100</v>
      </c>
      <c r="BL1029" s="2" t="s">
        <v>163</v>
      </c>
      <c r="BM1029" s="2" t="s">
        <v>18147</v>
      </c>
      <c r="BN1029" s="2" t="n">
        <v>32779756</v>
      </c>
      <c r="BO1029" s="2"/>
      <c r="BP1029" s="2"/>
      <c r="BQ1029" s="2"/>
      <c r="BR1029" s="2" t="s">
        <v>104</v>
      </c>
      <c r="BS1029" s="2" t="s">
        <v>18148</v>
      </c>
      <c r="BT1029" s="2" t="str">
        <f aca="false">HYPERLINK("https%3A%2F%2Fwww.webofscience.com%2Fwos%2Fwoscc%2Ffull-record%2FWOS:000585034100001","View Full Record in Web of Science")</f>
        <v>View Full Record in Web of Science</v>
      </c>
    </row>
    <row r="1030" customFormat="false" ht="12.75" hidden="false" customHeight="false" outlineLevel="0" collapsed="false">
      <c r="A1030" s="2" t="s">
        <v>72</v>
      </c>
      <c r="B1030" s="2" t="s">
        <v>18149</v>
      </c>
      <c r="C1030" s="2"/>
      <c r="D1030" s="2"/>
      <c r="E1030" s="2"/>
      <c r="F1030" s="2" t="s">
        <v>18149</v>
      </c>
      <c r="G1030" s="2"/>
      <c r="H1030" s="2"/>
      <c r="I1030" s="2" t="s">
        <v>18150</v>
      </c>
      <c r="J1030" s="2" t="s">
        <v>141</v>
      </c>
      <c r="K1030" s="2"/>
      <c r="L1030" s="2"/>
      <c r="M1030" s="2" t="s">
        <v>77</v>
      </c>
      <c r="N1030" s="2" t="s">
        <v>78</v>
      </c>
      <c r="O1030" s="2"/>
      <c r="P1030" s="2"/>
      <c r="Q1030" s="2"/>
      <c r="R1030" s="2"/>
      <c r="S1030" s="2"/>
      <c r="T1030" s="2" t="s">
        <v>18151</v>
      </c>
      <c r="U1030" s="2" t="s">
        <v>18152</v>
      </c>
      <c r="V1030" s="2" t="s">
        <v>18153</v>
      </c>
      <c r="W1030" s="2" t="s">
        <v>18154</v>
      </c>
      <c r="X1030" s="2" t="s">
        <v>18155</v>
      </c>
      <c r="Y1030" s="2" t="s">
        <v>18156</v>
      </c>
      <c r="Z1030" s="2" t="s">
        <v>18157</v>
      </c>
      <c r="AA1030" s="2" t="s">
        <v>18158</v>
      </c>
      <c r="AB1030" s="2" t="s">
        <v>18159</v>
      </c>
      <c r="AC1030" s="2"/>
      <c r="AD1030" s="2"/>
      <c r="AE1030" s="2"/>
      <c r="AF1030" s="2"/>
      <c r="AG1030" s="2" t="n">
        <v>39</v>
      </c>
      <c r="AH1030" s="2" t="n">
        <v>16</v>
      </c>
      <c r="AI1030" s="2" t="n">
        <v>19</v>
      </c>
      <c r="AJ1030" s="2" t="n">
        <v>0</v>
      </c>
      <c r="AK1030" s="2" t="n">
        <v>9</v>
      </c>
      <c r="AL1030" s="2" t="s">
        <v>2746</v>
      </c>
      <c r="AM1030" s="2" t="s">
        <v>155</v>
      </c>
      <c r="AN1030" s="2" t="s">
        <v>2747</v>
      </c>
      <c r="AO1030" s="2" t="s">
        <v>157</v>
      </c>
      <c r="AP1030" s="2"/>
      <c r="AQ1030" s="2"/>
      <c r="AR1030" s="2" t="s">
        <v>159</v>
      </c>
      <c r="AS1030" s="2" t="s">
        <v>160</v>
      </c>
      <c r="AT1030" s="2" t="s">
        <v>390</v>
      </c>
      <c r="AU1030" s="2" t="n">
        <v>2006</v>
      </c>
      <c r="AV1030" s="2" t="n">
        <v>78</v>
      </c>
      <c r="AW1030" s="2" t="n">
        <v>5</v>
      </c>
      <c r="AX1030" s="2"/>
      <c r="AY1030" s="2"/>
      <c r="AZ1030" s="2"/>
      <c r="BA1030" s="2"/>
      <c r="BB1030" s="2" t="n">
        <v>631</v>
      </c>
      <c r="BC1030" s="2" t="n">
        <v>637</v>
      </c>
      <c r="BD1030" s="2"/>
      <c r="BE1030" s="2" t="s">
        <v>18160</v>
      </c>
      <c r="BF1030" s="2" t="str">
        <f aca="false">HYPERLINK("http://dx.doi.org/10.1002/jmv.20586","http://dx.doi.org/10.1002/jmv.20586")</f>
        <v>http://dx.doi.org/10.1002/jmv.20586</v>
      </c>
      <c r="BG1030" s="2"/>
      <c r="BH1030" s="2"/>
      <c r="BI1030" s="2" t="n">
        <v>7</v>
      </c>
      <c r="BJ1030" s="2" t="s">
        <v>163</v>
      </c>
      <c r="BK1030" s="2" t="s">
        <v>100</v>
      </c>
      <c r="BL1030" s="2" t="s">
        <v>163</v>
      </c>
      <c r="BM1030" s="2" t="s">
        <v>18161</v>
      </c>
      <c r="BN1030" s="2" t="n">
        <v>16555281</v>
      </c>
      <c r="BO1030" s="2" t="s">
        <v>656</v>
      </c>
      <c r="BP1030" s="2"/>
      <c r="BQ1030" s="2"/>
      <c r="BR1030" s="2" t="s">
        <v>104</v>
      </c>
      <c r="BS1030" s="2" t="s">
        <v>18162</v>
      </c>
      <c r="BT1030" s="2" t="str">
        <f aca="false">HYPERLINK("https%3A%2F%2Fwww.webofscience.com%2Fwos%2Fwoscc%2Ffull-record%2FWOS:000236657000015","View Full Record in Web of Science")</f>
        <v>View Full Record in Web of Science</v>
      </c>
    </row>
    <row r="1031" customFormat="false" ht="12.75" hidden="false" customHeight="false" outlineLevel="0" collapsed="false">
      <c r="A1031" s="2" t="s">
        <v>72</v>
      </c>
      <c r="B1031" s="2" t="s">
        <v>18163</v>
      </c>
      <c r="C1031" s="2"/>
      <c r="D1031" s="2"/>
      <c r="E1031" s="2"/>
      <c r="F1031" s="2" t="s">
        <v>18164</v>
      </c>
      <c r="G1031" s="2"/>
      <c r="H1031" s="2"/>
      <c r="I1031" s="2" t="s">
        <v>18165</v>
      </c>
      <c r="J1031" s="2" t="s">
        <v>18166</v>
      </c>
      <c r="K1031" s="2"/>
      <c r="L1031" s="2"/>
      <c r="M1031" s="2" t="s">
        <v>77</v>
      </c>
      <c r="N1031" s="2" t="s">
        <v>78</v>
      </c>
      <c r="O1031" s="2"/>
      <c r="P1031" s="2"/>
      <c r="Q1031" s="2"/>
      <c r="R1031" s="2"/>
      <c r="S1031" s="2"/>
      <c r="T1031" s="2" t="s">
        <v>18167</v>
      </c>
      <c r="U1031" s="2" t="s">
        <v>7742</v>
      </c>
      <c r="V1031" s="2" t="s">
        <v>18168</v>
      </c>
      <c r="W1031" s="2" t="s">
        <v>18169</v>
      </c>
      <c r="X1031" s="2" t="s">
        <v>18170</v>
      </c>
      <c r="Y1031" s="2" t="s">
        <v>18171</v>
      </c>
      <c r="Z1031" s="2" t="s">
        <v>18172</v>
      </c>
      <c r="AA1031" s="2" t="s">
        <v>4210</v>
      </c>
      <c r="AB1031" s="2" t="s">
        <v>18173</v>
      </c>
      <c r="AC1031" s="2" t="s">
        <v>18174</v>
      </c>
      <c r="AD1031" s="2" t="s">
        <v>18175</v>
      </c>
      <c r="AE1031" s="2" t="s">
        <v>18176</v>
      </c>
      <c r="AF1031" s="2"/>
      <c r="AG1031" s="2" t="n">
        <v>16</v>
      </c>
      <c r="AH1031" s="2" t="n">
        <v>1</v>
      </c>
      <c r="AI1031" s="2" t="n">
        <v>1</v>
      </c>
      <c r="AJ1031" s="2" t="n">
        <v>0</v>
      </c>
      <c r="AK1031" s="2" t="n">
        <v>0</v>
      </c>
      <c r="AL1031" s="2" t="s">
        <v>592</v>
      </c>
      <c r="AM1031" s="2" t="s">
        <v>12602</v>
      </c>
      <c r="AN1031" s="2" t="s">
        <v>12603</v>
      </c>
      <c r="AO1031" s="2" t="s">
        <v>18177</v>
      </c>
      <c r="AP1031" s="2" t="s">
        <v>18178</v>
      </c>
      <c r="AQ1031" s="2"/>
      <c r="AR1031" s="2" t="s">
        <v>18179</v>
      </c>
      <c r="AS1031" s="2" t="s">
        <v>18180</v>
      </c>
      <c r="AT1031" s="2" t="s">
        <v>185</v>
      </c>
      <c r="AU1031" s="2" t="n">
        <v>2023</v>
      </c>
      <c r="AV1031" s="2" t="n">
        <v>68</v>
      </c>
      <c r="AW1031" s="2" t="n">
        <v>8</v>
      </c>
      <c r="AX1031" s="2"/>
      <c r="AY1031" s="2"/>
      <c r="AZ1031" s="2"/>
      <c r="BA1031" s="2"/>
      <c r="BB1031" s="2" t="n">
        <v>3383</v>
      </c>
      <c r="BC1031" s="2" t="n">
        <v>3389</v>
      </c>
      <c r="BD1031" s="2"/>
      <c r="BE1031" s="2" t="s">
        <v>18181</v>
      </c>
      <c r="BF1031" s="2" t="str">
        <f aca="false">HYPERLINK("http://dx.doi.org/10.1007/s10620-023-07976-4","http://dx.doi.org/10.1007/s10620-023-07976-4")</f>
        <v>http://dx.doi.org/10.1007/s10620-023-07976-4</v>
      </c>
      <c r="BG1031" s="2"/>
      <c r="BH1031" s="2" t="s">
        <v>18182</v>
      </c>
      <c r="BI1031" s="2" t="n">
        <v>7</v>
      </c>
      <c r="BJ1031" s="2" t="s">
        <v>9122</v>
      </c>
      <c r="BK1031" s="2" t="s">
        <v>100</v>
      </c>
      <c r="BL1031" s="2" t="s">
        <v>9122</v>
      </c>
      <c r="BM1031" s="2" t="s">
        <v>18183</v>
      </c>
      <c r="BN1031" s="2" t="n">
        <v>37269371</v>
      </c>
      <c r="BO1031" s="2" t="s">
        <v>284</v>
      </c>
      <c r="BP1031" s="2"/>
      <c r="BQ1031" s="2"/>
      <c r="BR1031" s="2" t="s">
        <v>104</v>
      </c>
      <c r="BS1031" s="2" t="s">
        <v>18184</v>
      </c>
      <c r="BT1031" s="2" t="str">
        <f aca="false">HYPERLINK("https%3A%2F%2Fwww.webofscience.com%2Fwos%2Fwoscc%2Ffull-record%2FWOS:001000583400005","View Full Record in Web of Science")</f>
        <v>View Full Record in Web of Science</v>
      </c>
    </row>
    <row r="1032" customFormat="false" ht="12.75" hidden="false" customHeight="false" outlineLevel="0" collapsed="false">
      <c r="A1032" s="2" t="s">
        <v>72</v>
      </c>
      <c r="B1032" s="2" t="s">
        <v>18185</v>
      </c>
      <c r="C1032" s="2"/>
      <c r="D1032" s="2"/>
      <c r="E1032" s="2"/>
      <c r="F1032" s="2" t="s">
        <v>18186</v>
      </c>
      <c r="G1032" s="2"/>
      <c r="H1032" s="2"/>
      <c r="I1032" s="2" t="s">
        <v>18187</v>
      </c>
      <c r="J1032" s="2" t="s">
        <v>1413</v>
      </c>
      <c r="K1032" s="2"/>
      <c r="L1032" s="2"/>
      <c r="M1032" s="2" t="s">
        <v>77</v>
      </c>
      <c r="N1032" s="2" t="s">
        <v>78</v>
      </c>
      <c r="O1032" s="2"/>
      <c r="P1032" s="2"/>
      <c r="Q1032" s="2"/>
      <c r="R1032" s="2"/>
      <c r="S1032" s="2"/>
      <c r="T1032" s="2" t="s">
        <v>18188</v>
      </c>
      <c r="U1032" s="2" t="s">
        <v>18189</v>
      </c>
      <c r="V1032" s="2" t="s">
        <v>18190</v>
      </c>
      <c r="W1032" s="2" t="s">
        <v>18191</v>
      </c>
      <c r="X1032" s="2" t="s">
        <v>18192</v>
      </c>
      <c r="Y1032" s="2" t="s">
        <v>18193</v>
      </c>
      <c r="Z1032" s="2" t="s">
        <v>18194</v>
      </c>
      <c r="AA1032" s="2" t="s">
        <v>18195</v>
      </c>
      <c r="AB1032" s="2"/>
      <c r="AC1032" s="2" t="s">
        <v>18196</v>
      </c>
      <c r="AD1032" s="2" t="s">
        <v>18197</v>
      </c>
      <c r="AE1032" s="2" t="s">
        <v>18198</v>
      </c>
      <c r="AF1032" s="2"/>
      <c r="AG1032" s="2" t="n">
        <v>39</v>
      </c>
      <c r="AH1032" s="2" t="n">
        <v>3</v>
      </c>
      <c r="AI1032" s="2" t="n">
        <v>3</v>
      </c>
      <c r="AJ1032" s="2" t="n">
        <v>3</v>
      </c>
      <c r="AK1032" s="2" t="n">
        <v>12</v>
      </c>
      <c r="AL1032" s="2" t="s">
        <v>383</v>
      </c>
      <c r="AM1032" s="2" t="s">
        <v>384</v>
      </c>
      <c r="AN1032" s="2" t="s">
        <v>385</v>
      </c>
      <c r="AO1032" s="2" t="s">
        <v>1421</v>
      </c>
      <c r="AP1032" s="2" t="s">
        <v>1422</v>
      </c>
      <c r="AQ1032" s="2"/>
      <c r="AR1032" s="2" t="s">
        <v>1423</v>
      </c>
      <c r="AS1032" s="2" t="s">
        <v>1424</v>
      </c>
      <c r="AT1032" s="2" t="s">
        <v>2960</v>
      </c>
      <c r="AU1032" s="2" t="n">
        <v>2023</v>
      </c>
      <c r="AV1032" s="2" t="n">
        <v>336</v>
      </c>
      <c r="AW1032" s="2"/>
      <c r="AX1032" s="2"/>
      <c r="AY1032" s="2"/>
      <c r="AZ1032" s="2"/>
      <c r="BA1032" s="2"/>
      <c r="BB1032" s="2"/>
      <c r="BC1032" s="2"/>
      <c r="BD1032" s="2" t="n">
        <v>199223</v>
      </c>
      <c r="BE1032" s="2" t="s">
        <v>18199</v>
      </c>
      <c r="BF1032" s="2" t="str">
        <f aca="false">HYPERLINK("http://dx.doi.org/10.1016/j.virusres.2023.199223","http://dx.doi.org/10.1016/j.virusres.2023.199223")</f>
        <v>http://dx.doi.org/10.1016/j.virusres.2023.199223</v>
      </c>
      <c r="BG1032" s="2"/>
      <c r="BH1032" s="2" t="s">
        <v>5631</v>
      </c>
      <c r="BI1032" s="2" t="n">
        <v>13</v>
      </c>
      <c r="BJ1032" s="2" t="s">
        <v>163</v>
      </c>
      <c r="BK1032" s="2" t="s">
        <v>100</v>
      </c>
      <c r="BL1032" s="2" t="s">
        <v>163</v>
      </c>
      <c r="BM1032" s="2" t="s">
        <v>18200</v>
      </c>
      <c r="BN1032" s="2" t="n">
        <v>37734492</v>
      </c>
      <c r="BO1032" s="2" t="s">
        <v>284</v>
      </c>
      <c r="BP1032" s="2"/>
      <c r="BQ1032" s="2"/>
      <c r="BR1032" s="2" t="s">
        <v>104</v>
      </c>
      <c r="BS1032" s="2" t="s">
        <v>18201</v>
      </c>
      <c r="BT1032" s="2" t="str">
        <f aca="false">HYPERLINK("https%3A%2F%2Fwww.webofscience.com%2Fwos%2Fwoscc%2Ffull-record%2FWOS:001085041700001","View Full Record in Web of Science")</f>
        <v>View Full Record in Web of Science</v>
      </c>
    </row>
    <row r="1033" customFormat="false" ht="12.75" hidden="false" customHeight="false" outlineLevel="0" collapsed="false">
      <c r="A1033" s="2" t="s">
        <v>72</v>
      </c>
      <c r="B1033" s="2" t="s">
        <v>18202</v>
      </c>
      <c r="C1033" s="2"/>
      <c r="D1033" s="2"/>
      <c r="E1033" s="2"/>
      <c r="F1033" s="2" t="s">
        <v>18203</v>
      </c>
      <c r="G1033" s="2"/>
      <c r="H1033" s="2"/>
      <c r="I1033" s="2" t="s">
        <v>18204</v>
      </c>
      <c r="J1033" s="2" t="s">
        <v>557</v>
      </c>
      <c r="K1033" s="2"/>
      <c r="L1033" s="2"/>
      <c r="M1033" s="2" t="s">
        <v>77</v>
      </c>
      <c r="N1033" s="2" t="s">
        <v>78</v>
      </c>
      <c r="O1033" s="2"/>
      <c r="P1033" s="2"/>
      <c r="Q1033" s="2"/>
      <c r="R1033" s="2"/>
      <c r="S1033" s="2"/>
      <c r="T1033" s="2" t="s">
        <v>18205</v>
      </c>
      <c r="U1033" s="2" t="s">
        <v>18206</v>
      </c>
      <c r="V1033" s="2" t="s">
        <v>18207</v>
      </c>
      <c r="W1033" s="2" t="s">
        <v>18208</v>
      </c>
      <c r="X1033" s="2" t="s">
        <v>18209</v>
      </c>
      <c r="Y1033" s="2" t="s">
        <v>18210</v>
      </c>
      <c r="Z1033" s="2" t="s">
        <v>18211</v>
      </c>
      <c r="AA1033" s="2" t="s">
        <v>18212</v>
      </c>
      <c r="AB1033" s="2" t="s">
        <v>18213</v>
      </c>
      <c r="AC1033" s="2"/>
      <c r="AD1033" s="2"/>
      <c r="AE1033" s="2"/>
      <c r="AF1033" s="2"/>
      <c r="AG1033" s="2" t="n">
        <v>69</v>
      </c>
      <c r="AH1033" s="2" t="n">
        <v>43</v>
      </c>
      <c r="AI1033" s="2" t="n">
        <v>45</v>
      </c>
      <c r="AJ1033" s="2" t="n">
        <v>0</v>
      </c>
      <c r="AK1033" s="2" t="n">
        <v>8</v>
      </c>
      <c r="AL1033" s="2" t="s">
        <v>302</v>
      </c>
      <c r="AM1033" s="2" t="s">
        <v>303</v>
      </c>
      <c r="AN1033" s="2" t="s">
        <v>304</v>
      </c>
      <c r="AO1033" s="2"/>
      <c r="AP1033" s="2" t="s">
        <v>570</v>
      </c>
      <c r="AQ1033" s="2"/>
      <c r="AR1033" s="2" t="s">
        <v>571</v>
      </c>
      <c r="AS1033" s="2" t="s">
        <v>572</v>
      </c>
      <c r="AT1033" s="2" t="s">
        <v>1781</v>
      </c>
      <c r="AU1033" s="2" t="n">
        <v>2014</v>
      </c>
      <c r="AV1033" s="2" t="n">
        <v>14</v>
      </c>
      <c r="AW1033" s="2"/>
      <c r="AX1033" s="2"/>
      <c r="AY1033" s="2"/>
      <c r="AZ1033" s="2"/>
      <c r="BA1033" s="2"/>
      <c r="BB1033" s="2"/>
      <c r="BC1033" s="2"/>
      <c r="BD1033" s="2" t="n">
        <v>373</v>
      </c>
      <c r="BE1033" s="2" t="s">
        <v>18214</v>
      </c>
      <c r="BF1033" s="2" t="str">
        <f aca="false">HYPERLINK("http://dx.doi.org/10.1186/1471-2334-14-373","http://dx.doi.org/10.1186/1471-2334-14-373")</f>
        <v>http://dx.doi.org/10.1186/1471-2334-14-373</v>
      </c>
      <c r="BG1033" s="2"/>
      <c r="BH1033" s="2"/>
      <c r="BI1033" s="2" t="n">
        <v>11</v>
      </c>
      <c r="BJ1033" s="2" t="s">
        <v>575</v>
      </c>
      <c r="BK1033" s="2" t="s">
        <v>100</v>
      </c>
      <c r="BL1033" s="2" t="s">
        <v>575</v>
      </c>
      <c r="BM1033" s="2" t="s">
        <v>18215</v>
      </c>
      <c r="BN1033" s="2" t="n">
        <v>25000832</v>
      </c>
      <c r="BO1033" s="2" t="s">
        <v>103</v>
      </c>
      <c r="BP1033" s="2"/>
      <c r="BQ1033" s="2"/>
      <c r="BR1033" s="2" t="s">
        <v>104</v>
      </c>
      <c r="BS1033" s="2" t="s">
        <v>18216</v>
      </c>
      <c r="BT1033" s="2" t="str">
        <f aca="false">HYPERLINK("https%3A%2F%2Fwww.webofscience.com%2Fwos%2Fwoscc%2Ffull-record%2FWOS:000339282700001","View Full Record in Web of Science")</f>
        <v>View Full Record in Web of Science</v>
      </c>
    </row>
    <row r="1034" customFormat="false" ht="12.75" hidden="false" customHeight="false" outlineLevel="0" collapsed="false">
      <c r="A1034" s="2" t="s">
        <v>72</v>
      </c>
      <c r="B1034" s="2" t="s">
        <v>18217</v>
      </c>
      <c r="C1034" s="2"/>
      <c r="D1034" s="2"/>
      <c r="E1034" s="2"/>
      <c r="F1034" s="2" t="s">
        <v>18218</v>
      </c>
      <c r="G1034" s="2"/>
      <c r="H1034" s="2"/>
      <c r="I1034" s="2" t="s">
        <v>18219</v>
      </c>
      <c r="J1034" s="2" t="s">
        <v>493</v>
      </c>
      <c r="K1034" s="2"/>
      <c r="L1034" s="2"/>
      <c r="M1034" s="2" t="s">
        <v>77</v>
      </c>
      <c r="N1034" s="2" t="s">
        <v>78</v>
      </c>
      <c r="O1034" s="2"/>
      <c r="P1034" s="2"/>
      <c r="Q1034" s="2"/>
      <c r="R1034" s="2"/>
      <c r="S1034" s="2"/>
      <c r="T1034" s="2" t="s">
        <v>18220</v>
      </c>
      <c r="U1034" s="2" t="s">
        <v>18221</v>
      </c>
      <c r="V1034" s="2" t="s">
        <v>18222</v>
      </c>
      <c r="W1034" s="2" t="s">
        <v>18223</v>
      </c>
      <c r="X1034" s="2" t="s">
        <v>18224</v>
      </c>
      <c r="Y1034" s="2" t="s">
        <v>18225</v>
      </c>
      <c r="Z1034" s="2" t="s">
        <v>18226</v>
      </c>
      <c r="AA1034" s="2" t="s">
        <v>18227</v>
      </c>
      <c r="AB1034" s="2" t="s">
        <v>18228</v>
      </c>
      <c r="AC1034" s="2" t="s">
        <v>18229</v>
      </c>
      <c r="AD1034" s="2" t="s">
        <v>18230</v>
      </c>
      <c r="AE1034" s="2" t="s">
        <v>18231</v>
      </c>
      <c r="AF1034" s="2"/>
      <c r="AG1034" s="2" t="n">
        <v>47</v>
      </c>
      <c r="AH1034" s="2" t="n">
        <v>0</v>
      </c>
      <c r="AI1034" s="2" t="n">
        <v>0</v>
      </c>
      <c r="AJ1034" s="2" t="n">
        <v>2</v>
      </c>
      <c r="AK1034" s="2" t="n">
        <v>2</v>
      </c>
      <c r="AL1034" s="2" t="s">
        <v>91</v>
      </c>
      <c r="AM1034" s="2" t="s">
        <v>92</v>
      </c>
      <c r="AN1034" s="2" t="s">
        <v>93</v>
      </c>
      <c r="AO1034" s="2"/>
      <c r="AP1034" s="2" t="s">
        <v>506</v>
      </c>
      <c r="AQ1034" s="2"/>
      <c r="AR1034" s="2" t="s">
        <v>493</v>
      </c>
      <c r="AS1034" s="2" t="s">
        <v>507</v>
      </c>
      <c r="AT1034" s="2" t="s">
        <v>390</v>
      </c>
      <c r="AU1034" s="2" t="n">
        <v>2024</v>
      </c>
      <c r="AV1034" s="2" t="n">
        <v>16</v>
      </c>
      <c r="AW1034" s="2" t="n">
        <v>5</v>
      </c>
      <c r="AX1034" s="2"/>
      <c r="AY1034" s="2"/>
      <c r="AZ1034" s="2"/>
      <c r="BA1034" s="2"/>
      <c r="BB1034" s="2"/>
      <c r="BC1034" s="2"/>
      <c r="BD1034" s="2" t="n">
        <v>698</v>
      </c>
      <c r="BE1034" s="2" t="s">
        <v>18232</v>
      </c>
      <c r="BF1034" s="2" t="str">
        <f aca="false">HYPERLINK("http://dx.doi.org/10.3390/v16050698","http://dx.doi.org/10.3390/v16050698")</f>
        <v>http://dx.doi.org/10.3390/v16050698</v>
      </c>
      <c r="BG1034" s="2"/>
      <c r="BH1034" s="2"/>
      <c r="BI1034" s="2" t="n">
        <v>17</v>
      </c>
      <c r="BJ1034" s="2" t="s">
        <v>163</v>
      </c>
      <c r="BK1034" s="2" t="s">
        <v>100</v>
      </c>
      <c r="BL1034" s="2" t="s">
        <v>163</v>
      </c>
      <c r="BM1034" s="2" t="s">
        <v>18233</v>
      </c>
      <c r="BN1034" s="2" t="n">
        <v>38793579</v>
      </c>
      <c r="BO1034" s="2" t="s">
        <v>103</v>
      </c>
      <c r="BP1034" s="2"/>
      <c r="BQ1034" s="2"/>
      <c r="BR1034" s="2" t="s">
        <v>104</v>
      </c>
      <c r="BS1034" s="2" t="s">
        <v>18234</v>
      </c>
      <c r="BT1034" s="2" t="str">
        <f aca="false">HYPERLINK("https%3A%2F%2Fwww.webofscience.com%2Fwos%2Fwoscc%2Ffull-record%2FWOS:001233233800001","View Full Record in Web of Science")</f>
        <v>View Full Record in Web of Science</v>
      </c>
    </row>
    <row r="1035" customFormat="false" ht="12.75" hidden="false" customHeight="false" outlineLevel="0" collapsed="false">
      <c r="A1035" s="2" t="s">
        <v>72</v>
      </c>
      <c r="B1035" s="2" t="s">
        <v>18235</v>
      </c>
      <c r="C1035" s="2"/>
      <c r="D1035" s="2"/>
      <c r="E1035" s="2"/>
      <c r="F1035" s="2" t="s">
        <v>18236</v>
      </c>
      <c r="G1035" s="2"/>
      <c r="H1035" s="2"/>
      <c r="I1035" s="2" t="s">
        <v>18237</v>
      </c>
      <c r="J1035" s="2" t="s">
        <v>717</v>
      </c>
      <c r="K1035" s="2"/>
      <c r="L1035" s="2"/>
      <c r="M1035" s="2" t="s">
        <v>77</v>
      </c>
      <c r="N1035" s="2" t="s">
        <v>78</v>
      </c>
      <c r="O1035" s="2"/>
      <c r="P1035" s="2"/>
      <c r="Q1035" s="2"/>
      <c r="R1035" s="2"/>
      <c r="S1035" s="2"/>
      <c r="T1035" s="2" t="s">
        <v>18238</v>
      </c>
      <c r="U1035" s="2" t="s">
        <v>18239</v>
      </c>
      <c r="V1035" s="2" t="s">
        <v>18240</v>
      </c>
      <c r="W1035" s="2" t="s">
        <v>18241</v>
      </c>
      <c r="X1035" s="2" t="s">
        <v>18242</v>
      </c>
      <c r="Y1035" s="2" t="s">
        <v>18243</v>
      </c>
      <c r="Z1035" s="2" t="s">
        <v>18244</v>
      </c>
      <c r="AA1035" s="2" t="s">
        <v>18245</v>
      </c>
      <c r="AB1035" s="2" t="s">
        <v>18246</v>
      </c>
      <c r="AC1035" s="2" t="s">
        <v>18247</v>
      </c>
      <c r="AD1035" s="2" t="s">
        <v>18248</v>
      </c>
      <c r="AE1035" s="2" t="s">
        <v>18249</v>
      </c>
      <c r="AF1035" s="2"/>
      <c r="AG1035" s="2" t="n">
        <v>40</v>
      </c>
      <c r="AH1035" s="2" t="n">
        <v>10</v>
      </c>
      <c r="AI1035" s="2" t="n">
        <v>11</v>
      </c>
      <c r="AJ1035" s="2" t="n">
        <v>3</v>
      </c>
      <c r="AK1035" s="2" t="n">
        <v>19</v>
      </c>
      <c r="AL1035" s="2" t="s">
        <v>549</v>
      </c>
      <c r="AM1035" s="2" t="s">
        <v>384</v>
      </c>
      <c r="AN1035" s="2" t="s">
        <v>550</v>
      </c>
      <c r="AO1035" s="2" t="s">
        <v>729</v>
      </c>
      <c r="AP1035" s="2" t="s">
        <v>730</v>
      </c>
      <c r="AQ1035" s="2"/>
      <c r="AR1035" s="2" t="s">
        <v>731</v>
      </c>
      <c r="AS1035" s="2" t="s">
        <v>732</v>
      </c>
      <c r="AT1035" s="2" t="s">
        <v>804</v>
      </c>
      <c r="AU1035" s="2" t="n">
        <v>2015</v>
      </c>
      <c r="AV1035" s="2" t="n">
        <v>224</v>
      </c>
      <c r="AW1035" s="2"/>
      <c r="AX1035" s="2"/>
      <c r="AY1035" s="2"/>
      <c r="AZ1035" s="2"/>
      <c r="BA1035" s="2"/>
      <c r="BB1035" s="2" t="n">
        <v>1</v>
      </c>
      <c r="BC1035" s="2" t="n">
        <v>8</v>
      </c>
      <c r="BD1035" s="2"/>
      <c r="BE1035" s="2" t="s">
        <v>18250</v>
      </c>
      <c r="BF1035" s="2" t="str">
        <f aca="false">HYPERLINK("http://dx.doi.org/10.1016/j.jviromet.2015.08.002","http://dx.doi.org/10.1016/j.jviromet.2015.08.002")</f>
        <v>http://dx.doi.org/10.1016/j.jviromet.2015.08.002</v>
      </c>
      <c r="BG1035" s="2"/>
      <c r="BH1035" s="2"/>
      <c r="BI1035" s="2" t="n">
        <v>8</v>
      </c>
      <c r="BJ1035" s="2" t="s">
        <v>735</v>
      </c>
      <c r="BK1035" s="2" t="s">
        <v>100</v>
      </c>
      <c r="BL1035" s="2" t="s">
        <v>736</v>
      </c>
      <c r="BM1035" s="2" t="s">
        <v>18251</v>
      </c>
      <c r="BN1035" s="2" t="n">
        <v>26275682</v>
      </c>
      <c r="BO1035" s="2" t="s">
        <v>1089</v>
      </c>
      <c r="BP1035" s="2"/>
      <c r="BQ1035" s="2"/>
      <c r="BR1035" s="2" t="s">
        <v>104</v>
      </c>
      <c r="BS1035" s="2" t="s">
        <v>18252</v>
      </c>
      <c r="BT1035" s="2" t="str">
        <f aca="false">HYPERLINK("https%3A%2F%2Fwww.webofscience.com%2Fwos%2Fwoscc%2Ffull-record%2FWOS:000361864000001","View Full Record in Web of Science")</f>
        <v>View Full Record in Web of Science</v>
      </c>
    </row>
    <row r="1036" customFormat="false" ht="12.75" hidden="false" customHeight="false" outlineLevel="0" collapsed="false">
      <c r="A1036" s="2" t="s">
        <v>72</v>
      </c>
      <c r="B1036" s="2" t="s">
        <v>18253</v>
      </c>
      <c r="C1036" s="2"/>
      <c r="D1036" s="2"/>
      <c r="E1036" s="2"/>
      <c r="F1036" s="2" t="s">
        <v>18254</v>
      </c>
      <c r="G1036" s="2"/>
      <c r="H1036" s="2"/>
      <c r="I1036" s="2" t="s">
        <v>18255</v>
      </c>
      <c r="J1036" s="2" t="s">
        <v>7244</v>
      </c>
      <c r="K1036" s="2"/>
      <c r="L1036" s="2"/>
      <c r="M1036" s="2" t="s">
        <v>77</v>
      </c>
      <c r="N1036" s="2" t="s">
        <v>78</v>
      </c>
      <c r="O1036" s="2"/>
      <c r="P1036" s="2"/>
      <c r="Q1036" s="2"/>
      <c r="R1036" s="2"/>
      <c r="S1036" s="2"/>
      <c r="T1036" s="2" t="s">
        <v>18256</v>
      </c>
      <c r="U1036" s="2" t="s">
        <v>18257</v>
      </c>
      <c r="V1036" s="2" t="s">
        <v>18258</v>
      </c>
      <c r="W1036" s="2" t="s">
        <v>18259</v>
      </c>
      <c r="X1036" s="2" t="s">
        <v>18260</v>
      </c>
      <c r="Y1036" s="2" t="s">
        <v>18261</v>
      </c>
      <c r="Z1036" s="2" t="s">
        <v>1260</v>
      </c>
      <c r="AA1036" s="2" t="s">
        <v>18262</v>
      </c>
      <c r="AB1036" s="2"/>
      <c r="AC1036" s="2"/>
      <c r="AD1036" s="2"/>
      <c r="AE1036" s="2"/>
      <c r="AF1036" s="2"/>
      <c r="AG1036" s="2" t="n">
        <v>10</v>
      </c>
      <c r="AH1036" s="2" t="n">
        <v>4</v>
      </c>
      <c r="AI1036" s="2" t="n">
        <v>4</v>
      </c>
      <c r="AJ1036" s="2" t="n">
        <v>0</v>
      </c>
      <c r="AK1036" s="2" t="n">
        <v>0</v>
      </c>
      <c r="AL1036" s="2" t="s">
        <v>782</v>
      </c>
      <c r="AM1036" s="2" t="s">
        <v>783</v>
      </c>
      <c r="AN1036" s="2" t="s">
        <v>784</v>
      </c>
      <c r="AO1036" s="2" t="s">
        <v>7252</v>
      </c>
      <c r="AP1036" s="2" t="s">
        <v>7253</v>
      </c>
      <c r="AQ1036" s="2"/>
      <c r="AR1036" s="2" t="s">
        <v>7254</v>
      </c>
      <c r="AS1036" s="2" t="s">
        <v>7255</v>
      </c>
      <c r="AT1036" s="2" t="s">
        <v>161</v>
      </c>
      <c r="AU1036" s="2" t="n">
        <v>2008</v>
      </c>
      <c r="AV1036" s="2" t="n">
        <v>14</v>
      </c>
      <c r="AW1036" s="2" t="n">
        <v>1</v>
      </c>
      <c r="AX1036" s="2"/>
      <c r="AY1036" s="2"/>
      <c r="AZ1036" s="2"/>
      <c r="BA1036" s="2"/>
      <c r="BB1036" s="2" t="n">
        <v>91</v>
      </c>
      <c r="BC1036" s="2" t="n">
        <v>93</v>
      </c>
      <c r="BD1036" s="2"/>
      <c r="BE1036" s="2" t="s">
        <v>18263</v>
      </c>
      <c r="BF1036" s="2" t="str">
        <f aca="false">HYPERLINK("http://dx.doi.org/10.1111/j.1469-0691.2007.01875.x","http://dx.doi.org/10.1111/j.1469-0691.2007.01875.x")</f>
        <v>http://dx.doi.org/10.1111/j.1469-0691.2007.01875.x</v>
      </c>
      <c r="BG1036" s="2"/>
      <c r="BH1036" s="2"/>
      <c r="BI1036" s="2" t="n">
        <v>3</v>
      </c>
      <c r="BJ1036" s="2" t="s">
        <v>1467</v>
      </c>
      <c r="BK1036" s="2" t="s">
        <v>100</v>
      </c>
      <c r="BL1036" s="2" t="s">
        <v>1467</v>
      </c>
      <c r="BM1036" s="2" t="s">
        <v>18264</v>
      </c>
      <c r="BN1036" s="2" t="n">
        <v>17986211</v>
      </c>
      <c r="BO1036" s="2" t="s">
        <v>656</v>
      </c>
      <c r="BP1036" s="2"/>
      <c r="BQ1036" s="2"/>
      <c r="BR1036" s="2" t="s">
        <v>104</v>
      </c>
      <c r="BS1036" s="2" t="s">
        <v>18265</v>
      </c>
      <c r="BT1036" s="2" t="str">
        <f aca="false">HYPERLINK("https%3A%2F%2Fwww.webofscience.com%2Fwos%2Fwoscc%2Ffull-record%2FWOS:000251562700017","View Full Record in Web of Science")</f>
        <v>View Full Record in Web of Science</v>
      </c>
    </row>
    <row r="1037" customFormat="false" ht="12.75" hidden="false" customHeight="false" outlineLevel="0" collapsed="false">
      <c r="A1037" s="2" t="s">
        <v>72</v>
      </c>
      <c r="B1037" s="2" t="s">
        <v>18266</v>
      </c>
      <c r="C1037" s="2"/>
      <c r="D1037" s="2"/>
      <c r="E1037" s="2"/>
      <c r="F1037" s="2" t="s">
        <v>18266</v>
      </c>
      <c r="G1037" s="2"/>
      <c r="H1037" s="2"/>
      <c r="I1037" s="2" t="s">
        <v>18267</v>
      </c>
      <c r="J1037" s="2" t="s">
        <v>12593</v>
      </c>
      <c r="K1037" s="2"/>
      <c r="L1037" s="2"/>
      <c r="M1037" s="2" t="s">
        <v>77</v>
      </c>
      <c r="N1037" s="2" t="s">
        <v>78</v>
      </c>
      <c r="O1037" s="2"/>
      <c r="P1037" s="2"/>
      <c r="Q1037" s="2"/>
      <c r="R1037" s="2"/>
      <c r="S1037" s="2"/>
      <c r="T1037" s="2" t="s">
        <v>18268</v>
      </c>
      <c r="U1037" s="2" t="s">
        <v>18269</v>
      </c>
      <c r="V1037" s="2" t="s">
        <v>18270</v>
      </c>
      <c r="W1037" s="2" t="s">
        <v>18271</v>
      </c>
      <c r="X1037" s="2" t="s">
        <v>18272</v>
      </c>
      <c r="Y1037" s="2" t="s">
        <v>18273</v>
      </c>
      <c r="Z1037" s="2" t="s">
        <v>18274</v>
      </c>
      <c r="AA1037" s="2"/>
      <c r="AB1037" s="2" t="s">
        <v>18275</v>
      </c>
      <c r="AC1037" s="2"/>
      <c r="AD1037" s="2"/>
      <c r="AE1037" s="2"/>
      <c r="AF1037" s="2"/>
      <c r="AG1037" s="2" t="n">
        <v>20</v>
      </c>
      <c r="AH1037" s="2" t="n">
        <v>3</v>
      </c>
      <c r="AI1037" s="2" t="n">
        <v>5</v>
      </c>
      <c r="AJ1037" s="2" t="n">
        <v>0</v>
      </c>
      <c r="AK1037" s="2" t="n">
        <v>0</v>
      </c>
      <c r="AL1037" s="2" t="s">
        <v>592</v>
      </c>
      <c r="AM1037" s="2" t="s">
        <v>12602</v>
      </c>
      <c r="AN1037" s="2" t="s">
        <v>12603</v>
      </c>
      <c r="AO1037" s="2" t="s">
        <v>12604</v>
      </c>
      <c r="AP1037" s="2" t="s">
        <v>12605</v>
      </c>
      <c r="AQ1037" s="2"/>
      <c r="AR1037" s="2" t="s">
        <v>12593</v>
      </c>
      <c r="AS1037" s="2" t="s">
        <v>12606</v>
      </c>
      <c r="AT1037" s="2" t="s">
        <v>185</v>
      </c>
      <c r="AU1037" s="2" t="n">
        <v>2005</v>
      </c>
      <c r="AV1037" s="2" t="n">
        <v>31</v>
      </c>
      <c r="AW1037" s="2" t="n">
        <v>1</v>
      </c>
      <c r="AX1037" s="2"/>
      <c r="AY1037" s="2"/>
      <c r="AZ1037" s="2"/>
      <c r="BA1037" s="2"/>
      <c r="BB1037" s="2" t="n">
        <v>89</v>
      </c>
      <c r="BC1037" s="2" t="n">
        <v>97</v>
      </c>
      <c r="BD1037" s="2"/>
      <c r="BE1037" s="2" t="s">
        <v>18276</v>
      </c>
      <c r="BF1037" s="2" t="str">
        <f aca="false">HYPERLINK("http://dx.doi.org/10.1007/s11262-005-2204-0","http://dx.doi.org/10.1007/s11262-005-2204-0")</f>
        <v>http://dx.doi.org/10.1007/s11262-005-2204-0</v>
      </c>
      <c r="BG1037" s="2"/>
      <c r="BH1037" s="2"/>
      <c r="BI1037" s="2" t="n">
        <v>9</v>
      </c>
      <c r="BJ1037" s="2" t="s">
        <v>12609</v>
      </c>
      <c r="BK1037" s="2" t="s">
        <v>100</v>
      </c>
      <c r="BL1037" s="2" t="s">
        <v>12609</v>
      </c>
      <c r="BM1037" s="2" t="s">
        <v>18277</v>
      </c>
      <c r="BN1037" s="2" t="n">
        <v>15965613</v>
      </c>
      <c r="BO1037" s="2" t="s">
        <v>656</v>
      </c>
      <c r="BP1037" s="2"/>
      <c r="BQ1037" s="2"/>
      <c r="BR1037" s="2" t="s">
        <v>104</v>
      </c>
      <c r="BS1037" s="2" t="s">
        <v>18278</v>
      </c>
      <c r="BT1037" s="2" t="str">
        <f aca="false">HYPERLINK("https%3A%2F%2Fwww.webofscience.com%2Fwos%2Fwoscc%2Ffull-record%2FWOS:000229908000011","View Full Record in Web of Science")</f>
        <v>View Full Record in Web of Science</v>
      </c>
    </row>
    <row r="1038" customFormat="false" ht="12.75" hidden="false" customHeight="false" outlineLevel="0" collapsed="false">
      <c r="A1038" s="2" t="s">
        <v>72</v>
      </c>
      <c r="B1038" s="2" t="s">
        <v>18279</v>
      </c>
      <c r="C1038" s="2"/>
      <c r="D1038" s="2"/>
      <c r="E1038" s="2"/>
      <c r="F1038" s="2" t="s">
        <v>18280</v>
      </c>
      <c r="G1038" s="2"/>
      <c r="H1038" s="2"/>
      <c r="I1038" s="2" t="s">
        <v>18281</v>
      </c>
      <c r="J1038" s="2" t="s">
        <v>2713</v>
      </c>
      <c r="K1038" s="2"/>
      <c r="L1038" s="2"/>
      <c r="M1038" s="2" t="s">
        <v>77</v>
      </c>
      <c r="N1038" s="2" t="s">
        <v>78</v>
      </c>
      <c r="O1038" s="2"/>
      <c r="P1038" s="2"/>
      <c r="Q1038" s="2"/>
      <c r="R1038" s="2"/>
      <c r="S1038" s="2"/>
      <c r="T1038" s="2" t="s">
        <v>18282</v>
      </c>
      <c r="U1038" s="2" t="s">
        <v>18283</v>
      </c>
      <c r="V1038" s="2" t="s">
        <v>18284</v>
      </c>
      <c r="W1038" s="2" t="s">
        <v>18285</v>
      </c>
      <c r="X1038" s="2" t="s">
        <v>18286</v>
      </c>
      <c r="Y1038" s="2" t="s">
        <v>18287</v>
      </c>
      <c r="Z1038" s="2" t="s">
        <v>18288</v>
      </c>
      <c r="AA1038" s="2" t="s">
        <v>18289</v>
      </c>
      <c r="AB1038" s="2"/>
      <c r="AC1038" s="2" t="s">
        <v>18290</v>
      </c>
      <c r="AD1038" s="2" t="s">
        <v>18291</v>
      </c>
      <c r="AE1038" s="2" t="s">
        <v>18292</v>
      </c>
      <c r="AF1038" s="2"/>
      <c r="AG1038" s="2" t="n">
        <v>24</v>
      </c>
      <c r="AH1038" s="2" t="n">
        <v>9</v>
      </c>
      <c r="AI1038" s="2" t="n">
        <v>9</v>
      </c>
      <c r="AJ1038" s="2" t="n">
        <v>0</v>
      </c>
      <c r="AK1038" s="2" t="n">
        <v>1</v>
      </c>
      <c r="AL1038" s="2" t="s">
        <v>1460</v>
      </c>
      <c r="AM1038" s="2" t="s">
        <v>593</v>
      </c>
      <c r="AN1038" s="2" t="s">
        <v>2088</v>
      </c>
      <c r="AO1038" s="2" t="s">
        <v>2726</v>
      </c>
      <c r="AP1038" s="2" t="s">
        <v>2727</v>
      </c>
      <c r="AQ1038" s="2"/>
      <c r="AR1038" s="2" t="s">
        <v>2728</v>
      </c>
      <c r="AS1038" s="2" t="s">
        <v>2729</v>
      </c>
      <c r="AT1038" s="2" t="s">
        <v>390</v>
      </c>
      <c r="AU1038" s="2" t="n">
        <v>2020</v>
      </c>
      <c r="AV1038" s="2" t="n">
        <v>26</v>
      </c>
      <c r="AW1038" s="2" t="n">
        <v>5</v>
      </c>
      <c r="AX1038" s="2"/>
      <c r="AY1038" s="2"/>
      <c r="AZ1038" s="2"/>
      <c r="BA1038" s="2"/>
      <c r="BB1038" s="2" t="n">
        <v>911</v>
      </c>
      <c r="BC1038" s="2" t="n">
        <v>919</v>
      </c>
      <c r="BD1038" s="2"/>
      <c r="BE1038" s="2" t="s">
        <v>18293</v>
      </c>
      <c r="BF1038" s="2" t="str">
        <f aca="false">HYPERLINK("http://dx.doi.org/10.1016/j.bbmt.2020.01.005","http://dx.doi.org/10.1016/j.bbmt.2020.01.005")</f>
        <v>http://dx.doi.org/10.1016/j.bbmt.2020.01.005</v>
      </c>
      <c r="BG1038" s="2"/>
      <c r="BH1038" s="2"/>
      <c r="BI1038" s="2" t="n">
        <v>9</v>
      </c>
      <c r="BJ1038" s="2" t="s">
        <v>2731</v>
      </c>
      <c r="BK1038" s="2" t="s">
        <v>100</v>
      </c>
      <c r="BL1038" s="2" t="s">
        <v>2731</v>
      </c>
      <c r="BM1038" s="2" t="s">
        <v>18294</v>
      </c>
      <c r="BN1038" s="2" t="n">
        <v>31927102</v>
      </c>
      <c r="BO1038" s="2" t="s">
        <v>2278</v>
      </c>
      <c r="BP1038" s="2"/>
      <c r="BQ1038" s="2"/>
      <c r="BR1038" s="2" t="s">
        <v>104</v>
      </c>
      <c r="BS1038" s="2" t="s">
        <v>18295</v>
      </c>
      <c r="BT1038" s="2" t="str">
        <f aca="false">HYPERLINK("https%3A%2F%2Fwww.webofscience.com%2Fwos%2Fwoscc%2Ffull-record%2FWOS:000531098000017","View Full Record in Web of Science")</f>
        <v>View Full Record in Web of Science</v>
      </c>
    </row>
    <row r="1039" customFormat="false" ht="12.75" hidden="false" customHeight="false" outlineLevel="0" collapsed="false">
      <c r="A1039" s="2" t="s">
        <v>72</v>
      </c>
      <c r="B1039" s="2" t="s">
        <v>18296</v>
      </c>
      <c r="C1039" s="2"/>
      <c r="D1039" s="2"/>
      <c r="E1039" s="2"/>
      <c r="F1039" s="2" t="s">
        <v>18296</v>
      </c>
      <c r="G1039" s="2"/>
      <c r="H1039" s="2"/>
      <c r="I1039" s="2" t="s">
        <v>18297</v>
      </c>
      <c r="J1039" s="2" t="s">
        <v>18298</v>
      </c>
      <c r="K1039" s="2"/>
      <c r="L1039" s="2"/>
      <c r="M1039" s="2" t="s">
        <v>77</v>
      </c>
      <c r="N1039" s="2" t="s">
        <v>78</v>
      </c>
      <c r="O1039" s="2"/>
      <c r="P1039" s="2"/>
      <c r="Q1039" s="2"/>
      <c r="R1039" s="2"/>
      <c r="S1039" s="2"/>
      <c r="T1039" s="2" t="s">
        <v>18299</v>
      </c>
      <c r="U1039" s="2" t="s">
        <v>18300</v>
      </c>
      <c r="V1039" s="2" t="s">
        <v>18301</v>
      </c>
      <c r="W1039" s="2" t="s">
        <v>18302</v>
      </c>
      <c r="X1039" s="2"/>
      <c r="Y1039" s="2" t="s">
        <v>18303</v>
      </c>
      <c r="Z1039" s="2"/>
      <c r="AA1039" s="2" t="s">
        <v>18304</v>
      </c>
      <c r="AB1039" s="2"/>
      <c r="AC1039" s="2"/>
      <c r="AD1039" s="2"/>
      <c r="AE1039" s="2"/>
      <c r="AF1039" s="2"/>
      <c r="AG1039" s="2" t="n">
        <v>20</v>
      </c>
      <c r="AH1039" s="2" t="n">
        <v>6</v>
      </c>
      <c r="AI1039" s="2" t="n">
        <v>7</v>
      </c>
      <c r="AJ1039" s="2" t="n">
        <v>0</v>
      </c>
      <c r="AK1039" s="2" t="n">
        <v>0</v>
      </c>
      <c r="AL1039" s="2" t="s">
        <v>18305</v>
      </c>
      <c r="AM1039" s="2" t="s">
        <v>18306</v>
      </c>
      <c r="AN1039" s="2" t="s">
        <v>18307</v>
      </c>
      <c r="AO1039" s="2" t="s">
        <v>18308</v>
      </c>
      <c r="AP1039" s="2"/>
      <c r="AQ1039" s="2"/>
      <c r="AR1039" s="2" t="s">
        <v>18309</v>
      </c>
      <c r="AS1039" s="2" t="s">
        <v>18310</v>
      </c>
      <c r="AT1039" s="2" t="s">
        <v>129</v>
      </c>
      <c r="AU1039" s="2" t="n">
        <v>2000</v>
      </c>
      <c r="AV1039" s="2" t="n">
        <v>37</v>
      </c>
      <c r="AW1039" s="2" t="n">
        <v>5</v>
      </c>
      <c r="AX1039" s="2"/>
      <c r="AY1039" s="2"/>
      <c r="AZ1039" s="2"/>
      <c r="BA1039" s="2"/>
      <c r="BB1039" s="2" t="n">
        <v>492</v>
      </c>
      <c r="BC1039" s="2" t="n">
        <v>496</v>
      </c>
      <c r="BD1039" s="2"/>
      <c r="BE1039" s="2" t="s">
        <v>18311</v>
      </c>
      <c r="BF1039" s="2" t="str">
        <f aca="false">HYPERLINK("http://dx.doi.org/10.1354/vp.37-5-492","http://dx.doi.org/10.1354/vp.37-5-492")</f>
        <v>http://dx.doi.org/10.1354/vp.37-5-492</v>
      </c>
      <c r="BG1039" s="2"/>
      <c r="BH1039" s="2"/>
      <c r="BI1039" s="2" t="n">
        <v>5</v>
      </c>
      <c r="BJ1039" s="2" t="s">
        <v>18312</v>
      </c>
      <c r="BK1039" s="2" t="s">
        <v>100</v>
      </c>
      <c r="BL1039" s="2" t="s">
        <v>18312</v>
      </c>
      <c r="BM1039" s="2" t="s">
        <v>18313</v>
      </c>
      <c r="BN1039" s="2" t="n">
        <v>11055880</v>
      </c>
      <c r="BO1039" s="2"/>
      <c r="BP1039" s="2"/>
      <c r="BQ1039" s="2"/>
      <c r="BR1039" s="2" t="s">
        <v>104</v>
      </c>
      <c r="BS1039" s="2" t="s">
        <v>18314</v>
      </c>
      <c r="BT1039" s="2" t="str">
        <f aca="false">HYPERLINK("https%3A%2F%2Fwww.webofscience.com%2Fwos%2Fwoscc%2Ffull-record%2FWOS:000089871500021","View Full Record in Web of Science")</f>
        <v>View Full Record in Web of Science</v>
      </c>
    </row>
    <row r="1040" customFormat="false" ht="12.75" hidden="false" customHeight="false" outlineLevel="0" collapsed="false">
      <c r="A1040" s="2" t="s">
        <v>72</v>
      </c>
      <c r="B1040" s="2" t="s">
        <v>18315</v>
      </c>
      <c r="C1040" s="2"/>
      <c r="D1040" s="2"/>
      <c r="E1040" s="2"/>
      <c r="F1040" s="2" t="s">
        <v>18316</v>
      </c>
      <c r="G1040" s="2"/>
      <c r="H1040" s="2"/>
      <c r="I1040" s="2" t="s">
        <v>18317</v>
      </c>
      <c r="J1040" s="2" t="s">
        <v>6822</v>
      </c>
      <c r="K1040" s="2"/>
      <c r="L1040" s="2"/>
      <c r="M1040" s="2" t="s">
        <v>77</v>
      </c>
      <c r="N1040" s="2" t="s">
        <v>78</v>
      </c>
      <c r="O1040" s="2"/>
      <c r="P1040" s="2"/>
      <c r="Q1040" s="2"/>
      <c r="R1040" s="2"/>
      <c r="S1040" s="2"/>
      <c r="T1040" s="2" t="s">
        <v>18318</v>
      </c>
      <c r="U1040" s="2" t="s">
        <v>18319</v>
      </c>
      <c r="V1040" s="2" t="s">
        <v>18320</v>
      </c>
      <c r="W1040" s="2" t="s">
        <v>18321</v>
      </c>
      <c r="X1040" s="2" t="s">
        <v>18322</v>
      </c>
      <c r="Y1040" s="2" t="s">
        <v>18323</v>
      </c>
      <c r="Z1040" s="2" t="s">
        <v>18324</v>
      </c>
      <c r="AA1040" s="2" t="s">
        <v>18325</v>
      </c>
      <c r="AB1040" s="2" t="s">
        <v>18326</v>
      </c>
      <c r="AC1040" s="2" t="s">
        <v>18327</v>
      </c>
      <c r="AD1040" s="2" t="s">
        <v>18328</v>
      </c>
      <c r="AE1040" s="2" t="s">
        <v>18329</v>
      </c>
      <c r="AF1040" s="2"/>
      <c r="AG1040" s="2" t="n">
        <v>44</v>
      </c>
      <c r="AH1040" s="2" t="n">
        <v>23</v>
      </c>
      <c r="AI1040" s="2" t="n">
        <v>26</v>
      </c>
      <c r="AJ1040" s="2" t="n">
        <v>0</v>
      </c>
      <c r="AK1040" s="2" t="n">
        <v>8</v>
      </c>
      <c r="AL1040" s="2" t="s">
        <v>6833</v>
      </c>
      <c r="AM1040" s="2" t="s">
        <v>593</v>
      </c>
      <c r="AN1040" s="2" t="s">
        <v>6834</v>
      </c>
      <c r="AO1040" s="2" t="s">
        <v>6835</v>
      </c>
      <c r="AP1040" s="2" t="s">
        <v>6836</v>
      </c>
      <c r="AQ1040" s="2"/>
      <c r="AR1040" s="2" t="s">
        <v>6837</v>
      </c>
      <c r="AS1040" s="2" t="s">
        <v>6838</v>
      </c>
      <c r="AT1040" s="2" t="s">
        <v>161</v>
      </c>
      <c r="AU1040" s="2" t="n">
        <v>2017</v>
      </c>
      <c r="AV1040" s="2" t="n">
        <v>145</v>
      </c>
      <c r="AW1040" s="2" t="n">
        <v>1</v>
      </c>
      <c r="AX1040" s="2"/>
      <c r="AY1040" s="2"/>
      <c r="AZ1040" s="2"/>
      <c r="BA1040" s="2"/>
      <c r="BB1040" s="2" t="n">
        <v>148</v>
      </c>
      <c r="BC1040" s="2" t="n">
        <v>155</v>
      </c>
      <c r="BD1040" s="2"/>
      <c r="BE1040" s="2" t="s">
        <v>18330</v>
      </c>
      <c r="BF1040" s="2" t="str">
        <f aca="false">HYPERLINK("http://dx.doi.org/10.1017/S0950268816002181","http://dx.doi.org/10.1017/S0950268816002181")</f>
        <v>http://dx.doi.org/10.1017/S0950268816002181</v>
      </c>
      <c r="BG1040" s="2"/>
      <c r="BH1040" s="2"/>
      <c r="BI1040" s="2" t="n">
        <v>8</v>
      </c>
      <c r="BJ1040" s="2" t="s">
        <v>2113</v>
      </c>
      <c r="BK1040" s="2" t="s">
        <v>100</v>
      </c>
      <c r="BL1040" s="2" t="s">
        <v>2113</v>
      </c>
      <c r="BM1040" s="2" t="s">
        <v>18331</v>
      </c>
      <c r="BN1040" s="2" t="n">
        <v>27691995</v>
      </c>
      <c r="BO1040" s="2" t="s">
        <v>136</v>
      </c>
      <c r="BP1040" s="2"/>
      <c r="BQ1040" s="2"/>
      <c r="BR1040" s="2" t="s">
        <v>104</v>
      </c>
      <c r="BS1040" s="2" t="s">
        <v>18332</v>
      </c>
      <c r="BT1040" s="2" t="str">
        <f aca="false">HYPERLINK("https%3A%2F%2Fwww.webofscience.com%2Fwos%2Fwoscc%2Ffull-record%2FWOS:000390101500017","View Full Record in Web of Science")</f>
        <v>View Full Record in Web of Science</v>
      </c>
    </row>
    <row r="1041" customFormat="false" ht="12.75" hidden="false" customHeight="false" outlineLevel="0" collapsed="false">
      <c r="A1041" s="2" t="s">
        <v>72</v>
      </c>
      <c r="B1041" s="2" t="s">
        <v>18333</v>
      </c>
      <c r="C1041" s="2"/>
      <c r="D1041" s="2"/>
      <c r="E1041" s="2"/>
      <c r="F1041" s="2" t="s">
        <v>18334</v>
      </c>
      <c r="G1041" s="2"/>
      <c r="H1041" s="2"/>
      <c r="I1041" s="2" t="s">
        <v>18335</v>
      </c>
      <c r="J1041" s="2" t="s">
        <v>557</v>
      </c>
      <c r="K1041" s="2"/>
      <c r="L1041" s="2"/>
      <c r="M1041" s="2" t="s">
        <v>77</v>
      </c>
      <c r="N1041" s="2" t="s">
        <v>78</v>
      </c>
      <c r="O1041" s="2"/>
      <c r="P1041" s="2"/>
      <c r="Q1041" s="2"/>
      <c r="R1041" s="2"/>
      <c r="S1041" s="2"/>
      <c r="T1041" s="2" t="s">
        <v>18336</v>
      </c>
      <c r="U1041" s="2" t="s">
        <v>18337</v>
      </c>
      <c r="V1041" s="2" t="s">
        <v>18338</v>
      </c>
      <c r="W1041" s="2" t="s">
        <v>18339</v>
      </c>
      <c r="X1041" s="2" t="s">
        <v>18340</v>
      </c>
      <c r="Y1041" s="2" t="s">
        <v>18341</v>
      </c>
      <c r="Z1041" s="2" t="s">
        <v>18342</v>
      </c>
      <c r="AA1041" s="2"/>
      <c r="AB1041" s="2"/>
      <c r="AC1041" s="2" t="s">
        <v>18343</v>
      </c>
      <c r="AD1041" s="2" t="s">
        <v>18343</v>
      </c>
      <c r="AE1041" s="2" t="s">
        <v>18344</v>
      </c>
      <c r="AF1041" s="2"/>
      <c r="AG1041" s="2" t="n">
        <v>47</v>
      </c>
      <c r="AH1041" s="2" t="n">
        <v>0</v>
      </c>
      <c r="AI1041" s="2" t="n">
        <v>0</v>
      </c>
      <c r="AJ1041" s="2" t="n">
        <v>2</v>
      </c>
      <c r="AK1041" s="2" t="n">
        <v>2</v>
      </c>
      <c r="AL1041" s="2" t="s">
        <v>302</v>
      </c>
      <c r="AM1041" s="2" t="s">
        <v>303</v>
      </c>
      <c r="AN1041" s="2" t="s">
        <v>304</v>
      </c>
      <c r="AO1041" s="2"/>
      <c r="AP1041" s="2" t="s">
        <v>570</v>
      </c>
      <c r="AQ1041" s="2"/>
      <c r="AR1041" s="2" t="s">
        <v>571</v>
      </c>
      <c r="AS1041" s="2" t="s">
        <v>572</v>
      </c>
      <c r="AT1041" s="2" t="s">
        <v>4251</v>
      </c>
      <c r="AU1041" s="2" t="n">
        <v>2024</v>
      </c>
      <c r="AV1041" s="2" t="n">
        <v>24</v>
      </c>
      <c r="AW1041" s="2" t="n">
        <v>1</v>
      </c>
      <c r="AX1041" s="2"/>
      <c r="AY1041" s="2"/>
      <c r="AZ1041" s="2"/>
      <c r="BA1041" s="2"/>
      <c r="BB1041" s="2"/>
      <c r="BC1041" s="2"/>
      <c r="BD1041" s="2" t="n">
        <v>1060</v>
      </c>
      <c r="BE1041" s="2" t="s">
        <v>18345</v>
      </c>
      <c r="BF1041" s="2" t="str">
        <f aca="false">HYPERLINK("http://dx.doi.org/10.1186/s12879-024-09956-z","http://dx.doi.org/10.1186/s12879-024-09956-z")</f>
        <v>http://dx.doi.org/10.1186/s12879-024-09956-z</v>
      </c>
      <c r="BG1041" s="2"/>
      <c r="BH1041" s="2"/>
      <c r="BI1041" s="2" t="n">
        <v>10</v>
      </c>
      <c r="BJ1041" s="2" t="s">
        <v>575</v>
      </c>
      <c r="BK1041" s="2" t="s">
        <v>100</v>
      </c>
      <c r="BL1041" s="2" t="s">
        <v>575</v>
      </c>
      <c r="BM1041" s="2" t="s">
        <v>18346</v>
      </c>
      <c r="BN1041" s="2" t="n">
        <v>39333919</v>
      </c>
      <c r="BO1041" s="2" t="s">
        <v>1355</v>
      </c>
      <c r="BP1041" s="2"/>
      <c r="BQ1041" s="2"/>
      <c r="BR1041" s="2" t="s">
        <v>104</v>
      </c>
      <c r="BS1041" s="2" t="s">
        <v>18347</v>
      </c>
      <c r="BT1041" s="2" t="str">
        <f aca="false">HYPERLINK("https%3A%2F%2Fwww.webofscience.com%2Fwos%2Fwoscc%2Ffull-record%2FWOS:001324931400022","View Full Record in Web of Science")</f>
        <v>View Full Record in Web of Science</v>
      </c>
    </row>
    <row r="1042" customFormat="false" ht="12.75" hidden="false" customHeight="false" outlineLevel="0" collapsed="false">
      <c r="A1042" s="2" t="s">
        <v>72</v>
      </c>
      <c r="B1042" s="2" t="s">
        <v>18348</v>
      </c>
      <c r="C1042" s="2"/>
      <c r="D1042" s="2"/>
      <c r="E1042" s="2"/>
      <c r="F1042" s="2" t="s">
        <v>18349</v>
      </c>
      <c r="G1042" s="2"/>
      <c r="H1042" s="2"/>
      <c r="I1042" s="2" t="s">
        <v>18350</v>
      </c>
      <c r="J1042" s="2" t="s">
        <v>4000</v>
      </c>
      <c r="K1042" s="2"/>
      <c r="L1042" s="2"/>
      <c r="M1042" s="2" t="s">
        <v>77</v>
      </c>
      <c r="N1042" s="2" t="s">
        <v>78</v>
      </c>
      <c r="O1042" s="2"/>
      <c r="P1042" s="2"/>
      <c r="Q1042" s="2"/>
      <c r="R1042" s="2"/>
      <c r="S1042" s="2"/>
      <c r="T1042" s="2" t="s">
        <v>18351</v>
      </c>
      <c r="U1042" s="2" t="s">
        <v>18352</v>
      </c>
      <c r="V1042" s="2" t="s">
        <v>18353</v>
      </c>
      <c r="W1042" s="2" t="s">
        <v>18354</v>
      </c>
      <c r="X1042" s="2" t="s">
        <v>18355</v>
      </c>
      <c r="Y1042" s="2" t="s">
        <v>18356</v>
      </c>
      <c r="Z1042" s="2" t="s">
        <v>18357</v>
      </c>
      <c r="AA1042" s="2" t="s">
        <v>18358</v>
      </c>
      <c r="AB1042" s="2" t="s">
        <v>18359</v>
      </c>
      <c r="AC1042" s="2" t="s">
        <v>18360</v>
      </c>
      <c r="AD1042" s="2"/>
      <c r="AE1042" s="2" t="s">
        <v>18361</v>
      </c>
      <c r="AF1042" s="2"/>
      <c r="AG1042" s="2" t="n">
        <v>34</v>
      </c>
      <c r="AH1042" s="2" t="n">
        <v>3</v>
      </c>
      <c r="AI1042" s="2" t="n">
        <v>3</v>
      </c>
      <c r="AJ1042" s="2" t="n">
        <v>1</v>
      </c>
      <c r="AK1042" s="2" t="n">
        <v>3</v>
      </c>
      <c r="AL1042" s="2" t="s">
        <v>91</v>
      </c>
      <c r="AM1042" s="2" t="s">
        <v>92</v>
      </c>
      <c r="AN1042" s="2" t="s">
        <v>93</v>
      </c>
      <c r="AO1042" s="2"/>
      <c r="AP1042" s="2" t="s">
        <v>4012</v>
      </c>
      <c r="AQ1042" s="2"/>
      <c r="AR1042" s="2" t="s">
        <v>4000</v>
      </c>
      <c r="AS1042" s="2" t="s">
        <v>4013</v>
      </c>
      <c r="AT1042" s="2" t="s">
        <v>97</v>
      </c>
      <c r="AU1042" s="2" t="n">
        <v>2023</v>
      </c>
      <c r="AV1042" s="2" t="n">
        <v>10</v>
      </c>
      <c r="AW1042" s="2" t="n">
        <v>3</v>
      </c>
      <c r="AX1042" s="2"/>
      <c r="AY1042" s="2"/>
      <c r="AZ1042" s="2"/>
      <c r="BA1042" s="2"/>
      <c r="BB1042" s="2"/>
      <c r="BC1042" s="2"/>
      <c r="BD1042" s="2" t="n">
        <v>529</v>
      </c>
      <c r="BE1042" s="2" t="s">
        <v>18362</v>
      </c>
      <c r="BF1042" s="2" t="str">
        <f aca="false">HYPERLINK("http://dx.doi.org/10.3390/children10030529","http://dx.doi.org/10.3390/children10030529")</f>
        <v>http://dx.doi.org/10.3390/children10030529</v>
      </c>
      <c r="BG1042" s="2"/>
      <c r="BH1042" s="2"/>
      <c r="BI1042" s="2" t="n">
        <v>13</v>
      </c>
      <c r="BJ1042" s="2" t="s">
        <v>601</v>
      </c>
      <c r="BK1042" s="2" t="s">
        <v>100</v>
      </c>
      <c r="BL1042" s="2" t="s">
        <v>601</v>
      </c>
      <c r="BM1042" s="2" t="s">
        <v>18363</v>
      </c>
      <c r="BN1042" s="2" t="n">
        <v>36980087</v>
      </c>
      <c r="BO1042" s="2" t="s">
        <v>190</v>
      </c>
      <c r="BP1042" s="2"/>
      <c r="BQ1042" s="2"/>
      <c r="BR1042" s="2" t="s">
        <v>104</v>
      </c>
      <c r="BS1042" s="2" t="s">
        <v>18364</v>
      </c>
      <c r="BT1042" s="2" t="str">
        <f aca="false">HYPERLINK("https%3A%2F%2Fwww.webofscience.com%2Fwos%2Fwoscc%2Ffull-record%2FWOS:000956451300001","View Full Record in Web of Science")</f>
        <v>View Full Record in Web of Science</v>
      </c>
    </row>
    <row r="1043" customFormat="false" ht="12.75" hidden="false" customHeight="false" outlineLevel="0" collapsed="false">
      <c r="A1043" s="2" t="s">
        <v>72</v>
      </c>
      <c r="B1043" s="2" t="s">
        <v>18365</v>
      </c>
      <c r="C1043" s="2"/>
      <c r="D1043" s="2"/>
      <c r="E1043" s="2"/>
      <c r="F1043" s="2" t="s">
        <v>18366</v>
      </c>
      <c r="G1043" s="2"/>
      <c r="H1043" s="2" t="s">
        <v>18367</v>
      </c>
      <c r="I1043" s="2" t="s">
        <v>18368</v>
      </c>
      <c r="J1043" s="2" t="s">
        <v>514</v>
      </c>
      <c r="K1043" s="2"/>
      <c r="L1043" s="2"/>
      <c r="M1043" s="2" t="s">
        <v>77</v>
      </c>
      <c r="N1043" s="2" t="s">
        <v>78</v>
      </c>
      <c r="O1043" s="2"/>
      <c r="P1043" s="2"/>
      <c r="Q1043" s="2"/>
      <c r="R1043" s="2"/>
      <c r="S1043" s="2"/>
      <c r="T1043" s="2" t="s">
        <v>18369</v>
      </c>
      <c r="U1043" s="2" t="s">
        <v>18370</v>
      </c>
      <c r="V1043" s="2" t="s">
        <v>18371</v>
      </c>
      <c r="W1043" s="2" t="s">
        <v>18372</v>
      </c>
      <c r="X1043" s="2" t="s">
        <v>18373</v>
      </c>
      <c r="Y1043" s="2" t="s">
        <v>18374</v>
      </c>
      <c r="Z1043" s="2" t="s">
        <v>18375</v>
      </c>
      <c r="AA1043" s="2"/>
      <c r="AB1043" s="2"/>
      <c r="AC1043" s="2" t="s">
        <v>18376</v>
      </c>
      <c r="AD1043" s="2" t="s">
        <v>18377</v>
      </c>
      <c r="AE1043" s="2" t="s">
        <v>18378</v>
      </c>
      <c r="AF1043" s="2"/>
      <c r="AG1043" s="2" t="n">
        <v>37</v>
      </c>
      <c r="AH1043" s="2" t="n">
        <v>7</v>
      </c>
      <c r="AI1043" s="2" t="n">
        <v>7</v>
      </c>
      <c r="AJ1043" s="2" t="n">
        <v>1</v>
      </c>
      <c r="AK1043" s="2" t="n">
        <v>2</v>
      </c>
      <c r="AL1043" s="2" t="s">
        <v>527</v>
      </c>
      <c r="AM1043" s="2" t="s">
        <v>528</v>
      </c>
      <c r="AN1043" s="2" t="s">
        <v>529</v>
      </c>
      <c r="AO1043" s="2" t="s">
        <v>530</v>
      </c>
      <c r="AP1043" s="2" t="s">
        <v>531</v>
      </c>
      <c r="AQ1043" s="2"/>
      <c r="AR1043" s="2" t="s">
        <v>532</v>
      </c>
      <c r="AS1043" s="2" t="s">
        <v>533</v>
      </c>
      <c r="AT1043" s="2" t="s">
        <v>15629</v>
      </c>
      <c r="AU1043" s="2" t="n">
        <v>2021</v>
      </c>
      <c r="AV1043" s="2" t="n">
        <v>224</v>
      </c>
      <c r="AW1043" s="2" t="n">
        <v>5</v>
      </c>
      <c r="AX1043" s="2"/>
      <c r="AY1043" s="2"/>
      <c r="AZ1043" s="2"/>
      <c r="BA1043" s="2"/>
      <c r="BB1043" s="2" t="n">
        <v>831</v>
      </c>
      <c r="BC1043" s="2" t="n">
        <v>838</v>
      </c>
      <c r="BD1043" s="2"/>
      <c r="BE1043" s="2" t="s">
        <v>18379</v>
      </c>
      <c r="BF1043" s="2" t="str">
        <f aca="false">HYPERLINK("http://dx.doi.org/10.1093/infdis/jiab023","http://dx.doi.org/10.1093/infdis/jiab023")</f>
        <v>http://dx.doi.org/10.1093/infdis/jiab023</v>
      </c>
      <c r="BG1043" s="2"/>
      <c r="BH1043" s="2" t="s">
        <v>2196</v>
      </c>
      <c r="BI1043" s="2" t="n">
        <v>8</v>
      </c>
      <c r="BJ1043" s="2" t="s">
        <v>536</v>
      </c>
      <c r="BK1043" s="2" t="s">
        <v>100</v>
      </c>
      <c r="BL1043" s="2" t="s">
        <v>536</v>
      </c>
      <c r="BM1043" s="2" t="s">
        <v>18380</v>
      </c>
      <c r="BN1043" s="2" t="n">
        <v>34467984</v>
      </c>
      <c r="BO1043" s="2"/>
      <c r="BP1043" s="2"/>
      <c r="BQ1043" s="2"/>
      <c r="BR1043" s="2" t="s">
        <v>104</v>
      </c>
      <c r="BS1043" s="2" t="s">
        <v>18381</v>
      </c>
      <c r="BT1043" s="2" t="str">
        <f aca="false">HYPERLINK("https%3A%2F%2Fwww.webofscience.com%2Fwos%2Fwoscc%2Ffull-record%2FWOS:000703933800014","View Full Record in Web of Science")</f>
        <v>View Full Record in Web of Science</v>
      </c>
    </row>
    <row r="1044" customFormat="false" ht="12.75" hidden="false" customHeight="false" outlineLevel="0" collapsed="false">
      <c r="A1044" s="2" t="s">
        <v>72</v>
      </c>
      <c r="B1044" s="2" t="s">
        <v>18382</v>
      </c>
      <c r="C1044" s="2"/>
      <c r="D1044" s="2"/>
      <c r="E1044" s="2"/>
      <c r="F1044" s="2" t="s">
        <v>18383</v>
      </c>
      <c r="G1044" s="2"/>
      <c r="H1044" s="2"/>
      <c r="I1044" s="2" t="s">
        <v>18384</v>
      </c>
      <c r="J1044" s="2" t="s">
        <v>493</v>
      </c>
      <c r="K1044" s="2"/>
      <c r="L1044" s="2"/>
      <c r="M1044" s="2" t="s">
        <v>77</v>
      </c>
      <c r="N1044" s="2" t="s">
        <v>78</v>
      </c>
      <c r="O1044" s="2"/>
      <c r="P1044" s="2"/>
      <c r="Q1044" s="2"/>
      <c r="R1044" s="2"/>
      <c r="S1044" s="2"/>
      <c r="T1044" s="2" t="s">
        <v>18385</v>
      </c>
      <c r="U1044" s="2" t="s">
        <v>18386</v>
      </c>
      <c r="V1044" s="2" t="s">
        <v>18387</v>
      </c>
      <c r="W1044" s="2" t="s">
        <v>18388</v>
      </c>
      <c r="X1044" s="2" t="s">
        <v>18389</v>
      </c>
      <c r="Y1044" s="2" t="s">
        <v>18390</v>
      </c>
      <c r="Z1044" s="2" t="s">
        <v>18391</v>
      </c>
      <c r="AA1044" s="2" t="s">
        <v>18392</v>
      </c>
      <c r="AB1044" s="2" t="s">
        <v>18393</v>
      </c>
      <c r="AC1044" s="2"/>
      <c r="AD1044" s="2"/>
      <c r="AE1044" s="2"/>
      <c r="AF1044" s="2"/>
      <c r="AG1044" s="2" t="n">
        <v>61</v>
      </c>
      <c r="AH1044" s="2" t="n">
        <v>1</v>
      </c>
      <c r="AI1044" s="2" t="n">
        <v>2</v>
      </c>
      <c r="AJ1044" s="2" t="n">
        <v>2</v>
      </c>
      <c r="AK1044" s="2" t="n">
        <v>9</v>
      </c>
      <c r="AL1044" s="2" t="s">
        <v>91</v>
      </c>
      <c r="AM1044" s="2" t="s">
        <v>92</v>
      </c>
      <c r="AN1044" s="2" t="s">
        <v>93</v>
      </c>
      <c r="AO1044" s="2"/>
      <c r="AP1044" s="2" t="s">
        <v>506</v>
      </c>
      <c r="AQ1044" s="2"/>
      <c r="AR1044" s="2" t="s">
        <v>493</v>
      </c>
      <c r="AS1044" s="2" t="s">
        <v>507</v>
      </c>
      <c r="AT1044" s="2" t="s">
        <v>1041</v>
      </c>
      <c r="AU1044" s="2" t="n">
        <v>2022</v>
      </c>
      <c r="AV1044" s="2" t="n">
        <v>14</v>
      </c>
      <c r="AW1044" s="2" t="n">
        <v>2</v>
      </c>
      <c r="AX1044" s="2"/>
      <c r="AY1044" s="2"/>
      <c r="AZ1044" s="2"/>
      <c r="BA1044" s="2"/>
      <c r="BB1044" s="2"/>
      <c r="BC1044" s="2"/>
      <c r="BD1044" s="2" t="n">
        <v>338</v>
      </c>
      <c r="BE1044" s="2" t="s">
        <v>18394</v>
      </c>
      <c r="BF1044" s="2" t="str">
        <f aca="false">HYPERLINK("http://dx.doi.org/10.3390/v14020338","http://dx.doi.org/10.3390/v14020338")</f>
        <v>http://dx.doi.org/10.3390/v14020338</v>
      </c>
      <c r="BG1044" s="2"/>
      <c r="BH1044" s="2"/>
      <c r="BI1044" s="2" t="n">
        <v>20</v>
      </c>
      <c r="BJ1044" s="2" t="s">
        <v>163</v>
      </c>
      <c r="BK1044" s="2" t="s">
        <v>100</v>
      </c>
      <c r="BL1044" s="2" t="s">
        <v>163</v>
      </c>
      <c r="BM1044" s="2" t="s">
        <v>18395</v>
      </c>
      <c r="BN1044" s="2" t="n">
        <v>35215932</v>
      </c>
      <c r="BO1044" s="2" t="s">
        <v>190</v>
      </c>
      <c r="BP1044" s="2"/>
      <c r="BQ1044" s="2"/>
      <c r="BR1044" s="2" t="s">
        <v>104</v>
      </c>
      <c r="BS1044" s="2" t="s">
        <v>18396</v>
      </c>
      <c r="BT1044" s="2" t="str">
        <f aca="false">HYPERLINK("https%3A%2F%2Fwww.webofscience.com%2Fwos%2Fwoscc%2Ffull-record%2FWOS:000762297500001","View Full Record in Web of Science")</f>
        <v>View Full Record in Web of Science</v>
      </c>
    </row>
    <row r="1045" customFormat="false" ht="12.75" hidden="false" customHeight="false" outlineLevel="0" collapsed="false">
      <c r="A1045" s="2" t="s">
        <v>72</v>
      </c>
      <c r="B1045" s="2" t="s">
        <v>18397</v>
      </c>
      <c r="C1045" s="2"/>
      <c r="D1045" s="2"/>
      <c r="E1045" s="2"/>
      <c r="F1045" s="2" t="s">
        <v>18398</v>
      </c>
      <c r="G1045" s="2"/>
      <c r="H1045" s="2"/>
      <c r="I1045" s="2" t="s">
        <v>18399</v>
      </c>
      <c r="J1045" s="2" t="s">
        <v>11899</v>
      </c>
      <c r="K1045" s="2"/>
      <c r="L1045" s="2"/>
      <c r="M1045" s="2" t="s">
        <v>77</v>
      </c>
      <c r="N1045" s="2" t="s">
        <v>78</v>
      </c>
      <c r="O1045" s="2"/>
      <c r="P1045" s="2"/>
      <c r="Q1045" s="2"/>
      <c r="R1045" s="2"/>
      <c r="S1045" s="2"/>
      <c r="T1045" s="2" t="s">
        <v>18400</v>
      </c>
      <c r="U1045" s="2" t="s">
        <v>18401</v>
      </c>
      <c r="V1045" s="2" t="s">
        <v>18402</v>
      </c>
      <c r="W1045" s="2" t="s">
        <v>18403</v>
      </c>
      <c r="X1045" s="2" t="s">
        <v>18404</v>
      </c>
      <c r="Y1045" s="2" t="s">
        <v>18405</v>
      </c>
      <c r="Z1045" s="2" t="s">
        <v>18406</v>
      </c>
      <c r="AA1045" s="2" t="s">
        <v>18407</v>
      </c>
      <c r="AB1045" s="2" t="s">
        <v>18408</v>
      </c>
      <c r="AC1045" s="2"/>
      <c r="AD1045" s="2"/>
      <c r="AE1045" s="2"/>
      <c r="AF1045" s="2"/>
      <c r="AG1045" s="2" t="n">
        <v>24</v>
      </c>
      <c r="AH1045" s="2" t="n">
        <v>26</v>
      </c>
      <c r="AI1045" s="2" t="n">
        <v>29</v>
      </c>
      <c r="AJ1045" s="2" t="n">
        <v>0</v>
      </c>
      <c r="AK1045" s="2" t="n">
        <v>3</v>
      </c>
      <c r="AL1045" s="2" t="s">
        <v>2788</v>
      </c>
      <c r="AM1045" s="2" t="s">
        <v>2789</v>
      </c>
      <c r="AN1045" s="2" t="s">
        <v>2790</v>
      </c>
      <c r="AO1045" s="2" t="s">
        <v>11908</v>
      </c>
      <c r="AP1045" s="2" t="s">
        <v>18409</v>
      </c>
      <c r="AQ1045" s="2"/>
      <c r="AR1045" s="2" t="s">
        <v>11909</v>
      </c>
      <c r="AS1045" s="2" t="s">
        <v>11910</v>
      </c>
      <c r="AT1045" s="2" t="s">
        <v>18410</v>
      </c>
      <c r="AU1045" s="2" t="n">
        <v>2016</v>
      </c>
      <c r="AV1045" s="2" t="n">
        <v>57</v>
      </c>
      <c r="AW1045" s="2" t="n">
        <v>3</v>
      </c>
      <c r="AX1045" s="2"/>
      <c r="AY1045" s="2"/>
      <c r="AZ1045" s="2"/>
      <c r="BA1045" s="2"/>
      <c r="BB1045" s="2" t="n">
        <v>623</v>
      </c>
      <c r="BC1045" s="2" t="n">
        <v>627</v>
      </c>
      <c r="BD1045" s="2"/>
      <c r="BE1045" s="2" t="s">
        <v>18411</v>
      </c>
      <c r="BF1045" s="2" t="str">
        <f aca="false">HYPERLINK("http://dx.doi.org/10.3109/10428194.2015.1067699","http://dx.doi.org/10.3109/10428194.2015.1067699")</f>
        <v>http://dx.doi.org/10.3109/10428194.2015.1067699</v>
      </c>
      <c r="BG1045" s="2"/>
      <c r="BH1045" s="2"/>
      <c r="BI1045" s="2" t="n">
        <v>5</v>
      </c>
      <c r="BJ1045" s="2" t="s">
        <v>11913</v>
      </c>
      <c r="BK1045" s="2" t="s">
        <v>100</v>
      </c>
      <c r="BL1045" s="2" t="s">
        <v>11913</v>
      </c>
      <c r="BM1045" s="2" t="s">
        <v>18412</v>
      </c>
      <c r="BN1045" s="2" t="n">
        <v>26122193</v>
      </c>
      <c r="BO1045" s="2"/>
      <c r="BP1045" s="2"/>
      <c r="BQ1045" s="2"/>
      <c r="BR1045" s="2" t="s">
        <v>104</v>
      </c>
      <c r="BS1045" s="2" t="s">
        <v>18413</v>
      </c>
      <c r="BT1045" s="2" t="str">
        <f aca="false">HYPERLINK("https%3A%2F%2Fwww.webofscience.com%2Fwos%2Fwoscc%2Ffull-record%2FWOS:000372499800019","View Full Record in Web of Science")</f>
        <v>View Full Record in Web of Science</v>
      </c>
    </row>
    <row r="1046" customFormat="false" ht="12.75" hidden="false" customHeight="false" outlineLevel="0" collapsed="false">
      <c r="A1046" s="2" t="s">
        <v>72</v>
      </c>
      <c r="B1046" s="2" t="s">
        <v>18414</v>
      </c>
      <c r="C1046" s="2"/>
      <c r="D1046" s="2"/>
      <c r="E1046" s="2"/>
      <c r="F1046" s="2" t="s">
        <v>18415</v>
      </c>
      <c r="G1046" s="2"/>
      <c r="H1046" s="2"/>
      <c r="I1046" s="2" t="s">
        <v>18416</v>
      </c>
      <c r="J1046" s="2" t="s">
        <v>8664</v>
      </c>
      <c r="K1046" s="2"/>
      <c r="L1046" s="2"/>
      <c r="M1046" s="2" t="s">
        <v>77</v>
      </c>
      <c r="N1046" s="2" t="s">
        <v>78</v>
      </c>
      <c r="O1046" s="2"/>
      <c r="P1046" s="2"/>
      <c r="Q1046" s="2"/>
      <c r="R1046" s="2"/>
      <c r="S1046" s="2"/>
      <c r="T1046" s="2" t="s">
        <v>18417</v>
      </c>
      <c r="U1046" s="2" t="s">
        <v>18418</v>
      </c>
      <c r="V1046" s="2" t="s">
        <v>18419</v>
      </c>
      <c r="W1046" s="2" t="s">
        <v>18420</v>
      </c>
      <c r="X1046" s="2" t="s">
        <v>18421</v>
      </c>
      <c r="Y1046" s="2" t="s">
        <v>18422</v>
      </c>
      <c r="Z1046" s="2" t="s">
        <v>18423</v>
      </c>
      <c r="AA1046" s="2" t="s">
        <v>18424</v>
      </c>
      <c r="AB1046" s="2" t="s">
        <v>18425</v>
      </c>
      <c r="AC1046" s="2"/>
      <c r="AD1046" s="2"/>
      <c r="AE1046" s="2"/>
      <c r="AF1046" s="2"/>
      <c r="AG1046" s="2" t="n">
        <v>17</v>
      </c>
      <c r="AH1046" s="2" t="n">
        <v>12</v>
      </c>
      <c r="AI1046" s="2" t="n">
        <v>14</v>
      </c>
      <c r="AJ1046" s="2" t="n">
        <v>1</v>
      </c>
      <c r="AK1046" s="2" t="n">
        <v>6</v>
      </c>
      <c r="AL1046" s="2" t="s">
        <v>154</v>
      </c>
      <c r="AM1046" s="2" t="s">
        <v>155</v>
      </c>
      <c r="AN1046" s="2" t="s">
        <v>156</v>
      </c>
      <c r="AO1046" s="2" t="s">
        <v>8673</v>
      </c>
      <c r="AP1046" s="2" t="s">
        <v>8674</v>
      </c>
      <c r="AQ1046" s="2"/>
      <c r="AR1046" s="2" t="s">
        <v>8675</v>
      </c>
      <c r="AS1046" s="2" t="s">
        <v>8676</v>
      </c>
      <c r="AT1046" s="2" t="s">
        <v>1041</v>
      </c>
      <c r="AU1046" s="2" t="n">
        <v>2018</v>
      </c>
      <c r="AV1046" s="2" t="n">
        <v>60</v>
      </c>
      <c r="AW1046" s="2" t="n">
        <v>2</v>
      </c>
      <c r="AX1046" s="2"/>
      <c r="AY1046" s="2"/>
      <c r="AZ1046" s="2"/>
      <c r="BA1046" s="2"/>
      <c r="BB1046" s="2" t="n">
        <v>153</v>
      </c>
      <c r="BC1046" s="2" t="n">
        <v>156</v>
      </c>
      <c r="BD1046" s="2"/>
      <c r="BE1046" s="2" t="s">
        <v>18426</v>
      </c>
      <c r="BF1046" s="2" t="str">
        <f aca="false">HYPERLINK("http://dx.doi.org/10.1111/ped.13470","http://dx.doi.org/10.1111/ped.13470")</f>
        <v>http://dx.doi.org/10.1111/ped.13470</v>
      </c>
      <c r="BG1046" s="2"/>
      <c r="BH1046" s="2"/>
      <c r="BI1046" s="2" t="n">
        <v>4</v>
      </c>
      <c r="BJ1046" s="2" t="s">
        <v>601</v>
      </c>
      <c r="BK1046" s="2" t="s">
        <v>100</v>
      </c>
      <c r="BL1046" s="2" t="s">
        <v>601</v>
      </c>
      <c r="BM1046" s="2" t="s">
        <v>18427</v>
      </c>
      <c r="BN1046" s="2" t="n">
        <v>29205682</v>
      </c>
      <c r="BO1046" s="2"/>
      <c r="BP1046" s="2"/>
      <c r="BQ1046" s="2"/>
      <c r="BR1046" s="2" t="s">
        <v>104</v>
      </c>
      <c r="BS1046" s="2" t="s">
        <v>18428</v>
      </c>
      <c r="BT1046" s="2" t="str">
        <f aca="false">HYPERLINK("https%3A%2F%2Fwww.webofscience.com%2Fwos%2Fwoscc%2Ffull-record%2FWOS:000426076600009","View Full Record in Web of Science")</f>
        <v>View Full Record in Web of Science</v>
      </c>
    </row>
    <row r="1047" customFormat="false" ht="12.75" hidden="false" customHeight="false" outlineLevel="0" collapsed="false">
      <c r="A1047" s="2" t="s">
        <v>72</v>
      </c>
      <c r="B1047" s="2" t="s">
        <v>18429</v>
      </c>
      <c r="C1047" s="2"/>
      <c r="D1047" s="2"/>
      <c r="E1047" s="2"/>
      <c r="F1047" s="2" t="s">
        <v>18430</v>
      </c>
      <c r="G1047" s="2"/>
      <c r="H1047" s="2"/>
      <c r="I1047" s="2" t="s">
        <v>18431</v>
      </c>
      <c r="J1047" s="2" t="s">
        <v>18432</v>
      </c>
      <c r="K1047" s="2"/>
      <c r="L1047" s="2"/>
      <c r="M1047" s="2" t="s">
        <v>77</v>
      </c>
      <c r="N1047" s="2" t="s">
        <v>78</v>
      </c>
      <c r="O1047" s="2"/>
      <c r="P1047" s="2"/>
      <c r="Q1047" s="2"/>
      <c r="R1047" s="2"/>
      <c r="S1047" s="2"/>
      <c r="T1047" s="2" t="s">
        <v>18433</v>
      </c>
      <c r="U1047" s="2" t="s">
        <v>18434</v>
      </c>
      <c r="V1047" s="2" t="s">
        <v>18435</v>
      </c>
      <c r="W1047" s="2" t="s">
        <v>18436</v>
      </c>
      <c r="X1047" s="2" t="s">
        <v>18437</v>
      </c>
      <c r="Y1047" s="2" t="s">
        <v>18438</v>
      </c>
      <c r="Z1047" s="2" t="s">
        <v>18439</v>
      </c>
      <c r="AA1047" s="2" t="s">
        <v>18440</v>
      </c>
      <c r="AB1047" s="2" t="s">
        <v>18441</v>
      </c>
      <c r="AC1047" s="2"/>
      <c r="AD1047" s="2"/>
      <c r="AE1047" s="2"/>
      <c r="AF1047" s="2"/>
      <c r="AG1047" s="2" t="n">
        <v>34</v>
      </c>
      <c r="AH1047" s="2" t="n">
        <v>0</v>
      </c>
      <c r="AI1047" s="2" t="n">
        <v>0</v>
      </c>
      <c r="AJ1047" s="2" t="n">
        <v>1</v>
      </c>
      <c r="AK1047" s="2" t="n">
        <v>2</v>
      </c>
      <c r="AL1047" s="2" t="s">
        <v>18442</v>
      </c>
      <c r="AM1047" s="2" t="s">
        <v>18443</v>
      </c>
      <c r="AN1047" s="2" t="s">
        <v>18444</v>
      </c>
      <c r="AO1047" s="2" t="s">
        <v>18445</v>
      </c>
      <c r="AP1047" s="2"/>
      <c r="AQ1047" s="2"/>
      <c r="AR1047" s="2" t="s">
        <v>18446</v>
      </c>
      <c r="AS1047" s="2" t="s">
        <v>18447</v>
      </c>
      <c r="AT1047" s="2"/>
      <c r="AU1047" s="2" t="n">
        <v>2023</v>
      </c>
      <c r="AV1047" s="2" t="n">
        <v>30</v>
      </c>
      <c r="AW1047" s="2" t="n">
        <v>4</v>
      </c>
      <c r="AX1047" s="2"/>
      <c r="AY1047" s="2"/>
      <c r="AZ1047" s="2"/>
      <c r="BA1047" s="2"/>
      <c r="BB1047" s="2" t="s">
        <v>18448</v>
      </c>
      <c r="BC1047" s="2" t="s">
        <v>18449</v>
      </c>
      <c r="BD1047" s="2"/>
      <c r="BE1047" s="2" t="s">
        <v>18450</v>
      </c>
      <c r="BF1047" s="2" t="str">
        <f aca="false">HYPERLINK("http://dx.doi.org/10.47750/jptcp.2023.30.04.027","http://dx.doi.org/10.47750/jptcp.2023.30.04.027")</f>
        <v>http://dx.doi.org/10.47750/jptcp.2023.30.04.027</v>
      </c>
      <c r="BG1047" s="2"/>
      <c r="BH1047" s="2"/>
      <c r="BI1047" s="2" t="n">
        <v>7</v>
      </c>
      <c r="BJ1047" s="2" t="s">
        <v>101</v>
      </c>
      <c r="BK1047" s="2" t="s">
        <v>339</v>
      </c>
      <c r="BL1047" s="2" t="s">
        <v>101</v>
      </c>
      <c r="BM1047" s="2" t="s">
        <v>18451</v>
      </c>
      <c r="BN1047" s="2"/>
      <c r="BO1047" s="2" t="s">
        <v>656</v>
      </c>
      <c r="BP1047" s="2"/>
      <c r="BQ1047" s="2"/>
      <c r="BR1047" s="2" t="s">
        <v>104</v>
      </c>
      <c r="BS1047" s="2" t="s">
        <v>18452</v>
      </c>
      <c r="BT1047" s="2" t="str">
        <f aca="false">HYPERLINK("https%3A%2F%2Fwww.webofscience.com%2Fwos%2Fwoscc%2Ffull-record%2FWOS:000960121900027","View Full Record in Web of Science")</f>
        <v>View Full Record in Web of Science</v>
      </c>
    </row>
    <row r="1048" customFormat="false" ht="12.75" hidden="false" customHeight="false" outlineLevel="0" collapsed="false">
      <c r="A1048" s="2" t="s">
        <v>72</v>
      </c>
      <c r="B1048" s="2" t="s">
        <v>18453</v>
      </c>
      <c r="C1048" s="2"/>
      <c r="D1048" s="2"/>
      <c r="E1048" s="2"/>
      <c r="F1048" s="2" t="s">
        <v>18454</v>
      </c>
      <c r="G1048" s="2"/>
      <c r="H1048" s="2"/>
      <c r="I1048" s="2" t="s">
        <v>18455</v>
      </c>
      <c r="J1048" s="2" t="s">
        <v>2262</v>
      </c>
      <c r="K1048" s="2"/>
      <c r="L1048" s="2"/>
      <c r="M1048" s="2" t="s">
        <v>77</v>
      </c>
      <c r="N1048" s="2" t="s">
        <v>78</v>
      </c>
      <c r="O1048" s="2"/>
      <c r="P1048" s="2"/>
      <c r="Q1048" s="2"/>
      <c r="R1048" s="2"/>
      <c r="S1048" s="2"/>
      <c r="T1048" s="2" t="s">
        <v>18456</v>
      </c>
      <c r="U1048" s="2" t="s">
        <v>18457</v>
      </c>
      <c r="V1048" s="2" t="s">
        <v>18458</v>
      </c>
      <c r="W1048" s="2" t="s">
        <v>18459</v>
      </c>
      <c r="X1048" s="2" t="s">
        <v>18460</v>
      </c>
      <c r="Y1048" s="2" t="s">
        <v>18461</v>
      </c>
      <c r="Z1048" s="2" t="s">
        <v>6933</v>
      </c>
      <c r="AA1048" s="2" t="s">
        <v>18462</v>
      </c>
      <c r="AB1048" s="2" t="s">
        <v>18463</v>
      </c>
      <c r="AC1048" s="2" t="s">
        <v>18464</v>
      </c>
      <c r="AD1048" s="2" t="s">
        <v>18465</v>
      </c>
      <c r="AE1048" s="2" t="s">
        <v>18466</v>
      </c>
      <c r="AF1048" s="2"/>
      <c r="AG1048" s="2" t="n">
        <v>35</v>
      </c>
      <c r="AH1048" s="2" t="n">
        <v>7</v>
      </c>
      <c r="AI1048" s="2" t="n">
        <v>8</v>
      </c>
      <c r="AJ1048" s="2" t="n">
        <v>2</v>
      </c>
      <c r="AK1048" s="2" t="n">
        <v>3</v>
      </c>
      <c r="AL1048" s="2" t="s">
        <v>383</v>
      </c>
      <c r="AM1048" s="2" t="s">
        <v>384</v>
      </c>
      <c r="AN1048" s="2" t="s">
        <v>385</v>
      </c>
      <c r="AO1048" s="2" t="s">
        <v>2271</v>
      </c>
      <c r="AP1048" s="2" t="s">
        <v>2272</v>
      </c>
      <c r="AQ1048" s="2"/>
      <c r="AR1048" s="2" t="s">
        <v>2273</v>
      </c>
      <c r="AS1048" s="2" t="s">
        <v>2274</v>
      </c>
      <c r="AT1048" s="2" t="s">
        <v>161</v>
      </c>
      <c r="AU1048" s="2" t="n">
        <v>2022</v>
      </c>
      <c r="AV1048" s="2" t="n">
        <v>60</v>
      </c>
      <c r="AW1048" s="2" t="n">
        <v>1</v>
      </c>
      <c r="AX1048" s="2"/>
      <c r="AY1048" s="2"/>
      <c r="AZ1048" s="2"/>
      <c r="BA1048" s="2"/>
      <c r="BB1048" s="2" t="n">
        <v>129</v>
      </c>
      <c r="BC1048" s="2" t="n">
        <v>136</v>
      </c>
      <c r="BD1048" s="2"/>
      <c r="BE1048" s="2" t="s">
        <v>18467</v>
      </c>
      <c r="BF1048" s="2" t="str">
        <f aca="false">HYPERLINK("http://dx.doi.org/10.1016/j.resinv.2021.08.009","http://dx.doi.org/10.1016/j.resinv.2021.08.009")</f>
        <v>http://dx.doi.org/10.1016/j.resinv.2021.08.009</v>
      </c>
      <c r="BG1048" s="2"/>
      <c r="BH1048" s="2" t="s">
        <v>3298</v>
      </c>
      <c r="BI1048" s="2" t="n">
        <v>8</v>
      </c>
      <c r="BJ1048" s="2" t="s">
        <v>338</v>
      </c>
      <c r="BK1048" s="2" t="s">
        <v>339</v>
      </c>
      <c r="BL1048" s="2" t="s">
        <v>338</v>
      </c>
      <c r="BM1048" s="2" t="s">
        <v>18468</v>
      </c>
      <c r="BN1048" s="2" t="n">
        <v>34580039</v>
      </c>
      <c r="BO1048" s="2" t="s">
        <v>2278</v>
      </c>
      <c r="BP1048" s="2"/>
      <c r="BQ1048" s="2"/>
      <c r="BR1048" s="2" t="s">
        <v>104</v>
      </c>
      <c r="BS1048" s="2" t="s">
        <v>18469</v>
      </c>
      <c r="BT1048" s="2" t="str">
        <f aca="false">HYPERLINK("https%3A%2F%2Fwww.webofscience.com%2Fwos%2Fwoscc%2Ffull-record%2FWOS:000741303200012","View Full Record in Web of Science")</f>
        <v>View Full Record in Web of Science</v>
      </c>
    </row>
    <row r="1049" customFormat="false" ht="12.75" hidden="false" customHeight="false" outlineLevel="0" collapsed="false">
      <c r="A1049" s="2" t="s">
        <v>72</v>
      </c>
      <c r="B1049" s="2" t="s">
        <v>18470</v>
      </c>
      <c r="C1049" s="2"/>
      <c r="D1049" s="2"/>
      <c r="E1049" s="2"/>
      <c r="F1049" s="2" t="s">
        <v>18471</v>
      </c>
      <c r="G1049" s="2"/>
      <c r="H1049" s="2"/>
      <c r="I1049" s="2" t="s">
        <v>18472</v>
      </c>
      <c r="J1049" s="2" t="s">
        <v>10837</v>
      </c>
      <c r="K1049" s="2"/>
      <c r="L1049" s="2"/>
      <c r="M1049" s="2" t="s">
        <v>77</v>
      </c>
      <c r="N1049" s="2" t="s">
        <v>78</v>
      </c>
      <c r="O1049" s="2"/>
      <c r="P1049" s="2"/>
      <c r="Q1049" s="2"/>
      <c r="R1049" s="2"/>
      <c r="S1049" s="2"/>
      <c r="T1049" s="2" t="s">
        <v>18473</v>
      </c>
      <c r="U1049" s="2" t="s">
        <v>18474</v>
      </c>
      <c r="V1049" s="2" t="s">
        <v>18475</v>
      </c>
      <c r="W1049" s="2" t="s">
        <v>18476</v>
      </c>
      <c r="X1049" s="2" t="s">
        <v>18477</v>
      </c>
      <c r="Y1049" s="2" t="s">
        <v>18478</v>
      </c>
      <c r="Z1049" s="2" t="s">
        <v>18479</v>
      </c>
      <c r="AA1049" s="2" t="s">
        <v>18480</v>
      </c>
      <c r="AB1049" s="2" t="s">
        <v>18481</v>
      </c>
      <c r="AC1049" s="2" t="s">
        <v>18482</v>
      </c>
      <c r="AD1049" s="2" t="s">
        <v>18483</v>
      </c>
      <c r="AE1049" s="2" t="s">
        <v>18484</v>
      </c>
      <c r="AF1049" s="2"/>
      <c r="AG1049" s="2" t="n">
        <v>34</v>
      </c>
      <c r="AH1049" s="2" t="n">
        <v>1</v>
      </c>
      <c r="AI1049" s="2" t="n">
        <v>1</v>
      </c>
      <c r="AJ1049" s="2" t="n">
        <v>0</v>
      </c>
      <c r="AK1049" s="2" t="n">
        <v>0</v>
      </c>
      <c r="AL1049" s="2" t="s">
        <v>527</v>
      </c>
      <c r="AM1049" s="2" t="s">
        <v>528</v>
      </c>
      <c r="AN1049" s="2" t="s">
        <v>529</v>
      </c>
      <c r="AO1049" s="2" t="s">
        <v>10846</v>
      </c>
      <c r="AP1049" s="2"/>
      <c r="AQ1049" s="2"/>
      <c r="AR1049" s="2" t="s">
        <v>10847</v>
      </c>
      <c r="AS1049" s="2" t="s">
        <v>10848</v>
      </c>
      <c r="AT1049" s="2" t="s">
        <v>1855</v>
      </c>
      <c r="AU1049" s="2" t="n">
        <v>2023</v>
      </c>
      <c r="AV1049" s="2" t="n">
        <v>10</v>
      </c>
      <c r="AW1049" s="2" t="n">
        <v>12</v>
      </c>
      <c r="AX1049" s="2"/>
      <c r="AY1049" s="2"/>
      <c r="AZ1049" s="2"/>
      <c r="BA1049" s="2"/>
      <c r="BB1049" s="2"/>
      <c r="BC1049" s="2"/>
      <c r="BD1049" s="2" t="s">
        <v>18485</v>
      </c>
      <c r="BE1049" s="2" t="s">
        <v>18486</v>
      </c>
      <c r="BF1049" s="2" t="str">
        <f aca="false">HYPERLINK("http://dx.doi.org/10.1093/ofid/ofad580","http://dx.doi.org/10.1093/ofid/ofad580")</f>
        <v>http://dx.doi.org/10.1093/ofid/ofad580</v>
      </c>
      <c r="BG1049" s="2"/>
      <c r="BH1049" s="2" t="s">
        <v>3590</v>
      </c>
      <c r="BI1049" s="2" t="n">
        <v>9</v>
      </c>
      <c r="BJ1049" s="2" t="s">
        <v>536</v>
      </c>
      <c r="BK1049" s="2" t="s">
        <v>100</v>
      </c>
      <c r="BL1049" s="2" t="s">
        <v>536</v>
      </c>
      <c r="BM1049" s="2" t="s">
        <v>18487</v>
      </c>
      <c r="BN1049" s="2" t="n">
        <v>38130597</v>
      </c>
      <c r="BO1049" s="2" t="s">
        <v>103</v>
      </c>
      <c r="BP1049" s="2"/>
      <c r="BQ1049" s="2"/>
      <c r="BR1049" s="2" t="s">
        <v>104</v>
      </c>
      <c r="BS1049" s="2" t="s">
        <v>18488</v>
      </c>
      <c r="BT1049" s="2" t="str">
        <f aca="false">HYPERLINK("https%3A%2F%2Fwww.webofscience.com%2Fwos%2Fwoscc%2Ffull-record%2FWOS:001128501100010","View Full Record in Web of Science")</f>
        <v>View Full Record in Web of Science</v>
      </c>
    </row>
    <row r="1050" customFormat="false" ht="12.75" hidden="false" customHeight="false" outlineLevel="0" collapsed="false">
      <c r="A1050" s="2" t="s">
        <v>72</v>
      </c>
      <c r="B1050" s="2" t="s">
        <v>18489</v>
      </c>
      <c r="C1050" s="2"/>
      <c r="D1050" s="2"/>
      <c r="E1050" s="2"/>
      <c r="F1050" s="2" t="s">
        <v>18490</v>
      </c>
      <c r="G1050" s="2"/>
      <c r="H1050" s="2"/>
      <c r="I1050" s="2" t="s">
        <v>18491</v>
      </c>
      <c r="J1050" s="2" t="s">
        <v>1765</v>
      </c>
      <c r="K1050" s="2"/>
      <c r="L1050" s="2"/>
      <c r="M1050" s="2" t="s">
        <v>77</v>
      </c>
      <c r="N1050" s="2" t="s">
        <v>78</v>
      </c>
      <c r="O1050" s="2"/>
      <c r="P1050" s="2"/>
      <c r="Q1050" s="2"/>
      <c r="R1050" s="2"/>
      <c r="S1050" s="2"/>
      <c r="T1050" s="2" t="s">
        <v>18492</v>
      </c>
      <c r="U1050" s="2" t="s">
        <v>18493</v>
      </c>
      <c r="V1050" s="2" t="s">
        <v>18494</v>
      </c>
      <c r="W1050" s="2" t="s">
        <v>18495</v>
      </c>
      <c r="X1050" s="2" t="s">
        <v>18496</v>
      </c>
      <c r="Y1050" s="2" t="s">
        <v>18497</v>
      </c>
      <c r="Z1050" s="2" t="s">
        <v>18498</v>
      </c>
      <c r="AA1050" s="2" t="s">
        <v>18499</v>
      </c>
      <c r="AB1050" s="2" t="s">
        <v>16633</v>
      </c>
      <c r="AC1050" s="2"/>
      <c r="AD1050" s="2"/>
      <c r="AE1050" s="2"/>
      <c r="AF1050" s="2"/>
      <c r="AG1050" s="2" t="n">
        <v>17</v>
      </c>
      <c r="AH1050" s="2" t="n">
        <v>15</v>
      </c>
      <c r="AI1050" s="2" t="n">
        <v>17</v>
      </c>
      <c r="AJ1050" s="2" t="n">
        <v>2</v>
      </c>
      <c r="AK1050" s="2" t="n">
        <v>16</v>
      </c>
      <c r="AL1050" s="2" t="s">
        <v>620</v>
      </c>
      <c r="AM1050" s="2" t="s">
        <v>621</v>
      </c>
      <c r="AN1050" s="2" t="s">
        <v>622</v>
      </c>
      <c r="AO1050" s="2" t="s">
        <v>1778</v>
      </c>
      <c r="AP1050" s="2"/>
      <c r="AQ1050" s="2"/>
      <c r="AR1050" s="2" t="s">
        <v>1779</v>
      </c>
      <c r="AS1050" s="2" t="s">
        <v>1780</v>
      </c>
      <c r="AT1050" s="2" t="s">
        <v>12905</v>
      </c>
      <c r="AU1050" s="2" t="n">
        <v>2022</v>
      </c>
      <c r="AV1050" s="2" t="n">
        <v>9</v>
      </c>
      <c r="AW1050" s="2"/>
      <c r="AX1050" s="2"/>
      <c r="AY1050" s="2"/>
      <c r="AZ1050" s="2"/>
      <c r="BA1050" s="2"/>
      <c r="BB1050" s="2"/>
      <c r="BC1050" s="2"/>
      <c r="BD1050" s="2" t="n">
        <v>759213</v>
      </c>
      <c r="BE1050" s="2" t="s">
        <v>18500</v>
      </c>
      <c r="BF1050" s="2" t="str">
        <f aca="false">HYPERLINK("http://dx.doi.org/10.3389/fped.2021.759213","http://dx.doi.org/10.3389/fped.2021.759213")</f>
        <v>http://dx.doi.org/10.3389/fped.2021.759213</v>
      </c>
      <c r="BG1050" s="2"/>
      <c r="BH1050" s="2"/>
      <c r="BI1050" s="2" t="n">
        <v>8</v>
      </c>
      <c r="BJ1050" s="2" t="s">
        <v>601</v>
      </c>
      <c r="BK1050" s="2" t="s">
        <v>100</v>
      </c>
      <c r="BL1050" s="2" t="s">
        <v>601</v>
      </c>
      <c r="BM1050" s="2" t="s">
        <v>18501</v>
      </c>
      <c r="BN1050" s="2" t="n">
        <v>35071128</v>
      </c>
      <c r="BO1050" s="2" t="s">
        <v>190</v>
      </c>
      <c r="BP1050" s="2"/>
      <c r="BQ1050" s="2"/>
      <c r="BR1050" s="2" t="s">
        <v>104</v>
      </c>
      <c r="BS1050" s="2" t="s">
        <v>18502</v>
      </c>
      <c r="BT1050" s="2" t="str">
        <f aca="false">HYPERLINK("https%3A%2F%2Fwww.webofscience.com%2Fwos%2Fwoscc%2Ffull-record%2FWOS:000745165300001","View Full Record in Web of Science")</f>
        <v>View Full Record in Web of Science</v>
      </c>
    </row>
    <row r="1051" customFormat="false" ht="12.75" hidden="false" customHeight="false" outlineLevel="0" collapsed="false">
      <c r="A1051" s="2" t="s">
        <v>72</v>
      </c>
      <c r="B1051" s="2" t="s">
        <v>18503</v>
      </c>
      <c r="C1051" s="2"/>
      <c r="D1051" s="2"/>
      <c r="E1051" s="2"/>
      <c r="F1051" s="2" t="s">
        <v>18504</v>
      </c>
      <c r="G1051" s="2"/>
      <c r="H1051" s="2"/>
      <c r="I1051" s="2" t="s">
        <v>18505</v>
      </c>
      <c r="J1051" s="2" t="s">
        <v>12362</v>
      </c>
      <c r="K1051" s="2"/>
      <c r="L1051" s="2"/>
      <c r="M1051" s="2" t="s">
        <v>77</v>
      </c>
      <c r="N1051" s="2" t="s">
        <v>78</v>
      </c>
      <c r="O1051" s="2"/>
      <c r="P1051" s="2"/>
      <c r="Q1051" s="2"/>
      <c r="R1051" s="2"/>
      <c r="S1051" s="2"/>
      <c r="T1051" s="2" t="s">
        <v>18506</v>
      </c>
      <c r="U1051" s="2" t="s">
        <v>18507</v>
      </c>
      <c r="V1051" s="2" t="s">
        <v>18508</v>
      </c>
      <c r="W1051" s="2" t="s">
        <v>18509</v>
      </c>
      <c r="X1051" s="2" t="s">
        <v>8632</v>
      </c>
      <c r="Y1051" s="2" t="s">
        <v>18510</v>
      </c>
      <c r="Z1051" s="2" t="s">
        <v>12369</v>
      </c>
      <c r="AA1051" s="2" t="s">
        <v>18511</v>
      </c>
      <c r="AB1051" s="2" t="s">
        <v>18512</v>
      </c>
      <c r="AC1051" s="2" t="s">
        <v>18513</v>
      </c>
      <c r="AD1051" s="2" t="s">
        <v>8637</v>
      </c>
      <c r="AE1051" s="2" t="s">
        <v>18514</v>
      </c>
      <c r="AF1051" s="2"/>
      <c r="AG1051" s="2" t="n">
        <v>48</v>
      </c>
      <c r="AH1051" s="2" t="n">
        <v>17</v>
      </c>
      <c r="AI1051" s="2" t="n">
        <v>19</v>
      </c>
      <c r="AJ1051" s="2" t="n">
        <v>0</v>
      </c>
      <c r="AK1051" s="2" t="n">
        <v>0</v>
      </c>
      <c r="AL1051" s="2" t="s">
        <v>154</v>
      </c>
      <c r="AM1051" s="2" t="s">
        <v>155</v>
      </c>
      <c r="AN1051" s="2" t="s">
        <v>156</v>
      </c>
      <c r="AO1051" s="2" t="s">
        <v>12374</v>
      </c>
      <c r="AP1051" s="2" t="s">
        <v>12375</v>
      </c>
      <c r="AQ1051" s="2"/>
      <c r="AR1051" s="2" t="s">
        <v>12376</v>
      </c>
      <c r="AS1051" s="2" t="s">
        <v>12377</v>
      </c>
      <c r="AT1051" s="2" t="s">
        <v>692</v>
      </c>
      <c r="AU1051" s="2" t="n">
        <v>2014</v>
      </c>
      <c r="AV1051" s="2" t="n">
        <v>8</v>
      </c>
      <c r="AW1051" s="2" t="n">
        <v>2</v>
      </c>
      <c r="AX1051" s="2"/>
      <c r="AY1051" s="2"/>
      <c r="AZ1051" s="2"/>
      <c r="BA1051" s="2"/>
      <c r="BB1051" s="2" t="n">
        <v>225</v>
      </c>
      <c r="BC1051" s="2" t="n">
        <v>233</v>
      </c>
      <c r="BD1051" s="2"/>
      <c r="BE1051" s="2" t="s">
        <v>18515</v>
      </c>
      <c r="BF1051" s="2" t="str">
        <f aca="false">HYPERLINK("http://dx.doi.org/10.1111/crj.12064","http://dx.doi.org/10.1111/crj.12064")</f>
        <v>http://dx.doi.org/10.1111/crj.12064</v>
      </c>
      <c r="BG1051" s="2"/>
      <c r="BH1051" s="2"/>
      <c r="BI1051" s="2" t="n">
        <v>9</v>
      </c>
      <c r="BJ1051" s="2" t="s">
        <v>338</v>
      </c>
      <c r="BK1051" s="2" t="s">
        <v>100</v>
      </c>
      <c r="BL1051" s="2" t="s">
        <v>338</v>
      </c>
      <c r="BM1051" s="2" t="s">
        <v>18516</v>
      </c>
      <c r="BN1051" s="2" t="n">
        <v>24131502</v>
      </c>
      <c r="BO1051" s="2"/>
      <c r="BP1051" s="2"/>
      <c r="BQ1051" s="2"/>
      <c r="BR1051" s="2" t="s">
        <v>104</v>
      </c>
      <c r="BS1051" s="2" t="s">
        <v>18517</v>
      </c>
      <c r="BT1051" s="2" t="str">
        <f aca="false">HYPERLINK("https%3A%2F%2Fwww.webofscience.com%2Fwos%2Fwoscc%2Ffull-record%2FWOS:000333692300013","View Full Record in Web of Science")</f>
        <v>View Full Record in Web of Science</v>
      </c>
    </row>
    <row r="1052" customFormat="false" ht="12.75" hidden="false" customHeight="false" outlineLevel="0" collapsed="false">
      <c r="A1052" s="2" t="s">
        <v>72</v>
      </c>
      <c r="B1052" s="2" t="s">
        <v>18518</v>
      </c>
      <c r="C1052" s="2"/>
      <c r="D1052" s="2"/>
      <c r="E1052" s="2"/>
      <c r="F1052" s="2" t="s">
        <v>18519</v>
      </c>
      <c r="G1052" s="2"/>
      <c r="H1052" s="2"/>
      <c r="I1052" s="2" t="s">
        <v>18520</v>
      </c>
      <c r="J1052" s="2" t="s">
        <v>141</v>
      </c>
      <c r="K1052" s="2"/>
      <c r="L1052" s="2"/>
      <c r="M1052" s="2" t="s">
        <v>77</v>
      </c>
      <c r="N1052" s="2" t="s">
        <v>78</v>
      </c>
      <c r="O1052" s="2"/>
      <c r="P1052" s="2"/>
      <c r="Q1052" s="2"/>
      <c r="R1052" s="2"/>
      <c r="S1052" s="2"/>
      <c r="T1052" s="2" t="s">
        <v>18521</v>
      </c>
      <c r="U1052" s="2" t="s">
        <v>18522</v>
      </c>
      <c r="V1052" s="2" t="s">
        <v>18523</v>
      </c>
      <c r="W1052" s="2" t="s">
        <v>18524</v>
      </c>
      <c r="X1052" s="2" t="s">
        <v>18525</v>
      </c>
      <c r="Y1052" s="2" t="s">
        <v>18526</v>
      </c>
      <c r="Z1052" s="2" t="s">
        <v>18527</v>
      </c>
      <c r="AA1052" s="2" t="s">
        <v>18528</v>
      </c>
      <c r="AB1052" s="2" t="s">
        <v>18529</v>
      </c>
      <c r="AC1052" s="2" t="s">
        <v>18530</v>
      </c>
      <c r="AD1052" s="2" t="s">
        <v>18531</v>
      </c>
      <c r="AE1052" s="2" t="s">
        <v>18532</v>
      </c>
      <c r="AF1052" s="2"/>
      <c r="AG1052" s="2" t="n">
        <v>26</v>
      </c>
      <c r="AH1052" s="2" t="n">
        <v>22</v>
      </c>
      <c r="AI1052" s="2" t="n">
        <v>23</v>
      </c>
      <c r="AJ1052" s="2" t="n">
        <v>0</v>
      </c>
      <c r="AK1052" s="2" t="n">
        <v>8</v>
      </c>
      <c r="AL1052" s="2" t="s">
        <v>154</v>
      </c>
      <c r="AM1052" s="2" t="s">
        <v>155</v>
      </c>
      <c r="AN1052" s="2" t="s">
        <v>156</v>
      </c>
      <c r="AO1052" s="2" t="s">
        <v>157</v>
      </c>
      <c r="AP1052" s="2" t="s">
        <v>158</v>
      </c>
      <c r="AQ1052" s="2"/>
      <c r="AR1052" s="2" t="s">
        <v>159</v>
      </c>
      <c r="AS1052" s="2" t="s">
        <v>160</v>
      </c>
      <c r="AT1052" s="2" t="s">
        <v>97</v>
      </c>
      <c r="AU1052" s="2" t="n">
        <v>2017</v>
      </c>
      <c r="AV1052" s="2" t="n">
        <v>89</v>
      </c>
      <c r="AW1052" s="2" t="n">
        <v>3</v>
      </c>
      <c r="AX1052" s="2"/>
      <c r="AY1052" s="2"/>
      <c r="AZ1052" s="2"/>
      <c r="BA1052" s="2"/>
      <c r="BB1052" s="2" t="n">
        <v>553</v>
      </c>
      <c r="BC1052" s="2" t="n">
        <v>558</v>
      </c>
      <c r="BD1052" s="2"/>
      <c r="BE1052" s="2" t="s">
        <v>18533</v>
      </c>
      <c r="BF1052" s="2" t="str">
        <f aca="false">HYPERLINK("http://dx.doi.org/10.1002/jmv.24661","http://dx.doi.org/10.1002/jmv.24661")</f>
        <v>http://dx.doi.org/10.1002/jmv.24661</v>
      </c>
      <c r="BG1052" s="2"/>
      <c r="BH1052" s="2"/>
      <c r="BI1052" s="2" t="n">
        <v>6</v>
      </c>
      <c r="BJ1052" s="2" t="s">
        <v>163</v>
      </c>
      <c r="BK1052" s="2" t="s">
        <v>100</v>
      </c>
      <c r="BL1052" s="2" t="s">
        <v>163</v>
      </c>
      <c r="BM1052" s="2" t="s">
        <v>18534</v>
      </c>
      <c r="BN1052" s="2" t="n">
        <v>27509268</v>
      </c>
      <c r="BO1052" s="2"/>
      <c r="BP1052" s="2"/>
      <c r="BQ1052" s="2"/>
      <c r="BR1052" s="2" t="s">
        <v>104</v>
      </c>
      <c r="BS1052" s="2" t="s">
        <v>18535</v>
      </c>
      <c r="BT1052" s="2" t="str">
        <f aca="false">HYPERLINK("https%3A%2F%2Fwww.webofscience.com%2Fwos%2Fwoscc%2Ffull-record%2FWOS:000393892900026","View Full Record in Web of Science")</f>
        <v>View Full Record in Web of Science</v>
      </c>
    </row>
    <row r="1053" customFormat="false" ht="12.75" hidden="false" customHeight="false" outlineLevel="0" collapsed="false">
      <c r="A1053" s="2" t="s">
        <v>72</v>
      </c>
      <c r="B1053" s="2" t="s">
        <v>18536</v>
      </c>
      <c r="C1053" s="2"/>
      <c r="D1053" s="2"/>
      <c r="E1053" s="2"/>
      <c r="F1053" s="2" t="s">
        <v>18537</v>
      </c>
      <c r="G1053" s="2"/>
      <c r="H1053" s="2"/>
      <c r="I1053" s="2" t="s">
        <v>18538</v>
      </c>
      <c r="J1053" s="2" t="s">
        <v>141</v>
      </c>
      <c r="K1053" s="2"/>
      <c r="L1053" s="2"/>
      <c r="M1053" s="2" t="s">
        <v>77</v>
      </c>
      <c r="N1053" s="2" t="s">
        <v>78</v>
      </c>
      <c r="O1053" s="2"/>
      <c r="P1053" s="2"/>
      <c r="Q1053" s="2"/>
      <c r="R1053" s="2"/>
      <c r="S1053" s="2"/>
      <c r="T1053" s="2" t="s">
        <v>18539</v>
      </c>
      <c r="U1053" s="2" t="s">
        <v>18540</v>
      </c>
      <c r="V1053" s="2" t="s">
        <v>18541</v>
      </c>
      <c r="W1053" s="2" t="s">
        <v>18542</v>
      </c>
      <c r="X1053" s="2" t="s">
        <v>18543</v>
      </c>
      <c r="Y1053" s="2" t="s">
        <v>18544</v>
      </c>
      <c r="Z1053" s="2" t="s">
        <v>18545</v>
      </c>
      <c r="AA1053" s="2"/>
      <c r="AB1053" s="2" t="s">
        <v>18546</v>
      </c>
      <c r="AC1053" s="2" t="s">
        <v>18547</v>
      </c>
      <c r="AD1053" s="2" t="s">
        <v>18547</v>
      </c>
      <c r="AE1053" s="2" t="s">
        <v>18548</v>
      </c>
      <c r="AF1053" s="2"/>
      <c r="AG1053" s="2" t="n">
        <v>28</v>
      </c>
      <c r="AH1053" s="2" t="n">
        <v>41</v>
      </c>
      <c r="AI1053" s="2" t="n">
        <v>45</v>
      </c>
      <c r="AJ1053" s="2" t="n">
        <v>0</v>
      </c>
      <c r="AK1053" s="2" t="n">
        <v>12</v>
      </c>
      <c r="AL1053" s="2" t="s">
        <v>154</v>
      </c>
      <c r="AM1053" s="2" t="s">
        <v>155</v>
      </c>
      <c r="AN1053" s="2" t="s">
        <v>156</v>
      </c>
      <c r="AO1053" s="2" t="s">
        <v>157</v>
      </c>
      <c r="AP1053" s="2" t="s">
        <v>158</v>
      </c>
      <c r="AQ1053" s="2"/>
      <c r="AR1053" s="2" t="s">
        <v>159</v>
      </c>
      <c r="AS1053" s="2" t="s">
        <v>160</v>
      </c>
      <c r="AT1053" s="2" t="s">
        <v>804</v>
      </c>
      <c r="AU1053" s="2" t="n">
        <v>2016</v>
      </c>
      <c r="AV1053" s="2" t="n">
        <v>88</v>
      </c>
      <c r="AW1053" s="2" t="n">
        <v>11</v>
      </c>
      <c r="AX1053" s="2"/>
      <c r="AY1053" s="2"/>
      <c r="AZ1053" s="2"/>
      <c r="BA1053" s="2"/>
      <c r="BB1053" s="2" t="n">
        <v>1874</v>
      </c>
      <c r="BC1053" s="2" t="n">
        <v>1881</v>
      </c>
      <c r="BD1053" s="2"/>
      <c r="BE1053" s="2" t="s">
        <v>18549</v>
      </c>
      <c r="BF1053" s="2" t="str">
        <f aca="false">HYPERLINK("http://dx.doi.org/10.1002/jmv.24544","http://dx.doi.org/10.1002/jmv.24544")</f>
        <v>http://dx.doi.org/10.1002/jmv.24544</v>
      </c>
      <c r="BG1053" s="2"/>
      <c r="BH1053" s="2"/>
      <c r="BI1053" s="2" t="n">
        <v>8</v>
      </c>
      <c r="BJ1053" s="2" t="s">
        <v>163</v>
      </c>
      <c r="BK1053" s="2" t="s">
        <v>100</v>
      </c>
      <c r="BL1053" s="2" t="s">
        <v>163</v>
      </c>
      <c r="BM1053" s="2" t="s">
        <v>8858</v>
      </c>
      <c r="BN1053" s="2" t="n">
        <v>27061822</v>
      </c>
      <c r="BO1053" s="2" t="s">
        <v>165</v>
      </c>
      <c r="BP1053" s="2"/>
      <c r="BQ1053" s="2"/>
      <c r="BR1053" s="2" t="s">
        <v>104</v>
      </c>
      <c r="BS1053" s="2" t="s">
        <v>18550</v>
      </c>
      <c r="BT1053" s="2" t="str">
        <f aca="false">HYPERLINK("https%3A%2F%2Fwww.webofscience.com%2Fwos%2Fwoscc%2Ffull-record%2FWOS:000385723000006","View Full Record in Web of Science")</f>
        <v>View Full Record in Web of Science</v>
      </c>
    </row>
    <row r="1054" customFormat="false" ht="12.75" hidden="false" customHeight="false" outlineLevel="0" collapsed="false">
      <c r="A1054" s="2" t="s">
        <v>72</v>
      </c>
      <c r="B1054" s="2" t="s">
        <v>18551</v>
      </c>
      <c r="C1054" s="2"/>
      <c r="D1054" s="2"/>
      <c r="E1054" s="2"/>
      <c r="F1054" s="2" t="s">
        <v>18552</v>
      </c>
      <c r="G1054" s="2"/>
      <c r="H1054" s="2"/>
      <c r="I1054" s="2" t="s">
        <v>18553</v>
      </c>
      <c r="J1054" s="2" t="s">
        <v>141</v>
      </c>
      <c r="K1054" s="2"/>
      <c r="L1054" s="2"/>
      <c r="M1054" s="2" t="s">
        <v>77</v>
      </c>
      <c r="N1054" s="2" t="s">
        <v>78</v>
      </c>
      <c r="O1054" s="2"/>
      <c r="P1054" s="2"/>
      <c r="Q1054" s="2"/>
      <c r="R1054" s="2"/>
      <c r="S1054" s="2"/>
      <c r="T1054" s="2" t="s">
        <v>18554</v>
      </c>
      <c r="U1054" s="2" t="s">
        <v>18555</v>
      </c>
      <c r="V1054" s="2" t="s">
        <v>18556</v>
      </c>
      <c r="W1054" s="2" t="s">
        <v>18557</v>
      </c>
      <c r="X1054" s="2" t="s">
        <v>18558</v>
      </c>
      <c r="Y1054" s="2" t="s">
        <v>18559</v>
      </c>
      <c r="Z1054" s="2" t="s">
        <v>18560</v>
      </c>
      <c r="AA1054" s="2" t="s">
        <v>18561</v>
      </c>
      <c r="AB1054" s="2"/>
      <c r="AC1054" s="2" t="s">
        <v>18562</v>
      </c>
      <c r="AD1054" s="2" t="s">
        <v>18563</v>
      </c>
      <c r="AE1054" s="2" t="s">
        <v>18564</v>
      </c>
      <c r="AF1054" s="2"/>
      <c r="AG1054" s="2" t="n">
        <v>36</v>
      </c>
      <c r="AH1054" s="2" t="n">
        <v>19</v>
      </c>
      <c r="AI1054" s="2" t="n">
        <v>29</v>
      </c>
      <c r="AJ1054" s="2" t="n">
        <v>0</v>
      </c>
      <c r="AK1054" s="2" t="n">
        <v>11</v>
      </c>
      <c r="AL1054" s="2" t="s">
        <v>154</v>
      </c>
      <c r="AM1054" s="2" t="s">
        <v>155</v>
      </c>
      <c r="AN1054" s="2" t="s">
        <v>156</v>
      </c>
      <c r="AO1054" s="2" t="s">
        <v>157</v>
      </c>
      <c r="AP1054" s="2" t="s">
        <v>158</v>
      </c>
      <c r="AQ1054" s="2"/>
      <c r="AR1054" s="2" t="s">
        <v>159</v>
      </c>
      <c r="AS1054" s="2" t="s">
        <v>160</v>
      </c>
      <c r="AT1054" s="2" t="s">
        <v>129</v>
      </c>
      <c r="AU1054" s="2" t="n">
        <v>2019</v>
      </c>
      <c r="AV1054" s="2" t="n">
        <v>91</v>
      </c>
      <c r="AW1054" s="2" t="n">
        <v>9</v>
      </c>
      <c r="AX1054" s="2"/>
      <c r="AY1054" s="2"/>
      <c r="AZ1054" s="2"/>
      <c r="BA1054" s="2"/>
      <c r="BB1054" s="2" t="n">
        <v>1633</v>
      </c>
      <c r="BC1054" s="2" t="n">
        <v>1642</v>
      </c>
      <c r="BD1054" s="2"/>
      <c r="BE1054" s="2" t="s">
        <v>18565</v>
      </c>
      <c r="BF1054" s="2" t="str">
        <f aca="false">HYPERLINK("http://dx.doi.org/10.1002/jmv.25502","http://dx.doi.org/10.1002/jmv.25502")</f>
        <v>http://dx.doi.org/10.1002/jmv.25502</v>
      </c>
      <c r="BG1054" s="2"/>
      <c r="BH1054" s="2"/>
      <c r="BI1054" s="2" t="n">
        <v>10</v>
      </c>
      <c r="BJ1054" s="2" t="s">
        <v>163</v>
      </c>
      <c r="BK1054" s="2" t="s">
        <v>100</v>
      </c>
      <c r="BL1054" s="2" t="s">
        <v>163</v>
      </c>
      <c r="BM1054" s="2" t="s">
        <v>18566</v>
      </c>
      <c r="BN1054" s="2" t="n">
        <v>31081548</v>
      </c>
      <c r="BO1054" s="2" t="s">
        <v>538</v>
      </c>
      <c r="BP1054" s="2"/>
      <c r="BQ1054" s="2"/>
      <c r="BR1054" s="2" t="s">
        <v>104</v>
      </c>
      <c r="BS1054" s="2" t="s">
        <v>18567</v>
      </c>
      <c r="BT1054" s="2" t="str">
        <f aca="false">HYPERLINK("https%3A%2F%2Fwww.webofscience.com%2Fwos%2Fwoscc%2Ffull-record%2FWOS:000481450500008","View Full Record in Web of Science")</f>
        <v>View Full Record in Web of Science</v>
      </c>
    </row>
    <row r="1055" customFormat="false" ht="12.75" hidden="false" customHeight="false" outlineLevel="0" collapsed="false">
      <c r="A1055" s="2" t="s">
        <v>72</v>
      </c>
      <c r="B1055" s="2" t="s">
        <v>18568</v>
      </c>
      <c r="C1055" s="2"/>
      <c r="D1055" s="2"/>
      <c r="E1055" s="2"/>
      <c r="F1055" s="2" t="s">
        <v>18569</v>
      </c>
      <c r="G1055" s="2"/>
      <c r="H1055" s="2"/>
      <c r="I1055" s="2" t="s">
        <v>18570</v>
      </c>
      <c r="J1055" s="2" t="s">
        <v>141</v>
      </c>
      <c r="K1055" s="2"/>
      <c r="L1055" s="2"/>
      <c r="M1055" s="2" t="s">
        <v>77</v>
      </c>
      <c r="N1055" s="2" t="s">
        <v>78</v>
      </c>
      <c r="O1055" s="2"/>
      <c r="P1055" s="2"/>
      <c r="Q1055" s="2"/>
      <c r="R1055" s="2"/>
      <c r="S1055" s="2"/>
      <c r="T1055" s="2" t="s">
        <v>18571</v>
      </c>
      <c r="U1055" s="2" t="s">
        <v>18572</v>
      </c>
      <c r="V1055" s="2" t="s">
        <v>18573</v>
      </c>
      <c r="W1055" s="2" t="s">
        <v>18574</v>
      </c>
      <c r="X1055" s="2" t="s">
        <v>18575</v>
      </c>
      <c r="Y1055" s="2" t="s">
        <v>18576</v>
      </c>
      <c r="Z1055" s="2" t="s">
        <v>4937</v>
      </c>
      <c r="AA1055" s="2" t="s">
        <v>18577</v>
      </c>
      <c r="AB1055" s="2" t="s">
        <v>18578</v>
      </c>
      <c r="AC1055" s="2"/>
      <c r="AD1055" s="2"/>
      <c r="AE1055" s="2"/>
      <c r="AF1055" s="2"/>
      <c r="AG1055" s="2" t="n">
        <v>47</v>
      </c>
      <c r="AH1055" s="2" t="n">
        <v>8</v>
      </c>
      <c r="AI1055" s="2" t="n">
        <v>10</v>
      </c>
      <c r="AJ1055" s="2" t="n">
        <v>0</v>
      </c>
      <c r="AK1055" s="2" t="n">
        <v>14</v>
      </c>
      <c r="AL1055" s="2" t="s">
        <v>154</v>
      </c>
      <c r="AM1055" s="2" t="s">
        <v>155</v>
      </c>
      <c r="AN1055" s="2" t="s">
        <v>156</v>
      </c>
      <c r="AO1055" s="2" t="s">
        <v>157</v>
      </c>
      <c r="AP1055" s="2" t="s">
        <v>158</v>
      </c>
      <c r="AQ1055" s="2"/>
      <c r="AR1055" s="2" t="s">
        <v>159</v>
      </c>
      <c r="AS1055" s="2" t="s">
        <v>160</v>
      </c>
      <c r="AT1055" s="2" t="s">
        <v>336</v>
      </c>
      <c r="AU1055" s="2" t="n">
        <v>2019</v>
      </c>
      <c r="AV1055" s="2" t="n">
        <v>91</v>
      </c>
      <c r="AW1055" s="2" t="n">
        <v>10</v>
      </c>
      <c r="AX1055" s="2"/>
      <c r="AY1055" s="2"/>
      <c r="AZ1055" s="2"/>
      <c r="BA1055" s="2"/>
      <c r="BB1055" s="2" t="n">
        <v>1751</v>
      </c>
      <c r="BC1055" s="2" t="n">
        <v>1758</v>
      </c>
      <c r="BD1055" s="2"/>
      <c r="BE1055" s="2" t="s">
        <v>18579</v>
      </c>
      <c r="BF1055" s="2" t="str">
        <f aca="false">HYPERLINK("http://dx.doi.org/10.1002/jmv.25524","http://dx.doi.org/10.1002/jmv.25524")</f>
        <v>http://dx.doi.org/10.1002/jmv.25524</v>
      </c>
      <c r="BG1055" s="2"/>
      <c r="BH1055" s="2"/>
      <c r="BI1055" s="2" t="n">
        <v>8</v>
      </c>
      <c r="BJ1055" s="2" t="s">
        <v>163</v>
      </c>
      <c r="BK1055" s="2" t="s">
        <v>100</v>
      </c>
      <c r="BL1055" s="2" t="s">
        <v>163</v>
      </c>
      <c r="BM1055" s="2" t="s">
        <v>18580</v>
      </c>
      <c r="BN1055" s="2" t="n">
        <v>31230362</v>
      </c>
      <c r="BO1055" s="2" t="s">
        <v>538</v>
      </c>
      <c r="BP1055" s="2"/>
      <c r="BQ1055" s="2"/>
      <c r="BR1055" s="2" t="s">
        <v>104</v>
      </c>
      <c r="BS1055" s="2" t="s">
        <v>18581</v>
      </c>
      <c r="BT1055" s="2" t="str">
        <f aca="false">HYPERLINK("https%3A%2F%2Fwww.webofscience.com%2Fwos%2Fwoscc%2Ffull-record%2FWOS:000479106100006","View Full Record in Web of Science")</f>
        <v>View Full Record in Web of Science</v>
      </c>
    </row>
    <row r="1056" customFormat="false" ht="12.75" hidden="false" customHeight="false" outlineLevel="0" collapsed="false">
      <c r="A1056" s="2" t="s">
        <v>72</v>
      </c>
      <c r="B1056" s="2" t="s">
        <v>18582</v>
      </c>
      <c r="C1056" s="2"/>
      <c r="D1056" s="2"/>
      <c r="E1056" s="2"/>
      <c r="F1056" s="2" t="s">
        <v>18583</v>
      </c>
      <c r="G1056" s="2"/>
      <c r="H1056" s="2"/>
      <c r="I1056" s="2" t="s">
        <v>18584</v>
      </c>
      <c r="J1056" s="2" t="s">
        <v>770</v>
      </c>
      <c r="K1056" s="2"/>
      <c r="L1056" s="2"/>
      <c r="M1056" s="2" t="s">
        <v>77</v>
      </c>
      <c r="N1056" s="2" t="s">
        <v>78</v>
      </c>
      <c r="O1056" s="2"/>
      <c r="P1056" s="2"/>
      <c r="Q1056" s="2"/>
      <c r="R1056" s="2"/>
      <c r="S1056" s="2"/>
      <c r="T1056" s="2" t="s">
        <v>18585</v>
      </c>
      <c r="U1056" s="2" t="s">
        <v>18586</v>
      </c>
      <c r="V1056" s="2" t="s">
        <v>18587</v>
      </c>
      <c r="W1056" s="2" t="s">
        <v>18588</v>
      </c>
      <c r="X1056" s="2" t="s">
        <v>18589</v>
      </c>
      <c r="Y1056" s="2" t="s">
        <v>18590</v>
      </c>
      <c r="Z1056" s="2" t="s">
        <v>18591</v>
      </c>
      <c r="AA1056" s="2" t="s">
        <v>18592</v>
      </c>
      <c r="AB1056" s="2" t="s">
        <v>18593</v>
      </c>
      <c r="AC1056" s="2" t="s">
        <v>18594</v>
      </c>
      <c r="AD1056" s="2" t="s">
        <v>18595</v>
      </c>
      <c r="AE1056" s="2" t="s">
        <v>18596</v>
      </c>
      <c r="AF1056" s="2"/>
      <c r="AG1056" s="2" t="n">
        <v>56</v>
      </c>
      <c r="AH1056" s="2" t="n">
        <v>23</v>
      </c>
      <c r="AI1056" s="2" t="n">
        <v>26</v>
      </c>
      <c r="AJ1056" s="2" t="n">
        <v>0</v>
      </c>
      <c r="AK1056" s="2" t="n">
        <v>3</v>
      </c>
      <c r="AL1056" s="2" t="s">
        <v>782</v>
      </c>
      <c r="AM1056" s="2" t="s">
        <v>783</v>
      </c>
      <c r="AN1056" s="2" t="s">
        <v>784</v>
      </c>
      <c r="AO1056" s="2" t="s">
        <v>785</v>
      </c>
      <c r="AP1056" s="2" t="s">
        <v>786</v>
      </c>
      <c r="AQ1056" s="2"/>
      <c r="AR1056" s="2" t="s">
        <v>787</v>
      </c>
      <c r="AS1056" s="2" t="s">
        <v>788</v>
      </c>
      <c r="AT1056" s="2" t="s">
        <v>486</v>
      </c>
      <c r="AU1056" s="2" t="n">
        <v>2020</v>
      </c>
      <c r="AV1056" s="2" t="n">
        <v>95</v>
      </c>
      <c r="AW1056" s="2"/>
      <c r="AX1056" s="2"/>
      <c r="AY1056" s="2"/>
      <c r="AZ1056" s="2"/>
      <c r="BA1056" s="2"/>
      <c r="BB1056" s="2" t="n">
        <v>133</v>
      </c>
      <c r="BC1056" s="2" t="n">
        <v>141</v>
      </c>
      <c r="BD1056" s="2"/>
      <c r="BE1056" s="2" t="s">
        <v>18597</v>
      </c>
      <c r="BF1056" s="2" t="str">
        <f aca="false">HYPERLINK("http://dx.doi.org/10.1016/j.ijid.2020.04.008","http://dx.doi.org/10.1016/j.ijid.2020.04.008")</f>
        <v>http://dx.doi.org/10.1016/j.ijid.2020.04.008</v>
      </c>
      <c r="BG1056" s="2"/>
      <c r="BH1056" s="2"/>
      <c r="BI1056" s="2" t="n">
        <v>9</v>
      </c>
      <c r="BJ1056" s="2" t="s">
        <v>575</v>
      </c>
      <c r="BK1056" s="2" t="s">
        <v>100</v>
      </c>
      <c r="BL1056" s="2" t="s">
        <v>575</v>
      </c>
      <c r="BM1056" s="2" t="s">
        <v>7313</v>
      </c>
      <c r="BN1056" s="2" t="n">
        <v>32278934</v>
      </c>
      <c r="BO1056" s="2" t="s">
        <v>103</v>
      </c>
      <c r="BP1056" s="2"/>
      <c r="BQ1056" s="2"/>
      <c r="BR1056" s="2" t="s">
        <v>104</v>
      </c>
      <c r="BS1056" s="2" t="s">
        <v>18598</v>
      </c>
      <c r="BT1056" s="2" t="str">
        <f aca="false">HYPERLINK("https%3A%2F%2Fwww.webofscience.com%2Fwos%2Fwoscc%2Ffull-record%2FWOS:000540737100022","View Full Record in Web of Science")</f>
        <v>View Full Record in Web of Science</v>
      </c>
    </row>
    <row r="1057" customFormat="false" ht="12.75" hidden="false" customHeight="false" outlineLevel="0" collapsed="false">
      <c r="A1057" s="2" t="s">
        <v>72</v>
      </c>
      <c r="B1057" s="2" t="s">
        <v>18599</v>
      </c>
      <c r="C1057" s="2"/>
      <c r="D1057" s="2"/>
      <c r="E1057" s="2"/>
      <c r="F1057" s="2" t="s">
        <v>18600</v>
      </c>
      <c r="G1057" s="2"/>
      <c r="H1057" s="2"/>
      <c r="I1057" s="2" t="s">
        <v>18601</v>
      </c>
      <c r="J1057" s="2" t="s">
        <v>109</v>
      </c>
      <c r="K1057" s="2"/>
      <c r="L1057" s="2"/>
      <c r="M1057" s="2" t="s">
        <v>77</v>
      </c>
      <c r="N1057" s="2" t="s">
        <v>78</v>
      </c>
      <c r="O1057" s="2"/>
      <c r="P1057" s="2"/>
      <c r="Q1057" s="2"/>
      <c r="R1057" s="2"/>
      <c r="S1057" s="2"/>
      <c r="T1057" s="2" t="s">
        <v>18602</v>
      </c>
      <c r="U1057" s="2" t="s">
        <v>18603</v>
      </c>
      <c r="V1057" s="2" t="s">
        <v>18604</v>
      </c>
      <c r="W1057" s="2" t="s">
        <v>18605</v>
      </c>
      <c r="X1057" s="2" t="s">
        <v>18606</v>
      </c>
      <c r="Y1057" s="2" t="s">
        <v>4818</v>
      </c>
      <c r="Z1057" s="2" t="s">
        <v>4819</v>
      </c>
      <c r="AA1057" s="2" t="s">
        <v>18607</v>
      </c>
      <c r="AB1057" s="2" t="s">
        <v>18608</v>
      </c>
      <c r="AC1057" s="2" t="s">
        <v>18609</v>
      </c>
      <c r="AD1057" s="2" t="s">
        <v>18610</v>
      </c>
      <c r="AE1057" s="2" t="s">
        <v>18611</v>
      </c>
      <c r="AF1057" s="2"/>
      <c r="AG1057" s="2" t="n">
        <v>58</v>
      </c>
      <c r="AH1057" s="2" t="n">
        <v>24</v>
      </c>
      <c r="AI1057" s="2" t="n">
        <v>26</v>
      </c>
      <c r="AJ1057" s="2" t="n">
        <v>0</v>
      </c>
      <c r="AK1057" s="2" t="n">
        <v>5</v>
      </c>
      <c r="AL1057" s="2" t="s">
        <v>122</v>
      </c>
      <c r="AM1057" s="2" t="s">
        <v>123</v>
      </c>
      <c r="AN1057" s="2" t="s">
        <v>124</v>
      </c>
      <c r="AO1057" s="2" t="s">
        <v>125</v>
      </c>
      <c r="AP1057" s="2" t="s">
        <v>126</v>
      </c>
      <c r="AQ1057" s="2"/>
      <c r="AR1057" s="2" t="s">
        <v>127</v>
      </c>
      <c r="AS1057" s="2" t="s">
        <v>128</v>
      </c>
      <c r="AT1057" s="2" t="s">
        <v>336</v>
      </c>
      <c r="AU1057" s="2" t="n">
        <v>2014</v>
      </c>
      <c r="AV1057" s="2" t="n">
        <v>33</v>
      </c>
      <c r="AW1057" s="2" t="n">
        <v>10</v>
      </c>
      <c r="AX1057" s="2"/>
      <c r="AY1057" s="2"/>
      <c r="AZ1057" s="2"/>
      <c r="BA1057" s="2"/>
      <c r="BB1057" s="2" t="n">
        <v>997</v>
      </c>
      <c r="BC1057" s="2" t="n">
        <v>1003</v>
      </c>
      <c r="BD1057" s="2"/>
      <c r="BE1057" s="2" t="s">
        <v>18612</v>
      </c>
      <c r="BF1057" s="2" t="str">
        <f aca="false">HYPERLINK("http://dx.doi.org/10.1097/INF.0000000000000349","http://dx.doi.org/10.1097/INF.0000000000000349")</f>
        <v>http://dx.doi.org/10.1097/INF.0000000000000349</v>
      </c>
      <c r="BG1057" s="2"/>
      <c r="BH1057" s="2"/>
      <c r="BI1057" s="2" t="n">
        <v>7</v>
      </c>
      <c r="BJ1057" s="2" t="s">
        <v>134</v>
      </c>
      <c r="BK1057" s="2" t="s">
        <v>100</v>
      </c>
      <c r="BL1057" s="2" t="s">
        <v>134</v>
      </c>
      <c r="BM1057" s="2" t="s">
        <v>18613</v>
      </c>
      <c r="BN1057" s="2" t="n">
        <v>25361184</v>
      </c>
      <c r="BO1057" s="2"/>
      <c r="BP1057" s="2"/>
      <c r="BQ1057" s="2"/>
      <c r="BR1057" s="2" t="s">
        <v>104</v>
      </c>
      <c r="BS1057" s="2" t="s">
        <v>18614</v>
      </c>
      <c r="BT1057" s="2" t="str">
        <f aca="false">HYPERLINK("https%3A%2F%2Fwww.webofscience.com%2Fwos%2Fwoscc%2Ffull-record%2FWOS:000342198700005","View Full Record in Web of Science")</f>
        <v>View Full Record in Web of Science</v>
      </c>
    </row>
    <row r="1058" customFormat="false" ht="12.75" hidden="false" customHeight="false" outlineLevel="0" collapsed="false">
      <c r="A1058" s="2" t="s">
        <v>72</v>
      </c>
      <c r="B1058" s="2" t="s">
        <v>18615</v>
      </c>
      <c r="C1058" s="2"/>
      <c r="D1058" s="2"/>
      <c r="E1058" s="2"/>
      <c r="F1058" s="2" t="s">
        <v>18616</v>
      </c>
      <c r="G1058" s="2"/>
      <c r="H1058" s="2"/>
      <c r="I1058" s="2" t="s">
        <v>18617</v>
      </c>
      <c r="J1058" s="2" t="s">
        <v>18618</v>
      </c>
      <c r="K1058" s="2"/>
      <c r="L1058" s="2"/>
      <c r="M1058" s="2" t="s">
        <v>77</v>
      </c>
      <c r="N1058" s="2" t="s">
        <v>78</v>
      </c>
      <c r="O1058" s="2"/>
      <c r="P1058" s="2"/>
      <c r="Q1058" s="2"/>
      <c r="R1058" s="2"/>
      <c r="S1058" s="2"/>
      <c r="T1058" s="2" t="s">
        <v>18619</v>
      </c>
      <c r="U1058" s="2"/>
      <c r="V1058" s="2" t="s">
        <v>18620</v>
      </c>
      <c r="W1058" s="2" t="s">
        <v>18621</v>
      </c>
      <c r="X1058" s="2" t="s">
        <v>18622</v>
      </c>
      <c r="Y1058" s="2" t="s">
        <v>18623</v>
      </c>
      <c r="Z1058" s="2" t="s">
        <v>18624</v>
      </c>
      <c r="AA1058" s="2" t="s">
        <v>18625</v>
      </c>
      <c r="AB1058" s="2" t="s">
        <v>18626</v>
      </c>
      <c r="AC1058" s="2"/>
      <c r="AD1058" s="2"/>
      <c r="AE1058" s="2"/>
      <c r="AF1058" s="2"/>
      <c r="AG1058" s="2" t="n">
        <v>15</v>
      </c>
      <c r="AH1058" s="2" t="n">
        <v>3</v>
      </c>
      <c r="AI1058" s="2" t="n">
        <v>3</v>
      </c>
      <c r="AJ1058" s="2" t="n">
        <v>0</v>
      </c>
      <c r="AK1058" s="2" t="n">
        <v>1</v>
      </c>
      <c r="AL1058" s="2" t="s">
        <v>6578</v>
      </c>
      <c r="AM1058" s="2" t="s">
        <v>18627</v>
      </c>
      <c r="AN1058" s="2" t="s">
        <v>18628</v>
      </c>
      <c r="AO1058" s="2" t="s">
        <v>18629</v>
      </c>
      <c r="AP1058" s="2" t="s">
        <v>18630</v>
      </c>
      <c r="AQ1058" s="2"/>
      <c r="AR1058" s="2" t="s">
        <v>18631</v>
      </c>
      <c r="AS1058" s="2" t="s">
        <v>18632</v>
      </c>
      <c r="AT1058" s="2" t="s">
        <v>804</v>
      </c>
      <c r="AU1058" s="2" t="n">
        <v>2019</v>
      </c>
      <c r="AV1058" s="2" t="n">
        <v>26</v>
      </c>
      <c r="AW1058" s="2" t="n">
        <v>8</v>
      </c>
      <c r="AX1058" s="2"/>
      <c r="AY1058" s="2"/>
      <c r="AZ1058" s="2"/>
      <c r="BA1058" s="2"/>
      <c r="BB1058" s="2" t="n">
        <v>479</v>
      </c>
      <c r="BC1058" s="2" t="n">
        <v>482</v>
      </c>
      <c r="BD1058" s="2"/>
      <c r="BE1058" s="2" t="s">
        <v>18633</v>
      </c>
      <c r="BF1058" s="2" t="str">
        <f aca="false">HYPERLINK("http://dx.doi.org/10.1016/j.arcped.2019.10.002","http://dx.doi.org/10.1016/j.arcped.2019.10.002")</f>
        <v>http://dx.doi.org/10.1016/j.arcped.2019.10.002</v>
      </c>
      <c r="BG1058" s="2"/>
      <c r="BH1058" s="2"/>
      <c r="BI1058" s="2" t="n">
        <v>4</v>
      </c>
      <c r="BJ1058" s="2" t="s">
        <v>601</v>
      </c>
      <c r="BK1058" s="2" t="s">
        <v>100</v>
      </c>
      <c r="BL1058" s="2" t="s">
        <v>601</v>
      </c>
      <c r="BM1058" s="2" t="s">
        <v>18634</v>
      </c>
      <c r="BN1058" s="2" t="n">
        <v>31685408</v>
      </c>
      <c r="BO1058" s="2" t="s">
        <v>1267</v>
      </c>
      <c r="BP1058" s="2"/>
      <c r="BQ1058" s="2"/>
      <c r="BR1058" s="2" t="s">
        <v>104</v>
      </c>
      <c r="BS1058" s="2" t="s">
        <v>18635</v>
      </c>
      <c r="BT1058" s="2" t="str">
        <f aca="false">HYPERLINK("https%3A%2F%2Fwww.webofscience.com%2Fwos%2Fwoscc%2Ffull-record%2FWOS:000504803600007","View Full Record in Web of Science")</f>
        <v>View Full Record in Web of Science</v>
      </c>
    </row>
    <row r="1059" customFormat="false" ht="12.75" hidden="false" customHeight="false" outlineLevel="0" collapsed="false">
      <c r="A1059" s="2" t="s">
        <v>72</v>
      </c>
      <c r="B1059" s="2" t="s">
        <v>18636</v>
      </c>
      <c r="C1059" s="2"/>
      <c r="D1059" s="2"/>
      <c r="E1059" s="2"/>
      <c r="F1059" s="2" t="s">
        <v>18637</v>
      </c>
      <c r="G1059" s="2"/>
      <c r="H1059" s="2"/>
      <c r="I1059" s="2" t="s">
        <v>18638</v>
      </c>
      <c r="J1059" s="2" t="s">
        <v>18639</v>
      </c>
      <c r="K1059" s="2"/>
      <c r="L1059" s="2"/>
      <c r="M1059" s="2" t="s">
        <v>77</v>
      </c>
      <c r="N1059" s="2" t="s">
        <v>78</v>
      </c>
      <c r="O1059" s="2"/>
      <c r="P1059" s="2"/>
      <c r="Q1059" s="2"/>
      <c r="R1059" s="2"/>
      <c r="S1059" s="2"/>
      <c r="T1059" s="2" t="s">
        <v>18640</v>
      </c>
      <c r="U1059" s="2" t="s">
        <v>18641</v>
      </c>
      <c r="V1059" s="2" t="s">
        <v>18642</v>
      </c>
      <c r="W1059" s="2" t="s">
        <v>18643</v>
      </c>
      <c r="X1059" s="2" t="s">
        <v>18644</v>
      </c>
      <c r="Y1059" s="2" t="s">
        <v>18645</v>
      </c>
      <c r="Z1059" s="2" t="s">
        <v>18646</v>
      </c>
      <c r="AA1059" s="2" t="s">
        <v>18647</v>
      </c>
      <c r="AB1059" s="2" t="s">
        <v>18648</v>
      </c>
      <c r="AC1059" s="2" t="s">
        <v>18649</v>
      </c>
      <c r="AD1059" s="2" t="s">
        <v>18650</v>
      </c>
      <c r="AE1059" s="2" t="s">
        <v>18651</v>
      </c>
      <c r="AF1059" s="2"/>
      <c r="AG1059" s="2" t="n">
        <v>43</v>
      </c>
      <c r="AH1059" s="2" t="n">
        <v>20</v>
      </c>
      <c r="AI1059" s="2" t="n">
        <v>22</v>
      </c>
      <c r="AJ1059" s="2" t="n">
        <v>0</v>
      </c>
      <c r="AK1059" s="2" t="n">
        <v>4</v>
      </c>
      <c r="AL1059" s="2" t="s">
        <v>18652</v>
      </c>
      <c r="AM1059" s="2" t="s">
        <v>303</v>
      </c>
      <c r="AN1059" s="2" t="s">
        <v>18653</v>
      </c>
      <c r="AO1059" s="2" t="s">
        <v>18654</v>
      </c>
      <c r="AP1059" s="2"/>
      <c r="AQ1059" s="2"/>
      <c r="AR1059" s="2" t="s">
        <v>18639</v>
      </c>
      <c r="AS1059" s="2" t="s">
        <v>18655</v>
      </c>
      <c r="AT1059" s="2" t="s">
        <v>18656</v>
      </c>
      <c r="AU1059" s="2" t="n">
        <v>2019</v>
      </c>
      <c r="AV1059" s="2" t="n">
        <v>7</v>
      </c>
      <c r="AW1059" s="2"/>
      <c r="AX1059" s="2"/>
      <c r="AY1059" s="2"/>
      <c r="AZ1059" s="2"/>
      <c r="BA1059" s="2"/>
      <c r="BB1059" s="2"/>
      <c r="BC1059" s="2"/>
      <c r="BD1059" s="2" t="s">
        <v>18657</v>
      </c>
      <c r="BE1059" s="2" t="s">
        <v>18658</v>
      </c>
      <c r="BF1059" s="2" t="str">
        <f aca="false">HYPERLINK("http://dx.doi.org/10.7717/peerj.6748","http://dx.doi.org/10.7717/peerj.6748")</f>
        <v>http://dx.doi.org/10.7717/peerj.6748</v>
      </c>
      <c r="BG1059" s="2"/>
      <c r="BH1059" s="2"/>
      <c r="BI1059" s="2" t="n">
        <v>17</v>
      </c>
      <c r="BJ1059" s="2" t="s">
        <v>1658</v>
      </c>
      <c r="BK1059" s="2" t="s">
        <v>100</v>
      </c>
      <c r="BL1059" s="2" t="s">
        <v>1659</v>
      </c>
      <c r="BM1059" s="2" t="s">
        <v>18659</v>
      </c>
      <c r="BN1059" s="2" t="n">
        <v>30997293</v>
      </c>
      <c r="BO1059" s="2" t="s">
        <v>341</v>
      </c>
      <c r="BP1059" s="2"/>
      <c r="BQ1059" s="2"/>
      <c r="BR1059" s="2" t="s">
        <v>104</v>
      </c>
      <c r="BS1059" s="2" t="s">
        <v>18660</v>
      </c>
      <c r="BT1059" s="2" t="str">
        <f aca="false">HYPERLINK("https%3A%2F%2Fwww.webofscience.com%2Fwos%2Fwoscc%2Ffull-record%2FWOS:000464093500005","View Full Record in Web of Science")</f>
        <v>View Full Record in Web of Science</v>
      </c>
    </row>
    <row r="1060" customFormat="false" ht="12.75" hidden="false" customHeight="false" outlineLevel="0" collapsed="false">
      <c r="A1060" s="2" t="s">
        <v>72</v>
      </c>
      <c r="B1060" s="2" t="s">
        <v>18661</v>
      </c>
      <c r="C1060" s="2"/>
      <c r="D1060" s="2"/>
      <c r="E1060" s="2"/>
      <c r="F1060" s="2" t="s">
        <v>18662</v>
      </c>
      <c r="G1060" s="2"/>
      <c r="H1060" s="2"/>
      <c r="I1060" s="2" t="s">
        <v>18663</v>
      </c>
      <c r="J1060" s="2" t="s">
        <v>11019</v>
      </c>
      <c r="K1060" s="2"/>
      <c r="L1060" s="2"/>
      <c r="M1060" s="2" t="s">
        <v>77</v>
      </c>
      <c r="N1060" s="2" t="s">
        <v>78</v>
      </c>
      <c r="O1060" s="2"/>
      <c r="P1060" s="2"/>
      <c r="Q1060" s="2"/>
      <c r="R1060" s="2"/>
      <c r="S1060" s="2"/>
      <c r="T1060" s="2" t="s">
        <v>18664</v>
      </c>
      <c r="U1060" s="2" t="s">
        <v>18665</v>
      </c>
      <c r="V1060" s="2" t="s">
        <v>18666</v>
      </c>
      <c r="W1060" s="2" t="s">
        <v>18667</v>
      </c>
      <c r="X1060" s="2" t="s">
        <v>18668</v>
      </c>
      <c r="Y1060" s="2" t="s">
        <v>18669</v>
      </c>
      <c r="Z1060" s="2" t="s">
        <v>4072</v>
      </c>
      <c r="AA1060" s="2" t="s">
        <v>4073</v>
      </c>
      <c r="AB1060" s="2"/>
      <c r="AC1060" s="2" t="s">
        <v>18670</v>
      </c>
      <c r="AD1060" s="2" t="s">
        <v>2416</v>
      </c>
      <c r="AE1060" s="2"/>
      <c r="AF1060" s="2"/>
      <c r="AG1060" s="2" t="n">
        <v>61</v>
      </c>
      <c r="AH1060" s="2" t="n">
        <v>31</v>
      </c>
      <c r="AI1060" s="2" t="n">
        <v>34</v>
      </c>
      <c r="AJ1060" s="2" t="n">
        <v>0</v>
      </c>
      <c r="AK1060" s="2" t="n">
        <v>6</v>
      </c>
      <c r="AL1060" s="2" t="s">
        <v>154</v>
      </c>
      <c r="AM1060" s="2" t="s">
        <v>155</v>
      </c>
      <c r="AN1060" s="2" t="s">
        <v>156</v>
      </c>
      <c r="AO1060" s="2" t="s">
        <v>11028</v>
      </c>
      <c r="AP1060" s="2" t="s">
        <v>11029</v>
      </c>
      <c r="AQ1060" s="2"/>
      <c r="AR1060" s="2" t="s">
        <v>11030</v>
      </c>
      <c r="AS1060" s="2" t="s">
        <v>11031</v>
      </c>
      <c r="AT1060" s="2" t="s">
        <v>390</v>
      </c>
      <c r="AU1060" s="2" t="n">
        <v>2014</v>
      </c>
      <c r="AV1060" s="2" t="n">
        <v>8</v>
      </c>
      <c r="AW1060" s="2" t="n">
        <v>3</v>
      </c>
      <c r="AX1060" s="2"/>
      <c r="AY1060" s="2"/>
      <c r="AZ1060" s="2"/>
      <c r="BA1060" s="2"/>
      <c r="BB1060" s="2" t="n">
        <v>282</v>
      </c>
      <c r="BC1060" s="2" t="n">
        <v>292</v>
      </c>
      <c r="BD1060" s="2"/>
      <c r="BE1060" s="2" t="s">
        <v>18671</v>
      </c>
      <c r="BF1060" s="2" t="str">
        <f aca="false">HYPERLINK("http://dx.doi.org/10.1111/irv.12237","http://dx.doi.org/10.1111/irv.12237")</f>
        <v>http://dx.doi.org/10.1111/irv.12237</v>
      </c>
      <c r="BG1060" s="2"/>
      <c r="BH1060" s="2"/>
      <c r="BI1060" s="2" t="n">
        <v>11</v>
      </c>
      <c r="BJ1060" s="2" t="s">
        <v>8287</v>
      </c>
      <c r="BK1060" s="2" t="s">
        <v>100</v>
      </c>
      <c r="BL1060" s="2" t="s">
        <v>8287</v>
      </c>
      <c r="BM1060" s="2" t="s">
        <v>18672</v>
      </c>
      <c r="BN1060" s="2" t="n">
        <v>24490751</v>
      </c>
      <c r="BO1060" s="2" t="s">
        <v>190</v>
      </c>
      <c r="BP1060" s="2"/>
      <c r="BQ1060" s="2"/>
      <c r="BR1060" s="2" t="s">
        <v>104</v>
      </c>
      <c r="BS1060" s="2" t="s">
        <v>18673</v>
      </c>
      <c r="BT1060" s="2" t="str">
        <f aca="false">HYPERLINK("https%3A%2F%2Fwww.webofscience.com%2Fwos%2Fwoscc%2Ffull-record%2FWOS:000334116600003","View Full Record in Web of Science")</f>
        <v>View Full Record in Web of Science</v>
      </c>
    </row>
    <row r="1061" customFormat="false" ht="12.75" hidden="false" customHeight="false" outlineLevel="0" collapsed="false">
      <c r="A1061" s="2" t="s">
        <v>72</v>
      </c>
      <c r="B1061" s="2" t="s">
        <v>18674</v>
      </c>
      <c r="C1061" s="2"/>
      <c r="D1061" s="2"/>
      <c r="E1061" s="2"/>
      <c r="F1061" s="2" t="s">
        <v>18675</v>
      </c>
      <c r="G1061" s="2"/>
      <c r="H1061" s="2"/>
      <c r="I1061" s="2" t="s">
        <v>18676</v>
      </c>
      <c r="J1061" s="2" t="s">
        <v>11019</v>
      </c>
      <c r="K1061" s="2"/>
      <c r="L1061" s="2"/>
      <c r="M1061" s="2" t="s">
        <v>77</v>
      </c>
      <c r="N1061" s="2" t="s">
        <v>78</v>
      </c>
      <c r="O1061" s="2"/>
      <c r="P1061" s="2"/>
      <c r="Q1061" s="2"/>
      <c r="R1061" s="2"/>
      <c r="S1061" s="2"/>
      <c r="T1061" s="2" t="s">
        <v>18677</v>
      </c>
      <c r="U1061" s="2" t="s">
        <v>18678</v>
      </c>
      <c r="V1061" s="2" t="s">
        <v>18679</v>
      </c>
      <c r="W1061" s="2" t="s">
        <v>18680</v>
      </c>
      <c r="X1061" s="2" t="s">
        <v>18681</v>
      </c>
      <c r="Y1061" s="2" t="s">
        <v>18682</v>
      </c>
      <c r="Z1061" s="2" t="s">
        <v>18683</v>
      </c>
      <c r="AA1061" s="2" t="s">
        <v>18684</v>
      </c>
      <c r="AB1061" s="2" t="s">
        <v>18685</v>
      </c>
      <c r="AC1061" s="2" t="s">
        <v>18686</v>
      </c>
      <c r="AD1061" s="2" t="s">
        <v>18687</v>
      </c>
      <c r="AE1061" s="2" t="s">
        <v>18688</v>
      </c>
      <c r="AF1061" s="2"/>
      <c r="AG1061" s="2" t="n">
        <v>42</v>
      </c>
      <c r="AH1061" s="2" t="n">
        <v>16</v>
      </c>
      <c r="AI1061" s="2" t="n">
        <v>17</v>
      </c>
      <c r="AJ1061" s="2" t="n">
        <v>0</v>
      </c>
      <c r="AK1061" s="2" t="n">
        <v>9</v>
      </c>
      <c r="AL1061" s="2" t="s">
        <v>154</v>
      </c>
      <c r="AM1061" s="2" t="s">
        <v>155</v>
      </c>
      <c r="AN1061" s="2" t="s">
        <v>156</v>
      </c>
      <c r="AO1061" s="2" t="s">
        <v>11028</v>
      </c>
      <c r="AP1061" s="2" t="s">
        <v>11029</v>
      </c>
      <c r="AQ1061" s="2"/>
      <c r="AR1061" s="2" t="s">
        <v>11030</v>
      </c>
      <c r="AS1061" s="2" t="s">
        <v>11031</v>
      </c>
      <c r="AT1061" s="2" t="s">
        <v>390</v>
      </c>
      <c r="AU1061" s="2" t="n">
        <v>2013</v>
      </c>
      <c r="AV1061" s="2" t="n">
        <v>7</v>
      </c>
      <c r="AW1061" s="2" t="n">
        <v>3</v>
      </c>
      <c r="AX1061" s="2"/>
      <c r="AY1061" s="2"/>
      <c r="AZ1061" s="2"/>
      <c r="BA1061" s="2"/>
      <c r="BB1061" s="2" t="n">
        <v>330</v>
      </c>
      <c r="BC1061" s="2" t="n">
        <v>339</v>
      </c>
      <c r="BD1061" s="2"/>
      <c r="BE1061" s="2" t="s">
        <v>18689</v>
      </c>
      <c r="BF1061" s="2" t="str">
        <f aca="false">HYPERLINK("http://dx.doi.org/10.1111/j.1750-2659.2012.00395.x","http://dx.doi.org/10.1111/j.1750-2659.2012.00395.x")</f>
        <v>http://dx.doi.org/10.1111/j.1750-2659.2012.00395.x</v>
      </c>
      <c r="BG1061" s="2"/>
      <c r="BH1061" s="2"/>
      <c r="BI1061" s="2" t="n">
        <v>10</v>
      </c>
      <c r="BJ1061" s="2" t="s">
        <v>8287</v>
      </c>
      <c r="BK1061" s="2" t="s">
        <v>100</v>
      </c>
      <c r="BL1061" s="2" t="s">
        <v>8287</v>
      </c>
      <c r="BM1061" s="2" t="s">
        <v>18690</v>
      </c>
      <c r="BN1061" s="2" t="n">
        <v>22712831</v>
      </c>
      <c r="BO1061" s="2" t="s">
        <v>165</v>
      </c>
      <c r="BP1061" s="2"/>
      <c r="BQ1061" s="2"/>
      <c r="BR1061" s="2" t="s">
        <v>104</v>
      </c>
      <c r="BS1061" s="2" t="s">
        <v>18691</v>
      </c>
      <c r="BT1061" s="2" t="str">
        <f aca="false">HYPERLINK("https%3A%2F%2Fwww.webofscience.com%2Fwos%2Fwoscc%2Ffull-record%2FWOS:000318033100017","View Full Record in Web of Science")</f>
        <v>View Full Record in Web of Science</v>
      </c>
    </row>
    <row r="1062" customFormat="false" ht="12.75" hidden="false" customHeight="false" outlineLevel="0" collapsed="false">
      <c r="A1062" s="2" t="s">
        <v>72</v>
      </c>
      <c r="B1062" s="2" t="s">
        <v>18692</v>
      </c>
      <c r="C1062" s="2"/>
      <c r="D1062" s="2"/>
      <c r="E1062" s="2"/>
      <c r="F1062" s="2" t="s">
        <v>18693</v>
      </c>
      <c r="G1062" s="2"/>
      <c r="H1062" s="2"/>
      <c r="I1062" s="2" t="s">
        <v>18694</v>
      </c>
      <c r="J1062" s="2" t="s">
        <v>11019</v>
      </c>
      <c r="K1062" s="2"/>
      <c r="L1062" s="2"/>
      <c r="M1062" s="2" t="s">
        <v>77</v>
      </c>
      <c r="N1062" s="2" t="s">
        <v>78</v>
      </c>
      <c r="O1062" s="2"/>
      <c r="P1062" s="2"/>
      <c r="Q1062" s="2"/>
      <c r="R1062" s="2"/>
      <c r="S1062" s="2"/>
      <c r="T1062" s="2" t="s">
        <v>18695</v>
      </c>
      <c r="U1062" s="2" t="s">
        <v>18696</v>
      </c>
      <c r="V1062" s="2" t="s">
        <v>18697</v>
      </c>
      <c r="W1062" s="2" t="s">
        <v>18698</v>
      </c>
      <c r="X1062" s="2" t="s">
        <v>18699</v>
      </c>
      <c r="Y1062" s="2" t="s">
        <v>18700</v>
      </c>
      <c r="Z1062" s="2" t="s">
        <v>18701</v>
      </c>
      <c r="AA1062" s="2" t="s">
        <v>18702</v>
      </c>
      <c r="AB1062" s="2"/>
      <c r="AC1062" s="2" t="s">
        <v>18703</v>
      </c>
      <c r="AD1062" s="2" t="s">
        <v>18704</v>
      </c>
      <c r="AE1062" s="2" t="s">
        <v>18705</v>
      </c>
      <c r="AF1062" s="2"/>
      <c r="AG1062" s="2" t="n">
        <v>42</v>
      </c>
      <c r="AH1062" s="2" t="n">
        <v>23</v>
      </c>
      <c r="AI1062" s="2" t="n">
        <v>28</v>
      </c>
      <c r="AJ1062" s="2" t="n">
        <v>1</v>
      </c>
      <c r="AK1062" s="2" t="n">
        <v>14</v>
      </c>
      <c r="AL1062" s="2" t="s">
        <v>154</v>
      </c>
      <c r="AM1062" s="2" t="s">
        <v>155</v>
      </c>
      <c r="AN1062" s="2" t="s">
        <v>156</v>
      </c>
      <c r="AO1062" s="2" t="s">
        <v>11028</v>
      </c>
      <c r="AP1062" s="2" t="s">
        <v>11029</v>
      </c>
      <c r="AQ1062" s="2"/>
      <c r="AR1062" s="2" t="s">
        <v>11030</v>
      </c>
      <c r="AS1062" s="2" t="s">
        <v>11031</v>
      </c>
      <c r="AT1062" s="2" t="s">
        <v>97</v>
      </c>
      <c r="AU1062" s="2" t="n">
        <v>2018</v>
      </c>
      <c r="AV1062" s="2" t="n">
        <v>12</v>
      </c>
      <c r="AW1062" s="2" t="n">
        <v>2</v>
      </c>
      <c r="AX1062" s="2"/>
      <c r="AY1062" s="2"/>
      <c r="AZ1062" s="2"/>
      <c r="BA1062" s="2"/>
      <c r="BB1062" s="2" t="n">
        <v>279</v>
      </c>
      <c r="BC1062" s="2" t="n">
        <v>286</v>
      </c>
      <c r="BD1062" s="2"/>
      <c r="BE1062" s="2" t="s">
        <v>18706</v>
      </c>
      <c r="BF1062" s="2" t="str">
        <f aca="false">HYPERLINK("http://dx.doi.org/10.1111/irv.12535","http://dx.doi.org/10.1111/irv.12535")</f>
        <v>http://dx.doi.org/10.1111/irv.12535</v>
      </c>
      <c r="BG1062" s="2"/>
      <c r="BH1062" s="2"/>
      <c r="BI1062" s="2" t="n">
        <v>8</v>
      </c>
      <c r="BJ1062" s="2" t="s">
        <v>8287</v>
      </c>
      <c r="BK1062" s="2" t="s">
        <v>100</v>
      </c>
      <c r="BL1062" s="2" t="s">
        <v>8287</v>
      </c>
      <c r="BM1062" s="2" t="s">
        <v>18707</v>
      </c>
      <c r="BN1062" s="2" t="n">
        <v>29266860</v>
      </c>
      <c r="BO1062" s="2" t="s">
        <v>103</v>
      </c>
      <c r="BP1062" s="2"/>
      <c r="BQ1062" s="2"/>
      <c r="BR1062" s="2" t="s">
        <v>104</v>
      </c>
      <c r="BS1062" s="2" t="s">
        <v>18708</v>
      </c>
      <c r="BT1062" s="2" t="str">
        <f aca="false">HYPERLINK("https%3A%2F%2Fwww.webofscience.com%2Fwos%2Fwoscc%2Ffull-record%2FWOS:000425634100010","View Full Record in Web of Science")</f>
        <v>View Full Record in Web of Science</v>
      </c>
    </row>
    <row r="1063" customFormat="false" ht="12.75" hidden="false" customHeight="false" outlineLevel="0" collapsed="false">
      <c r="A1063" s="2" t="s">
        <v>72</v>
      </c>
      <c r="B1063" s="2" t="s">
        <v>18709</v>
      </c>
      <c r="C1063" s="2"/>
      <c r="D1063" s="2"/>
      <c r="E1063" s="2"/>
      <c r="F1063" s="2" t="s">
        <v>18710</v>
      </c>
      <c r="G1063" s="2"/>
      <c r="H1063" s="2"/>
      <c r="I1063" s="2" t="s">
        <v>18711</v>
      </c>
      <c r="J1063" s="2" t="s">
        <v>141</v>
      </c>
      <c r="K1063" s="2"/>
      <c r="L1063" s="2"/>
      <c r="M1063" s="2" t="s">
        <v>77</v>
      </c>
      <c r="N1063" s="2" t="s">
        <v>78</v>
      </c>
      <c r="O1063" s="2"/>
      <c r="P1063" s="2"/>
      <c r="Q1063" s="2"/>
      <c r="R1063" s="2"/>
      <c r="S1063" s="2"/>
      <c r="T1063" s="2" t="s">
        <v>18712</v>
      </c>
      <c r="U1063" s="2" t="s">
        <v>18713</v>
      </c>
      <c r="V1063" s="2" t="s">
        <v>18714</v>
      </c>
      <c r="W1063" s="2" t="s">
        <v>18715</v>
      </c>
      <c r="X1063" s="2" t="s">
        <v>18716</v>
      </c>
      <c r="Y1063" s="2" t="s">
        <v>18717</v>
      </c>
      <c r="Z1063" s="2" t="s">
        <v>18718</v>
      </c>
      <c r="AA1063" s="2" t="s">
        <v>18719</v>
      </c>
      <c r="AB1063" s="2"/>
      <c r="AC1063" s="2" t="s">
        <v>18720</v>
      </c>
      <c r="AD1063" s="2" t="s">
        <v>18720</v>
      </c>
      <c r="AE1063" s="2" t="s">
        <v>18720</v>
      </c>
      <c r="AF1063" s="2"/>
      <c r="AG1063" s="2" t="n">
        <v>20</v>
      </c>
      <c r="AH1063" s="2" t="n">
        <v>2</v>
      </c>
      <c r="AI1063" s="2" t="n">
        <v>3</v>
      </c>
      <c r="AJ1063" s="2" t="n">
        <v>2</v>
      </c>
      <c r="AK1063" s="2" t="n">
        <v>5</v>
      </c>
      <c r="AL1063" s="2" t="s">
        <v>154</v>
      </c>
      <c r="AM1063" s="2" t="s">
        <v>155</v>
      </c>
      <c r="AN1063" s="2" t="s">
        <v>156</v>
      </c>
      <c r="AO1063" s="2" t="s">
        <v>157</v>
      </c>
      <c r="AP1063" s="2" t="s">
        <v>158</v>
      </c>
      <c r="AQ1063" s="2"/>
      <c r="AR1063" s="2" t="s">
        <v>159</v>
      </c>
      <c r="AS1063" s="2" t="s">
        <v>160</v>
      </c>
      <c r="AT1063" s="2" t="s">
        <v>446</v>
      </c>
      <c r="AU1063" s="2" t="n">
        <v>2022</v>
      </c>
      <c r="AV1063" s="2" t="n">
        <v>94</v>
      </c>
      <c r="AW1063" s="2" t="n">
        <v>12</v>
      </c>
      <c r="AX1063" s="2"/>
      <c r="AY1063" s="2"/>
      <c r="AZ1063" s="2"/>
      <c r="BA1063" s="2"/>
      <c r="BB1063" s="2" t="n">
        <v>6103</v>
      </c>
      <c r="BC1063" s="2" t="n">
        <v>6110</v>
      </c>
      <c r="BD1063" s="2"/>
      <c r="BE1063" s="2" t="s">
        <v>18721</v>
      </c>
      <c r="BF1063" s="2" t="str">
        <f aca="false">HYPERLINK("http://dx.doi.org/10.1002/jmv.28031","http://dx.doi.org/10.1002/jmv.28031")</f>
        <v>http://dx.doi.org/10.1002/jmv.28031</v>
      </c>
      <c r="BG1063" s="2"/>
      <c r="BH1063" s="2" t="s">
        <v>2216</v>
      </c>
      <c r="BI1063" s="2" t="n">
        <v>8</v>
      </c>
      <c r="BJ1063" s="2" t="s">
        <v>163</v>
      </c>
      <c r="BK1063" s="2" t="s">
        <v>100</v>
      </c>
      <c r="BL1063" s="2" t="s">
        <v>163</v>
      </c>
      <c r="BM1063" s="2" t="s">
        <v>18722</v>
      </c>
      <c r="BN1063" s="2" t="n">
        <v>35882541</v>
      </c>
      <c r="BO1063" s="2"/>
      <c r="BP1063" s="2"/>
      <c r="BQ1063" s="2"/>
      <c r="BR1063" s="2" t="s">
        <v>104</v>
      </c>
      <c r="BS1063" s="2" t="s">
        <v>18723</v>
      </c>
      <c r="BT1063" s="2" t="str">
        <f aca="false">HYPERLINK("https%3A%2F%2Fwww.webofscience.com%2Fwos%2Fwoscc%2Ffull-record%2FWOS:000835792600001","View Full Record in Web of Science")</f>
        <v>View Full Record in Web of Science</v>
      </c>
    </row>
    <row r="1064" customFormat="false" ht="12.75" hidden="false" customHeight="false" outlineLevel="0" collapsed="false">
      <c r="A1064" s="2" t="s">
        <v>72</v>
      </c>
      <c r="B1064" s="2" t="s">
        <v>18724</v>
      </c>
      <c r="C1064" s="2"/>
      <c r="D1064" s="2"/>
      <c r="E1064" s="2"/>
      <c r="F1064" s="2" t="s">
        <v>18725</v>
      </c>
      <c r="G1064" s="2"/>
      <c r="H1064" s="2"/>
      <c r="I1064" s="2" t="s">
        <v>18726</v>
      </c>
      <c r="J1064" s="2" t="s">
        <v>141</v>
      </c>
      <c r="K1064" s="2"/>
      <c r="L1064" s="2"/>
      <c r="M1064" s="2" t="s">
        <v>77</v>
      </c>
      <c r="N1064" s="2" t="s">
        <v>78</v>
      </c>
      <c r="O1064" s="2"/>
      <c r="P1064" s="2"/>
      <c r="Q1064" s="2"/>
      <c r="R1064" s="2"/>
      <c r="S1064" s="2"/>
      <c r="T1064" s="2" t="s">
        <v>18727</v>
      </c>
      <c r="U1064" s="2" t="s">
        <v>18728</v>
      </c>
      <c r="V1064" s="2" t="s">
        <v>18729</v>
      </c>
      <c r="W1064" s="2" t="s">
        <v>18730</v>
      </c>
      <c r="X1064" s="2" t="s">
        <v>18731</v>
      </c>
      <c r="Y1064" s="2" t="s">
        <v>18732</v>
      </c>
      <c r="Z1064" s="2" t="s">
        <v>18733</v>
      </c>
      <c r="AA1064" s="2" t="s">
        <v>18734</v>
      </c>
      <c r="AB1064" s="2" t="s">
        <v>18735</v>
      </c>
      <c r="AC1064" s="2"/>
      <c r="AD1064" s="2"/>
      <c r="AE1064" s="2"/>
      <c r="AF1064" s="2"/>
      <c r="AG1064" s="2" t="n">
        <v>26</v>
      </c>
      <c r="AH1064" s="2" t="n">
        <v>11</v>
      </c>
      <c r="AI1064" s="2" t="n">
        <v>12</v>
      </c>
      <c r="AJ1064" s="2" t="n">
        <v>0</v>
      </c>
      <c r="AK1064" s="2" t="n">
        <v>5</v>
      </c>
      <c r="AL1064" s="2" t="s">
        <v>154</v>
      </c>
      <c r="AM1064" s="2" t="s">
        <v>155</v>
      </c>
      <c r="AN1064" s="2" t="s">
        <v>156</v>
      </c>
      <c r="AO1064" s="2" t="s">
        <v>157</v>
      </c>
      <c r="AP1064" s="2" t="s">
        <v>158</v>
      </c>
      <c r="AQ1064" s="2"/>
      <c r="AR1064" s="2" t="s">
        <v>159</v>
      </c>
      <c r="AS1064" s="2" t="s">
        <v>160</v>
      </c>
      <c r="AT1064" s="2" t="s">
        <v>804</v>
      </c>
      <c r="AU1064" s="2" t="n">
        <v>2022</v>
      </c>
      <c r="AV1064" s="2" t="n">
        <v>94</v>
      </c>
      <c r="AW1064" s="2" t="n">
        <v>11</v>
      </c>
      <c r="AX1064" s="2"/>
      <c r="AY1064" s="2"/>
      <c r="AZ1064" s="2"/>
      <c r="BA1064" s="2"/>
      <c r="BB1064" s="2" t="n">
        <v>5547</v>
      </c>
      <c r="BC1064" s="2" t="n">
        <v>5552</v>
      </c>
      <c r="BD1064" s="2"/>
      <c r="BE1064" s="2" t="s">
        <v>18736</v>
      </c>
      <c r="BF1064" s="2" t="str">
        <f aca="false">HYPERLINK("http://dx.doi.org/10.1002/jmv.27986","http://dx.doi.org/10.1002/jmv.27986")</f>
        <v>http://dx.doi.org/10.1002/jmv.27986</v>
      </c>
      <c r="BG1064" s="2"/>
      <c r="BH1064" s="2" t="s">
        <v>12940</v>
      </c>
      <c r="BI1064" s="2" t="n">
        <v>6</v>
      </c>
      <c r="BJ1064" s="2" t="s">
        <v>163</v>
      </c>
      <c r="BK1064" s="2" t="s">
        <v>100</v>
      </c>
      <c r="BL1064" s="2" t="s">
        <v>163</v>
      </c>
      <c r="BM1064" s="2" t="s">
        <v>18737</v>
      </c>
      <c r="BN1064" s="2" t="n">
        <v>35811371</v>
      </c>
      <c r="BO1064" s="2" t="s">
        <v>165</v>
      </c>
      <c r="BP1064" s="2"/>
      <c r="BQ1064" s="2"/>
      <c r="BR1064" s="2" t="s">
        <v>104</v>
      </c>
      <c r="BS1064" s="2" t="s">
        <v>18738</v>
      </c>
      <c r="BT1064" s="2" t="str">
        <f aca="false">HYPERLINK("https%3A%2F%2Fwww.webofscience.com%2Fwos%2Fwoscc%2Ffull-record%2FWOS:000827934400001","View Full Record in Web of Science")</f>
        <v>View Full Record in Web of Science</v>
      </c>
    </row>
    <row r="1065" customFormat="false" ht="12.75" hidden="false" customHeight="false" outlineLevel="0" collapsed="false">
      <c r="A1065" s="2" t="s">
        <v>72</v>
      </c>
      <c r="B1065" s="2" t="s">
        <v>18739</v>
      </c>
      <c r="C1065" s="2"/>
      <c r="D1065" s="2"/>
      <c r="E1065" s="2"/>
      <c r="F1065" s="2" t="s">
        <v>18740</v>
      </c>
      <c r="G1065" s="2"/>
      <c r="H1065" s="2"/>
      <c r="I1065" s="2" t="s">
        <v>18741</v>
      </c>
      <c r="J1065" s="2" t="s">
        <v>7244</v>
      </c>
      <c r="K1065" s="2"/>
      <c r="L1065" s="2"/>
      <c r="M1065" s="2" t="s">
        <v>77</v>
      </c>
      <c r="N1065" s="2" t="s">
        <v>78</v>
      </c>
      <c r="O1065" s="2"/>
      <c r="P1065" s="2"/>
      <c r="Q1065" s="2"/>
      <c r="R1065" s="2"/>
      <c r="S1065" s="2"/>
      <c r="T1065" s="2" t="s">
        <v>18742</v>
      </c>
      <c r="U1065" s="2" t="s">
        <v>18743</v>
      </c>
      <c r="V1065" s="2" t="s">
        <v>18744</v>
      </c>
      <c r="W1065" s="2" t="s">
        <v>18745</v>
      </c>
      <c r="X1065" s="2" t="s">
        <v>18746</v>
      </c>
      <c r="Y1065" s="2" t="s">
        <v>18747</v>
      </c>
      <c r="Z1065" s="2" t="s">
        <v>18748</v>
      </c>
      <c r="AA1065" s="2" t="s">
        <v>18749</v>
      </c>
      <c r="AB1065" s="2" t="s">
        <v>18750</v>
      </c>
      <c r="AC1065" s="2" t="s">
        <v>18751</v>
      </c>
      <c r="AD1065" s="2" t="s">
        <v>18752</v>
      </c>
      <c r="AE1065" s="2" t="s">
        <v>18753</v>
      </c>
      <c r="AF1065" s="2"/>
      <c r="AG1065" s="2" t="n">
        <v>29</v>
      </c>
      <c r="AH1065" s="2" t="n">
        <v>23</v>
      </c>
      <c r="AI1065" s="2" t="n">
        <v>24</v>
      </c>
      <c r="AJ1065" s="2" t="n">
        <v>0</v>
      </c>
      <c r="AK1065" s="2" t="n">
        <v>3</v>
      </c>
      <c r="AL1065" s="2" t="s">
        <v>782</v>
      </c>
      <c r="AM1065" s="2" t="s">
        <v>783</v>
      </c>
      <c r="AN1065" s="2" t="s">
        <v>784</v>
      </c>
      <c r="AO1065" s="2" t="s">
        <v>7252</v>
      </c>
      <c r="AP1065" s="2" t="s">
        <v>7253</v>
      </c>
      <c r="AQ1065" s="2"/>
      <c r="AR1065" s="2" t="s">
        <v>7254</v>
      </c>
      <c r="AS1065" s="2" t="s">
        <v>7255</v>
      </c>
      <c r="AT1065" s="2" t="s">
        <v>692</v>
      </c>
      <c r="AU1065" s="2" t="n">
        <v>2016</v>
      </c>
      <c r="AV1065" s="2" t="n">
        <v>22</v>
      </c>
      <c r="AW1065" s="2" t="n">
        <v>4</v>
      </c>
      <c r="AX1065" s="2"/>
      <c r="AY1065" s="2"/>
      <c r="AZ1065" s="2"/>
      <c r="BA1065" s="2"/>
      <c r="BB1065" s="2" t="n">
        <v>340</v>
      </c>
      <c r="BC1065" s="2" t="n">
        <v>346</v>
      </c>
      <c r="BD1065" s="2"/>
      <c r="BE1065" s="2" t="s">
        <v>18754</v>
      </c>
      <c r="BF1065" s="2" t="str">
        <f aca="false">HYPERLINK("http://dx.doi.org/10.1016/j.cmi.2015.11.002","http://dx.doi.org/10.1016/j.cmi.2015.11.002")</f>
        <v>http://dx.doi.org/10.1016/j.cmi.2015.11.002</v>
      </c>
      <c r="BG1065" s="2"/>
      <c r="BH1065" s="2"/>
      <c r="BI1065" s="2" t="n">
        <v>7</v>
      </c>
      <c r="BJ1065" s="2" t="s">
        <v>1467</v>
      </c>
      <c r="BK1065" s="2" t="s">
        <v>100</v>
      </c>
      <c r="BL1065" s="2" t="s">
        <v>1467</v>
      </c>
      <c r="BM1065" s="2" t="s">
        <v>11013</v>
      </c>
      <c r="BN1065" s="2" t="n">
        <v>26585774</v>
      </c>
      <c r="BO1065" s="2" t="s">
        <v>538</v>
      </c>
      <c r="BP1065" s="2"/>
      <c r="BQ1065" s="2"/>
      <c r="BR1065" s="2" t="s">
        <v>104</v>
      </c>
      <c r="BS1065" s="2" t="s">
        <v>18755</v>
      </c>
      <c r="BT1065" s="2" t="str">
        <f aca="false">HYPERLINK("https%3A%2F%2Fwww.webofscience.com%2Fwos%2Fwoscc%2Ffull-record%2FWOS:000375399900008","View Full Record in Web of Science")</f>
        <v>View Full Record in Web of Science</v>
      </c>
    </row>
    <row r="1066" customFormat="false" ht="12.75" hidden="false" customHeight="false" outlineLevel="0" collapsed="false">
      <c r="A1066" s="2" t="s">
        <v>72</v>
      </c>
      <c r="B1066" s="2" t="s">
        <v>18756</v>
      </c>
      <c r="C1066" s="2"/>
      <c r="D1066" s="2"/>
      <c r="E1066" s="2"/>
      <c r="F1066" s="2" t="s">
        <v>18757</v>
      </c>
      <c r="G1066" s="2"/>
      <c r="H1066" s="2"/>
      <c r="I1066" s="2" t="s">
        <v>18758</v>
      </c>
      <c r="J1066" s="2" t="s">
        <v>141</v>
      </c>
      <c r="K1066" s="2"/>
      <c r="L1066" s="2"/>
      <c r="M1066" s="2" t="s">
        <v>77</v>
      </c>
      <c r="N1066" s="2" t="s">
        <v>78</v>
      </c>
      <c r="O1066" s="2"/>
      <c r="P1066" s="2"/>
      <c r="Q1066" s="2"/>
      <c r="R1066" s="2"/>
      <c r="S1066" s="2"/>
      <c r="T1066" s="2" t="s">
        <v>18759</v>
      </c>
      <c r="U1066" s="2" t="s">
        <v>18760</v>
      </c>
      <c r="V1066" s="2" t="s">
        <v>18761</v>
      </c>
      <c r="W1066" s="2" t="s">
        <v>18762</v>
      </c>
      <c r="X1066" s="2" t="s">
        <v>18763</v>
      </c>
      <c r="Y1066" s="2" t="s">
        <v>18764</v>
      </c>
      <c r="Z1066" s="2" t="s">
        <v>18765</v>
      </c>
      <c r="AA1066" s="2"/>
      <c r="AB1066" s="2" t="s">
        <v>18766</v>
      </c>
      <c r="AC1066" s="2" t="s">
        <v>18767</v>
      </c>
      <c r="AD1066" s="2" t="s">
        <v>16522</v>
      </c>
      <c r="AE1066" s="2" t="s">
        <v>18768</v>
      </c>
      <c r="AF1066" s="2"/>
      <c r="AG1066" s="2" t="n">
        <v>49</v>
      </c>
      <c r="AH1066" s="2" t="n">
        <v>19</v>
      </c>
      <c r="AI1066" s="2" t="n">
        <v>19</v>
      </c>
      <c r="AJ1066" s="2" t="n">
        <v>0</v>
      </c>
      <c r="AK1066" s="2" t="n">
        <v>5</v>
      </c>
      <c r="AL1066" s="2" t="s">
        <v>154</v>
      </c>
      <c r="AM1066" s="2" t="s">
        <v>155</v>
      </c>
      <c r="AN1066" s="2" t="s">
        <v>156</v>
      </c>
      <c r="AO1066" s="2" t="s">
        <v>157</v>
      </c>
      <c r="AP1066" s="2" t="s">
        <v>158</v>
      </c>
      <c r="AQ1066" s="2"/>
      <c r="AR1066" s="2" t="s">
        <v>159</v>
      </c>
      <c r="AS1066" s="2" t="s">
        <v>160</v>
      </c>
      <c r="AT1066" s="2" t="s">
        <v>804</v>
      </c>
      <c r="AU1066" s="2" t="n">
        <v>2017</v>
      </c>
      <c r="AV1066" s="2" t="n">
        <v>89</v>
      </c>
      <c r="AW1066" s="2" t="n">
        <v>11</v>
      </c>
      <c r="AX1066" s="2"/>
      <c r="AY1066" s="2"/>
      <c r="AZ1066" s="2"/>
      <c r="BA1066" s="2"/>
      <c r="BB1066" s="2" t="n">
        <v>1885</v>
      </c>
      <c r="BC1066" s="2" t="n">
        <v>1893</v>
      </c>
      <c r="BD1066" s="2"/>
      <c r="BE1066" s="2" t="s">
        <v>18769</v>
      </c>
      <c r="BF1066" s="2" t="str">
        <f aca="false">HYPERLINK("http://dx.doi.org/10.1002/jmv.24884","http://dx.doi.org/10.1002/jmv.24884")</f>
        <v>http://dx.doi.org/10.1002/jmv.24884</v>
      </c>
      <c r="BG1066" s="2"/>
      <c r="BH1066" s="2"/>
      <c r="BI1066" s="2" t="n">
        <v>9</v>
      </c>
      <c r="BJ1066" s="2" t="s">
        <v>163</v>
      </c>
      <c r="BK1066" s="2" t="s">
        <v>100</v>
      </c>
      <c r="BL1066" s="2" t="s">
        <v>163</v>
      </c>
      <c r="BM1066" s="2" t="s">
        <v>18770</v>
      </c>
      <c r="BN1066" s="2" t="n">
        <v>28650078</v>
      </c>
      <c r="BO1066" s="2"/>
      <c r="BP1066" s="2"/>
      <c r="BQ1066" s="2"/>
      <c r="BR1066" s="2" t="s">
        <v>104</v>
      </c>
      <c r="BS1066" s="2" t="s">
        <v>18771</v>
      </c>
      <c r="BT1066" s="2" t="str">
        <f aca="false">HYPERLINK("https%3A%2F%2Fwww.webofscience.com%2Fwos%2Fwoscc%2Ffull-record%2FWOS:000411061400001","View Full Record in Web of Science")</f>
        <v>View Full Record in Web of Science</v>
      </c>
    </row>
    <row r="1067" customFormat="false" ht="12.75" hidden="false" customHeight="false" outlineLevel="0" collapsed="false">
      <c r="A1067" s="2" t="s">
        <v>72</v>
      </c>
      <c r="B1067" s="2" t="s">
        <v>18772</v>
      </c>
      <c r="C1067" s="2"/>
      <c r="D1067" s="2"/>
      <c r="E1067" s="2"/>
      <c r="F1067" s="2" t="s">
        <v>18773</v>
      </c>
      <c r="G1067" s="2"/>
      <c r="H1067" s="2"/>
      <c r="I1067" s="2" t="s">
        <v>18774</v>
      </c>
      <c r="J1067" s="2" t="s">
        <v>141</v>
      </c>
      <c r="K1067" s="2"/>
      <c r="L1067" s="2"/>
      <c r="M1067" s="2" t="s">
        <v>77</v>
      </c>
      <c r="N1067" s="2" t="s">
        <v>78</v>
      </c>
      <c r="O1067" s="2"/>
      <c r="P1067" s="2"/>
      <c r="Q1067" s="2"/>
      <c r="R1067" s="2"/>
      <c r="S1067" s="2"/>
      <c r="T1067" s="2" t="s">
        <v>18775</v>
      </c>
      <c r="U1067" s="2" t="s">
        <v>18776</v>
      </c>
      <c r="V1067" s="2" t="s">
        <v>18777</v>
      </c>
      <c r="W1067" s="2" t="s">
        <v>18778</v>
      </c>
      <c r="X1067" s="2" t="s">
        <v>18779</v>
      </c>
      <c r="Y1067" s="2" t="s">
        <v>18780</v>
      </c>
      <c r="Z1067" s="2" t="s">
        <v>18781</v>
      </c>
      <c r="AA1067" s="2" t="s">
        <v>18782</v>
      </c>
      <c r="AB1067" s="2" t="s">
        <v>18783</v>
      </c>
      <c r="AC1067" s="2" t="s">
        <v>18784</v>
      </c>
      <c r="AD1067" s="2" t="s">
        <v>18784</v>
      </c>
      <c r="AE1067" s="2" t="s">
        <v>18785</v>
      </c>
      <c r="AF1067" s="2"/>
      <c r="AG1067" s="2" t="n">
        <v>57</v>
      </c>
      <c r="AH1067" s="2" t="n">
        <v>10</v>
      </c>
      <c r="AI1067" s="2" t="n">
        <v>10</v>
      </c>
      <c r="AJ1067" s="2" t="n">
        <v>0</v>
      </c>
      <c r="AK1067" s="2" t="n">
        <v>6</v>
      </c>
      <c r="AL1067" s="2" t="s">
        <v>154</v>
      </c>
      <c r="AM1067" s="2" t="s">
        <v>155</v>
      </c>
      <c r="AN1067" s="2" t="s">
        <v>156</v>
      </c>
      <c r="AO1067" s="2" t="s">
        <v>157</v>
      </c>
      <c r="AP1067" s="2" t="s">
        <v>158</v>
      </c>
      <c r="AQ1067" s="2"/>
      <c r="AR1067" s="2" t="s">
        <v>159</v>
      </c>
      <c r="AS1067" s="2" t="s">
        <v>160</v>
      </c>
      <c r="AT1067" s="2" t="s">
        <v>336</v>
      </c>
      <c r="AU1067" s="2" t="n">
        <v>2011</v>
      </c>
      <c r="AV1067" s="2" t="n">
        <v>83</v>
      </c>
      <c r="AW1067" s="2" t="n">
        <v>10</v>
      </c>
      <c r="AX1067" s="2"/>
      <c r="AY1067" s="2"/>
      <c r="AZ1067" s="2"/>
      <c r="BA1067" s="2"/>
      <c r="BB1067" s="2" t="n">
        <v>1841</v>
      </c>
      <c r="BC1067" s="2" t="n">
        <v>1848</v>
      </c>
      <c r="BD1067" s="2"/>
      <c r="BE1067" s="2" t="s">
        <v>18786</v>
      </c>
      <c r="BF1067" s="2" t="str">
        <f aca="false">HYPERLINK("http://dx.doi.org/10.1002/jmv.22173","http://dx.doi.org/10.1002/jmv.22173")</f>
        <v>http://dx.doi.org/10.1002/jmv.22173</v>
      </c>
      <c r="BG1067" s="2"/>
      <c r="BH1067" s="2"/>
      <c r="BI1067" s="2" t="n">
        <v>8</v>
      </c>
      <c r="BJ1067" s="2" t="s">
        <v>163</v>
      </c>
      <c r="BK1067" s="2" t="s">
        <v>100</v>
      </c>
      <c r="BL1067" s="2" t="s">
        <v>163</v>
      </c>
      <c r="BM1067" s="2" t="s">
        <v>15990</v>
      </c>
      <c r="BN1067" s="2" t="n">
        <v>21837803</v>
      </c>
      <c r="BO1067" s="2" t="s">
        <v>165</v>
      </c>
      <c r="BP1067" s="2"/>
      <c r="BQ1067" s="2"/>
      <c r="BR1067" s="2" t="s">
        <v>104</v>
      </c>
      <c r="BS1067" s="2" t="s">
        <v>18787</v>
      </c>
      <c r="BT1067" s="2" t="str">
        <f aca="false">HYPERLINK("https%3A%2F%2Fwww.webofscience.com%2Fwos%2Fwoscc%2Ffull-record%2FWOS:000293985900023","View Full Record in Web of Science")</f>
        <v>View Full Record in Web of Science</v>
      </c>
    </row>
    <row r="1068" customFormat="false" ht="12.75" hidden="false" customHeight="false" outlineLevel="0" collapsed="false">
      <c r="A1068" s="2" t="s">
        <v>72</v>
      </c>
      <c r="B1068" s="2" t="s">
        <v>18788</v>
      </c>
      <c r="C1068" s="2"/>
      <c r="D1068" s="2"/>
      <c r="E1068" s="2"/>
      <c r="F1068" s="2" t="s">
        <v>18789</v>
      </c>
      <c r="G1068" s="2"/>
      <c r="H1068" s="2"/>
      <c r="I1068" s="2" t="s">
        <v>18790</v>
      </c>
      <c r="J1068" s="2" t="s">
        <v>1863</v>
      </c>
      <c r="K1068" s="2"/>
      <c r="L1068" s="2"/>
      <c r="M1068" s="2" t="s">
        <v>77</v>
      </c>
      <c r="N1068" s="2" t="s">
        <v>78</v>
      </c>
      <c r="O1068" s="2"/>
      <c r="P1068" s="2"/>
      <c r="Q1068" s="2"/>
      <c r="R1068" s="2"/>
      <c r="S1068" s="2"/>
      <c r="T1068" s="2" t="s">
        <v>18791</v>
      </c>
      <c r="U1068" s="2" t="s">
        <v>18792</v>
      </c>
      <c r="V1068" s="2" t="s">
        <v>18793</v>
      </c>
      <c r="W1068" s="2" t="s">
        <v>18794</v>
      </c>
      <c r="X1068" s="2" t="s">
        <v>18795</v>
      </c>
      <c r="Y1068" s="2" t="s">
        <v>18796</v>
      </c>
      <c r="Z1068" s="2" t="s">
        <v>18797</v>
      </c>
      <c r="AA1068" s="2" t="s">
        <v>18798</v>
      </c>
      <c r="AB1068" s="2"/>
      <c r="AC1068" s="2" t="s">
        <v>18799</v>
      </c>
      <c r="AD1068" s="2" t="s">
        <v>18799</v>
      </c>
      <c r="AE1068" s="2" t="s">
        <v>18800</v>
      </c>
      <c r="AF1068" s="2"/>
      <c r="AG1068" s="2" t="n">
        <v>32</v>
      </c>
      <c r="AH1068" s="2" t="n">
        <v>0</v>
      </c>
      <c r="AI1068" s="2" t="n">
        <v>0</v>
      </c>
      <c r="AJ1068" s="2" t="n">
        <v>2</v>
      </c>
      <c r="AK1068" s="2" t="n">
        <v>2</v>
      </c>
      <c r="AL1068" s="2" t="s">
        <v>302</v>
      </c>
      <c r="AM1068" s="2" t="s">
        <v>303</v>
      </c>
      <c r="AN1068" s="2" t="s">
        <v>304</v>
      </c>
      <c r="AO1068" s="2"/>
      <c r="AP1068" s="2" t="s">
        <v>1876</v>
      </c>
      <c r="AQ1068" s="2"/>
      <c r="AR1068" s="2" t="s">
        <v>1877</v>
      </c>
      <c r="AS1068" s="2" t="s">
        <v>1878</v>
      </c>
      <c r="AT1068" s="2" t="s">
        <v>18801</v>
      </c>
      <c r="AU1068" s="2" t="n">
        <v>2024</v>
      </c>
      <c r="AV1068" s="2" t="n">
        <v>21</v>
      </c>
      <c r="AW1068" s="2" t="n">
        <v>1</v>
      </c>
      <c r="AX1068" s="2"/>
      <c r="AY1068" s="2"/>
      <c r="AZ1068" s="2"/>
      <c r="BA1068" s="2"/>
      <c r="BB1068" s="2"/>
      <c r="BC1068" s="2"/>
      <c r="BD1068" s="2" t="n">
        <v>303</v>
      </c>
      <c r="BE1068" s="2" t="s">
        <v>18802</v>
      </c>
      <c r="BF1068" s="2" t="str">
        <f aca="false">HYPERLINK("http://dx.doi.org/10.1186/s12985-024-02579-5","http://dx.doi.org/10.1186/s12985-024-02579-5")</f>
        <v>http://dx.doi.org/10.1186/s12985-024-02579-5</v>
      </c>
      <c r="BG1068" s="2"/>
      <c r="BH1068" s="2"/>
      <c r="BI1068" s="2" t="n">
        <v>10</v>
      </c>
      <c r="BJ1068" s="2" t="s">
        <v>163</v>
      </c>
      <c r="BK1068" s="2" t="s">
        <v>100</v>
      </c>
      <c r="BL1068" s="2" t="s">
        <v>163</v>
      </c>
      <c r="BM1068" s="2" t="s">
        <v>18803</v>
      </c>
      <c r="BN1068" s="2" t="n">
        <v>39587598</v>
      </c>
      <c r="BO1068" s="2" t="s">
        <v>1355</v>
      </c>
      <c r="BP1068" s="2"/>
      <c r="BQ1068" s="2"/>
      <c r="BR1068" s="2" t="s">
        <v>104</v>
      </c>
      <c r="BS1068" s="2" t="s">
        <v>18804</v>
      </c>
      <c r="BT1068" s="2" t="str">
        <f aca="false">HYPERLINK("https%3A%2F%2Fwww.webofscience.com%2Fwos%2Fwoscc%2Ffull-record%2FWOS:001363499100001","View Full Record in Web of Science")</f>
        <v>View Full Record in Web of Science</v>
      </c>
    </row>
    <row r="1069" customFormat="false" ht="12.75" hidden="false" customHeight="false" outlineLevel="0" collapsed="false">
      <c r="A1069" s="2" t="s">
        <v>72</v>
      </c>
      <c r="B1069" s="2" t="s">
        <v>18805</v>
      </c>
      <c r="C1069" s="2"/>
      <c r="D1069" s="2"/>
      <c r="E1069" s="2"/>
      <c r="F1069" s="2" t="s">
        <v>18806</v>
      </c>
      <c r="G1069" s="2"/>
      <c r="H1069" s="2"/>
      <c r="I1069" s="2" t="s">
        <v>18807</v>
      </c>
      <c r="J1069" s="2" t="s">
        <v>742</v>
      </c>
      <c r="K1069" s="2"/>
      <c r="L1069" s="2"/>
      <c r="M1069" s="2" t="s">
        <v>77</v>
      </c>
      <c r="N1069" s="2" t="s">
        <v>78</v>
      </c>
      <c r="O1069" s="2"/>
      <c r="P1069" s="2"/>
      <c r="Q1069" s="2"/>
      <c r="R1069" s="2"/>
      <c r="S1069" s="2"/>
      <c r="T1069" s="2" t="s">
        <v>18808</v>
      </c>
      <c r="U1069" s="2" t="s">
        <v>18809</v>
      </c>
      <c r="V1069" s="2" t="s">
        <v>18810</v>
      </c>
      <c r="W1069" s="2" t="s">
        <v>18811</v>
      </c>
      <c r="X1069" s="2" t="s">
        <v>18812</v>
      </c>
      <c r="Y1069" s="2" t="s">
        <v>18813</v>
      </c>
      <c r="Z1069" s="2" t="s">
        <v>14651</v>
      </c>
      <c r="AA1069" s="2" t="s">
        <v>18814</v>
      </c>
      <c r="AB1069" s="2" t="s">
        <v>18815</v>
      </c>
      <c r="AC1069" s="2" t="s">
        <v>18816</v>
      </c>
      <c r="AD1069" s="2" t="s">
        <v>18817</v>
      </c>
      <c r="AE1069" s="2" t="s">
        <v>18818</v>
      </c>
      <c r="AF1069" s="2"/>
      <c r="AG1069" s="2" t="n">
        <v>61</v>
      </c>
      <c r="AH1069" s="2" t="n">
        <v>17</v>
      </c>
      <c r="AI1069" s="2" t="n">
        <v>17</v>
      </c>
      <c r="AJ1069" s="2" t="n">
        <v>0</v>
      </c>
      <c r="AK1069" s="2" t="n">
        <v>5</v>
      </c>
      <c r="AL1069" s="2" t="s">
        <v>755</v>
      </c>
      <c r="AM1069" s="2" t="s">
        <v>273</v>
      </c>
      <c r="AN1069" s="2" t="s">
        <v>756</v>
      </c>
      <c r="AO1069" s="2" t="s">
        <v>757</v>
      </c>
      <c r="AP1069" s="2" t="s">
        <v>758</v>
      </c>
      <c r="AQ1069" s="2"/>
      <c r="AR1069" s="2" t="s">
        <v>759</v>
      </c>
      <c r="AS1069" s="2" t="s">
        <v>760</v>
      </c>
      <c r="AT1069" s="2" t="s">
        <v>804</v>
      </c>
      <c r="AU1069" s="2" t="n">
        <v>2018</v>
      </c>
      <c r="AV1069" s="2" t="n">
        <v>92</v>
      </c>
      <c r="AW1069" s="2" t="n">
        <v>22</v>
      </c>
      <c r="AX1069" s="2"/>
      <c r="AY1069" s="2"/>
      <c r="AZ1069" s="2"/>
      <c r="BA1069" s="2"/>
      <c r="BB1069" s="2"/>
      <c r="BC1069" s="2"/>
      <c r="BD1069" s="2" t="s">
        <v>18819</v>
      </c>
      <c r="BE1069" s="2" t="s">
        <v>18820</v>
      </c>
      <c r="BF1069" s="2" t="str">
        <f aca="false">HYPERLINK("http://dx.doi.org/10.1128/JVI.01200-18","http://dx.doi.org/10.1128/JVI.01200-18")</f>
        <v>http://dx.doi.org/10.1128/JVI.01200-18</v>
      </c>
      <c r="BG1069" s="2"/>
      <c r="BH1069" s="2"/>
      <c r="BI1069" s="2" t="n">
        <v>17</v>
      </c>
      <c r="BJ1069" s="2" t="s">
        <v>163</v>
      </c>
      <c r="BK1069" s="2" t="s">
        <v>100</v>
      </c>
      <c r="BL1069" s="2" t="s">
        <v>163</v>
      </c>
      <c r="BM1069" s="2" t="s">
        <v>18821</v>
      </c>
      <c r="BN1069" s="2" t="n">
        <v>30185593</v>
      </c>
      <c r="BO1069" s="2" t="s">
        <v>538</v>
      </c>
      <c r="BP1069" s="2"/>
      <c r="BQ1069" s="2"/>
      <c r="BR1069" s="2" t="s">
        <v>104</v>
      </c>
      <c r="BS1069" s="2" t="s">
        <v>18822</v>
      </c>
      <c r="BT1069" s="2" t="str">
        <f aca="false">HYPERLINK("https%3A%2F%2Fwww.webofscience.com%2Fwos%2Fwoscc%2Ffull-record%2FWOS:000448576900016","View Full Record in Web of Science")</f>
        <v>View Full Record in Web of Science</v>
      </c>
    </row>
    <row r="1070" customFormat="false" ht="12.75" hidden="false" customHeight="false" outlineLevel="0" collapsed="false">
      <c r="A1070" s="2" t="s">
        <v>72</v>
      </c>
      <c r="B1070" s="2" t="s">
        <v>18823</v>
      </c>
      <c r="C1070" s="2"/>
      <c r="D1070" s="2"/>
      <c r="E1070" s="2"/>
      <c r="F1070" s="2" t="s">
        <v>18824</v>
      </c>
      <c r="G1070" s="2"/>
      <c r="H1070" s="2"/>
      <c r="I1070" s="2" t="s">
        <v>18825</v>
      </c>
      <c r="J1070" s="2" t="s">
        <v>9323</v>
      </c>
      <c r="K1070" s="2"/>
      <c r="L1070" s="2"/>
      <c r="M1070" s="2" t="s">
        <v>77</v>
      </c>
      <c r="N1070" s="2" t="s">
        <v>78</v>
      </c>
      <c r="O1070" s="2"/>
      <c r="P1070" s="2"/>
      <c r="Q1070" s="2"/>
      <c r="R1070" s="2"/>
      <c r="S1070" s="2"/>
      <c r="T1070" s="2" t="s">
        <v>18826</v>
      </c>
      <c r="U1070" s="2" t="s">
        <v>18827</v>
      </c>
      <c r="V1070" s="2" t="s">
        <v>18828</v>
      </c>
      <c r="W1070" s="2" t="s">
        <v>18829</v>
      </c>
      <c r="X1070" s="2" t="s">
        <v>18830</v>
      </c>
      <c r="Y1070" s="2" t="s">
        <v>6382</v>
      </c>
      <c r="Z1070" s="2" t="s">
        <v>15983</v>
      </c>
      <c r="AA1070" s="2" t="s">
        <v>18831</v>
      </c>
      <c r="AB1070" s="2" t="s">
        <v>18832</v>
      </c>
      <c r="AC1070" s="2" t="s">
        <v>18833</v>
      </c>
      <c r="AD1070" s="2" t="s">
        <v>18834</v>
      </c>
      <c r="AE1070" s="2" t="s">
        <v>18835</v>
      </c>
      <c r="AF1070" s="2"/>
      <c r="AG1070" s="2" t="n">
        <v>19</v>
      </c>
      <c r="AH1070" s="2" t="n">
        <v>6</v>
      </c>
      <c r="AI1070" s="2" t="n">
        <v>7</v>
      </c>
      <c r="AJ1070" s="2" t="n">
        <v>0</v>
      </c>
      <c r="AK1070" s="2" t="n">
        <v>6</v>
      </c>
      <c r="AL1070" s="2" t="s">
        <v>383</v>
      </c>
      <c r="AM1070" s="2" t="s">
        <v>384</v>
      </c>
      <c r="AN1070" s="2" t="s">
        <v>385</v>
      </c>
      <c r="AO1070" s="2" t="s">
        <v>9333</v>
      </c>
      <c r="AP1070" s="2" t="s">
        <v>9334</v>
      </c>
      <c r="AQ1070" s="2"/>
      <c r="AR1070" s="2" t="s">
        <v>9335</v>
      </c>
      <c r="AS1070" s="2" t="s">
        <v>9336</v>
      </c>
      <c r="AT1070" s="2" t="s">
        <v>18836</v>
      </c>
      <c r="AU1070" s="2" t="n">
        <v>2011</v>
      </c>
      <c r="AV1070" s="2" t="n">
        <v>29</v>
      </c>
      <c r="AW1070" s="2" t="n">
        <v>4</v>
      </c>
      <c r="AX1070" s="2"/>
      <c r="AY1070" s="2"/>
      <c r="AZ1070" s="2"/>
      <c r="BA1070" s="2"/>
      <c r="BB1070" s="2" t="n">
        <v>363</v>
      </c>
      <c r="BC1070" s="2" t="n">
        <v>367</v>
      </c>
      <c r="BD1070" s="2"/>
      <c r="BE1070" s="2" t="s">
        <v>18837</v>
      </c>
      <c r="BF1070" s="2" t="str">
        <f aca="false">HYPERLINK("http://dx.doi.org/10.4103/0255-0857.90162","http://dx.doi.org/10.4103/0255-0857.90162")</f>
        <v>http://dx.doi.org/10.4103/0255-0857.90162</v>
      </c>
      <c r="BG1070" s="2"/>
      <c r="BH1070" s="2"/>
      <c r="BI1070" s="2" t="n">
        <v>5</v>
      </c>
      <c r="BJ1070" s="2" t="s">
        <v>628</v>
      </c>
      <c r="BK1070" s="2" t="s">
        <v>100</v>
      </c>
      <c r="BL1070" s="2" t="s">
        <v>628</v>
      </c>
      <c r="BM1070" s="2" t="s">
        <v>18838</v>
      </c>
      <c r="BN1070" s="2" t="n">
        <v>22120795</v>
      </c>
      <c r="BO1070" s="2" t="s">
        <v>1355</v>
      </c>
      <c r="BP1070" s="2"/>
      <c r="BQ1070" s="2"/>
      <c r="BR1070" s="2" t="s">
        <v>104</v>
      </c>
      <c r="BS1070" s="2" t="s">
        <v>18839</v>
      </c>
      <c r="BT1070" s="2" t="str">
        <f aca="false">HYPERLINK("https%3A%2F%2Fwww.webofscience.com%2Fwos%2Fwoscc%2Ffull-record%2FWOS:000297516500008","View Full Record in Web of Science")</f>
        <v>View Full Record in Web of Science</v>
      </c>
    </row>
    <row r="1071" customFormat="false" ht="12.75" hidden="false" customHeight="false" outlineLevel="0" collapsed="false">
      <c r="A1071" s="2" t="s">
        <v>72</v>
      </c>
      <c r="B1071" s="2" t="s">
        <v>18840</v>
      </c>
      <c r="C1071" s="2"/>
      <c r="D1071" s="2"/>
      <c r="E1071" s="2"/>
      <c r="F1071" s="2" t="s">
        <v>18841</v>
      </c>
      <c r="G1071" s="2"/>
      <c r="H1071" s="2"/>
      <c r="I1071" s="2" t="s">
        <v>18842</v>
      </c>
      <c r="J1071" s="2" t="s">
        <v>2095</v>
      </c>
      <c r="K1071" s="2"/>
      <c r="L1071" s="2"/>
      <c r="M1071" s="2" t="s">
        <v>77</v>
      </c>
      <c r="N1071" s="2" t="s">
        <v>78</v>
      </c>
      <c r="O1071" s="2"/>
      <c r="P1071" s="2"/>
      <c r="Q1071" s="2"/>
      <c r="R1071" s="2"/>
      <c r="S1071" s="2"/>
      <c r="T1071" s="2" t="s">
        <v>18843</v>
      </c>
      <c r="U1071" s="2" t="s">
        <v>18844</v>
      </c>
      <c r="V1071" s="2" t="s">
        <v>18845</v>
      </c>
      <c r="W1071" s="2" t="s">
        <v>18846</v>
      </c>
      <c r="X1071" s="2" t="s">
        <v>18847</v>
      </c>
      <c r="Y1071" s="2" t="s">
        <v>18848</v>
      </c>
      <c r="Z1071" s="2" t="s">
        <v>18849</v>
      </c>
      <c r="AA1071" s="2" t="s">
        <v>18850</v>
      </c>
      <c r="AB1071" s="2" t="s">
        <v>18851</v>
      </c>
      <c r="AC1071" s="2" t="s">
        <v>18852</v>
      </c>
      <c r="AD1071" s="2" t="s">
        <v>18853</v>
      </c>
      <c r="AE1071" s="2" t="s">
        <v>18854</v>
      </c>
      <c r="AF1071" s="2"/>
      <c r="AG1071" s="2" t="n">
        <v>11</v>
      </c>
      <c r="AH1071" s="2" t="n">
        <v>0</v>
      </c>
      <c r="AI1071" s="2" t="n">
        <v>0</v>
      </c>
      <c r="AJ1071" s="2" t="n">
        <v>0</v>
      </c>
      <c r="AK1071" s="2" t="n">
        <v>5</v>
      </c>
      <c r="AL1071" s="2" t="s">
        <v>2105</v>
      </c>
      <c r="AM1071" s="2" t="s">
        <v>303</v>
      </c>
      <c r="AN1071" s="2" t="s">
        <v>2106</v>
      </c>
      <c r="AO1071" s="2" t="s">
        <v>2107</v>
      </c>
      <c r="AP1071" s="2" t="s">
        <v>2108</v>
      </c>
      <c r="AQ1071" s="2"/>
      <c r="AR1071" s="2" t="s">
        <v>2109</v>
      </c>
      <c r="AS1071" s="2" t="s">
        <v>2110</v>
      </c>
      <c r="AT1071" s="2" t="s">
        <v>2882</v>
      </c>
      <c r="AU1071" s="2" t="n">
        <v>2019</v>
      </c>
      <c r="AV1071" s="2" t="n">
        <v>12</v>
      </c>
      <c r="AW1071" s="2" t="n">
        <v>6</v>
      </c>
      <c r="AX1071" s="2"/>
      <c r="AY1071" s="2"/>
      <c r="AZ1071" s="2"/>
      <c r="BA1071" s="2"/>
      <c r="BB1071" s="2" t="n">
        <v>900</v>
      </c>
      <c r="BC1071" s="2" t="n">
        <v>903</v>
      </c>
      <c r="BD1071" s="2"/>
      <c r="BE1071" s="2" t="s">
        <v>18855</v>
      </c>
      <c r="BF1071" s="2" t="str">
        <f aca="false">HYPERLINK("http://dx.doi.org/10.1016/j.jiph.2019.04.013","http://dx.doi.org/10.1016/j.jiph.2019.04.013")</f>
        <v>http://dx.doi.org/10.1016/j.jiph.2019.04.013</v>
      </c>
      <c r="BG1071" s="2"/>
      <c r="BH1071" s="2"/>
      <c r="BI1071" s="2" t="n">
        <v>4</v>
      </c>
      <c r="BJ1071" s="2" t="s">
        <v>2113</v>
      </c>
      <c r="BK1071" s="2" t="s">
        <v>100</v>
      </c>
      <c r="BL1071" s="2" t="s">
        <v>2113</v>
      </c>
      <c r="BM1071" s="2" t="s">
        <v>18856</v>
      </c>
      <c r="BN1071" s="2" t="n">
        <v>31085132</v>
      </c>
      <c r="BO1071" s="2" t="s">
        <v>103</v>
      </c>
      <c r="BP1071" s="2"/>
      <c r="BQ1071" s="2"/>
      <c r="BR1071" s="2" t="s">
        <v>104</v>
      </c>
      <c r="BS1071" s="2" t="s">
        <v>18857</v>
      </c>
      <c r="BT1071" s="2" t="str">
        <f aca="false">HYPERLINK("https%3A%2F%2Fwww.webofscience.com%2Fwos%2Fwoscc%2Ffull-record%2FWOS:000494000800026","View Full Record in Web of Science")</f>
        <v>View Full Record in Web of Science</v>
      </c>
    </row>
    <row r="1072" customFormat="false" ht="12.75" hidden="false" customHeight="false" outlineLevel="0" collapsed="false">
      <c r="A1072" s="2" t="s">
        <v>72</v>
      </c>
      <c r="B1072" s="2" t="s">
        <v>18858</v>
      </c>
      <c r="C1072" s="2"/>
      <c r="D1072" s="2"/>
      <c r="E1072" s="2"/>
      <c r="F1072" s="2" t="s">
        <v>18859</v>
      </c>
      <c r="G1072" s="2"/>
      <c r="H1072" s="2"/>
      <c r="I1072" s="2" t="s">
        <v>18860</v>
      </c>
      <c r="J1072" s="2" t="s">
        <v>1863</v>
      </c>
      <c r="K1072" s="2"/>
      <c r="L1072" s="2"/>
      <c r="M1072" s="2" t="s">
        <v>77</v>
      </c>
      <c r="N1072" s="2" t="s">
        <v>78</v>
      </c>
      <c r="O1072" s="2"/>
      <c r="P1072" s="2"/>
      <c r="Q1072" s="2"/>
      <c r="R1072" s="2"/>
      <c r="S1072" s="2"/>
      <c r="T1072" s="2" t="s">
        <v>18861</v>
      </c>
      <c r="U1072" s="2" t="s">
        <v>18862</v>
      </c>
      <c r="V1072" s="2" t="s">
        <v>18863</v>
      </c>
      <c r="W1072" s="2" t="s">
        <v>18864</v>
      </c>
      <c r="X1072" s="2" t="s">
        <v>18865</v>
      </c>
      <c r="Y1072" s="2" t="s">
        <v>18866</v>
      </c>
      <c r="Z1072" s="2" t="s">
        <v>18867</v>
      </c>
      <c r="AA1072" s="2" t="s">
        <v>18868</v>
      </c>
      <c r="AB1072" s="2" t="s">
        <v>18869</v>
      </c>
      <c r="AC1072" s="2"/>
      <c r="AD1072" s="2"/>
      <c r="AE1072" s="2"/>
      <c r="AF1072" s="2"/>
      <c r="AG1072" s="2" t="n">
        <v>19</v>
      </c>
      <c r="AH1072" s="2" t="n">
        <v>20</v>
      </c>
      <c r="AI1072" s="2" t="n">
        <v>28</v>
      </c>
      <c r="AJ1072" s="2" t="n">
        <v>0</v>
      </c>
      <c r="AK1072" s="2" t="n">
        <v>2</v>
      </c>
      <c r="AL1072" s="2" t="s">
        <v>302</v>
      </c>
      <c r="AM1072" s="2" t="s">
        <v>303</v>
      </c>
      <c r="AN1072" s="2" t="s">
        <v>304</v>
      </c>
      <c r="AO1072" s="2"/>
      <c r="AP1072" s="2" t="s">
        <v>1876</v>
      </c>
      <c r="AQ1072" s="2"/>
      <c r="AR1072" s="2" t="s">
        <v>1877</v>
      </c>
      <c r="AS1072" s="2" t="s">
        <v>1878</v>
      </c>
      <c r="AT1072" s="2" t="s">
        <v>18870</v>
      </c>
      <c r="AU1072" s="2" t="n">
        <v>2012</v>
      </c>
      <c r="AV1072" s="2" t="n">
        <v>9</v>
      </c>
      <c r="AW1072" s="2"/>
      <c r="AX1072" s="2"/>
      <c r="AY1072" s="2"/>
      <c r="AZ1072" s="2"/>
      <c r="BA1072" s="2"/>
      <c r="BB1072" s="2"/>
      <c r="BC1072" s="2"/>
      <c r="BD1072" s="2" t="n">
        <v>183</v>
      </c>
      <c r="BE1072" s="2" t="s">
        <v>18871</v>
      </c>
      <c r="BF1072" s="2" t="str">
        <f aca="false">HYPERLINK("http://dx.doi.org/10.1186/1743-422X-9-183","http://dx.doi.org/10.1186/1743-422X-9-183")</f>
        <v>http://dx.doi.org/10.1186/1743-422X-9-183</v>
      </c>
      <c r="BG1072" s="2"/>
      <c r="BH1072" s="2"/>
      <c r="BI1072" s="2" t="n">
        <v>6</v>
      </c>
      <c r="BJ1072" s="2" t="s">
        <v>163</v>
      </c>
      <c r="BK1072" s="2" t="s">
        <v>100</v>
      </c>
      <c r="BL1072" s="2" t="s">
        <v>163</v>
      </c>
      <c r="BM1072" s="2" t="s">
        <v>18872</v>
      </c>
      <c r="BN1072" s="2" t="n">
        <v>23102237</v>
      </c>
      <c r="BO1072" s="2" t="s">
        <v>190</v>
      </c>
      <c r="BP1072" s="2"/>
      <c r="BQ1072" s="2"/>
      <c r="BR1072" s="2" t="s">
        <v>104</v>
      </c>
      <c r="BS1072" s="2" t="s">
        <v>18873</v>
      </c>
      <c r="BT1072" s="2" t="str">
        <f aca="false">HYPERLINK("https%3A%2F%2Fwww.webofscience.com%2Fwos%2Fwoscc%2Ffull-record%2FWOS:000310005500001","View Full Record in Web of Science")</f>
        <v>View Full Record in Web of Science</v>
      </c>
    </row>
    <row r="1073" customFormat="false" ht="12.75" hidden="false" customHeight="false" outlineLevel="0" collapsed="false">
      <c r="A1073" s="2" t="s">
        <v>72</v>
      </c>
      <c r="B1073" s="2" t="s">
        <v>18874</v>
      </c>
      <c r="C1073" s="2"/>
      <c r="D1073" s="2"/>
      <c r="E1073" s="2"/>
      <c r="F1073" s="2" t="s">
        <v>18875</v>
      </c>
      <c r="G1073" s="2"/>
      <c r="H1073" s="2"/>
      <c r="I1073" s="2" t="s">
        <v>18876</v>
      </c>
      <c r="J1073" s="2" t="s">
        <v>10481</v>
      </c>
      <c r="K1073" s="2"/>
      <c r="L1073" s="2"/>
      <c r="M1073" s="2" t="s">
        <v>77</v>
      </c>
      <c r="N1073" s="2" t="s">
        <v>78</v>
      </c>
      <c r="O1073" s="2"/>
      <c r="P1073" s="2"/>
      <c r="Q1073" s="2"/>
      <c r="R1073" s="2"/>
      <c r="S1073" s="2"/>
      <c r="T1073" s="2" t="s">
        <v>18877</v>
      </c>
      <c r="U1073" s="2" t="s">
        <v>18878</v>
      </c>
      <c r="V1073" s="2" t="s">
        <v>18879</v>
      </c>
      <c r="W1073" s="2" t="s">
        <v>18880</v>
      </c>
      <c r="X1073" s="2" t="s">
        <v>18355</v>
      </c>
      <c r="Y1073" s="2" t="s">
        <v>18881</v>
      </c>
      <c r="Z1073" s="2" t="s">
        <v>18882</v>
      </c>
      <c r="AA1073" s="2" t="s">
        <v>18358</v>
      </c>
      <c r="AB1073" s="2" t="s">
        <v>18883</v>
      </c>
      <c r="AC1073" s="2" t="s">
        <v>18884</v>
      </c>
      <c r="AD1073" s="2" t="s">
        <v>18885</v>
      </c>
      <c r="AE1073" s="2" t="s">
        <v>18886</v>
      </c>
      <c r="AF1073" s="2"/>
      <c r="AG1073" s="2" t="n">
        <v>79</v>
      </c>
      <c r="AH1073" s="2" t="n">
        <v>5</v>
      </c>
      <c r="AI1073" s="2" t="n">
        <v>5</v>
      </c>
      <c r="AJ1073" s="2" t="n">
        <v>1</v>
      </c>
      <c r="AK1073" s="2" t="n">
        <v>2</v>
      </c>
      <c r="AL1073" s="2" t="s">
        <v>91</v>
      </c>
      <c r="AM1073" s="2" t="s">
        <v>92</v>
      </c>
      <c r="AN1073" s="2" t="s">
        <v>93</v>
      </c>
      <c r="AO1073" s="2"/>
      <c r="AP1073" s="2" t="s">
        <v>10491</v>
      </c>
      <c r="AQ1073" s="2"/>
      <c r="AR1073" s="2" t="s">
        <v>10492</v>
      </c>
      <c r="AS1073" s="2" t="s">
        <v>10493</v>
      </c>
      <c r="AT1073" s="2" t="s">
        <v>97</v>
      </c>
      <c r="AU1073" s="2" t="n">
        <v>2023</v>
      </c>
      <c r="AV1073" s="2" t="n">
        <v>12</v>
      </c>
      <c r="AW1073" s="2" t="n">
        <v>5</v>
      </c>
      <c r="AX1073" s="2"/>
      <c r="AY1073" s="2"/>
      <c r="AZ1073" s="2"/>
      <c r="BA1073" s="2"/>
      <c r="BB1073" s="2"/>
      <c r="BC1073" s="2"/>
      <c r="BD1073" s="2" t="n">
        <v>2003</v>
      </c>
      <c r="BE1073" s="2" t="s">
        <v>18887</v>
      </c>
      <c r="BF1073" s="2" t="str">
        <f aca="false">HYPERLINK("http://dx.doi.org/10.3390/jcm12052003","http://dx.doi.org/10.3390/jcm12052003")</f>
        <v>http://dx.doi.org/10.3390/jcm12052003</v>
      </c>
      <c r="BG1073" s="2"/>
      <c r="BH1073" s="2"/>
      <c r="BI1073" s="2" t="n">
        <v>13</v>
      </c>
      <c r="BJ1073" s="2" t="s">
        <v>363</v>
      </c>
      <c r="BK1073" s="2" t="s">
        <v>100</v>
      </c>
      <c r="BL1073" s="2" t="s">
        <v>364</v>
      </c>
      <c r="BM1073" s="2" t="s">
        <v>18888</v>
      </c>
      <c r="BN1073" s="2" t="n">
        <v>36902789</v>
      </c>
      <c r="BO1073" s="2" t="s">
        <v>190</v>
      </c>
      <c r="BP1073" s="2"/>
      <c r="BQ1073" s="2"/>
      <c r="BR1073" s="2" t="s">
        <v>104</v>
      </c>
      <c r="BS1073" s="2" t="s">
        <v>18889</v>
      </c>
      <c r="BT1073" s="2" t="str">
        <f aca="false">HYPERLINK("https%3A%2F%2Fwww.webofscience.com%2Fwos%2Fwoscc%2Ffull-record%2FWOS:000947362200001","View Full Record in Web of Science")</f>
        <v>View Full Record in Web of Science</v>
      </c>
    </row>
    <row r="1074" customFormat="false" ht="12.75" hidden="false" customHeight="false" outlineLevel="0" collapsed="false">
      <c r="A1074" s="2" t="s">
        <v>72</v>
      </c>
      <c r="B1074" s="2" t="s">
        <v>18890</v>
      </c>
      <c r="C1074" s="2"/>
      <c r="D1074" s="2"/>
      <c r="E1074" s="2"/>
      <c r="F1074" s="2" t="s">
        <v>18891</v>
      </c>
      <c r="G1074" s="2"/>
      <c r="H1074" s="2"/>
      <c r="I1074" s="2" t="s">
        <v>18892</v>
      </c>
      <c r="J1074" s="2" t="s">
        <v>949</v>
      </c>
      <c r="K1074" s="2"/>
      <c r="L1074" s="2"/>
      <c r="M1074" s="2" t="s">
        <v>77</v>
      </c>
      <c r="N1074" s="2" t="s">
        <v>78</v>
      </c>
      <c r="O1074" s="2"/>
      <c r="P1074" s="2"/>
      <c r="Q1074" s="2"/>
      <c r="R1074" s="2"/>
      <c r="S1074" s="2"/>
      <c r="T1074" s="2" t="s">
        <v>18893</v>
      </c>
      <c r="U1074" s="2" t="s">
        <v>18894</v>
      </c>
      <c r="V1074" s="2" t="s">
        <v>18895</v>
      </c>
      <c r="W1074" s="2" t="s">
        <v>18896</v>
      </c>
      <c r="X1074" s="2" t="s">
        <v>18897</v>
      </c>
      <c r="Y1074" s="2" t="s">
        <v>18898</v>
      </c>
      <c r="Z1074" s="2" t="s">
        <v>18899</v>
      </c>
      <c r="AA1074" s="2"/>
      <c r="AB1074" s="2" t="s">
        <v>18900</v>
      </c>
      <c r="AC1074" s="2"/>
      <c r="AD1074" s="2"/>
      <c r="AE1074" s="2"/>
      <c r="AF1074" s="2"/>
      <c r="AG1074" s="2" t="n">
        <v>106</v>
      </c>
      <c r="AH1074" s="2" t="n">
        <v>9</v>
      </c>
      <c r="AI1074" s="2" t="n">
        <v>11</v>
      </c>
      <c r="AJ1074" s="2" t="n">
        <v>1</v>
      </c>
      <c r="AK1074" s="2" t="n">
        <v>6</v>
      </c>
      <c r="AL1074" s="2" t="s">
        <v>957</v>
      </c>
      <c r="AM1074" s="2" t="s">
        <v>123</v>
      </c>
      <c r="AN1074" s="2" t="s">
        <v>958</v>
      </c>
      <c r="AO1074" s="2" t="s">
        <v>959</v>
      </c>
      <c r="AP1074" s="2" t="s">
        <v>960</v>
      </c>
      <c r="AQ1074" s="2"/>
      <c r="AR1074" s="2" t="s">
        <v>961</v>
      </c>
      <c r="AS1074" s="2" t="s">
        <v>962</v>
      </c>
      <c r="AT1074" s="2" t="s">
        <v>129</v>
      </c>
      <c r="AU1074" s="2" t="n">
        <v>2010</v>
      </c>
      <c r="AV1074" s="2" t="n">
        <v>24</v>
      </c>
      <c r="AW1074" s="2" t="n">
        <v>3</v>
      </c>
      <c r="AX1074" s="2"/>
      <c r="AY1074" s="2"/>
      <c r="AZ1074" s="2"/>
      <c r="BA1074" s="2"/>
      <c r="BB1074" s="2" t="n">
        <v>541</v>
      </c>
      <c r="BC1074" s="2" t="s">
        <v>986</v>
      </c>
      <c r="BD1074" s="2"/>
      <c r="BE1074" s="2" t="s">
        <v>18901</v>
      </c>
      <c r="BF1074" s="2" t="str">
        <f aca="false">HYPERLINK("http://dx.doi.org/10.1016/j.idc.2010.04.005","http://dx.doi.org/10.1016/j.idc.2010.04.005")</f>
        <v>http://dx.doi.org/10.1016/j.idc.2010.04.005</v>
      </c>
      <c r="BG1074" s="2"/>
      <c r="BH1074" s="2"/>
      <c r="BI1074" s="2" t="n">
        <v>16</v>
      </c>
      <c r="BJ1074" s="2" t="s">
        <v>965</v>
      </c>
      <c r="BK1074" s="2" t="s">
        <v>100</v>
      </c>
      <c r="BL1074" s="2" t="s">
        <v>965</v>
      </c>
      <c r="BM1074" s="2" t="s">
        <v>18902</v>
      </c>
      <c r="BN1074" s="2" t="n">
        <v>20674791</v>
      </c>
      <c r="BO1074" s="2" t="s">
        <v>1089</v>
      </c>
      <c r="BP1074" s="2"/>
      <c r="BQ1074" s="2"/>
      <c r="BR1074" s="2" t="s">
        <v>104</v>
      </c>
      <c r="BS1074" s="2" t="s">
        <v>18903</v>
      </c>
      <c r="BT1074" s="2" t="str">
        <f aca="false">HYPERLINK("https%3A%2F%2Fwww.webofscience.com%2Fwos%2Fwoscc%2Ffull-record%2FWOS:000281349500003","View Full Record in Web of Science")</f>
        <v>View Full Record in Web of Science</v>
      </c>
    </row>
    <row r="1075" customFormat="false" ht="12.75" hidden="false" customHeight="false" outlineLevel="0" collapsed="false">
      <c r="A1075" s="2" t="s">
        <v>72</v>
      </c>
      <c r="B1075" s="2" t="s">
        <v>18904</v>
      </c>
      <c r="C1075" s="2"/>
      <c r="D1075" s="2"/>
      <c r="E1075" s="2"/>
      <c r="F1075" s="2" t="s">
        <v>18905</v>
      </c>
      <c r="G1075" s="2"/>
      <c r="H1075" s="2"/>
      <c r="I1075" s="2" t="s">
        <v>18906</v>
      </c>
      <c r="J1075" s="2" t="s">
        <v>18907</v>
      </c>
      <c r="K1075" s="2"/>
      <c r="L1075" s="2"/>
      <c r="M1075" s="2" t="s">
        <v>77</v>
      </c>
      <c r="N1075" s="2" t="s">
        <v>78</v>
      </c>
      <c r="O1075" s="2"/>
      <c r="P1075" s="2"/>
      <c r="Q1075" s="2"/>
      <c r="R1075" s="2"/>
      <c r="S1075" s="2"/>
      <c r="T1075" s="2" t="s">
        <v>18908</v>
      </c>
      <c r="U1075" s="2" t="s">
        <v>18909</v>
      </c>
      <c r="V1075" s="2" t="s">
        <v>18910</v>
      </c>
      <c r="W1075" s="2" t="s">
        <v>18911</v>
      </c>
      <c r="X1075" s="2" t="s">
        <v>18912</v>
      </c>
      <c r="Y1075" s="2" t="s">
        <v>18913</v>
      </c>
      <c r="Z1075" s="2" t="s">
        <v>18914</v>
      </c>
      <c r="AA1075" s="2" t="s">
        <v>18915</v>
      </c>
      <c r="AB1075" s="2" t="s">
        <v>18916</v>
      </c>
      <c r="AC1075" s="2" t="s">
        <v>18917</v>
      </c>
      <c r="AD1075" s="2" t="s">
        <v>18918</v>
      </c>
      <c r="AE1075" s="2" t="s">
        <v>18919</v>
      </c>
      <c r="AF1075" s="2"/>
      <c r="AG1075" s="2" t="n">
        <v>290</v>
      </c>
      <c r="AH1075" s="2" t="n">
        <v>0</v>
      </c>
      <c r="AI1075" s="2" t="n">
        <v>0</v>
      </c>
      <c r="AJ1075" s="2" t="n">
        <v>0</v>
      </c>
      <c r="AK1075" s="2" t="n">
        <v>28</v>
      </c>
      <c r="AL1075" s="2" t="s">
        <v>18920</v>
      </c>
      <c r="AM1075" s="2" t="s">
        <v>1705</v>
      </c>
      <c r="AN1075" s="2" t="s">
        <v>18921</v>
      </c>
      <c r="AO1075" s="2" t="s">
        <v>18922</v>
      </c>
      <c r="AP1075" s="2"/>
      <c r="AQ1075" s="2"/>
      <c r="AR1075" s="2" t="s">
        <v>18907</v>
      </c>
      <c r="AS1075" s="2" t="s">
        <v>18923</v>
      </c>
      <c r="AT1075" s="2" t="s">
        <v>8917</v>
      </c>
      <c r="AU1075" s="2" t="n">
        <v>2022</v>
      </c>
      <c r="AV1075" s="2" t="n">
        <v>11</v>
      </c>
      <c r="AW1075" s="2"/>
      <c r="AX1075" s="2"/>
      <c r="AY1075" s="2"/>
      <c r="AZ1075" s="2"/>
      <c r="BA1075" s="2"/>
      <c r="BB1075" s="2"/>
      <c r="BC1075" s="2"/>
      <c r="BD1075" s="2" t="s">
        <v>18924</v>
      </c>
      <c r="BE1075" s="2" t="s">
        <v>18925</v>
      </c>
      <c r="BF1075" s="2" t="str">
        <f aca="false">HYPERLINK("http://dx.doi.org/10.7554/eLife.72123","http://dx.doi.org/10.7554/eLife.72123")</f>
        <v>http://dx.doi.org/10.7554/eLife.72123</v>
      </c>
      <c r="BG1075" s="2"/>
      <c r="BH1075" s="2"/>
      <c r="BI1075" s="2" t="n">
        <v>49</v>
      </c>
      <c r="BJ1075" s="2" t="s">
        <v>18926</v>
      </c>
      <c r="BK1075" s="2" t="s">
        <v>100</v>
      </c>
      <c r="BL1075" s="2" t="s">
        <v>18927</v>
      </c>
      <c r="BM1075" s="2" t="s">
        <v>18928</v>
      </c>
      <c r="BN1075" s="2" t="n">
        <v>35666108</v>
      </c>
      <c r="BO1075" s="2" t="s">
        <v>14604</v>
      </c>
      <c r="BP1075" s="2"/>
      <c r="BQ1075" s="2"/>
      <c r="BR1075" s="2" t="s">
        <v>104</v>
      </c>
      <c r="BS1075" s="2" t="s">
        <v>18929</v>
      </c>
      <c r="BT1075" s="2" t="str">
        <f aca="false">HYPERLINK("https%3A%2F%2Fwww.webofscience.com%2Fwos%2Fwoscc%2Ffull-record%2FWOS:000827842600001","View Full Record in Web of Science")</f>
        <v>View Full Record in Web of Science</v>
      </c>
    </row>
    <row r="1076" customFormat="false" ht="12.75" hidden="false" customHeight="false" outlineLevel="0" collapsed="false">
      <c r="A1076" s="2" t="s">
        <v>72</v>
      </c>
      <c r="B1076" s="2" t="s">
        <v>18930</v>
      </c>
      <c r="C1076" s="2"/>
      <c r="D1076" s="2"/>
      <c r="E1076" s="2"/>
      <c r="F1076" s="2" t="s">
        <v>18931</v>
      </c>
      <c r="G1076" s="2"/>
      <c r="H1076" s="2"/>
      <c r="I1076" s="2" t="s">
        <v>18932</v>
      </c>
      <c r="J1076" s="2" t="s">
        <v>10837</v>
      </c>
      <c r="K1076" s="2"/>
      <c r="L1076" s="2"/>
      <c r="M1076" s="2" t="s">
        <v>77</v>
      </c>
      <c r="N1076" s="2" t="s">
        <v>78</v>
      </c>
      <c r="O1076" s="2"/>
      <c r="P1076" s="2"/>
      <c r="Q1076" s="2"/>
      <c r="R1076" s="2"/>
      <c r="S1076" s="2"/>
      <c r="T1076" s="2" t="s">
        <v>18933</v>
      </c>
      <c r="U1076" s="2" t="s">
        <v>18934</v>
      </c>
      <c r="V1076" s="2" t="s">
        <v>18935</v>
      </c>
      <c r="W1076" s="2" t="s">
        <v>18936</v>
      </c>
      <c r="X1076" s="2" t="s">
        <v>18937</v>
      </c>
      <c r="Y1076" s="2" t="s">
        <v>18938</v>
      </c>
      <c r="Z1076" s="2" t="s">
        <v>18939</v>
      </c>
      <c r="AA1076" s="2" t="s">
        <v>7916</v>
      </c>
      <c r="AB1076" s="2" t="s">
        <v>18940</v>
      </c>
      <c r="AC1076" s="2" t="s">
        <v>18941</v>
      </c>
      <c r="AD1076" s="2" t="s">
        <v>18942</v>
      </c>
      <c r="AE1076" s="2" t="s">
        <v>18943</v>
      </c>
      <c r="AF1076" s="2"/>
      <c r="AG1076" s="2" t="n">
        <v>40</v>
      </c>
      <c r="AH1076" s="2" t="n">
        <v>11</v>
      </c>
      <c r="AI1076" s="2" t="n">
        <v>11</v>
      </c>
      <c r="AJ1076" s="2" t="n">
        <v>0</v>
      </c>
      <c r="AK1076" s="2" t="n">
        <v>4</v>
      </c>
      <c r="AL1076" s="2" t="s">
        <v>527</v>
      </c>
      <c r="AM1076" s="2" t="s">
        <v>528</v>
      </c>
      <c r="AN1076" s="2" t="s">
        <v>529</v>
      </c>
      <c r="AO1076" s="2" t="s">
        <v>10846</v>
      </c>
      <c r="AP1076" s="2"/>
      <c r="AQ1076" s="2"/>
      <c r="AR1076" s="2" t="s">
        <v>10847</v>
      </c>
      <c r="AS1076" s="2" t="s">
        <v>10848</v>
      </c>
      <c r="AT1076" s="2" t="s">
        <v>97</v>
      </c>
      <c r="AU1076" s="2" t="n">
        <v>2021</v>
      </c>
      <c r="AV1076" s="2" t="n">
        <v>8</v>
      </c>
      <c r="AW1076" s="2" t="n">
        <v>3</v>
      </c>
      <c r="AX1076" s="2"/>
      <c r="AY1076" s="2"/>
      <c r="AZ1076" s="2"/>
      <c r="BA1076" s="2"/>
      <c r="BB1076" s="2"/>
      <c r="BC1076" s="2"/>
      <c r="BD1076" s="2" t="s">
        <v>18944</v>
      </c>
      <c r="BE1076" s="2" t="s">
        <v>18945</v>
      </c>
      <c r="BF1076" s="2" t="str">
        <f aca="false">HYPERLINK("http://dx.doi.org/10.1093/ofid/ofab078","http://dx.doi.org/10.1093/ofid/ofab078")</f>
        <v>http://dx.doi.org/10.1093/ofid/ofab078</v>
      </c>
      <c r="BG1076" s="2"/>
      <c r="BH1076" s="2" t="s">
        <v>4228</v>
      </c>
      <c r="BI1076" s="2" t="n">
        <v>4</v>
      </c>
      <c r="BJ1076" s="2" t="s">
        <v>536</v>
      </c>
      <c r="BK1076" s="2" t="s">
        <v>100</v>
      </c>
      <c r="BL1076" s="2" t="s">
        <v>536</v>
      </c>
      <c r="BM1076" s="2" t="s">
        <v>18946</v>
      </c>
      <c r="BN1076" s="2" t="n">
        <v>33778092</v>
      </c>
      <c r="BO1076" s="2" t="s">
        <v>190</v>
      </c>
      <c r="BP1076" s="2"/>
      <c r="BQ1076" s="2"/>
      <c r="BR1076" s="2" t="s">
        <v>104</v>
      </c>
      <c r="BS1076" s="2" t="s">
        <v>18947</v>
      </c>
      <c r="BT1076" s="2" t="str">
        <f aca="false">HYPERLINK("https%3A%2F%2Fwww.webofscience.com%2Fwos%2Fwoscc%2Ffull-record%2FWOS:000639085100030","View Full Record in Web of Science")</f>
        <v>View Full Record in Web of Science</v>
      </c>
    </row>
    <row r="1077" customFormat="false" ht="12.75" hidden="false" customHeight="false" outlineLevel="0" collapsed="false">
      <c r="A1077" s="2" t="s">
        <v>72</v>
      </c>
      <c r="B1077" s="2" t="s">
        <v>18948</v>
      </c>
      <c r="C1077" s="2"/>
      <c r="D1077" s="2"/>
      <c r="E1077" s="2"/>
      <c r="F1077" s="2" t="s">
        <v>18949</v>
      </c>
      <c r="G1077" s="2"/>
      <c r="H1077" s="2" t="s">
        <v>18950</v>
      </c>
      <c r="I1077" s="2" t="s">
        <v>18951</v>
      </c>
      <c r="J1077" s="2" t="s">
        <v>1448</v>
      </c>
      <c r="K1077" s="2"/>
      <c r="L1077" s="2"/>
      <c r="M1077" s="2" t="s">
        <v>77</v>
      </c>
      <c r="N1077" s="2" t="s">
        <v>78</v>
      </c>
      <c r="O1077" s="2"/>
      <c r="P1077" s="2"/>
      <c r="Q1077" s="2"/>
      <c r="R1077" s="2"/>
      <c r="S1077" s="2"/>
      <c r="T1077" s="2" t="s">
        <v>18952</v>
      </c>
      <c r="U1077" s="2" t="s">
        <v>18953</v>
      </c>
      <c r="V1077" s="2" t="s">
        <v>18954</v>
      </c>
      <c r="W1077" s="2" t="s">
        <v>18955</v>
      </c>
      <c r="X1077" s="2" t="s">
        <v>18956</v>
      </c>
      <c r="Y1077" s="2" t="s">
        <v>18957</v>
      </c>
      <c r="Z1077" s="2" t="s">
        <v>18958</v>
      </c>
      <c r="AA1077" s="2"/>
      <c r="AB1077" s="2" t="s">
        <v>18959</v>
      </c>
      <c r="AC1077" s="2" t="s">
        <v>18960</v>
      </c>
      <c r="AD1077" s="2" t="s">
        <v>18961</v>
      </c>
      <c r="AE1077" s="2" t="s">
        <v>18962</v>
      </c>
      <c r="AF1077" s="2"/>
      <c r="AG1077" s="2" t="n">
        <v>35</v>
      </c>
      <c r="AH1077" s="2" t="n">
        <v>4</v>
      </c>
      <c r="AI1077" s="2" t="n">
        <v>4</v>
      </c>
      <c r="AJ1077" s="2" t="n">
        <v>0</v>
      </c>
      <c r="AK1077" s="2" t="n">
        <v>3</v>
      </c>
      <c r="AL1077" s="2" t="s">
        <v>1460</v>
      </c>
      <c r="AM1077" s="2" t="s">
        <v>593</v>
      </c>
      <c r="AN1077" s="2" t="s">
        <v>2088</v>
      </c>
      <c r="AO1077" s="2" t="s">
        <v>1462</v>
      </c>
      <c r="AP1077" s="2" t="s">
        <v>1463</v>
      </c>
      <c r="AQ1077" s="2"/>
      <c r="AR1077" s="2" t="s">
        <v>1464</v>
      </c>
      <c r="AS1077" s="2" t="s">
        <v>1465</v>
      </c>
      <c r="AT1077" s="2" t="s">
        <v>486</v>
      </c>
      <c r="AU1077" s="2" t="n">
        <v>2021</v>
      </c>
      <c r="AV1077" s="2" t="n">
        <v>100</v>
      </c>
      <c r="AW1077" s="2" t="n">
        <v>2</v>
      </c>
      <c r="AX1077" s="2"/>
      <c r="AY1077" s="2"/>
      <c r="AZ1077" s="2"/>
      <c r="BA1077" s="2"/>
      <c r="BB1077" s="2"/>
      <c r="BC1077" s="2"/>
      <c r="BD1077" s="2" t="n">
        <v>115352</v>
      </c>
      <c r="BE1077" s="2" t="s">
        <v>18963</v>
      </c>
      <c r="BF1077" s="2" t="str">
        <f aca="false">HYPERLINK("http://dx.doi.org/10.1016/j.diagmicrobio.2021.115352","http://dx.doi.org/10.1016/j.diagmicrobio.2021.115352")</f>
        <v>http://dx.doi.org/10.1016/j.diagmicrobio.2021.115352</v>
      </c>
      <c r="BG1077" s="2"/>
      <c r="BH1077" s="2" t="s">
        <v>4228</v>
      </c>
      <c r="BI1077" s="2" t="n">
        <v>6</v>
      </c>
      <c r="BJ1077" s="2" t="s">
        <v>1467</v>
      </c>
      <c r="BK1077" s="2" t="s">
        <v>100</v>
      </c>
      <c r="BL1077" s="2" t="s">
        <v>1467</v>
      </c>
      <c r="BM1077" s="2" t="s">
        <v>18964</v>
      </c>
      <c r="BN1077" s="2" t="n">
        <v>33639376</v>
      </c>
      <c r="BO1077" s="2" t="s">
        <v>284</v>
      </c>
      <c r="BP1077" s="2"/>
      <c r="BQ1077" s="2"/>
      <c r="BR1077" s="2" t="s">
        <v>104</v>
      </c>
      <c r="BS1077" s="2" t="s">
        <v>18965</v>
      </c>
      <c r="BT1077" s="2" t="str">
        <f aca="false">HYPERLINK("https%3A%2F%2Fwww.webofscience.com%2Fwos%2Fwoscc%2Ffull-record%2FWOS:000647675900009","View Full Record in Web of Science")</f>
        <v>View Full Record in Web of Science</v>
      </c>
    </row>
    <row r="1078" customFormat="false" ht="12.75" hidden="false" customHeight="false" outlineLevel="0" collapsed="false">
      <c r="A1078" s="2" t="s">
        <v>72</v>
      </c>
      <c r="B1078" s="2" t="s">
        <v>18966</v>
      </c>
      <c r="C1078" s="2"/>
      <c r="D1078" s="2"/>
      <c r="E1078" s="2"/>
      <c r="F1078" s="2" t="s">
        <v>18967</v>
      </c>
      <c r="G1078" s="2"/>
      <c r="H1078" s="2"/>
      <c r="I1078" s="2" t="s">
        <v>18968</v>
      </c>
      <c r="J1078" s="2" t="s">
        <v>1448</v>
      </c>
      <c r="K1078" s="2"/>
      <c r="L1078" s="2"/>
      <c r="M1078" s="2" t="s">
        <v>77</v>
      </c>
      <c r="N1078" s="2" t="s">
        <v>78</v>
      </c>
      <c r="O1078" s="2"/>
      <c r="P1078" s="2"/>
      <c r="Q1078" s="2"/>
      <c r="R1078" s="2"/>
      <c r="S1078" s="2"/>
      <c r="T1078" s="2" t="s">
        <v>18969</v>
      </c>
      <c r="U1078" s="2" t="s">
        <v>18970</v>
      </c>
      <c r="V1078" s="2" t="s">
        <v>18971</v>
      </c>
      <c r="W1078" s="2" t="s">
        <v>18972</v>
      </c>
      <c r="X1078" s="2" t="s">
        <v>18973</v>
      </c>
      <c r="Y1078" s="2" t="s">
        <v>18974</v>
      </c>
      <c r="Z1078" s="2" t="s">
        <v>18975</v>
      </c>
      <c r="AA1078" s="2" t="s">
        <v>18976</v>
      </c>
      <c r="AB1078" s="2" t="s">
        <v>18977</v>
      </c>
      <c r="AC1078" s="2" t="s">
        <v>18978</v>
      </c>
      <c r="AD1078" s="2" t="s">
        <v>18979</v>
      </c>
      <c r="AE1078" s="2" t="s">
        <v>18980</v>
      </c>
      <c r="AF1078" s="2"/>
      <c r="AG1078" s="2" t="n">
        <v>18</v>
      </c>
      <c r="AH1078" s="2" t="n">
        <v>29</v>
      </c>
      <c r="AI1078" s="2" t="n">
        <v>29</v>
      </c>
      <c r="AJ1078" s="2" t="n">
        <v>0</v>
      </c>
      <c r="AK1078" s="2" t="n">
        <v>4</v>
      </c>
      <c r="AL1078" s="2" t="s">
        <v>1460</v>
      </c>
      <c r="AM1078" s="2" t="s">
        <v>593</v>
      </c>
      <c r="AN1078" s="2" t="s">
        <v>1461</v>
      </c>
      <c r="AO1078" s="2" t="s">
        <v>1462</v>
      </c>
      <c r="AP1078" s="2"/>
      <c r="AQ1078" s="2"/>
      <c r="AR1078" s="2" t="s">
        <v>1464</v>
      </c>
      <c r="AS1078" s="2" t="s">
        <v>1465</v>
      </c>
      <c r="AT1078" s="2" t="s">
        <v>1041</v>
      </c>
      <c r="AU1078" s="2" t="n">
        <v>2011</v>
      </c>
      <c r="AV1078" s="2" t="n">
        <v>69</v>
      </c>
      <c r="AW1078" s="2" t="n">
        <v>2</v>
      </c>
      <c r="AX1078" s="2"/>
      <c r="AY1078" s="2"/>
      <c r="AZ1078" s="2"/>
      <c r="BA1078" s="2"/>
      <c r="BB1078" s="2" t="n">
        <v>179</v>
      </c>
      <c r="BC1078" s="2" t="n">
        <v>186</v>
      </c>
      <c r="BD1078" s="2"/>
      <c r="BE1078" s="2" t="s">
        <v>18981</v>
      </c>
      <c r="BF1078" s="2" t="str">
        <f aca="false">HYPERLINK("http://dx.doi.org/10.1016/j.diagmicrobio.2010.10.010","http://dx.doi.org/10.1016/j.diagmicrobio.2010.10.010")</f>
        <v>http://dx.doi.org/10.1016/j.diagmicrobio.2010.10.010</v>
      </c>
      <c r="BG1078" s="2"/>
      <c r="BH1078" s="2"/>
      <c r="BI1078" s="2" t="n">
        <v>8</v>
      </c>
      <c r="BJ1078" s="2" t="s">
        <v>1467</v>
      </c>
      <c r="BK1078" s="2" t="s">
        <v>100</v>
      </c>
      <c r="BL1078" s="2" t="s">
        <v>1467</v>
      </c>
      <c r="BM1078" s="2" t="s">
        <v>18982</v>
      </c>
      <c r="BN1078" s="2" t="n">
        <v>21251562</v>
      </c>
      <c r="BO1078" s="2" t="s">
        <v>695</v>
      </c>
      <c r="BP1078" s="2"/>
      <c r="BQ1078" s="2"/>
      <c r="BR1078" s="2" t="s">
        <v>104</v>
      </c>
      <c r="BS1078" s="2" t="s">
        <v>18983</v>
      </c>
      <c r="BT1078" s="2" t="str">
        <f aca="false">HYPERLINK("https%3A%2F%2Fwww.webofscience.com%2Fwos%2Fwoscc%2Ffull-record%2FWOS:000287117800010","View Full Record in Web of Science")</f>
        <v>View Full Record in Web of Science</v>
      </c>
    </row>
    <row r="1079" customFormat="false" ht="12.75" hidden="false" customHeight="false" outlineLevel="0" collapsed="false">
      <c r="A1079" s="2" t="s">
        <v>72</v>
      </c>
      <c r="B1079" s="2" t="s">
        <v>18984</v>
      </c>
      <c r="C1079" s="2"/>
      <c r="D1079" s="2"/>
      <c r="E1079" s="2"/>
      <c r="F1079" s="2" t="s">
        <v>18985</v>
      </c>
      <c r="G1079" s="2"/>
      <c r="H1079" s="2"/>
      <c r="I1079" s="2" t="s">
        <v>18986</v>
      </c>
      <c r="J1079" s="2" t="s">
        <v>717</v>
      </c>
      <c r="K1079" s="2"/>
      <c r="L1079" s="2"/>
      <c r="M1079" s="2" t="s">
        <v>77</v>
      </c>
      <c r="N1079" s="2" t="s">
        <v>78</v>
      </c>
      <c r="O1079" s="2"/>
      <c r="P1079" s="2"/>
      <c r="Q1079" s="2"/>
      <c r="R1079" s="2"/>
      <c r="S1079" s="2"/>
      <c r="T1079" s="2" t="s">
        <v>18987</v>
      </c>
      <c r="U1079" s="2" t="s">
        <v>18988</v>
      </c>
      <c r="V1079" s="2" t="s">
        <v>18989</v>
      </c>
      <c r="W1079" s="2" t="s">
        <v>18990</v>
      </c>
      <c r="X1079" s="2" t="s">
        <v>18991</v>
      </c>
      <c r="Y1079" s="2" t="s">
        <v>18992</v>
      </c>
      <c r="Z1079" s="2" t="s">
        <v>18993</v>
      </c>
      <c r="AA1079" s="2" t="s">
        <v>18976</v>
      </c>
      <c r="AB1079" s="2" t="s">
        <v>18994</v>
      </c>
      <c r="AC1079" s="2" t="s">
        <v>18995</v>
      </c>
      <c r="AD1079" s="2" t="s">
        <v>18996</v>
      </c>
      <c r="AE1079" s="2" t="s">
        <v>18997</v>
      </c>
      <c r="AF1079" s="2"/>
      <c r="AG1079" s="2" t="n">
        <v>22</v>
      </c>
      <c r="AH1079" s="2" t="n">
        <v>36</v>
      </c>
      <c r="AI1079" s="2" t="n">
        <v>36</v>
      </c>
      <c r="AJ1079" s="2" t="n">
        <v>0</v>
      </c>
      <c r="AK1079" s="2" t="n">
        <v>9</v>
      </c>
      <c r="AL1079" s="2" t="s">
        <v>383</v>
      </c>
      <c r="AM1079" s="2" t="s">
        <v>384</v>
      </c>
      <c r="AN1079" s="2" t="s">
        <v>385</v>
      </c>
      <c r="AO1079" s="2" t="s">
        <v>729</v>
      </c>
      <c r="AP1079" s="2" t="s">
        <v>730</v>
      </c>
      <c r="AQ1079" s="2"/>
      <c r="AR1079" s="2" t="s">
        <v>731</v>
      </c>
      <c r="AS1079" s="2" t="s">
        <v>732</v>
      </c>
      <c r="AT1079" s="2" t="s">
        <v>692</v>
      </c>
      <c r="AU1079" s="2" t="n">
        <v>2011</v>
      </c>
      <c r="AV1079" s="2" t="n">
        <v>173</v>
      </c>
      <c r="AW1079" s="2" t="n">
        <v>1</v>
      </c>
      <c r="AX1079" s="2"/>
      <c r="AY1079" s="2"/>
      <c r="AZ1079" s="2"/>
      <c r="BA1079" s="2"/>
      <c r="BB1079" s="2" t="n">
        <v>60</v>
      </c>
      <c r="BC1079" s="2" t="n">
        <v>66</v>
      </c>
      <c r="BD1079" s="2"/>
      <c r="BE1079" s="2" t="s">
        <v>18998</v>
      </c>
      <c r="BF1079" s="2" t="str">
        <f aca="false">HYPERLINK("http://dx.doi.org/10.1016/j.jviromet.2011.01.007","http://dx.doi.org/10.1016/j.jviromet.2011.01.007")</f>
        <v>http://dx.doi.org/10.1016/j.jviromet.2011.01.007</v>
      </c>
      <c r="BG1079" s="2"/>
      <c r="BH1079" s="2"/>
      <c r="BI1079" s="2" t="n">
        <v>7</v>
      </c>
      <c r="BJ1079" s="2" t="s">
        <v>735</v>
      </c>
      <c r="BK1079" s="2" t="s">
        <v>100</v>
      </c>
      <c r="BL1079" s="2" t="s">
        <v>736</v>
      </c>
      <c r="BM1079" s="2" t="s">
        <v>18999</v>
      </c>
      <c r="BN1079" s="2" t="n">
        <v>21256867</v>
      </c>
      <c r="BO1079" s="2" t="s">
        <v>1089</v>
      </c>
      <c r="BP1079" s="2"/>
      <c r="BQ1079" s="2"/>
      <c r="BR1079" s="2" t="s">
        <v>104</v>
      </c>
      <c r="BS1079" s="2" t="s">
        <v>19000</v>
      </c>
      <c r="BT1079" s="2" t="str">
        <f aca="false">HYPERLINK("https%3A%2F%2Fwww.webofscience.com%2Fwos%2Fwoscc%2Ffull-record%2FWOS:000289759600010","View Full Record in Web of Science")</f>
        <v>View Full Record in Web of Science</v>
      </c>
    </row>
    <row r="1080" customFormat="false" ht="12.75" hidden="false" customHeight="false" outlineLevel="0" collapsed="false">
      <c r="A1080" s="2" t="s">
        <v>72</v>
      </c>
      <c r="B1080" s="2" t="s">
        <v>19001</v>
      </c>
      <c r="C1080" s="2"/>
      <c r="D1080" s="2"/>
      <c r="E1080" s="2"/>
      <c r="F1080" s="2" t="s">
        <v>19002</v>
      </c>
      <c r="G1080" s="2"/>
      <c r="H1080" s="2"/>
      <c r="I1080" s="2" t="s">
        <v>19003</v>
      </c>
      <c r="J1080" s="2" t="s">
        <v>717</v>
      </c>
      <c r="K1080" s="2"/>
      <c r="L1080" s="2"/>
      <c r="M1080" s="2" t="s">
        <v>77</v>
      </c>
      <c r="N1080" s="2" t="s">
        <v>78</v>
      </c>
      <c r="O1080" s="2"/>
      <c r="P1080" s="2"/>
      <c r="Q1080" s="2"/>
      <c r="R1080" s="2"/>
      <c r="S1080" s="2"/>
      <c r="T1080" s="2" t="s">
        <v>19004</v>
      </c>
      <c r="U1080" s="2" t="s">
        <v>19005</v>
      </c>
      <c r="V1080" s="2" t="s">
        <v>19006</v>
      </c>
      <c r="W1080" s="2" t="s">
        <v>19007</v>
      </c>
      <c r="X1080" s="2" t="s">
        <v>6097</v>
      </c>
      <c r="Y1080" s="2" t="s">
        <v>19008</v>
      </c>
      <c r="Z1080" s="2" t="s">
        <v>19009</v>
      </c>
      <c r="AA1080" s="2"/>
      <c r="AB1080" s="2" t="s">
        <v>6166</v>
      </c>
      <c r="AC1080" s="2"/>
      <c r="AD1080" s="2"/>
      <c r="AE1080" s="2"/>
      <c r="AF1080" s="2"/>
      <c r="AG1080" s="2" t="n">
        <v>42</v>
      </c>
      <c r="AH1080" s="2" t="n">
        <v>7</v>
      </c>
      <c r="AI1080" s="2" t="n">
        <v>13</v>
      </c>
      <c r="AJ1080" s="2" t="n">
        <v>0</v>
      </c>
      <c r="AK1080" s="2" t="n">
        <v>5</v>
      </c>
      <c r="AL1080" s="2" t="s">
        <v>549</v>
      </c>
      <c r="AM1080" s="2" t="s">
        <v>384</v>
      </c>
      <c r="AN1080" s="2" t="s">
        <v>550</v>
      </c>
      <c r="AO1080" s="2" t="s">
        <v>729</v>
      </c>
      <c r="AP1080" s="2"/>
      <c r="AQ1080" s="2"/>
      <c r="AR1080" s="2" t="s">
        <v>731</v>
      </c>
      <c r="AS1080" s="2" t="s">
        <v>732</v>
      </c>
      <c r="AT1080" s="2" t="s">
        <v>804</v>
      </c>
      <c r="AU1080" s="2" t="n">
        <v>2008</v>
      </c>
      <c r="AV1080" s="2" t="n">
        <v>153</v>
      </c>
      <c r="AW1080" s="2" t="n">
        <v>2</v>
      </c>
      <c r="AX1080" s="2"/>
      <c r="AY1080" s="2"/>
      <c r="AZ1080" s="2"/>
      <c r="BA1080" s="2"/>
      <c r="BB1080" s="2" t="n">
        <v>196</v>
      </c>
      <c r="BC1080" s="2" t="n">
        <v>202</v>
      </c>
      <c r="BD1080" s="2"/>
      <c r="BE1080" s="2" t="s">
        <v>19010</v>
      </c>
      <c r="BF1080" s="2" t="str">
        <f aca="false">HYPERLINK("http://dx.doi.org/10.1016/j.jviromet.2008.07.012","http://dx.doi.org/10.1016/j.jviromet.2008.07.012")</f>
        <v>http://dx.doi.org/10.1016/j.jviromet.2008.07.012</v>
      </c>
      <c r="BG1080" s="2"/>
      <c r="BH1080" s="2"/>
      <c r="BI1080" s="2" t="n">
        <v>7</v>
      </c>
      <c r="BJ1080" s="2" t="s">
        <v>735</v>
      </c>
      <c r="BK1080" s="2" t="s">
        <v>100</v>
      </c>
      <c r="BL1080" s="2" t="s">
        <v>736</v>
      </c>
      <c r="BM1080" s="2" t="s">
        <v>3218</v>
      </c>
      <c r="BN1080" s="2" t="n">
        <v>18722472</v>
      </c>
      <c r="BO1080" s="2"/>
      <c r="BP1080" s="2"/>
      <c r="BQ1080" s="2"/>
      <c r="BR1080" s="2" t="s">
        <v>104</v>
      </c>
      <c r="BS1080" s="2" t="s">
        <v>19011</v>
      </c>
      <c r="BT1080" s="2" t="str">
        <f aca="false">HYPERLINK("https%3A%2F%2Fwww.webofscience.com%2Fwos%2Fwoscc%2Ffull-record%2FWOS:000260565200018","View Full Record in Web of Science")</f>
        <v>View Full Record in Web of Science</v>
      </c>
    </row>
    <row r="1081" customFormat="false" ht="12.75" hidden="false" customHeight="false" outlineLevel="0" collapsed="false">
      <c r="A1081" s="2" t="s">
        <v>72</v>
      </c>
      <c r="B1081" s="2" t="s">
        <v>19012</v>
      </c>
      <c r="C1081" s="2"/>
      <c r="D1081" s="2"/>
      <c r="E1081" s="2"/>
      <c r="F1081" s="2" t="s">
        <v>19013</v>
      </c>
      <c r="G1081" s="2"/>
      <c r="H1081" s="2"/>
      <c r="I1081" s="2" t="s">
        <v>19014</v>
      </c>
      <c r="J1081" s="2" t="s">
        <v>770</v>
      </c>
      <c r="K1081" s="2"/>
      <c r="L1081" s="2"/>
      <c r="M1081" s="2" t="s">
        <v>77</v>
      </c>
      <c r="N1081" s="2" t="s">
        <v>78</v>
      </c>
      <c r="O1081" s="2"/>
      <c r="P1081" s="2"/>
      <c r="Q1081" s="2"/>
      <c r="R1081" s="2"/>
      <c r="S1081" s="2"/>
      <c r="T1081" s="2" t="s">
        <v>19015</v>
      </c>
      <c r="U1081" s="2" t="s">
        <v>19016</v>
      </c>
      <c r="V1081" s="2" t="s">
        <v>19017</v>
      </c>
      <c r="W1081" s="2" t="s">
        <v>19018</v>
      </c>
      <c r="X1081" s="2" t="s">
        <v>19019</v>
      </c>
      <c r="Y1081" s="2" t="s">
        <v>19020</v>
      </c>
      <c r="Z1081" s="2" t="s">
        <v>19021</v>
      </c>
      <c r="AA1081" s="2" t="s">
        <v>19022</v>
      </c>
      <c r="AB1081" s="2" t="s">
        <v>19023</v>
      </c>
      <c r="AC1081" s="2" t="s">
        <v>19024</v>
      </c>
      <c r="AD1081" s="2" t="s">
        <v>19025</v>
      </c>
      <c r="AE1081" s="2" t="s">
        <v>19026</v>
      </c>
      <c r="AF1081" s="2"/>
      <c r="AG1081" s="2" t="n">
        <v>32</v>
      </c>
      <c r="AH1081" s="2" t="n">
        <v>14</v>
      </c>
      <c r="AI1081" s="2" t="n">
        <v>15</v>
      </c>
      <c r="AJ1081" s="2" t="n">
        <v>0</v>
      </c>
      <c r="AK1081" s="2" t="n">
        <v>4</v>
      </c>
      <c r="AL1081" s="2" t="s">
        <v>782</v>
      </c>
      <c r="AM1081" s="2" t="s">
        <v>783</v>
      </c>
      <c r="AN1081" s="2" t="s">
        <v>784</v>
      </c>
      <c r="AO1081" s="2" t="s">
        <v>785</v>
      </c>
      <c r="AP1081" s="2" t="s">
        <v>786</v>
      </c>
      <c r="AQ1081" s="2"/>
      <c r="AR1081" s="2" t="s">
        <v>787</v>
      </c>
      <c r="AS1081" s="2" t="s">
        <v>788</v>
      </c>
      <c r="AT1081" s="2" t="s">
        <v>692</v>
      </c>
      <c r="AU1081" s="2" t="n">
        <v>2018</v>
      </c>
      <c r="AV1081" s="2" t="n">
        <v>69</v>
      </c>
      <c r="AW1081" s="2"/>
      <c r="AX1081" s="2"/>
      <c r="AY1081" s="2"/>
      <c r="AZ1081" s="2"/>
      <c r="BA1081" s="2"/>
      <c r="BB1081" s="2" t="n">
        <v>1</v>
      </c>
      <c r="BC1081" s="2" t="n">
        <v>7</v>
      </c>
      <c r="BD1081" s="2"/>
      <c r="BE1081" s="2" t="s">
        <v>19027</v>
      </c>
      <c r="BF1081" s="2" t="str">
        <f aca="false">HYPERLINK("http://dx.doi.org/10.1016/j.ijid.2018.01.012","http://dx.doi.org/10.1016/j.ijid.2018.01.012")</f>
        <v>http://dx.doi.org/10.1016/j.ijid.2018.01.012</v>
      </c>
      <c r="BG1081" s="2"/>
      <c r="BH1081" s="2"/>
      <c r="BI1081" s="2" t="n">
        <v>7</v>
      </c>
      <c r="BJ1081" s="2" t="s">
        <v>575</v>
      </c>
      <c r="BK1081" s="2" t="s">
        <v>100</v>
      </c>
      <c r="BL1081" s="2" t="s">
        <v>575</v>
      </c>
      <c r="BM1081" s="2" t="s">
        <v>19028</v>
      </c>
      <c r="BN1081" s="2" t="n">
        <v>29391246</v>
      </c>
      <c r="BO1081" s="2" t="s">
        <v>165</v>
      </c>
      <c r="BP1081" s="2"/>
      <c r="BQ1081" s="2"/>
      <c r="BR1081" s="2" t="s">
        <v>104</v>
      </c>
      <c r="BS1081" s="2" t="s">
        <v>19029</v>
      </c>
      <c r="BT1081" s="2" t="str">
        <f aca="false">HYPERLINK("https%3A%2F%2Fwww.webofscience.com%2Fwos%2Fwoscc%2Ffull-record%2FWOS:000430169000001","View Full Record in Web of Science")</f>
        <v>View Full Record in Web of Science</v>
      </c>
    </row>
    <row r="1082" customFormat="false" ht="12.75" hidden="false" customHeight="false" outlineLevel="0" collapsed="false">
      <c r="A1082" s="2" t="s">
        <v>72</v>
      </c>
      <c r="B1082" s="2" t="s">
        <v>19030</v>
      </c>
      <c r="C1082" s="2"/>
      <c r="D1082" s="2"/>
      <c r="E1082" s="2"/>
      <c r="F1082" s="2" t="s">
        <v>19031</v>
      </c>
      <c r="G1082" s="2"/>
      <c r="H1082" s="2"/>
      <c r="I1082" s="2" t="s">
        <v>19032</v>
      </c>
      <c r="J1082" s="2" t="s">
        <v>19033</v>
      </c>
      <c r="K1082" s="2"/>
      <c r="L1082" s="2"/>
      <c r="M1082" s="2" t="s">
        <v>77</v>
      </c>
      <c r="N1082" s="2" t="s">
        <v>78</v>
      </c>
      <c r="O1082" s="2"/>
      <c r="P1082" s="2"/>
      <c r="Q1082" s="2"/>
      <c r="R1082" s="2"/>
      <c r="S1082" s="2"/>
      <c r="T1082" s="2" t="s">
        <v>19034</v>
      </c>
      <c r="U1082" s="2" t="s">
        <v>19035</v>
      </c>
      <c r="V1082" s="2" t="s">
        <v>19036</v>
      </c>
      <c r="W1082" s="2" t="s">
        <v>19037</v>
      </c>
      <c r="X1082" s="2" t="s">
        <v>19038</v>
      </c>
      <c r="Y1082" s="2" t="s">
        <v>19039</v>
      </c>
      <c r="Z1082" s="2" t="s">
        <v>19040</v>
      </c>
      <c r="AA1082" s="2"/>
      <c r="AB1082" s="2"/>
      <c r="AC1082" s="2" t="s">
        <v>19041</v>
      </c>
      <c r="AD1082" s="2" t="s">
        <v>19042</v>
      </c>
      <c r="AE1082" s="2" t="s">
        <v>19043</v>
      </c>
      <c r="AF1082" s="2"/>
      <c r="AG1082" s="2" t="n">
        <v>35</v>
      </c>
      <c r="AH1082" s="2" t="n">
        <v>6</v>
      </c>
      <c r="AI1082" s="2" t="n">
        <v>6</v>
      </c>
      <c r="AJ1082" s="2" t="n">
        <v>0</v>
      </c>
      <c r="AK1082" s="2" t="n">
        <v>2</v>
      </c>
      <c r="AL1082" s="2" t="s">
        <v>12800</v>
      </c>
      <c r="AM1082" s="2" t="s">
        <v>303</v>
      </c>
      <c r="AN1082" s="2" t="s">
        <v>12801</v>
      </c>
      <c r="AO1082" s="2" t="s">
        <v>19044</v>
      </c>
      <c r="AP1082" s="2" t="s">
        <v>19045</v>
      </c>
      <c r="AQ1082" s="2"/>
      <c r="AR1082" s="2" t="s">
        <v>19046</v>
      </c>
      <c r="AS1082" s="2" t="s">
        <v>19047</v>
      </c>
      <c r="AT1082" s="2" t="s">
        <v>692</v>
      </c>
      <c r="AU1082" s="2" t="n">
        <v>2011</v>
      </c>
      <c r="AV1082" s="2" t="n">
        <v>34</v>
      </c>
      <c r="AW1082" s="2" t="n">
        <v>4</v>
      </c>
      <c r="AX1082" s="2"/>
      <c r="AY1082" s="2"/>
      <c r="AZ1082" s="2"/>
      <c r="BA1082" s="2"/>
      <c r="BB1082" s="2" t="n">
        <v>474</v>
      </c>
      <c r="BC1082" s="2" t="n">
        <v>478</v>
      </c>
      <c r="BD1082" s="2"/>
      <c r="BE1082" s="2" t="s">
        <v>19048</v>
      </c>
      <c r="BF1082" s="2" t="str">
        <f aca="false">HYPERLINK("http://dx.doi.org/10.1038/hr.2010.268","http://dx.doi.org/10.1038/hr.2010.268")</f>
        <v>http://dx.doi.org/10.1038/hr.2010.268</v>
      </c>
      <c r="BG1082" s="2"/>
      <c r="BH1082" s="2"/>
      <c r="BI1082" s="2" t="n">
        <v>5</v>
      </c>
      <c r="BJ1082" s="2" t="s">
        <v>19049</v>
      </c>
      <c r="BK1082" s="2" t="s">
        <v>100</v>
      </c>
      <c r="BL1082" s="2" t="s">
        <v>19050</v>
      </c>
      <c r="BM1082" s="2" t="s">
        <v>19051</v>
      </c>
      <c r="BN1082" s="2" t="n">
        <v>21248755</v>
      </c>
      <c r="BO1082" s="2" t="s">
        <v>656</v>
      </c>
      <c r="BP1082" s="2"/>
      <c r="BQ1082" s="2"/>
      <c r="BR1082" s="2" t="s">
        <v>104</v>
      </c>
      <c r="BS1082" s="2" t="s">
        <v>19052</v>
      </c>
      <c r="BT1082" s="2" t="str">
        <f aca="false">HYPERLINK("https%3A%2F%2Fwww.webofscience.com%2Fwos%2Fwoscc%2Ffull-record%2FWOS:000289194100013","View Full Record in Web of Science")</f>
        <v>View Full Record in Web of Science</v>
      </c>
    </row>
    <row r="1083" customFormat="false" ht="12.75" hidden="false" customHeight="false" outlineLevel="0" collapsed="false">
      <c r="A1083" s="2" t="s">
        <v>72</v>
      </c>
      <c r="B1083" s="2" t="s">
        <v>19053</v>
      </c>
      <c r="C1083" s="2"/>
      <c r="D1083" s="2"/>
      <c r="E1083" s="2"/>
      <c r="F1083" s="2" t="s">
        <v>19054</v>
      </c>
      <c r="G1083" s="2"/>
      <c r="H1083" s="2"/>
      <c r="I1083" s="2" t="s">
        <v>19055</v>
      </c>
      <c r="J1083" s="2" t="s">
        <v>7145</v>
      </c>
      <c r="K1083" s="2"/>
      <c r="L1083" s="2"/>
      <c r="M1083" s="2" t="s">
        <v>77</v>
      </c>
      <c r="N1083" s="2" t="s">
        <v>78</v>
      </c>
      <c r="O1083" s="2"/>
      <c r="P1083" s="2"/>
      <c r="Q1083" s="2"/>
      <c r="R1083" s="2"/>
      <c r="S1083" s="2"/>
      <c r="T1083" s="2" t="s">
        <v>19056</v>
      </c>
      <c r="U1083" s="2" t="s">
        <v>19057</v>
      </c>
      <c r="V1083" s="2" t="s">
        <v>19058</v>
      </c>
      <c r="W1083" s="2" t="s">
        <v>19059</v>
      </c>
      <c r="X1083" s="2" t="s">
        <v>19060</v>
      </c>
      <c r="Y1083" s="2" t="s">
        <v>19061</v>
      </c>
      <c r="Z1083" s="2" t="s">
        <v>19062</v>
      </c>
      <c r="AA1083" s="2" t="s">
        <v>19063</v>
      </c>
      <c r="AB1083" s="2" t="s">
        <v>19064</v>
      </c>
      <c r="AC1083" s="2" t="s">
        <v>19065</v>
      </c>
      <c r="AD1083" s="2" t="s">
        <v>19066</v>
      </c>
      <c r="AE1083" s="2" t="s">
        <v>19067</v>
      </c>
      <c r="AF1083" s="2"/>
      <c r="AG1083" s="2" t="n">
        <v>69</v>
      </c>
      <c r="AH1083" s="2" t="n">
        <v>9</v>
      </c>
      <c r="AI1083" s="2" t="n">
        <v>10</v>
      </c>
      <c r="AJ1083" s="2" t="n">
        <v>2</v>
      </c>
      <c r="AK1083" s="2" t="n">
        <v>8</v>
      </c>
      <c r="AL1083" s="2" t="s">
        <v>3426</v>
      </c>
      <c r="AM1083" s="2" t="s">
        <v>303</v>
      </c>
      <c r="AN1083" s="2" t="s">
        <v>3427</v>
      </c>
      <c r="AO1083" s="2" t="s">
        <v>7158</v>
      </c>
      <c r="AP1083" s="2" t="s">
        <v>7159</v>
      </c>
      <c r="AQ1083" s="2"/>
      <c r="AR1083" s="2" t="s">
        <v>7160</v>
      </c>
      <c r="AS1083" s="2" t="s">
        <v>7161</v>
      </c>
      <c r="AT1083" s="2" t="s">
        <v>804</v>
      </c>
      <c r="AU1083" s="2" t="n">
        <v>2019</v>
      </c>
      <c r="AV1083" s="2" t="n">
        <v>100</v>
      </c>
      <c r="AW1083" s="2" t="n">
        <v>11</v>
      </c>
      <c r="AX1083" s="2"/>
      <c r="AY1083" s="2"/>
      <c r="AZ1083" s="2"/>
      <c r="BA1083" s="2"/>
      <c r="BB1083" s="2" t="n">
        <v>1567</v>
      </c>
      <c r="BC1083" s="2" t="n">
        <v>1579</v>
      </c>
      <c r="BD1083" s="2"/>
      <c r="BE1083" s="2" t="s">
        <v>19068</v>
      </c>
      <c r="BF1083" s="2" t="str">
        <f aca="false">HYPERLINK("http://dx.doi.org/10.1099/jgv.0.001317","http://dx.doi.org/10.1099/jgv.0.001317")</f>
        <v>http://dx.doi.org/10.1099/jgv.0.001317</v>
      </c>
      <c r="BG1083" s="2"/>
      <c r="BH1083" s="2"/>
      <c r="BI1083" s="2" t="n">
        <v>13</v>
      </c>
      <c r="BJ1083" s="2" t="s">
        <v>7163</v>
      </c>
      <c r="BK1083" s="2" t="s">
        <v>100</v>
      </c>
      <c r="BL1083" s="2" t="s">
        <v>7163</v>
      </c>
      <c r="BM1083" s="2" t="s">
        <v>19069</v>
      </c>
      <c r="BN1083" s="2" t="n">
        <v>31490114</v>
      </c>
      <c r="BO1083" s="2" t="s">
        <v>136</v>
      </c>
      <c r="BP1083" s="2"/>
      <c r="BQ1083" s="2"/>
      <c r="BR1083" s="2" t="s">
        <v>104</v>
      </c>
      <c r="BS1083" s="2" t="s">
        <v>19070</v>
      </c>
      <c r="BT1083" s="2" t="str">
        <f aca="false">HYPERLINK("https%3A%2F%2Fwww.webofscience.com%2Fwos%2Fwoscc%2Ffull-record%2FWOS:000493976100011","View Full Record in Web of Science")</f>
        <v>View Full Record in Web of Science</v>
      </c>
    </row>
    <row r="1084" customFormat="false" ht="12.75" hidden="false" customHeight="false" outlineLevel="0" collapsed="false">
      <c r="A1084" s="2" t="s">
        <v>72</v>
      </c>
      <c r="B1084" s="2" t="s">
        <v>19071</v>
      </c>
      <c r="C1084" s="2"/>
      <c r="D1084" s="2"/>
      <c r="E1084" s="2"/>
      <c r="F1084" s="2" t="s">
        <v>19072</v>
      </c>
      <c r="G1084" s="2"/>
      <c r="H1084" s="2"/>
      <c r="I1084" s="2" t="s">
        <v>19073</v>
      </c>
      <c r="J1084" s="2" t="s">
        <v>557</v>
      </c>
      <c r="K1084" s="2"/>
      <c r="L1084" s="2"/>
      <c r="M1084" s="2" t="s">
        <v>77</v>
      </c>
      <c r="N1084" s="2" t="s">
        <v>78</v>
      </c>
      <c r="O1084" s="2"/>
      <c r="P1084" s="2"/>
      <c r="Q1084" s="2"/>
      <c r="R1084" s="2"/>
      <c r="S1084" s="2"/>
      <c r="T1084" s="2" t="s">
        <v>19074</v>
      </c>
      <c r="U1084" s="2" t="s">
        <v>19075</v>
      </c>
      <c r="V1084" s="2" t="s">
        <v>19076</v>
      </c>
      <c r="W1084" s="2" t="s">
        <v>19077</v>
      </c>
      <c r="X1084" s="2" t="s">
        <v>19078</v>
      </c>
      <c r="Y1084" s="2" t="s">
        <v>19079</v>
      </c>
      <c r="Z1084" s="2" t="s">
        <v>19080</v>
      </c>
      <c r="AA1084" s="2" t="s">
        <v>19081</v>
      </c>
      <c r="AB1084" s="2" t="s">
        <v>19082</v>
      </c>
      <c r="AC1084" s="2" t="s">
        <v>19083</v>
      </c>
      <c r="AD1084" s="2" t="s">
        <v>19084</v>
      </c>
      <c r="AE1084" s="2" t="s">
        <v>19085</v>
      </c>
      <c r="AF1084" s="2"/>
      <c r="AG1084" s="2" t="n">
        <v>38</v>
      </c>
      <c r="AH1084" s="2" t="n">
        <v>51</v>
      </c>
      <c r="AI1084" s="2" t="n">
        <v>54</v>
      </c>
      <c r="AJ1084" s="2" t="n">
        <v>0</v>
      </c>
      <c r="AK1084" s="2" t="n">
        <v>13</v>
      </c>
      <c r="AL1084" s="2" t="s">
        <v>302</v>
      </c>
      <c r="AM1084" s="2" t="s">
        <v>303</v>
      </c>
      <c r="AN1084" s="2" t="s">
        <v>304</v>
      </c>
      <c r="AO1084" s="2"/>
      <c r="AP1084" s="2" t="s">
        <v>570</v>
      </c>
      <c r="AQ1084" s="2"/>
      <c r="AR1084" s="2" t="s">
        <v>571</v>
      </c>
      <c r="AS1084" s="2" t="s">
        <v>572</v>
      </c>
      <c r="AT1084" s="2" t="s">
        <v>2214</v>
      </c>
      <c r="AU1084" s="2" t="n">
        <v>2012</v>
      </c>
      <c r="AV1084" s="2" t="n">
        <v>12</v>
      </c>
      <c r="AW1084" s="2"/>
      <c r="AX1084" s="2"/>
      <c r="AY1084" s="2"/>
      <c r="AZ1084" s="2"/>
      <c r="BA1084" s="2"/>
      <c r="BB1084" s="2"/>
      <c r="BC1084" s="2"/>
      <c r="BD1084" s="2" t="n">
        <v>350</v>
      </c>
      <c r="BE1084" s="2" t="s">
        <v>19086</v>
      </c>
      <c r="BF1084" s="2" t="str">
        <f aca="false">HYPERLINK("http://dx.doi.org/10.1186/1471-2334-12-350","http://dx.doi.org/10.1186/1471-2334-12-350")</f>
        <v>http://dx.doi.org/10.1186/1471-2334-12-350</v>
      </c>
      <c r="BG1084" s="2"/>
      <c r="BH1084" s="2"/>
      <c r="BI1084" s="2" t="n">
        <v>8</v>
      </c>
      <c r="BJ1084" s="2" t="s">
        <v>575</v>
      </c>
      <c r="BK1084" s="2" t="s">
        <v>100</v>
      </c>
      <c r="BL1084" s="2" t="s">
        <v>575</v>
      </c>
      <c r="BM1084" s="2" t="s">
        <v>19087</v>
      </c>
      <c r="BN1084" s="2" t="n">
        <v>23237512</v>
      </c>
      <c r="BO1084" s="2" t="s">
        <v>190</v>
      </c>
      <c r="BP1084" s="2"/>
      <c r="BQ1084" s="2"/>
      <c r="BR1084" s="2" t="s">
        <v>104</v>
      </c>
      <c r="BS1084" s="2" t="s">
        <v>19088</v>
      </c>
      <c r="BT1084" s="2" t="str">
        <f aca="false">HYPERLINK("https%3A%2F%2Fwww.webofscience.com%2Fwos%2Fwoscc%2Ffull-record%2FWOS:000313039900001","View Full Record in Web of Science")</f>
        <v>View Full Record in Web of Science</v>
      </c>
    </row>
    <row r="1085" customFormat="false" ht="12.75" hidden="false" customHeight="false" outlineLevel="0" collapsed="false">
      <c r="A1085" s="2" t="s">
        <v>72</v>
      </c>
      <c r="B1085" s="2" t="s">
        <v>19089</v>
      </c>
      <c r="C1085" s="2"/>
      <c r="D1085" s="2"/>
      <c r="E1085" s="2"/>
      <c r="F1085" s="2" t="s">
        <v>19090</v>
      </c>
      <c r="G1085" s="2"/>
      <c r="H1085" s="2"/>
      <c r="I1085" s="2" t="s">
        <v>19091</v>
      </c>
      <c r="J1085" s="2" t="s">
        <v>19092</v>
      </c>
      <c r="K1085" s="2"/>
      <c r="L1085" s="2"/>
      <c r="M1085" s="2" t="s">
        <v>77</v>
      </c>
      <c r="N1085" s="2" t="s">
        <v>78</v>
      </c>
      <c r="O1085" s="2"/>
      <c r="P1085" s="2"/>
      <c r="Q1085" s="2"/>
      <c r="R1085" s="2"/>
      <c r="S1085" s="2"/>
      <c r="T1085" s="2" t="s">
        <v>19093</v>
      </c>
      <c r="U1085" s="2" t="s">
        <v>19094</v>
      </c>
      <c r="V1085" s="2" t="s">
        <v>19095</v>
      </c>
      <c r="W1085" s="2" t="s">
        <v>19096</v>
      </c>
      <c r="X1085" s="2" t="s">
        <v>19097</v>
      </c>
      <c r="Y1085" s="2" t="s">
        <v>19098</v>
      </c>
      <c r="Z1085" s="2" t="s">
        <v>4242</v>
      </c>
      <c r="AA1085" s="2" t="s">
        <v>19099</v>
      </c>
      <c r="AB1085" s="2" t="s">
        <v>19100</v>
      </c>
      <c r="AC1085" s="2" t="s">
        <v>19101</v>
      </c>
      <c r="AD1085" s="2" t="s">
        <v>19102</v>
      </c>
      <c r="AE1085" s="2" t="s">
        <v>19103</v>
      </c>
      <c r="AF1085" s="2"/>
      <c r="AG1085" s="2" t="n">
        <v>30</v>
      </c>
      <c r="AH1085" s="2" t="n">
        <v>1</v>
      </c>
      <c r="AI1085" s="2" t="n">
        <v>1</v>
      </c>
      <c r="AJ1085" s="2" t="n">
        <v>3</v>
      </c>
      <c r="AK1085" s="2" t="n">
        <v>3</v>
      </c>
      <c r="AL1085" s="2" t="s">
        <v>154</v>
      </c>
      <c r="AM1085" s="2" t="s">
        <v>155</v>
      </c>
      <c r="AN1085" s="2" t="s">
        <v>156</v>
      </c>
      <c r="AO1085" s="2" t="s">
        <v>19104</v>
      </c>
      <c r="AP1085" s="2" t="s">
        <v>19105</v>
      </c>
      <c r="AQ1085" s="2"/>
      <c r="AR1085" s="2" t="s">
        <v>19092</v>
      </c>
      <c r="AS1085" s="2" t="s">
        <v>19106</v>
      </c>
      <c r="AT1085" s="2" t="s">
        <v>804</v>
      </c>
      <c r="AU1085" s="2" t="n">
        <v>2024</v>
      </c>
      <c r="AV1085" s="2" t="n">
        <v>29</v>
      </c>
      <c r="AW1085" s="2" t="n">
        <v>11</v>
      </c>
      <c r="AX1085" s="2"/>
      <c r="AY1085" s="2"/>
      <c r="AZ1085" s="2"/>
      <c r="BA1085" s="2"/>
      <c r="BB1085" s="2" t="n">
        <v>985</v>
      </c>
      <c r="BC1085" s="2" t="n">
        <v>993</v>
      </c>
      <c r="BD1085" s="2"/>
      <c r="BE1085" s="2" t="s">
        <v>19107</v>
      </c>
      <c r="BF1085" s="2" t="str">
        <f aca="false">HYPERLINK("http://dx.doi.org/10.1111/resp.14818","http://dx.doi.org/10.1111/resp.14818")</f>
        <v>http://dx.doi.org/10.1111/resp.14818</v>
      </c>
      <c r="BG1085" s="2"/>
      <c r="BH1085" s="2" t="s">
        <v>2276</v>
      </c>
      <c r="BI1085" s="2" t="n">
        <v>9</v>
      </c>
      <c r="BJ1085" s="2" t="s">
        <v>338</v>
      </c>
      <c r="BK1085" s="2" t="s">
        <v>100</v>
      </c>
      <c r="BL1085" s="2" t="s">
        <v>338</v>
      </c>
      <c r="BM1085" s="2" t="s">
        <v>19108</v>
      </c>
      <c r="BN1085" s="2" t="n">
        <v>39134468</v>
      </c>
      <c r="BO1085" s="2" t="s">
        <v>2278</v>
      </c>
      <c r="BP1085" s="2"/>
      <c r="BQ1085" s="2"/>
      <c r="BR1085" s="2" t="s">
        <v>104</v>
      </c>
      <c r="BS1085" s="2" t="s">
        <v>19109</v>
      </c>
      <c r="BT1085" s="2" t="str">
        <f aca="false">HYPERLINK("https%3A%2F%2Fwww.webofscience.com%2Fwos%2Fwoscc%2Ffull-record%2FWOS:001288878000001","View Full Record in Web of Science")</f>
        <v>View Full Record in Web of Science</v>
      </c>
    </row>
    <row r="1086" customFormat="false" ht="12.75" hidden="false" customHeight="false" outlineLevel="0" collapsed="false">
      <c r="A1086" s="2" t="s">
        <v>72</v>
      </c>
      <c r="B1086" s="2" t="s">
        <v>19110</v>
      </c>
      <c r="C1086" s="2"/>
      <c r="D1086" s="2"/>
      <c r="E1086" s="2"/>
      <c r="F1086" s="2" t="s">
        <v>19111</v>
      </c>
      <c r="G1086" s="2"/>
      <c r="H1086" s="2"/>
      <c r="I1086" s="2" t="s">
        <v>19112</v>
      </c>
      <c r="J1086" s="2" t="s">
        <v>141</v>
      </c>
      <c r="K1086" s="2"/>
      <c r="L1086" s="2"/>
      <c r="M1086" s="2" t="s">
        <v>77</v>
      </c>
      <c r="N1086" s="2" t="s">
        <v>78</v>
      </c>
      <c r="O1086" s="2"/>
      <c r="P1086" s="2"/>
      <c r="Q1086" s="2"/>
      <c r="R1086" s="2"/>
      <c r="S1086" s="2"/>
      <c r="T1086" s="2" t="s">
        <v>19113</v>
      </c>
      <c r="U1086" s="2" t="s">
        <v>19114</v>
      </c>
      <c r="V1086" s="2" t="s">
        <v>19115</v>
      </c>
      <c r="W1086" s="2" t="s">
        <v>19116</v>
      </c>
      <c r="X1086" s="2" t="s">
        <v>12669</v>
      </c>
      <c r="Y1086" s="2" t="s">
        <v>19117</v>
      </c>
      <c r="Z1086" s="2" t="s">
        <v>19118</v>
      </c>
      <c r="AA1086" s="2" t="s">
        <v>19119</v>
      </c>
      <c r="AB1086" s="2" t="s">
        <v>19120</v>
      </c>
      <c r="AC1086" s="2" t="s">
        <v>19121</v>
      </c>
      <c r="AD1086" s="2" t="s">
        <v>19122</v>
      </c>
      <c r="AE1086" s="2" t="s">
        <v>19123</v>
      </c>
      <c r="AF1086" s="2"/>
      <c r="AG1086" s="2" t="n">
        <v>32</v>
      </c>
      <c r="AH1086" s="2" t="n">
        <v>2</v>
      </c>
      <c r="AI1086" s="2" t="n">
        <v>4</v>
      </c>
      <c r="AJ1086" s="2" t="n">
        <v>0</v>
      </c>
      <c r="AK1086" s="2" t="n">
        <v>5</v>
      </c>
      <c r="AL1086" s="2" t="s">
        <v>154</v>
      </c>
      <c r="AM1086" s="2" t="s">
        <v>155</v>
      </c>
      <c r="AN1086" s="2" t="s">
        <v>156</v>
      </c>
      <c r="AO1086" s="2" t="s">
        <v>157</v>
      </c>
      <c r="AP1086" s="2" t="s">
        <v>158</v>
      </c>
      <c r="AQ1086" s="2"/>
      <c r="AR1086" s="2" t="s">
        <v>159</v>
      </c>
      <c r="AS1086" s="2" t="s">
        <v>160</v>
      </c>
      <c r="AT1086" s="2" t="s">
        <v>129</v>
      </c>
      <c r="AU1086" s="2" t="n">
        <v>2022</v>
      </c>
      <c r="AV1086" s="2" t="n">
        <v>94</v>
      </c>
      <c r="AW1086" s="2" t="n">
        <v>9</v>
      </c>
      <c r="AX1086" s="2"/>
      <c r="AY1086" s="2"/>
      <c r="AZ1086" s="2"/>
      <c r="BA1086" s="2"/>
      <c r="BB1086" s="2" t="n">
        <v>4301</v>
      </c>
      <c r="BC1086" s="2" t="n">
        <v>4308</v>
      </c>
      <c r="BD1086" s="2"/>
      <c r="BE1086" s="2" t="s">
        <v>19124</v>
      </c>
      <c r="BF1086" s="2" t="str">
        <f aca="false">HYPERLINK("http://dx.doi.org/10.1002/jmv.27888","http://dx.doi.org/10.1002/jmv.27888")</f>
        <v>http://dx.doi.org/10.1002/jmv.27888</v>
      </c>
      <c r="BG1086" s="2"/>
      <c r="BH1086" s="2" t="s">
        <v>2561</v>
      </c>
      <c r="BI1086" s="2" t="n">
        <v>8</v>
      </c>
      <c r="BJ1086" s="2" t="s">
        <v>163</v>
      </c>
      <c r="BK1086" s="2" t="s">
        <v>100</v>
      </c>
      <c r="BL1086" s="2" t="s">
        <v>163</v>
      </c>
      <c r="BM1086" s="2" t="s">
        <v>19125</v>
      </c>
      <c r="BN1086" s="2" t="n">
        <v>35656887</v>
      </c>
      <c r="BO1086" s="2"/>
      <c r="BP1086" s="2"/>
      <c r="BQ1086" s="2"/>
      <c r="BR1086" s="2" t="s">
        <v>104</v>
      </c>
      <c r="BS1086" s="2" t="s">
        <v>19126</v>
      </c>
      <c r="BT1086" s="2" t="str">
        <f aca="false">HYPERLINK("https%3A%2F%2Fwww.webofscience.com%2Fwos%2Fwoscc%2Ffull-record%2FWOS:000814050500001","View Full Record in Web of Science")</f>
        <v>View Full Record in Web of Science</v>
      </c>
    </row>
    <row r="1087" customFormat="false" ht="12.75" hidden="false" customHeight="false" outlineLevel="0" collapsed="false">
      <c r="A1087" s="2" t="s">
        <v>72</v>
      </c>
      <c r="B1087" s="2" t="s">
        <v>19127</v>
      </c>
      <c r="C1087" s="2"/>
      <c r="D1087" s="2"/>
      <c r="E1087" s="2"/>
      <c r="F1087" s="2" t="s">
        <v>19128</v>
      </c>
      <c r="G1087" s="2"/>
      <c r="H1087" s="2"/>
      <c r="I1087" s="2" t="s">
        <v>19129</v>
      </c>
      <c r="J1087" s="2" t="s">
        <v>10441</v>
      </c>
      <c r="K1087" s="2"/>
      <c r="L1087" s="2"/>
      <c r="M1087" s="2" t="s">
        <v>77</v>
      </c>
      <c r="N1087" s="2" t="s">
        <v>78</v>
      </c>
      <c r="O1087" s="2"/>
      <c r="P1087" s="2"/>
      <c r="Q1087" s="2"/>
      <c r="R1087" s="2"/>
      <c r="S1087" s="2"/>
      <c r="T1087" s="2" t="s">
        <v>19130</v>
      </c>
      <c r="U1087" s="2" t="s">
        <v>19131</v>
      </c>
      <c r="V1087" s="2" t="s">
        <v>19132</v>
      </c>
      <c r="W1087" s="2" t="s">
        <v>19133</v>
      </c>
      <c r="X1087" s="2" t="s">
        <v>14065</v>
      </c>
      <c r="Y1087" s="2" t="s">
        <v>19134</v>
      </c>
      <c r="Z1087" s="2" t="s">
        <v>19135</v>
      </c>
      <c r="AA1087" s="2" t="s">
        <v>14068</v>
      </c>
      <c r="AB1087" s="2" t="s">
        <v>14069</v>
      </c>
      <c r="AC1087" s="2" t="s">
        <v>19136</v>
      </c>
      <c r="AD1087" s="2" t="s">
        <v>19137</v>
      </c>
      <c r="AE1087" s="2" t="s">
        <v>19138</v>
      </c>
      <c r="AF1087" s="2"/>
      <c r="AG1087" s="2" t="n">
        <v>15</v>
      </c>
      <c r="AH1087" s="2" t="n">
        <v>25</v>
      </c>
      <c r="AI1087" s="2" t="n">
        <v>29</v>
      </c>
      <c r="AJ1087" s="2" t="n">
        <v>1</v>
      </c>
      <c r="AK1087" s="2" t="n">
        <v>1</v>
      </c>
      <c r="AL1087" s="2" t="s">
        <v>154</v>
      </c>
      <c r="AM1087" s="2" t="s">
        <v>155</v>
      </c>
      <c r="AN1087" s="2" t="s">
        <v>156</v>
      </c>
      <c r="AO1087" s="2" t="s">
        <v>10453</v>
      </c>
      <c r="AP1087" s="2" t="s">
        <v>14215</v>
      </c>
      <c r="AQ1087" s="2"/>
      <c r="AR1087" s="2" t="s">
        <v>10454</v>
      </c>
      <c r="AS1087" s="2" t="s">
        <v>10455</v>
      </c>
      <c r="AT1087" s="2" t="s">
        <v>804</v>
      </c>
      <c r="AU1087" s="2" t="n">
        <v>2017</v>
      </c>
      <c r="AV1087" s="2" t="n">
        <v>61</v>
      </c>
      <c r="AW1087" s="2" t="n">
        <v>11</v>
      </c>
      <c r="AX1087" s="2"/>
      <c r="AY1087" s="2"/>
      <c r="AZ1087" s="2"/>
      <c r="BA1087" s="2"/>
      <c r="BB1087" s="2" t="n">
        <v>507</v>
      </c>
      <c r="BC1087" s="2" t="n">
        <v>512</v>
      </c>
      <c r="BD1087" s="2"/>
      <c r="BE1087" s="2" t="s">
        <v>19139</v>
      </c>
      <c r="BF1087" s="2" t="str">
        <f aca="false">HYPERLINK("http://dx.doi.org/10.1111/1348-0421.12543","http://dx.doi.org/10.1111/1348-0421.12543")</f>
        <v>http://dx.doi.org/10.1111/1348-0421.12543</v>
      </c>
      <c r="BG1087" s="2"/>
      <c r="BH1087" s="2"/>
      <c r="BI1087" s="2" t="n">
        <v>6</v>
      </c>
      <c r="BJ1087" s="2" t="s">
        <v>2364</v>
      </c>
      <c r="BK1087" s="2" t="s">
        <v>100</v>
      </c>
      <c r="BL1087" s="2" t="s">
        <v>2364</v>
      </c>
      <c r="BM1087" s="2" t="s">
        <v>19140</v>
      </c>
      <c r="BN1087" s="2" t="n">
        <v>28960538</v>
      </c>
      <c r="BO1087" s="2" t="s">
        <v>656</v>
      </c>
      <c r="BP1087" s="2"/>
      <c r="BQ1087" s="2"/>
      <c r="BR1087" s="2" t="s">
        <v>104</v>
      </c>
      <c r="BS1087" s="2" t="s">
        <v>19141</v>
      </c>
      <c r="BT1087" s="2" t="str">
        <f aca="false">HYPERLINK("https%3A%2F%2Fwww.webofscience.com%2Fwos%2Fwoscc%2Ffull-record%2FWOS:000415669400006","View Full Record in Web of Science")</f>
        <v>View Full Record in Web of Science</v>
      </c>
    </row>
    <row r="1088" customFormat="false" ht="12.75" hidden="false" customHeight="false" outlineLevel="0" collapsed="false">
      <c r="A1088" s="2" t="s">
        <v>72</v>
      </c>
      <c r="B1088" s="2" t="s">
        <v>19142</v>
      </c>
      <c r="C1088" s="2"/>
      <c r="D1088" s="2"/>
      <c r="E1088" s="2"/>
      <c r="F1088" s="2" t="s">
        <v>19143</v>
      </c>
      <c r="G1088" s="2"/>
      <c r="H1088" s="2"/>
      <c r="I1088" s="2" t="s">
        <v>19144</v>
      </c>
      <c r="J1088" s="2" t="s">
        <v>19145</v>
      </c>
      <c r="K1088" s="2"/>
      <c r="L1088" s="2"/>
      <c r="M1088" s="2" t="s">
        <v>77</v>
      </c>
      <c r="N1088" s="2" t="s">
        <v>78</v>
      </c>
      <c r="O1088" s="2"/>
      <c r="P1088" s="2"/>
      <c r="Q1088" s="2"/>
      <c r="R1088" s="2"/>
      <c r="S1088" s="2"/>
      <c r="T1088" s="2" t="s">
        <v>19146</v>
      </c>
      <c r="U1088" s="2" t="s">
        <v>19147</v>
      </c>
      <c r="V1088" s="2" t="s">
        <v>19148</v>
      </c>
      <c r="W1088" s="2" t="s">
        <v>19149</v>
      </c>
      <c r="X1088" s="2" t="s">
        <v>19150</v>
      </c>
      <c r="Y1088" s="2" t="s">
        <v>19151</v>
      </c>
      <c r="Z1088" s="2" t="s">
        <v>19152</v>
      </c>
      <c r="AA1088" s="2" t="s">
        <v>19153</v>
      </c>
      <c r="AB1088" s="2" t="s">
        <v>19154</v>
      </c>
      <c r="AC1088" s="2" t="s">
        <v>19155</v>
      </c>
      <c r="AD1088" s="2" t="s">
        <v>19156</v>
      </c>
      <c r="AE1088" s="2" t="s">
        <v>19157</v>
      </c>
      <c r="AF1088" s="2"/>
      <c r="AG1088" s="2" t="n">
        <v>16</v>
      </c>
      <c r="AH1088" s="2" t="n">
        <v>21</v>
      </c>
      <c r="AI1088" s="2" t="n">
        <v>27</v>
      </c>
      <c r="AJ1088" s="2" t="n">
        <v>1</v>
      </c>
      <c r="AK1088" s="2" t="n">
        <v>4</v>
      </c>
      <c r="AL1088" s="2" t="s">
        <v>13712</v>
      </c>
      <c r="AM1088" s="2" t="s">
        <v>303</v>
      </c>
      <c r="AN1088" s="2" t="s">
        <v>13713</v>
      </c>
      <c r="AO1088" s="2" t="s">
        <v>19158</v>
      </c>
      <c r="AP1088" s="2" t="s">
        <v>19159</v>
      </c>
      <c r="AQ1088" s="2"/>
      <c r="AR1088" s="2" t="s">
        <v>19160</v>
      </c>
      <c r="AS1088" s="2" t="s">
        <v>19161</v>
      </c>
      <c r="AT1088" s="2" t="s">
        <v>486</v>
      </c>
      <c r="AU1088" s="2" t="n">
        <v>2017</v>
      </c>
      <c r="AV1088" s="2" t="n">
        <v>12</v>
      </c>
      <c r="AW1088" s="2" t="n">
        <v>7</v>
      </c>
      <c r="AX1088" s="2"/>
      <c r="AY1088" s="2"/>
      <c r="AZ1088" s="2"/>
      <c r="BA1088" s="2"/>
      <c r="BB1088" s="2" t="n">
        <v>565</v>
      </c>
      <c r="BC1088" s="2" t="n">
        <v>571</v>
      </c>
      <c r="BD1088" s="2"/>
      <c r="BE1088" s="2" t="s">
        <v>19162</v>
      </c>
      <c r="BF1088" s="2" t="str">
        <f aca="false">HYPERLINK("http://dx.doi.org/10.2217/fmb-2016-0211","http://dx.doi.org/10.2217/fmb-2016-0211")</f>
        <v>http://dx.doi.org/10.2217/fmb-2016-0211</v>
      </c>
      <c r="BG1088" s="2"/>
      <c r="BH1088" s="2"/>
      <c r="BI1088" s="2" t="n">
        <v>7</v>
      </c>
      <c r="BJ1088" s="2" t="s">
        <v>211</v>
      </c>
      <c r="BK1088" s="2" t="s">
        <v>100</v>
      </c>
      <c r="BL1088" s="2" t="s">
        <v>211</v>
      </c>
      <c r="BM1088" s="2" t="s">
        <v>19163</v>
      </c>
      <c r="BN1088" s="2" t="n">
        <v>28604069</v>
      </c>
      <c r="BO1088" s="2"/>
      <c r="BP1088" s="2"/>
      <c r="BQ1088" s="2"/>
      <c r="BR1088" s="2" t="s">
        <v>104</v>
      </c>
      <c r="BS1088" s="2" t="s">
        <v>19164</v>
      </c>
      <c r="BT1088" s="2" t="str">
        <f aca="false">HYPERLINK("https%3A%2F%2Fwww.webofscience.com%2Fwos%2Fwoscc%2Ffull-record%2FWOS:000405133000004","View Full Record in Web of Science")</f>
        <v>View Full Record in Web of Science</v>
      </c>
    </row>
    <row r="1089" customFormat="false" ht="12.75" hidden="false" customHeight="false" outlineLevel="0" collapsed="false">
      <c r="A1089" s="2" t="s">
        <v>72</v>
      </c>
      <c r="B1089" s="2" t="s">
        <v>19165</v>
      </c>
      <c r="C1089" s="2"/>
      <c r="D1089" s="2"/>
      <c r="E1089" s="2"/>
      <c r="F1089" s="2" t="s">
        <v>19166</v>
      </c>
      <c r="G1089" s="2"/>
      <c r="H1089" s="2"/>
      <c r="I1089" s="2" t="s">
        <v>19167</v>
      </c>
      <c r="J1089" s="2" t="s">
        <v>5377</v>
      </c>
      <c r="K1089" s="2"/>
      <c r="L1089" s="2"/>
      <c r="M1089" s="2" t="s">
        <v>77</v>
      </c>
      <c r="N1089" s="2" t="s">
        <v>78</v>
      </c>
      <c r="O1089" s="2"/>
      <c r="P1089" s="2"/>
      <c r="Q1089" s="2"/>
      <c r="R1089" s="2"/>
      <c r="S1089" s="2"/>
      <c r="T1089" s="2" t="s">
        <v>19168</v>
      </c>
      <c r="U1089" s="2" t="s">
        <v>19169</v>
      </c>
      <c r="V1089" s="2" t="s">
        <v>19170</v>
      </c>
      <c r="W1089" s="2" t="s">
        <v>19171</v>
      </c>
      <c r="X1089" s="2" t="s">
        <v>19172</v>
      </c>
      <c r="Y1089" s="2" t="s">
        <v>19173</v>
      </c>
      <c r="Z1089" s="2" t="s">
        <v>19174</v>
      </c>
      <c r="AA1089" s="2" t="s">
        <v>19175</v>
      </c>
      <c r="AB1089" s="2"/>
      <c r="AC1089" s="2" t="s">
        <v>19176</v>
      </c>
      <c r="AD1089" s="2" t="s">
        <v>19176</v>
      </c>
      <c r="AE1089" s="2" t="s">
        <v>19177</v>
      </c>
      <c r="AF1089" s="2"/>
      <c r="AG1089" s="2" t="n">
        <v>30</v>
      </c>
      <c r="AH1089" s="2" t="n">
        <v>3</v>
      </c>
      <c r="AI1089" s="2" t="n">
        <v>6</v>
      </c>
      <c r="AJ1089" s="2" t="n">
        <v>0</v>
      </c>
      <c r="AK1089" s="2" t="n">
        <v>14</v>
      </c>
      <c r="AL1089" s="2" t="s">
        <v>5385</v>
      </c>
      <c r="AM1089" s="2" t="s">
        <v>303</v>
      </c>
      <c r="AN1089" s="2" t="s">
        <v>5386</v>
      </c>
      <c r="AO1089" s="2" t="s">
        <v>5387</v>
      </c>
      <c r="AP1089" s="2" t="s">
        <v>19178</v>
      </c>
      <c r="AQ1089" s="2"/>
      <c r="AR1089" s="2" t="s">
        <v>5388</v>
      </c>
      <c r="AS1089" s="2" t="s">
        <v>5389</v>
      </c>
      <c r="AT1089" s="2" t="s">
        <v>446</v>
      </c>
      <c r="AU1089" s="2" t="n">
        <v>2015</v>
      </c>
      <c r="AV1089" s="2" t="n">
        <v>29</v>
      </c>
      <c r="AW1089" s="2" t="n">
        <v>6</v>
      </c>
      <c r="AX1089" s="2"/>
      <c r="AY1089" s="2"/>
      <c r="AZ1089" s="2"/>
      <c r="BA1089" s="2"/>
      <c r="BB1089" s="2" t="n">
        <v>408</v>
      </c>
      <c r="BC1089" s="2" t="n">
        <v>413</v>
      </c>
      <c r="BD1089" s="2"/>
      <c r="BE1089" s="2" t="s">
        <v>19179</v>
      </c>
      <c r="BF1089" s="2" t="str">
        <f aca="false">HYPERLINK("http://dx.doi.org/10.1016/j.mcp.2015.08.006","http://dx.doi.org/10.1016/j.mcp.2015.08.006")</f>
        <v>http://dx.doi.org/10.1016/j.mcp.2015.08.006</v>
      </c>
      <c r="BG1089" s="2"/>
      <c r="BH1089" s="2"/>
      <c r="BI1089" s="2" t="n">
        <v>6</v>
      </c>
      <c r="BJ1089" s="2" t="s">
        <v>5391</v>
      </c>
      <c r="BK1089" s="2" t="s">
        <v>100</v>
      </c>
      <c r="BL1089" s="2" t="s">
        <v>5392</v>
      </c>
      <c r="BM1089" s="2" t="s">
        <v>19180</v>
      </c>
      <c r="BN1089" s="2" t="n">
        <v>26334289</v>
      </c>
      <c r="BO1089" s="2" t="s">
        <v>1227</v>
      </c>
      <c r="BP1089" s="2"/>
      <c r="BQ1089" s="2"/>
      <c r="BR1089" s="2" t="s">
        <v>104</v>
      </c>
      <c r="BS1089" s="2" t="s">
        <v>19181</v>
      </c>
      <c r="BT1089" s="2" t="str">
        <f aca="false">HYPERLINK("https%3A%2F%2Fwww.webofscience.com%2Fwos%2Fwoscc%2Ffull-record%2FWOS:000367211900010","View Full Record in Web of Science")</f>
        <v>View Full Record in Web of Science</v>
      </c>
    </row>
    <row r="1090" customFormat="false" ht="12.75" hidden="false" customHeight="false" outlineLevel="0" collapsed="false">
      <c r="A1090" s="2" t="s">
        <v>72</v>
      </c>
      <c r="B1090" s="2" t="s">
        <v>19182</v>
      </c>
      <c r="C1090" s="2"/>
      <c r="D1090" s="2"/>
      <c r="E1090" s="2"/>
      <c r="F1090" s="2" t="s">
        <v>19183</v>
      </c>
      <c r="G1090" s="2"/>
      <c r="H1090" s="2"/>
      <c r="I1090" s="2" t="s">
        <v>19184</v>
      </c>
      <c r="J1090" s="2" t="s">
        <v>170</v>
      </c>
      <c r="K1090" s="2"/>
      <c r="L1090" s="2"/>
      <c r="M1090" s="2" t="s">
        <v>77</v>
      </c>
      <c r="N1090" s="2" t="s">
        <v>78</v>
      </c>
      <c r="O1090" s="2"/>
      <c r="P1090" s="2"/>
      <c r="Q1090" s="2"/>
      <c r="R1090" s="2"/>
      <c r="S1090" s="2"/>
      <c r="T1090" s="2" t="s">
        <v>19185</v>
      </c>
      <c r="U1090" s="2" t="s">
        <v>19186</v>
      </c>
      <c r="V1090" s="2" t="s">
        <v>19187</v>
      </c>
      <c r="W1090" s="2" t="s">
        <v>19188</v>
      </c>
      <c r="X1090" s="2" t="s">
        <v>19189</v>
      </c>
      <c r="Y1090" s="2" t="s">
        <v>19190</v>
      </c>
      <c r="Z1090" s="2" t="s">
        <v>19191</v>
      </c>
      <c r="AA1090" s="2" t="s">
        <v>19192</v>
      </c>
      <c r="AB1090" s="2" t="s">
        <v>19193</v>
      </c>
      <c r="AC1090" s="2" t="s">
        <v>19194</v>
      </c>
      <c r="AD1090" s="2" t="s">
        <v>19195</v>
      </c>
      <c r="AE1090" s="2" t="s">
        <v>19196</v>
      </c>
      <c r="AF1090" s="2"/>
      <c r="AG1090" s="2" t="n">
        <v>35</v>
      </c>
      <c r="AH1090" s="2" t="n">
        <v>4</v>
      </c>
      <c r="AI1090" s="2" t="n">
        <v>4</v>
      </c>
      <c r="AJ1090" s="2" t="n">
        <v>0</v>
      </c>
      <c r="AK1090" s="2" t="n">
        <v>4</v>
      </c>
      <c r="AL1090" s="2" t="s">
        <v>91</v>
      </c>
      <c r="AM1090" s="2" t="s">
        <v>92</v>
      </c>
      <c r="AN1090" s="2" t="s">
        <v>93</v>
      </c>
      <c r="AO1090" s="2"/>
      <c r="AP1090" s="2" t="s">
        <v>182</v>
      </c>
      <c r="AQ1090" s="2"/>
      <c r="AR1090" s="2" t="s">
        <v>183</v>
      </c>
      <c r="AS1090" s="2" t="s">
        <v>184</v>
      </c>
      <c r="AT1090" s="2" t="s">
        <v>336</v>
      </c>
      <c r="AU1090" s="2" t="n">
        <v>2021</v>
      </c>
      <c r="AV1090" s="2" t="n">
        <v>9</v>
      </c>
      <c r="AW1090" s="2" t="n">
        <v>10</v>
      </c>
      <c r="AX1090" s="2"/>
      <c r="AY1090" s="2"/>
      <c r="AZ1090" s="2"/>
      <c r="BA1090" s="2"/>
      <c r="BB1090" s="2"/>
      <c r="BC1090" s="2"/>
      <c r="BD1090" s="2" t="n">
        <v>1190</v>
      </c>
      <c r="BE1090" s="2" t="s">
        <v>19197</v>
      </c>
      <c r="BF1090" s="2" t="str">
        <f aca="false">HYPERLINK("http://dx.doi.org/10.3390/vaccines9101190","http://dx.doi.org/10.3390/vaccines9101190")</f>
        <v>http://dx.doi.org/10.3390/vaccines9101190</v>
      </c>
      <c r="BG1090" s="2"/>
      <c r="BH1090" s="2"/>
      <c r="BI1090" s="2" t="n">
        <v>17</v>
      </c>
      <c r="BJ1090" s="2" t="s">
        <v>187</v>
      </c>
      <c r="BK1090" s="2" t="s">
        <v>100</v>
      </c>
      <c r="BL1090" s="2" t="s">
        <v>188</v>
      </c>
      <c r="BM1090" s="2" t="s">
        <v>19198</v>
      </c>
      <c r="BN1090" s="2"/>
      <c r="BO1090" s="2" t="s">
        <v>103</v>
      </c>
      <c r="BP1090" s="2"/>
      <c r="BQ1090" s="2"/>
      <c r="BR1090" s="2" t="s">
        <v>104</v>
      </c>
      <c r="BS1090" s="2" t="s">
        <v>19199</v>
      </c>
      <c r="BT1090" s="2" t="str">
        <f aca="false">HYPERLINK("https%3A%2F%2Fwww.webofscience.com%2Fwos%2Fwoscc%2Ffull-record%2FWOS:000714547700001","View Full Record in Web of Science")</f>
        <v>View Full Record in Web of Science</v>
      </c>
    </row>
    <row r="1091" customFormat="false" ht="12.75" hidden="false" customHeight="false" outlineLevel="0" collapsed="false">
      <c r="A1091" s="2" t="s">
        <v>72</v>
      </c>
      <c r="B1091" s="2" t="s">
        <v>19200</v>
      </c>
      <c r="C1091" s="2"/>
      <c r="D1091" s="2"/>
      <c r="E1091" s="2"/>
      <c r="F1091" s="2" t="s">
        <v>19201</v>
      </c>
      <c r="G1091" s="2"/>
      <c r="H1091" s="2"/>
      <c r="I1091" s="2" t="s">
        <v>19202</v>
      </c>
      <c r="J1091" s="2" t="s">
        <v>1636</v>
      </c>
      <c r="K1091" s="2"/>
      <c r="L1091" s="2"/>
      <c r="M1091" s="2" t="s">
        <v>77</v>
      </c>
      <c r="N1091" s="2" t="s">
        <v>78</v>
      </c>
      <c r="O1091" s="2"/>
      <c r="P1091" s="2"/>
      <c r="Q1091" s="2"/>
      <c r="R1091" s="2"/>
      <c r="S1091" s="2"/>
      <c r="T1091" s="2" t="s">
        <v>19203</v>
      </c>
      <c r="U1091" s="2" t="s">
        <v>19204</v>
      </c>
      <c r="V1091" s="2" t="s">
        <v>19205</v>
      </c>
      <c r="W1091" s="2" t="s">
        <v>19206</v>
      </c>
      <c r="X1091" s="2" t="s">
        <v>19207</v>
      </c>
      <c r="Y1091" s="2" t="s">
        <v>19208</v>
      </c>
      <c r="Z1091" s="2" t="s">
        <v>19209</v>
      </c>
      <c r="AA1091" s="2" t="s">
        <v>19210</v>
      </c>
      <c r="AB1091" s="2" t="s">
        <v>19211</v>
      </c>
      <c r="AC1091" s="2" t="s">
        <v>19212</v>
      </c>
      <c r="AD1091" s="2" t="s">
        <v>19213</v>
      </c>
      <c r="AE1091" s="2" t="s">
        <v>19214</v>
      </c>
      <c r="AF1091" s="2"/>
      <c r="AG1091" s="2" t="n">
        <v>32</v>
      </c>
      <c r="AH1091" s="2" t="n">
        <v>17</v>
      </c>
      <c r="AI1091" s="2" t="n">
        <v>18</v>
      </c>
      <c r="AJ1091" s="2" t="n">
        <v>0</v>
      </c>
      <c r="AK1091" s="2" t="n">
        <v>2</v>
      </c>
      <c r="AL1091" s="2" t="s">
        <v>1649</v>
      </c>
      <c r="AM1091" s="2" t="s">
        <v>273</v>
      </c>
      <c r="AN1091" s="2" t="s">
        <v>1650</v>
      </c>
      <c r="AO1091" s="2" t="s">
        <v>1651</v>
      </c>
      <c r="AP1091" s="2" t="s">
        <v>14002</v>
      </c>
      <c r="AQ1091" s="2"/>
      <c r="AR1091" s="2" t="s">
        <v>1652</v>
      </c>
      <c r="AS1091" s="2" t="s">
        <v>1653</v>
      </c>
      <c r="AT1091" s="2" t="s">
        <v>19215</v>
      </c>
      <c r="AU1091" s="2" t="n">
        <v>2021</v>
      </c>
      <c r="AV1091" s="2" t="n">
        <v>118</v>
      </c>
      <c r="AW1091" s="2" t="n">
        <v>39</v>
      </c>
      <c r="AX1091" s="2"/>
      <c r="AY1091" s="2"/>
      <c r="AZ1091" s="2"/>
      <c r="BA1091" s="2"/>
      <c r="BB1091" s="2"/>
      <c r="BC1091" s="2"/>
      <c r="BD1091" s="2" t="s">
        <v>19216</v>
      </c>
      <c r="BE1091" s="2" t="s">
        <v>19217</v>
      </c>
      <c r="BF1091" s="2" t="str">
        <f aca="false">HYPERLINK("http://dx.doi.org/10.1073/pnas.2106196118","http://dx.doi.org/10.1073/pnas.2106196118")</f>
        <v>http://dx.doi.org/10.1073/pnas.2106196118</v>
      </c>
      <c r="BG1091" s="2"/>
      <c r="BH1091" s="2"/>
      <c r="BI1091" s="2" t="n">
        <v>8</v>
      </c>
      <c r="BJ1091" s="2" t="s">
        <v>1658</v>
      </c>
      <c r="BK1091" s="2" t="s">
        <v>100</v>
      </c>
      <c r="BL1091" s="2" t="s">
        <v>1659</v>
      </c>
      <c r="BM1091" s="2" t="s">
        <v>19218</v>
      </c>
      <c r="BN1091" s="2" t="n">
        <v>34551978</v>
      </c>
      <c r="BO1091" s="2" t="s">
        <v>284</v>
      </c>
      <c r="BP1091" s="2"/>
      <c r="BQ1091" s="2"/>
      <c r="BR1091" s="2" t="s">
        <v>104</v>
      </c>
      <c r="BS1091" s="2" t="s">
        <v>19219</v>
      </c>
      <c r="BT1091" s="2" t="str">
        <f aca="false">HYPERLINK("https%3A%2F%2Fwww.webofscience.com%2Fwos%2Fwoscc%2Ffull-record%2FWOS:000708052600009","View Full Record in Web of Science")</f>
        <v>View Full Record in Web of Science</v>
      </c>
    </row>
    <row r="1092" customFormat="false" ht="12.75" hidden="false" customHeight="false" outlineLevel="0" collapsed="false">
      <c r="A1092" s="2" t="s">
        <v>72</v>
      </c>
      <c r="B1092" s="2" t="s">
        <v>19220</v>
      </c>
      <c r="C1092" s="2"/>
      <c r="D1092" s="2"/>
      <c r="E1092" s="2"/>
      <c r="F1092" s="2" t="s">
        <v>19221</v>
      </c>
      <c r="G1092" s="2"/>
      <c r="H1092" s="2"/>
      <c r="I1092" s="2" t="s">
        <v>19222</v>
      </c>
      <c r="J1092" s="2" t="s">
        <v>19223</v>
      </c>
      <c r="K1092" s="2"/>
      <c r="L1092" s="2"/>
      <c r="M1092" s="2" t="s">
        <v>77</v>
      </c>
      <c r="N1092" s="2" t="s">
        <v>78</v>
      </c>
      <c r="O1092" s="2"/>
      <c r="P1092" s="2"/>
      <c r="Q1092" s="2"/>
      <c r="R1092" s="2"/>
      <c r="S1092" s="2"/>
      <c r="T1092" s="2" t="s">
        <v>19224</v>
      </c>
      <c r="U1092" s="2" t="s">
        <v>19225</v>
      </c>
      <c r="V1092" s="2" t="s">
        <v>19226</v>
      </c>
      <c r="W1092" s="2" t="s">
        <v>19227</v>
      </c>
      <c r="X1092" s="2" t="s">
        <v>19228</v>
      </c>
      <c r="Y1092" s="2" t="s">
        <v>19229</v>
      </c>
      <c r="Z1092" s="2" t="s">
        <v>19230</v>
      </c>
      <c r="AA1092" s="2" t="s">
        <v>6673</v>
      </c>
      <c r="AB1092" s="2"/>
      <c r="AC1092" s="2" t="s">
        <v>19231</v>
      </c>
      <c r="AD1092" s="2" t="s">
        <v>19231</v>
      </c>
      <c r="AE1092" s="2" t="s">
        <v>19232</v>
      </c>
      <c r="AF1092" s="2"/>
      <c r="AG1092" s="2" t="n">
        <v>23</v>
      </c>
      <c r="AH1092" s="2" t="n">
        <v>39</v>
      </c>
      <c r="AI1092" s="2" t="n">
        <v>44</v>
      </c>
      <c r="AJ1092" s="2" t="n">
        <v>0</v>
      </c>
      <c r="AK1092" s="2" t="n">
        <v>10</v>
      </c>
      <c r="AL1092" s="2" t="s">
        <v>154</v>
      </c>
      <c r="AM1092" s="2" t="s">
        <v>155</v>
      </c>
      <c r="AN1092" s="2" t="s">
        <v>156</v>
      </c>
      <c r="AO1092" s="2" t="s">
        <v>19233</v>
      </c>
      <c r="AP1092" s="2" t="s">
        <v>19234</v>
      </c>
      <c r="AQ1092" s="2"/>
      <c r="AR1092" s="2" t="s">
        <v>19235</v>
      </c>
      <c r="AS1092" s="2" t="s">
        <v>19236</v>
      </c>
      <c r="AT1092" s="2" t="s">
        <v>185</v>
      </c>
      <c r="AU1092" s="2" t="n">
        <v>2009</v>
      </c>
      <c r="AV1092" s="2" t="n">
        <v>38</v>
      </c>
      <c r="AW1092" s="2" t="n">
        <v>4</v>
      </c>
      <c r="AX1092" s="2"/>
      <c r="AY1092" s="2"/>
      <c r="AZ1092" s="2"/>
      <c r="BA1092" s="2"/>
      <c r="BB1092" s="2" t="n">
        <v>236</v>
      </c>
      <c r="BC1092" s="2" t="n">
        <v>240</v>
      </c>
      <c r="BD1092" s="2"/>
      <c r="BE1092" s="2" t="s">
        <v>19237</v>
      </c>
      <c r="BF1092" s="2" t="str">
        <f aca="false">HYPERLINK("http://dx.doi.org/10.1111/j.1600-0684.2009.00346.x","http://dx.doi.org/10.1111/j.1600-0684.2009.00346.x")</f>
        <v>http://dx.doi.org/10.1111/j.1600-0684.2009.00346.x</v>
      </c>
      <c r="BG1092" s="2"/>
      <c r="BH1092" s="2"/>
      <c r="BI1092" s="2" t="n">
        <v>5</v>
      </c>
      <c r="BJ1092" s="2" t="s">
        <v>19238</v>
      </c>
      <c r="BK1092" s="2" t="s">
        <v>100</v>
      </c>
      <c r="BL1092" s="2" t="s">
        <v>19238</v>
      </c>
      <c r="BM1092" s="2" t="s">
        <v>19239</v>
      </c>
      <c r="BN1092" s="2" t="n">
        <v>19239572</v>
      </c>
      <c r="BO1092" s="2"/>
      <c r="BP1092" s="2"/>
      <c r="BQ1092" s="2"/>
      <c r="BR1092" s="2" t="s">
        <v>104</v>
      </c>
      <c r="BS1092" s="2" t="s">
        <v>19240</v>
      </c>
      <c r="BT1092" s="2" t="str">
        <f aca="false">HYPERLINK("https%3A%2F%2Fwww.webofscience.com%2Fwos%2Fwoscc%2Ffull-record%2FWOS:000267705000003","View Full Record in Web of Science")</f>
        <v>View Full Record in Web of Science</v>
      </c>
    </row>
    <row r="1093" customFormat="false" ht="12.75" hidden="false" customHeight="false" outlineLevel="0" collapsed="false">
      <c r="A1093" s="2" t="s">
        <v>72</v>
      </c>
      <c r="B1093" s="2" t="s">
        <v>19241</v>
      </c>
      <c r="C1093" s="2"/>
      <c r="D1093" s="2"/>
      <c r="E1093" s="2"/>
      <c r="F1093" s="2" t="s">
        <v>19242</v>
      </c>
      <c r="G1093" s="2"/>
      <c r="H1093" s="2" t="s">
        <v>19243</v>
      </c>
      <c r="I1093" s="2" t="s">
        <v>19244</v>
      </c>
      <c r="J1093" s="2" t="s">
        <v>7244</v>
      </c>
      <c r="K1093" s="2"/>
      <c r="L1093" s="2"/>
      <c r="M1093" s="2" t="s">
        <v>77</v>
      </c>
      <c r="N1093" s="2" t="s">
        <v>78</v>
      </c>
      <c r="O1093" s="2"/>
      <c r="P1093" s="2"/>
      <c r="Q1093" s="2"/>
      <c r="R1093" s="2"/>
      <c r="S1093" s="2"/>
      <c r="T1093" s="2" t="s">
        <v>19245</v>
      </c>
      <c r="U1093" s="2" t="s">
        <v>19246</v>
      </c>
      <c r="V1093" s="2" t="s">
        <v>19247</v>
      </c>
      <c r="W1093" s="2" t="s">
        <v>19248</v>
      </c>
      <c r="X1093" s="2" t="s">
        <v>19249</v>
      </c>
      <c r="Y1093" s="2" t="s">
        <v>19250</v>
      </c>
      <c r="Z1093" s="2" t="s">
        <v>19251</v>
      </c>
      <c r="AA1093" s="2" t="s">
        <v>19252</v>
      </c>
      <c r="AB1093" s="2" t="s">
        <v>19253</v>
      </c>
      <c r="AC1093" s="2" t="s">
        <v>19254</v>
      </c>
      <c r="AD1093" s="2" t="s">
        <v>19255</v>
      </c>
      <c r="AE1093" s="2" t="s">
        <v>19256</v>
      </c>
      <c r="AF1093" s="2"/>
      <c r="AG1093" s="2" t="n">
        <v>30</v>
      </c>
      <c r="AH1093" s="2" t="n">
        <v>43</v>
      </c>
      <c r="AI1093" s="2" t="n">
        <v>52</v>
      </c>
      <c r="AJ1093" s="2" t="n">
        <v>0</v>
      </c>
      <c r="AK1093" s="2" t="n">
        <v>1</v>
      </c>
      <c r="AL1093" s="2" t="s">
        <v>782</v>
      </c>
      <c r="AM1093" s="2" t="s">
        <v>783</v>
      </c>
      <c r="AN1093" s="2" t="s">
        <v>784</v>
      </c>
      <c r="AO1093" s="2" t="s">
        <v>7252</v>
      </c>
      <c r="AP1093" s="2" t="s">
        <v>7253</v>
      </c>
      <c r="AQ1093" s="2"/>
      <c r="AR1093" s="2" t="s">
        <v>7254</v>
      </c>
      <c r="AS1093" s="2" t="s">
        <v>7255</v>
      </c>
      <c r="AT1093" s="2" t="s">
        <v>161</v>
      </c>
      <c r="AU1093" s="2" t="n">
        <v>2021</v>
      </c>
      <c r="AV1093" s="2" t="n">
        <v>27</v>
      </c>
      <c r="AW1093" s="2" t="n">
        <v>1</v>
      </c>
      <c r="AX1093" s="2"/>
      <c r="AY1093" s="2"/>
      <c r="AZ1093" s="2"/>
      <c r="BA1093" s="2"/>
      <c r="BB1093" s="2" t="n">
        <v>96</v>
      </c>
      <c r="BC1093" s="2" t="n">
        <v>104</v>
      </c>
      <c r="BD1093" s="2"/>
      <c r="BE1093" s="2" t="s">
        <v>19257</v>
      </c>
      <c r="BF1093" s="2" t="str">
        <f aca="false">HYPERLINK("http://dx.doi.org/10.1016/j.cmi.2020.03.023","http://dx.doi.org/10.1016/j.cmi.2020.03.023")</f>
        <v>http://dx.doi.org/10.1016/j.cmi.2020.03.023</v>
      </c>
      <c r="BG1093" s="2"/>
      <c r="BH1093" s="2"/>
      <c r="BI1093" s="2" t="n">
        <v>9</v>
      </c>
      <c r="BJ1093" s="2" t="s">
        <v>1467</v>
      </c>
      <c r="BK1093" s="2" t="s">
        <v>100</v>
      </c>
      <c r="BL1093" s="2" t="s">
        <v>1467</v>
      </c>
      <c r="BM1093" s="2" t="s">
        <v>19258</v>
      </c>
      <c r="BN1093" s="2" t="n">
        <v>32244051</v>
      </c>
      <c r="BO1093" s="2" t="s">
        <v>19259</v>
      </c>
      <c r="BP1093" s="2"/>
      <c r="BQ1093" s="2"/>
      <c r="BR1093" s="2" t="s">
        <v>104</v>
      </c>
      <c r="BS1093" s="2" t="s">
        <v>19260</v>
      </c>
      <c r="BT1093" s="2" t="str">
        <f aca="false">HYPERLINK("https%3A%2F%2Fwww.webofscience.com%2Fwos%2Fwoscc%2Ffull-record%2FWOS:000600577900018","View Full Record in Web of Science")</f>
        <v>View Full Record in Web of Science</v>
      </c>
    </row>
    <row r="1094" customFormat="false" ht="12.75" hidden="false" customHeight="false" outlineLevel="0" collapsed="false">
      <c r="A1094" s="2" t="s">
        <v>72</v>
      </c>
      <c r="B1094" s="2" t="s">
        <v>19261</v>
      </c>
      <c r="C1094" s="2"/>
      <c r="D1094" s="2"/>
      <c r="E1094" s="2"/>
      <c r="F1094" s="2" t="s">
        <v>19262</v>
      </c>
      <c r="G1094" s="2"/>
      <c r="H1094" s="2"/>
      <c r="I1094" s="2" t="s">
        <v>19263</v>
      </c>
      <c r="J1094" s="2" t="s">
        <v>370</v>
      </c>
      <c r="K1094" s="2"/>
      <c r="L1094" s="2"/>
      <c r="M1094" s="2" t="s">
        <v>77</v>
      </c>
      <c r="N1094" s="2" t="s">
        <v>78</v>
      </c>
      <c r="O1094" s="2"/>
      <c r="P1094" s="2"/>
      <c r="Q1094" s="2"/>
      <c r="R1094" s="2"/>
      <c r="S1094" s="2"/>
      <c r="T1094" s="2" t="s">
        <v>19264</v>
      </c>
      <c r="U1094" s="2" t="s">
        <v>19265</v>
      </c>
      <c r="V1094" s="2" t="s">
        <v>19266</v>
      </c>
      <c r="W1094" s="2" t="s">
        <v>19267</v>
      </c>
      <c r="X1094" s="2" t="s">
        <v>19268</v>
      </c>
      <c r="Y1094" s="2" t="s">
        <v>19269</v>
      </c>
      <c r="Z1094" s="2" t="s">
        <v>19270</v>
      </c>
      <c r="AA1094" s="2" t="s">
        <v>19271</v>
      </c>
      <c r="AB1094" s="2" t="s">
        <v>19272</v>
      </c>
      <c r="AC1094" s="2" t="s">
        <v>19273</v>
      </c>
      <c r="AD1094" s="2" t="s">
        <v>19274</v>
      </c>
      <c r="AE1094" s="2" t="s">
        <v>19275</v>
      </c>
      <c r="AF1094" s="2"/>
      <c r="AG1094" s="2" t="n">
        <v>38</v>
      </c>
      <c r="AH1094" s="2" t="n">
        <v>49</v>
      </c>
      <c r="AI1094" s="2" t="n">
        <v>52</v>
      </c>
      <c r="AJ1094" s="2" t="n">
        <v>0</v>
      </c>
      <c r="AK1094" s="2" t="n">
        <v>8</v>
      </c>
      <c r="AL1094" s="2" t="s">
        <v>549</v>
      </c>
      <c r="AM1094" s="2" t="s">
        <v>384</v>
      </c>
      <c r="AN1094" s="2" t="s">
        <v>550</v>
      </c>
      <c r="AO1094" s="2" t="s">
        <v>386</v>
      </c>
      <c r="AP1094" s="2" t="s">
        <v>387</v>
      </c>
      <c r="AQ1094" s="2"/>
      <c r="AR1094" s="2" t="s">
        <v>388</v>
      </c>
      <c r="AS1094" s="2" t="s">
        <v>389</v>
      </c>
      <c r="AT1094" s="2" t="s">
        <v>1041</v>
      </c>
      <c r="AU1094" s="2" t="n">
        <v>2016</v>
      </c>
      <c r="AV1094" s="2" t="n">
        <v>75</v>
      </c>
      <c r="AW1094" s="2"/>
      <c r="AX1094" s="2"/>
      <c r="AY1094" s="2"/>
      <c r="AZ1094" s="2"/>
      <c r="BA1094" s="2"/>
      <c r="BB1094" s="2" t="n">
        <v>21</v>
      </c>
      <c r="BC1094" s="2" t="n">
        <v>26</v>
      </c>
      <c r="BD1094" s="2"/>
      <c r="BE1094" s="2" t="s">
        <v>19276</v>
      </c>
      <c r="BF1094" s="2" t="str">
        <f aca="false">HYPERLINK("http://dx.doi.org/10.1016/j.jcv.2015.12.004","http://dx.doi.org/10.1016/j.jcv.2015.12.004")</f>
        <v>http://dx.doi.org/10.1016/j.jcv.2015.12.004</v>
      </c>
      <c r="BG1094" s="2"/>
      <c r="BH1094" s="2"/>
      <c r="BI1094" s="2" t="n">
        <v>6</v>
      </c>
      <c r="BJ1094" s="2" t="s">
        <v>163</v>
      </c>
      <c r="BK1094" s="2" t="s">
        <v>100</v>
      </c>
      <c r="BL1094" s="2" t="s">
        <v>163</v>
      </c>
      <c r="BM1094" s="2" t="s">
        <v>19277</v>
      </c>
      <c r="BN1094" s="2" t="n">
        <v>26741826</v>
      </c>
      <c r="BO1094" s="2" t="s">
        <v>14976</v>
      </c>
      <c r="BP1094" s="2"/>
      <c r="BQ1094" s="2"/>
      <c r="BR1094" s="2" t="s">
        <v>104</v>
      </c>
      <c r="BS1094" s="2" t="s">
        <v>19278</v>
      </c>
      <c r="BT1094" s="2" t="str">
        <f aca="false">HYPERLINK("https%3A%2F%2Fwww.webofscience.com%2Fwos%2Fwoscc%2Ffull-record%2FWOS:000368819700005","View Full Record in Web of Science")</f>
        <v>View Full Record in Web of Science</v>
      </c>
    </row>
    <row r="1095" customFormat="false" ht="12.75" hidden="false" customHeight="false" outlineLevel="0" collapsed="false">
      <c r="A1095" s="2" t="s">
        <v>72</v>
      </c>
      <c r="B1095" s="2" t="s">
        <v>19279</v>
      </c>
      <c r="C1095" s="2"/>
      <c r="D1095" s="2"/>
      <c r="E1095" s="2"/>
      <c r="F1095" s="2" t="s">
        <v>19280</v>
      </c>
      <c r="G1095" s="2"/>
      <c r="H1095" s="2"/>
      <c r="I1095" s="2" t="s">
        <v>19281</v>
      </c>
      <c r="J1095" s="2" t="s">
        <v>717</v>
      </c>
      <c r="K1095" s="2"/>
      <c r="L1095" s="2"/>
      <c r="M1095" s="2" t="s">
        <v>77</v>
      </c>
      <c r="N1095" s="2" t="s">
        <v>78</v>
      </c>
      <c r="O1095" s="2"/>
      <c r="P1095" s="2"/>
      <c r="Q1095" s="2"/>
      <c r="R1095" s="2"/>
      <c r="S1095" s="2"/>
      <c r="T1095" s="2" t="s">
        <v>19282</v>
      </c>
      <c r="U1095" s="2" t="s">
        <v>19283</v>
      </c>
      <c r="V1095" s="2" t="s">
        <v>19284</v>
      </c>
      <c r="W1095" s="2" t="s">
        <v>19285</v>
      </c>
      <c r="X1095" s="2" t="s">
        <v>19286</v>
      </c>
      <c r="Y1095" s="2" t="s">
        <v>19287</v>
      </c>
      <c r="Z1095" s="2" t="s">
        <v>19288</v>
      </c>
      <c r="AA1095" s="2"/>
      <c r="AB1095" s="2" t="s">
        <v>19289</v>
      </c>
      <c r="AC1095" s="2" t="s">
        <v>19290</v>
      </c>
      <c r="AD1095" s="2" t="s">
        <v>19291</v>
      </c>
      <c r="AE1095" s="2" t="s">
        <v>19292</v>
      </c>
      <c r="AF1095" s="2"/>
      <c r="AG1095" s="2" t="n">
        <v>22</v>
      </c>
      <c r="AH1095" s="2" t="n">
        <v>31</v>
      </c>
      <c r="AI1095" s="2" t="n">
        <v>32</v>
      </c>
      <c r="AJ1095" s="2" t="n">
        <v>0</v>
      </c>
      <c r="AK1095" s="2" t="n">
        <v>4</v>
      </c>
      <c r="AL1095" s="2" t="s">
        <v>549</v>
      </c>
      <c r="AM1095" s="2" t="s">
        <v>384</v>
      </c>
      <c r="AN1095" s="2" t="s">
        <v>550</v>
      </c>
      <c r="AO1095" s="2" t="s">
        <v>729</v>
      </c>
      <c r="AP1095" s="2" t="s">
        <v>730</v>
      </c>
      <c r="AQ1095" s="2"/>
      <c r="AR1095" s="2" t="s">
        <v>731</v>
      </c>
      <c r="AS1095" s="2" t="s">
        <v>732</v>
      </c>
      <c r="AT1095" s="2" t="s">
        <v>486</v>
      </c>
      <c r="AU1095" s="2" t="n">
        <v>2012</v>
      </c>
      <c r="AV1095" s="2" t="n">
        <v>182</v>
      </c>
      <c r="AW1095" s="2" t="s">
        <v>1407</v>
      </c>
      <c r="AX1095" s="2"/>
      <c r="AY1095" s="2"/>
      <c r="AZ1095" s="2"/>
      <c r="BA1095" s="2"/>
      <c r="BB1095" s="2" t="n">
        <v>82</v>
      </c>
      <c r="BC1095" s="2" t="n">
        <v>86</v>
      </c>
      <c r="BD1095" s="2"/>
      <c r="BE1095" s="2" t="s">
        <v>19293</v>
      </c>
      <c r="BF1095" s="2" t="str">
        <f aca="false">HYPERLINK("http://dx.doi.org/10.1016/j.jviromet.2012.03.015","http://dx.doi.org/10.1016/j.jviromet.2012.03.015")</f>
        <v>http://dx.doi.org/10.1016/j.jviromet.2012.03.015</v>
      </c>
      <c r="BG1095" s="2"/>
      <c r="BH1095" s="2"/>
      <c r="BI1095" s="2" t="n">
        <v>5</v>
      </c>
      <c r="BJ1095" s="2" t="s">
        <v>735</v>
      </c>
      <c r="BK1095" s="2" t="s">
        <v>100</v>
      </c>
      <c r="BL1095" s="2" t="s">
        <v>736</v>
      </c>
      <c r="BM1095" s="2" t="s">
        <v>19294</v>
      </c>
      <c r="BN1095" s="2" t="n">
        <v>22465255</v>
      </c>
      <c r="BO1095" s="2" t="s">
        <v>1089</v>
      </c>
      <c r="BP1095" s="2"/>
      <c r="BQ1095" s="2"/>
      <c r="BR1095" s="2" t="s">
        <v>104</v>
      </c>
      <c r="BS1095" s="2" t="s">
        <v>19295</v>
      </c>
      <c r="BT1095" s="2" t="str">
        <f aca="false">HYPERLINK("https%3A%2F%2Fwww.webofscience.com%2Fwos%2Fwoscc%2Ffull-record%2FWOS:000303900600012","View Full Record in Web of Science")</f>
        <v>View Full Record in Web of Science</v>
      </c>
    </row>
    <row r="1096" customFormat="false" ht="12.75" hidden="false" customHeight="false" outlineLevel="0" collapsed="false">
      <c r="A1096" s="2" t="s">
        <v>72</v>
      </c>
      <c r="B1096" s="2" t="s">
        <v>19296</v>
      </c>
      <c r="C1096" s="2"/>
      <c r="D1096" s="2"/>
      <c r="E1096" s="2"/>
      <c r="F1096" s="2" t="s">
        <v>19297</v>
      </c>
      <c r="G1096" s="2"/>
      <c r="H1096" s="2"/>
      <c r="I1096" s="2" t="s">
        <v>19298</v>
      </c>
      <c r="J1096" s="2" t="s">
        <v>4977</v>
      </c>
      <c r="K1096" s="2"/>
      <c r="L1096" s="2"/>
      <c r="M1096" s="2" t="s">
        <v>77</v>
      </c>
      <c r="N1096" s="2" t="s">
        <v>78</v>
      </c>
      <c r="O1096" s="2"/>
      <c r="P1096" s="2"/>
      <c r="Q1096" s="2"/>
      <c r="R1096" s="2"/>
      <c r="S1096" s="2"/>
      <c r="T1096" s="2" t="s">
        <v>19299</v>
      </c>
      <c r="U1096" s="2" t="s">
        <v>19300</v>
      </c>
      <c r="V1096" s="2" t="s">
        <v>19301</v>
      </c>
      <c r="W1096" s="2" t="s">
        <v>19302</v>
      </c>
      <c r="X1096" s="2" t="s">
        <v>7210</v>
      </c>
      <c r="Y1096" s="2" t="s">
        <v>19303</v>
      </c>
      <c r="Z1096" s="2" t="s">
        <v>19304</v>
      </c>
      <c r="AA1096" s="2" t="s">
        <v>19305</v>
      </c>
      <c r="AB1096" s="2" t="s">
        <v>19306</v>
      </c>
      <c r="AC1096" s="2" t="s">
        <v>19307</v>
      </c>
      <c r="AD1096" s="2" t="s">
        <v>19308</v>
      </c>
      <c r="AE1096" s="2" t="s">
        <v>19309</v>
      </c>
      <c r="AF1096" s="2"/>
      <c r="AG1096" s="2" t="n">
        <v>46</v>
      </c>
      <c r="AH1096" s="2" t="n">
        <v>0</v>
      </c>
      <c r="AI1096" s="2" t="n">
        <v>0</v>
      </c>
      <c r="AJ1096" s="2" t="n">
        <v>0</v>
      </c>
      <c r="AK1096" s="2" t="n">
        <v>0</v>
      </c>
      <c r="AL1096" s="2" t="s">
        <v>4987</v>
      </c>
      <c r="AM1096" s="2" t="s">
        <v>2438</v>
      </c>
      <c r="AN1096" s="2" t="s">
        <v>4988</v>
      </c>
      <c r="AO1096" s="2" t="s">
        <v>4989</v>
      </c>
      <c r="AP1096" s="2" t="s">
        <v>4990</v>
      </c>
      <c r="AQ1096" s="2"/>
      <c r="AR1096" s="2" t="s">
        <v>4991</v>
      </c>
      <c r="AS1096" s="2" t="s">
        <v>4992</v>
      </c>
      <c r="AT1096" s="2" t="s">
        <v>692</v>
      </c>
      <c r="AU1096" s="2" t="n">
        <v>2017</v>
      </c>
      <c r="AV1096" s="2" t="n">
        <v>5</v>
      </c>
      <c r="AW1096" s="2" t="n">
        <v>2</v>
      </c>
      <c r="AX1096" s="2"/>
      <c r="AY1096" s="2"/>
      <c r="AZ1096" s="2"/>
      <c r="BA1096" s="2"/>
      <c r="BB1096" s="2"/>
      <c r="BC1096" s="2"/>
      <c r="BD1096" s="2" t="s">
        <v>19310</v>
      </c>
      <c r="BE1096" s="2" t="s">
        <v>19311</v>
      </c>
      <c r="BF1096" s="2" t="str">
        <f aca="false">HYPERLINK("http://dx.doi.org/10.5812/pedinfect.39830","http://dx.doi.org/10.5812/pedinfect.39830")</f>
        <v>http://dx.doi.org/10.5812/pedinfect.39830</v>
      </c>
      <c r="BG1096" s="2"/>
      <c r="BH1096" s="2"/>
      <c r="BI1096" s="2" t="n">
        <v>8</v>
      </c>
      <c r="BJ1096" s="2" t="s">
        <v>601</v>
      </c>
      <c r="BK1096" s="2" t="s">
        <v>339</v>
      </c>
      <c r="BL1096" s="2" t="s">
        <v>601</v>
      </c>
      <c r="BM1096" s="2" t="s">
        <v>19312</v>
      </c>
      <c r="BN1096" s="2"/>
      <c r="BO1096" s="2"/>
      <c r="BP1096" s="2"/>
      <c r="BQ1096" s="2"/>
      <c r="BR1096" s="2" t="s">
        <v>104</v>
      </c>
      <c r="BS1096" s="2" t="s">
        <v>19313</v>
      </c>
      <c r="BT1096" s="2" t="str">
        <f aca="false">HYPERLINK("https%3A%2F%2Fwww.webofscience.com%2Fwos%2Fwoscc%2Ffull-record%2FWOS:000406071300012","View Full Record in Web of Science")</f>
        <v>View Full Record in Web of Science</v>
      </c>
    </row>
    <row r="1097" customFormat="false" ht="12.75" hidden="false" customHeight="false" outlineLevel="0" collapsed="false">
      <c r="A1097" s="2" t="s">
        <v>72</v>
      </c>
      <c r="B1097" s="2" t="s">
        <v>19314</v>
      </c>
      <c r="C1097" s="2"/>
      <c r="D1097" s="2"/>
      <c r="E1097" s="2"/>
      <c r="F1097" s="2" t="s">
        <v>19315</v>
      </c>
      <c r="G1097" s="2"/>
      <c r="H1097" s="2"/>
      <c r="I1097" s="2" t="s">
        <v>19316</v>
      </c>
      <c r="J1097" s="2" t="s">
        <v>7244</v>
      </c>
      <c r="K1097" s="2"/>
      <c r="L1097" s="2"/>
      <c r="M1097" s="2" t="s">
        <v>77</v>
      </c>
      <c r="N1097" s="2" t="s">
        <v>78</v>
      </c>
      <c r="O1097" s="2"/>
      <c r="P1097" s="2"/>
      <c r="Q1097" s="2"/>
      <c r="R1097" s="2"/>
      <c r="S1097" s="2"/>
      <c r="T1097" s="2" t="s">
        <v>19317</v>
      </c>
      <c r="U1097" s="2" t="s">
        <v>19318</v>
      </c>
      <c r="V1097" s="2" t="s">
        <v>19319</v>
      </c>
      <c r="W1097" s="2" t="s">
        <v>19320</v>
      </c>
      <c r="X1097" s="2" t="s">
        <v>19286</v>
      </c>
      <c r="Y1097" s="2" t="s">
        <v>19321</v>
      </c>
      <c r="Z1097" s="2" t="s">
        <v>19288</v>
      </c>
      <c r="AA1097" s="2"/>
      <c r="AB1097" s="2" t="s">
        <v>19322</v>
      </c>
      <c r="AC1097" s="2" t="s">
        <v>19290</v>
      </c>
      <c r="AD1097" s="2" t="s">
        <v>19291</v>
      </c>
      <c r="AE1097" s="2" t="s">
        <v>19323</v>
      </c>
      <c r="AF1097" s="2"/>
      <c r="AG1097" s="2" t="n">
        <v>31</v>
      </c>
      <c r="AH1097" s="2" t="n">
        <v>22</v>
      </c>
      <c r="AI1097" s="2" t="n">
        <v>23</v>
      </c>
      <c r="AJ1097" s="2" t="n">
        <v>3</v>
      </c>
      <c r="AK1097" s="2" t="n">
        <v>8</v>
      </c>
      <c r="AL1097" s="2" t="s">
        <v>782</v>
      </c>
      <c r="AM1097" s="2" t="s">
        <v>783</v>
      </c>
      <c r="AN1097" s="2" t="s">
        <v>784</v>
      </c>
      <c r="AO1097" s="2" t="s">
        <v>7252</v>
      </c>
      <c r="AP1097" s="2" t="s">
        <v>7253</v>
      </c>
      <c r="AQ1097" s="2"/>
      <c r="AR1097" s="2" t="s">
        <v>7254</v>
      </c>
      <c r="AS1097" s="2" t="s">
        <v>7255</v>
      </c>
      <c r="AT1097" s="2" t="s">
        <v>336</v>
      </c>
      <c r="AU1097" s="2" t="n">
        <v>2010</v>
      </c>
      <c r="AV1097" s="2" t="n">
        <v>16</v>
      </c>
      <c r="AW1097" s="2" t="n">
        <v>10</v>
      </c>
      <c r="AX1097" s="2"/>
      <c r="AY1097" s="2"/>
      <c r="AZ1097" s="2"/>
      <c r="BA1097" s="2"/>
      <c r="BB1097" s="2" t="n">
        <v>1568</v>
      </c>
      <c r="BC1097" s="2" t="n">
        <v>1573</v>
      </c>
      <c r="BD1097" s="2"/>
      <c r="BE1097" s="2" t="s">
        <v>19324</v>
      </c>
      <c r="BF1097" s="2" t="str">
        <f aca="false">HYPERLINK("http://dx.doi.org/10.1111/j.1469-0691.2010.03191.x","http://dx.doi.org/10.1111/j.1469-0691.2010.03191.x")</f>
        <v>http://dx.doi.org/10.1111/j.1469-0691.2010.03191.x</v>
      </c>
      <c r="BG1097" s="2"/>
      <c r="BH1097" s="2"/>
      <c r="BI1097" s="2" t="n">
        <v>6</v>
      </c>
      <c r="BJ1097" s="2" t="s">
        <v>1467</v>
      </c>
      <c r="BK1097" s="2" t="s">
        <v>100</v>
      </c>
      <c r="BL1097" s="2" t="s">
        <v>1467</v>
      </c>
      <c r="BM1097" s="2" t="s">
        <v>19325</v>
      </c>
      <c r="BN1097" s="2" t="n">
        <v>20156219</v>
      </c>
      <c r="BO1097" s="2" t="s">
        <v>656</v>
      </c>
      <c r="BP1097" s="2"/>
      <c r="BQ1097" s="2"/>
      <c r="BR1097" s="2" t="s">
        <v>104</v>
      </c>
      <c r="BS1097" s="2" t="s">
        <v>19326</v>
      </c>
      <c r="BT1097" s="2" t="str">
        <f aca="false">HYPERLINK("https%3A%2F%2Fwww.webofscience.com%2Fwos%2Fwoscc%2Ffull-record%2FWOS:000282184300012","View Full Record in Web of Science")</f>
        <v>View Full Record in Web of Science</v>
      </c>
    </row>
    <row r="1098" customFormat="false" ht="12.75" hidden="false" customHeight="false" outlineLevel="0" collapsed="false">
      <c r="A1098" s="2" t="s">
        <v>72</v>
      </c>
      <c r="B1098" s="2" t="s">
        <v>19327</v>
      </c>
      <c r="C1098" s="2"/>
      <c r="D1098" s="2"/>
      <c r="E1098" s="2"/>
      <c r="F1098" s="2" t="s">
        <v>19328</v>
      </c>
      <c r="G1098" s="2"/>
      <c r="H1098" s="2"/>
      <c r="I1098" s="2" t="s">
        <v>19329</v>
      </c>
      <c r="J1098" s="2" t="s">
        <v>1232</v>
      </c>
      <c r="K1098" s="2"/>
      <c r="L1098" s="2"/>
      <c r="M1098" s="2" t="s">
        <v>77</v>
      </c>
      <c r="N1098" s="2" t="s">
        <v>78</v>
      </c>
      <c r="O1098" s="2"/>
      <c r="P1098" s="2"/>
      <c r="Q1098" s="2"/>
      <c r="R1098" s="2"/>
      <c r="S1098" s="2"/>
      <c r="T1098" s="2" t="s">
        <v>19330</v>
      </c>
      <c r="U1098" s="2"/>
      <c r="V1098" s="2" t="s">
        <v>19331</v>
      </c>
      <c r="W1098" s="2" t="s">
        <v>19332</v>
      </c>
      <c r="X1098" s="2" t="s">
        <v>19333</v>
      </c>
      <c r="Y1098" s="2" t="s">
        <v>19334</v>
      </c>
      <c r="Z1098" s="2" t="s">
        <v>19335</v>
      </c>
      <c r="AA1098" s="2" t="s">
        <v>19336</v>
      </c>
      <c r="AB1098" s="2" t="s">
        <v>19337</v>
      </c>
      <c r="AC1098" s="2"/>
      <c r="AD1098" s="2"/>
      <c r="AE1098" s="2"/>
      <c r="AF1098" s="2"/>
      <c r="AG1098" s="2" t="n">
        <v>11</v>
      </c>
      <c r="AH1098" s="2" t="n">
        <v>2</v>
      </c>
      <c r="AI1098" s="2" t="n">
        <v>2</v>
      </c>
      <c r="AJ1098" s="2" t="n">
        <v>0</v>
      </c>
      <c r="AK1098" s="2" t="n">
        <v>0</v>
      </c>
      <c r="AL1098" s="2" t="s">
        <v>1242</v>
      </c>
      <c r="AM1098" s="2" t="s">
        <v>303</v>
      </c>
      <c r="AN1098" s="2" t="s">
        <v>467</v>
      </c>
      <c r="AO1098" s="2"/>
      <c r="AP1098" s="2" t="s">
        <v>1243</v>
      </c>
      <c r="AQ1098" s="2"/>
      <c r="AR1098" s="2" t="s">
        <v>1244</v>
      </c>
      <c r="AS1098" s="2" t="s">
        <v>1245</v>
      </c>
      <c r="AT1098" s="2" t="s">
        <v>9604</v>
      </c>
      <c r="AU1098" s="2" t="n">
        <v>2024</v>
      </c>
      <c r="AV1098" s="2" t="n">
        <v>16</v>
      </c>
      <c r="AW1098" s="2" t="n">
        <v>4</v>
      </c>
      <c r="AX1098" s="2"/>
      <c r="AY1098" s="2"/>
      <c r="AZ1098" s="2"/>
      <c r="BA1098" s="2"/>
      <c r="BB1098" s="2"/>
      <c r="BC1098" s="2"/>
      <c r="BD1098" s="2" t="s">
        <v>19338</v>
      </c>
      <c r="BE1098" s="2" t="s">
        <v>19339</v>
      </c>
      <c r="BF1098" s="2" t="str">
        <f aca="false">HYPERLINK("http://dx.doi.org/10.7759/cureus.57951","http://dx.doi.org/10.7759/cureus.57951")</f>
        <v>http://dx.doi.org/10.7759/cureus.57951</v>
      </c>
      <c r="BG1098" s="2"/>
      <c r="BH1098" s="2"/>
      <c r="BI1098" s="2" t="n">
        <v>10</v>
      </c>
      <c r="BJ1098" s="2" t="s">
        <v>363</v>
      </c>
      <c r="BK1098" s="2" t="s">
        <v>339</v>
      </c>
      <c r="BL1098" s="2" t="s">
        <v>364</v>
      </c>
      <c r="BM1098" s="2" t="s">
        <v>19340</v>
      </c>
      <c r="BN1098" s="2" t="n">
        <v>38738071</v>
      </c>
      <c r="BO1098" s="2" t="s">
        <v>103</v>
      </c>
      <c r="BP1098" s="2"/>
      <c r="BQ1098" s="2"/>
      <c r="BR1098" s="2" t="s">
        <v>104</v>
      </c>
      <c r="BS1098" s="2" t="s">
        <v>19341</v>
      </c>
      <c r="BT1098" s="2" t="str">
        <f aca="false">HYPERLINK("https%3A%2F%2Fwww.webofscience.com%2Fwos%2Fwoscc%2Ffull-record%2FWOS:001209776500031","View Full Record in Web of Science")</f>
        <v>View Full Record in Web of Science</v>
      </c>
    </row>
    <row r="1099" customFormat="false" ht="12.75" hidden="false" customHeight="false" outlineLevel="0" collapsed="false">
      <c r="A1099" s="2" t="s">
        <v>72</v>
      </c>
      <c r="B1099" s="2" t="s">
        <v>19342</v>
      </c>
      <c r="C1099" s="2"/>
      <c r="D1099" s="2"/>
      <c r="E1099" s="2"/>
      <c r="F1099" s="2" t="s">
        <v>19343</v>
      </c>
      <c r="G1099" s="2"/>
      <c r="H1099" s="2"/>
      <c r="I1099" s="2" t="s">
        <v>19344</v>
      </c>
      <c r="J1099" s="2" t="s">
        <v>19345</v>
      </c>
      <c r="K1099" s="2"/>
      <c r="L1099" s="2"/>
      <c r="M1099" s="2" t="s">
        <v>77</v>
      </c>
      <c r="N1099" s="2" t="s">
        <v>78</v>
      </c>
      <c r="O1099" s="2"/>
      <c r="P1099" s="2"/>
      <c r="Q1099" s="2"/>
      <c r="R1099" s="2"/>
      <c r="S1099" s="2"/>
      <c r="T1099" s="2" t="s">
        <v>19346</v>
      </c>
      <c r="U1099" s="2"/>
      <c r="V1099" s="2" t="s">
        <v>19347</v>
      </c>
      <c r="W1099" s="2" t="s">
        <v>19348</v>
      </c>
      <c r="X1099" s="2"/>
      <c r="Y1099" s="2" t="s">
        <v>19349</v>
      </c>
      <c r="Z1099" s="2" t="s">
        <v>19350</v>
      </c>
      <c r="AA1099" s="2" t="s">
        <v>19351</v>
      </c>
      <c r="AB1099" s="2" t="s">
        <v>19352</v>
      </c>
      <c r="AC1099" s="2"/>
      <c r="AD1099" s="2"/>
      <c r="AE1099" s="2"/>
      <c r="AF1099" s="2"/>
      <c r="AG1099" s="2" t="n">
        <v>13</v>
      </c>
      <c r="AH1099" s="2" t="n">
        <v>1</v>
      </c>
      <c r="AI1099" s="2" t="n">
        <v>1</v>
      </c>
      <c r="AJ1099" s="2" t="n">
        <v>0</v>
      </c>
      <c r="AK1099" s="2" t="n">
        <v>2</v>
      </c>
      <c r="AL1099" s="2" t="s">
        <v>782</v>
      </c>
      <c r="AM1099" s="2" t="s">
        <v>783</v>
      </c>
      <c r="AN1099" s="2" t="s">
        <v>784</v>
      </c>
      <c r="AO1099" s="2" t="s">
        <v>19353</v>
      </c>
      <c r="AP1099" s="2"/>
      <c r="AQ1099" s="2"/>
      <c r="AR1099" s="2" t="s">
        <v>19354</v>
      </c>
      <c r="AS1099" s="2" t="s">
        <v>19354</v>
      </c>
      <c r="AT1099" s="2"/>
      <c r="AU1099" s="2" t="n">
        <v>2020</v>
      </c>
      <c r="AV1099" s="2" t="n">
        <v>21</v>
      </c>
      <c r="AW1099" s="2"/>
      <c r="AX1099" s="2"/>
      <c r="AY1099" s="2"/>
      <c r="AZ1099" s="2"/>
      <c r="BA1099" s="2"/>
      <c r="BB1099" s="2"/>
      <c r="BC1099" s="2"/>
      <c r="BD1099" s="2" t="s">
        <v>19355</v>
      </c>
      <c r="BE1099" s="2" t="s">
        <v>19356</v>
      </c>
      <c r="BF1099" s="2" t="str">
        <f aca="false">HYPERLINK("http://dx.doi.org/10.1016/j.idcr.2020.e00894","http://dx.doi.org/10.1016/j.idcr.2020.e00894")</f>
        <v>http://dx.doi.org/10.1016/j.idcr.2020.e00894</v>
      </c>
      <c r="BG1099" s="2"/>
      <c r="BH1099" s="2"/>
      <c r="BI1099" s="2" t="n">
        <v>3</v>
      </c>
      <c r="BJ1099" s="2" t="s">
        <v>575</v>
      </c>
      <c r="BK1099" s="2" t="s">
        <v>339</v>
      </c>
      <c r="BL1099" s="2" t="s">
        <v>575</v>
      </c>
      <c r="BM1099" s="2" t="s">
        <v>19357</v>
      </c>
      <c r="BN1099" s="2" t="n">
        <v>32665889</v>
      </c>
      <c r="BO1099" s="2" t="s">
        <v>190</v>
      </c>
      <c r="BP1099" s="2"/>
      <c r="BQ1099" s="2"/>
      <c r="BR1099" s="2" t="s">
        <v>104</v>
      </c>
      <c r="BS1099" s="2" t="s">
        <v>19358</v>
      </c>
      <c r="BT1099" s="2" t="str">
        <f aca="false">HYPERLINK("https%3A%2F%2Fwww.webofscience.com%2Fwos%2Fwoscc%2Ffull-record%2FWOS:000567868500027","View Full Record in Web of Science")</f>
        <v>View Full Record in Web of Science</v>
      </c>
    </row>
    <row r="1100" customFormat="false" ht="12.75" hidden="false" customHeight="false" outlineLevel="0" collapsed="false">
      <c r="A1100" s="2" t="s">
        <v>72</v>
      </c>
      <c r="B1100" s="2" t="s">
        <v>19359</v>
      </c>
      <c r="C1100" s="2"/>
      <c r="D1100" s="2"/>
      <c r="E1100" s="2"/>
      <c r="F1100" s="2" t="s">
        <v>19360</v>
      </c>
      <c r="G1100" s="2"/>
      <c r="H1100" s="2"/>
      <c r="I1100" s="2" t="s">
        <v>19361</v>
      </c>
      <c r="J1100" s="2" t="s">
        <v>141</v>
      </c>
      <c r="K1100" s="2"/>
      <c r="L1100" s="2"/>
      <c r="M1100" s="2" t="s">
        <v>77</v>
      </c>
      <c r="N1100" s="2" t="s">
        <v>78</v>
      </c>
      <c r="O1100" s="2"/>
      <c r="P1100" s="2"/>
      <c r="Q1100" s="2"/>
      <c r="R1100" s="2"/>
      <c r="S1100" s="2"/>
      <c r="T1100" s="2" t="s">
        <v>19362</v>
      </c>
      <c r="U1100" s="2" t="s">
        <v>19363</v>
      </c>
      <c r="V1100" s="2" t="s">
        <v>19364</v>
      </c>
      <c r="W1100" s="2" t="s">
        <v>19365</v>
      </c>
      <c r="X1100" s="2" t="s">
        <v>19366</v>
      </c>
      <c r="Y1100" s="2" t="s">
        <v>19367</v>
      </c>
      <c r="Z1100" s="2" t="s">
        <v>1643</v>
      </c>
      <c r="AA1100" s="2" t="s">
        <v>19368</v>
      </c>
      <c r="AB1100" s="2" t="s">
        <v>19369</v>
      </c>
      <c r="AC1100" s="2" t="s">
        <v>19370</v>
      </c>
      <c r="AD1100" s="2" t="s">
        <v>19371</v>
      </c>
      <c r="AE1100" s="2" t="s">
        <v>19372</v>
      </c>
      <c r="AF1100" s="2"/>
      <c r="AG1100" s="2" t="n">
        <v>42</v>
      </c>
      <c r="AH1100" s="2" t="n">
        <v>15</v>
      </c>
      <c r="AI1100" s="2" t="n">
        <v>21</v>
      </c>
      <c r="AJ1100" s="2" t="n">
        <v>0</v>
      </c>
      <c r="AK1100" s="2" t="n">
        <v>9</v>
      </c>
      <c r="AL1100" s="2" t="s">
        <v>3813</v>
      </c>
      <c r="AM1100" s="2" t="s">
        <v>155</v>
      </c>
      <c r="AN1100" s="2" t="s">
        <v>156</v>
      </c>
      <c r="AO1100" s="2" t="s">
        <v>157</v>
      </c>
      <c r="AP1100" s="2" t="s">
        <v>158</v>
      </c>
      <c r="AQ1100" s="2"/>
      <c r="AR1100" s="2" t="s">
        <v>159</v>
      </c>
      <c r="AS1100" s="2" t="s">
        <v>160</v>
      </c>
      <c r="AT1100" s="2" t="s">
        <v>599</v>
      </c>
      <c r="AU1100" s="2" t="n">
        <v>2014</v>
      </c>
      <c r="AV1100" s="2" t="n">
        <v>86</v>
      </c>
      <c r="AW1100" s="2" t="n">
        <v>7</v>
      </c>
      <c r="AX1100" s="2"/>
      <c r="AY1100" s="2"/>
      <c r="AZ1100" s="2"/>
      <c r="BA1100" s="2"/>
      <c r="BB1100" s="2" t="n">
        <v>1256</v>
      </c>
      <c r="BC1100" s="2" t="n">
        <v>1266</v>
      </c>
      <c r="BD1100" s="2"/>
      <c r="BE1100" s="2" t="s">
        <v>19373</v>
      </c>
      <c r="BF1100" s="2" t="str">
        <f aca="false">HYPERLINK("http://dx.doi.org/10.1002/jmv.23807","http://dx.doi.org/10.1002/jmv.23807")</f>
        <v>http://dx.doi.org/10.1002/jmv.23807</v>
      </c>
      <c r="BG1100" s="2"/>
      <c r="BH1100" s="2"/>
      <c r="BI1100" s="2" t="n">
        <v>11</v>
      </c>
      <c r="BJ1100" s="2" t="s">
        <v>163</v>
      </c>
      <c r="BK1100" s="2" t="s">
        <v>100</v>
      </c>
      <c r="BL1100" s="2" t="s">
        <v>163</v>
      </c>
      <c r="BM1100" s="2" t="s">
        <v>3842</v>
      </c>
      <c r="BN1100" s="2" t="n">
        <v>24150877</v>
      </c>
      <c r="BO1100" s="2"/>
      <c r="BP1100" s="2"/>
      <c r="BQ1100" s="2"/>
      <c r="BR1100" s="2" t="s">
        <v>104</v>
      </c>
      <c r="BS1100" s="2" t="s">
        <v>19374</v>
      </c>
      <c r="BT1100" s="2" t="str">
        <f aca="false">HYPERLINK("https%3A%2F%2Fwww.webofscience.com%2Fwos%2Fwoscc%2Ffull-record%2FWOS:000335195300024","View Full Record in Web of Science")</f>
        <v>View Full Record in Web of Science</v>
      </c>
    </row>
    <row r="1101" customFormat="false" ht="12.75" hidden="false" customHeight="false" outlineLevel="0" collapsed="false">
      <c r="A1101" s="2" t="s">
        <v>72</v>
      </c>
      <c r="B1101" s="2" t="s">
        <v>19375</v>
      </c>
      <c r="C1101" s="2"/>
      <c r="D1101" s="2"/>
      <c r="E1101" s="2"/>
      <c r="F1101" s="2" t="s">
        <v>19376</v>
      </c>
      <c r="G1101" s="2"/>
      <c r="H1101" s="2"/>
      <c r="I1101" s="2" t="s">
        <v>19377</v>
      </c>
      <c r="J1101" s="2" t="s">
        <v>19145</v>
      </c>
      <c r="K1101" s="2"/>
      <c r="L1101" s="2"/>
      <c r="M1101" s="2" t="s">
        <v>77</v>
      </c>
      <c r="N1101" s="2" t="s">
        <v>78</v>
      </c>
      <c r="O1101" s="2"/>
      <c r="P1101" s="2"/>
      <c r="Q1101" s="2"/>
      <c r="R1101" s="2"/>
      <c r="S1101" s="2"/>
      <c r="T1101" s="2" t="s">
        <v>19378</v>
      </c>
      <c r="U1101" s="2" t="s">
        <v>19379</v>
      </c>
      <c r="V1101" s="2" t="s">
        <v>19380</v>
      </c>
      <c r="W1101" s="2" t="s">
        <v>19381</v>
      </c>
      <c r="X1101" s="2" t="s">
        <v>19382</v>
      </c>
      <c r="Y1101" s="2" t="s">
        <v>19383</v>
      </c>
      <c r="Z1101" s="2" t="s">
        <v>19384</v>
      </c>
      <c r="AA1101" s="2" t="s">
        <v>12716</v>
      </c>
      <c r="AB1101" s="2" t="s">
        <v>19385</v>
      </c>
      <c r="AC1101" s="2"/>
      <c r="AD1101" s="2"/>
      <c r="AE1101" s="2"/>
      <c r="AF1101" s="2"/>
      <c r="AG1101" s="2" t="n">
        <v>61</v>
      </c>
      <c r="AH1101" s="2" t="n">
        <v>38</v>
      </c>
      <c r="AI1101" s="2" t="n">
        <v>42</v>
      </c>
      <c r="AJ1101" s="2" t="n">
        <v>2</v>
      </c>
      <c r="AK1101" s="2" t="n">
        <v>11</v>
      </c>
      <c r="AL1101" s="2" t="s">
        <v>13712</v>
      </c>
      <c r="AM1101" s="2" t="s">
        <v>303</v>
      </c>
      <c r="AN1101" s="2" t="s">
        <v>13713</v>
      </c>
      <c r="AO1101" s="2" t="s">
        <v>19158</v>
      </c>
      <c r="AP1101" s="2" t="s">
        <v>19159</v>
      </c>
      <c r="AQ1101" s="2"/>
      <c r="AR1101" s="2" t="s">
        <v>19160</v>
      </c>
      <c r="AS1101" s="2" t="s">
        <v>19161</v>
      </c>
      <c r="AT1101" s="2" t="s">
        <v>692</v>
      </c>
      <c r="AU1101" s="2" t="n">
        <v>2013</v>
      </c>
      <c r="AV1101" s="2" t="n">
        <v>8</v>
      </c>
      <c r="AW1101" s="2" t="n">
        <v>4</v>
      </c>
      <c r="AX1101" s="2"/>
      <c r="AY1101" s="2"/>
      <c r="AZ1101" s="2"/>
      <c r="BA1101" s="2"/>
      <c r="BB1101" s="2" t="n">
        <v>435</v>
      </c>
      <c r="BC1101" s="2" t="n">
        <v>444</v>
      </c>
      <c r="BD1101" s="2"/>
      <c r="BE1101" s="2" t="s">
        <v>19386</v>
      </c>
      <c r="BF1101" s="2" t="str">
        <f aca="false">HYPERLINK("http://dx.doi.org/10.2217/FMB.13.9","http://dx.doi.org/10.2217/FMB.13.9")</f>
        <v>http://dx.doi.org/10.2217/FMB.13.9</v>
      </c>
      <c r="BG1101" s="2"/>
      <c r="BH1101" s="2"/>
      <c r="BI1101" s="2" t="n">
        <v>10</v>
      </c>
      <c r="BJ1101" s="2" t="s">
        <v>211</v>
      </c>
      <c r="BK1101" s="2" t="s">
        <v>100</v>
      </c>
      <c r="BL1101" s="2" t="s">
        <v>211</v>
      </c>
      <c r="BM1101" s="2" t="s">
        <v>19387</v>
      </c>
      <c r="BN1101" s="2" t="n">
        <v>23534357</v>
      </c>
      <c r="BO1101" s="2"/>
      <c r="BP1101" s="2"/>
      <c r="BQ1101" s="2"/>
      <c r="BR1101" s="2" t="s">
        <v>104</v>
      </c>
      <c r="BS1101" s="2" t="s">
        <v>19388</v>
      </c>
      <c r="BT1101" s="2" t="str">
        <f aca="false">HYPERLINK("https%3A%2F%2Fwww.webofscience.com%2Fwos%2Fwoscc%2Ffull-record%2FWOS:000316799400007","View Full Record in Web of Science")</f>
        <v>View Full Record in Web of Science</v>
      </c>
    </row>
    <row r="1102" customFormat="false" ht="12.75" hidden="false" customHeight="false" outlineLevel="0" collapsed="false">
      <c r="A1102" s="2" t="s">
        <v>72</v>
      </c>
      <c r="B1102" s="2" t="s">
        <v>19389</v>
      </c>
      <c r="C1102" s="2"/>
      <c r="D1102" s="2"/>
      <c r="E1102" s="2"/>
      <c r="F1102" s="2" t="s">
        <v>19390</v>
      </c>
      <c r="G1102" s="2"/>
      <c r="H1102" s="2"/>
      <c r="I1102" s="2" t="s">
        <v>19391</v>
      </c>
      <c r="J1102" s="2" t="s">
        <v>7244</v>
      </c>
      <c r="K1102" s="2"/>
      <c r="L1102" s="2"/>
      <c r="M1102" s="2" t="s">
        <v>77</v>
      </c>
      <c r="N1102" s="2" t="s">
        <v>78</v>
      </c>
      <c r="O1102" s="2"/>
      <c r="P1102" s="2"/>
      <c r="Q1102" s="2"/>
      <c r="R1102" s="2"/>
      <c r="S1102" s="2"/>
      <c r="T1102" s="2" t="s">
        <v>19392</v>
      </c>
      <c r="U1102" s="2" t="s">
        <v>19393</v>
      </c>
      <c r="V1102" s="2" t="s">
        <v>19394</v>
      </c>
      <c r="W1102" s="2" t="s">
        <v>19395</v>
      </c>
      <c r="X1102" s="2" t="s">
        <v>19396</v>
      </c>
      <c r="Y1102" s="2" t="s">
        <v>19397</v>
      </c>
      <c r="Z1102" s="2" t="s">
        <v>19398</v>
      </c>
      <c r="AA1102" s="2" t="s">
        <v>19399</v>
      </c>
      <c r="AB1102" s="2" t="s">
        <v>19400</v>
      </c>
      <c r="AC1102" s="2" t="s">
        <v>19401</v>
      </c>
      <c r="AD1102" s="2" t="s">
        <v>19402</v>
      </c>
      <c r="AE1102" s="2" t="s">
        <v>19403</v>
      </c>
      <c r="AF1102" s="2"/>
      <c r="AG1102" s="2" t="n">
        <v>33</v>
      </c>
      <c r="AH1102" s="2" t="n">
        <v>6</v>
      </c>
      <c r="AI1102" s="2" t="n">
        <v>6</v>
      </c>
      <c r="AJ1102" s="2" t="n">
        <v>0</v>
      </c>
      <c r="AK1102" s="2" t="n">
        <v>3</v>
      </c>
      <c r="AL1102" s="2" t="s">
        <v>782</v>
      </c>
      <c r="AM1102" s="2" t="s">
        <v>783</v>
      </c>
      <c r="AN1102" s="2" t="s">
        <v>784</v>
      </c>
      <c r="AO1102" s="2" t="s">
        <v>7252</v>
      </c>
      <c r="AP1102" s="2" t="s">
        <v>7253</v>
      </c>
      <c r="AQ1102" s="2"/>
      <c r="AR1102" s="2" t="s">
        <v>7254</v>
      </c>
      <c r="AS1102" s="2" t="s">
        <v>7255</v>
      </c>
      <c r="AT1102" s="2" t="s">
        <v>804</v>
      </c>
      <c r="AU1102" s="2" t="n">
        <v>2010</v>
      </c>
      <c r="AV1102" s="2" t="n">
        <v>16</v>
      </c>
      <c r="AW1102" s="2" t="n">
        <v>11</v>
      </c>
      <c r="AX1102" s="2"/>
      <c r="AY1102" s="2"/>
      <c r="AZ1102" s="2"/>
      <c r="BA1102" s="2"/>
      <c r="BB1102" s="2" t="n">
        <v>1663</v>
      </c>
      <c r="BC1102" s="2" t="n">
        <v>1668</v>
      </c>
      <c r="BD1102" s="2"/>
      <c r="BE1102" s="2" t="s">
        <v>19404</v>
      </c>
      <c r="BF1102" s="2" t="str">
        <f aca="false">HYPERLINK("http://dx.doi.org/10.1111/j.1469-0691.2010.03192.x","http://dx.doi.org/10.1111/j.1469-0691.2010.03192.x")</f>
        <v>http://dx.doi.org/10.1111/j.1469-0691.2010.03192.x</v>
      </c>
      <c r="BG1102" s="2"/>
      <c r="BH1102" s="2"/>
      <c r="BI1102" s="2" t="n">
        <v>6</v>
      </c>
      <c r="BJ1102" s="2" t="s">
        <v>1467</v>
      </c>
      <c r="BK1102" s="2" t="s">
        <v>100</v>
      </c>
      <c r="BL1102" s="2" t="s">
        <v>1467</v>
      </c>
      <c r="BM1102" s="2" t="s">
        <v>19405</v>
      </c>
      <c r="BN1102" s="2" t="n">
        <v>20156218</v>
      </c>
      <c r="BO1102" s="2" t="s">
        <v>656</v>
      </c>
      <c r="BP1102" s="2"/>
      <c r="BQ1102" s="2"/>
      <c r="BR1102" s="2" t="s">
        <v>104</v>
      </c>
      <c r="BS1102" s="2" t="s">
        <v>19406</v>
      </c>
      <c r="BT1102" s="2" t="str">
        <f aca="false">HYPERLINK("https%3A%2F%2Fwww.webofscience.com%2Fwos%2Fwoscc%2Ffull-record%2FWOS:000282819000012","View Full Record in Web of Science")</f>
        <v>View Full Record in Web of Science</v>
      </c>
    </row>
    <row r="1103" customFormat="false" ht="12.75" hidden="false" customHeight="false" outlineLevel="0" collapsed="false">
      <c r="A1103" s="2" t="s">
        <v>72</v>
      </c>
      <c r="B1103" s="2" t="s">
        <v>19407</v>
      </c>
      <c r="C1103" s="2"/>
      <c r="D1103" s="2"/>
      <c r="E1103" s="2"/>
      <c r="F1103" s="2" t="s">
        <v>19408</v>
      </c>
      <c r="G1103" s="2"/>
      <c r="H1103" s="2"/>
      <c r="I1103" s="2" t="s">
        <v>19409</v>
      </c>
      <c r="J1103" s="2" t="s">
        <v>141</v>
      </c>
      <c r="K1103" s="2"/>
      <c r="L1103" s="2"/>
      <c r="M1103" s="2" t="s">
        <v>77</v>
      </c>
      <c r="N1103" s="2" t="s">
        <v>78</v>
      </c>
      <c r="O1103" s="2"/>
      <c r="P1103" s="2"/>
      <c r="Q1103" s="2"/>
      <c r="R1103" s="2"/>
      <c r="S1103" s="2"/>
      <c r="T1103" s="2" t="s">
        <v>19410</v>
      </c>
      <c r="U1103" s="2" t="s">
        <v>19411</v>
      </c>
      <c r="V1103" s="2" t="s">
        <v>19412</v>
      </c>
      <c r="W1103" s="2" t="s">
        <v>19413</v>
      </c>
      <c r="X1103" s="2" t="s">
        <v>14507</v>
      </c>
      <c r="Y1103" s="2" t="s">
        <v>19414</v>
      </c>
      <c r="Z1103" s="2" t="s">
        <v>14509</v>
      </c>
      <c r="AA1103" s="2" t="s">
        <v>19415</v>
      </c>
      <c r="AB1103" s="2" t="s">
        <v>19416</v>
      </c>
      <c r="AC1103" s="2"/>
      <c r="AD1103" s="2"/>
      <c r="AE1103" s="2"/>
      <c r="AF1103" s="2"/>
      <c r="AG1103" s="2" t="n">
        <v>38</v>
      </c>
      <c r="AH1103" s="2" t="n">
        <v>23</v>
      </c>
      <c r="AI1103" s="2" t="n">
        <v>27</v>
      </c>
      <c r="AJ1103" s="2" t="n">
        <v>0</v>
      </c>
      <c r="AK1103" s="2" t="n">
        <v>2</v>
      </c>
      <c r="AL1103" s="2" t="s">
        <v>154</v>
      </c>
      <c r="AM1103" s="2" t="s">
        <v>155</v>
      </c>
      <c r="AN1103" s="2" t="s">
        <v>156</v>
      </c>
      <c r="AO1103" s="2" t="s">
        <v>157</v>
      </c>
      <c r="AP1103" s="2" t="s">
        <v>158</v>
      </c>
      <c r="AQ1103" s="2"/>
      <c r="AR1103" s="2" t="s">
        <v>159</v>
      </c>
      <c r="AS1103" s="2" t="s">
        <v>160</v>
      </c>
      <c r="AT1103" s="2" t="s">
        <v>129</v>
      </c>
      <c r="AU1103" s="2" t="n">
        <v>2006</v>
      </c>
      <c r="AV1103" s="2" t="n">
        <v>78</v>
      </c>
      <c r="AW1103" s="2" t="n">
        <v>9</v>
      </c>
      <c r="AX1103" s="2"/>
      <c r="AY1103" s="2"/>
      <c r="AZ1103" s="2"/>
      <c r="BA1103" s="2"/>
      <c r="BB1103" s="2" t="n">
        <v>1223</v>
      </c>
      <c r="BC1103" s="2" t="n">
        <v>1231</v>
      </c>
      <c r="BD1103" s="2"/>
      <c r="BE1103" s="2" t="s">
        <v>19417</v>
      </c>
      <c r="BF1103" s="2" t="str">
        <f aca="false">HYPERLINK("http://dx.doi.org/10.1002/jmv.20685","http://dx.doi.org/10.1002/jmv.20685")</f>
        <v>http://dx.doi.org/10.1002/jmv.20685</v>
      </c>
      <c r="BG1103" s="2"/>
      <c r="BH1103" s="2"/>
      <c r="BI1103" s="2" t="n">
        <v>9</v>
      </c>
      <c r="BJ1103" s="2" t="s">
        <v>163</v>
      </c>
      <c r="BK1103" s="2" t="s">
        <v>100</v>
      </c>
      <c r="BL1103" s="2" t="s">
        <v>163</v>
      </c>
      <c r="BM1103" s="2" t="s">
        <v>432</v>
      </c>
      <c r="BN1103" s="2" t="n">
        <v>16847967</v>
      </c>
      <c r="BO1103" s="2"/>
      <c r="BP1103" s="2"/>
      <c r="BQ1103" s="2"/>
      <c r="BR1103" s="2" t="s">
        <v>104</v>
      </c>
      <c r="BS1103" s="2" t="s">
        <v>19418</v>
      </c>
      <c r="BT1103" s="2" t="str">
        <f aca="false">HYPERLINK("https%3A%2F%2Fwww.webofscience.com%2Fwos%2Fwoscc%2Ffull-record%2FWOS:000239404400012","View Full Record in Web of Science")</f>
        <v>View Full Record in Web of Science</v>
      </c>
    </row>
    <row r="1104" customFormat="false" ht="12.75" hidden="false" customHeight="false" outlineLevel="0" collapsed="false">
      <c r="A1104" s="2" t="s">
        <v>72</v>
      </c>
      <c r="B1104" s="2" t="s">
        <v>19419</v>
      </c>
      <c r="C1104" s="2"/>
      <c r="D1104" s="2"/>
      <c r="E1104" s="2"/>
      <c r="F1104" s="2" t="s">
        <v>19420</v>
      </c>
      <c r="G1104" s="2"/>
      <c r="H1104" s="2"/>
      <c r="I1104" s="2" t="s">
        <v>19421</v>
      </c>
      <c r="J1104" s="2" t="s">
        <v>12527</v>
      </c>
      <c r="K1104" s="2"/>
      <c r="L1104" s="2"/>
      <c r="M1104" s="2" t="s">
        <v>77</v>
      </c>
      <c r="N1104" s="2" t="s">
        <v>78</v>
      </c>
      <c r="O1104" s="2"/>
      <c r="P1104" s="2"/>
      <c r="Q1104" s="2"/>
      <c r="R1104" s="2"/>
      <c r="S1104" s="2"/>
      <c r="T1104" s="2" t="s">
        <v>19422</v>
      </c>
      <c r="U1104" s="2" t="s">
        <v>19423</v>
      </c>
      <c r="V1104" s="2" t="s">
        <v>19424</v>
      </c>
      <c r="W1104" s="2" t="s">
        <v>19425</v>
      </c>
      <c r="X1104" s="2" t="s">
        <v>19426</v>
      </c>
      <c r="Y1104" s="2" t="s">
        <v>19427</v>
      </c>
      <c r="Z1104" s="2" t="s">
        <v>19428</v>
      </c>
      <c r="AA1104" s="2"/>
      <c r="AB1104" s="2"/>
      <c r="AC1104" s="2" t="s">
        <v>19429</v>
      </c>
      <c r="AD1104" s="2" t="s">
        <v>19429</v>
      </c>
      <c r="AE1104" s="2" t="s">
        <v>19430</v>
      </c>
      <c r="AF1104" s="2"/>
      <c r="AG1104" s="2" t="n">
        <v>19</v>
      </c>
      <c r="AH1104" s="2" t="n">
        <v>33</v>
      </c>
      <c r="AI1104" s="2" t="n">
        <v>36</v>
      </c>
      <c r="AJ1104" s="2" t="n">
        <v>0</v>
      </c>
      <c r="AK1104" s="2" t="n">
        <v>9</v>
      </c>
      <c r="AL1104" s="2" t="s">
        <v>154</v>
      </c>
      <c r="AM1104" s="2" t="s">
        <v>155</v>
      </c>
      <c r="AN1104" s="2" t="s">
        <v>12538</v>
      </c>
      <c r="AO1104" s="2" t="s">
        <v>12539</v>
      </c>
      <c r="AP1104" s="2" t="s">
        <v>12540</v>
      </c>
      <c r="AQ1104" s="2"/>
      <c r="AR1104" s="2" t="s">
        <v>12541</v>
      </c>
      <c r="AS1104" s="2" t="s">
        <v>12542</v>
      </c>
      <c r="AT1104" s="2" t="s">
        <v>97</v>
      </c>
      <c r="AU1104" s="2" t="n">
        <v>2013</v>
      </c>
      <c r="AV1104" s="2" t="n">
        <v>27</v>
      </c>
      <c r="AW1104" s="2" t="n">
        <v>2</v>
      </c>
      <c r="AX1104" s="2"/>
      <c r="AY1104" s="2"/>
      <c r="AZ1104" s="2"/>
      <c r="BA1104" s="2"/>
      <c r="BB1104" s="2" t="n">
        <v>148</v>
      </c>
      <c r="BC1104" s="2" t="n">
        <v>154</v>
      </c>
      <c r="BD1104" s="2"/>
      <c r="BE1104" s="2" t="s">
        <v>19431</v>
      </c>
      <c r="BF1104" s="2" t="str">
        <f aca="false">HYPERLINK("http://dx.doi.org/10.1002/jcla.21576","http://dx.doi.org/10.1002/jcla.21576")</f>
        <v>http://dx.doi.org/10.1002/jcla.21576</v>
      </c>
      <c r="BG1104" s="2"/>
      <c r="BH1104" s="2"/>
      <c r="BI1104" s="2" t="n">
        <v>7</v>
      </c>
      <c r="BJ1104" s="2" t="s">
        <v>3122</v>
      </c>
      <c r="BK1104" s="2" t="s">
        <v>100</v>
      </c>
      <c r="BL1104" s="2" t="s">
        <v>3122</v>
      </c>
      <c r="BM1104" s="2" t="s">
        <v>19432</v>
      </c>
      <c r="BN1104" s="2" t="n">
        <v>23424157</v>
      </c>
      <c r="BO1104" s="2" t="s">
        <v>165</v>
      </c>
      <c r="BP1104" s="2"/>
      <c r="BQ1104" s="2"/>
      <c r="BR1104" s="2" t="s">
        <v>104</v>
      </c>
      <c r="BS1104" s="2" t="s">
        <v>19433</v>
      </c>
      <c r="BT1104" s="2" t="str">
        <f aca="false">HYPERLINK("https%3A%2F%2Fwww.webofscience.com%2Fwos%2Fwoscc%2Ffull-record%2FWOS:000329810800010","View Full Record in Web of Science")</f>
        <v>View Full Record in Web of Science</v>
      </c>
    </row>
    <row r="1105" customFormat="false" ht="12.75" hidden="false" customHeight="false" outlineLevel="0" collapsed="false">
      <c r="A1105" s="2" t="s">
        <v>72</v>
      </c>
      <c r="B1105" s="2" t="s">
        <v>19434</v>
      </c>
      <c r="C1105" s="2"/>
      <c r="D1105" s="2"/>
      <c r="E1105" s="2"/>
      <c r="F1105" s="2" t="s">
        <v>19434</v>
      </c>
      <c r="G1105" s="2"/>
      <c r="H1105" s="2"/>
      <c r="I1105" s="2" t="s">
        <v>19435</v>
      </c>
      <c r="J1105" s="2" t="s">
        <v>6051</v>
      </c>
      <c r="K1105" s="2"/>
      <c r="L1105" s="2"/>
      <c r="M1105" s="2" t="s">
        <v>77</v>
      </c>
      <c r="N1105" s="2" t="s">
        <v>78</v>
      </c>
      <c r="O1105" s="2"/>
      <c r="P1105" s="2"/>
      <c r="Q1105" s="2"/>
      <c r="R1105" s="2"/>
      <c r="S1105" s="2"/>
      <c r="T1105" s="2" t="s">
        <v>19436</v>
      </c>
      <c r="U1105" s="2" t="s">
        <v>19437</v>
      </c>
      <c r="V1105" s="2" t="s">
        <v>19438</v>
      </c>
      <c r="W1105" s="2" t="s">
        <v>19439</v>
      </c>
      <c r="X1105" s="2" t="s">
        <v>19440</v>
      </c>
      <c r="Y1105" s="2" t="s">
        <v>19441</v>
      </c>
      <c r="Z1105" s="2" t="s">
        <v>19442</v>
      </c>
      <c r="AA1105" s="2" t="s">
        <v>19443</v>
      </c>
      <c r="AB1105" s="2" t="s">
        <v>19444</v>
      </c>
      <c r="AC1105" s="2" t="s">
        <v>19445</v>
      </c>
      <c r="AD1105" s="2" t="s">
        <v>19446</v>
      </c>
      <c r="AE1105" s="2"/>
      <c r="AF1105" s="2"/>
      <c r="AG1105" s="2" t="n">
        <v>49</v>
      </c>
      <c r="AH1105" s="2" t="n">
        <v>154</v>
      </c>
      <c r="AI1105" s="2" t="n">
        <v>170</v>
      </c>
      <c r="AJ1105" s="2" t="n">
        <v>1</v>
      </c>
      <c r="AK1105" s="2" t="n">
        <v>9</v>
      </c>
      <c r="AL1105" s="2" t="s">
        <v>2954</v>
      </c>
      <c r="AM1105" s="2" t="s">
        <v>593</v>
      </c>
      <c r="AN1105" s="2" t="s">
        <v>2955</v>
      </c>
      <c r="AO1105" s="2" t="s">
        <v>6064</v>
      </c>
      <c r="AP1105" s="2" t="s">
        <v>13147</v>
      </c>
      <c r="AQ1105" s="2"/>
      <c r="AR1105" s="2" t="s">
        <v>6065</v>
      </c>
      <c r="AS1105" s="2" t="s">
        <v>6066</v>
      </c>
      <c r="AT1105" s="2" t="s">
        <v>97</v>
      </c>
      <c r="AU1105" s="2" t="n">
        <v>2006</v>
      </c>
      <c r="AV1105" s="2" t="n">
        <v>34</v>
      </c>
      <c r="AW1105" s="2" t="n">
        <v>3</v>
      </c>
      <c r="AX1105" s="2"/>
      <c r="AY1105" s="2"/>
      <c r="AZ1105" s="2"/>
      <c r="BA1105" s="2"/>
      <c r="BB1105" s="2" t="n">
        <v>320</v>
      </c>
      <c r="BC1105" s="2" t="n">
        <v>329</v>
      </c>
      <c r="BD1105" s="2"/>
      <c r="BE1105" s="2" t="s">
        <v>19447</v>
      </c>
      <c r="BF1105" s="2" t="str">
        <f aca="false">HYPERLINK("http://dx.doi.org/10.1165/rcmb.2005-0287OC","http://dx.doi.org/10.1165/rcmb.2005-0287OC")</f>
        <v>http://dx.doi.org/10.1165/rcmb.2005-0287OC</v>
      </c>
      <c r="BG1105" s="2"/>
      <c r="BH1105" s="2"/>
      <c r="BI1105" s="2" t="n">
        <v>10</v>
      </c>
      <c r="BJ1105" s="2" t="s">
        <v>6068</v>
      </c>
      <c r="BK1105" s="2" t="s">
        <v>100</v>
      </c>
      <c r="BL1105" s="2" t="s">
        <v>6068</v>
      </c>
      <c r="BM1105" s="2" t="s">
        <v>19448</v>
      </c>
      <c r="BN1105" s="2" t="n">
        <v>16284360</v>
      </c>
      <c r="BO1105" s="2" t="s">
        <v>165</v>
      </c>
      <c r="BP1105" s="2"/>
      <c r="BQ1105" s="2"/>
      <c r="BR1105" s="2" t="s">
        <v>104</v>
      </c>
      <c r="BS1105" s="2" t="s">
        <v>19449</v>
      </c>
      <c r="BT1105" s="2" t="str">
        <f aca="false">HYPERLINK("https%3A%2F%2Fwww.webofscience.com%2Fwos%2Fwoscc%2Ffull-record%2FWOS:000235663200008","View Full Record in Web of Science")</f>
        <v>View Full Record in Web of Science</v>
      </c>
    </row>
    <row r="1106" customFormat="false" ht="12.75" hidden="false" customHeight="false" outlineLevel="0" collapsed="false">
      <c r="A1106" s="2" t="s">
        <v>72</v>
      </c>
      <c r="B1106" s="2" t="s">
        <v>19450</v>
      </c>
      <c r="C1106" s="2"/>
      <c r="D1106" s="2"/>
      <c r="E1106" s="2"/>
      <c r="F1106" s="2" t="s">
        <v>19451</v>
      </c>
      <c r="G1106" s="2"/>
      <c r="H1106" s="2"/>
      <c r="I1106" s="2" t="s">
        <v>19452</v>
      </c>
      <c r="J1106" s="2" t="s">
        <v>19453</v>
      </c>
      <c r="K1106" s="2"/>
      <c r="L1106" s="2"/>
      <c r="M1106" s="2" t="s">
        <v>77</v>
      </c>
      <c r="N1106" s="2" t="s">
        <v>78</v>
      </c>
      <c r="O1106" s="2"/>
      <c r="P1106" s="2"/>
      <c r="Q1106" s="2"/>
      <c r="R1106" s="2"/>
      <c r="S1106" s="2"/>
      <c r="T1106" s="2" t="s">
        <v>19454</v>
      </c>
      <c r="U1106" s="2" t="s">
        <v>19455</v>
      </c>
      <c r="V1106" s="2" t="s">
        <v>19456</v>
      </c>
      <c r="W1106" s="2" t="s">
        <v>19457</v>
      </c>
      <c r="X1106" s="2" t="s">
        <v>19458</v>
      </c>
      <c r="Y1106" s="2" t="s">
        <v>19459</v>
      </c>
      <c r="Z1106" s="2" t="s">
        <v>1643</v>
      </c>
      <c r="AA1106" s="2" t="s">
        <v>19460</v>
      </c>
      <c r="AB1106" s="2" t="s">
        <v>19461</v>
      </c>
      <c r="AC1106" s="2" t="s">
        <v>19462</v>
      </c>
      <c r="AD1106" s="2" t="s">
        <v>19463</v>
      </c>
      <c r="AE1106" s="2" t="s">
        <v>19464</v>
      </c>
      <c r="AF1106" s="2"/>
      <c r="AG1106" s="2" t="n">
        <v>194</v>
      </c>
      <c r="AH1106" s="2" t="n">
        <v>14</v>
      </c>
      <c r="AI1106" s="2" t="n">
        <v>15</v>
      </c>
      <c r="AJ1106" s="2" t="n">
        <v>0</v>
      </c>
      <c r="AK1106" s="2" t="n">
        <v>15</v>
      </c>
      <c r="AL1106" s="2" t="s">
        <v>4598</v>
      </c>
      <c r="AM1106" s="2" t="s">
        <v>4599</v>
      </c>
      <c r="AN1106" s="2" t="s">
        <v>4600</v>
      </c>
      <c r="AO1106" s="2" t="s">
        <v>19465</v>
      </c>
      <c r="AP1106" s="2" t="s">
        <v>19466</v>
      </c>
      <c r="AQ1106" s="2"/>
      <c r="AR1106" s="2" t="s">
        <v>19467</v>
      </c>
      <c r="AS1106" s="2" t="s">
        <v>19468</v>
      </c>
      <c r="AT1106" s="2" t="s">
        <v>185</v>
      </c>
      <c r="AU1106" s="2" t="n">
        <v>2013</v>
      </c>
      <c r="AV1106" s="2" t="n">
        <v>13</v>
      </c>
      <c r="AW1106" s="2" t="n">
        <v>7</v>
      </c>
      <c r="AX1106" s="2"/>
      <c r="AY1106" s="2"/>
      <c r="AZ1106" s="2"/>
      <c r="BA1106" s="2"/>
      <c r="BB1106" s="2" t="n">
        <v>1122</v>
      </c>
      <c r="BC1106" s="2" t="n">
        <v>1139</v>
      </c>
      <c r="BD1106" s="2"/>
      <c r="BE1106" s="2"/>
      <c r="BF1106" s="2"/>
      <c r="BG1106" s="2"/>
      <c r="BH1106" s="2"/>
      <c r="BI1106" s="2" t="n">
        <v>18</v>
      </c>
      <c r="BJ1106" s="2" t="s">
        <v>5761</v>
      </c>
      <c r="BK1106" s="2" t="s">
        <v>100</v>
      </c>
      <c r="BL1106" s="2" t="s">
        <v>5762</v>
      </c>
      <c r="BM1106" s="2" t="s">
        <v>19469</v>
      </c>
      <c r="BN1106" s="2" t="n">
        <v>23157678</v>
      </c>
      <c r="BO1106" s="2"/>
      <c r="BP1106" s="2"/>
      <c r="BQ1106" s="2"/>
      <c r="BR1106" s="2" t="s">
        <v>104</v>
      </c>
      <c r="BS1106" s="2" t="s">
        <v>19470</v>
      </c>
      <c r="BT1106" s="2" t="str">
        <f aca="false">HYPERLINK("https%3A%2F%2Fwww.webofscience.com%2Fwos%2Fwoscc%2Ffull-record%2FWOS:000321623900007","View Full Record in Web of Science")</f>
        <v>View Full Record in Web of Science</v>
      </c>
    </row>
    <row r="1107" customFormat="false" ht="12.75" hidden="false" customHeight="false" outlineLevel="0" collapsed="false">
      <c r="A1107" s="2" t="s">
        <v>72</v>
      </c>
      <c r="B1107" s="2" t="s">
        <v>19471</v>
      </c>
      <c r="C1107" s="2"/>
      <c r="D1107" s="2"/>
      <c r="E1107" s="2"/>
      <c r="F1107" s="2" t="s">
        <v>19472</v>
      </c>
      <c r="G1107" s="2"/>
      <c r="H1107" s="2"/>
      <c r="I1107" s="2" t="s">
        <v>19473</v>
      </c>
      <c r="J1107" s="2" t="s">
        <v>17230</v>
      </c>
      <c r="K1107" s="2"/>
      <c r="L1107" s="2"/>
      <c r="M1107" s="2" t="s">
        <v>77</v>
      </c>
      <c r="N1107" s="2" t="s">
        <v>78</v>
      </c>
      <c r="O1107" s="2"/>
      <c r="P1107" s="2"/>
      <c r="Q1107" s="2"/>
      <c r="R1107" s="2"/>
      <c r="S1107" s="2"/>
      <c r="T1107" s="2" t="s">
        <v>19474</v>
      </c>
      <c r="U1107" s="2" t="s">
        <v>19475</v>
      </c>
      <c r="V1107" s="2" t="s">
        <v>19476</v>
      </c>
      <c r="W1107" s="2" t="s">
        <v>19477</v>
      </c>
      <c r="X1107" s="2" t="s">
        <v>19478</v>
      </c>
      <c r="Y1107" s="2" t="s">
        <v>19479</v>
      </c>
      <c r="Z1107" s="2" t="s">
        <v>1643</v>
      </c>
      <c r="AA1107" s="2" t="s">
        <v>19480</v>
      </c>
      <c r="AB1107" s="2" t="s">
        <v>19481</v>
      </c>
      <c r="AC1107" s="2" t="s">
        <v>19482</v>
      </c>
      <c r="AD1107" s="2" t="s">
        <v>19483</v>
      </c>
      <c r="AE1107" s="2" t="s">
        <v>19484</v>
      </c>
      <c r="AF1107" s="2"/>
      <c r="AG1107" s="2" t="n">
        <v>54</v>
      </c>
      <c r="AH1107" s="2" t="n">
        <v>37</v>
      </c>
      <c r="AI1107" s="2" t="n">
        <v>40</v>
      </c>
      <c r="AJ1107" s="2" t="n">
        <v>0</v>
      </c>
      <c r="AK1107" s="2" t="n">
        <v>11</v>
      </c>
      <c r="AL1107" s="2" t="s">
        <v>154</v>
      </c>
      <c r="AM1107" s="2" t="s">
        <v>155</v>
      </c>
      <c r="AN1107" s="2" t="s">
        <v>156</v>
      </c>
      <c r="AO1107" s="2" t="s">
        <v>17243</v>
      </c>
      <c r="AP1107" s="2" t="s">
        <v>17244</v>
      </c>
      <c r="AQ1107" s="2"/>
      <c r="AR1107" s="2" t="s">
        <v>17245</v>
      </c>
      <c r="AS1107" s="2" t="s">
        <v>17246</v>
      </c>
      <c r="AT1107" s="2" t="s">
        <v>486</v>
      </c>
      <c r="AU1107" s="2" t="n">
        <v>2015</v>
      </c>
      <c r="AV1107" s="2" t="n">
        <v>45</v>
      </c>
      <c r="AW1107" s="2" t="n">
        <v>6</v>
      </c>
      <c r="AX1107" s="2"/>
      <c r="AY1107" s="2"/>
      <c r="AZ1107" s="2"/>
      <c r="BA1107" s="2"/>
      <c r="BB1107" s="2" t="n">
        <v>1680</v>
      </c>
      <c r="BC1107" s="2" t="n">
        <v>1695</v>
      </c>
      <c r="BD1107" s="2"/>
      <c r="BE1107" s="2" t="s">
        <v>19485</v>
      </c>
      <c r="BF1107" s="2" t="str">
        <f aca="false">HYPERLINK("http://dx.doi.org/10.1002/eji.201445021","http://dx.doi.org/10.1002/eji.201445021")</f>
        <v>http://dx.doi.org/10.1002/eji.201445021</v>
      </c>
      <c r="BG1107" s="2"/>
      <c r="BH1107" s="2"/>
      <c r="BI1107" s="2" t="n">
        <v>16</v>
      </c>
      <c r="BJ1107" s="2" t="s">
        <v>628</v>
      </c>
      <c r="BK1107" s="2" t="s">
        <v>100</v>
      </c>
      <c r="BL1107" s="2" t="s">
        <v>628</v>
      </c>
      <c r="BM1107" s="2" t="s">
        <v>19486</v>
      </c>
      <c r="BN1107" s="2" t="n">
        <v>25763996</v>
      </c>
      <c r="BO1107" s="2"/>
      <c r="BP1107" s="2"/>
      <c r="BQ1107" s="2"/>
      <c r="BR1107" s="2" t="s">
        <v>104</v>
      </c>
      <c r="BS1107" s="2" t="s">
        <v>19487</v>
      </c>
      <c r="BT1107" s="2" t="str">
        <f aca="false">HYPERLINK("https%3A%2F%2Fwww.webofscience.com%2Fwos%2Fwoscc%2Ffull-record%2FWOS:000355836500012","View Full Record in Web of Science")</f>
        <v>View Full Record in Web of Science</v>
      </c>
    </row>
    <row r="1108" customFormat="false" ht="12.75" hidden="false" customHeight="false" outlineLevel="0" collapsed="false">
      <c r="A1108" s="2" t="s">
        <v>72</v>
      </c>
      <c r="B1108" s="2" t="s">
        <v>19488</v>
      </c>
      <c r="C1108" s="2"/>
      <c r="D1108" s="2"/>
      <c r="E1108" s="2"/>
      <c r="F1108" s="2" t="s">
        <v>19489</v>
      </c>
      <c r="G1108" s="2"/>
      <c r="H1108" s="2"/>
      <c r="I1108" s="2" t="s">
        <v>19490</v>
      </c>
      <c r="J1108" s="2" t="s">
        <v>5575</v>
      </c>
      <c r="K1108" s="2"/>
      <c r="L1108" s="2"/>
      <c r="M1108" s="2" t="s">
        <v>77</v>
      </c>
      <c r="N1108" s="2" t="s">
        <v>78</v>
      </c>
      <c r="O1108" s="2"/>
      <c r="P1108" s="2"/>
      <c r="Q1108" s="2"/>
      <c r="R1108" s="2"/>
      <c r="S1108" s="2"/>
      <c r="T1108" s="2" t="s">
        <v>19491</v>
      </c>
      <c r="U1108" s="2" t="s">
        <v>19492</v>
      </c>
      <c r="V1108" s="2" t="s">
        <v>19493</v>
      </c>
      <c r="W1108" s="2" t="s">
        <v>19494</v>
      </c>
      <c r="X1108" s="2" t="s">
        <v>19495</v>
      </c>
      <c r="Y1108" s="2" t="s">
        <v>19496</v>
      </c>
      <c r="Z1108" s="2" t="s">
        <v>19497</v>
      </c>
      <c r="AA1108" s="2" t="s">
        <v>19498</v>
      </c>
      <c r="AB1108" s="2" t="s">
        <v>19499</v>
      </c>
      <c r="AC1108" s="2" t="s">
        <v>19500</v>
      </c>
      <c r="AD1108" s="2" t="s">
        <v>19501</v>
      </c>
      <c r="AE1108" s="2"/>
      <c r="AF1108" s="2"/>
      <c r="AG1108" s="2" t="n">
        <v>35</v>
      </c>
      <c r="AH1108" s="2" t="n">
        <v>18</v>
      </c>
      <c r="AI1108" s="2" t="n">
        <v>20</v>
      </c>
      <c r="AJ1108" s="2" t="n">
        <v>0</v>
      </c>
      <c r="AK1108" s="2" t="n">
        <v>0</v>
      </c>
      <c r="AL1108" s="2" t="s">
        <v>5588</v>
      </c>
      <c r="AM1108" s="2" t="s">
        <v>5589</v>
      </c>
      <c r="AN1108" s="2" t="s">
        <v>5590</v>
      </c>
      <c r="AO1108" s="2" t="s">
        <v>5591</v>
      </c>
      <c r="AP1108" s="2"/>
      <c r="AQ1108" s="2"/>
      <c r="AR1108" s="2" t="s">
        <v>5575</v>
      </c>
      <c r="AS1108" s="2" t="s">
        <v>163</v>
      </c>
      <c r="AT1108" s="2" t="s">
        <v>12905</v>
      </c>
      <c r="AU1108" s="2" t="n">
        <v>2007</v>
      </c>
      <c r="AV1108" s="2" t="n">
        <v>357</v>
      </c>
      <c r="AW1108" s="2" t="n">
        <v>1</v>
      </c>
      <c r="AX1108" s="2"/>
      <c r="AY1108" s="2"/>
      <c r="AZ1108" s="2"/>
      <c r="BA1108" s="2"/>
      <c r="BB1108" s="2" t="n">
        <v>1</v>
      </c>
      <c r="BC1108" s="2" t="n">
        <v>9</v>
      </c>
      <c r="BD1108" s="2"/>
      <c r="BE1108" s="2" t="s">
        <v>19502</v>
      </c>
      <c r="BF1108" s="2" t="str">
        <f aca="false">HYPERLINK("http://dx.doi.org/10.1016/j.virol.2006.08.004","http://dx.doi.org/10.1016/j.virol.2006.08.004")</f>
        <v>http://dx.doi.org/10.1016/j.virol.2006.08.004</v>
      </c>
      <c r="BG1108" s="2"/>
      <c r="BH1108" s="2"/>
      <c r="BI1108" s="2" t="n">
        <v>9</v>
      </c>
      <c r="BJ1108" s="2" t="s">
        <v>163</v>
      </c>
      <c r="BK1108" s="2" t="s">
        <v>100</v>
      </c>
      <c r="BL1108" s="2" t="s">
        <v>163</v>
      </c>
      <c r="BM1108" s="2" t="s">
        <v>19503</v>
      </c>
      <c r="BN1108" s="2" t="n">
        <v>16959282</v>
      </c>
      <c r="BO1108" s="2" t="s">
        <v>695</v>
      </c>
      <c r="BP1108" s="2"/>
      <c r="BQ1108" s="2"/>
      <c r="BR1108" s="2" t="s">
        <v>104</v>
      </c>
      <c r="BS1108" s="2" t="s">
        <v>19504</v>
      </c>
      <c r="BT1108" s="2" t="str">
        <f aca="false">HYPERLINK("https%3A%2F%2Fwww.webofscience.com%2Fwos%2Fwoscc%2Ffull-record%2FWOS:000242674600001","View Full Record in Web of Science")</f>
        <v>View Full Record in Web of Science</v>
      </c>
    </row>
    <row r="1109" customFormat="false" ht="12.75" hidden="false" customHeight="false" outlineLevel="0" collapsed="false">
      <c r="A1109" s="2" t="s">
        <v>72</v>
      </c>
      <c r="B1109" s="2" t="s">
        <v>19505</v>
      </c>
      <c r="C1109" s="2"/>
      <c r="D1109" s="2"/>
      <c r="E1109" s="2"/>
      <c r="F1109" s="2" t="s">
        <v>19506</v>
      </c>
      <c r="G1109" s="2"/>
      <c r="H1109" s="2"/>
      <c r="I1109" s="2" t="s">
        <v>19507</v>
      </c>
      <c r="J1109" s="2" t="s">
        <v>19508</v>
      </c>
      <c r="K1109" s="2"/>
      <c r="L1109" s="2"/>
      <c r="M1109" s="2" t="s">
        <v>77</v>
      </c>
      <c r="N1109" s="2" t="s">
        <v>78</v>
      </c>
      <c r="O1109" s="2"/>
      <c r="P1109" s="2"/>
      <c r="Q1109" s="2"/>
      <c r="R1109" s="2"/>
      <c r="S1109" s="2"/>
      <c r="T1109" s="2" t="s">
        <v>19509</v>
      </c>
      <c r="U1109" s="2" t="s">
        <v>19510</v>
      </c>
      <c r="V1109" s="2" t="s">
        <v>19511</v>
      </c>
      <c r="W1109" s="2" t="s">
        <v>19512</v>
      </c>
      <c r="X1109" s="2" t="s">
        <v>19513</v>
      </c>
      <c r="Y1109" s="2" t="s">
        <v>19514</v>
      </c>
      <c r="Z1109" s="2" t="s">
        <v>19515</v>
      </c>
      <c r="AA1109" s="2" t="s">
        <v>19516</v>
      </c>
      <c r="AB1109" s="2" t="s">
        <v>19517</v>
      </c>
      <c r="AC1109" s="2"/>
      <c r="AD1109" s="2"/>
      <c r="AE1109" s="2"/>
      <c r="AF1109" s="2"/>
      <c r="AG1109" s="2" t="n">
        <v>18</v>
      </c>
      <c r="AH1109" s="2" t="n">
        <v>4</v>
      </c>
      <c r="AI1109" s="2" t="n">
        <v>4</v>
      </c>
      <c r="AJ1109" s="2" t="n">
        <v>0</v>
      </c>
      <c r="AK1109" s="2" t="n">
        <v>1</v>
      </c>
      <c r="AL1109" s="2" t="s">
        <v>91</v>
      </c>
      <c r="AM1109" s="2" t="s">
        <v>92</v>
      </c>
      <c r="AN1109" s="2" t="s">
        <v>93</v>
      </c>
      <c r="AO1109" s="2" t="s">
        <v>19518</v>
      </c>
      <c r="AP1109" s="2" t="s">
        <v>19519</v>
      </c>
      <c r="AQ1109" s="2"/>
      <c r="AR1109" s="2" t="s">
        <v>19508</v>
      </c>
      <c r="AS1109" s="2" t="s">
        <v>19520</v>
      </c>
      <c r="AT1109" s="2" t="s">
        <v>486</v>
      </c>
      <c r="AU1109" s="2" t="n">
        <v>2020</v>
      </c>
      <c r="AV1109" s="2" t="n">
        <v>56</v>
      </c>
      <c r="AW1109" s="2" t="n">
        <v>6</v>
      </c>
      <c r="AX1109" s="2"/>
      <c r="AY1109" s="2"/>
      <c r="AZ1109" s="2"/>
      <c r="BA1109" s="2"/>
      <c r="BB1109" s="2"/>
      <c r="BC1109" s="2"/>
      <c r="BD1109" s="2" t="n">
        <v>277</v>
      </c>
      <c r="BE1109" s="2" t="s">
        <v>19521</v>
      </c>
      <c r="BF1109" s="2" t="str">
        <f aca="false">HYPERLINK("http://dx.doi.org/10.3390/medicina56060277","http://dx.doi.org/10.3390/medicina56060277")</f>
        <v>http://dx.doi.org/10.3390/medicina56060277</v>
      </c>
      <c r="BG1109" s="2"/>
      <c r="BH1109" s="2"/>
      <c r="BI1109" s="2" t="n">
        <v>6</v>
      </c>
      <c r="BJ1109" s="2" t="s">
        <v>363</v>
      </c>
      <c r="BK1109" s="2" t="s">
        <v>100</v>
      </c>
      <c r="BL1109" s="2" t="s">
        <v>364</v>
      </c>
      <c r="BM1109" s="2" t="s">
        <v>19522</v>
      </c>
      <c r="BN1109" s="2" t="n">
        <v>32512953</v>
      </c>
      <c r="BO1109" s="2" t="s">
        <v>103</v>
      </c>
      <c r="BP1109" s="2"/>
      <c r="BQ1109" s="2"/>
      <c r="BR1109" s="2" t="s">
        <v>104</v>
      </c>
      <c r="BS1109" s="2" t="s">
        <v>19523</v>
      </c>
      <c r="BT1109" s="2" t="str">
        <f aca="false">HYPERLINK("https%3A%2F%2Fwww.webofscience.com%2Fwos%2Fwoscc%2Ffull-record%2FWOS:000551182800058","View Full Record in Web of Science")</f>
        <v>View Full Record in Web of Science</v>
      </c>
    </row>
    <row r="1110" customFormat="false" ht="12.75" hidden="false" customHeight="false" outlineLevel="0" collapsed="false">
      <c r="A1110" s="2" t="s">
        <v>72</v>
      </c>
      <c r="B1110" s="2" t="s">
        <v>19524</v>
      </c>
      <c r="C1110" s="2"/>
      <c r="D1110" s="2"/>
      <c r="E1110" s="2"/>
      <c r="F1110" s="2" t="s">
        <v>19525</v>
      </c>
      <c r="G1110" s="2"/>
      <c r="H1110" s="2"/>
      <c r="I1110" s="2" t="s">
        <v>19526</v>
      </c>
      <c r="J1110" s="2" t="s">
        <v>19527</v>
      </c>
      <c r="K1110" s="2"/>
      <c r="L1110" s="2"/>
      <c r="M1110" s="2" t="s">
        <v>77</v>
      </c>
      <c r="N1110" s="2" t="s">
        <v>78</v>
      </c>
      <c r="O1110" s="2"/>
      <c r="P1110" s="2"/>
      <c r="Q1110" s="2"/>
      <c r="R1110" s="2"/>
      <c r="S1110" s="2"/>
      <c r="T1110" s="2" t="s">
        <v>19528</v>
      </c>
      <c r="U1110" s="2" t="s">
        <v>12333</v>
      </c>
      <c r="V1110" s="2" t="s">
        <v>19529</v>
      </c>
      <c r="W1110" s="2" t="s">
        <v>19530</v>
      </c>
      <c r="X1110" s="2" t="s">
        <v>19531</v>
      </c>
      <c r="Y1110" s="2" t="s">
        <v>19532</v>
      </c>
      <c r="Z1110" s="2" t="s">
        <v>19533</v>
      </c>
      <c r="AA1110" s="2"/>
      <c r="AB1110" s="2" t="s">
        <v>19534</v>
      </c>
      <c r="AC1110" s="2"/>
      <c r="AD1110" s="2"/>
      <c r="AE1110" s="2"/>
      <c r="AF1110" s="2"/>
      <c r="AG1110" s="2" t="n">
        <v>13</v>
      </c>
      <c r="AH1110" s="2" t="n">
        <v>0</v>
      </c>
      <c r="AI1110" s="2" t="n">
        <v>0</v>
      </c>
      <c r="AJ1110" s="2" t="n">
        <v>0</v>
      </c>
      <c r="AK1110" s="2" t="n">
        <v>0</v>
      </c>
      <c r="AL1110" s="2" t="s">
        <v>1896</v>
      </c>
      <c r="AM1110" s="2" t="s">
        <v>92</v>
      </c>
      <c r="AN1110" s="2" t="s">
        <v>1897</v>
      </c>
      <c r="AO1110" s="2" t="s">
        <v>19535</v>
      </c>
      <c r="AP1110" s="2" t="s">
        <v>19536</v>
      </c>
      <c r="AQ1110" s="2"/>
      <c r="AR1110" s="2" t="s">
        <v>19537</v>
      </c>
      <c r="AS1110" s="2" t="s">
        <v>19538</v>
      </c>
      <c r="AT1110" s="2" t="s">
        <v>129</v>
      </c>
      <c r="AU1110" s="2" t="n">
        <v>2024</v>
      </c>
      <c r="AV1110" s="2" t="n">
        <v>68</v>
      </c>
      <c r="AW1110" s="2" t="n">
        <v>4</v>
      </c>
      <c r="AX1110" s="2"/>
      <c r="AY1110" s="2"/>
      <c r="AZ1110" s="2"/>
      <c r="BA1110" s="2"/>
      <c r="BB1110" s="2" t="n">
        <v>374</v>
      </c>
      <c r="BC1110" s="2" t="n">
        <v>378</v>
      </c>
      <c r="BD1110" s="2"/>
      <c r="BE1110" s="2" t="s">
        <v>19539</v>
      </c>
      <c r="BF1110" s="2" t="str">
        <f aca="false">HYPERLINK("http://dx.doi.org/10.1159/000540184","http://dx.doi.org/10.1159/000540184")</f>
        <v>http://dx.doi.org/10.1159/000540184</v>
      </c>
      <c r="BG1110" s="2"/>
      <c r="BH1110" s="2"/>
      <c r="BI1110" s="2" t="n">
        <v>5</v>
      </c>
      <c r="BJ1110" s="2" t="s">
        <v>6585</v>
      </c>
      <c r="BK1110" s="2" t="s">
        <v>100</v>
      </c>
      <c r="BL1110" s="2" t="s">
        <v>6585</v>
      </c>
      <c r="BM1110" s="2" t="s">
        <v>19540</v>
      </c>
      <c r="BN1110" s="2" t="n">
        <v>38964304</v>
      </c>
      <c r="BO1110" s="2"/>
      <c r="BP1110" s="2"/>
      <c r="BQ1110" s="2"/>
      <c r="BR1110" s="2" t="s">
        <v>104</v>
      </c>
      <c r="BS1110" s="2" t="s">
        <v>19541</v>
      </c>
      <c r="BT1110" s="2" t="str">
        <f aca="false">HYPERLINK("https%3A%2F%2Fwww.webofscience.com%2Fwos%2Fwoscc%2Ffull-record%2FWOS:001322576700011","View Full Record in Web of Science")</f>
        <v>View Full Record in Web of Science</v>
      </c>
    </row>
    <row r="1111" customFormat="false" ht="12.75" hidden="false" customHeight="false" outlineLevel="0" collapsed="false">
      <c r="A1111" s="2" t="s">
        <v>72</v>
      </c>
      <c r="B1111" s="2" t="s">
        <v>19542</v>
      </c>
      <c r="C1111" s="2"/>
      <c r="D1111" s="2"/>
      <c r="E1111" s="2"/>
      <c r="F1111" s="2" t="s">
        <v>19543</v>
      </c>
      <c r="G1111" s="2"/>
      <c r="H1111" s="2"/>
      <c r="I1111" s="2" t="s">
        <v>19544</v>
      </c>
      <c r="J1111" s="2" t="s">
        <v>10441</v>
      </c>
      <c r="K1111" s="2"/>
      <c r="L1111" s="2"/>
      <c r="M1111" s="2" t="s">
        <v>77</v>
      </c>
      <c r="N1111" s="2" t="s">
        <v>78</v>
      </c>
      <c r="O1111" s="2"/>
      <c r="P1111" s="2"/>
      <c r="Q1111" s="2"/>
      <c r="R1111" s="2"/>
      <c r="S1111" s="2"/>
      <c r="T1111" s="2" t="s">
        <v>19545</v>
      </c>
      <c r="U1111" s="2" t="s">
        <v>19546</v>
      </c>
      <c r="V1111" s="2" t="s">
        <v>19547</v>
      </c>
      <c r="W1111" s="2" t="s">
        <v>19548</v>
      </c>
      <c r="X1111" s="2" t="s">
        <v>19549</v>
      </c>
      <c r="Y1111" s="2" t="s">
        <v>19550</v>
      </c>
      <c r="Z1111" s="2" t="s">
        <v>19551</v>
      </c>
      <c r="AA1111" s="2" t="s">
        <v>19552</v>
      </c>
      <c r="AB1111" s="2" t="s">
        <v>19553</v>
      </c>
      <c r="AC1111" s="2" t="s">
        <v>19554</v>
      </c>
      <c r="AD1111" s="2" t="s">
        <v>19554</v>
      </c>
      <c r="AE1111" s="2" t="s">
        <v>19555</v>
      </c>
      <c r="AF1111" s="2"/>
      <c r="AG1111" s="2" t="n">
        <v>64</v>
      </c>
      <c r="AH1111" s="2" t="n">
        <v>9</v>
      </c>
      <c r="AI1111" s="2" t="n">
        <v>10</v>
      </c>
      <c r="AJ1111" s="2" t="n">
        <v>0</v>
      </c>
      <c r="AK1111" s="2" t="n">
        <v>4</v>
      </c>
      <c r="AL1111" s="2" t="s">
        <v>154</v>
      </c>
      <c r="AM1111" s="2" t="s">
        <v>155</v>
      </c>
      <c r="AN1111" s="2" t="s">
        <v>156</v>
      </c>
      <c r="AO1111" s="2" t="s">
        <v>10453</v>
      </c>
      <c r="AP1111" s="2" t="s">
        <v>14215</v>
      </c>
      <c r="AQ1111" s="2"/>
      <c r="AR1111" s="2" t="s">
        <v>10454</v>
      </c>
      <c r="AS1111" s="2" t="s">
        <v>10455</v>
      </c>
      <c r="AT1111" s="2" t="s">
        <v>804</v>
      </c>
      <c r="AU1111" s="2" t="n">
        <v>2017</v>
      </c>
      <c r="AV1111" s="2" t="n">
        <v>61</v>
      </c>
      <c r="AW1111" s="2" t="n">
        <v>11</v>
      </c>
      <c r="AX1111" s="2"/>
      <c r="AY1111" s="2"/>
      <c r="AZ1111" s="2"/>
      <c r="BA1111" s="2"/>
      <c r="BB1111" s="2" t="n">
        <v>497</v>
      </c>
      <c r="BC1111" s="2" t="n">
        <v>506</v>
      </c>
      <c r="BD1111" s="2"/>
      <c r="BE1111" s="2" t="s">
        <v>19556</v>
      </c>
      <c r="BF1111" s="2" t="str">
        <f aca="false">HYPERLINK("http://dx.doi.org/10.1111/1348-0421.12542","http://dx.doi.org/10.1111/1348-0421.12542")</f>
        <v>http://dx.doi.org/10.1111/1348-0421.12542</v>
      </c>
      <c r="BG1111" s="2"/>
      <c r="BH1111" s="2"/>
      <c r="BI1111" s="2" t="n">
        <v>10</v>
      </c>
      <c r="BJ1111" s="2" t="s">
        <v>2364</v>
      </c>
      <c r="BK1111" s="2" t="s">
        <v>100</v>
      </c>
      <c r="BL1111" s="2" t="s">
        <v>2364</v>
      </c>
      <c r="BM1111" s="2" t="s">
        <v>19140</v>
      </c>
      <c r="BN1111" s="2" t="n">
        <v>28940687</v>
      </c>
      <c r="BO1111" s="2" t="s">
        <v>656</v>
      </c>
      <c r="BP1111" s="2"/>
      <c r="BQ1111" s="2"/>
      <c r="BR1111" s="2" t="s">
        <v>104</v>
      </c>
      <c r="BS1111" s="2" t="s">
        <v>19557</v>
      </c>
      <c r="BT1111" s="2" t="str">
        <f aca="false">HYPERLINK("https%3A%2F%2Fwww.webofscience.com%2Fwos%2Fwoscc%2Ffull-record%2FWOS:000415669400005","View Full Record in Web of Science")</f>
        <v>View Full Record in Web of Science</v>
      </c>
    </row>
    <row r="1112" customFormat="false" ht="12.75" hidden="false" customHeight="false" outlineLevel="0" collapsed="false">
      <c r="A1112" s="2" t="s">
        <v>72</v>
      </c>
      <c r="B1112" s="2" t="s">
        <v>19558</v>
      </c>
      <c r="C1112" s="2"/>
      <c r="D1112" s="2"/>
      <c r="E1112" s="2"/>
      <c r="F1112" s="2" t="s">
        <v>19559</v>
      </c>
      <c r="G1112" s="2"/>
      <c r="H1112" s="2"/>
      <c r="I1112" s="2" t="s">
        <v>19560</v>
      </c>
      <c r="J1112" s="2" t="s">
        <v>514</v>
      </c>
      <c r="K1112" s="2"/>
      <c r="L1112" s="2"/>
      <c r="M1112" s="2" t="s">
        <v>77</v>
      </c>
      <c r="N1112" s="2" t="s">
        <v>78</v>
      </c>
      <c r="O1112" s="2"/>
      <c r="P1112" s="2"/>
      <c r="Q1112" s="2"/>
      <c r="R1112" s="2"/>
      <c r="S1112" s="2"/>
      <c r="T1112" s="2" t="s">
        <v>19561</v>
      </c>
      <c r="U1112" s="2" t="s">
        <v>19562</v>
      </c>
      <c r="V1112" s="2" t="s">
        <v>19563</v>
      </c>
      <c r="W1112" s="2" t="s">
        <v>19564</v>
      </c>
      <c r="X1112" s="2" t="s">
        <v>19565</v>
      </c>
      <c r="Y1112" s="2" t="s">
        <v>19566</v>
      </c>
      <c r="Z1112" s="2" t="s">
        <v>15001</v>
      </c>
      <c r="AA1112" s="2" t="s">
        <v>19567</v>
      </c>
      <c r="AB1112" s="2" t="s">
        <v>19568</v>
      </c>
      <c r="AC1112" s="2" t="s">
        <v>19569</v>
      </c>
      <c r="AD1112" s="2" t="s">
        <v>19570</v>
      </c>
      <c r="AE1112" s="2" t="s">
        <v>19571</v>
      </c>
      <c r="AF1112" s="2"/>
      <c r="AG1112" s="2" t="n">
        <v>37</v>
      </c>
      <c r="AH1112" s="2" t="n">
        <v>63</v>
      </c>
      <c r="AI1112" s="2" t="n">
        <v>69</v>
      </c>
      <c r="AJ1112" s="2" t="n">
        <v>0</v>
      </c>
      <c r="AK1112" s="2" t="n">
        <v>4</v>
      </c>
      <c r="AL1112" s="2" t="s">
        <v>527</v>
      </c>
      <c r="AM1112" s="2" t="s">
        <v>528</v>
      </c>
      <c r="AN1112" s="2" t="s">
        <v>529</v>
      </c>
      <c r="AO1112" s="2" t="s">
        <v>530</v>
      </c>
      <c r="AP1112" s="2" t="s">
        <v>531</v>
      </c>
      <c r="AQ1112" s="2"/>
      <c r="AR1112" s="2" t="s">
        <v>532</v>
      </c>
      <c r="AS1112" s="2" t="s">
        <v>533</v>
      </c>
      <c r="AT1112" s="2" t="s">
        <v>10994</v>
      </c>
      <c r="AU1112" s="2" t="n">
        <v>2017</v>
      </c>
      <c r="AV1112" s="2" t="n">
        <v>215</v>
      </c>
      <c r="AW1112" s="2" t="n">
        <v>10</v>
      </c>
      <c r="AX1112" s="2"/>
      <c r="AY1112" s="2"/>
      <c r="AZ1112" s="2"/>
      <c r="BA1112" s="2"/>
      <c r="BB1112" s="2" t="n">
        <v>1514</v>
      </c>
      <c r="BC1112" s="2" t="n">
        <v>1522</v>
      </c>
      <c r="BD1112" s="2"/>
      <c r="BE1112" s="2" t="s">
        <v>19572</v>
      </c>
      <c r="BF1112" s="2" t="str">
        <f aca="false">HYPERLINK("http://dx.doi.org/10.1093/infdis/jix048","http://dx.doi.org/10.1093/infdis/jix048")</f>
        <v>http://dx.doi.org/10.1093/infdis/jix048</v>
      </c>
      <c r="BG1112" s="2"/>
      <c r="BH1112" s="2"/>
      <c r="BI1112" s="2" t="n">
        <v>9</v>
      </c>
      <c r="BJ1112" s="2" t="s">
        <v>536</v>
      </c>
      <c r="BK1112" s="2" t="s">
        <v>100</v>
      </c>
      <c r="BL1112" s="2" t="s">
        <v>536</v>
      </c>
      <c r="BM1112" s="2" t="s">
        <v>14622</v>
      </c>
      <c r="BN1112" s="2" t="n">
        <v>28181657</v>
      </c>
      <c r="BO1112" s="2" t="s">
        <v>1267</v>
      </c>
      <c r="BP1112" s="2"/>
      <c r="BQ1112" s="2"/>
      <c r="BR1112" s="2" t="s">
        <v>104</v>
      </c>
      <c r="BS1112" s="2" t="s">
        <v>19573</v>
      </c>
      <c r="BT1112" s="2" t="str">
        <f aca="false">HYPERLINK("https%3A%2F%2Fwww.webofscience.com%2Fwos%2Fwoscc%2Ffull-record%2FWOS:000402821800005","View Full Record in Web of Science")</f>
        <v>View Full Record in Web of Science</v>
      </c>
    </row>
    <row r="1113" customFormat="false" ht="12.75" hidden="false" customHeight="false" outlineLevel="0" collapsed="false">
      <c r="A1113" s="2" t="s">
        <v>72</v>
      </c>
      <c r="B1113" s="2" t="s">
        <v>19574</v>
      </c>
      <c r="C1113" s="2"/>
      <c r="D1113" s="2"/>
      <c r="E1113" s="2"/>
      <c r="F1113" s="2" t="s">
        <v>19575</v>
      </c>
      <c r="G1113" s="2"/>
      <c r="H1113" s="2"/>
      <c r="I1113" s="2" t="s">
        <v>19576</v>
      </c>
      <c r="J1113" s="2" t="s">
        <v>6051</v>
      </c>
      <c r="K1113" s="2"/>
      <c r="L1113" s="2"/>
      <c r="M1113" s="2" t="s">
        <v>77</v>
      </c>
      <c r="N1113" s="2" t="s">
        <v>78</v>
      </c>
      <c r="O1113" s="2"/>
      <c r="P1113" s="2"/>
      <c r="Q1113" s="2"/>
      <c r="R1113" s="2"/>
      <c r="S1113" s="2"/>
      <c r="T1113" s="2" t="s">
        <v>19577</v>
      </c>
      <c r="U1113" s="2" t="s">
        <v>19578</v>
      </c>
      <c r="V1113" s="2" t="s">
        <v>19579</v>
      </c>
      <c r="W1113" s="2" t="s">
        <v>19580</v>
      </c>
      <c r="X1113" s="2" t="s">
        <v>19581</v>
      </c>
      <c r="Y1113" s="2" t="s">
        <v>19582</v>
      </c>
      <c r="Z1113" s="2" t="s">
        <v>19583</v>
      </c>
      <c r="AA1113" s="2" t="s">
        <v>19584</v>
      </c>
      <c r="AB1113" s="2" t="s">
        <v>19585</v>
      </c>
      <c r="AC1113" s="2" t="s">
        <v>19586</v>
      </c>
      <c r="AD1113" s="2" t="s">
        <v>19587</v>
      </c>
      <c r="AE1113" s="2" t="s">
        <v>19588</v>
      </c>
      <c r="AF1113" s="2"/>
      <c r="AG1113" s="2" t="n">
        <v>50</v>
      </c>
      <c r="AH1113" s="2" t="n">
        <v>2</v>
      </c>
      <c r="AI1113" s="2" t="n">
        <v>2</v>
      </c>
      <c r="AJ1113" s="2" t="n">
        <v>0</v>
      </c>
      <c r="AK1113" s="2" t="n">
        <v>1</v>
      </c>
      <c r="AL1113" s="2" t="s">
        <v>2954</v>
      </c>
      <c r="AM1113" s="2" t="s">
        <v>593</v>
      </c>
      <c r="AN1113" s="2" t="s">
        <v>2955</v>
      </c>
      <c r="AO1113" s="2" t="s">
        <v>6064</v>
      </c>
      <c r="AP1113" s="2" t="s">
        <v>13147</v>
      </c>
      <c r="AQ1113" s="2"/>
      <c r="AR1113" s="2" t="s">
        <v>6065</v>
      </c>
      <c r="AS1113" s="2" t="s">
        <v>6066</v>
      </c>
      <c r="AT1113" s="2" t="s">
        <v>129</v>
      </c>
      <c r="AU1113" s="2" t="n">
        <v>2020</v>
      </c>
      <c r="AV1113" s="2" t="n">
        <v>63</v>
      </c>
      <c r="AW1113" s="2" t="n">
        <v>3</v>
      </c>
      <c r="AX1113" s="2"/>
      <c r="AY1113" s="2"/>
      <c r="AZ1113" s="2"/>
      <c r="BA1113" s="2"/>
      <c r="BB1113" s="2" t="n">
        <v>349</v>
      </c>
      <c r="BC1113" s="2" t="n">
        <v>361</v>
      </c>
      <c r="BD1113" s="2"/>
      <c r="BE1113" s="2" t="s">
        <v>19589</v>
      </c>
      <c r="BF1113" s="2" t="str">
        <f aca="false">HYPERLINK("http://dx.doi.org/10.1165/rcmb.2020-0014OC","http://dx.doi.org/10.1165/rcmb.2020-0014OC")</f>
        <v>http://dx.doi.org/10.1165/rcmb.2020-0014OC</v>
      </c>
      <c r="BG1113" s="2"/>
      <c r="BH1113" s="2"/>
      <c r="BI1113" s="2" t="n">
        <v>13</v>
      </c>
      <c r="BJ1113" s="2" t="s">
        <v>6068</v>
      </c>
      <c r="BK1113" s="2" t="s">
        <v>100</v>
      </c>
      <c r="BL1113" s="2" t="s">
        <v>6068</v>
      </c>
      <c r="BM1113" s="2" t="s">
        <v>19590</v>
      </c>
      <c r="BN1113" s="2" t="n">
        <v>32551899</v>
      </c>
      <c r="BO1113" s="2" t="s">
        <v>165</v>
      </c>
      <c r="BP1113" s="2"/>
      <c r="BQ1113" s="2"/>
      <c r="BR1113" s="2" t="s">
        <v>104</v>
      </c>
      <c r="BS1113" s="2" t="s">
        <v>19591</v>
      </c>
      <c r="BT1113" s="2" t="str">
        <f aca="false">HYPERLINK("https%3A%2F%2Fwww.webofscience.com%2Fwos%2Fwoscc%2Ffull-record%2FWOS:000567767500011","View Full Record in Web of Science")</f>
        <v>View Full Record in Web of Science</v>
      </c>
    </row>
    <row r="1114" customFormat="false" ht="12.75" hidden="false" customHeight="false" outlineLevel="0" collapsed="false">
      <c r="A1114" s="2" t="s">
        <v>72</v>
      </c>
      <c r="B1114" s="2" t="s">
        <v>19592</v>
      </c>
      <c r="C1114" s="2"/>
      <c r="D1114" s="2"/>
      <c r="E1114" s="2"/>
      <c r="F1114" s="2" t="s">
        <v>19593</v>
      </c>
      <c r="G1114" s="2"/>
      <c r="H1114" s="2"/>
      <c r="I1114" s="2" t="s">
        <v>19594</v>
      </c>
      <c r="J1114" s="2" t="s">
        <v>19595</v>
      </c>
      <c r="K1114" s="2"/>
      <c r="L1114" s="2"/>
      <c r="M1114" s="2" t="s">
        <v>77</v>
      </c>
      <c r="N1114" s="2" t="s">
        <v>78</v>
      </c>
      <c r="O1114" s="2"/>
      <c r="P1114" s="2"/>
      <c r="Q1114" s="2"/>
      <c r="R1114" s="2"/>
      <c r="S1114" s="2"/>
      <c r="T1114" s="2" t="s">
        <v>19596</v>
      </c>
      <c r="U1114" s="2" t="s">
        <v>19597</v>
      </c>
      <c r="V1114" s="2" t="s">
        <v>19598</v>
      </c>
      <c r="W1114" s="2" t="s">
        <v>19599</v>
      </c>
      <c r="X1114" s="2" t="s">
        <v>19600</v>
      </c>
      <c r="Y1114" s="2" t="s">
        <v>19601</v>
      </c>
      <c r="Z1114" s="2" t="s">
        <v>19602</v>
      </c>
      <c r="AA1114" s="2" t="s">
        <v>19603</v>
      </c>
      <c r="AB1114" s="2" t="s">
        <v>19604</v>
      </c>
      <c r="AC1114" s="2" t="s">
        <v>19605</v>
      </c>
      <c r="AD1114" s="2" t="s">
        <v>19606</v>
      </c>
      <c r="AE1114" s="2" t="s">
        <v>19607</v>
      </c>
      <c r="AF1114" s="2"/>
      <c r="AG1114" s="2" t="n">
        <v>281</v>
      </c>
      <c r="AH1114" s="2" t="n">
        <v>12</v>
      </c>
      <c r="AI1114" s="2" t="n">
        <v>12</v>
      </c>
      <c r="AJ1114" s="2" t="n">
        <v>0</v>
      </c>
      <c r="AK1114" s="2" t="n">
        <v>6</v>
      </c>
      <c r="AL1114" s="2" t="s">
        <v>5385</v>
      </c>
      <c r="AM1114" s="2" t="s">
        <v>303</v>
      </c>
      <c r="AN1114" s="2" t="s">
        <v>5386</v>
      </c>
      <c r="AO1114" s="2" t="s">
        <v>19608</v>
      </c>
      <c r="AP1114" s="2" t="s">
        <v>19609</v>
      </c>
      <c r="AQ1114" s="2"/>
      <c r="AR1114" s="2" t="s">
        <v>19595</v>
      </c>
      <c r="AS1114" s="2" t="s">
        <v>19610</v>
      </c>
      <c r="AT1114" s="2" t="s">
        <v>129</v>
      </c>
      <c r="AU1114" s="2" t="n">
        <v>2022</v>
      </c>
      <c r="AV1114" s="2" t="n">
        <v>157</v>
      </c>
      <c r="AW1114" s="2"/>
      <c r="AX1114" s="2"/>
      <c r="AY1114" s="2"/>
      <c r="AZ1114" s="2"/>
      <c r="BA1114" s="2"/>
      <c r="BB1114" s="2"/>
      <c r="BC1114" s="2"/>
      <c r="BD1114" s="2" t="n">
        <v>155962</v>
      </c>
      <c r="BE1114" s="2" t="s">
        <v>19611</v>
      </c>
      <c r="BF1114" s="2" t="str">
        <f aca="false">HYPERLINK("http://dx.doi.org/10.1016/j.cyto.2022.155962","http://dx.doi.org/10.1016/j.cyto.2022.155962")</f>
        <v>http://dx.doi.org/10.1016/j.cyto.2022.155962</v>
      </c>
      <c r="BG1114" s="2"/>
      <c r="BH1114" s="2" t="s">
        <v>12940</v>
      </c>
      <c r="BI1114" s="2" t="n">
        <v>18</v>
      </c>
      <c r="BJ1114" s="2" t="s">
        <v>19612</v>
      </c>
      <c r="BK1114" s="2" t="s">
        <v>100</v>
      </c>
      <c r="BL1114" s="2" t="s">
        <v>19612</v>
      </c>
      <c r="BM1114" s="2" t="s">
        <v>19613</v>
      </c>
      <c r="BN1114" s="2" t="n">
        <v>35853395</v>
      </c>
      <c r="BO1114" s="2"/>
      <c r="BP1114" s="2"/>
      <c r="BQ1114" s="2"/>
      <c r="BR1114" s="2" t="s">
        <v>104</v>
      </c>
      <c r="BS1114" s="2" t="s">
        <v>19614</v>
      </c>
      <c r="BT1114" s="2" t="str">
        <f aca="false">HYPERLINK("https%3A%2F%2Fwww.webofscience.com%2Fwos%2Fwoscc%2Ffull-record%2FWOS:000831536500006","View Full Record in Web of Science")</f>
        <v>View Full Record in Web of Science</v>
      </c>
    </row>
    <row r="1115" customFormat="false" ht="12.75" hidden="false" customHeight="false" outlineLevel="0" collapsed="false">
      <c r="A1115" s="2" t="s">
        <v>72</v>
      </c>
      <c r="B1115" s="2" t="s">
        <v>19615</v>
      </c>
      <c r="C1115" s="2"/>
      <c r="D1115" s="2"/>
      <c r="E1115" s="2"/>
      <c r="F1115" s="2" t="s">
        <v>19616</v>
      </c>
      <c r="G1115" s="2"/>
      <c r="H1115" s="2"/>
      <c r="I1115" s="2" t="s">
        <v>19617</v>
      </c>
      <c r="J1115" s="2" t="s">
        <v>17423</v>
      </c>
      <c r="K1115" s="2"/>
      <c r="L1115" s="2"/>
      <c r="M1115" s="2" t="s">
        <v>77</v>
      </c>
      <c r="N1115" s="2" t="s">
        <v>78</v>
      </c>
      <c r="O1115" s="2"/>
      <c r="P1115" s="2"/>
      <c r="Q1115" s="2"/>
      <c r="R1115" s="2"/>
      <c r="S1115" s="2"/>
      <c r="T1115" s="2" t="s">
        <v>19618</v>
      </c>
      <c r="U1115" s="2" t="s">
        <v>19619</v>
      </c>
      <c r="V1115" s="2" t="s">
        <v>19620</v>
      </c>
      <c r="W1115" s="2" t="s">
        <v>19621</v>
      </c>
      <c r="X1115" s="2" t="s">
        <v>19622</v>
      </c>
      <c r="Y1115" s="2" t="s">
        <v>19623</v>
      </c>
      <c r="Z1115" s="2" t="s">
        <v>19624</v>
      </c>
      <c r="AA1115" s="2" t="s">
        <v>19625</v>
      </c>
      <c r="AB1115" s="2" t="s">
        <v>19626</v>
      </c>
      <c r="AC1115" s="2"/>
      <c r="AD1115" s="2"/>
      <c r="AE1115" s="2"/>
      <c r="AF1115" s="2"/>
      <c r="AG1115" s="2" t="n">
        <v>82</v>
      </c>
      <c r="AH1115" s="2" t="n">
        <v>0</v>
      </c>
      <c r="AI1115" s="2" t="n">
        <v>0</v>
      </c>
      <c r="AJ1115" s="2" t="n">
        <v>0</v>
      </c>
      <c r="AK1115" s="2" t="n">
        <v>2</v>
      </c>
      <c r="AL1115" s="2" t="s">
        <v>91</v>
      </c>
      <c r="AM1115" s="2" t="s">
        <v>92</v>
      </c>
      <c r="AN1115" s="2" t="s">
        <v>93</v>
      </c>
      <c r="AO1115" s="2"/>
      <c r="AP1115" s="2" t="s">
        <v>17434</v>
      </c>
      <c r="AQ1115" s="2"/>
      <c r="AR1115" s="2" t="s">
        <v>17423</v>
      </c>
      <c r="AS1115" s="2" t="s">
        <v>17435</v>
      </c>
      <c r="AT1115" s="2" t="s">
        <v>97</v>
      </c>
      <c r="AU1115" s="2" t="n">
        <v>2023</v>
      </c>
      <c r="AV1115" s="2" t="n">
        <v>11</v>
      </c>
      <c r="AW1115" s="2" t="n">
        <v>3</v>
      </c>
      <c r="AX1115" s="2"/>
      <c r="AY1115" s="2"/>
      <c r="AZ1115" s="2"/>
      <c r="BA1115" s="2"/>
      <c r="BB1115" s="2"/>
      <c r="BC1115" s="2"/>
      <c r="BD1115" s="2" t="n">
        <v>910</v>
      </c>
      <c r="BE1115" s="2" t="s">
        <v>19627</v>
      </c>
      <c r="BF1115" s="2" t="str">
        <f aca="false">HYPERLINK("http://dx.doi.org/10.3390/biomedicines11030910","http://dx.doi.org/10.3390/biomedicines11030910")</f>
        <v>http://dx.doi.org/10.3390/biomedicines11030910</v>
      </c>
      <c r="BG1115" s="2"/>
      <c r="BH1115" s="2"/>
      <c r="BI1115" s="2" t="n">
        <v>16</v>
      </c>
      <c r="BJ1115" s="2" t="s">
        <v>17437</v>
      </c>
      <c r="BK1115" s="2" t="s">
        <v>100</v>
      </c>
      <c r="BL1115" s="2" t="s">
        <v>17438</v>
      </c>
      <c r="BM1115" s="2" t="s">
        <v>19628</v>
      </c>
      <c r="BN1115" s="2" t="n">
        <v>36979888</v>
      </c>
      <c r="BO1115" s="2" t="s">
        <v>190</v>
      </c>
      <c r="BP1115" s="2"/>
      <c r="BQ1115" s="2"/>
      <c r="BR1115" s="2" t="s">
        <v>104</v>
      </c>
      <c r="BS1115" s="2" t="s">
        <v>19629</v>
      </c>
      <c r="BT1115" s="2" t="str">
        <f aca="false">HYPERLINK("https%3A%2F%2Fwww.webofscience.com%2Fwos%2Fwoscc%2Ffull-record%2FWOS:000954190600001","View Full Record in Web of Science")</f>
        <v>View Full Record in Web of Science</v>
      </c>
    </row>
    <row r="1116" customFormat="false" ht="12.75" hidden="false" customHeight="false" outlineLevel="0" collapsed="false">
      <c r="A1116" s="2" t="s">
        <v>72</v>
      </c>
      <c r="B1116" s="2" t="s">
        <v>19630</v>
      </c>
      <c r="C1116" s="2"/>
      <c r="D1116" s="2"/>
      <c r="E1116" s="2"/>
      <c r="F1116" s="2" t="s">
        <v>19631</v>
      </c>
      <c r="G1116" s="2"/>
      <c r="H1116" s="2"/>
      <c r="I1116" s="2" t="s">
        <v>19632</v>
      </c>
      <c r="J1116" s="2" t="s">
        <v>8945</v>
      </c>
      <c r="K1116" s="2"/>
      <c r="L1116" s="2"/>
      <c r="M1116" s="2" t="s">
        <v>77</v>
      </c>
      <c r="N1116" s="2" t="s">
        <v>78</v>
      </c>
      <c r="O1116" s="2"/>
      <c r="P1116" s="2"/>
      <c r="Q1116" s="2"/>
      <c r="R1116" s="2"/>
      <c r="S1116" s="2"/>
      <c r="T1116" s="2" t="s">
        <v>19633</v>
      </c>
      <c r="U1116" s="2" t="s">
        <v>19634</v>
      </c>
      <c r="V1116" s="2" t="s">
        <v>19635</v>
      </c>
      <c r="W1116" s="2" t="s">
        <v>19636</v>
      </c>
      <c r="X1116" s="2" t="s">
        <v>19637</v>
      </c>
      <c r="Y1116" s="2" t="s">
        <v>19638</v>
      </c>
      <c r="Z1116" s="2" t="s">
        <v>19639</v>
      </c>
      <c r="AA1116" s="2" t="s">
        <v>19640</v>
      </c>
      <c r="AB1116" s="2" t="s">
        <v>19641</v>
      </c>
      <c r="AC1116" s="2"/>
      <c r="AD1116" s="2"/>
      <c r="AE1116" s="2"/>
      <c r="AF1116" s="2"/>
      <c r="AG1116" s="2" t="n">
        <v>18</v>
      </c>
      <c r="AH1116" s="2" t="n">
        <v>66</v>
      </c>
      <c r="AI1116" s="2" t="n">
        <v>70</v>
      </c>
      <c r="AJ1116" s="2" t="n">
        <v>0</v>
      </c>
      <c r="AK1116" s="2" t="n">
        <v>11</v>
      </c>
      <c r="AL1116" s="2" t="s">
        <v>8957</v>
      </c>
      <c r="AM1116" s="2" t="s">
        <v>303</v>
      </c>
      <c r="AN1116" s="2" t="s">
        <v>8958</v>
      </c>
      <c r="AO1116" s="2" t="s">
        <v>8959</v>
      </c>
      <c r="AP1116" s="2" t="s">
        <v>8960</v>
      </c>
      <c r="AQ1116" s="2"/>
      <c r="AR1116" s="2" t="s">
        <v>8961</v>
      </c>
      <c r="AS1116" s="2" t="s">
        <v>8962</v>
      </c>
      <c r="AT1116" s="2" t="s">
        <v>161</v>
      </c>
      <c r="AU1116" s="2" t="n">
        <v>2013</v>
      </c>
      <c r="AV1116" s="2" t="n">
        <v>45</v>
      </c>
      <c r="AW1116" s="2" t="n">
        <v>1</v>
      </c>
      <c r="AX1116" s="2"/>
      <c r="AY1116" s="2"/>
      <c r="AZ1116" s="2"/>
      <c r="BA1116" s="2"/>
      <c r="BB1116" s="2" t="n">
        <v>65</v>
      </c>
      <c r="BC1116" s="2" t="n">
        <v>69</v>
      </c>
      <c r="BD1116" s="2"/>
      <c r="BE1116" s="2" t="s">
        <v>19642</v>
      </c>
      <c r="BF1116" s="2" t="str">
        <f aca="false">HYPERLINK("http://dx.doi.org/10.3109/00365548.2012.708942","http://dx.doi.org/10.3109/00365548.2012.708942")</f>
        <v>http://dx.doi.org/10.3109/00365548.2012.708942</v>
      </c>
      <c r="BG1116" s="2"/>
      <c r="BH1116" s="2"/>
      <c r="BI1116" s="2" t="n">
        <v>5</v>
      </c>
      <c r="BJ1116" s="2" t="s">
        <v>575</v>
      </c>
      <c r="BK1116" s="2" t="s">
        <v>100</v>
      </c>
      <c r="BL1116" s="2" t="s">
        <v>575</v>
      </c>
      <c r="BM1116" s="2" t="s">
        <v>19643</v>
      </c>
      <c r="BN1116" s="2" t="n">
        <v>22992129</v>
      </c>
      <c r="BO1116" s="2"/>
      <c r="BP1116" s="2"/>
      <c r="BQ1116" s="2"/>
      <c r="BR1116" s="2" t="s">
        <v>104</v>
      </c>
      <c r="BS1116" s="2" t="s">
        <v>19644</v>
      </c>
      <c r="BT1116" s="2" t="str">
        <f aca="false">HYPERLINK("https%3A%2F%2Fwww.webofscience.com%2Fwos%2Fwoscc%2Ffull-record%2FWOS:000312503600009","View Full Record in Web of Science")</f>
        <v>View Full Record in Web of Science</v>
      </c>
    </row>
    <row r="1117" customFormat="false" ht="12.75" hidden="false" customHeight="false" outlineLevel="0" collapsed="false">
      <c r="A1117" s="2" t="s">
        <v>72</v>
      </c>
      <c r="B1117" s="2" t="s">
        <v>19645</v>
      </c>
      <c r="C1117" s="2"/>
      <c r="D1117" s="2"/>
      <c r="E1117" s="2"/>
      <c r="F1117" s="2" t="s">
        <v>19646</v>
      </c>
      <c r="G1117" s="2"/>
      <c r="H1117" s="2"/>
      <c r="I1117" s="2" t="s">
        <v>19647</v>
      </c>
      <c r="J1117" s="2" t="s">
        <v>5616</v>
      </c>
      <c r="K1117" s="2"/>
      <c r="L1117" s="2"/>
      <c r="M1117" s="2" t="s">
        <v>77</v>
      </c>
      <c r="N1117" s="2" t="s">
        <v>78</v>
      </c>
      <c r="O1117" s="2"/>
      <c r="P1117" s="2"/>
      <c r="Q1117" s="2"/>
      <c r="R1117" s="2"/>
      <c r="S1117" s="2"/>
      <c r="T1117" s="2" t="s">
        <v>19648</v>
      </c>
      <c r="U1117" s="2" t="s">
        <v>19649</v>
      </c>
      <c r="V1117" s="2" t="s">
        <v>19650</v>
      </c>
      <c r="W1117" s="2" t="s">
        <v>19651</v>
      </c>
      <c r="X1117" s="2" t="s">
        <v>19652</v>
      </c>
      <c r="Y1117" s="2" t="s">
        <v>19653</v>
      </c>
      <c r="Z1117" s="2" t="s">
        <v>19654</v>
      </c>
      <c r="AA1117" s="2"/>
      <c r="AB1117" s="2"/>
      <c r="AC1117" s="2"/>
      <c r="AD1117" s="2"/>
      <c r="AE1117" s="2"/>
      <c r="AF1117" s="2"/>
      <c r="AG1117" s="2" t="n">
        <v>29</v>
      </c>
      <c r="AH1117" s="2" t="n">
        <v>6</v>
      </c>
      <c r="AI1117" s="2" t="n">
        <v>6</v>
      </c>
      <c r="AJ1117" s="2" t="n">
        <v>0</v>
      </c>
      <c r="AK1117" s="2" t="n">
        <v>1</v>
      </c>
      <c r="AL1117" s="2" t="s">
        <v>3584</v>
      </c>
      <c r="AM1117" s="2" t="s">
        <v>303</v>
      </c>
      <c r="AN1117" s="2" t="s">
        <v>3585</v>
      </c>
      <c r="AO1117" s="2" t="s">
        <v>5626</v>
      </c>
      <c r="AP1117" s="2" t="s">
        <v>5627</v>
      </c>
      <c r="AQ1117" s="2"/>
      <c r="AR1117" s="2" t="s">
        <v>5628</v>
      </c>
      <c r="AS1117" s="2" t="s">
        <v>5629</v>
      </c>
      <c r="AT1117" s="2" t="s">
        <v>161</v>
      </c>
      <c r="AU1117" s="2" t="n">
        <v>2020</v>
      </c>
      <c r="AV1117" s="2" t="n">
        <v>161</v>
      </c>
      <c r="AW1117" s="2"/>
      <c r="AX1117" s="2"/>
      <c r="AY1117" s="2"/>
      <c r="AZ1117" s="2"/>
      <c r="BA1117" s="2"/>
      <c r="BB1117" s="2"/>
      <c r="BC1117" s="2"/>
      <c r="BD1117" s="2" t="n">
        <v>105854</v>
      </c>
      <c r="BE1117" s="2" t="s">
        <v>19655</v>
      </c>
      <c r="BF1117" s="2" t="str">
        <f aca="false">HYPERLINK("http://dx.doi.org/10.1016/j.rmed.2019.105854","http://dx.doi.org/10.1016/j.rmed.2019.105854")</f>
        <v>http://dx.doi.org/10.1016/j.rmed.2019.105854</v>
      </c>
      <c r="BG1117" s="2"/>
      <c r="BH1117" s="2"/>
      <c r="BI1117" s="2" t="n">
        <v>5</v>
      </c>
      <c r="BJ1117" s="2" t="s">
        <v>5632</v>
      </c>
      <c r="BK1117" s="2" t="s">
        <v>100</v>
      </c>
      <c r="BL1117" s="2" t="s">
        <v>5633</v>
      </c>
      <c r="BM1117" s="2" t="s">
        <v>19656</v>
      </c>
      <c r="BN1117" s="2" t="n">
        <v>32056728</v>
      </c>
      <c r="BO1117" s="2"/>
      <c r="BP1117" s="2"/>
      <c r="BQ1117" s="2"/>
      <c r="BR1117" s="2" t="s">
        <v>104</v>
      </c>
      <c r="BS1117" s="2" t="s">
        <v>19657</v>
      </c>
      <c r="BT1117" s="2" t="str">
        <f aca="false">HYPERLINK("https%3A%2F%2Fwww.webofscience.com%2Fwos%2Fwoscc%2Ffull-record%2FWOS:000510834400018","View Full Record in Web of Science")</f>
        <v>View Full Record in Web of Science</v>
      </c>
    </row>
    <row r="1118" customFormat="false" ht="12.75" hidden="false" customHeight="false" outlineLevel="0" collapsed="false">
      <c r="A1118" s="2" t="s">
        <v>72</v>
      </c>
      <c r="B1118" s="2" t="s">
        <v>19658</v>
      </c>
      <c r="C1118" s="2"/>
      <c r="D1118" s="2"/>
      <c r="E1118" s="2"/>
      <c r="F1118" s="2" t="s">
        <v>19659</v>
      </c>
      <c r="G1118" s="2"/>
      <c r="H1118" s="2"/>
      <c r="I1118" s="2" t="s">
        <v>19660</v>
      </c>
      <c r="J1118" s="2" t="s">
        <v>3657</v>
      </c>
      <c r="K1118" s="2"/>
      <c r="L1118" s="2"/>
      <c r="M1118" s="2" t="s">
        <v>77</v>
      </c>
      <c r="N1118" s="2" t="s">
        <v>78</v>
      </c>
      <c r="O1118" s="2"/>
      <c r="P1118" s="2"/>
      <c r="Q1118" s="2"/>
      <c r="R1118" s="2"/>
      <c r="S1118" s="2"/>
      <c r="T1118" s="2" t="s">
        <v>19661</v>
      </c>
      <c r="U1118" s="2" t="s">
        <v>19662</v>
      </c>
      <c r="V1118" s="2" t="s">
        <v>19663</v>
      </c>
      <c r="W1118" s="2" t="s">
        <v>19664</v>
      </c>
      <c r="X1118" s="2" t="s">
        <v>7210</v>
      </c>
      <c r="Y1118" s="2" t="s">
        <v>19665</v>
      </c>
      <c r="Z1118" s="2" t="s">
        <v>19666</v>
      </c>
      <c r="AA1118" s="2" t="s">
        <v>19667</v>
      </c>
      <c r="AB1118" s="2" t="s">
        <v>19668</v>
      </c>
      <c r="AC1118" s="2"/>
      <c r="AD1118" s="2"/>
      <c r="AE1118" s="2"/>
      <c r="AF1118" s="2"/>
      <c r="AG1118" s="2" t="n">
        <v>19</v>
      </c>
      <c r="AH1118" s="2" t="n">
        <v>2</v>
      </c>
      <c r="AI1118" s="2" t="n">
        <v>2</v>
      </c>
      <c r="AJ1118" s="2" t="n">
        <v>0</v>
      </c>
      <c r="AK1118" s="2" t="n">
        <v>2</v>
      </c>
      <c r="AL1118" s="2" t="s">
        <v>3667</v>
      </c>
      <c r="AM1118" s="2" t="s">
        <v>3668</v>
      </c>
      <c r="AN1118" s="2" t="s">
        <v>3669</v>
      </c>
      <c r="AO1118" s="2" t="s">
        <v>3670</v>
      </c>
      <c r="AP1118" s="2"/>
      <c r="AQ1118" s="2"/>
      <c r="AR1118" s="2" t="s">
        <v>3671</v>
      </c>
      <c r="AS1118" s="2" t="s">
        <v>3672</v>
      </c>
      <c r="AT1118" s="2" t="s">
        <v>362</v>
      </c>
      <c r="AU1118" s="2" t="n">
        <v>2022</v>
      </c>
      <c r="AV1118" s="2" t="n">
        <v>64</v>
      </c>
      <c r="AW1118" s="2" t="n">
        <v>3</v>
      </c>
      <c r="AX1118" s="2"/>
      <c r="AY1118" s="2"/>
      <c r="AZ1118" s="2"/>
      <c r="BA1118" s="2"/>
      <c r="BB1118" s="2" t="n">
        <v>549</v>
      </c>
      <c r="BC1118" s="2" t="n">
        <v>557</v>
      </c>
      <c r="BD1118" s="2"/>
      <c r="BE1118" s="2" t="s">
        <v>19669</v>
      </c>
      <c r="BF1118" s="2" t="str">
        <f aca="false">HYPERLINK("http://dx.doi.org/10.24953/turkjped.2020.1926","http://dx.doi.org/10.24953/turkjped.2020.1926")</f>
        <v>http://dx.doi.org/10.24953/turkjped.2020.1926</v>
      </c>
      <c r="BG1118" s="2"/>
      <c r="BH1118" s="2"/>
      <c r="BI1118" s="2" t="n">
        <v>9</v>
      </c>
      <c r="BJ1118" s="2" t="s">
        <v>601</v>
      </c>
      <c r="BK1118" s="2" t="s">
        <v>100</v>
      </c>
      <c r="BL1118" s="2" t="s">
        <v>601</v>
      </c>
      <c r="BM1118" s="2" t="s">
        <v>14201</v>
      </c>
      <c r="BN1118" s="2" t="n">
        <v>35899568</v>
      </c>
      <c r="BO1118" s="2" t="s">
        <v>1355</v>
      </c>
      <c r="BP1118" s="2"/>
      <c r="BQ1118" s="2"/>
      <c r="BR1118" s="2" t="s">
        <v>104</v>
      </c>
      <c r="BS1118" s="2" t="s">
        <v>19670</v>
      </c>
      <c r="BT1118" s="2" t="str">
        <f aca="false">HYPERLINK("https%3A%2F%2Fwww.webofscience.com%2Fwos%2Fwoscc%2Ffull-record%2FWOS:000830892400014","View Full Record in Web of Science")</f>
        <v>View Full Record in Web of Science</v>
      </c>
    </row>
    <row r="1119" customFormat="false" ht="12.75" hidden="false" customHeight="false" outlineLevel="0" collapsed="false">
      <c r="A1119" s="2" t="s">
        <v>72</v>
      </c>
      <c r="B1119" s="2" t="s">
        <v>19671</v>
      </c>
      <c r="C1119" s="2"/>
      <c r="D1119" s="2"/>
      <c r="E1119" s="2"/>
      <c r="F1119" s="2" t="s">
        <v>19672</v>
      </c>
      <c r="G1119" s="2"/>
      <c r="H1119" s="2"/>
      <c r="I1119" s="2" t="s">
        <v>19673</v>
      </c>
      <c r="J1119" s="2" t="s">
        <v>742</v>
      </c>
      <c r="K1119" s="2"/>
      <c r="L1119" s="2"/>
      <c r="M1119" s="2" t="s">
        <v>77</v>
      </c>
      <c r="N1119" s="2" t="s">
        <v>78</v>
      </c>
      <c r="O1119" s="2"/>
      <c r="P1119" s="2"/>
      <c r="Q1119" s="2"/>
      <c r="R1119" s="2"/>
      <c r="S1119" s="2"/>
      <c r="T1119" s="2" t="s">
        <v>19674</v>
      </c>
      <c r="U1119" s="2" t="s">
        <v>19675</v>
      </c>
      <c r="V1119" s="2" t="s">
        <v>19676</v>
      </c>
      <c r="W1119" s="2" t="s">
        <v>19677</v>
      </c>
      <c r="X1119" s="2" t="s">
        <v>19678</v>
      </c>
      <c r="Y1119" s="2" t="s">
        <v>19679</v>
      </c>
      <c r="Z1119" s="2" t="s">
        <v>2573</v>
      </c>
      <c r="AA1119" s="2" t="s">
        <v>19680</v>
      </c>
      <c r="AB1119" s="2" t="s">
        <v>19681</v>
      </c>
      <c r="AC1119" s="2" t="s">
        <v>19682</v>
      </c>
      <c r="AD1119" s="2" t="s">
        <v>19683</v>
      </c>
      <c r="AE1119" s="2" t="s">
        <v>19684</v>
      </c>
      <c r="AF1119" s="2"/>
      <c r="AG1119" s="2" t="n">
        <v>51</v>
      </c>
      <c r="AH1119" s="2" t="n">
        <v>14</v>
      </c>
      <c r="AI1119" s="2" t="n">
        <v>16</v>
      </c>
      <c r="AJ1119" s="2" t="n">
        <v>2</v>
      </c>
      <c r="AK1119" s="2" t="n">
        <v>6</v>
      </c>
      <c r="AL1119" s="2" t="s">
        <v>755</v>
      </c>
      <c r="AM1119" s="2" t="s">
        <v>273</v>
      </c>
      <c r="AN1119" s="2" t="s">
        <v>756</v>
      </c>
      <c r="AO1119" s="2" t="s">
        <v>757</v>
      </c>
      <c r="AP1119" s="2" t="s">
        <v>758</v>
      </c>
      <c r="AQ1119" s="2"/>
      <c r="AR1119" s="2" t="s">
        <v>759</v>
      </c>
      <c r="AS1119" s="2" t="s">
        <v>760</v>
      </c>
      <c r="AT1119" s="2" t="s">
        <v>129</v>
      </c>
      <c r="AU1119" s="2" t="n">
        <v>2021</v>
      </c>
      <c r="AV1119" s="2" t="n">
        <v>95</v>
      </c>
      <c r="AW1119" s="2" t="n">
        <v>18</v>
      </c>
      <c r="AX1119" s="2"/>
      <c r="AY1119" s="2"/>
      <c r="AZ1119" s="2"/>
      <c r="BA1119" s="2"/>
      <c r="BB1119" s="2"/>
      <c r="BC1119" s="2"/>
      <c r="BD1119" s="2" t="s">
        <v>19685</v>
      </c>
      <c r="BE1119" s="2" t="s">
        <v>19686</v>
      </c>
      <c r="BF1119" s="2" t="str">
        <f aca="false">HYPERLINK("http://dx.doi.org/10.1128/JVI.00593-21","http://dx.doi.org/10.1128/JVI.00593-21")</f>
        <v>http://dx.doi.org/10.1128/JVI.00593-21</v>
      </c>
      <c r="BG1119" s="2"/>
      <c r="BH1119" s="2"/>
      <c r="BI1119" s="2" t="n">
        <v>16</v>
      </c>
      <c r="BJ1119" s="2" t="s">
        <v>163</v>
      </c>
      <c r="BK1119" s="2" t="s">
        <v>100</v>
      </c>
      <c r="BL1119" s="2" t="s">
        <v>163</v>
      </c>
      <c r="BM1119" s="2" t="s">
        <v>19687</v>
      </c>
      <c r="BN1119" s="2" t="n">
        <v>34160259</v>
      </c>
      <c r="BO1119" s="2" t="s">
        <v>3775</v>
      </c>
      <c r="BP1119" s="2"/>
      <c r="BQ1119" s="2"/>
      <c r="BR1119" s="2" t="s">
        <v>104</v>
      </c>
      <c r="BS1119" s="2" t="s">
        <v>19688</v>
      </c>
      <c r="BT1119" s="2" t="str">
        <f aca="false">HYPERLINK("https%3A%2F%2Fwww.webofscience.com%2Fwos%2Fwoscc%2Ffull-record%2FWOS:000708638400013","View Full Record in Web of Science")</f>
        <v>View Full Record in Web of Science</v>
      </c>
    </row>
    <row r="1120" customFormat="false" ht="12.75" hidden="false" customHeight="false" outlineLevel="0" collapsed="false">
      <c r="A1120" s="2" t="s">
        <v>72</v>
      </c>
      <c r="B1120" s="2" t="s">
        <v>19689</v>
      </c>
      <c r="C1120" s="2"/>
      <c r="D1120" s="2"/>
      <c r="E1120" s="2"/>
      <c r="F1120" s="2" t="s">
        <v>19690</v>
      </c>
      <c r="G1120" s="2"/>
      <c r="H1120" s="2"/>
      <c r="I1120" s="2" t="s">
        <v>19691</v>
      </c>
      <c r="J1120" s="2" t="s">
        <v>19692</v>
      </c>
      <c r="K1120" s="2"/>
      <c r="L1120" s="2"/>
      <c r="M1120" s="2" t="s">
        <v>77</v>
      </c>
      <c r="N1120" s="2" t="s">
        <v>78</v>
      </c>
      <c r="O1120" s="2"/>
      <c r="P1120" s="2"/>
      <c r="Q1120" s="2"/>
      <c r="R1120" s="2"/>
      <c r="S1120" s="2"/>
      <c r="T1120" s="2" t="s">
        <v>19693</v>
      </c>
      <c r="U1120" s="2" t="s">
        <v>19694</v>
      </c>
      <c r="V1120" s="2" t="s">
        <v>19695</v>
      </c>
      <c r="W1120" s="2" t="s">
        <v>19696</v>
      </c>
      <c r="X1120" s="2" t="s">
        <v>19697</v>
      </c>
      <c r="Y1120" s="2" t="s">
        <v>19698</v>
      </c>
      <c r="Z1120" s="2" t="s">
        <v>19699</v>
      </c>
      <c r="AA1120" s="2" t="s">
        <v>19700</v>
      </c>
      <c r="AB1120" s="2" t="s">
        <v>19701</v>
      </c>
      <c r="AC1120" s="2" t="s">
        <v>19702</v>
      </c>
      <c r="AD1120" s="2" t="s">
        <v>19703</v>
      </c>
      <c r="AE1120" s="2" t="s">
        <v>19704</v>
      </c>
      <c r="AF1120" s="2"/>
      <c r="AG1120" s="2" t="n">
        <v>57</v>
      </c>
      <c r="AH1120" s="2" t="n">
        <v>28</v>
      </c>
      <c r="AI1120" s="2" t="n">
        <v>30</v>
      </c>
      <c r="AJ1120" s="2" t="n">
        <v>1</v>
      </c>
      <c r="AK1120" s="2" t="n">
        <v>20</v>
      </c>
      <c r="AL1120" s="2" t="s">
        <v>782</v>
      </c>
      <c r="AM1120" s="2" t="s">
        <v>783</v>
      </c>
      <c r="AN1120" s="2" t="s">
        <v>784</v>
      </c>
      <c r="AO1120" s="2" t="s">
        <v>19705</v>
      </c>
      <c r="AP1120" s="2" t="s">
        <v>19706</v>
      </c>
      <c r="AQ1120" s="2"/>
      <c r="AR1120" s="2" t="s">
        <v>19707</v>
      </c>
      <c r="AS1120" s="2" t="s">
        <v>19708</v>
      </c>
      <c r="AT1120" s="2" t="s">
        <v>6563</v>
      </c>
      <c r="AU1120" s="2" t="n">
        <v>2014</v>
      </c>
      <c r="AV1120" s="2" t="n">
        <v>101</v>
      </c>
      <c r="AW1120" s="2"/>
      <c r="AX1120" s="2"/>
      <c r="AY1120" s="2"/>
      <c r="AZ1120" s="2"/>
      <c r="BA1120" s="2"/>
      <c r="BB1120" s="2" t="n">
        <v>313</v>
      </c>
      <c r="BC1120" s="2" t="n">
        <v>323</v>
      </c>
      <c r="BD1120" s="2"/>
      <c r="BE1120" s="2" t="s">
        <v>19709</v>
      </c>
      <c r="BF1120" s="2" t="str">
        <f aca="false">HYPERLINK("http://dx.doi.org/10.1016/j.carbpol.2013.09.026","http://dx.doi.org/10.1016/j.carbpol.2013.09.026")</f>
        <v>http://dx.doi.org/10.1016/j.carbpol.2013.09.026</v>
      </c>
      <c r="BG1120" s="2"/>
      <c r="BH1120" s="2"/>
      <c r="BI1120" s="2" t="n">
        <v>11</v>
      </c>
      <c r="BJ1120" s="2" t="s">
        <v>19710</v>
      </c>
      <c r="BK1120" s="2" t="s">
        <v>100</v>
      </c>
      <c r="BL1120" s="2" t="s">
        <v>19711</v>
      </c>
      <c r="BM1120" s="2" t="s">
        <v>19712</v>
      </c>
      <c r="BN1120" s="2" t="n">
        <v>24299779</v>
      </c>
      <c r="BO1120" s="2"/>
      <c r="BP1120" s="2"/>
      <c r="BQ1120" s="2"/>
      <c r="BR1120" s="2" t="s">
        <v>104</v>
      </c>
      <c r="BS1120" s="2" t="s">
        <v>19713</v>
      </c>
      <c r="BT1120" s="2" t="str">
        <f aca="false">HYPERLINK("https%3A%2F%2Fwww.webofscience.com%2Fwos%2Fwoscc%2Ffull-record%2FWOS:000330494800038","View Full Record in Web of Science")</f>
        <v>View Full Record in Web of Science</v>
      </c>
    </row>
    <row r="1121" customFormat="false" ht="12.75" hidden="false" customHeight="false" outlineLevel="0" collapsed="false">
      <c r="A1121" s="2" t="s">
        <v>72</v>
      </c>
      <c r="B1121" s="2" t="s">
        <v>19714</v>
      </c>
      <c r="C1121" s="2"/>
      <c r="D1121" s="2"/>
      <c r="E1121" s="2"/>
      <c r="F1121" s="2" t="s">
        <v>19715</v>
      </c>
      <c r="G1121" s="2"/>
      <c r="H1121" s="2"/>
      <c r="I1121" s="2" t="s">
        <v>19716</v>
      </c>
      <c r="J1121" s="2" t="s">
        <v>5511</v>
      </c>
      <c r="K1121" s="2"/>
      <c r="L1121" s="2"/>
      <c r="M1121" s="2" t="s">
        <v>77</v>
      </c>
      <c r="N1121" s="2" t="s">
        <v>78</v>
      </c>
      <c r="O1121" s="2"/>
      <c r="P1121" s="2"/>
      <c r="Q1121" s="2"/>
      <c r="R1121" s="2"/>
      <c r="S1121" s="2"/>
      <c r="T1121" s="2" t="s">
        <v>19717</v>
      </c>
      <c r="U1121" s="2" t="s">
        <v>19718</v>
      </c>
      <c r="V1121" s="2" t="s">
        <v>19719</v>
      </c>
      <c r="W1121" s="2" t="s">
        <v>19720</v>
      </c>
      <c r="X1121" s="2" t="s">
        <v>19721</v>
      </c>
      <c r="Y1121" s="2" t="s">
        <v>19722</v>
      </c>
      <c r="Z1121" s="2" t="s">
        <v>19723</v>
      </c>
      <c r="AA1121" s="2" t="s">
        <v>19724</v>
      </c>
      <c r="AB1121" s="2" t="s">
        <v>19725</v>
      </c>
      <c r="AC1121" s="2" t="s">
        <v>19726</v>
      </c>
      <c r="AD1121" s="2" t="s">
        <v>19727</v>
      </c>
      <c r="AE1121" s="2" t="s">
        <v>19728</v>
      </c>
      <c r="AF1121" s="2"/>
      <c r="AG1121" s="2" t="n">
        <v>45</v>
      </c>
      <c r="AH1121" s="2" t="n">
        <v>2</v>
      </c>
      <c r="AI1121" s="2" t="n">
        <v>2</v>
      </c>
      <c r="AJ1121" s="2" t="n">
        <v>0</v>
      </c>
      <c r="AK1121" s="2" t="n">
        <v>5</v>
      </c>
      <c r="AL1121" s="2" t="s">
        <v>5523</v>
      </c>
      <c r="AM1121" s="2" t="s">
        <v>5524</v>
      </c>
      <c r="AN1121" s="2" t="s">
        <v>5525</v>
      </c>
      <c r="AO1121" s="2" t="s">
        <v>5526</v>
      </c>
      <c r="AP1121" s="2" t="s">
        <v>5527</v>
      </c>
      <c r="AQ1121" s="2"/>
      <c r="AR1121" s="2" t="s">
        <v>5528</v>
      </c>
      <c r="AS1121" s="2" t="s">
        <v>5529</v>
      </c>
      <c r="AT1121" s="2" t="s">
        <v>3408</v>
      </c>
      <c r="AU1121" s="2" t="n">
        <v>2021</v>
      </c>
      <c r="AV1121" s="2" t="n">
        <v>34</v>
      </c>
      <c r="AW1121" s="2" t="n">
        <v>1</v>
      </c>
      <c r="AX1121" s="2"/>
      <c r="AY1121" s="2"/>
      <c r="AZ1121" s="2"/>
      <c r="BA1121" s="2"/>
      <c r="BB1121" s="2" t="n">
        <v>18</v>
      </c>
      <c r="BC1121" s="2" t="n">
        <v>26</v>
      </c>
      <c r="BD1121" s="2"/>
      <c r="BE1121" s="2" t="s">
        <v>19729</v>
      </c>
      <c r="BF1121" s="2" t="str">
        <f aca="false">HYPERLINK("http://dx.doi.org/10.1089/vim.2020.0018","http://dx.doi.org/10.1089/vim.2020.0018")</f>
        <v>http://dx.doi.org/10.1089/vim.2020.0018</v>
      </c>
      <c r="BG1121" s="2"/>
      <c r="BH1121" s="2" t="s">
        <v>6543</v>
      </c>
      <c r="BI1121" s="2" t="n">
        <v>9</v>
      </c>
      <c r="BJ1121" s="2" t="s">
        <v>5531</v>
      </c>
      <c r="BK1121" s="2" t="s">
        <v>100</v>
      </c>
      <c r="BL1121" s="2" t="s">
        <v>5531</v>
      </c>
      <c r="BM1121" s="2" t="s">
        <v>19730</v>
      </c>
      <c r="BN1121" s="2" t="n">
        <v>32429800</v>
      </c>
      <c r="BO1121" s="2" t="s">
        <v>165</v>
      </c>
      <c r="BP1121" s="2"/>
      <c r="BQ1121" s="2"/>
      <c r="BR1121" s="2" t="s">
        <v>104</v>
      </c>
      <c r="BS1121" s="2" t="s">
        <v>19731</v>
      </c>
      <c r="BT1121" s="2" t="str">
        <f aca="false">HYPERLINK("https%3A%2F%2Fwww.webofscience.com%2Fwos%2Fwoscc%2Ffull-record%2FWOS:000535565200001","View Full Record in Web of Science")</f>
        <v>View Full Record in Web of Science</v>
      </c>
    </row>
    <row r="1122" customFormat="false" ht="12.75" hidden="false" customHeight="false" outlineLevel="0" collapsed="false">
      <c r="A1122" s="2" t="s">
        <v>72</v>
      </c>
      <c r="B1122" s="2" t="s">
        <v>19732</v>
      </c>
      <c r="C1122" s="2"/>
      <c r="D1122" s="2"/>
      <c r="E1122" s="2"/>
      <c r="F1122" s="2" t="s">
        <v>19733</v>
      </c>
      <c r="G1122" s="2"/>
      <c r="H1122" s="2"/>
      <c r="I1122" s="2" t="s">
        <v>19734</v>
      </c>
      <c r="J1122" s="2" t="s">
        <v>19735</v>
      </c>
      <c r="K1122" s="2"/>
      <c r="L1122" s="2"/>
      <c r="M1122" s="2" t="s">
        <v>77</v>
      </c>
      <c r="N1122" s="2" t="s">
        <v>78</v>
      </c>
      <c r="O1122" s="2"/>
      <c r="P1122" s="2"/>
      <c r="Q1122" s="2"/>
      <c r="R1122" s="2"/>
      <c r="S1122" s="2"/>
      <c r="T1122" s="2" t="s">
        <v>19736</v>
      </c>
      <c r="U1122" s="2" t="s">
        <v>19737</v>
      </c>
      <c r="V1122" s="2" t="s">
        <v>19738</v>
      </c>
      <c r="W1122" s="2" t="s">
        <v>19739</v>
      </c>
      <c r="X1122" s="2" t="s">
        <v>19740</v>
      </c>
      <c r="Y1122" s="2" t="s">
        <v>19741</v>
      </c>
      <c r="Z1122" s="2" t="s">
        <v>19742</v>
      </c>
      <c r="AA1122" s="2" t="s">
        <v>19743</v>
      </c>
      <c r="AB1122" s="2" t="s">
        <v>19744</v>
      </c>
      <c r="AC1122" s="2" t="s">
        <v>19745</v>
      </c>
      <c r="AD1122" s="2" t="s">
        <v>19746</v>
      </c>
      <c r="AE1122" s="2" t="s">
        <v>19747</v>
      </c>
      <c r="AF1122" s="2"/>
      <c r="AG1122" s="2" t="n">
        <v>26</v>
      </c>
      <c r="AH1122" s="2" t="n">
        <v>31</v>
      </c>
      <c r="AI1122" s="2" t="n">
        <v>31</v>
      </c>
      <c r="AJ1122" s="2" t="n">
        <v>0</v>
      </c>
      <c r="AK1122" s="2" t="n">
        <v>3</v>
      </c>
      <c r="AL1122" s="2" t="s">
        <v>122</v>
      </c>
      <c r="AM1122" s="2" t="s">
        <v>123</v>
      </c>
      <c r="AN1122" s="2" t="s">
        <v>124</v>
      </c>
      <c r="AO1122" s="2" t="s">
        <v>19748</v>
      </c>
      <c r="AP1122" s="2" t="s">
        <v>19749</v>
      </c>
      <c r="AQ1122" s="2"/>
      <c r="AR1122" s="2" t="s">
        <v>19750</v>
      </c>
      <c r="AS1122" s="2" t="s">
        <v>19751</v>
      </c>
      <c r="AT1122" s="2" t="s">
        <v>161</v>
      </c>
      <c r="AU1122" s="2" t="n">
        <v>2018</v>
      </c>
      <c r="AV1122" s="2" t="n">
        <v>46</v>
      </c>
      <c r="AW1122" s="2" t="n">
        <v>1</v>
      </c>
      <c r="AX1122" s="2"/>
      <c r="AY1122" s="2"/>
      <c r="AZ1122" s="2"/>
      <c r="BA1122" s="2"/>
      <c r="BB1122" s="2" t="n">
        <v>29</v>
      </c>
      <c r="BC1122" s="2" t="n">
        <v>36</v>
      </c>
      <c r="BD1122" s="2"/>
      <c r="BE1122" s="2" t="s">
        <v>19752</v>
      </c>
      <c r="BF1122" s="2" t="str">
        <f aca="false">HYPERLINK("http://dx.doi.org/10.1097/CCM.0000000000002752","http://dx.doi.org/10.1097/CCM.0000000000002752")</f>
        <v>http://dx.doi.org/10.1097/CCM.0000000000002752</v>
      </c>
      <c r="BG1122" s="2"/>
      <c r="BH1122" s="2"/>
      <c r="BI1122" s="2" t="n">
        <v>8</v>
      </c>
      <c r="BJ1122" s="2" t="s">
        <v>473</v>
      </c>
      <c r="BK1122" s="2" t="s">
        <v>100</v>
      </c>
      <c r="BL1122" s="2" t="s">
        <v>364</v>
      </c>
      <c r="BM1122" s="2" t="s">
        <v>19753</v>
      </c>
      <c r="BN1122" s="2" t="n">
        <v>28991822</v>
      </c>
      <c r="BO1122" s="2"/>
      <c r="BP1122" s="2"/>
      <c r="BQ1122" s="2"/>
      <c r="BR1122" s="2" t="s">
        <v>104</v>
      </c>
      <c r="BS1122" s="2" t="s">
        <v>19754</v>
      </c>
      <c r="BT1122" s="2" t="str">
        <f aca="false">HYPERLINK("https%3A%2F%2Fwww.webofscience.com%2Fwos%2Fwoscc%2Ffull-record%2FWOS:000425430600026","View Full Record in Web of Science")</f>
        <v>View Full Record in Web of Science</v>
      </c>
    </row>
    <row r="1123" customFormat="false" ht="12.75" hidden="false" customHeight="false" outlineLevel="0" collapsed="false">
      <c r="A1123" s="2" t="s">
        <v>72</v>
      </c>
      <c r="B1123" s="2" t="s">
        <v>19755</v>
      </c>
      <c r="C1123" s="2"/>
      <c r="D1123" s="2"/>
      <c r="E1123" s="2"/>
      <c r="F1123" s="2" t="s">
        <v>19756</v>
      </c>
      <c r="G1123" s="2"/>
      <c r="H1123" s="2"/>
      <c r="I1123" s="2" t="s">
        <v>19757</v>
      </c>
      <c r="J1123" s="2" t="s">
        <v>11975</v>
      </c>
      <c r="K1123" s="2"/>
      <c r="L1123" s="2"/>
      <c r="M1123" s="2" t="s">
        <v>77</v>
      </c>
      <c r="N1123" s="2" t="s">
        <v>78</v>
      </c>
      <c r="O1123" s="2"/>
      <c r="P1123" s="2"/>
      <c r="Q1123" s="2"/>
      <c r="R1123" s="2"/>
      <c r="S1123" s="2"/>
      <c r="T1123" s="2" t="s">
        <v>19758</v>
      </c>
      <c r="U1123" s="2" t="s">
        <v>19759</v>
      </c>
      <c r="V1123" s="2" t="s">
        <v>19760</v>
      </c>
      <c r="W1123" s="2" t="s">
        <v>19761</v>
      </c>
      <c r="X1123" s="2" t="s">
        <v>19762</v>
      </c>
      <c r="Y1123" s="2" t="s">
        <v>19763</v>
      </c>
      <c r="Z1123" s="2" t="s">
        <v>19764</v>
      </c>
      <c r="AA1123" s="2" t="s">
        <v>19765</v>
      </c>
      <c r="AB1123" s="2"/>
      <c r="AC1123" s="2" t="s">
        <v>19766</v>
      </c>
      <c r="AD1123" s="2" t="s">
        <v>19766</v>
      </c>
      <c r="AE1123" s="2" t="s">
        <v>19767</v>
      </c>
      <c r="AF1123" s="2"/>
      <c r="AG1123" s="2" t="n">
        <v>28</v>
      </c>
      <c r="AH1123" s="2" t="n">
        <v>4</v>
      </c>
      <c r="AI1123" s="2" t="n">
        <v>6</v>
      </c>
      <c r="AJ1123" s="2" t="n">
        <v>0</v>
      </c>
      <c r="AK1123" s="2" t="n">
        <v>3</v>
      </c>
      <c r="AL1123" s="2" t="s">
        <v>154</v>
      </c>
      <c r="AM1123" s="2" t="s">
        <v>155</v>
      </c>
      <c r="AN1123" s="2" t="s">
        <v>156</v>
      </c>
      <c r="AO1123" s="2" t="s">
        <v>11983</v>
      </c>
      <c r="AP1123" s="2" t="s">
        <v>11984</v>
      </c>
      <c r="AQ1123" s="2"/>
      <c r="AR1123" s="2" t="s">
        <v>11985</v>
      </c>
      <c r="AS1123" s="2" t="s">
        <v>11986</v>
      </c>
      <c r="AT1123" s="2" t="s">
        <v>97</v>
      </c>
      <c r="AU1123" s="2" t="n">
        <v>2018</v>
      </c>
      <c r="AV1123" s="2" t="n">
        <v>107</v>
      </c>
      <c r="AW1123" s="2" t="n">
        <v>3</v>
      </c>
      <c r="AX1123" s="2"/>
      <c r="AY1123" s="2"/>
      <c r="AZ1123" s="2"/>
      <c r="BA1123" s="2"/>
      <c r="BB1123" s="2" t="n">
        <v>504</v>
      </c>
      <c r="BC1123" s="2" t="n">
        <v>510</v>
      </c>
      <c r="BD1123" s="2"/>
      <c r="BE1123" s="2" t="s">
        <v>19768</v>
      </c>
      <c r="BF1123" s="2" t="str">
        <f aca="false">HYPERLINK("http://dx.doi.org/10.1111/apa.14148","http://dx.doi.org/10.1111/apa.14148")</f>
        <v>http://dx.doi.org/10.1111/apa.14148</v>
      </c>
      <c r="BG1123" s="2"/>
      <c r="BH1123" s="2"/>
      <c r="BI1123" s="2" t="n">
        <v>7</v>
      </c>
      <c r="BJ1123" s="2" t="s">
        <v>601</v>
      </c>
      <c r="BK1123" s="2" t="s">
        <v>100</v>
      </c>
      <c r="BL1123" s="2" t="s">
        <v>601</v>
      </c>
      <c r="BM1123" s="2" t="s">
        <v>19769</v>
      </c>
      <c r="BN1123" s="2" t="n">
        <v>29131392</v>
      </c>
      <c r="BO1123" s="2" t="s">
        <v>538</v>
      </c>
      <c r="BP1123" s="2"/>
      <c r="BQ1123" s="2"/>
      <c r="BR1123" s="2" t="s">
        <v>104</v>
      </c>
      <c r="BS1123" s="2" t="s">
        <v>19770</v>
      </c>
      <c r="BT1123" s="2" t="str">
        <f aca="false">HYPERLINK("https%3A%2F%2Fwww.webofscience.com%2Fwos%2Fwoscc%2Ffull-record%2FWOS:000424884000025","View Full Record in Web of Science")</f>
        <v>View Full Record in Web of Science</v>
      </c>
    </row>
    <row r="1124" customFormat="false" ht="12.75" hidden="false" customHeight="false" outlineLevel="0" collapsed="false">
      <c r="A1124" s="2" t="s">
        <v>72</v>
      </c>
      <c r="B1124" s="2" t="s">
        <v>19771</v>
      </c>
      <c r="C1124" s="2"/>
      <c r="D1124" s="2"/>
      <c r="E1124" s="2"/>
      <c r="F1124" s="2" t="s">
        <v>19772</v>
      </c>
      <c r="G1124" s="2"/>
      <c r="H1124" s="2"/>
      <c r="I1124" s="2" t="s">
        <v>19773</v>
      </c>
      <c r="J1124" s="2" t="s">
        <v>717</v>
      </c>
      <c r="K1124" s="2"/>
      <c r="L1124" s="2"/>
      <c r="M1124" s="2" t="s">
        <v>77</v>
      </c>
      <c r="N1124" s="2" t="s">
        <v>78</v>
      </c>
      <c r="O1124" s="2"/>
      <c r="P1124" s="2"/>
      <c r="Q1124" s="2"/>
      <c r="R1124" s="2"/>
      <c r="S1124" s="2"/>
      <c r="T1124" s="2" t="s">
        <v>19774</v>
      </c>
      <c r="U1124" s="2" t="s">
        <v>19775</v>
      </c>
      <c r="V1124" s="2" t="s">
        <v>19776</v>
      </c>
      <c r="W1124" s="2" t="s">
        <v>19777</v>
      </c>
      <c r="X1124" s="2" t="s">
        <v>19778</v>
      </c>
      <c r="Y1124" s="2" t="s">
        <v>19779</v>
      </c>
      <c r="Z1124" s="2" t="s">
        <v>19780</v>
      </c>
      <c r="AA1124" s="2" t="s">
        <v>19781</v>
      </c>
      <c r="AB1124" s="2"/>
      <c r="AC1124" s="2" t="s">
        <v>19782</v>
      </c>
      <c r="AD1124" s="2" t="s">
        <v>19783</v>
      </c>
      <c r="AE1124" s="2" t="s">
        <v>19784</v>
      </c>
      <c r="AF1124" s="2"/>
      <c r="AG1124" s="2" t="n">
        <v>41</v>
      </c>
      <c r="AH1124" s="2" t="n">
        <v>0</v>
      </c>
      <c r="AI1124" s="2" t="n">
        <v>0</v>
      </c>
      <c r="AJ1124" s="2" t="n">
        <v>12</v>
      </c>
      <c r="AK1124" s="2" t="n">
        <v>12</v>
      </c>
      <c r="AL1124" s="2" t="s">
        <v>383</v>
      </c>
      <c r="AM1124" s="2" t="s">
        <v>384</v>
      </c>
      <c r="AN1124" s="2" t="s">
        <v>385</v>
      </c>
      <c r="AO1124" s="2" t="s">
        <v>729</v>
      </c>
      <c r="AP1124" s="2" t="s">
        <v>730</v>
      </c>
      <c r="AQ1124" s="2"/>
      <c r="AR1124" s="2" t="s">
        <v>731</v>
      </c>
      <c r="AS1124" s="2" t="s">
        <v>732</v>
      </c>
      <c r="AT1124" s="2" t="s">
        <v>129</v>
      </c>
      <c r="AU1124" s="2" t="n">
        <v>2024</v>
      </c>
      <c r="AV1124" s="2" t="n">
        <v>329</v>
      </c>
      <c r="AW1124" s="2"/>
      <c r="AX1124" s="2"/>
      <c r="AY1124" s="2"/>
      <c r="AZ1124" s="2"/>
      <c r="BA1124" s="2"/>
      <c r="BB1124" s="2"/>
      <c r="BC1124" s="2"/>
      <c r="BD1124" s="2" t="n">
        <v>115001</v>
      </c>
      <c r="BE1124" s="2" t="s">
        <v>19785</v>
      </c>
      <c r="BF1124" s="2" t="str">
        <f aca="false">HYPERLINK("http://dx.doi.org/10.1016/j.jviromet.2024.115001","http://dx.doi.org/10.1016/j.jviromet.2024.115001")</f>
        <v>http://dx.doi.org/10.1016/j.jviromet.2024.115001</v>
      </c>
      <c r="BG1124" s="2"/>
      <c r="BH1124" s="2" t="s">
        <v>4324</v>
      </c>
      <c r="BI1124" s="2" t="n">
        <v>8</v>
      </c>
      <c r="BJ1124" s="2" t="s">
        <v>735</v>
      </c>
      <c r="BK1124" s="2" t="s">
        <v>100</v>
      </c>
      <c r="BL1124" s="2" t="s">
        <v>736</v>
      </c>
      <c r="BM1124" s="2" t="s">
        <v>19786</v>
      </c>
      <c r="BN1124" s="2" t="n">
        <v>39038660</v>
      </c>
      <c r="BO1124" s="2"/>
      <c r="BP1124" s="2"/>
      <c r="BQ1124" s="2"/>
      <c r="BR1124" s="2" t="s">
        <v>104</v>
      </c>
      <c r="BS1124" s="2" t="s">
        <v>19787</v>
      </c>
      <c r="BT1124" s="2" t="str">
        <f aca="false">HYPERLINK("https%3A%2F%2Fwww.webofscience.com%2Fwos%2Fwoscc%2Ffull-record%2FWOS:001282631600001","View Full Record in Web of Science")</f>
        <v>View Full Record in Web of Science</v>
      </c>
    </row>
    <row r="1125" customFormat="false" ht="12.75" hidden="false" customHeight="false" outlineLevel="0" collapsed="false">
      <c r="A1125" s="2" t="s">
        <v>72</v>
      </c>
      <c r="B1125" s="2" t="s">
        <v>19788</v>
      </c>
      <c r="C1125" s="2"/>
      <c r="D1125" s="2"/>
      <c r="E1125" s="2"/>
      <c r="F1125" s="2" t="s">
        <v>19789</v>
      </c>
      <c r="G1125" s="2"/>
      <c r="H1125" s="2"/>
      <c r="I1125" s="2" t="s">
        <v>19790</v>
      </c>
      <c r="J1125" s="2" t="s">
        <v>1413</v>
      </c>
      <c r="K1125" s="2"/>
      <c r="L1125" s="2"/>
      <c r="M1125" s="2" t="s">
        <v>77</v>
      </c>
      <c r="N1125" s="2" t="s">
        <v>78</v>
      </c>
      <c r="O1125" s="2"/>
      <c r="P1125" s="2"/>
      <c r="Q1125" s="2"/>
      <c r="R1125" s="2"/>
      <c r="S1125" s="2"/>
      <c r="T1125" s="2" t="s">
        <v>19791</v>
      </c>
      <c r="U1125" s="2" t="s">
        <v>19792</v>
      </c>
      <c r="V1125" s="2" t="s">
        <v>19793</v>
      </c>
      <c r="W1125" s="2" t="s">
        <v>19794</v>
      </c>
      <c r="X1125" s="2" t="s">
        <v>19795</v>
      </c>
      <c r="Y1125" s="2" t="s">
        <v>19796</v>
      </c>
      <c r="Z1125" s="2" t="s">
        <v>19797</v>
      </c>
      <c r="AA1125" s="2" t="s">
        <v>19798</v>
      </c>
      <c r="AB1125" s="2"/>
      <c r="AC1125" s="2" t="s">
        <v>19799</v>
      </c>
      <c r="AD1125" s="2" t="s">
        <v>19800</v>
      </c>
      <c r="AE1125" s="2" t="s">
        <v>19801</v>
      </c>
      <c r="AF1125" s="2"/>
      <c r="AG1125" s="2" t="n">
        <v>31</v>
      </c>
      <c r="AH1125" s="2" t="n">
        <v>11</v>
      </c>
      <c r="AI1125" s="2" t="n">
        <v>12</v>
      </c>
      <c r="AJ1125" s="2" t="n">
        <v>11</v>
      </c>
      <c r="AK1125" s="2" t="n">
        <v>128</v>
      </c>
      <c r="AL1125" s="2" t="s">
        <v>383</v>
      </c>
      <c r="AM1125" s="2" t="s">
        <v>384</v>
      </c>
      <c r="AN1125" s="2" t="s">
        <v>385</v>
      </c>
      <c r="AO1125" s="2" t="s">
        <v>1421</v>
      </c>
      <c r="AP1125" s="2" t="s">
        <v>1422</v>
      </c>
      <c r="AQ1125" s="2"/>
      <c r="AR1125" s="2" t="s">
        <v>1423</v>
      </c>
      <c r="AS1125" s="2" t="s">
        <v>1424</v>
      </c>
      <c r="AT1125" s="2" t="s">
        <v>804</v>
      </c>
      <c r="AU1125" s="2" t="n">
        <v>2021</v>
      </c>
      <c r="AV1125" s="2" t="n">
        <v>305</v>
      </c>
      <c r="AW1125" s="2"/>
      <c r="AX1125" s="2"/>
      <c r="AY1125" s="2"/>
      <c r="AZ1125" s="2"/>
      <c r="BA1125" s="2"/>
      <c r="BB1125" s="2"/>
      <c r="BC1125" s="2"/>
      <c r="BD1125" s="2" t="n">
        <v>198568</v>
      </c>
      <c r="BE1125" s="2" t="s">
        <v>19802</v>
      </c>
      <c r="BF1125" s="2" t="str">
        <f aca="false">HYPERLINK("http://dx.doi.org/10.1016/j.virusres.2021.198568","http://dx.doi.org/10.1016/j.virusres.2021.198568")</f>
        <v>http://dx.doi.org/10.1016/j.virusres.2021.198568</v>
      </c>
      <c r="BG1125" s="2"/>
      <c r="BH1125" s="2" t="s">
        <v>18084</v>
      </c>
      <c r="BI1125" s="2" t="n">
        <v>7</v>
      </c>
      <c r="BJ1125" s="2" t="s">
        <v>163</v>
      </c>
      <c r="BK1125" s="2" t="s">
        <v>100</v>
      </c>
      <c r="BL1125" s="2" t="s">
        <v>163</v>
      </c>
      <c r="BM1125" s="2" t="s">
        <v>19803</v>
      </c>
      <c r="BN1125" s="2" t="n">
        <v>34555442</v>
      </c>
      <c r="BO1125" s="2"/>
      <c r="BP1125" s="2"/>
      <c r="BQ1125" s="2"/>
      <c r="BR1125" s="2" t="s">
        <v>104</v>
      </c>
      <c r="BS1125" s="2" t="s">
        <v>19804</v>
      </c>
      <c r="BT1125" s="2" t="str">
        <f aca="false">HYPERLINK("https%3A%2F%2Fwww.webofscience.com%2Fwos%2Fwoscc%2Ffull-record%2FWOS:000706007200009","View Full Record in Web of Science")</f>
        <v>View Full Record in Web of Science</v>
      </c>
    </row>
    <row r="1126" customFormat="false" ht="12.75" hidden="false" customHeight="false" outlineLevel="0" collapsed="false">
      <c r="A1126" s="2" t="s">
        <v>72</v>
      </c>
      <c r="B1126" s="2" t="s">
        <v>19805</v>
      </c>
      <c r="C1126" s="2"/>
      <c r="D1126" s="2"/>
      <c r="E1126" s="2"/>
      <c r="F1126" s="2" t="s">
        <v>19806</v>
      </c>
      <c r="G1126" s="2"/>
      <c r="H1126" s="2"/>
      <c r="I1126" s="2" t="s">
        <v>19807</v>
      </c>
      <c r="J1126" s="2" t="s">
        <v>9992</v>
      </c>
      <c r="K1126" s="2"/>
      <c r="L1126" s="2"/>
      <c r="M1126" s="2" t="s">
        <v>77</v>
      </c>
      <c r="N1126" s="2" t="s">
        <v>78</v>
      </c>
      <c r="O1126" s="2"/>
      <c r="P1126" s="2"/>
      <c r="Q1126" s="2"/>
      <c r="R1126" s="2"/>
      <c r="S1126" s="2"/>
      <c r="T1126" s="2" t="s">
        <v>19808</v>
      </c>
      <c r="U1126" s="2" t="s">
        <v>19809</v>
      </c>
      <c r="V1126" s="2" t="s">
        <v>19810</v>
      </c>
      <c r="W1126" s="2" t="s">
        <v>19811</v>
      </c>
      <c r="X1126" s="2" t="s">
        <v>19812</v>
      </c>
      <c r="Y1126" s="2" t="s">
        <v>19813</v>
      </c>
      <c r="Z1126" s="2" t="s">
        <v>19814</v>
      </c>
      <c r="AA1126" s="2" t="s">
        <v>19815</v>
      </c>
      <c r="AB1126" s="2" t="s">
        <v>19816</v>
      </c>
      <c r="AC1126" s="2" t="s">
        <v>19817</v>
      </c>
      <c r="AD1126" s="2" t="s">
        <v>19818</v>
      </c>
      <c r="AE1126" s="2" t="s">
        <v>19819</v>
      </c>
      <c r="AF1126" s="2"/>
      <c r="AG1126" s="2" t="n">
        <v>27</v>
      </c>
      <c r="AH1126" s="2" t="n">
        <v>11</v>
      </c>
      <c r="AI1126" s="2" t="n">
        <v>11</v>
      </c>
      <c r="AJ1126" s="2" t="n">
        <v>1</v>
      </c>
      <c r="AK1126" s="2" t="n">
        <v>8</v>
      </c>
      <c r="AL1126" s="2" t="s">
        <v>154</v>
      </c>
      <c r="AM1126" s="2" t="s">
        <v>155</v>
      </c>
      <c r="AN1126" s="2" t="s">
        <v>156</v>
      </c>
      <c r="AO1126" s="2" t="s">
        <v>10005</v>
      </c>
      <c r="AP1126" s="2" t="s">
        <v>19820</v>
      </c>
      <c r="AQ1126" s="2"/>
      <c r="AR1126" s="2" t="s">
        <v>10006</v>
      </c>
      <c r="AS1126" s="2" t="s">
        <v>10007</v>
      </c>
      <c r="AT1126" s="2" t="s">
        <v>185</v>
      </c>
      <c r="AU1126" s="2" t="n">
        <v>2021</v>
      </c>
      <c r="AV1126" s="2" t="n">
        <v>25</v>
      </c>
      <c r="AW1126" s="2" t="n">
        <v>5</v>
      </c>
      <c r="AX1126" s="2"/>
      <c r="AY1126" s="2"/>
      <c r="AZ1126" s="2"/>
      <c r="BA1126" s="2"/>
      <c r="BB1126" s="2"/>
      <c r="BC1126" s="2"/>
      <c r="BD1126" s="2" t="s">
        <v>19821</v>
      </c>
      <c r="BE1126" s="2" t="s">
        <v>19822</v>
      </c>
      <c r="BF1126" s="2" t="str">
        <f aca="false">HYPERLINK("http://dx.doi.org/10.1111/petr.13875","http://dx.doi.org/10.1111/petr.13875")</f>
        <v>http://dx.doi.org/10.1111/petr.13875</v>
      </c>
      <c r="BG1126" s="2"/>
      <c r="BH1126" s="2" t="s">
        <v>9014</v>
      </c>
      <c r="BI1126" s="2" t="n">
        <v>5</v>
      </c>
      <c r="BJ1126" s="2" t="s">
        <v>10009</v>
      </c>
      <c r="BK1126" s="2" t="s">
        <v>100</v>
      </c>
      <c r="BL1126" s="2" t="s">
        <v>10009</v>
      </c>
      <c r="BM1126" s="2" t="s">
        <v>19823</v>
      </c>
      <c r="BN1126" s="2" t="n">
        <v>32949079</v>
      </c>
      <c r="BO1126" s="2" t="s">
        <v>165</v>
      </c>
      <c r="BP1126" s="2"/>
      <c r="BQ1126" s="2"/>
      <c r="BR1126" s="2" t="s">
        <v>104</v>
      </c>
      <c r="BS1126" s="2" t="s">
        <v>19824</v>
      </c>
      <c r="BT1126" s="2" t="str">
        <f aca="false">HYPERLINK("https%3A%2F%2Fwww.webofscience.com%2Fwos%2Fwoscc%2Ffull-record%2FWOS:000579219800001","View Full Record in Web of Science")</f>
        <v>View Full Record in Web of Science</v>
      </c>
    </row>
    <row r="1127" customFormat="false" ht="12.75" hidden="false" customHeight="false" outlineLevel="0" collapsed="false">
      <c r="A1127" s="2" t="s">
        <v>72</v>
      </c>
      <c r="B1127" s="2" t="s">
        <v>19825</v>
      </c>
      <c r="C1127" s="2"/>
      <c r="D1127" s="2"/>
      <c r="E1127" s="2"/>
      <c r="F1127" s="2" t="s">
        <v>19826</v>
      </c>
      <c r="G1127" s="2"/>
      <c r="H1127" s="2"/>
      <c r="I1127" s="2" t="s">
        <v>19827</v>
      </c>
      <c r="J1127" s="2" t="s">
        <v>2021</v>
      </c>
      <c r="K1127" s="2"/>
      <c r="L1127" s="2"/>
      <c r="M1127" s="2" t="s">
        <v>77</v>
      </c>
      <c r="N1127" s="2" t="s">
        <v>78</v>
      </c>
      <c r="O1127" s="2"/>
      <c r="P1127" s="2"/>
      <c r="Q1127" s="2"/>
      <c r="R1127" s="2"/>
      <c r="S1127" s="2"/>
      <c r="T1127" s="2" t="s">
        <v>19828</v>
      </c>
      <c r="U1127" s="2" t="s">
        <v>19829</v>
      </c>
      <c r="V1127" s="2" t="s">
        <v>19830</v>
      </c>
      <c r="W1127" s="2" t="s">
        <v>19831</v>
      </c>
      <c r="X1127" s="2" t="s">
        <v>19832</v>
      </c>
      <c r="Y1127" s="2" t="s">
        <v>19833</v>
      </c>
      <c r="Z1127" s="2" t="s">
        <v>19834</v>
      </c>
      <c r="AA1127" s="2" t="s">
        <v>19835</v>
      </c>
      <c r="AB1127" s="2" t="s">
        <v>19836</v>
      </c>
      <c r="AC1127" s="2" t="s">
        <v>19837</v>
      </c>
      <c r="AD1127" s="2" t="s">
        <v>19838</v>
      </c>
      <c r="AE1127" s="2" t="s">
        <v>19839</v>
      </c>
      <c r="AF1127" s="2"/>
      <c r="AG1127" s="2" t="n">
        <v>30</v>
      </c>
      <c r="AH1127" s="2" t="n">
        <v>72</v>
      </c>
      <c r="AI1127" s="2" t="n">
        <v>74</v>
      </c>
      <c r="AJ1127" s="2" t="n">
        <v>0</v>
      </c>
      <c r="AK1127" s="2" t="n">
        <v>4</v>
      </c>
      <c r="AL1127" s="2" t="s">
        <v>527</v>
      </c>
      <c r="AM1127" s="2" t="s">
        <v>528</v>
      </c>
      <c r="AN1127" s="2" t="s">
        <v>529</v>
      </c>
      <c r="AO1127" s="2" t="s">
        <v>2033</v>
      </c>
      <c r="AP1127" s="2" t="s">
        <v>2034</v>
      </c>
      <c r="AQ1127" s="2"/>
      <c r="AR1127" s="2" t="s">
        <v>2035</v>
      </c>
      <c r="AS1127" s="2" t="s">
        <v>2036</v>
      </c>
      <c r="AT1127" s="2" t="s">
        <v>4483</v>
      </c>
      <c r="AU1127" s="2" t="n">
        <v>2021</v>
      </c>
      <c r="AV1127" s="2" t="n">
        <v>73</v>
      </c>
      <c r="AW1127" s="2"/>
      <c r="AX1127" s="2"/>
      <c r="AY1127" s="2" t="n">
        <v>1</v>
      </c>
      <c r="AZ1127" s="2"/>
      <c r="BA1127" s="2"/>
      <c r="BB1127" s="2" t="s">
        <v>19840</v>
      </c>
      <c r="BC1127" s="2" t="s">
        <v>19841</v>
      </c>
      <c r="BD1127" s="2"/>
      <c r="BE1127" s="2" t="s">
        <v>19842</v>
      </c>
      <c r="BF1127" s="2" t="str">
        <f aca="false">HYPERLINK("http://dx.doi.org/10.1093/cid/ciab311","http://dx.doi.org/10.1093/cid/ciab311")</f>
        <v>http://dx.doi.org/10.1093/cid/ciab311</v>
      </c>
      <c r="BG1127" s="2"/>
      <c r="BH1127" s="2"/>
      <c r="BI1127" s="2" t="n">
        <v>8</v>
      </c>
      <c r="BJ1127" s="2" t="s">
        <v>536</v>
      </c>
      <c r="BK1127" s="2" t="s">
        <v>100</v>
      </c>
      <c r="BL1127" s="2" t="s">
        <v>536</v>
      </c>
      <c r="BM1127" s="2" t="s">
        <v>19843</v>
      </c>
      <c r="BN1127" s="2" t="n">
        <v>33912902</v>
      </c>
      <c r="BO1127" s="2" t="s">
        <v>165</v>
      </c>
      <c r="BP1127" s="2"/>
      <c r="BQ1127" s="2"/>
      <c r="BR1127" s="2" t="s">
        <v>104</v>
      </c>
      <c r="BS1127" s="2" t="s">
        <v>19844</v>
      </c>
      <c r="BT1127" s="2" t="str">
        <f aca="false">HYPERLINK("https%3A%2F%2Fwww.webofscience.com%2Fwos%2Fwoscc%2Ffull-record%2FWOS:000729795000019","View Full Record in Web of Science")</f>
        <v>View Full Record in Web of Science</v>
      </c>
    </row>
    <row r="1128" customFormat="false" ht="12.75" hidden="false" customHeight="false" outlineLevel="0" collapsed="false">
      <c r="A1128" s="2" t="s">
        <v>72</v>
      </c>
      <c r="B1128" s="2" t="s">
        <v>19845</v>
      </c>
      <c r="C1128" s="2"/>
      <c r="D1128" s="2"/>
      <c r="E1128" s="2"/>
      <c r="F1128" s="2" t="s">
        <v>19846</v>
      </c>
      <c r="G1128" s="2"/>
      <c r="H1128" s="2"/>
      <c r="I1128" s="2" t="s">
        <v>19847</v>
      </c>
      <c r="J1128" s="2" t="s">
        <v>2001</v>
      </c>
      <c r="K1128" s="2"/>
      <c r="L1128" s="2"/>
      <c r="M1128" s="2" t="s">
        <v>77</v>
      </c>
      <c r="N1128" s="2" t="s">
        <v>78</v>
      </c>
      <c r="O1128" s="2"/>
      <c r="P1128" s="2"/>
      <c r="Q1128" s="2"/>
      <c r="R1128" s="2"/>
      <c r="S1128" s="2"/>
      <c r="T1128" s="2" t="s">
        <v>19848</v>
      </c>
      <c r="U1128" s="2" t="s">
        <v>19849</v>
      </c>
      <c r="V1128" s="2" t="s">
        <v>19850</v>
      </c>
      <c r="W1128" s="2" t="s">
        <v>19851</v>
      </c>
      <c r="X1128" s="2" t="s">
        <v>19852</v>
      </c>
      <c r="Y1128" s="2" t="s">
        <v>19853</v>
      </c>
      <c r="Z1128" s="2" t="s">
        <v>19854</v>
      </c>
      <c r="AA1128" s="2" t="s">
        <v>19855</v>
      </c>
      <c r="AB1128" s="2" t="s">
        <v>19856</v>
      </c>
      <c r="AC1128" s="2" t="s">
        <v>19857</v>
      </c>
      <c r="AD1128" s="2" t="s">
        <v>19857</v>
      </c>
      <c r="AE1128" s="2" t="s">
        <v>19858</v>
      </c>
      <c r="AF1128" s="2"/>
      <c r="AG1128" s="2" t="n">
        <v>42</v>
      </c>
      <c r="AH1128" s="2" t="n">
        <v>8</v>
      </c>
      <c r="AI1128" s="2" t="n">
        <v>8</v>
      </c>
      <c r="AJ1128" s="2" t="n">
        <v>3</v>
      </c>
      <c r="AK1128" s="2" t="n">
        <v>6</v>
      </c>
      <c r="AL1128" s="2" t="s">
        <v>91</v>
      </c>
      <c r="AM1128" s="2" t="s">
        <v>92</v>
      </c>
      <c r="AN1128" s="2" t="s">
        <v>93</v>
      </c>
      <c r="AO1128" s="2"/>
      <c r="AP1128" s="2" t="s">
        <v>2013</v>
      </c>
      <c r="AQ1128" s="2"/>
      <c r="AR1128" s="2" t="s">
        <v>2001</v>
      </c>
      <c r="AS1128" s="2" t="s">
        <v>2014</v>
      </c>
      <c r="AT1128" s="2" t="s">
        <v>692</v>
      </c>
      <c r="AU1128" s="2" t="n">
        <v>2022</v>
      </c>
      <c r="AV1128" s="2" t="n">
        <v>11</v>
      </c>
      <c r="AW1128" s="2" t="n">
        <v>4</v>
      </c>
      <c r="AX1128" s="2"/>
      <c r="AY1128" s="2"/>
      <c r="AZ1128" s="2"/>
      <c r="BA1128" s="2"/>
      <c r="BB1128" s="2"/>
      <c r="BC1128" s="2"/>
      <c r="BD1128" s="2" t="n">
        <v>475</v>
      </c>
      <c r="BE1128" s="2" t="s">
        <v>19859</v>
      </c>
      <c r="BF1128" s="2" t="str">
        <f aca="false">HYPERLINK("http://dx.doi.org/10.3390/pathogens11040475","http://dx.doi.org/10.3390/pathogens11040475")</f>
        <v>http://dx.doi.org/10.3390/pathogens11040475</v>
      </c>
      <c r="BG1128" s="2"/>
      <c r="BH1128" s="2"/>
      <c r="BI1128" s="2" t="n">
        <v>12</v>
      </c>
      <c r="BJ1128" s="2" t="s">
        <v>211</v>
      </c>
      <c r="BK1128" s="2" t="s">
        <v>100</v>
      </c>
      <c r="BL1128" s="2" t="s">
        <v>211</v>
      </c>
      <c r="BM1128" s="2" t="s">
        <v>19860</v>
      </c>
      <c r="BN1128" s="2" t="n">
        <v>35456150</v>
      </c>
      <c r="BO1128" s="2" t="s">
        <v>190</v>
      </c>
      <c r="BP1128" s="2"/>
      <c r="BQ1128" s="2"/>
      <c r="BR1128" s="2" t="s">
        <v>104</v>
      </c>
      <c r="BS1128" s="2" t="s">
        <v>19861</v>
      </c>
      <c r="BT1128" s="2" t="str">
        <f aca="false">HYPERLINK("https%3A%2F%2Fwww.webofscience.com%2Fwos%2Fwoscc%2Ffull-record%2FWOS:000787424100001","View Full Record in Web of Science")</f>
        <v>View Full Record in Web of Science</v>
      </c>
    </row>
    <row r="1129" customFormat="false" ht="12.75" hidden="false" customHeight="false" outlineLevel="0" collapsed="false">
      <c r="A1129" s="2" t="s">
        <v>72</v>
      </c>
      <c r="B1129" s="2" t="s">
        <v>19862</v>
      </c>
      <c r="C1129" s="2"/>
      <c r="D1129" s="2"/>
      <c r="E1129" s="2"/>
      <c r="F1129" s="2" t="s">
        <v>19863</v>
      </c>
      <c r="G1129" s="2"/>
      <c r="H1129" s="2"/>
      <c r="I1129" s="2" t="s">
        <v>19864</v>
      </c>
      <c r="J1129" s="2" t="s">
        <v>14465</v>
      </c>
      <c r="K1129" s="2"/>
      <c r="L1129" s="2"/>
      <c r="M1129" s="2" t="s">
        <v>77</v>
      </c>
      <c r="N1129" s="2" t="s">
        <v>78</v>
      </c>
      <c r="O1129" s="2"/>
      <c r="P1129" s="2"/>
      <c r="Q1129" s="2"/>
      <c r="R1129" s="2"/>
      <c r="S1129" s="2"/>
      <c r="T1129" s="2" t="s">
        <v>19865</v>
      </c>
      <c r="U1129" s="2" t="s">
        <v>19866</v>
      </c>
      <c r="V1129" s="2" t="s">
        <v>19867</v>
      </c>
      <c r="W1129" s="2" t="s">
        <v>19868</v>
      </c>
      <c r="X1129" s="2" t="s">
        <v>19869</v>
      </c>
      <c r="Y1129" s="2" t="s">
        <v>19870</v>
      </c>
      <c r="Z1129" s="2" t="s">
        <v>19871</v>
      </c>
      <c r="AA1129" s="2" t="s">
        <v>19872</v>
      </c>
      <c r="AB1129" s="2" t="s">
        <v>19873</v>
      </c>
      <c r="AC1129" s="2"/>
      <c r="AD1129" s="2"/>
      <c r="AE1129" s="2"/>
      <c r="AF1129" s="2"/>
      <c r="AG1129" s="2" t="n">
        <v>26</v>
      </c>
      <c r="AH1129" s="2" t="n">
        <v>1</v>
      </c>
      <c r="AI1129" s="2" t="n">
        <v>1</v>
      </c>
      <c r="AJ1129" s="2" t="n">
        <v>0</v>
      </c>
      <c r="AK1129" s="2" t="n">
        <v>1</v>
      </c>
      <c r="AL1129" s="2" t="s">
        <v>14478</v>
      </c>
      <c r="AM1129" s="2" t="s">
        <v>14479</v>
      </c>
      <c r="AN1129" s="2" t="s">
        <v>14480</v>
      </c>
      <c r="AO1129" s="2" t="s">
        <v>14481</v>
      </c>
      <c r="AP1129" s="2"/>
      <c r="AQ1129" s="2"/>
      <c r="AR1129" s="2" t="s">
        <v>14482</v>
      </c>
      <c r="AS1129" s="2" t="s">
        <v>14483</v>
      </c>
      <c r="AT1129" s="2"/>
      <c r="AU1129" s="2" t="n">
        <v>2023</v>
      </c>
      <c r="AV1129" s="2" t="n">
        <v>27</v>
      </c>
      <c r="AW1129" s="2" t="n">
        <v>8</v>
      </c>
      <c r="AX1129" s="2"/>
      <c r="AY1129" s="2"/>
      <c r="AZ1129" s="2"/>
      <c r="BA1129" s="2"/>
      <c r="BB1129" s="2" t="n">
        <v>3777</v>
      </c>
      <c r="BC1129" s="2" t="n">
        <v>3783</v>
      </c>
      <c r="BD1129" s="2"/>
      <c r="BE1129" s="2"/>
      <c r="BF1129" s="2"/>
      <c r="BG1129" s="2"/>
      <c r="BH1129" s="2"/>
      <c r="BI1129" s="2" t="n">
        <v>7</v>
      </c>
      <c r="BJ1129" s="2" t="s">
        <v>101</v>
      </c>
      <c r="BK1129" s="2" t="s">
        <v>100</v>
      </c>
      <c r="BL1129" s="2" t="s">
        <v>101</v>
      </c>
      <c r="BM1129" s="2" t="s">
        <v>19874</v>
      </c>
      <c r="BN1129" s="2" t="n">
        <v>37140326</v>
      </c>
      <c r="BO1129" s="2"/>
      <c r="BP1129" s="2"/>
      <c r="BQ1129" s="2"/>
      <c r="BR1129" s="2" t="s">
        <v>104</v>
      </c>
      <c r="BS1129" s="2" t="s">
        <v>19875</v>
      </c>
      <c r="BT1129" s="2" t="str">
        <f aca="false">HYPERLINK("https%3A%2F%2Fwww.webofscience.com%2Fwos%2Fwoscc%2Ffull-record%2FWOS:000996006000013","View Full Record in Web of Science")</f>
        <v>View Full Record in Web of Science</v>
      </c>
    </row>
    <row r="1130" customFormat="false" ht="12.75" hidden="false" customHeight="false" outlineLevel="0" collapsed="false">
      <c r="A1130" s="2" t="s">
        <v>72</v>
      </c>
      <c r="B1130" s="2" t="s">
        <v>19876</v>
      </c>
      <c r="C1130" s="2"/>
      <c r="D1130" s="2"/>
      <c r="E1130" s="2"/>
      <c r="F1130" s="2" t="s">
        <v>19877</v>
      </c>
      <c r="G1130" s="2"/>
      <c r="H1130" s="2"/>
      <c r="I1130" s="2" t="s">
        <v>19878</v>
      </c>
      <c r="J1130" s="2" t="s">
        <v>19879</v>
      </c>
      <c r="K1130" s="2"/>
      <c r="L1130" s="2"/>
      <c r="M1130" s="2" t="s">
        <v>77</v>
      </c>
      <c r="N1130" s="2" t="s">
        <v>78</v>
      </c>
      <c r="O1130" s="2"/>
      <c r="P1130" s="2"/>
      <c r="Q1130" s="2"/>
      <c r="R1130" s="2"/>
      <c r="S1130" s="2"/>
      <c r="T1130" s="2" t="s">
        <v>19880</v>
      </c>
      <c r="U1130" s="2" t="s">
        <v>19881</v>
      </c>
      <c r="V1130" s="2" t="s">
        <v>19882</v>
      </c>
      <c r="W1130" s="2" t="s">
        <v>19883</v>
      </c>
      <c r="X1130" s="2" t="s">
        <v>19884</v>
      </c>
      <c r="Y1130" s="2" t="s">
        <v>19885</v>
      </c>
      <c r="Z1130" s="2" t="s">
        <v>19886</v>
      </c>
      <c r="AA1130" s="2" t="s">
        <v>19887</v>
      </c>
      <c r="AB1130" s="2" t="s">
        <v>19888</v>
      </c>
      <c r="AC1130" s="2" t="s">
        <v>19889</v>
      </c>
      <c r="AD1130" s="2" t="s">
        <v>19889</v>
      </c>
      <c r="AE1130" s="2" t="s">
        <v>19890</v>
      </c>
      <c r="AF1130" s="2"/>
      <c r="AG1130" s="2" t="n">
        <v>28</v>
      </c>
      <c r="AH1130" s="2" t="n">
        <v>5</v>
      </c>
      <c r="AI1130" s="2" t="n">
        <v>5</v>
      </c>
      <c r="AJ1130" s="2" t="n">
        <v>0</v>
      </c>
      <c r="AK1130" s="2" t="n">
        <v>4</v>
      </c>
      <c r="AL1130" s="2" t="s">
        <v>122</v>
      </c>
      <c r="AM1130" s="2" t="s">
        <v>123</v>
      </c>
      <c r="AN1130" s="2" t="s">
        <v>124</v>
      </c>
      <c r="AO1130" s="2" t="s">
        <v>19891</v>
      </c>
      <c r="AP1130" s="2"/>
      <c r="AQ1130" s="2"/>
      <c r="AR1130" s="2" t="s">
        <v>19892</v>
      </c>
      <c r="AS1130" s="2" t="s">
        <v>19893</v>
      </c>
      <c r="AT1130" s="2" t="s">
        <v>390</v>
      </c>
      <c r="AU1130" s="2" t="n">
        <v>2022</v>
      </c>
      <c r="AV1130" s="2" t="n">
        <v>77</v>
      </c>
      <c r="AW1130" s="2"/>
      <c r="AX1130" s="2"/>
      <c r="AY1130" s="2"/>
      <c r="AZ1130" s="2"/>
      <c r="BA1130" s="2"/>
      <c r="BB1130" s="2"/>
      <c r="BC1130" s="2"/>
      <c r="BD1130" s="2" t="n">
        <v>103676</v>
      </c>
      <c r="BE1130" s="2" t="s">
        <v>19894</v>
      </c>
      <c r="BF1130" s="2" t="str">
        <f aca="false">HYPERLINK("http://dx.doi.org/10.1016/j.amsu.2022.103676","http://dx.doi.org/10.1016/j.amsu.2022.103676")</f>
        <v>http://dx.doi.org/10.1016/j.amsu.2022.103676</v>
      </c>
      <c r="BG1130" s="2"/>
      <c r="BH1130" s="2" t="s">
        <v>1352</v>
      </c>
      <c r="BI1130" s="2" t="n">
        <v>4</v>
      </c>
      <c r="BJ1130" s="2" t="s">
        <v>363</v>
      </c>
      <c r="BK1130" s="2" t="s">
        <v>339</v>
      </c>
      <c r="BL1130" s="2" t="s">
        <v>364</v>
      </c>
      <c r="BM1130" s="2" t="s">
        <v>19895</v>
      </c>
      <c r="BN1130" s="2" t="n">
        <v>35531428</v>
      </c>
      <c r="BO1130" s="2" t="s">
        <v>103</v>
      </c>
      <c r="BP1130" s="2"/>
      <c r="BQ1130" s="2"/>
      <c r="BR1130" s="2" t="s">
        <v>104</v>
      </c>
      <c r="BS1130" s="2" t="s">
        <v>19896</v>
      </c>
      <c r="BT1130" s="2" t="str">
        <f aca="false">HYPERLINK("https%3A%2F%2Fwww.webofscience.com%2Fwos%2Fwoscc%2Ffull-record%2FWOS:000806172000004","View Full Record in Web of Science")</f>
        <v>View Full Record in Web of Science</v>
      </c>
    </row>
    <row r="1131" customFormat="false" ht="12.75" hidden="false" customHeight="false" outlineLevel="0" collapsed="false">
      <c r="A1131" s="2" t="s">
        <v>72</v>
      </c>
      <c r="B1131" s="2" t="s">
        <v>19897</v>
      </c>
      <c r="C1131" s="2"/>
      <c r="D1131" s="2"/>
      <c r="E1131" s="2"/>
      <c r="F1131" s="2" t="s">
        <v>19898</v>
      </c>
      <c r="G1131" s="2"/>
      <c r="H1131" s="2"/>
      <c r="I1131" s="2" t="s">
        <v>19899</v>
      </c>
      <c r="J1131" s="2" t="s">
        <v>2222</v>
      </c>
      <c r="K1131" s="2"/>
      <c r="L1131" s="2"/>
      <c r="M1131" s="2" t="s">
        <v>77</v>
      </c>
      <c r="N1131" s="2" t="s">
        <v>78</v>
      </c>
      <c r="O1131" s="2"/>
      <c r="P1131" s="2"/>
      <c r="Q1131" s="2"/>
      <c r="R1131" s="2"/>
      <c r="S1131" s="2"/>
      <c r="T1131" s="2" t="s">
        <v>19900</v>
      </c>
      <c r="U1131" s="2"/>
      <c r="V1131" s="2" t="s">
        <v>19901</v>
      </c>
      <c r="W1131" s="2" t="s">
        <v>19902</v>
      </c>
      <c r="X1131" s="2" t="s">
        <v>19903</v>
      </c>
      <c r="Y1131" s="2" t="s">
        <v>19904</v>
      </c>
      <c r="Z1131" s="2" t="s">
        <v>19905</v>
      </c>
      <c r="AA1131" s="2" t="s">
        <v>19906</v>
      </c>
      <c r="AB1131" s="2" t="s">
        <v>19907</v>
      </c>
      <c r="AC1131" s="2"/>
      <c r="AD1131" s="2"/>
      <c r="AE1131" s="2"/>
      <c r="AF1131" s="2"/>
      <c r="AG1131" s="2" t="n">
        <v>15</v>
      </c>
      <c r="AH1131" s="2" t="n">
        <v>77</v>
      </c>
      <c r="AI1131" s="2" t="n">
        <v>81</v>
      </c>
      <c r="AJ1131" s="2" t="n">
        <v>2</v>
      </c>
      <c r="AK1131" s="2" t="n">
        <v>12</v>
      </c>
      <c r="AL1131" s="2" t="s">
        <v>755</v>
      </c>
      <c r="AM1131" s="2" t="s">
        <v>273</v>
      </c>
      <c r="AN1131" s="2" t="s">
        <v>756</v>
      </c>
      <c r="AO1131" s="2" t="s">
        <v>2234</v>
      </c>
      <c r="AP1131" s="2" t="s">
        <v>2235</v>
      </c>
      <c r="AQ1131" s="2"/>
      <c r="AR1131" s="2" t="s">
        <v>2236</v>
      </c>
      <c r="AS1131" s="2" t="s">
        <v>2237</v>
      </c>
      <c r="AT1131" s="2" t="s">
        <v>336</v>
      </c>
      <c r="AU1131" s="2" t="n">
        <v>2020</v>
      </c>
      <c r="AV1131" s="2" t="n">
        <v>58</v>
      </c>
      <c r="AW1131" s="2" t="n">
        <v>10</v>
      </c>
      <c r="AX1131" s="2"/>
      <c r="AY1131" s="2"/>
      <c r="AZ1131" s="2"/>
      <c r="BA1131" s="2"/>
      <c r="BB1131" s="2"/>
      <c r="BC1131" s="2"/>
      <c r="BD1131" s="2" t="s">
        <v>19908</v>
      </c>
      <c r="BE1131" s="2" t="s">
        <v>19909</v>
      </c>
      <c r="BF1131" s="2" t="str">
        <f aca="false">HYPERLINK("http://dx.doi.org/10.1128/JCM.01361-20","http://dx.doi.org/10.1128/JCM.01361-20")</f>
        <v>http://dx.doi.org/10.1128/JCM.01361-20</v>
      </c>
      <c r="BG1131" s="2"/>
      <c r="BH1131" s="2"/>
      <c r="BI1131" s="2" t="n">
        <v>12</v>
      </c>
      <c r="BJ1131" s="2" t="s">
        <v>211</v>
      </c>
      <c r="BK1131" s="2" t="s">
        <v>100</v>
      </c>
      <c r="BL1131" s="2" t="s">
        <v>211</v>
      </c>
      <c r="BM1131" s="2" t="s">
        <v>19910</v>
      </c>
      <c r="BN1131" s="2" t="n">
        <v>32665420</v>
      </c>
      <c r="BO1131" s="2" t="s">
        <v>165</v>
      </c>
      <c r="BP1131" s="2"/>
      <c r="BQ1131" s="2"/>
      <c r="BR1131" s="2" t="s">
        <v>104</v>
      </c>
      <c r="BS1131" s="2" t="s">
        <v>19911</v>
      </c>
      <c r="BT1131" s="2" t="str">
        <f aca="false">HYPERLINK("https%3A%2F%2Fwww.webofscience.com%2Fwos%2Fwoscc%2Ffull-record%2FWOS:000575858700003","View Full Record in Web of Science")</f>
        <v>View Full Record in Web of Science</v>
      </c>
    </row>
    <row r="1132" customFormat="false" ht="12.75" hidden="false" customHeight="false" outlineLevel="0" collapsed="false">
      <c r="A1132" s="2" t="s">
        <v>72</v>
      </c>
      <c r="B1132" s="2" t="s">
        <v>19912</v>
      </c>
      <c r="C1132" s="2"/>
      <c r="D1132" s="2"/>
      <c r="E1132" s="2"/>
      <c r="F1132" s="2" t="s">
        <v>19913</v>
      </c>
      <c r="G1132" s="2"/>
      <c r="H1132" s="2"/>
      <c r="I1132" s="2" t="s">
        <v>19914</v>
      </c>
      <c r="J1132" s="2" t="s">
        <v>19915</v>
      </c>
      <c r="K1132" s="2"/>
      <c r="L1132" s="2"/>
      <c r="M1132" s="2" t="s">
        <v>77</v>
      </c>
      <c r="N1132" s="2" t="s">
        <v>78</v>
      </c>
      <c r="O1132" s="2"/>
      <c r="P1132" s="2"/>
      <c r="Q1132" s="2"/>
      <c r="R1132" s="2"/>
      <c r="S1132" s="2"/>
      <c r="T1132" s="2" t="s">
        <v>19916</v>
      </c>
      <c r="U1132" s="2" t="s">
        <v>19917</v>
      </c>
      <c r="V1132" s="2" t="s">
        <v>19918</v>
      </c>
      <c r="W1132" s="2" t="s">
        <v>19919</v>
      </c>
      <c r="X1132" s="2" t="s">
        <v>19920</v>
      </c>
      <c r="Y1132" s="2" t="s">
        <v>19921</v>
      </c>
      <c r="Z1132" s="2" t="s">
        <v>19922</v>
      </c>
      <c r="AA1132" s="2" t="s">
        <v>19923</v>
      </c>
      <c r="AB1132" s="2" t="s">
        <v>19924</v>
      </c>
      <c r="AC1132" s="2" t="s">
        <v>19925</v>
      </c>
      <c r="AD1132" s="2" t="s">
        <v>19926</v>
      </c>
      <c r="AE1132" s="2" t="s">
        <v>19927</v>
      </c>
      <c r="AF1132" s="2"/>
      <c r="AG1132" s="2" t="n">
        <v>49</v>
      </c>
      <c r="AH1132" s="2" t="n">
        <v>32</v>
      </c>
      <c r="AI1132" s="2" t="n">
        <v>35</v>
      </c>
      <c r="AJ1132" s="2" t="n">
        <v>0</v>
      </c>
      <c r="AK1132" s="2" t="n">
        <v>3</v>
      </c>
      <c r="AL1132" s="2" t="s">
        <v>1460</v>
      </c>
      <c r="AM1132" s="2" t="s">
        <v>593</v>
      </c>
      <c r="AN1132" s="2" t="s">
        <v>2088</v>
      </c>
      <c r="AO1132" s="2" t="s">
        <v>19928</v>
      </c>
      <c r="AP1132" s="2" t="s">
        <v>19929</v>
      </c>
      <c r="AQ1132" s="2"/>
      <c r="AR1132" s="2" t="s">
        <v>19930</v>
      </c>
      <c r="AS1132" s="2" t="s">
        <v>19931</v>
      </c>
      <c r="AT1132" s="2" t="s">
        <v>1041</v>
      </c>
      <c r="AU1132" s="2" t="n">
        <v>2022</v>
      </c>
      <c r="AV1132" s="2" t="n">
        <v>46</v>
      </c>
      <c r="AW1132" s="2" t="n">
        <v>1</v>
      </c>
      <c r="AX1132" s="2"/>
      <c r="AY1132" s="2"/>
      <c r="AZ1132" s="2"/>
      <c r="BA1132" s="2"/>
      <c r="BB1132" s="2" t="n">
        <v>10</v>
      </c>
      <c r="BC1132" s="2" t="n">
        <v>15</v>
      </c>
      <c r="BD1132" s="2"/>
      <c r="BE1132" s="2" t="s">
        <v>19932</v>
      </c>
      <c r="BF1132" s="2" t="str">
        <f aca="false">HYPERLINK("http://dx.doi.org/10.1111/1753-6405.13168","http://dx.doi.org/10.1111/1753-6405.13168")</f>
        <v>http://dx.doi.org/10.1111/1753-6405.13168</v>
      </c>
      <c r="BG1132" s="2"/>
      <c r="BH1132" s="2" t="s">
        <v>3158</v>
      </c>
      <c r="BI1132" s="2" t="n">
        <v>6</v>
      </c>
      <c r="BJ1132" s="2" t="s">
        <v>1353</v>
      </c>
      <c r="BK1132" s="2" t="s">
        <v>1086</v>
      </c>
      <c r="BL1132" s="2" t="s">
        <v>1353</v>
      </c>
      <c r="BM1132" s="2" t="s">
        <v>19933</v>
      </c>
      <c r="BN1132" s="2" t="n">
        <v>34648214</v>
      </c>
      <c r="BO1132" s="2" t="s">
        <v>103</v>
      </c>
      <c r="BP1132" s="2"/>
      <c r="BQ1132" s="2"/>
      <c r="BR1132" s="2" t="s">
        <v>104</v>
      </c>
      <c r="BS1132" s="2" t="s">
        <v>19934</v>
      </c>
      <c r="BT1132" s="2" t="str">
        <f aca="false">HYPERLINK("https%3A%2F%2Fwww.webofscience.com%2Fwos%2Fwoscc%2Ffull-record%2FWOS:000707145800001","View Full Record in Web of Science")</f>
        <v>View Full Record in Web of Science</v>
      </c>
    </row>
    <row r="1133" customFormat="false" ht="12.75" hidden="false" customHeight="false" outlineLevel="0" collapsed="false">
      <c r="A1133" s="2" t="s">
        <v>72</v>
      </c>
      <c r="B1133" s="2" t="s">
        <v>19935</v>
      </c>
      <c r="C1133" s="2"/>
      <c r="D1133" s="2"/>
      <c r="E1133" s="2"/>
      <c r="F1133" s="2" t="s">
        <v>19936</v>
      </c>
      <c r="G1133" s="2"/>
      <c r="H1133" s="2"/>
      <c r="I1133" s="2" t="s">
        <v>19937</v>
      </c>
      <c r="J1133" s="2" t="s">
        <v>141</v>
      </c>
      <c r="K1133" s="2"/>
      <c r="L1133" s="2"/>
      <c r="M1133" s="2" t="s">
        <v>77</v>
      </c>
      <c r="N1133" s="2" t="s">
        <v>78</v>
      </c>
      <c r="O1133" s="2"/>
      <c r="P1133" s="2"/>
      <c r="Q1133" s="2"/>
      <c r="R1133" s="2"/>
      <c r="S1133" s="2"/>
      <c r="T1133" s="2" t="s">
        <v>19938</v>
      </c>
      <c r="U1133" s="2" t="s">
        <v>19939</v>
      </c>
      <c r="V1133" s="2" t="s">
        <v>19940</v>
      </c>
      <c r="W1133" s="2" t="s">
        <v>19941</v>
      </c>
      <c r="X1133" s="2" t="s">
        <v>19942</v>
      </c>
      <c r="Y1133" s="2" t="s">
        <v>19943</v>
      </c>
      <c r="Z1133" s="2" t="s">
        <v>19944</v>
      </c>
      <c r="AA1133" s="2" t="s">
        <v>19945</v>
      </c>
      <c r="AB1133" s="2" t="s">
        <v>19946</v>
      </c>
      <c r="AC1133" s="2" t="s">
        <v>19947</v>
      </c>
      <c r="AD1133" s="2" t="s">
        <v>19948</v>
      </c>
      <c r="AE1133" s="2" t="s">
        <v>19949</v>
      </c>
      <c r="AF1133" s="2"/>
      <c r="AG1133" s="2" t="n">
        <v>34</v>
      </c>
      <c r="AH1133" s="2" t="n">
        <v>0</v>
      </c>
      <c r="AI1133" s="2" t="n">
        <v>0</v>
      </c>
      <c r="AJ1133" s="2" t="n">
        <v>1</v>
      </c>
      <c r="AK1133" s="2" t="n">
        <v>1</v>
      </c>
      <c r="AL1133" s="2" t="s">
        <v>154</v>
      </c>
      <c r="AM1133" s="2" t="s">
        <v>155</v>
      </c>
      <c r="AN1133" s="2" t="s">
        <v>156</v>
      </c>
      <c r="AO1133" s="2" t="s">
        <v>157</v>
      </c>
      <c r="AP1133" s="2" t="s">
        <v>158</v>
      </c>
      <c r="AQ1133" s="2"/>
      <c r="AR1133" s="2" t="s">
        <v>159</v>
      </c>
      <c r="AS1133" s="2" t="s">
        <v>160</v>
      </c>
      <c r="AT1133" s="2" t="s">
        <v>804</v>
      </c>
      <c r="AU1133" s="2" t="n">
        <v>2024</v>
      </c>
      <c r="AV1133" s="2" t="n">
        <v>96</v>
      </c>
      <c r="AW1133" s="2" t="n">
        <v>11</v>
      </c>
      <c r="AX1133" s="2"/>
      <c r="AY1133" s="2"/>
      <c r="AZ1133" s="2"/>
      <c r="BA1133" s="2"/>
      <c r="BB1133" s="2"/>
      <c r="BC1133" s="2"/>
      <c r="BD1133" s="2" t="s">
        <v>19950</v>
      </c>
      <c r="BE1133" s="2" t="s">
        <v>19951</v>
      </c>
      <c r="BF1133" s="2" t="str">
        <f aca="false">HYPERLINK("http://dx.doi.org/10.1002/jmv.70034","http://dx.doi.org/10.1002/jmv.70034")</f>
        <v>http://dx.doi.org/10.1002/jmv.70034</v>
      </c>
      <c r="BG1133" s="2"/>
      <c r="BH1133" s="2"/>
      <c r="BI1133" s="2" t="n">
        <v>13</v>
      </c>
      <c r="BJ1133" s="2" t="s">
        <v>163</v>
      </c>
      <c r="BK1133" s="2" t="s">
        <v>100</v>
      </c>
      <c r="BL1133" s="2" t="s">
        <v>163</v>
      </c>
      <c r="BM1133" s="2" t="s">
        <v>19952</v>
      </c>
      <c r="BN1133" s="2" t="n">
        <v>39513651</v>
      </c>
      <c r="BO1133" s="2" t="s">
        <v>2278</v>
      </c>
      <c r="BP1133" s="2"/>
      <c r="BQ1133" s="2"/>
      <c r="BR1133" s="2" t="s">
        <v>104</v>
      </c>
      <c r="BS1133" s="2" t="s">
        <v>19953</v>
      </c>
      <c r="BT1133" s="2" t="str">
        <f aca="false">HYPERLINK("https%3A%2F%2Fwww.webofscience.com%2Fwos%2Fwoscc%2Ffull-record%2FWOS:001368725400001","View Full Record in Web of Science")</f>
        <v>View Full Record in Web of Science</v>
      </c>
    </row>
    <row r="1134" customFormat="false" ht="12.75" hidden="false" customHeight="false" outlineLevel="0" collapsed="false">
      <c r="A1134" s="2" t="s">
        <v>72</v>
      </c>
      <c r="B1134" s="2" t="s">
        <v>19954</v>
      </c>
      <c r="C1134" s="2"/>
      <c r="D1134" s="2"/>
      <c r="E1134" s="2"/>
      <c r="F1134" s="2" t="s">
        <v>19955</v>
      </c>
      <c r="G1134" s="2"/>
      <c r="H1134" s="2"/>
      <c r="I1134" s="2" t="s">
        <v>19956</v>
      </c>
      <c r="J1134" s="2" t="s">
        <v>16677</v>
      </c>
      <c r="K1134" s="2"/>
      <c r="L1134" s="2"/>
      <c r="M1134" s="2" t="s">
        <v>77</v>
      </c>
      <c r="N1134" s="2" t="s">
        <v>78</v>
      </c>
      <c r="O1134" s="2"/>
      <c r="P1134" s="2"/>
      <c r="Q1134" s="2"/>
      <c r="R1134" s="2"/>
      <c r="S1134" s="2"/>
      <c r="T1134" s="2" t="s">
        <v>19957</v>
      </c>
      <c r="U1134" s="2"/>
      <c r="V1134" s="2" t="s">
        <v>19958</v>
      </c>
      <c r="W1134" s="2" t="s">
        <v>19959</v>
      </c>
      <c r="X1134" s="2" t="s">
        <v>19960</v>
      </c>
      <c r="Y1134" s="2" t="s">
        <v>19961</v>
      </c>
      <c r="Z1134" s="2" t="s">
        <v>19962</v>
      </c>
      <c r="AA1134" s="2" t="s">
        <v>19963</v>
      </c>
      <c r="AB1134" s="2" t="s">
        <v>19964</v>
      </c>
      <c r="AC1134" s="2" t="s">
        <v>19965</v>
      </c>
      <c r="AD1134" s="2" t="s">
        <v>19966</v>
      </c>
      <c r="AE1134" s="2" t="s">
        <v>19967</v>
      </c>
      <c r="AF1134" s="2"/>
      <c r="AG1134" s="2" t="n">
        <v>30</v>
      </c>
      <c r="AH1134" s="2" t="n">
        <v>1</v>
      </c>
      <c r="AI1134" s="2" t="n">
        <v>1</v>
      </c>
      <c r="AJ1134" s="2" t="n">
        <v>0</v>
      </c>
      <c r="AK1134" s="2" t="n">
        <v>0</v>
      </c>
      <c r="AL1134" s="2" t="s">
        <v>154</v>
      </c>
      <c r="AM1134" s="2" t="s">
        <v>155</v>
      </c>
      <c r="AN1134" s="2" t="s">
        <v>156</v>
      </c>
      <c r="AO1134" s="2"/>
      <c r="AP1134" s="2" t="s">
        <v>16690</v>
      </c>
      <c r="AQ1134" s="2"/>
      <c r="AR1134" s="2" t="s">
        <v>16691</v>
      </c>
      <c r="AS1134" s="2" t="s">
        <v>16692</v>
      </c>
      <c r="AT1134" s="2" t="s">
        <v>97</v>
      </c>
      <c r="AU1134" s="2" t="n">
        <v>2024</v>
      </c>
      <c r="AV1134" s="2" t="n">
        <v>7</v>
      </c>
      <c r="AW1134" s="2" t="n">
        <v>3</v>
      </c>
      <c r="AX1134" s="2"/>
      <c r="AY1134" s="2"/>
      <c r="AZ1134" s="2"/>
      <c r="BA1134" s="2"/>
      <c r="BB1134" s="2"/>
      <c r="BC1134" s="2"/>
      <c r="BD1134" s="2" t="s">
        <v>19968</v>
      </c>
      <c r="BE1134" s="2" t="s">
        <v>19969</v>
      </c>
      <c r="BF1134" s="2" t="str">
        <f aca="false">HYPERLINK("http://dx.doi.org/10.1002/hsr2.1986","http://dx.doi.org/10.1002/hsr2.1986")</f>
        <v>http://dx.doi.org/10.1002/hsr2.1986</v>
      </c>
      <c r="BG1134" s="2"/>
      <c r="BH1134" s="2"/>
      <c r="BI1134" s="2" t="n">
        <v>7</v>
      </c>
      <c r="BJ1134" s="2" t="s">
        <v>16695</v>
      </c>
      <c r="BK1134" s="2" t="s">
        <v>339</v>
      </c>
      <c r="BL1134" s="2" t="s">
        <v>16696</v>
      </c>
      <c r="BM1134" s="2" t="s">
        <v>19970</v>
      </c>
      <c r="BN1134" s="2" t="n">
        <v>38524773</v>
      </c>
      <c r="BO1134" s="2" t="s">
        <v>1355</v>
      </c>
      <c r="BP1134" s="2"/>
      <c r="BQ1134" s="2"/>
      <c r="BR1134" s="2" t="s">
        <v>104</v>
      </c>
      <c r="BS1134" s="2" t="s">
        <v>19971</v>
      </c>
      <c r="BT1134" s="2" t="str">
        <f aca="false">HYPERLINK("https%3A%2F%2Fwww.webofscience.com%2Fwos%2Fwoscc%2Ffull-record%2FWOS:001188537900001","View Full Record in Web of Science")</f>
        <v>View Full Record in Web of Science</v>
      </c>
    </row>
    <row r="1135" customFormat="false" ht="12.75" hidden="false" customHeight="false" outlineLevel="0" collapsed="false">
      <c r="A1135" s="2" t="s">
        <v>72</v>
      </c>
      <c r="B1135" s="2" t="s">
        <v>19972</v>
      </c>
      <c r="C1135" s="2"/>
      <c r="D1135" s="2"/>
      <c r="E1135" s="2"/>
      <c r="F1135" s="2" t="s">
        <v>19973</v>
      </c>
      <c r="G1135" s="2"/>
      <c r="H1135" s="2"/>
      <c r="I1135" s="2" t="s">
        <v>19974</v>
      </c>
      <c r="J1135" s="2" t="s">
        <v>19975</v>
      </c>
      <c r="K1135" s="2"/>
      <c r="L1135" s="2"/>
      <c r="M1135" s="2" t="s">
        <v>77</v>
      </c>
      <c r="N1135" s="2" t="s">
        <v>78</v>
      </c>
      <c r="O1135" s="2"/>
      <c r="P1135" s="2"/>
      <c r="Q1135" s="2"/>
      <c r="R1135" s="2"/>
      <c r="S1135" s="2"/>
      <c r="T1135" s="2" t="s">
        <v>19976</v>
      </c>
      <c r="U1135" s="2" t="s">
        <v>19977</v>
      </c>
      <c r="V1135" s="2" t="s">
        <v>19978</v>
      </c>
      <c r="W1135" s="2" t="s">
        <v>19979</v>
      </c>
      <c r="X1135" s="2" t="s">
        <v>19980</v>
      </c>
      <c r="Y1135" s="2" t="s">
        <v>19981</v>
      </c>
      <c r="Z1135" s="2" t="s">
        <v>19982</v>
      </c>
      <c r="AA1135" s="2" t="s">
        <v>19983</v>
      </c>
      <c r="AB1135" s="2" t="s">
        <v>19984</v>
      </c>
      <c r="AC1135" s="2"/>
      <c r="AD1135" s="2"/>
      <c r="AE1135" s="2"/>
      <c r="AF1135" s="2"/>
      <c r="AG1135" s="2" t="n">
        <v>17</v>
      </c>
      <c r="AH1135" s="2" t="n">
        <v>0</v>
      </c>
      <c r="AI1135" s="2" t="n">
        <v>0</v>
      </c>
      <c r="AJ1135" s="2" t="n">
        <v>1</v>
      </c>
      <c r="AK1135" s="2" t="n">
        <v>1</v>
      </c>
      <c r="AL1135" s="2" t="s">
        <v>3689</v>
      </c>
      <c r="AM1135" s="2" t="s">
        <v>3690</v>
      </c>
      <c r="AN1135" s="2" t="s">
        <v>3691</v>
      </c>
      <c r="AO1135" s="2" t="s">
        <v>19985</v>
      </c>
      <c r="AP1135" s="2"/>
      <c r="AQ1135" s="2"/>
      <c r="AR1135" s="2" t="s">
        <v>19986</v>
      </c>
      <c r="AS1135" s="2" t="s">
        <v>19987</v>
      </c>
      <c r="AT1135" s="2"/>
      <c r="AU1135" s="2" t="n">
        <v>2023</v>
      </c>
      <c r="AV1135" s="2" t="n">
        <v>12</v>
      </c>
      <c r="AW1135" s="2"/>
      <c r="AX1135" s="2"/>
      <c r="AY1135" s="2"/>
      <c r="AZ1135" s="2"/>
      <c r="BA1135" s="2"/>
      <c r="BB1135" s="2"/>
      <c r="BC1135" s="2"/>
      <c r="BD1135" s="2" t="n">
        <v>23046</v>
      </c>
      <c r="BE1135" s="2" t="s">
        <v>19988</v>
      </c>
      <c r="BF1135" s="2" t="str">
        <f aca="false">HYPERLINK("http://dx.doi.org/10.4274/mjima.galenos.2023.23046","http://dx.doi.org/10.4274/mjima.galenos.2023.23046")</f>
        <v>http://dx.doi.org/10.4274/mjima.galenos.2023.23046</v>
      </c>
      <c r="BG1135" s="2"/>
      <c r="BH1135" s="2"/>
      <c r="BI1135" s="2" t="n">
        <v>7</v>
      </c>
      <c r="BJ1135" s="2" t="s">
        <v>575</v>
      </c>
      <c r="BK1135" s="2" t="s">
        <v>339</v>
      </c>
      <c r="BL1135" s="2" t="s">
        <v>575</v>
      </c>
      <c r="BM1135" s="2" t="s">
        <v>19989</v>
      </c>
      <c r="BN1135" s="2"/>
      <c r="BO1135" s="2" t="s">
        <v>1355</v>
      </c>
      <c r="BP1135" s="2"/>
      <c r="BQ1135" s="2"/>
      <c r="BR1135" s="2" t="s">
        <v>104</v>
      </c>
      <c r="BS1135" s="2" t="s">
        <v>19990</v>
      </c>
      <c r="BT1135" s="2" t="str">
        <f aca="false">HYPERLINK("https%3A%2F%2Fwww.webofscience.com%2Fwos%2Fwoscc%2Ffull-record%2FWOS:001134528100001","View Full Record in Web of Science")</f>
        <v>View Full Record in Web of Science</v>
      </c>
    </row>
    <row r="1136" customFormat="false" ht="12.75" hidden="false" customHeight="false" outlineLevel="0" collapsed="false">
      <c r="A1136" s="2" t="s">
        <v>72</v>
      </c>
      <c r="B1136" s="2" t="s">
        <v>19991</v>
      </c>
      <c r="C1136" s="2"/>
      <c r="D1136" s="2"/>
      <c r="E1136" s="2"/>
      <c r="F1136" s="2" t="s">
        <v>19992</v>
      </c>
      <c r="G1136" s="2"/>
      <c r="H1136" s="2"/>
      <c r="I1136" s="2" t="s">
        <v>19993</v>
      </c>
      <c r="J1136" s="2" t="s">
        <v>1863</v>
      </c>
      <c r="K1136" s="2"/>
      <c r="L1136" s="2"/>
      <c r="M1136" s="2" t="s">
        <v>77</v>
      </c>
      <c r="N1136" s="2" t="s">
        <v>78</v>
      </c>
      <c r="O1136" s="2"/>
      <c r="P1136" s="2"/>
      <c r="Q1136" s="2"/>
      <c r="R1136" s="2"/>
      <c r="S1136" s="2"/>
      <c r="T1136" s="2" t="s">
        <v>19994</v>
      </c>
      <c r="U1136" s="2"/>
      <c r="V1136" s="2" t="s">
        <v>19995</v>
      </c>
      <c r="W1136" s="2" t="s">
        <v>19996</v>
      </c>
      <c r="X1136" s="2" t="s">
        <v>11443</v>
      </c>
      <c r="Y1136" s="2" t="s">
        <v>19997</v>
      </c>
      <c r="Z1136" s="2" t="s">
        <v>19998</v>
      </c>
      <c r="AA1136" s="2" t="s">
        <v>19999</v>
      </c>
      <c r="AB1136" s="2"/>
      <c r="AC1136" s="2"/>
      <c r="AD1136" s="2"/>
      <c r="AE1136" s="2"/>
      <c r="AF1136" s="2"/>
      <c r="AG1136" s="2" t="n">
        <v>24</v>
      </c>
      <c r="AH1136" s="2" t="n">
        <v>85</v>
      </c>
      <c r="AI1136" s="2" t="n">
        <v>93</v>
      </c>
      <c r="AJ1136" s="2" t="n">
        <v>3</v>
      </c>
      <c r="AK1136" s="2" t="n">
        <v>21</v>
      </c>
      <c r="AL1136" s="2" t="s">
        <v>302</v>
      </c>
      <c r="AM1136" s="2" t="s">
        <v>303</v>
      </c>
      <c r="AN1136" s="2" t="s">
        <v>304</v>
      </c>
      <c r="AO1136" s="2"/>
      <c r="AP1136" s="2" t="s">
        <v>1876</v>
      </c>
      <c r="AQ1136" s="2"/>
      <c r="AR1136" s="2" t="s">
        <v>1877</v>
      </c>
      <c r="AS1136" s="2" t="s">
        <v>1878</v>
      </c>
      <c r="AT1136" s="2" t="s">
        <v>20000</v>
      </c>
      <c r="AU1136" s="2" t="n">
        <v>2021</v>
      </c>
      <c r="AV1136" s="2" t="n">
        <v>18</v>
      </c>
      <c r="AW1136" s="2" t="n">
        <v>1</v>
      </c>
      <c r="AX1136" s="2"/>
      <c r="AY1136" s="2"/>
      <c r="AZ1136" s="2"/>
      <c r="BA1136" s="2"/>
      <c r="BB1136" s="2"/>
      <c r="BC1136" s="2"/>
      <c r="BD1136" s="2" t="n">
        <v>159</v>
      </c>
      <c r="BE1136" s="2" t="s">
        <v>20001</v>
      </c>
      <c r="BF1136" s="2" t="str">
        <f aca="false">HYPERLINK("http://dx.doi.org/10.1186/s12985-021-01627-8","http://dx.doi.org/10.1186/s12985-021-01627-8")</f>
        <v>http://dx.doi.org/10.1186/s12985-021-01627-8</v>
      </c>
      <c r="BG1136" s="2"/>
      <c r="BH1136" s="2"/>
      <c r="BI1136" s="2" t="n">
        <v>7</v>
      </c>
      <c r="BJ1136" s="2" t="s">
        <v>163</v>
      </c>
      <c r="BK1136" s="2" t="s">
        <v>100</v>
      </c>
      <c r="BL1136" s="2" t="s">
        <v>163</v>
      </c>
      <c r="BM1136" s="2" t="s">
        <v>20002</v>
      </c>
      <c r="BN1136" s="2" t="n">
        <v>34344406</v>
      </c>
      <c r="BO1136" s="2" t="s">
        <v>103</v>
      </c>
      <c r="BP1136" s="2"/>
      <c r="BQ1136" s="2"/>
      <c r="BR1136" s="2" t="s">
        <v>104</v>
      </c>
      <c r="BS1136" s="2" t="s">
        <v>20003</v>
      </c>
      <c r="BT1136" s="2" t="str">
        <f aca="false">HYPERLINK("https%3A%2F%2Fwww.webofscience.com%2Fwos%2Fwoscc%2Ffull-record%2FWOS:000680893200001","View Full Record in Web of Science")</f>
        <v>View Full Record in Web of Science</v>
      </c>
    </row>
    <row r="1137" customFormat="false" ht="12.75" hidden="false" customHeight="false" outlineLevel="0" collapsed="false">
      <c r="A1137" s="2" t="s">
        <v>72</v>
      </c>
      <c r="B1137" s="2" t="s">
        <v>20004</v>
      </c>
      <c r="C1137" s="2"/>
      <c r="D1137" s="2"/>
      <c r="E1137" s="2"/>
      <c r="F1137" s="2" t="s">
        <v>20005</v>
      </c>
      <c r="G1137" s="2"/>
      <c r="H1137" s="2"/>
      <c r="I1137" s="2" t="s">
        <v>20006</v>
      </c>
      <c r="J1137" s="2" t="s">
        <v>3741</v>
      </c>
      <c r="K1137" s="2"/>
      <c r="L1137" s="2"/>
      <c r="M1137" s="2" t="s">
        <v>77</v>
      </c>
      <c r="N1137" s="2" t="s">
        <v>78</v>
      </c>
      <c r="O1137" s="2"/>
      <c r="P1137" s="2"/>
      <c r="Q1137" s="2"/>
      <c r="R1137" s="2"/>
      <c r="S1137" s="2"/>
      <c r="T1137" s="2" t="s">
        <v>20007</v>
      </c>
      <c r="U1137" s="2" t="s">
        <v>20008</v>
      </c>
      <c r="V1137" s="2" t="s">
        <v>20009</v>
      </c>
      <c r="W1137" s="2" t="s">
        <v>20010</v>
      </c>
      <c r="X1137" s="2" t="s">
        <v>20011</v>
      </c>
      <c r="Y1137" s="2" t="s">
        <v>20012</v>
      </c>
      <c r="Z1137" s="2" t="s">
        <v>20013</v>
      </c>
      <c r="AA1137" s="2" t="s">
        <v>20014</v>
      </c>
      <c r="AB1137" s="2" t="s">
        <v>20015</v>
      </c>
      <c r="AC1137" s="2" t="s">
        <v>20016</v>
      </c>
      <c r="AD1137" s="2" t="s">
        <v>20016</v>
      </c>
      <c r="AE1137" s="2" t="s">
        <v>20017</v>
      </c>
      <c r="AF1137" s="2"/>
      <c r="AG1137" s="2" t="n">
        <v>37</v>
      </c>
      <c r="AH1137" s="2" t="n">
        <v>0</v>
      </c>
      <c r="AI1137" s="2" t="n">
        <v>0</v>
      </c>
      <c r="AJ1137" s="2" t="n">
        <v>0</v>
      </c>
      <c r="AK1137" s="2" t="n">
        <v>1</v>
      </c>
      <c r="AL1137" s="2" t="s">
        <v>755</v>
      </c>
      <c r="AM1137" s="2" t="s">
        <v>273</v>
      </c>
      <c r="AN1137" s="2" t="s">
        <v>756</v>
      </c>
      <c r="AO1137" s="2"/>
      <c r="AP1137" s="2" t="s">
        <v>3753</v>
      </c>
      <c r="AQ1137" s="2"/>
      <c r="AR1137" s="2" t="s">
        <v>3754</v>
      </c>
      <c r="AS1137" s="2" t="s">
        <v>3755</v>
      </c>
      <c r="AT1137" s="2" t="s">
        <v>20018</v>
      </c>
      <c r="AU1137" s="2" t="n">
        <v>2024</v>
      </c>
      <c r="AV1137" s="2" t="n">
        <v>12</v>
      </c>
      <c r="AW1137" s="2" t="n">
        <v>3</v>
      </c>
      <c r="AX1137" s="2"/>
      <c r="AY1137" s="2"/>
      <c r="AZ1137" s="2"/>
      <c r="BA1137" s="2"/>
      <c r="BB1137" s="2"/>
      <c r="BC1137" s="2"/>
      <c r="BD1137" s="2"/>
      <c r="BE1137" s="2" t="s">
        <v>20019</v>
      </c>
      <c r="BF1137" s="2" t="str">
        <f aca="false">HYPERLINK("http://dx.doi.org/10.1128/spectrum.03563-23","http://dx.doi.org/10.1128/spectrum.03563-23")</f>
        <v>http://dx.doi.org/10.1128/spectrum.03563-23</v>
      </c>
      <c r="BG1137" s="2"/>
      <c r="BH1137" s="2" t="s">
        <v>5299</v>
      </c>
      <c r="BI1137" s="2" t="n">
        <v>10</v>
      </c>
      <c r="BJ1137" s="2" t="s">
        <v>211</v>
      </c>
      <c r="BK1137" s="2" t="s">
        <v>100</v>
      </c>
      <c r="BL1137" s="2" t="s">
        <v>211</v>
      </c>
      <c r="BM1137" s="2" t="s">
        <v>20020</v>
      </c>
      <c r="BN1137" s="2" t="n">
        <v>38299867</v>
      </c>
      <c r="BO1137" s="2" t="s">
        <v>103</v>
      </c>
      <c r="BP1137" s="2"/>
      <c r="BQ1137" s="2"/>
      <c r="BR1137" s="2" t="s">
        <v>104</v>
      </c>
      <c r="BS1137" s="2" t="s">
        <v>20021</v>
      </c>
      <c r="BT1137" s="2" t="str">
        <f aca="false">HYPERLINK("https%3A%2F%2Fwww.webofscience.com%2Fwos%2Fwoscc%2Ffull-record%2FWOS:001154568000001","View Full Record in Web of Science")</f>
        <v>View Full Record in Web of Science</v>
      </c>
    </row>
    <row r="1138" customFormat="false" ht="12.75" hidden="false" customHeight="false" outlineLevel="0" collapsed="false">
      <c r="A1138" s="2" t="s">
        <v>72</v>
      </c>
      <c r="B1138" s="2" t="s">
        <v>20022</v>
      </c>
      <c r="C1138" s="2"/>
      <c r="D1138" s="2"/>
      <c r="E1138" s="2"/>
      <c r="F1138" s="2" t="s">
        <v>20023</v>
      </c>
      <c r="G1138" s="2"/>
      <c r="H1138" s="2"/>
      <c r="I1138" s="2" t="s">
        <v>20024</v>
      </c>
      <c r="J1138" s="2" t="s">
        <v>20025</v>
      </c>
      <c r="K1138" s="2"/>
      <c r="L1138" s="2"/>
      <c r="M1138" s="2" t="s">
        <v>77</v>
      </c>
      <c r="N1138" s="2" t="s">
        <v>78</v>
      </c>
      <c r="O1138" s="2"/>
      <c r="P1138" s="2"/>
      <c r="Q1138" s="2"/>
      <c r="R1138" s="2"/>
      <c r="S1138" s="2"/>
      <c r="T1138" s="2" t="s">
        <v>20026</v>
      </c>
      <c r="U1138" s="2" t="s">
        <v>20027</v>
      </c>
      <c r="V1138" s="2" t="s">
        <v>20028</v>
      </c>
      <c r="W1138" s="2" t="s">
        <v>20029</v>
      </c>
      <c r="X1138" s="2" t="s">
        <v>20030</v>
      </c>
      <c r="Y1138" s="2" t="s">
        <v>20031</v>
      </c>
      <c r="Z1138" s="2" t="s">
        <v>20032</v>
      </c>
      <c r="AA1138" s="2" t="s">
        <v>20033</v>
      </c>
      <c r="AB1138" s="2"/>
      <c r="AC1138" s="2" t="s">
        <v>20034</v>
      </c>
      <c r="AD1138" s="2" t="s">
        <v>20035</v>
      </c>
      <c r="AE1138" s="2" t="s">
        <v>20036</v>
      </c>
      <c r="AF1138" s="2"/>
      <c r="AG1138" s="2" t="n">
        <v>33</v>
      </c>
      <c r="AH1138" s="2" t="n">
        <v>0</v>
      </c>
      <c r="AI1138" s="2" t="n">
        <v>0</v>
      </c>
      <c r="AJ1138" s="2" t="n">
        <v>4</v>
      </c>
      <c r="AK1138" s="2" t="n">
        <v>7</v>
      </c>
      <c r="AL1138" s="2" t="s">
        <v>20037</v>
      </c>
      <c r="AM1138" s="2" t="s">
        <v>783</v>
      </c>
      <c r="AN1138" s="2" t="s">
        <v>20038</v>
      </c>
      <c r="AO1138" s="2" t="s">
        <v>20039</v>
      </c>
      <c r="AP1138" s="2" t="s">
        <v>20040</v>
      </c>
      <c r="AQ1138" s="2"/>
      <c r="AR1138" s="2" t="s">
        <v>20041</v>
      </c>
      <c r="AS1138" s="2" t="s">
        <v>20042</v>
      </c>
      <c r="AT1138" s="2" t="s">
        <v>336</v>
      </c>
      <c r="AU1138" s="2" t="n">
        <v>2023</v>
      </c>
      <c r="AV1138" s="2" t="n">
        <v>165</v>
      </c>
      <c r="AW1138" s="2"/>
      <c r="AX1138" s="2"/>
      <c r="AY1138" s="2"/>
      <c r="AZ1138" s="2"/>
      <c r="BA1138" s="2"/>
      <c r="BB1138" s="2"/>
      <c r="BC1138" s="2"/>
      <c r="BD1138" s="2" t="n">
        <v>107400</v>
      </c>
      <c r="BE1138" s="2" t="s">
        <v>20043</v>
      </c>
      <c r="BF1138" s="2" t="str">
        <f aca="false">HYPERLINK("http://dx.doi.org/10.1016/j.compbiomed.2023.107400","http://dx.doi.org/10.1016/j.compbiomed.2023.107400")</f>
        <v>http://dx.doi.org/10.1016/j.compbiomed.2023.107400</v>
      </c>
      <c r="BG1138" s="2"/>
      <c r="BH1138" s="2" t="s">
        <v>5077</v>
      </c>
      <c r="BI1138" s="2" t="n">
        <v>8</v>
      </c>
      <c r="BJ1138" s="2" t="s">
        <v>20044</v>
      </c>
      <c r="BK1138" s="2" t="s">
        <v>100</v>
      </c>
      <c r="BL1138" s="2" t="s">
        <v>20045</v>
      </c>
      <c r="BM1138" s="2" t="s">
        <v>20046</v>
      </c>
      <c r="BN1138" s="2" t="n">
        <v>37651767</v>
      </c>
      <c r="BO1138" s="2"/>
      <c r="BP1138" s="2"/>
      <c r="BQ1138" s="2"/>
      <c r="BR1138" s="2" t="s">
        <v>104</v>
      </c>
      <c r="BS1138" s="2" t="s">
        <v>20047</v>
      </c>
      <c r="BT1138" s="2" t="str">
        <f aca="false">HYPERLINK("https%3A%2F%2Fwww.webofscience.com%2Fwos%2Fwoscc%2Ffull-record%2FWOS:001079921300001","View Full Record in Web of Science")</f>
        <v>View Full Record in Web of Science</v>
      </c>
    </row>
    <row r="1139" customFormat="false" ht="12.75" hidden="false" customHeight="false" outlineLevel="0" collapsed="false">
      <c r="A1139" s="2" t="s">
        <v>72</v>
      </c>
      <c r="B1139" s="2" t="s">
        <v>20048</v>
      </c>
      <c r="C1139" s="2"/>
      <c r="D1139" s="2"/>
      <c r="E1139" s="2"/>
      <c r="F1139" s="2" t="s">
        <v>20049</v>
      </c>
      <c r="G1139" s="2"/>
      <c r="H1139" s="2"/>
      <c r="I1139" s="2" t="s">
        <v>20050</v>
      </c>
      <c r="J1139" s="2" t="s">
        <v>11019</v>
      </c>
      <c r="K1139" s="2"/>
      <c r="L1139" s="2"/>
      <c r="M1139" s="2" t="s">
        <v>77</v>
      </c>
      <c r="N1139" s="2" t="s">
        <v>78</v>
      </c>
      <c r="O1139" s="2"/>
      <c r="P1139" s="2"/>
      <c r="Q1139" s="2"/>
      <c r="R1139" s="2"/>
      <c r="S1139" s="2"/>
      <c r="T1139" s="2" t="s">
        <v>20051</v>
      </c>
      <c r="U1139" s="2" t="s">
        <v>20052</v>
      </c>
      <c r="V1139" s="2" t="s">
        <v>20053</v>
      </c>
      <c r="W1139" s="2" t="s">
        <v>20054</v>
      </c>
      <c r="X1139" s="2" t="s">
        <v>20055</v>
      </c>
      <c r="Y1139" s="2" t="s">
        <v>20056</v>
      </c>
      <c r="Z1139" s="2" t="s">
        <v>20057</v>
      </c>
      <c r="AA1139" s="2" t="s">
        <v>20058</v>
      </c>
      <c r="AB1139" s="2" t="s">
        <v>20059</v>
      </c>
      <c r="AC1139" s="2" t="s">
        <v>20060</v>
      </c>
      <c r="AD1139" s="2" t="s">
        <v>20061</v>
      </c>
      <c r="AE1139" s="2" t="s">
        <v>20062</v>
      </c>
      <c r="AF1139" s="2"/>
      <c r="AG1139" s="2" t="n">
        <v>23</v>
      </c>
      <c r="AH1139" s="2" t="n">
        <v>100</v>
      </c>
      <c r="AI1139" s="2" t="n">
        <v>111</v>
      </c>
      <c r="AJ1139" s="2" t="n">
        <v>0</v>
      </c>
      <c r="AK1139" s="2" t="n">
        <v>8</v>
      </c>
      <c r="AL1139" s="2" t="s">
        <v>154</v>
      </c>
      <c r="AM1139" s="2" t="s">
        <v>155</v>
      </c>
      <c r="AN1139" s="2" t="s">
        <v>156</v>
      </c>
      <c r="AO1139" s="2" t="s">
        <v>11028</v>
      </c>
      <c r="AP1139" s="2" t="s">
        <v>11029</v>
      </c>
      <c r="AQ1139" s="2"/>
      <c r="AR1139" s="2" t="s">
        <v>11030</v>
      </c>
      <c r="AS1139" s="2" t="s">
        <v>11031</v>
      </c>
      <c r="AT1139" s="2" t="s">
        <v>599</v>
      </c>
      <c r="AU1139" s="2" t="n">
        <v>2021</v>
      </c>
      <c r="AV1139" s="2" t="n">
        <v>15</v>
      </c>
      <c r="AW1139" s="2" t="n">
        <v>4</v>
      </c>
      <c r="AX1139" s="2"/>
      <c r="AY1139" s="2"/>
      <c r="AZ1139" s="2"/>
      <c r="BA1139" s="2"/>
      <c r="BB1139" s="2" t="n">
        <v>488</v>
      </c>
      <c r="BC1139" s="2" t="n">
        <v>494</v>
      </c>
      <c r="BD1139" s="2"/>
      <c r="BE1139" s="2" t="s">
        <v>20063</v>
      </c>
      <c r="BF1139" s="2" t="str">
        <f aca="false">HYPERLINK("http://dx.doi.org/10.1111/irv.12854","http://dx.doi.org/10.1111/irv.12854")</f>
        <v>http://dx.doi.org/10.1111/irv.12854</v>
      </c>
      <c r="BG1139" s="2"/>
      <c r="BH1139" s="2" t="s">
        <v>2159</v>
      </c>
      <c r="BI1139" s="2" t="n">
        <v>7</v>
      </c>
      <c r="BJ1139" s="2" t="s">
        <v>8287</v>
      </c>
      <c r="BK1139" s="2" t="s">
        <v>100</v>
      </c>
      <c r="BL1139" s="2" t="s">
        <v>8287</v>
      </c>
      <c r="BM1139" s="2" t="s">
        <v>20064</v>
      </c>
      <c r="BN1139" s="2" t="n">
        <v>33715290</v>
      </c>
      <c r="BO1139" s="2" t="s">
        <v>190</v>
      </c>
      <c r="BP1139" s="2"/>
      <c r="BQ1139" s="2"/>
      <c r="BR1139" s="2" t="s">
        <v>104</v>
      </c>
      <c r="BS1139" s="2" t="s">
        <v>20065</v>
      </c>
      <c r="BT1139" s="2" t="str">
        <f aca="false">HYPERLINK("https%3A%2F%2Fwww.webofscience.com%2Fwos%2Fwoscc%2Ffull-record%2FWOS:000628545600001","View Full Record in Web of Science")</f>
        <v>View Full Record in Web of Science</v>
      </c>
    </row>
    <row r="1140" customFormat="false" ht="12.75" hidden="false" customHeight="false" outlineLevel="0" collapsed="false">
      <c r="A1140" s="2" t="s">
        <v>72</v>
      </c>
      <c r="B1140" s="2" t="s">
        <v>20066</v>
      </c>
      <c r="C1140" s="2"/>
      <c r="D1140" s="2"/>
      <c r="E1140" s="2"/>
      <c r="F1140" s="2" t="s">
        <v>20067</v>
      </c>
      <c r="G1140" s="2"/>
      <c r="H1140" s="2"/>
      <c r="I1140" s="2" t="s">
        <v>20068</v>
      </c>
      <c r="J1140" s="2" t="s">
        <v>141</v>
      </c>
      <c r="K1140" s="2"/>
      <c r="L1140" s="2"/>
      <c r="M1140" s="2" t="s">
        <v>77</v>
      </c>
      <c r="N1140" s="2" t="s">
        <v>78</v>
      </c>
      <c r="O1140" s="2"/>
      <c r="P1140" s="2"/>
      <c r="Q1140" s="2"/>
      <c r="R1140" s="2"/>
      <c r="S1140" s="2"/>
      <c r="T1140" s="2" t="s">
        <v>20069</v>
      </c>
      <c r="U1140" s="2" t="s">
        <v>20070</v>
      </c>
      <c r="V1140" s="2" t="s">
        <v>20071</v>
      </c>
      <c r="W1140" s="2" t="s">
        <v>20072</v>
      </c>
      <c r="X1140" s="2" t="s">
        <v>20073</v>
      </c>
      <c r="Y1140" s="2" t="s">
        <v>20074</v>
      </c>
      <c r="Z1140" s="2" t="s">
        <v>20075</v>
      </c>
      <c r="AA1140" s="2" t="s">
        <v>20076</v>
      </c>
      <c r="AB1140" s="2" t="s">
        <v>20077</v>
      </c>
      <c r="AC1140" s="2"/>
      <c r="AD1140" s="2"/>
      <c r="AE1140" s="2"/>
      <c r="AF1140" s="2"/>
      <c r="AG1140" s="2" t="n">
        <v>18</v>
      </c>
      <c r="AH1140" s="2" t="n">
        <v>20</v>
      </c>
      <c r="AI1140" s="2" t="n">
        <v>20</v>
      </c>
      <c r="AJ1140" s="2" t="n">
        <v>0</v>
      </c>
      <c r="AK1140" s="2" t="n">
        <v>3</v>
      </c>
      <c r="AL1140" s="2" t="s">
        <v>154</v>
      </c>
      <c r="AM1140" s="2" t="s">
        <v>155</v>
      </c>
      <c r="AN1140" s="2" t="s">
        <v>156</v>
      </c>
      <c r="AO1140" s="2" t="s">
        <v>157</v>
      </c>
      <c r="AP1140" s="2" t="s">
        <v>158</v>
      </c>
      <c r="AQ1140" s="2"/>
      <c r="AR1140" s="2" t="s">
        <v>159</v>
      </c>
      <c r="AS1140" s="2" t="s">
        <v>160</v>
      </c>
      <c r="AT1140" s="2" t="s">
        <v>336</v>
      </c>
      <c r="AU1140" s="2" t="n">
        <v>2021</v>
      </c>
      <c r="AV1140" s="2" t="n">
        <v>93</v>
      </c>
      <c r="AW1140" s="2" t="n">
        <v>10</v>
      </c>
      <c r="AX1140" s="2"/>
      <c r="AY1140" s="2"/>
      <c r="AZ1140" s="2"/>
      <c r="BA1140" s="2"/>
      <c r="BB1140" s="2" t="n">
        <v>5798</v>
      </c>
      <c r="BC1140" s="2" t="n">
        <v>5804</v>
      </c>
      <c r="BD1140" s="2"/>
      <c r="BE1140" s="2" t="s">
        <v>20078</v>
      </c>
      <c r="BF1140" s="2" t="str">
        <f aca="false">HYPERLINK("http://dx.doi.org/10.1002/jmv.27111","http://dx.doi.org/10.1002/jmv.27111")</f>
        <v>http://dx.doi.org/10.1002/jmv.27111</v>
      </c>
      <c r="BG1140" s="2"/>
      <c r="BH1140" s="2" t="s">
        <v>11148</v>
      </c>
      <c r="BI1140" s="2" t="n">
        <v>7</v>
      </c>
      <c r="BJ1140" s="2" t="s">
        <v>163</v>
      </c>
      <c r="BK1140" s="2" t="s">
        <v>100</v>
      </c>
      <c r="BL1140" s="2" t="s">
        <v>163</v>
      </c>
      <c r="BM1140" s="2" t="s">
        <v>20079</v>
      </c>
      <c r="BN1140" s="2" t="n">
        <v>34050951</v>
      </c>
      <c r="BO1140" s="2" t="s">
        <v>136</v>
      </c>
      <c r="BP1140" s="2"/>
      <c r="BQ1140" s="2"/>
      <c r="BR1140" s="2" t="s">
        <v>104</v>
      </c>
      <c r="BS1140" s="2" t="s">
        <v>20080</v>
      </c>
      <c r="BT1140" s="2" t="str">
        <f aca="false">HYPERLINK("https%3A%2F%2Fwww.webofscience.com%2Fwos%2Fwoscc%2Ffull-record%2FWOS:000658272400001","View Full Record in Web of Science")</f>
        <v>View Full Record in Web of Science</v>
      </c>
    </row>
    <row r="1141" customFormat="false" ht="12.75" hidden="false" customHeight="false" outlineLevel="0" collapsed="false">
      <c r="A1141" s="2" t="s">
        <v>72</v>
      </c>
      <c r="B1141" s="2" t="s">
        <v>20081</v>
      </c>
      <c r="C1141" s="2"/>
      <c r="D1141" s="2"/>
      <c r="E1141" s="2"/>
      <c r="F1141" s="2" t="s">
        <v>20082</v>
      </c>
      <c r="G1141" s="2"/>
      <c r="H1141" s="2"/>
      <c r="I1141" s="2" t="s">
        <v>20083</v>
      </c>
      <c r="J1141" s="2" t="s">
        <v>18639</v>
      </c>
      <c r="K1141" s="2"/>
      <c r="L1141" s="2"/>
      <c r="M1141" s="2" t="s">
        <v>77</v>
      </c>
      <c r="N1141" s="2" t="s">
        <v>78</v>
      </c>
      <c r="O1141" s="2"/>
      <c r="P1141" s="2"/>
      <c r="Q1141" s="2"/>
      <c r="R1141" s="2"/>
      <c r="S1141" s="2"/>
      <c r="T1141" s="2" t="s">
        <v>20084</v>
      </c>
      <c r="U1141" s="2" t="s">
        <v>20085</v>
      </c>
      <c r="V1141" s="2" t="s">
        <v>20086</v>
      </c>
      <c r="W1141" s="2" t="s">
        <v>20087</v>
      </c>
      <c r="X1141" s="2" t="s">
        <v>20088</v>
      </c>
      <c r="Y1141" s="2" t="s">
        <v>20089</v>
      </c>
      <c r="Z1141" s="2" t="s">
        <v>20090</v>
      </c>
      <c r="AA1141" s="2" t="s">
        <v>20091</v>
      </c>
      <c r="AB1141" s="2" t="s">
        <v>20092</v>
      </c>
      <c r="AC1141" s="2"/>
      <c r="AD1141" s="2"/>
      <c r="AE1141" s="2"/>
      <c r="AF1141" s="2"/>
      <c r="AG1141" s="2" t="n">
        <v>34</v>
      </c>
      <c r="AH1141" s="2" t="n">
        <v>8</v>
      </c>
      <c r="AI1141" s="2" t="n">
        <v>8</v>
      </c>
      <c r="AJ1141" s="2" t="n">
        <v>0</v>
      </c>
      <c r="AK1141" s="2" t="n">
        <v>13</v>
      </c>
      <c r="AL1141" s="2" t="s">
        <v>18652</v>
      </c>
      <c r="AM1141" s="2" t="s">
        <v>303</v>
      </c>
      <c r="AN1141" s="2" t="s">
        <v>18653</v>
      </c>
      <c r="AO1141" s="2" t="s">
        <v>18654</v>
      </c>
      <c r="AP1141" s="2"/>
      <c r="AQ1141" s="2"/>
      <c r="AR1141" s="2" t="s">
        <v>18639</v>
      </c>
      <c r="AS1141" s="2" t="s">
        <v>18655</v>
      </c>
      <c r="AT1141" s="2" t="s">
        <v>6281</v>
      </c>
      <c r="AU1141" s="2" t="n">
        <v>2020</v>
      </c>
      <c r="AV1141" s="2" t="n">
        <v>8</v>
      </c>
      <c r="AW1141" s="2"/>
      <c r="AX1141" s="2"/>
      <c r="AY1141" s="2"/>
      <c r="AZ1141" s="2"/>
      <c r="BA1141" s="2"/>
      <c r="BB1141" s="2"/>
      <c r="BC1141" s="2"/>
      <c r="BD1141" s="2" t="s">
        <v>20093</v>
      </c>
      <c r="BE1141" s="2" t="s">
        <v>20094</v>
      </c>
      <c r="BF1141" s="2" t="str">
        <f aca="false">HYPERLINK("http://dx.doi.org/10.7717/peerj.10246","http://dx.doi.org/10.7717/peerj.10246")</f>
        <v>http://dx.doi.org/10.7717/peerj.10246</v>
      </c>
      <c r="BG1141" s="2"/>
      <c r="BH1141" s="2"/>
      <c r="BI1141" s="2" t="n">
        <v>15</v>
      </c>
      <c r="BJ1141" s="2" t="s">
        <v>1658</v>
      </c>
      <c r="BK1141" s="2" t="s">
        <v>100</v>
      </c>
      <c r="BL1141" s="2" t="s">
        <v>1659</v>
      </c>
      <c r="BM1141" s="2" t="s">
        <v>20095</v>
      </c>
      <c r="BN1141" s="2" t="n">
        <v>33194423</v>
      </c>
      <c r="BO1141" s="2" t="s">
        <v>6349</v>
      </c>
      <c r="BP1141" s="2"/>
      <c r="BQ1141" s="2"/>
      <c r="BR1141" s="2" t="s">
        <v>104</v>
      </c>
      <c r="BS1141" s="2" t="s">
        <v>20096</v>
      </c>
      <c r="BT1141" s="2" t="str">
        <f aca="false">HYPERLINK("https%3A%2F%2Fwww.webofscience.com%2Fwos%2Fwoscc%2Ffull-record%2FWOS:000583631300005","View Full Record in Web of Science")</f>
        <v>View Full Record in Web of Science</v>
      </c>
    </row>
    <row r="1142" customFormat="false" ht="12.75" hidden="false" customHeight="false" outlineLevel="0" collapsed="false">
      <c r="A1142" s="2" t="s">
        <v>72</v>
      </c>
      <c r="B1142" s="2" t="s">
        <v>20097</v>
      </c>
      <c r="C1142" s="2"/>
      <c r="D1142" s="2"/>
      <c r="E1142" s="2"/>
      <c r="F1142" s="2" t="s">
        <v>20098</v>
      </c>
      <c r="G1142" s="2"/>
      <c r="H1142" s="2"/>
      <c r="I1142" s="2" t="s">
        <v>20099</v>
      </c>
      <c r="J1142" s="2" t="s">
        <v>141</v>
      </c>
      <c r="K1142" s="2"/>
      <c r="L1142" s="2"/>
      <c r="M1142" s="2" t="s">
        <v>77</v>
      </c>
      <c r="N1142" s="2" t="s">
        <v>78</v>
      </c>
      <c r="O1142" s="2"/>
      <c r="P1142" s="2"/>
      <c r="Q1142" s="2"/>
      <c r="R1142" s="2"/>
      <c r="S1142" s="2"/>
      <c r="T1142" s="2" t="s">
        <v>20100</v>
      </c>
      <c r="U1142" s="2" t="s">
        <v>20101</v>
      </c>
      <c r="V1142" s="2" t="s">
        <v>20102</v>
      </c>
      <c r="W1142" s="2" t="s">
        <v>20103</v>
      </c>
      <c r="X1142" s="2" t="s">
        <v>20104</v>
      </c>
      <c r="Y1142" s="2" t="s">
        <v>20105</v>
      </c>
      <c r="Z1142" s="2" t="s">
        <v>20106</v>
      </c>
      <c r="AA1142" s="2"/>
      <c r="AB1142" s="2"/>
      <c r="AC1142" s="2"/>
      <c r="AD1142" s="2"/>
      <c r="AE1142" s="2"/>
      <c r="AF1142" s="2"/>
      <c r="AG1142" s="2" t="n">
        <v>20</v>
      </c>
      <c r="AH1142" s="2" t="n">
        <v>0</v>
      </c>
      <c r="AI1142" s="2" t="n">
        <v>0</v>
      </c>
      <c r="AJ1142" s="2" t="n">
        <v>0</v>
      </c>
      <c r="AK1142" s="2" t="n">
        <v>0</v>
      </c>
      <c r="AL1142" s="2" t="s">
        <v>154</v>
      </c>
      <c r="AM1142" s="2" t="s">
        <v>155</v>
      </c>
      <c r="AN1142" s="2" t="s">
        <v>156</v>
      </c>
      <c r="AO1142" s="2" t="s">
        <v>157</v>
      </c>
      <c r="AP1142" s="2" t="s">
        <v>158</v>
      </c>
      <c r="AQ1142" s="2"/>
      <c r="AR1142" s="2" t="s">
        <v>159</v>
      </c>
      <c r="AS1142" s="2" t="s">
        <v>160</v>
      </c>
      <c r="AT1142" s="2" t="s">
        <v>486</v>
      </c>
      <c r="AU1142" s="2" t="n">
        <v>2024</v>
      </c>
      <c r="AV1142" s="2" t="n">
        <v>96</v>
      </c>
      <c r="AW1142" s="2" t="n">
        <v>6</v>
      </c>
      <c r="AX1142" s="2"/>
      <c r="AY1142" s="2"/>
      <c r="AZ1142" s="2"/>
      <c r="BA1142" s="2"/>
      <c r="BB1142" s="2"/>
      <c r="BC1142" s="2"/>
      <c r="BD1142" s="2" t="s">
        <v>20107</v>
      </c>
      <c r="BE1142" s="2" t="s">
        <v>20108</v>
      </c>
      <c r="BF1142" s="2" t="str">
        <f aca="false">HYPERLINK("http://dx.doi.org/10.1002/jmv.29709","http://dx.doi.org/10.1002/jmv.29709")</f>
        <v>http://dx.doi.org/10.1002/jmv.29709</v>
      </c>
      <c r="BG1142" s="2"/>
      <c r="BH1142" s="2"/>
      <c r="BI1142" s="2" t="n">
        <v>9</v>
      </c>
      <c r="BJ1142" s="2" t="s">
        <v>163</v>
      </c>
      <c r="BK1142" s="2" t="s">
        <v>100</v>
      </c>
      <c r="BL1142" s="2" t="s">
        <v>163</v>
      </c>
      <c r="BM1142" s="2" t="s">
        <v>20109</v>
      </c>
      <c r="BN1142" s="2" t="n">
        <v>38828947</v>
      </c>
      <c r="BO1142" s="2" t="s">
        <v>2278</v>
      </c>
      <c r="BP1142" s="2"/>
      <c r="BQ1142" s="2"/>
      <c r="BR1142" s="2" t="s">
        <v>104</v>
      </c>
      <c r="BS1142" s="2" t="s">
        <v>20110</v>
      </c>
      <c r="BT1142" s="2" t="str">
        <f aca="false">HYPERLINK("https%3A%2F%2Fwww.webofscience.com%2Fwos%2Fwoscc%2Ffull-record%2FWOS:001256251900063","View Full Record in Web of Science")</f>
        <v>View Full Record in Web of Science</v>
      </c>
    </row>
    <row r="1143" customFormat="false" ht="12.75" hidden="false" customHeight="false" outlineLevel="0" collapsed="false">
      <c r="A1143" s="2" t="s">
        <v>72</v>
      </c>
      <c r="B1143" s="2" t="s">
        <v>20111</v>
      </c>
      <c r="C1143" s="2"/>
      <c r="D1143" s="2"/>
      <c r="E1143" s="2"/>
      <c r="F1143" s="2" t="s">
        <v>20112</v>
      </c>
      <c r="G1143" s="2"/>
      <c r="H1143" s="2"/>
      <c r="I1143" s="2" t="s">
        <v>20113</v>
      </c>
      <c r="J1143" s="2" t="s">
        <v>11019</v>
      </c>
      <c r="K1143" s="2"/>
      <c r="L1143" s="2"/>
      <c r="M1143" s="2" t="s">
        <v>77</v>
      </c>
      <c r="N1143" s="2" t="s">
        <v>78</v>
      </c>
      <c r="O1143" s="2"/>
      <c r="P1143" s="2"/>
      <c r="Q1143" s="2"/>
      <c r="R1143" s="2"/>
      <c r="S1143" s="2"/>
      <c r="T1143" s="2" t="s">
        <v>20114</v>
      </c>
      <c r="U1143" s="2"/>
      <c r="V1143" s="2" t="s">
        <v>20115</v>
      </c>
      <c r="W1143" s="2" t="s">
        <v>20116</v>
      </c>
      <c r="X1143" s="2" t="s">
        <v>2168</v>
      </c>
      <c r="Y1143" s="2" t="s">
        <v>2169</v>
      </c>
      <c r="Z1143" s="2" t="s">
        <v>2170</v>
      </c>
      <c r="AA1143" s="2" t="s">
        <v>2171</v>
      </c>
      <c r="AB1143" s="2" t="s">
        <v>2172</v>
      </c>
      <c r="AC1143" s="2" t="s">
        <v>20117</v>
      </c>
      <c r="AD1143" s="2" t="s">
        <v>20118</v>
      </c>
      <c r="AE1143" s="2" t="s">
        <v>20119</v>
      </c>
      <c r="AF1143" s="2"/>
      <c r="AG1143" s="2" t="n">
        <v>30</v>
      </c>
      <c r="AH1143" s="2" t="n">
        <v>0</v>
      </c>
      <c r="AI1143" s="2" t="n">
        <v>0</v>
      </c>
      <c r="AJ1143" s="2" t="n">
        <v>1</v>
      </c>
      <c r="AK1143" s="2" t="n">
        <v>1</v>
      </c>
      <c r="AL1143" s="2" t="s">
        <v>154</v>
      </c>
      <c r="AM1143" s="2" t="s">
        <v>155</v>
      </c>
      <c r="AN1143" s="2" t="s">
        <v>156</v>
      </c>
      <c r="AO1143" s="2" t="s">
        <v>11028</v>
      </c>
      <c r="AP1143" s="2" t="s">
        <v>11029</v>
      </c>
      <c r="AQ1143" s="2"/>
      <c r="AR1143" s="2" t="s">
        <v>11030</v>
      </c>
      <c r="AS1143" s="2" t="s">
        <v>11031</v>
      </c>
      <c r="AT1143" s="2" t="s">
        <v>97</v>
      </c>
      <c r="AU1143" s="2" t="n">
        <v>2024</v>
      </c>
      <c r="AV1143" s="2" t="n">
        <v>18</v>
      </c>
      <c r="AW1143" s="2" t="n">
        <v>3</v>
      </c>
      <c r="AX1143" s="2"/>
      <c r="AY1143" s="2"/>
      <c r="AZ1143" s="2"/>
      <c r="BA1143" s="2"/>
      <c r="BB1143" s="2"/>
      <c r="BC1143" s="2"/>
      <c r="BD1143" s="2" t="s">
        <v>20120</v>
      </c>
      <c r="BE1143" s="2" t="s">
        <v>20121</v>
      </c>
      <c r="BF1143" s="2" t="str">
        <f aca="false">HYPERLINK("http://dx.doi.org/10.1111/irv.13278","http://dx.doi.org/10.1111/irv.13278")</f>
        <v>http://dx.doi.org/10.1111/irv.13278</v>
      </c>
      <c r="BG1143" s="2"/>
      <c r="BH1143" s="2"/>
      <c r="BI1143" s="2" t="n">
        <v>7</v>
      </c>
      <c r="BJ1143" s="2" t="s">
        <v>8287</v>
      </c>
      <c r="BK1143" s="2" t="s">
        <v>100</v>
      </c>
      <c r="BL1143" s="2" t="s">
        <v>8287</v>
      </c>
      <c r="BM1143" s="2" t="s">
        <v>20122</v>
      </c>
      <c r="BN1143" s="2" t="n">
        <v>38513611</v>
      </c>
      <c r="BO1143" s="2" t="s">
        <v>3567</v>
      </c>
      <c r="BP1143" s="2"/>
      <c r="BQ1143" s="2"/>
      <c r="BR1143" s="2" t="s">
        <v>104</v>
      </c>
      <c r="BS1143" s="2" t="s">
        <v>20123</v>
      </c>
      <c r="BT1143" s="2" t="str">
        <f aca="false">HYPERLINK("https%3A%2F%2Fwww.webofscience.com%2Fwos%2Fwoscc%2Ffull-record%2FWOS:001188404700001","View Full Record in Web of Science")</f>
        <v>View Full Record in Web of Science</v>
      </c>
    </row>
    <row r="1144" customFormat="false" ht="12.75" hidden="false" customHeight="false" outlineLevel="0" collapsed="false">
      <c r="A1144" s="2" t="s">
        <v>72</v>
      </c>
      <c r="B1144" s="2" t="s">
        <v>20124</v>
      </c>
      <c r="C1144" s="2"/>
      <c r="D1144" s="2"/>
      <c r="E1144" s="2"/>
      <c r="F1144" s="2" t="s">
        <v>20125</v>
      </c>
      <c r="G1144" s="2"/>
      <c r="H1144" s="2"/>
      <c r="I1144" s="2" t="s">
        <v>20126</v>
      </c>
      <c r="J1144" s="2" t="s">
        <v>3741</v>
      </c>
      <c r="K1144" s="2"/>
      <c r="L1144" s="2"/>
      <c r="M1144" s="2" t="s">
        <v>77</v>
      </c>
      <c r="N1144" s="2" t="s">
        <v>78</v>
      </c>
      <c r="O1144" s="2"/>
      <c r="P1144" s="2"/>
      <c r="Q1144" s="2"/>
      <c r="R1144" s="2"/>
      <c r="S1144" s="2"/>
      <c r="T1144" s="2" t="s">
        <v>20127</v>
      </c>
      <c r="U1144" s="2" t="s">
        <v>20128</v>
      </c>
      <c r="V1144" s="2" t="s">
        <v>20129</v>
      </c>
      <c r="W1144" s="2" t="s">
        <v>20130</v>
      </c>
      <c r="X1144" s="2"/>
      <c r="Y1144" s="2" t="s">
        <v>20131</v>
      </c>
      <c r="Z1144" s="2" t="s">
        <v>20132</v>
      </c>
      <c r="AA1144" s="2"/>
      <c r="AB1144" s="2" t="s">
        <v>20133</v>
      </c>
      <c r="AC1144" s="2" t="s">
        <v>20134</v>
      </c>
      <c r="AD1144" s="2" t="s">
        <v>20134</v>
      </c>
      <c r="AE1144" s="2" t="s">
        <v>20135</v>
      </c>
      <c r="AF1144" s="2"/>
      <c r="AG1144" s="2" t="n">
        <v>43</v>
      </c>
      <c r="AH1144" s="2" t="n">
        <v>17</v>
      </c>
      <c r="AI1144" s="2" t="n">
        <v>17</v>
      </c>
      <c r="AJ1144" s="2" t="n">
        <v>0</v>
      </c>
      <c r="AK1144" s="2" t="n">
        <v>0</v>
      </c>
      <c r="AL1144" s="2" t="s">
        <v>755</v>
      </c>
      <c r="AM1144" s="2" t="s">
        <v>273</v>
      </c>
      <c r="AN1144" s="2" t="s">
        <v>756</v>
      </c>
      <c r="AO1144" s="2" t="s">
        <v>3753</v>
      </c>
      <c r="AP1144" s="2"/>
      <c r="AQ1144" s="2"/>
      <c r="AR1144" s="2" t="s">
        <v>3754</v>
      </c>
      <c r="AS1144" s="2" t="s">
        <v>3755</v>
      </c>
      <c r="AT1144" s="2" t="s">
        <v>336</v>
      </c>
      <c r="AU1144" s="2" t="n">
        <v>2021</v>
      </c>
      <c r="AV1144" s="2" t="n">
        <v>9</v>
      </c>
      <c r="AW1144" s="2" t="n">
        <v>2</v>
      </c>
      <c r="AX1144" s="2"/>
      <c r="AY1144" s="2"/>
      <c r="AZ1144" s="2"/>
      <c r="BA1144" s="2"/>
      <c r="BB1144" s="2"/>
      <c r="BC1144" s="2"/>
      <c r="BD1144" s="2" t="s">
        <v>20136</v>
      </c>
      <c r="BE1144" s="2" t="s">
        <v>20137</v>
      </c>
      <c r="BF1144" s="2" t="str">
        <f aca="false">HYPERLINK("http://dx.doi.org/10.1128/Spectrum.00831-21","http://dx.doi.org/10.1128/Spectrum.00831-21")</f>
        <v>http://dx.doi.org/10.1128/Spectrum.00831-21</v>
      </c>
      <c r="BG1144" s="2"/>
      <c r="BH1144" s="2"/>
      <c r="BI1144" s="2" t="n">
        <v>9</v>
      </c>
      <c r="BJ1144" s="2" t="s">
        <v>211</v>
      </c>
      <c r="BK1144" s="2" t="s">
        <v>100</v>
      </c>
      <c r="BL1144" s="2" t="s">
        <v>211</v>
      </c>
      <c r="BM1144" s="2" t="s">
        <v>3758</v>
      </c>
      <c r="BN1144" s="2" t="n">
        <v>34668725</v>
      </c>
      <c r="BO1144" s="2" t="s">
        <v>103</v>
      </c>
      <c r="BP1144" s="2"/>
      <c r="BQ1144" s="2"/>
      <c r="BR1144" s="2" t="s">
        <v>104</v>
      </c>
      <c r="BS1144" s="2" t="s">
        <v>20138</v>
      </c>
      <c r="BT1144" s="2" t="str">
        <f aca="false">HYPERLINK("https%3A%2F%2Fwww.webofscience.com%2Fwos%2Fwoscc%2Ffull-record%2FWOS:000728629300117","View Full Record in Web of Science")</f>
        <v>View Full Record in Web of Science</v>
      </c>
    </row>
    <row r="1145" customFormat="false" ht="12.75" hidden="false" customHeight="false" outlineLevel="0" collapsed="false">
      <c r="A1145" s="2" t="s">
        <v>72</v>
      </c>
      <c r="B1145" s="2" t="s">
        <v>20139</v>
      </c>
      <c r="C1145" s="2"/>
      <c r="D1145" s="2"/>
      <c r="E1145" s="2"/>
      <c r="F1145" s="2" t="s">
        <v>20140</v>
      </c>
      <c r="G1145" s="2"/>
      <c r="H1145" s="2"/>
      <c r="I1145" s="2" t="s">
        <v>20141</v>
      </c>
      <c r="J1145" s="2" t="s">
        <v>1665</v>
      </c>
      <c r="K1145" s="2"/>
      <c r="L1145" s="2"/>
      <c r="M1145" s="2" t="s">
        <v>77</v>
      </c>
      <c r="N1145" s="2" t="s">
        <v>78</v>
      </c>
      <c r="O1145" s="2"/>
      <c r="P1145" s="2"/>
      <c r="Q1145" s="2"/>
      <c r="R1145" s="2"/>
      <c r="S1145" s="2"/>
      <c r="T1145" s="2" t="s">
        <v>20142</v>
      </c>
      <c r="U1145" s="2" t="s">
        <v>20143</v>
      </c>
      <c r="V1145" s="2" t="s">
        <v>20144</v>
      </c>
      <c r="W1145" s="2" t="s">
        <v>20145</v>
      </c>
      <c r="X1145" s="2" t="s">
        <v>20146</v>
      </c>
      <c r="Y1145" s="2" t="s">
        <v>20147</v>
      </c>
      <c r="Z1145" s="2" t="s">
        <v>20148</v>
      </c>
      <c r="AA1145" s="2" t="s">
        <v>20149</v>
      </c>
      <c r="AB1145" s="2" t="s">
        <v>20150</v>
      </c>
      <c r="AC1145" s="2" t="s">
        <v>20151</v>
      </c>
      <c r="AD1145" s="2" t="s">
        <v>20152</v>
      </c>
      <c r="AE1145" s="2" t="s">
        <v>20153</v>
      </c>
      <c r="AF1145" s="2"/>
      <c r="AG1145" s="2" t="n">
        <v>30</v>
      </c>
      <c r="AH1145" s="2" t="n">
        <v>5</v>
      </c>
      <c r="AI1145" s="2" t="n">
        <v>5</v>
      </c>
      <c r="AJ1145" s="2" t="n">
        <v>0</v>
      </c>
      <c r="AK1145" s="2" t="n">
        <v>1</v>
      </c>
      <c r="AL1145" s="2" t="s">
        <v>12289</v>
      </c>
      <c r="AM1145" s="2" t="s">
        <v>12290</v>
      </c>
      <c r="AN1145" s="2" t="s">
        <v>12291</v>
      </c>
      <c r="AO1145" s="2" t="s">
        <v>1681</v>
      </c>
      <c r="AP1145" s="2" t="s">
        <v>1682</v>
      </c>
      <c r="AQ1145" s="2"/>
      <c r="AR1145" s="2" t="s">
        <v>1683</v>
      </c>
      <c r="AS1145" s="2" t="s">
        <v>1684</v>
      </c>
      <c r="AT1145" s="2" t="s">
        <v>161</v>
      </c>
      <c r="AU1145" s="2" t="n">
        <v>2022</v>
      </c>
      <c r="AV1145" s="2" t="n">
        <v>15</v>
      </c>
      <c r="AW1145" s="2" t="n">
        <v>1</v>
      </c>
      <c r="AX1145" s="2"/>
      <c r="AY1145" s="2"/>
      <c r="AZ1145" s="2"/>
      <c r="BA1145" s="2"/>
      <c r="BB1145" s="2"/>
      <c r="BC1145" s="2"/>
      <c r="BD1145" s="2" t="s">
        <v>20154</v>
      </c>
      <c r="BE1145" s="2" t="s">
        <v>20155</v>
      </c>
      <c r="BF1145" s="2" t="str">
        <f aca="false">HYPERLINK("http://dx.doi.org/10.5812/jjm.122090","http://dx.doi.org/10.5812/jjm.122090")</f>
        <v>http://dx.doi.org/10.5812/jjm.122090</v>
      </c>
      <c r="BG1145" s="2"/>
      <c r="BH1145" s="2"/>
      <c r="BI1145" s="2" t="n">
        <v>8</v>
      </c>
      <c r="BJ1145" s="2" t="s">
        <v>211</v>
      </c>
      <c r="BK1145" s="2" t="s">
        <v>100</v>
      </c>
      <c r="BL1145" s="2" t="s">
        <v>211</v>
      </c>
      <c r="BM1145" s="2" t="s">
        <v>20156</v>
      </c>
      <c r="BN1145" s="2"/>
      <c r="BO1145" s="2" t="s">
        <v>1355</v>
      </c>
      <c r="BP1145" s="2"/>
      <c r="BQ1145" s="2"/>
      <c r="BR1145" s="2" t="s">
        <v>104</v>
      </c>
      <c r="BS1145" s="2" t="s">
        <v>20157</v>
      </c>
      <c r="BT1145" s="2" t="str">
        <f aca="false">HYPERLINK("https%3A%2F%2Fwww.webofscience.com%2Fwos%2Fwoscc%2Ffull-record%2FWOS:000789376700005","View Full Record in Web of Science")</f>
        <v>View Full Record in Web of Science</v>
      </c>
    </row>
    <row r="1146" customFormat="false" ht="12.75" hidden="false" customHeight="false" outlineLevel="0" collapsed="false">
      <c r="A1146" s="2" t="s">
        <v>72</v>
      </c>
      <c r="B1146" s="2" t="s">
        <v>20158</v>
      </c>
      <c r="C1146" s="2"/>
      <c r="D1146" s="2"/>
      <c r="E1146" s="2"/>
      <c r="F1146" s="2" t="s">
        <v>20159</v>
      </c>
      <c r="G1146" s="2"/>
      <c r="H1146" s="2"/>
      <c r="I1146" s="2" t="s">
        <v>20160</v>
      </c>
      <c r="J1146" s="2" t="s">
        <v>5430</v>
      </c>
      <c r="K1146" s="2"/>
      <c r="L1146" s="2"/>
      <c r="M1146" s="2" t="s">
        <v>77</v>
      </c>
      <c r="N1146" s="2" t="s">
        <v>78</v>
      </c>
      <c r="O1146" s="2"/>
      <c r="P1146" s="2"/>
      <c r="Q1146" s="2"/>
      <c r="R1146" s="2"/>
      <c r="S1146" s="2"/>
      <c r="T1146" s="2" t="s">
        <v>20161</v>
      </c>
      <c r="U1146" s="2" t="s">
        <v>20162</v>
      </c>
      <c r="V1146" s="2" t="s">
        <v>20163</v>
      </c>
      <c r="W1146" s="2" t="s">
        <v>20164</v>
      </c>
      <c r="X1146" s="2" t="s">
        <v>20165</v>
      </c>
      <c r="Y1146" s="2" t="s">
        <v>20166</v>
      </c>
      <c r="Z1146" s="2" t="s">
        <v>17715</v>
      </c>
      <c r="AA1146" s="2" t="s">
        <v>20167</v>
      </c>
      <c r="AB1146" s="2" t="s">
        <v>20168</v>
      </c>
      <c r="AC1146" s="2" t="s">
        <v>17717</v>
      </c>
      <c r="AD1146" s="2" t="s">
        <v>17718</v>
      </c>
      <c r="AE1146" s="2" t="s">
        <v>20169</v>
      </c>
      <c r="AF1146" s="2"/>
      <c r="AG1146" s="2" t="n">
        <v>20</v>
      </c>
      <c r="AH1146" s="2" t="n">
        <v>11</v>
      </c>
      <c r="AI1146" s="2" t="n">
        <v>12</v>
      </c>
      <c r="AJ1146" s="2" t="n">
        <v>1</v>
      </c>
      <c r="AK1146" s="2" t="n">
        <v>20</v>
      </c>
      <c r="AL1146" s="2" t="s">
        <v>5443</v>
      </c>
      <c r="AM1146" s="2" t="s">
        <v>303</v>
      </c>
      <c r="AN1146" s="2" t="s">
        <v>5444</v>
      </c>
      <c r="AO1146" s="2" t="s">
        <v>5445</v>
      </c>
      <c r="AP1146" s="2" t="s">
        <v>5446</v>
      </c>
      <c r="AQ1146" s="2"/>
      <c r="AR1146" s="2" t="s">
        <v>5447</v>
      </c>
      <c r="AS1146" s="2" t="s">
        <v>5448</v>
      </c>
      <c r="AT1146" s="2" t="s">
        <v>1041</v>
      </c>
      <c r="AU1146" s="2" t="n">
        <v>2022</v>
      </c>
      <c r="AV1146" s="2" t="n">
        <v>11</v>
      </c>
      <c r="AW1146" s="2" t="n">
        <v>1</v>
      </c>
      <c r="AX1146" s="2"/>
      <c r="AY1146" s="2"/>
      <c r="AZ1146" s="2"/>
      <c r="BA1146" s="2"/>
      <c r="BB1146" s="2" t="n">
        <v>165</v>
      </c>
      <c r="BC1146" s="2" t="n">
        <v>174</v>
      </c>
      <c r="BD1146" s="2"/>
      <c r="BE1146" s="2" t="s">
        <v>20170</v>
      </c>
      <c r="BF1146" s="2" t="str">
        <f aca="false">HYPERLINK("http://dx.doi.org/10.1007/s40121-021-00548-x","http://dx.doi.org/10.1007/s40121-021-00548-x")</f>
        <v>http://dx.doi.org/10.1007/s40121-021-00548-x</v>
      </c>
      <c r="BG1146" s="2"/>
      <c r="BH1146" s="2" t="s">
        <v>3158</v>
      </c>
      <c r="BI1146" s="2" t="n">
        <v>10</v>
      </c>
      <c r="BJ1146" s="2" t="s">
        <v>575</v>
      </c>
      <c r="BK1146" s="2" t="s">
        <v>100</v>
      </c>
      <c r="BL1146" s="2" t="s">
        <v>575</v>
      </c>
      <c r="BM1146" s="2" t="s">
        <v>20171</v>
      </c>
      <c r="BN1146" s="2" t="n">
        <v>34694579</v>
      </c>
      <c r="BO1146" s="2" t="s">
        <v>190</v>
      </c>
      <c r="BP1146" s="2"/>
      <c r="BQ1146" s="2"/>
      <c r="BR1146" s="2" t="s">
        <v>104</v>
      </c>
      <c r="BS1146" s="2" t="s">
        <v>20172</v>
      </c>
      <c r="BT1146" s="2" t="str">
        <f aca="false">HYPERLINK("https%3A%2F%2Fwww.webofscience.com%2Fwos%2Fwoscc%2Ffull-record%2FWOS:000710814600002","View Full Record in Web of Science")</f>
        <v>View Full Record in Web of Science</v>
      </c>
    </row>
    <row r="1147" customFormat="false" ht="12.75" hidden="false" customHeight="false" outlineLevel="0" collapsed="false">
      <c r="A1147" s="2" t="s">
        <v>72</v>
      </c>
      <c r="B1147" s="2" t="s">
        <v>20173</v>
      </c>
      <c r="C1147" s="2"/>
      <c r="D1147" s="2"/>
      <c r="E1147" s="2"/>
      <c r="F1147" s="2" t="s">
        <v>20174</v>
      </c>
      <c r="G1147" s="2"/>
      <c r="H1147" s="2" t="s">
        <v>20175</v>
      </c>
      <c r="I1147" s="2" t="s">
        <v>20176</v>
      </c>
      <c r="J1147" s="2" t="s">
        <v>2021</v>
      </c>
      <c r="K1147" s="2"/>
      <c r="L1147" s="2"/>
      <c r="M1147" s="2" t="s">
        <v>77</v>
      </c>
      <c r="N1147" s="2" t="s">
        <v>78</v>
      </c>
      <c r="O1147" s="2"/>
      <c r="P1147" s="2"/>
      <c r="Q1147" s="2"/>
      <c r="R1147" s="2"/>
      <c r="S1147" s="2"/>
      <c r="T1147" s="2" t="s">
        <v>20177</v>
      </c>
      <c r="U1147" s="2" t="s">
        <v>20178</v>
      </c>
      <c r="V1147" s="2" t="s">
        <v>20179</v>
      </c>
      <c r="W1147" s="2" t="s">
        <v>20180</v>
      </c>
      <c r="X1147" s="2" t="s">
        <v>20181</v>
      </c>
      <c r="Y1147" s="2" t="s">
        <v>20182</v>
      </c>
      <c r="Z1147" s="2" t="s">
        <v>20183</v>
      </c>
      <c r="AA1147" s="2" t="s">
        <v>20184</v>
      </c>
      <c r="AB1147" s="2" t="s">
        <v>20185</v>
      </c>
      <c r="AC1147" s="2" t="s">
        <v>20186</v>
      </c>
      <c r="AD1147" s="2" t="s">
        <v>20187</v>
      </c>
      <c r="AE1147" s="2" t="s">
        <v>20188</v>
      </c>
      <c r="AF1147" s="2"/>
      <c r="AG1147" s="2" t="n">
        <v>31</v>
      </c>
      <c r="AH1147" s="2" t="n">
        <v>64</v>
      </c>
      <c r="AI1147" s="2" t="n">
        <v>75</v>
      </c>
      <c r="AJ1147" s="2" t="n">
        <v>2</v>
      </c>
      <c r="AK1147" s="2" t="n">
        <v>33</v>
      </c>
      <c r="AL1147" s="2" t="s">
        <v>527</v>
      </c>
      <c r="AM1147" s="2" t="s">
        <v>528</v>
      </c>
      <c r="AN1147" s="2" t="s">
        <v>529</v>
      </c>
      <c r="AO1147" s="2" t="s">
        <v>2033</v>
      </c>
      <c r="AP1147" s="2" t="s">
        <v>2034</v>
      </c>
      <c r="AQ1147" s="2"/>
      <c r="AR1147" s="2" t="s">
        <v>2035</v>
      </c>
      <c r="AS1147" s="2" t="s">
        <v>2036</v>
      </c>
      <c r="AT1147" s="2" t="s">
        <v>7586</v>
      </c>
      <c r="AU1147" s="2" t="n">
        <v>2022</v>
      </c>
      <c r="AV1147" s="2" t="n">
        <v>75</v>
      </c>
      <c r="AW1147" s="2" t="n">
        <v>1</v>
      </c>
      <c r="AX1147" s="2"/>
      <c r="AY1147" s="2"/>
      <c r="AZ1147" s="2"/>
      <c r="BA1147" s="2"/>
      <c r="BB1147" s="2" t="s">
        <v>20189</v>
      </c>
      <c r="BC1147" s="2" t="s">
        <v>20190</v>
      </c>
      <c r="BD1147" s="2"/>
      <c r="BE1147" s="2" t="s">
        <v>20191</v>
      </c>
      <c r="BF1147" s="2" t="str">
        <f aca="false">HYPERLINK("http://dx.doi.org/10.1093/cid/ciab942","http://dx.doi.org/10.1093/cid/ciab942")</f>
        <v>http://dx.doi.org/10.1093/cid/ciab942</v>
      </c>
      <c r="BG1147" s="2"/>
      <c r="BH1147" s="2" t="s">
        <v>20192</v>
      </c>
      <c r="BI1147" s="2" t="n">
        <v>9</v>
      </c>
      <c r="BJ1147" s="2" t="s">
        <v>536</v>
      </c>
      <c r="BK1147" s="2" t="s">
        <v>100</v>
      </c>
      <c r="BL1147" s="2" t="s">
        <v>536</v>
      </c>
      <c r="BM1147" s="2" t="s">
        <v>7590</v>
      </c>
      <c r="BN1147" s="2" t="n">
        <v>34788811</v>
      </c>
      <c r="BO1147" s="2" t="s">
        <v>538</v>
      </c>
      <c r="BP1147" s="2"/>
      <c r="BQ1147" s="2"/>
      <c r="BR1147" s="2" t="s">
        <v>104</v>
      </c>
      <c r="BS1147" s="2" t="s">
        <v>20193</v>
      </c>
      <c r="BT1147" s="2" t="str">
        <f aca="false">HYPERLINK("https%3A%2F%2Fwww.webofscience.com%2Fwos%2Fwoscc%2Ffull-record%2FWOS:000769671700001","View Full Record in Web of Science")</f>
        <v>View Full Record in Web of Science</v>
      </c>
    </row>
    <row r="1148" customFormat="false" ht="12.75" hidden="false" customHeight="false" outlineLevel="0" collapsed="false">
      <c r="A1148" s="2" t="s">
        <v>72</v>
      </c>
      <c r="B1148" s="2" t="s">
        <v>20194</v>
      </c>
      <c r="C1148" s="2"/>
      <c r="D1148" s="2"/>
      <c r="E1148" s="2"/>
      <c r="F1148" s="2" t="s">
        <v>20195</v>
      </c>
      <c r="G1148" s="2"/>
      <c r="H1148" s="2"/>
      <c r="I1148" s="2" t="s">
        <v>20196</v>
      </c>
      <c r="J1148" s="2" t="s">
        <v>10165</v>
      </c>
      <c r="K1148" s="2"/>
      <c r="L1148" s="2"/>
      <c r="M1148" s="2" t="s">
        <v>77</v>
      </c>
      <c r="N1148" s="2" t="s">
        <v>78</v>
      </c>
      <c r="O1148" s="2"/>
      <c r="P1148" s="2"/>
      <c r="Q1148" s="2"/>
      <c r="R1148" s="2"/>
      <c r="S1148" s="2"/>
      <c r="T1148" s="2" t="s">
        <v>20197</v>
      </c>
      <c r="U1148" s="2" t="s">
        <v>20198</v>
      </c>
      <c r="V1148" s="2" t="s">
        <v>20199</v>
      </c>
      <c r="W1148" s="2" t="s">
        <v>20200</v>
      </c>
      <c r="X1148" s="2" t="s">
        <v>20201</v>
      </c>
      <c r="Y1148" s="2" t="s">
        <v>20202</v>
      </c>
      <c r="Z1148" s="2" t="s">
        <v>20203</v>
      </c>
      <c r="AA1148" s="2"/>
      <c r="AB1148" s="2" t="s">
        <v>20204</v>
      </c>
      <c r="AC1148" s="2" t="s">
        <v>20205</v>
      </c>
      <c r="AD1148" s="2" t="s">
        <v>20205</v>
      </c>
      <c r="AE1148" s="2" t="s">
        <v>20206</v>
      </c>
      <c r="AF1148" s="2"/>
      <c r="AG1148" s="2" t="n">
        <v>31</v>
      </c>
      <c r="AH1148" s="2" t="n">
        <v>0</v>
      </c>
      <c r="AI1148" s="2" t="n">
        <v>0</v>
      </c>
      <c r="AJ1148" s="2" t="n">
        <v>1</v>
      </c>
      <c r="AK1148" s="2" t="n">
        <v>4</v>
      </c>
      <c r="AL1148" s="2" t="s">
        <v>10177</v>
      </c>
      <c r="AM1148" s="2" t="s">
        <v>5071</v>
      </c>
      <c r="AN1148" s="2" t="s">
        <v>10178</v>
      </c>
      <c r="AO1148" s="2" t="s">
        <v>10179</v>
      </c>
      <c r="AP1148" s="2"/>
      <c r="AQ1148" s="2"/>
      <c r="AR1148" s="2" t="s">
        <v>10180</v>
      </c>
      <c r="AS1148" s="2" t="s">
        <v>10181</v>
      </c>
      <c r="AT1148" s="2"/>
      <c r="AU1148" s="2" t="n">
        <v>2023</v>
      </c>
      <c r="AV1148" s="2" t="n">
        <v>69</v>
      </c>
      <c r="AW1148" s="2" t="n">
        <v>8</v>
      </c>
      <c r="AX1148" s="2"/>
      <c r="AY1148" s="2"/>
      <c r="AZ1148" s="2"/>
      <c r="BA1148" s="2"/>
      <c r="BB1148" s="2" t="n">
        <v>1708</v>
      </c>
      <c r="BC1148" s="2" t="n">
        <v>1714</v>
      </c>
      <c r="BD1148" s="2"/>
      <c r="BE1148" s="2" t="s">
        <v>20207</v>
      </c>
      <c r="BF1148" s="2" t="str">
        <f aca="false">HYPERLINK("http://dx.doi.org/10.7754/Clin.Lab.2023.230216","http://dx.doi.org/10.7754/Clin.Lab.2023.230216")</f>
        <v>http://dx.doi.org/10.7754/Clin.Lab.2023.230216</v>
      </c>
      <c r="BG1148" s="2"/>
      <c r="BH1148" s="2"/>
      <c r="BI1148" s="2" t="n">
        <v>7</v>
      </c>
      <c r="BJ1148" s="2" t="s">
        <v>3122</v>
      </c>
      <c r="BK1148" s="2" t="s">
        <v>100</v>
      </c>
      <c r="BL1148" s="2" t="s">
        <v>3122</v>
      </c>
      <c r="BM1148" s="2" t="s">
        <v>20208</v>
      </c>
      <c r="BN1148" s="2" t="n">
        <v>37560859</v>
      </c>
      <c r="BO1148" s="2"/>
      <c r="BP1148" s="2"/>
      <c r="BQ1148" s="2"/>
      <c r="BR1148" s="2" t="s">
        <v>104</v>
      </c>
      <c r="BS1148" s="2" t="s">
        <v>20209</v>
      </c>
      <c r="BT1148" s="2" t="str">
        <f aca="false">HYPERLINK("https%3A%2F%2Fwww.webofscience.com%2Fwos%2Fwoscc%2Ffull-record%2FWOS:001096784100020","View Full Record in Web of Science")</f>
        <v>View Full Record in Web of Science</v>
      </c>
    </row>
    <row r="1149" customFormat="false" ht="12.75" hidden="false" customHeight="false" outlineLevel="0" collapsed="false">
      <c r="A1149" s="2" t="s">
        <v>72</v>
      </c>
      <c r="B1149" s="2" t="s">
        <v>20210</v>
      </c>
      <c r="C1149" s="2"/>
      <c r="D1149" s="2"/>
      <c r="E1149" s="2"/>
      <c r="F1149" s="2" t="s">
        <v>20211</v>
      </c>
      <c r="G1149" s="2"/>
      <c r="H1149" s="2"/>
      <c r="I1149" s="2" t="s">
        <v>20212</v>
      </c>
      <c r="J1149" s="2" t="s">
        <v>20213</v>
      </c>
      <c r="K1149" s="2"/>
      <c r="L1149" s="2"/>
      <c r="M1149" s="2" t="s">
        <v>77</v>
      </c>
      <c r="N1149" s="2" t="s">
        <v>78</v>
      </c>
      <c r="O1149" s="2"/>
      <c r="P1149" s="2"/>
      <c r="Q1149" s="2"/>
      <c r="R1149" s="2"/>
      <c r="S1149" s="2"/>
      <c r="T1149" s="2" t="s">
        <v>20214</v>
      </c>
      <c r="U1149" s="2" t="s">
        <v>20215</v>
      </c>
      <c r="V1149" s="2" t="s">
        <v>20216</v>
      </c>
      <c r="W1149" s="2" t="s">
        <v>20217</v>
      </c>
      <c r="X1149" s="2" t="s">
        <v>20218</v>
      </c>
      <c r="Y1149" s="2" t="s">
        <v>20219</v>
      </c>
      <c r="Z1149" s="2" t="s">
        <v>20220</v>
      </c>
      <c r="AA1149" s="2"/>
      <c r="AB1149" s="2" t="s">
        <v>20221</v>
      </c>
      <c r="AC1149" s="2"/>
      <c r="AD1149" s="2"/>
      <c r="AE1149" s="2"/>
      <c r="AF1149" s="2"/>
      <c r="AG1149" s="2" t="n">
        <v>29</v>
      </c>
      <c r="AH1149" s="2" t="n">
        <v>3</v>
      </c>
      <c r="AI1149" s="2" t="n">
        <v>3</v>
      </c>
      <c r="AJ1149" s="2" t="n">
        <v>1</v>
      </c>
      <c r="AK1149" s="2" t="n">
        <v>12</v>
      </c>
      <c r="AL1149" s="2" t="s">
        <v>20222</v>
      </c>
      <c r="AM1149" s="2" t="s">
        <v>20223</v>
      </c>
      <c r="AN1149" s="2" t="s">
        <v>20224</v>
      </c>
      <c r="AO1149" s="2" t="s">
        <v>20225</v>
      </c>
      <c r="AP1149" s="2"/>
      <c r="AQ1149" s="2"/>
      <c r="AR1149" s="2" t="s">
        <v>20226</v>
      </c>
      <c r="AS1149" s="2" t="s">
        <v>20227</v>
      </c>
      <c r="AT1149" s="2" t="s">
        <v>599</v>
      </c>
      <c r="AU1149" s="2" t="n">
        <v>2021</v>
      </c>
      <c r="AV1149" s="2" t="n">
        <v>109</v>
      </c>
      <c r="AW1149" s="2" t="n">
        <v>3</v>
      </c>
      <c r="AX1149" s="2"/>
      <c r="AY1149" s="2"/>
      <c r="AZ1149" s="2"/>
      <c r="BA1149" s="2"/>
      <c r="BB1149" s="2" t="n">
        <v>395</v>
      </c>
      <c r="BC1149" s="2" t="n">
        <v>405</v>
      </c>
      <c r="BD1149" s="2"/>
      <c r="BE1149" s="2" t="s">
        <v>20228</v>
      </c>
      <c r="BF1149" s="2" t="str">
        <f aca="false">HYPERLINK("http://dx.doi.org/10.5195/jmla.2021.1141","http://dx.doi.org/10.5195/jmla.2021.1141")</f>
        <v>http://dx.doi.org/10.5195/jmla.2021.1141</v>
      </c>
      <c r="BG1149" s="2"/>
      <c r="BH1149" s="2"/>
      <c r="BI1149" s="2" t="n">
        <v>11</v>
      </c>
      <c r="BJ1149" s="2" t="s">
        <v>20229</v>
      </c>
      <c r="BK1149" s="2" t="s">
        <v>5167</v>
      </c>
      <c r="BL1149" s="2" t="s">
        <v>20229</v>
      </c>
      <c r="BM1149" s="2" t="s">
        <v>20230</v>
      </c>
      <c r="BN1149" s="2" t="n">
        <v>34629968</v>
      </c>
      <c r="BO1149" s="2" t="s">
        <v>103</v>
      </c>
      <c r="BP1149" s="2"/>
      <c r="BQ1149" s="2"/>
      <c r="BR1149" s="2" t="s">
        <v>104</v>
      </c>
      <c r="BS1149" s="2" t="s">
        <v>20231</v>
      </c>
      <c r="BT1149" s="2" t="str">
        <f aca="false">HYPERLINK("https%3A%2F%2Fwww.webofscience.com%2Fwos%2Fwoscc%2Ffull-record%2FWOS:000705202000007","View Full Record in Web of Science")</f>
        <v>View Full Record in Web of Science</v>
      </c>
    </row>
    <row r="1150" customFormat="false" ht="12.75" hidden="false" customHeight="false" outlineLevel="0" collapsed="false">
      <c r="A1150" s="2" t="s">
        <v>72</v>
      </c>
      <c r="B1150" s="2" t="s">
        <v>20232</v>
      </c>
      <c r="C1150" s="2"/>
      <c r="D1150" s="2"/>
      <c r="E1150" s="2"/>
      <c r="F1150" s="2" t="s">
        <v>20233</v>
      </c>
      <c r="G1150" s="2"/>
      <c r="H1150" s="2"/>
      <c r="I1150" s="2" t="s">
        <v>20234</v>
      </c>
      <c r="J1150" s="2" t="s">
        <v>11019</v>
      </c>
      <c r="K1150" s="2"/>
      <c r="L1150" s="2"/>
      <c r="M1150" s="2" t="s">
        <v>77</v>
      </c>
      <c r="N1150" s="2" t="s">
        <v>78</v>
      </c>
      <c r="O1150" s="2"/>
      <c r="P1150" s="2"/>
      <c r="Q1150" s="2"/>
      <c r="R1150" s="2"/>
      <c r="S1150" s="2"/>
      <c r="T1150" s="2" t="s">
        <v>20235</v>
      </c>
      <c r="U1150" s="2" t="s">
        <v>20236</v>
      </c>
      <c r="V1150" s="2" t="s">
        <v>20237</v>
      </c>
      <c r="W1150" s="2" t="s">
        <v>20238</v>
      </c>
      <c r="X1150" s="2" t="s">
        <v>20239</v>
      </c>
      <c r="Y1150" s="2" t="s">
        <v>20240</v>
      </c>
      <c r="Z1150" s="2"/>
      <c r="AA1150" s="2" t="s">
        <v>20241</v>
      </c>
      <c r="AB1150" s="2" t="s">
        <v>20242</v>
      </c>
      <c r="AC1150" s="2" t="s">
        <v>20243</v>
      </c>
      <c r="AD1150" s="2" t="s">
        <v>20244</v>
      </c>
      <c r="AE1150" s="2" t="s">
        <v>20245</v>
      </c>
      <c r="AF1150" s="2"/>
      <c r="AG1150" s="2" t="n">
        <v>29</v>
      </c>
      <c r="AH1150" s="2" t="n">
        <v>6</v>
      </c>
      <c r="AI1150" s="2" t="n">
        <v>7</v>
      </c>
      <c r="AJ1150" s="2" t="n">
        <v>1</v>
      </c>
      <c r="AK1150" s="2" t="n">
        <v>2</v>
      </c>
      <c r="AL1150" s="2" t="s">
        <v>154</v>
      </c>
      <c r="AM1150" s="2" t="s">
        <v>155</v>
      </c>
      <c r="AN1150" s="2" t="s">
        <v>156</v>
      </c>
      <c r="AO1150" s="2" t="s">
        <v>11028</v>
      </c>
      <c r="AP1150" s="2" t="s">
        <v>11029</v>
      </c>
      <c r="AQ1150" s="2"/>
      <c r="AR1150" s="2" t="s">
        <v>11030</v>
      </c>
      <c r="AS1150" s="2" t="s">
        <v>11031</v>
      </c>
      <c r="AT1150" s="2" t="s">
        <v>161</v>
      </c>
      <c r="AU1150" s="2" t="n">
        <v>2023</v>
      </c>
      <c r="AV1150" s="2" t="n">
        <v>17</v>
      </c>
      <c r="AW1150" s="2" t="n">
        <v>1</v>
      </c>
      <c r="AX1150" s="2"/>
      <c r="AY1150" s="2"/>
      <c r="AZ1150" s="2"/>
      <c r="BA1150" s="2"/>
      <c r="BB1150" s="2"/>
      <c r="BC1150" s="2"/>
      <c r="BD1150" s="2"/>
      <c r="BE1150" s="2" t="s">
        <v>20246</v>
      </c>
      <c r="BF1150" s="2" t="str">
        <f aca="false">HYPERLINK("http://dx.doi.org/10.1111/irv.13085","http://dx.doi.org/10.1111/irv.13085")</f>
        <v>http://dx.doi.org/10.1111/irv.13085</v>
      </c>
      <c r="BG1150" s="2"/>
      <c r="BH1150" s="2" t="s">
        <v>5760</v>
      </c>
      <c r="BI1150" s="2" t="n">
        <v>9</v>
      </c>
      <c r="BJ1150" s="2" t="s">
        <v>8287</v>
      </c>
      <c r="BK1150" s="2" t="s">
        <v>100</v>
      </c>
      <c r="BL1150" s="2" t="s">
        <v>8287</v>
      </c>
      <c r="BM1150" s="2" t="s">
        <v>20247</v>
      </c>
      <c r="BN1150" s="2" t="n">
        <v>36541036</v>
      </c>
      <c r="BO1150" s="2" t="s">
        <v>103</v>
      </c>
      <c r="BP1150" s="2"/>
      <c r="BQ1150" s="2"/>
      <c r="BR1150" s="2" t="s">
        <v>104</v>
      </c>
      <c r="BS1150" s="2" t="s">
        <v>20248</v>
      </c>
      <c r="BT1150" s="2" t="str">
        <f aca="false">HYPERLINK("https%3A%2F%2Fwww.webofscience.com%2Fwos%2Fwoscc%2Ffull-record%2FWOS:000900712900001","View Full Record in Web of Science")</f>
        <v>View Full Record in Web of Science</v>
      </c>
    </row>
    <row r="1151" customFormat="false" ht="12.75" hidden="false" customHeight="false" outlineLevel="0" collapsed="false">
      <c r="A1151" s="2" t="s">
        <v>72</v>
      </c>
      <c r="B1151" s="2" t="s">
        <v>20249</v>
      </c>
      <c r="C1151" s="2"/>
      <c r="D1151" s="2"/>
      <c r="E1151" s="2"/>
      <c r="F1151" s="2" t="s">
        <v>20250</v>
      </c>
      <c r="G1151" s="2"/>
      <c r="H1151" s="2"/>
      <c r="I1151" s="2" t="s">
        <v>20251</v>
      </c>
      <c r="J1151" s="2" t="s">
        <v>109</v>
      </c>
      <c r="K1151" s="2"/>
      <c r="L1151" s="2"/>
      <c r="M1151" s="2" t="s">
        <v>77</v>
      </c>
      <c r="N1151" s="2" t="s">
        <v>78</v>
      </c>
      <c r="O1151" s="2"/>
      <c r="P1151" s="2"/>
      <c r="Q1151" s="2"/>
      <c r="R1151" s="2"/>
      <c r="S1151" s="2"/>
      <c r="T1151" s="2" t="s">
        <v>20252</v>
      </c>
      <c r="U1151" s="2" t="s">
        <v>20253</v>
      </c>
      <c r="V1151" s="2" t="s">
        <v>20254</v>
      </c>
      <c r="W1151" s="2" t="s">
        <v>20255</v>
      </c>
      <c r="X1151" s="2" t="s">
        <v>20256</v>
      </c>
      <c r="Y1151" s="2" t="s">
        <v>20257</v>
      </c>
      <c r="Z1151" s="2" t="s">
        <v>5226</v>
      </c>
      <c r="AA1151" s="2" t="s">
        <v>20258</v>
      </c>
      <c r="AB1151" s="2" t="s">
        <v>20259</v>
      </c>
      <c r="AC1151" s="2" t="s">
        <v>20260</v>
      </c>
      <c r="AD1151" s="2" t="s">
        <v>20261</v>
      </c>
      <c r="AE1151" s="2" t="s">
        <v>20262</v>
      </c>
      <c r="AF1151" s="2"/>
      <c r="AG1151" s="2" t="n">
        <v>26</v>
      </c>
      <c r="AH1151" s="2" t="n">
        <v>61</v>
      </c>
      <c r="AI1151" s="2" t="n">
        <v>65</v>
      </c>
      <c r="AJ1151" s="2" t="n">
        <v>0</v>
      </c>
      <c r="AK1151" s="2" t="n">
        <v>4</v>
      </c>
      <c r="AL1151" s="2" t="s">
        <v>122</v>
      </c>
      <c r="AM1151" s="2" t="s">
        <v>123</v>
      </c>
      <c r="AN1151" s="2" t="s">
        <v>839</v>
      </c>
      <c r="AO1151" s="2" t="s">
        <v>125</v>
      </c>
      <c r="AP1151" s="2"/>
      <c r="AQ1151" s="2"/>
      <c r="AR1151" s="2" t="s">
        <v>127</v>
      </c>
      <c r="AS1151" s="2" t="s">
        <v>128</v>
      </c>
      <c r="AT1151" s="2" t="s">
        <v>185</v>
      </c>
      <c r="AU1151" s="2" t="n">
        <v>2009</v>
      </c>
      <c r="AV1151" s="2" t="n">
        <v>28</v>
      </c>
      <c r="AW1151" s="2" t="n">
        <v>8</v>
      </c>
      <c r="AX1151" s="2"/>
      <c r="AY1151" s="2"/>
      <c r="AZ1151" s="2"/>
      <c r="BA1151" s="2"/>
      <c r="BB1151" s="2" t="n">
        <v>682</v>
      </c>
      <c r="BC1151" s="2" t="n">
        <v>687</v>
      </c>
      <c r="BD1151" s="2"/>
      <c r="BE1151" s="2" t="s">
        <v>20263</v>
      </c>
      <c r="BF1151" s="2" t="str">
        <f aca="false">HYPERLINK("http://dx.doi.org/10.1097/INF.0b013e31819d0d27","http://dx.doi.org/10.1097/INF.0b013e31819d0d27")</f>
        <v>http://dx.doi.org/10.1097/INF.0b013e31819d0d27</v>
      </c>
      <c r="BG1151" s="2"/>
      <c r="BH1151" s="2"/>
      <c r="BI1151" s="2" t="n">
        <v>6</v>
      </c>
      <c r="BJ1151" s="2" t="s">
        <v>134</v>
      </c>
      <c r="BK1151" s="2" t="s">
        <v>100</v>
      </c>
      <c r="BL1151" s="2" t="s">
        <v>134</v>
      </c>
      <c r="BM1151" s="2" t="s">
        <v>20264</v>
      </c>
      <c r="BN1151" s="2" t="n">
        <v>19633513</v>
      </c>
      <c r="BO1151" s="2" t="s">
        <v>695</v>
      </c>
      <c r="BP1151" s="2"/>
      <c r="BQ1151" s="2"/>
      <c r="BR1151" s="2" t="s">
        <v>104</v>
      </c>
      <c r="BS1151" s="2" t="s">
        <v>20265</v>
      </c>
      <c r="BT1151" s="2" t="str">
        <f aca="false">HYPERLINK("https%3A%2F%2Fwww.webofscience.com%2Fwos%2Fwoscc%2Ffull-record%2FWOS:000268533000005","View Full Record in Web of Science")</f>
        <v>View Full Record in Web of Science</v>
      </c>
    </row>
    <row r="1152" customFormat="false" ht="12.75" hidden="false" customHeight="false" outlineLevel="0" collapsed="false">
      <c r="A1152" s="2" t="s">
        <v>72</v>
      </c>
      <c r="B1152" s="2" t="s">
        <v>20266</v>
      </c>
      <c r="C1152" s="2"/>
      <c r="D1152" s="2"/>
      <c r="E1152" s="2"/>
      <c r="F1152" s="2" t="s">
        <v>20267</v>
      </c>
      <c r="G1152" s="2"/>
      <c r="H1152" s="2"/>
      <c r="I1152" s="2" t="s">
        <v>20268</v>
      </c>
      <c r="J1152" s="2" t="s">
        <v>370</v>
      </c>
      <c r="K1152" s="2"/>
      <c r="L1152" s="2"/>
      <c r="M1152" s="2" t="s">
        <v>77</v>
      </c>
      <c r="N1152" s="2" t="s">
        <v>78</v>
      </c>
      <c r="O1152" s="2"/>
      <c r="P1152" s="2"/>
      <c r="Q1152" s="2"/>
      <c r="R1152" s="2"/>
      <c r="S1152" s="2"/>
      <c r="T1152" s="2" t="s">
        <v>20269</v>
      </c>
      <c r="U1152" s="2" t="s">
        <v>20270</v>
      </c>
      <c r="V1152" s="2" t="s">
        <v>20271</v>
      </c>
      <c r="W1152" s="2" t="s">
        <v>20272</v>
      </c>
      <c r="X1152" s="2" t="s">
        <v>20273</v>
      </c>
      <c r="Y1152" s="2" t="s">
        <v>20274</v>
      </c>
      <c r="Z1152" s="2" t="s">
        <v>20275</v>
      </c>
      <c r="AA1152" s="2"/>
      <c r="AB1152" s="2" t="s">
        <v>20276</v>
      </c>
      <c r="AC1152" s="2"/>
      <c r="AD1152" s="2"/>
      <c r="AE1152" s="2"/>
      <c r="AF1152" s="2"/>
      <c r="AG1152" s="2" t="n">
        <v>33</v>
      </c>
      <c r="AH1152" s="2" t="n">
        <v>26</v>
      </c>
      <c r="AI1152" s="2" t="n">
        <v>28</v>
      </c>
      <c r="AJ1152" s="2" t="n">
        <v>0</v>
      </c>
      <c r="AK1152" s="2" t="n">
        <v>8</v>
      </c>
      <c r="AL1152" s="2" t="s">
        <v>383</v>
      </c>
      <c r="AM1152" s="2" t="s">
        <v>384</v>
      </c>
      <c r="AN1152" s="2" t="s">
        <v>385</v>
      </c>
      <c r="AO1152" s="2" t="s">
        <v>386</v>
      </c>
      <c r="AP1152" s="2" t="s">
        <v>387</v>
      </c>
      <c r="AQ1152" s="2"/>
      <c r="AR1152" s="2" t="s">
        <v>388</v>
      </c>
      <c r="AS1152" s="2" t="s">
        <v>389</v>
      </c>
      <c r="AT1152" s="2" t="s">
        <v>599</v>
      </c>
      <c r="AU1152" s="2" t="n">
        <v>2015</v>
      </c>
      <c r="AV1152" s="2" t="n">
        <v>68</v>
      </c>
      <c r="AW1152" s="2"/>
      <c r="AX1152" s="2"/>
      <c r="AY1152" s="2"/>
      <c r="AZ1152" s="2"/>
      <c r="BA1152" s="2"/>
      <c r="BB1152" s="2" t="n">
        <v>1</v>
      </c>
      <c r="BC1152" s="2" t="n">
        <v>5</v>
      </c>
      <c r="BD1152" s="2"/>
      <c r="BE1152" s="2" t="s">
        <v>20277</v>
      </c>
      <c r="BF1152" s="2" t="str">
        <f aca="false">HYPERLINK("http://dx.doi.org/10.1016/j.jcv.2015.04.012","http://dx.doi.org/10.1016/j.jcv.2015.04.012")</f>
        <v>http://dx.doi.org/10.1016/j.jcv.2015.04.012</v>
      </c>
      <c r="BG1152" s="2"/>
      <c r="BH1152" s="2"/>
      <c r="BI1152" s="2" t="n">
        <v>5</v>
      </c>
      <c r="BJ1152" s="2" t="s">
        <v>163</v>
      </c>
      <c r="BK1152" s="2" t="s">
        <v>100</v>
      </c>
      <c r="BL1152" s="2" t="s">
        <v>163</v>
      </c>
      <c r="BM1152" s="2" t="s">
        <v>20278</v>
      </c>
      <c r="BN1152" s="2" t="n">
        <v>26071326</v>
      </c>
      <c r="BO1152" s="2" t="s">
        <v>165</v>
      </c>
      <c r="BP1152" s="2"/>
      <c r="BQ1152" s="2"/>
      <c r="BR1152" s="2" t="s">
        <v>104</v>
      </c>
      <c r="BS1152" s="2" t="s">
        <v>20279</v>
      </c>
      <c r="BT1152" s="2" t="str">
        <f aca="false">HYPERLINK("https%3A%2F%2Fwww.webofscience.com%2Fwos%2Fwoscc%2Ffull-record%2FWOS:000356101300001","View Full Record in Web of Science")</f>
        <v>View Full Record in Web of Science</v>
      </c>
    </row>
    <row r="1153" customFormat="false" ht="12.75" hidden="false" customHeight="false" outlineLevel="0" collapsed="false">
      <c r="A1153" s="2" t="s">
        <v>72</v>
      </c>
      <c r="B1153" s="2" t="s">
        <v>20280</v>
      </c>
      <c r="C1153" s="2"/>
      <c r="D1153" s="2"/>
      <c r="E1153" s="2"/>
      <c r="F1153" s="2" t="s">
        <v>20281</v>
      </c>
      <c r="G1153" s="2"/>
      <c r="H1153" s="2"/>
      <c r="I1153" s="2" t="s">
        <v>20282</v>
      </c>
      <c r="J1153" s="2" t="s">
        <v>5653</v>
      </c>
      <c r="K1153" s="2"/>
      <c r="L1153" s="2"/>
      <c r="M1153" s="2" t="s">
        <v>77</v>
      </c>
      <c r="N1153" s="2" t="s">
        <v>78</v>
      </c>
      <c r="O1153" s="2"/>
      <c r="P1153" s="2"/>
      <c r="Q1153" s="2"/>
      <c r="R1153" s="2"/>
      <c r="S1153" s="2"/>
      <c r="T1153" s="2" t="s">
        <v>20283</v>
      </c>
      <c r="U1153" s="2" t="s">
        <v>20284</v>
      </c>
      <c r="V1153" s="2" t="s">
        <v>20285</v>
      </c>
      <c r="W1153" s="2" t="s">
        <v>20286</v>
      </c>
      <c r="X1153" s="2" t="s">
        <v>20287</v>
      </c>
      <c r="Y1153" s="2" t="s">
        <v>20288</v>
      </c>
      <c r="Z1153" s="2" t="s">
        <v>20289</v>
      </c>
      <c r="AA1153" s="2" t="s">
        <v>20290</v>
      </c>
      <c r="AB1153" s="2" t="s">
        <v>20291</v>
      </c>
      <c r="AC1153" s="2" t="s">
        <v>20292</v>
      </c>
      <c r="AD1153" s="2" t="s">
        <v>20293</v>
      </c>
      <c r="AE1153" s="2" t="s">
        <v>20294</v>
      </c>
      <c r="AF1153" s="2"/>
      <c r="AG1153" s="2" t="n">
        <v>28</v>
      </c>
      <c r="AH1153" s="2" t="n">
        <v>3</v>
      </c>
      <c r="AI1153" s="2" t="n">
        <v>3</v>
      </c>
      <c r="AJ1153" s="2" t="n">
        <v>0</v>
      </c>
      <c r="AK1153" s="2" t="n">
        <v>3</v>
      </c>
      <c r="AL1153" s="2" t="s">
        <v>4987</v>
      </c>
      <c r="AM1153" s="2" t="s">
        <v>2438</v>
      </c>
      <c r="AN1153" s="2" t="s">
        <v>4988</v>
      </c>
      <c r="AO1153" s="2" t="s">
        <v>5662</v>
      </c>
      <c r="AP1153" s="2" t="s">
        <v>5663</v>
      </c>
      <c r="AQ1153" s="2"/>
      <c r="AR1153" s="2" t="s">
        <v>5664</v>
      </c>
      <c r="AS1153" s="2" t="s">
        <v>5665</v>
      </c>
      <c r="AT1153" s="2" t="s">
        <v>486</v>
      </c>
      <c r="AU1153" s="2" t="n">
        <v>2020</v>
      </c>
      <c r="AV1153" s="2" t="n">
        <v>30</v>
      </c>
      <c r="AW1153" s="2" t="n">
        <v>3</v>
      </c>
      <c r="AX1153" s="2"/>
      <c r="AY1153" s="2"/>
      <c r="AZ1153" s="2"/>
      <c r="BA1153" s="2"/>
      <c r="BB1153" s="2"/>
      <c r="BC1153" s="2"/>
      <c r="BD1153" s="2" t="s">
        <v>20295</v>
      </c>
      <c r="BE1153" s="2" t="s">
        <v>20296</v>
      </c>
      <c r="BF1153" s="2" t="str">
        <f aca="false">HYPERLINK("http://dx.doi.org/10.5812/ijp.101905","http://dx.doi.org/10.5812/ijp.101905")</f>
        <v>http://dx.doi.org/10.5812/ijp.101905</v>
      </c>
      <c r="BG1153" s="2"/>
      <c r="BH1153" s="2"/>
      <c r="BI1153" s="2" t="n">
        <v>6</v>
      </c>
      <c r="BJ1153" s="2" t="s">
        <v>601</v>
      </c>
      <c r="BK1153" s="2" t="s">
        <v>100</v>
      </c>
      <c r="BL1153" s="2" t="s">
        <v>601</v>
      </c>
      <c r="BM1153" s="2" t="s">
        <v>20297</v>
      </c>
      <c r="BN1153" s="2"/>
      <c r="BO1153" s="2" t="s">
        <v>1355</v>
      </c>
      <c r="BP1153" s="2"/>
      <c r="BQ1153" s="2"/>
      <c r="BR1153" s="2" t="s">
        <v>104</v>
      </c>
      <c r="BS1153" s="2" t="s">
        <v>20298</v>
      </c>
      <c r="BT1153" s="2" t="str">
        <f aca="false">HYPERLINK("https%3A%2F%2Fwww.webofscience.com%2Fwos%2Fwoscc%2Ffull-record%2FWOS:000537943000004","View Full Record in Web of Science")</f>
        <v>View Full Record in Web of Science</v>
      </c>
    </row>
    <row r="1154" customFormat="false" ht="12.75" hidden="false" customHeight="false" outlineLevel="0" collapsed="false">
      <c r="A1154" s="2" t="s">
        <v>72</v>
      </c>
      <c r="B1154" s="2" t="s">
        <v>20299</v>
      </c>
      <c r="C1154" s="2"/>
      <c r="D1154" s="2"/>
      <c r="E1154" s="2"/>
      <c r="F1154" s="2" t="s">
        <v>20300</v>
      </c>
      <c r="G1154" s="2"/>
      <c r="H1154" s="2"/>
      <c r="I1154" s="2" t="s">
        <v>20301</v>
      </c>
      <c r="J1154" s="2" t="s">
        <v>11975</v>
      </c>
      <c r="K1154" s="2"/>
      <c r="L1154" s="2"/>
      <c r="M1154" s="2" t="s">
        <v>77</v>
      </c>
      <c r="N1154" s="2" t="s">
        <v>78</v>
      </c>
      <c r="O1154" s="2"/>
      <c r="P1154" s="2"/>
      <c r="Q1154" s="2"/>
      <c r="R1154" s="2"/>
      <c r="S1154" s="2"/>
      <c r="T1154" s="2" t="s">
        <v>20302</v>
      </c>
      <c r="U1154" s="2" t="s">
        <v>20303</v>
      </c>
      <c r="V1154" s="2" t="s">
        <v>20304</v>
      </c>
      <c r="W1154" s="2" t="s">
        <v>20305</v>
      </c>
      <c r="X1154" s="2" t="s">
        <v>20306</v>
      </c>
      <c r="Y1154" s="2" t="s">
        <v>20307</v>
      </c>
      <c r="Z1154" s="2" t="s">
        <v>20308</v>
      </c>
      <c r="AA1154" s="2"/>
      <c r="AB1154" s="2"/>
      <c r="AC1154" s="2"/>
      <c r="AD1154" s="2"/>
      <c r="AE1154" s="2"/>
      <c r="AF1154" s="2"/>
      <c r="AG1154" s="2" t="n">
        <v>25</v>
      </c>
      <c r="AH1154" s="2" t="n">
        <v>19</v>
      </c>
      <c r="AI1154" s="2" t="n">
        <v>25</v>
      </c>
      <c r="AJ1154" s="2" t="n">
        <v>1</v>
      </c>
      <c r="AK1154" s="2" t="n">
        <v>6</v>
      </c>
      <c r="AL1154" s="2" t="s">
        <v>3813</v>
      </c>
      <c r="AM1154" s="2" t="s">
        <v>155</v>
      </c>
      <c r="AN1154" s="2" t="s">
        <v>156</v>
      </c>
      <c r="AO1154" s="2" t="s">
        <v>11983</v>
      </c>
      <c r="AP1154" s="2" t="s">
        <v>11984</v>
      </c>
      <c r="AQ1154" s="2"/>
      <c r="AR1154" s="2" t="s">
        <v>11985</v>
      </c>
      <c r="AS1154" s="2" t="s">
        <v>11986</v>
      </c>
      <c r="AT1154" s="2" t="s">
        <v>161</v>
      </c>
      <c r="AU1154" s="2" t="n">
        <v>2014</v>
      </c>
      <c r="AV1154" s="2" t="n">
        <v>103</v>
      </c>
      <c r="AW1154" s="2" t="n">
        <v>1</v>
      </c>
      <c r="AX1154" s="2"/>
      <c r="AY1154" s="2"/>
      <c r="AZ1154" s="2"/>
      <c r="BA1154" s="2"/>
      <c r="BB1154" s="2" t="n">
        <v>100</v>
      </c>
      <c r="BC1154" s="2" t="n">
        <v>104</v>
      </c>
      <c r="BD1154" s="2"/>
      <c r="BE1154" s="2" t="s">
        <v>20309</v>
      </c>
      <c r="BF1154" s="2" t="str">
        <f aca="false">HYPERLINK("http://dx.doi.org/10.1111/apa.12440","http://dx.doi.org/10.1111/apa.12440")</f>
        <v>http://dx.doi.org/10.1111/apa.12440</v>
      </c>
      <c r="BG1154" s="2"/>
      <c r="BH1154" s="2"/>
      <c r="BI1154" s="2" t="n">
        <v>5</v>
      </c>
      <c r="BJ1154" s="2" t="s">
        <v>601</v>
      </c>
      <c r="BK1154" s="2" t="s">
        <v>100</v>
      </c>
      <c r="BL1154" s="2" t="s">
        <v>601</v>
      </c>
      <c r="BM1154" s="2" t="s">
        <v>20310</v>
      </c>
      <c r="BN1154" s="2" t="n">
        <v>24117958</v>
      </c>
      <c r="BO1154" s="2" t="s">
        <v>165</v>
      </c>
      <c r="BP1154" s="2"/>
      <c r="BQ1154" s="2"/>
      <c r="BR1154" s="2" t="s">
        <v>104</v>
      </c>
      <c r="BS1154" s="2" t="s">
        <v>20311</v>
      </c>
      <c r="BT1154" s="2" t="str">
        <f aca="false">HYPERLINK("https%3A%2F%2Fwww.webofscience.com%2Fwos%2Fwoscc%2Ffull-record%2FWOS:000328736300025","View Full Record in Web of Science")</f>
        <v>View Full Record in Web of Science</v>
      </c>
    </row>
    <row r="1155" customFormat="false" ht="12.75" hidden="false" customHeight="false" outlineLevel="0" collapsed="false">
      <c r="A1155" s="2" t="s">
        <v>72</v>
      </c>
      <c r="B1155" s="2" t="s">
        <v>20312</v>
      </c>
      <c r="C1155" s="2"/>
      <c r="D1155" s="2"/>
      <c r="E1155" s="2"/>
      <c r="F1155" s="2" t="s">
        <v>20313</v>
      </c>
      <c r="G1155" s="2"/>
      <c r="H1155" s="2"/>
      <c r="I1155" s="2" t="s">
        <v>20314</v>
      </c>
      <c r="J1155" s="2" t="s">
        <v>141</v>
      </c>
      <c r="K1155" s="2"/>
      <c r="L1155" s="2"/>
      <c r="M1155" s="2" t="s">
        <v>77</v>
      </c>
      <c r="N1155" s="2" t="s">
        <v>78</v>
      </c>
      <c r="O1155" s="2"/>
      <c r="P1155" s="2"/>
      <c r="Q1155" s="2"/>
      <c r="R1155" s="2"/>
      <c r="S1155" s="2"/>
      <c r="T1155" s="2" t="s">
        <v>20315</v>
      </c>
      <c r="U1155" s="2"/>
      <c r="V1155" s="2" t="s">
        <v>20316</v>
      </c>
      <c r="W1155" s="2" t="s">
        <v>20317</v>
      </c>
      <c r="X1155" s="2" t="s">
        <v>20318</v>
      </c>
      <c r="Y1155" s="2" t="s">
        <v>20319</v>
      </c>
      <c r="Z1155" s="2" t="s">
        <v>20320</v>
      </c>
      <c r="AA1155" s="2" t="s">
        <v>20321</v>
      </c>
      <c r="AB1155" s="2" t="s">
        <v>20322</v>
      </c>
      <c r="AC1155" s="2" t="s">
        <v>20323</v>
      </c>
      <c r="AD1155" s="2" t="s">
        <v>20324</v>
      </c>
      <c r="AE1155" s="2" t="s">
        <v>20325</v>
      </c>
      <c r="AF1155" s="2"/>
      <c r="AG1155" s="2" t="n">
        <v>30</v>
      </c>
      <c r="AH1155" s="2" t="n">
        <v>33</v>
      </c>
      <c r="AI1155" s="2" t="n">
        <v>34</v>
      </c>
      <c r="AJ1155" s="2" t="n">
        <v>0</v>
      </c>
      <c r="AK1155" s="2" t="n">
        <v>4</v>
      </c>
      <c r="AL1155" s="2" t="s">
        <v>154</v>
      </c>
      <c r="AM1155" s="2" t="s">
        <v>155</v>
      </c>
      <c r="AN1155" s="2" t="s">
        <v>156</v>
      </c>
      <c r="AO1155" s="2" t="s">
        <v>157</v>
      </c>
      <c r="AP1155" s="2" t="s">
        <v>158</v>
      </c>
      <c r="AQ1155" s="2"/>
      <c r="AR1155" s="2" t="s">
        <v>159</v>
      </c>
      <c r="AS1155" s="2" t="s">
        <v>160</v>
      </c>
      <c r="AT1155" s="2" t="s">
        <v>1041</v>
      </c>
      <c r="AU1155" s="2" t="n">
        <v>2021</v>
      </c>
      <c r="AV1155" s="2" t="n">
        <v>93</v>
      </c>
      <c r="AW1155" s="2" t="n">
        <v>2</v>
      </c>
      <c r="AX1155" s="2"/>
      <c r="AY1155" s="2"/>
      <c r="AZ1155" s="2"/>
      <c r="BA1155" s="2"/>
      <c r="BB1155" s="2" t="n">
        <v>1002</v>
      </c>
      <c r="BC1155" s="2" t="n">
        <v>1007</v>
      </c>
      <c r="BD1155" s="2"/>
      <c r="BE1155" s="2" t="s">
        <v>20326</v>
      </c>
      <c r="BF1155" s="2" t="str">
        <f aca="false">HYPERLINK("http://dx.doi.org/10.1002/jmv.26362","http://dx.doi.org/10.1002/jmv.26362")</f>
        <v>http://dx.doi.org/10.1002/jmv.26362</v>
      </c>
      <c r="BG1155" s="2"/>
      <c r="BH1155" s="2" t="s">
        <v>20327</v>
      </c>
      <c r="BI1155" s="2" t="n">
        <v>6</v>
      </c>
      <c r="BJ1155" s="2" t="s">
        <v>163</v>
      </c>
      <c r="BK1155" s="2" t="s">
        <v>100</v>
      </c>
      <c r="BL1155" s="2" t="s">
        <v>163</v>
      </c>
      <c r="BM1155" s="2" t="s">
        <v>20328</v>
      </c>
      <c r="BN1155" s="2" t="n">
        <v>32720706</v>
      </c>
      <c r="BO1155" s="2"/>
      <c r="BP1155" s="2"/>
      <c r="BQ1155" s="2"/>
      <c r="BR1155" s="2" t="s">
        <v>104</v>
      </c>
      <c r="BS1155" s="2" t="s">
        <v>20329</v>
      </c>
      <c r="BT1155" s="2" t="str">
        <f aca="false">HYPERLINK("https%3A%2F%2Fwww.webofscience.com%2Fwos%2Fwoscc%2Ffull-record%2FWOS:000554403300001","View Full Record in Web of Science")</f>
        <v>View Full Record in Web of Science</v>
      </c>
    </row>
    <row r="1156" customFormat="false" ht="12.75" hidden="false" customHeight="false" outlineLevel="0" collapsed="false">
      <c r="A1156" s="2" t="s">
        <v>72</v>
      </c>
      <c r="B1156" s="2" t="s">
        <v>20330</v>
      </c>
      <c r="C1156" s="2"/>
      <c r="D1156" s="2"/>
      <c r="E1156" s="2"/>
      <c r="F1156" s="2" t="s">
        <v>20331</v>
      </c>
      <c r="G1156" s="2"/>
      <c r="H1156" s="2"/>
      <c r="I1156" s="2" t="s">
        <v>20332</v>
      </c>
      <c r="J1156" s="2" t="s">
        <v>8664</v>
      </c>
      <c r="K1156" s="2"/>
      <c r="L1156" s="2"/>
      <c r="M1156" s="2" t="s">
        <v>77</v>
      </c>
      <c r="N1156" s="2" t="s">
        <v>78</v>
      </c>
      <c r="O1156" s="2"/>
      <c r="P1156" s="2"/>
      <c r="Q1156" s="2"/>
      <c r="R1156" s="2"/>
      <c r="S1156" s="2"/>
      <c r="T1156" s="2" t="s">
        <v>20333</v>
      </c>
      <c r="U1156" s="2" t="s">
        <v>20334</v>
      </c>
      <c r="V1156" s="2" t="s">
        <v>20335</v>
      </c>
      <c r="W1156" s="2" t="s">
        <v>20336</v>
      </c>
      <c r="X1156" s="2"/>
      <c r="Y1156" s="2" t="s">
        <v>20337</v>
      </c>
      <c r="Z1156" s="2" t="s">
        <v>20338</v>
      </c>
      <c r="AA1156" s="2"/>
      <c r="AB1156" s="2" t="s">
        <v>20339</v>
      </c>
      <c r="AC1156" s="2"/>
      <c r="AD1156" s="2"/>
      <c r="AE1156" s="2"/>
      <c r="AF1156" s="2"/>
      <c r="AG1156" s="2" t="n">
        <v>17</v>
      </c>
      <c r="AH1156" s="2" t="n">
        <v>9</v>
      </c>
      <c r="AI1156" s="2" t="n">
        <v>9</v>
      </c>
      <c r="AJ1156" s="2" t="n">
        <v>0</v>
      </c>
      <c r="AK1156" s="2" t="n">
        <v>2</v>
      </c>
      <c r="AL1156" s="2" t="s">
        <v>154</v>
      </c>
      <c r="AM1156" s="2" t="s">
        <v>155</v>
      </c>
      <c r="AN1156" s="2" t="s">
        <v>156</v>
      </c>
      <c r="AO1156" s="2" t="s">
        <v>8673</v>
      </c>
      <c r="AP1156" s="2" t="s">
        <v>8674</v>
      </c>
      <c r="AQ1156" s="2"/>
      <c r="AR1156" s="2" t="s">
        <v>8675</v>
      </c>
      <c r="AS1156" s="2" t="s">
        <v>8676</v>
      </c>
      <c r="AT1156" s="2" t="s">
        <v>161</v>
      </c>
      <c r="AU1156" s="2" t="n">
        <v>2022</v>
      </c>
      <c r="AV1156" s="2" t="n">
        <v>64</v>
      </c>
      <c r="AW1156" s="2" t="n">
        <v>1</v>
      </c>
      <c r="AX1156" s="2"/>
      <c r="AY1156" s="2"/>
      <c r="AZ1156" s="2"/>
      <c r="BA1156" s="2"/>
      <c r="BB1156" s="2"/>
      <c r="BC1156" s="2"/>
      <c r="BD1156" s="2" t="s">
        <v>20340</v>
      </c>
      <c r="BE1156" s="2" t="s">
        <v>20341</v>
      </c>
      <c r="BF1156" s="2" t="str">
        <f aca="false">HYPERLINK("http://dx.doi.org/10.1111/ped.14937","http://dx.doi.org/10.1111/ped.14937")</f>
        <v>http://dx.doi.org/10.1111/ped.14937</v>
      </c>
      <c r="BG1156" s="2"/>
      <c r="BH1156" s="2"/>
      <c r="BI1156" s="2" t="n">
        <v>7</v>
      </c>
      <c r="BJ1156" s="2" t="s">
        <v>601</v>
      </c>
      <c r="BK1156" s="2" t="s">
        <v>100</v>
      </c>
      <c r="BL1156" s="2" t="s">
        <v>601</v>
      </c>
      <c r="BM1156" s="2" t="s">
        <v>20342</v>
      </c>
      <c r="BN1156" s="2" t="n">
        <v>34324763</v>
      </c>
      <c r="BO1156" s="2" t="s">
        <v>165</v>
      </c>
      <c r="BP1156" s="2"/>
      <c r="BQ1156" s="2"/>
      <c r="BR1156" s="2" t="s">
        <v>104</v>
      </c>
      <c r="BS1156" s="2" t="s">
        <v>20343</v>
      </c>
      <c r="BT1156" s="2" t="str">
        <f aca="false">HYPERLINK("https%3A%2F%2Fwww.webofscience.com%2Fwos%2Fwoscc%2Ffull-record%2FWOS:000788480900001","View Full Record in Web of Science")</f>
        <v>View Full Record in Web of Science</v>
      </c>
    </row>
    <row r="1157" customFormat="false" ht="12.75" hidden="false" customHeight="false" outlineLevel="0" collapsed="false">
      <c r="A1157" s="2" t="s">
        <v>72</v>
      </c>
      <c r="B1157" s="2" t="s">
        <v>20344</v>
      </c>
      <c r="C1157" s="2"/>
      <c r="D1157" s="2"/>
      <c r="E1157" s="2"/>
      <c r="F1157" s="2" t="s">
        <v>20345</v>
      </c>
      <c r="G1157" s="2"/>
      <c r="H1157" s="2"/>
      <c r="I1157" s="2" t="s">
        <v>20346</v>
      </c>
      <c r="J1157" s="2" t="s">
        <v>370</v>
      </c>
      <c r="K1157" s="2"/>
      <c r="L1157" s="2"/>
      <c r="M1157" s="2" t="s">
        <v>77</v>
      </c>
      <c r="N1157" s="2" t="s">
        <v>78</v>
      </c>
      <c r="O1157" s="2"/>
      <c r="P1157" s="2"/>
      <c r="Q1157" s="2"/>
      <c r="R1157" s="2"/>
      <c r="S1157" s="2"/>
      <c r="T1157" s="2" t="s">
        <v>20347</v>
      </c>
      <c r="U1157" s="2" t="s">
        <v>20348</v>
      </c>
      <c r="V1157" s="2"/>
      <c r="W1157" s="2" t="s">
        <v>20349</v>
      </c>
      <c r="X1157" s="2" t="s">
        <v>20350</v>
      </c>
      <c r="Y1157" s="2" t="s">
        <v>20351</v>
      </c>
      <c r="Z1157" s="2" t="s">
        <v>11128</v>
      </c>
      <c r="AA1157" s="2" t="s">
        <v>20352</v>
      </c>
      <c r="AB1157" s="2" t="s">
        <v>20353</v>
      </c>
      <c r="AC1157" s="2"/>
      <c r="AD1157" s="2"/>
      <c r="AE1157" s="2"/>
      <c r="AF1157" s="2"/>
      <c r="AG1157" s="2" t="n">
        <v>28</v>
      </c>
      <c r="AH1157" s="2" t="n">
        <v>16</v>
      </c>
      <c r="AI1157" s="2" t="n">
        <v>20</v>
      </c>
      <c r="AJ1157" s="2" t="n">
        <v>1</v>
      </c>
      <c r="AK1157" s="2" t="n">
        <v>3</v>
      </c>
      <c r="AL1157" s="2" t="s">
        <v>549</v>
      </c>
      <c r="AM1157" s="2" t="s">
        <v>384</v>
      </c>
      <c r="AN1157" s="2" t="s">
        <v>550</v>
      </c>
      <c r="AO1157" s="2" t="s">
        <v>386</v>
      </c>
      <c r="AP1157" s="2" t="s">
        <v>387</v>
      </c>
      <c r="AQ1157" s="2"/>
      <c r="AR1157" s="2" t="s">
        <v>388</v>
      </c>
      <c r="AS1157" s="2" t="s">
        <v>389</v>
      </c>
      <c r="AT1157" s="2" t="s">
        <v>97</v>
      </c>
      <c r="AU1157" s="2" t="n">
        <v>2007</v>
      </c>
      <c r="AV1157" s="2" t="n">
        <v>38</v>
      </c>
      <c r="AW1157" s="2" t="n">
        <v>3</v>
      </c>
      <c r="AX1157" s="2"/>
      <c r="AY1157" s="2"/>
      <c r="AZ1157" s="2"/>
      <c r="BA1157" s="2"/>
      <c r="BB1157" s="2" t="n">
        <v>251</v>
      </c>
      <c r="BC1157" s="2" t="n">
        <v>253</v>
      </c>
      <c r="BD1157" s="2"/>
      <c r="BE1157" s="2" t="s">
        <v>20354</v>
      </c>
      <c r="BF1157" s="2" t="str">
        <f aca="false">HYPERLINK("http://dx.doi.org/10.1016/j.jcv.2006.11.014","http://dx.doi.org/10.1016/j.jcv.2006.11.014")</f>
        <v>http://dx.doi.org/10.1016/j.jcv.2006.11.014</v>
      </c>
      <c r="BG1157" s="2"/>
      <c r="BH1157" s="2"/>
      <c r="BI1157" s="2" t="n">
        <v>3</v>
      </c>
      <c r="BJ1157" s="2" t="s">
        <v>163</v>
      </c>
      <c r="BK1157" s="2" t="s">
        <v>100</v>
      </c>
      <c r="BL1157" s="2" t="s">
        <v>163</v>
      </c>
      <c r="BM1157" s="2" t="s">
        <v>15643</v>
      </c>
      <c r="BN1157" s="2" t="n">
        <v>17320791</v>
      </c>
      <c r="BO1157" s="2" t="s">
        <v>1089</v>
      </c>
      <c r="BP1157" s="2"/>
      <c r="BQ1157" s="2"/>
      <c r="BR1157" s="2" t="s">
        <v>104</v>
      </c>
      <c r="BS1157" s="2" t="s">
        <v>20355</v>
      </c>
      <c r="BT1157" s="2" t="str">
        <f aca="false">HYPERLINK("https%3A%2F%2Fwww.webofscience.com%2Fwos%2Fwoscc%2Ffull-record%2FWOS:000245160900010","View Full Record in Web of Science")</f>
        <v>View Full Record in Web of Science</v>
      </c>
    </row>
    <row r="1158" customFormat="false" ht="12.75" hidden="false" customHeight="false" outlineLevel="0" collapsed="false">
      <c r="A1158" s="2" t="s">
        <v>72</v>
      </c>
      <c r="B1158" s="2" t="s">
        <v>20356</v>
      </c>
      <c r="C1158" s="2"/>
      <c r="D1158" s="2"/>
      <c r="E1158" s="2"/>
      <c r="F1158" s="2" t="s">
        <v>20357</v>
      </c>
      <c r="G1158" s="2"/>
      <c r="H1158" s="2"/>
      <c r="I1158" s="2" t="s">
        <v>20358</v>
      </c>
      <c r="J1158" s="2" t="s">
        <v>10837</v>
      </c>
      <c r="K1158" s="2"/>
      <c r="L1158" s="2"/>
      <c r="M1158" s="2" t="s">
        <v>77</v>
      </c>
      <c r="N1158" s="2" t="s">
        <v>78</v>
      </c>
      <c r="O1158" s="2"/>
      <c r="P1158" s="2"/>
      <c r="Q1158" s="2"/>
      <c r="R1158" s="2"/>
      <c r="S1158" s="2"/>
      <c r="T1158" s="2" t="s">
        <v>20359</v>
      </c>
      <c r="U1158" s="2" t="s">
        <v>20360</v>
      </c>
      <c r="V1158" s="2" t="s">
        <v>20361</v>
      </c>
      <c r="W1158" s="2" t="s">
        <v>20362</v>
      </c>
      <c r="X1158" s="2" t="s">
        <v>20363</v>
      </c>
      <c r="Y1158" s="2" t="s">
        <v>20364</v>
      </c>
      <c r="Z1158" s="2" t="s">
        <v>20365</v>
      </c>
      <c r="AA1158" s="2"/>
      <c r="AB1158" s="2"/>
      <c r="AC1158" s="2"/>
      <c r="AD1158" s="2"/>
      <c r="AE1158" s="2"/>
      <c r="AF1158" s="2"/>
      <c r="AG1158" s="2" t="n">
        <v>37</v>
      </c>
      <c r="AH1158" s="2" t="n">
        <v>14</v>
      </c>
      <c r="AI1158" s="2" t="n">
        <v>14</v>
      </c>
      <c r="AJ1158" s="2" t="n">
        <v>2</v>
      </c>
      <c r="AK1158" s="2" t="n">
        <v>7</v>
      </c>
      <c r="AL1158" s="2" t="s">
        <v>527</v>
      </c>
      <c r="AM1158" s="2" t="s">
        <v>528</v>
      </c>
      <c r="AN1158" s="2" t="s">
        <v>529</v>
      </c>
      <c r="AO1158" s="2" t="s">
        <v>10846</v>
      </c>
      <c r="AP1158" s="2"/>
      <c r="AQ1158" s="2"/>
      <c r="AR1158" s="2" t="s">
        <v>10847</v>
      </c>
      <c r="AS1158" s="2" t="s">
        <v>10848</v>
      </c>
      <c r="AT1158" s="2" t="s">
        <v>599</v>
      </c>
      <c r="AU1158" s="2" t="n">
        <v>2021</v>
      </c>
      <c r="AV1158" s="2" t="n">
        <v>8</v>
      </c>
      <c r="AW1158" s="2" t="n">
        <v>7</v>
      </c>
      <c r="AX1158" s="2"/>
      <c r="AY1158" s="2"/>
      <c r="AZ1158" s="2"/>
      <c r="BA1158" s="2"/>
      <c r="BB1158" s="2"/>
      <c r="BC1158" s="2"/>
      <c r="BD1158" s="2" t="s">
        <v>20366</v>
      </c>
      <c r="BE1158" s="2" t="s">
        <v>20367</v>
      </c>
      <c r="BF1158" s="2" t="str">
        <f aca="false">HYPERLINK("http://dx.doi.org/10.1093/ofid/ofab133","http://dx.doi.org/10.1093/ofid/ofab133")</f>
        <v>http://dx.doi.org/10.1093/ofid/ofab133</v>
      </c>
      <c r="BG1158" s="2"/>
      <c r="BH1158" s="2" t="s">
        <v>2159</v>
      </c>
      <c r="BI1158" s="2" t="n">
        <v>7</v>
      </c>
      <c r="BJ1158" s="2" t="s">
        <v>536</v>
      </c>
      <c r="BK1158" s="2" t="s">
        <v>1086</v>
      </c>
      <c r="BL1158" s="2" t="s">
        <v>536</v>
      </c>
      <c r="BM1158" s="2" t="s">
        <v>20368</v>
      </c>
      <c r="BN1158" s="2"/>
      <c r="BO1158" s="2" t="s">
        <v>103</v>
      </c>
      <c r="BP1158" s="2"/>
      <c r="BQ1158" s="2"/>
      <c r="BR1158" s="2" t="s">
        <v>104</v>
      </c>
      <c r="BS1158" s="2" t="s">
        <v>20369</v>
      </c>
      <c r="BT1158" s="2" t="str">
        <f aca="false">HYPERLINK("https%3A%2F%2Fwww.webofscience.com%2Fwos%2Fwoscc%2Ffull-record%2FWOS:000698980600006","View Full Record in Web of Science")</f>
        <v>View Full Record in Web of Science</v>
      </c>
    </row>
    <row r="1159" customFormat="false" ht="12.75" hidden="false" customHeight="false" outlineLevel="0" collapsed="false">
      <c r="A1159" s="2" t="s">
        <v>72</v>
      </c>
      <c r="B1159" s="2" t="s">
        <v>20370</v>
      </c>
      <c r="C1159" s="2"/>
      <c r="D1159" s="2"/>
      <c r="E1159" s="2"/>
      <c r="F1159" s="2" t="s">
        <v>20371</v>
      </c>
      <c r="G1159" s="2"/>
      <c r="H1159" s="2"/>
      <c r="I1159" s="2" t="s">
        <v>20372</v>
      </c>
      <c r="J1159" s="2" t="s">
        <v>514</v>
      </c>
      <c r="K1159" s="2"/>
      <c r="L1159" s="2"/>
      <c r="M1159" s="2" t="s">
        <v>77</v>
      </c>
      <c r="N1159" s="2" t="s">
        <v>78</v>
      </c>
      <c r="O1159" s="2"/>
      <c r="P1159" s="2"/>
      <c r="Q1159" s="2"/>
      <c r="R1159" s="2"/>
      <c r="S1159" s="2"/>
      <c r="T1159" s="2" t="s">
        <v>20373</v>
      </c>
      <c r="U1159" s="2" t="s">
        <v>20374</v>
      </c>
      <c r="V1159" s="2" t="s">
        <v>20375</v>
      </c>
      <c r="W1159" s="2" t="s">
        <v>20376</v>
      </c>
      <c r="X1159" s="2" t="s">
        <v>20377</v>
      </c>
      <c r="Y1159" s="2" t="s">
        <v>20378</v>
      </c>
      <c r="Z1159" s="2" t="s">
        <v>20379</v>
      </c>
      <c r="AA1159" s="2"/>
      <c r="AB1159" s="2" t="s">
        <v>20380</v>
      </c>
      <c r="AC1159" s="2" t="s">
        <v>20381</v>
      </c>
      <c r="AD1159" s="2" t="s">
        <v>9908</v>
      </c>
      <c r="AE1159" s="2" t="s">
        <v>20382</v>
      </c>
      <c r="AF1159" s="2"/>
      <c r="AG1159" s="2" t="n">
        <v>27</v>
      </c>
      <c r="AH1159" s="2" t="n">
        <v>115</v>
      </c>
      <c r="AI1159" s="2" t="n">
        <v>126</v>
      </c>
      <c r="AJ1159" s="2" t="n">
        <v>0</v>
      </c>
      <c r="AK1159" s="2" t="n">
        <v>15</v>
      </c>
      <c r="AL1159" s="2" t="s">
        <v>527</v>
      </c>
      <c r="AM1159" s="2" t="s">
        <v>528</v>
      </c>
      <c r="AN1159" s="2" t="s">
        <v>529</v>
      </c>
      <c r="AO1159" s="2" t="s">
        <v>530</v>
      </c>
      <c r="AP1159" s="2" t="s">
        <v>531</v>
      </c>
      <c r="AQ1159" s="2"/>
      <c r="AR1159" s="2" t="s">
        <v>532</v>
      </c>
      <c r="AS1159" s="2" t="s">
        <v>533</v>
      </c>
      <c r="AT1159" s="2" t="s">
        <v>4756</v>
      </c>
      <c r="AU1159" s="2" t="n">
        <v>2013</v>
      </c>
      <c r="AV1159" s="2" t="n">
        <v>208</v>
      </c>
      <c r="AW1159" s="2" t="n">
        <v>10</v>
      </c>
      <c r="AX1159" s="2"/>
      <c r="AY1159" s="2"/>
      <c r="AZ1159" s="2"/>
      <c r="BA1159" s="2"/>
      <c r="BB1159" s="2" t="n">
        <v>1634</v>
      </c>
      <c r="BC1159" s="2" t="n">
        <v>1642</v>
      </c>
      <c r="BD1159" s="2"/>
      <c r="BE1159" s="2" t="s">
        <v>20383</v>
      </c>
      <c r="BF1159" s="2" t="str">
        <f aca="false">HYPERLINK("http://dx.doi.org/10.1093/infdis/jit393","http://dx.doi.org/10.1093/infdis/jit393")</f>
        <v>http://dx.doi.org/10.1093/infdis/jit393</v>
      </c>
      <c r="BG1159" s="2"/>
      <c r="BH1159" s="2"/>
      <c r="BI1159" s="2" t="n">
        <v>9</v>
      </c>
      <c r="BJ1159" s="2" t="s">
        <v>536</v>
      </c>
      <c r="BK1159" s="2" t="s">
        <v>100</v>
      </c>
      <c r="BL1159" s="2" t="s">
        <v>536</v>
      </c>
      <c r="BM1159" s="2" t="s">
        <v>14944</v>
      </c>
      <c r="BN1159" s="2" t="n">
        <v>23922367</v>
      </c>
      <c r="BO1159" s="2" t="s">
        <v>136</v>
      </c>
      <c r="BP1159" s="2"/>
      <c r="BQ1159" s="2"/>
      <c r="BR1159" s="2" t="s">
        <v>104</v>
      </c>
      <c r="BS1159" s="2" t="s">
        <v>20384</v>
      </c>
      <c r="BT1159" s="2" t="str">
        <f aca="false">HYPERLINK("https%3A%2F%2Fwww.webofscience.com%2Fwos%2Fwoscc%2Ffull-record%2FWOS:000326378000014","View Full Record in Web of Science")</f>
        <v>View Full Record in Web of Science</v>
      </c>
    </row>
    <row r="1160" customFormat="false" ht="12.75" hidden="false" customHeight="false" outlineLevel="0" collapsed="false">
      <c r="A1160" s="2" t="s">
        <v>72</v>
      </c>
      <c r="B1160" s="2" t="s">
        <v>20385</v>
      </c>
      <c r="C1160" s="2"/>
      <c r="D1160" s="2"/>
      <c r="E1160" s="2"/>
      <c r="F1160" s="2" t="s">
        <v>20386</v>
      </c>
      <c r="G1160" s="2"/>
      <c r="H1160" s="2"/>
      <c r="I1160" s="2" t="s">
        <v>20387</v>
      </c>
      <c r="J1160" s="2" t="s">
        <v>20388</v>
      </c>
      <c r="K1160" s="2"/>
      <c r="L1160" s="2"/>
      <c r="M1160" s="2" t="s">
        <v>77</v>
      </c>
      <c r="N1160" s="2" t="s">
        <v>78</v>
      </c>
      <c r="O1160" s="2"/>
      <c r="P1160" s="2"/>
      <c r="Q1160" s="2"/>
      <c r="R1160" s="2"/>
      <c r="S1160" s="2"/>
      <c r="T1160" s="2" t="s">
        <v>20389</v>
      </c>
      <c r="U1160" s="2" t="s">
        <v>20390</v>
      </c>
      <c r="V1160" s="2" t="s">
        <v>20391</v>
      </c>
      <c r="W1160" s="2" t="s">
        <v>20392</v>
      </c>
      <c r="X1160" s="2" t="s">
        <v>20393</v>
      </c>
      <c r="Y1160" s="2" t="s">
        <v>20394</v>
      </c>
      <c r="Z1160" s="2" t="s">
        <v>20395</v>
      </c>
      <c r="AA1160" s="2" t="s">
        <v>20396</v>
      </c>
      <c r="AB1160" s="2" t="s">
        <v>20397</v>
      </c>
      <c r="AC1160" s="2"/>
      <c r="AD1160" s="2"/>
      <c r="AE1160" s="2"/>
      <c r="AF1160" s="2"/>
      <c r="AG1160" s="2" t="n">
        <v>68</v>
      </c>
      <c r="AH1160" s="2" t="n">
        <v>153</v>
      </c>
      <c r="AI1160" s="2" t="n">
        <v>156</v>
      </c>
      <c r="AJ1160" s="2" t="n">
        <v>0</v>
      </c>
      <c r="AK1160" s="2" t="n">
        <v>7</v>
      </c>
      <c r="AL1160" s="2" t="s">
        <v>5752</v>
      </c>
      <c r="AM1160" s="2" t="s">
        <v>5753</v>
      </c>
      <c r="AN1160" s="2" t="s">
        <v>5754</v>
      </c>
      <c r="AO1160" s="2" t="s">
        <v>20398</v>
      </c>
      <c r="AP1160" s="2" t="s">
        <v>20399</v>
      </c>
      <c r="AQ1160" s="2"/>
      <c r="AR1160" s="2" t="s">
        <v>20400</v>
      </c>
      <c r="AS1160" s="2" t="s">
        <v>20401</v>
      </c>
      <c r="AT1160" s="2" t="s">
        <v>599</v>
      </c>
      <c r="AU1160" s="2" t="n">
        <v>2020</v>
      </c>
      <c r="AV1160" s="2" t="n">
        <v>125</v>
      </c>
      <c r="AW1160" s="2" t="n">
        <v>7</v>
      </c>
      <c r="AX1160" s="2"/>
      <c r="AY1160" s="2"/>
      <c r="AZ1160" s="2"/>
      <c r="BA1160" s="2"/>
      <c r="BB1160" s="2" t="n">
        <v>636</v>
      </c>
      <c r="BC1160" s="2" t="n">
        <v>646</v>
      </c>
      <c r="BD1160" s="2"/>
      <c r="BE1160" s="2" t="s">
        <v>20402</v>
      </c>
      <c r="BF1160" s="2" t="str">
        <f aca="false">HYPERLINK("http://dx.doi.org/10.1007/s11547-020-01237-4","http://dx.doi.org/10.1007/s11547-020-01237-4")</f>
        <v>http://dx.doi.org/10.1007/s11547-020-01237-4</v>
      </c>
      <c r="BG1160" s="2"/>
      <c r="BH1160" s="2" t="s">
        <v>20403</v>
      </c>
      <c r="BI1160" s="2" t="n">
        <v>11</v>
      </c>
      <c r="BJ1160" s="2" t="s">
        <v>16579</v>
      </c>
      <c r="BK1160" s="2" t="s">
        <v>100</v>
      </c>
      <c r="BL1160" s="2" t="s">
        <v>16579</v>
      </c>
      <c r="BM1160" s="2" t="s">
        <v>20404</v>
      </c>
      <c r="BN1160" s="2" t="n">
        <v>32500509</v>
      </c>
      <c r="BO1160" s="2" t="s">
        <v>136</v>
      </c>
      <c r="BP1160" s="2"/>
      <c r="BQ1160" s="2"/>
      <c r="BR1160" s="2" t="s">
        <v>104</v>
      </c>
      <c r="BS1160" s="2" t="s">
        <v>20405</v>
      </c>
      <c r="BT1160" s="2" t="str">
        <f aca="false">HYPERLINK("https%3A%2F%2Fwww.webofscience.com%2Fwos%2Fwoscc%2Ffull-record%2FWOS:000538503900002","View Full Record in Web of Science")</f>
        <v>View Full Record in Web of Science</v>
      </c>
    </row>
    <row r="1161" customFormat="false" ht="12.75" hidden="false" customHeight="false" outlineLevel="0" collapsed="false">
      <c r="A1161" s="2" t="s">
        <v>72</v>
      </c>
      <c r="B1161" s="2" t="s">
        <v>20406</v>
      </c>
      <c r="C1161" s="2"/>
      <c r="D1161" s="2"/>
      <c r="E1161" s="2"/>
      <c r="F1161" s="2" t="s">
        <v>20407</v>
      </c>
      <c r="G1161" s="2"/>
      <c r="H1161" s="2"/>
      <c r="I1161" s="2" t="s">
        <v>20408</v>
      </c>
      <c r="J1161" s="2" t="s">
        <v>557</v>
      </c>
      <c r="K1161" s="2"/>
      <c r="L1161" s="2"/>
      <c r="M1161" s="2" t="s">
        <v>77</v>
      </c>
      <c r="N1161" s="2" t="s">
        <v>78</v>
      </c>
      <c r="O1161" s="2"/>
      <c r="P1161" s="2"/>
      <c r="Q1161" s="2"/>
      <c r="R1161" s="2"/>
      <c r="S1161" s="2"/>
      <c r="T1161" s="2" t="s">
        <v>20409</v>
      </c>
      <c r="U1161" s="2" t="s">
        <v>20410</v>
      </c>
      <c r="V1161" s="2" t="s">
        <v>20411</v>
      </c>
      <c r="W1161" s="2" t="s">
        <v>20412</v>
      </c>
      <c r="X1161" s="2" t="s">
        <v>20413</v>
      </c>
      <c r="Y1161" s="2" t="s">
        <v>20414</v>
      </c>
      <c r="Z1161" s="2" t="s">
        <v>20415</v>
      </c>
      <c r="AA1161" s="2" t="s">
        <v>20416</v>
      </c>
      <c r="AB1161" s="2" t="s">
        <v>20417</v>
      </c>
      <c r="AC1161" s="2" t="s">
        <v>20418</v>
      </c>
      <c r="AD1161" s="2" t="s">
        <v>20419</v>
      </c>
      <c r="AE1161" s="2" t="s">
        <v>20420</v>
      </c>
      <c r="AF1161" s="2"/>
      <c r="AG1161" s="2" t="n">
        <v>23</v>
      </c>
      <c r="AH1161" s="2" t="n">
        <v>5</v>
      </c>
      <c r="AI1161" s="2" t="n">
        <v>5</v>
      </c>
      <c r="AJ1161" s="2" t="n">
        <v>2</v>
      </c>
      <c r="AK1161" s="2" t="n">
        <v>8</v>
      </c>
      <c r="AL1161" s="2" t="s">
        <v>302</v>
      </c>
      <c r="AM1161" s="2" t="s">
        <v>303</v>
      </c>
      <c r="AN1161" s="2" t="s">
        <v>304</v>
      </c>
      <c r="AO1161" s="2"/>
      <c r="AP1161" s="2" t="s">
        <v>570</v>
      </c>
      <c r="AQ1161" s="2"/>
      <c r="AR1161" s="2" t="s">
        <v>571</v>
      </c>
      <c r="AS1161" s="2" t="s">
        <v>572</v>
      </c>
      <c r="AT1161" s="2" t="s">
        <v>20421</v>
      </c>
      <c r="AU1161" s="2" t="n">
        <v>2023</v>
      </c>
      <c r="AV1161" s="2" t="n">
        <v>23</v>
      </c>
      <c r="AW1161" s="2" t="n">
        <v>1</v>
      </c>
      <c r="AX1161" s="2"/>
      <c r="AY1161" s="2"/>
      <c r="AZ1161" s="2"/>
      <c r="BA1161" s="2"/>
      <c r="BB1161" s="2"/>
      <c r="BC1161" s="2"/>
      <c r="BD1161" s="2" t="n">
        <v>75</v>
      </c>
      <c r="BE1161" s="2" t="s">
        <v>20422</v>
      </c>
      <c r="BF1161" s="2" t="str">
        <f aca="false">HYPERLINK("http://dx.doi.org/10.1186/s12879-023-08010-8","http://dx.doi.org/10.1186/s12879-023-08010-8")</f>
        <v>http://dx.doi.org/10.1186/s12879-023-08010-8</v>
      </c>
      <c r="BG1161" s="2"/>
      <c r="BH1161" s="2"/>
      <c r="BI1161" s="2" t="n">
        <v>8</v>
      </c>
      <c r="BJ1161" s="2" t="s">
        <v>575</v>
      </c>
      <c r="BK1161" s="2" t="s">
        <v>100</v>
      </c>
      <c r="BL1161" s="2" t="s">
        <v>575</v>
      </c>
      <c r="BM1161" s="2" t="s">
        <v>20423</v>
      </c>
      <c r="BN1161" s="2" t="n">
        <v>36747136</v>
      </c>
      <c r="BO1161" s="2" t="s">
        <v>103</v>
      </c>
      <c r="BP1161" s="2"/>
      <c r="BQ1161" s="2"/>
      <c r="BR1161" s="2" t="s">
        <v>104</v>
      </c>
      <c r="BS1161" s="2" t="s">
        <v>20424</v>
      </c>
      <c r="BT1161" s="2" t="str">
        <f aca="false">HYPERLINK("https%3A%2F%2Fwww.webofscience.com%2Fwos%2Fwoscc%2Ffull-record%2FWOS:000926549600003","View Full Record in Web of Science")</f>
        <v>View Full Record in Web of Science</v>
      </c>
    </row>
    <row r="1162" customFormat="false" ht="12.75" hidden="false" customHeight="false" outlineLevel="0" collapsed="false">
      <c r="A1162" s="2" t="s">
        <v>72</v>
      </c>
      <c r="B1162" s="2" t="s">
        <v>20425</v>
      </c>
      <c r="C1162" s="2"/>
      <c r="D1162" s="2"/>
      <c r="E1162" s="2"/>
      <c r="F1162" s="2" t="s">
        <v>20426</v>
      </c>
      <c r="G1162" s="2"/>
      <c r="H1162" s="2"/>
      <c r="I1162" s="2" t="s">
        <v>20427</v>
      </c>
      <c r="J1162" s="2" t="s">
        <v>20428</v>
      </c>
      <c r="K1162" s="2"/>
      <c r="L1162" s="2"/>
      <c r="M1162" s="2" t="s">
        <v>77</v>
      </c>
      <c r="N1162" s="2" t="s">
        <v>78</v>
      </c>
      <c r="O1162" s="2"/>
      <c r="P1162" s="2"/>
      <c r="Q1162" s="2"/>
      <c r="R1162" s="2"/>
      <c r="S1162" s="2"/>
      <c r="T1162" s="2" t="s">
        <v>20429</v>
      </c>
      <c r="U1162" s="2" t="s">
        <v>20430</v>
      </c>
      <c r="V1162" s="2" t="s">
        <v>20431</v>
      </c>
      <c r="W1162" s="2" t="s">
        <v>20432</v>
      </c>
      <c r="X1162" s="2"/>
      <c r="Y1162" s="2" t="s">
        <v>20433</v>
      </c>
      <c r="Z1162" s="2" t="s">
        <v>20434</v>
      </c>
      <c r="AA1162" s="2"/>
      <c r="AB1162" s="2" t="s">
        <v>20435</v>
      </c>
      <c r="AC1162" s="2"/>
      <c r="AD1162" s="2"/>
      <c r="AE1162" s="2"/>
      <c r="AF1162" s="2"/>
      <c r="AG1162" s="2" t="n">
        <v>11</v>
      </c>
      <c r="AH1162" s="2" t="n">
        <v>1</v>
      </c>
      <c r="AI1162" s="2" t="n">
        <v>1</v>
      </c>
      <c r="AJ1162" s="2" t="n">
        <v>0</v>
      </c>
      <c r="AK1162" s="2" t="n">
        <v>2</v>
      </c>
      <c r="AL1162" s="2" t="s">
        <v>13769</v>
      </c>
      <c r="AM1162" s="2" t="s">
        <v>16554</v>
      </c>
      <c r="AN1162" s="2" t="s">
        <v>16555</v>
      </c>
      <c r="AO1162" s="2" t="s">
        <v>20436</v>
      </c>
      <c r="AP1162" s="2" t="s">
        <v>20437</v>
      </c>
      <c r="AQ1162" s="2"/>
      <c r="AR1162" s="2" t="s">
        <v>20438</v>
      </c>
      <c r="AS1162" s="2" t="s">
        <v>20439</v>
      </c>
      <c r="AT1162" s="2" t="s">
        <v>129</v>
      </c>
      <c r="AU1162" s="2" t="n">
        <v>2021</v>
      </c>
      <c r="AV1162" s="2" t="n">
        <v>14</v>
      </c>
      <c r="AW1162" s="2" t="n">
        <v>3</v>
      </c>
      <c r="AX1162" s="2"/>
      <c r="AY1162" s="2"/>
      <c r="AZ1162" s="2"/>
      <c r="BA1162" s="2"/>
      <c r="BB1162" s="2" t="n">
        <v>284</v>
      </c>
      <c r="BC1162" s="2" t="n">
        <v>286</v>
      </c>
      <c r="BD1162" s="2"/>
      <c r="BE1162" s="2" t="s">
        <v>20440</v>
      </c>
      <c r="BF1162" s="2" t="str">
        <f aca="false">HYPERLINK("http://dx.doi.org/10.1007/s12254-021-00734-0","http://dx.doi.org/10.1007/s12254-021-00734-0")</f>
        <v>http://dx.doi.org/10.1007/s12254-021-00734-0</v>
      </c>
      <c r="BG1162" s="2"/>
      <c r="BH1162" s="2" t="s">
        <v>2112</v>
      </c>
      <c r="BI1162" s="2" t="n">
        <v>3</v>
      </c>
      <c r="BJ1162" s="2" t="s">
        <v>9139</v>
      </c>
      <c r="BK1162" s="2" t="s">
        <v>339</v>
      </c>
      <c r="BL1162" s="2" t="s">
        <v>9139</v>
      </c>
      <c r="BM1162" s="2" t="s">
        <v>20441</v>
      </c>
      <c r="BN1162" s="2" t="n">
        <v>34422121</v>
      </c>
      <c r="BO1162" s="2" t="s">
        <v>1267</v>
      </c>
      <c r="BP1162" s="2"/>
      <c r="BQ1162" s="2"/>
      <c r="BR1162" s="2" t="s">
        <v>104</v>
      </c>
      <c r="BS1162" s="2" t="s">
        <v>20442</v>
      </c>
      <c r="BT1162" s="2" t="str">
        <f aca="false">HYPERLINK("https%3A%2F%2Fwww.webofscience.com%2Fwos%2Fwoscc%2Ffull-record%2FWOS:000686037200001","View Full Record in Web of Science")</f>
        <v>View Full Record in Web of Science</v>
      </c>
    </row>
    <row r="1163" customFormat="false" ht="12.75" hidden="false" customHeight="false" outlineLevel="0" collapsed="false">
      <c r="A1163" s="2" t="s">
        <v>72</v>
      </c>
      <c r="B1163" s="2" t="s">
        <v>20443</v>
      </c>
      <c r="C1163" s="2"/>
      <c r="D1163" s="2"/>
      <c r="E1163" s="2"/>
      <c r="F1163" s="2" t="s">
        <v>20444</v>
      </c>
      <c r="G1163" s="2"/>
      <c r="H1163" s="2"/>
      <c r="I1163" s="2" t="s">
        <v>20445</v>
      </c>
      <c r="J1163" s="2" t="s">
        <v>5616</v>
      </c>
      <c r="K1163" s="2"/>
      <c r="L1163" s="2"/>
      <c r="M1163" s="2" t="s">
        <v>77</v>
      </c>
      <c r="N1163" s="2" t="s">
        <v>78</v>
      </c>
      <c r="O1163" s="2"/>
      <c r="P1163" s="2"/>
      <c r="Q1163" s="2"/>
      <c r="R1163" s="2"/>
      <c r="S1163" s="2"/>
      <c r="T1163" s="2" t="s">
        <v>20446</v>
      </c>
      <c r="U1163" s="2" t="s">
        <v>20447</v>
      </c>
      <c r="V1163" s="2" t="s">
        <v>20448</v>
      </c>
      <c r="W1163" s="2" t="s">
        <v>20449</v>
      </c>
      <c r="X1163" s="2"/>
      <c r="Y1163" s="2" t="s">
        <v>20450</v>
      </c>
      <c r="Z1163" s="2" t="s">
        <v>20451</v>
      </c>
      <c r="AA1163" s="2" t="s">
        <v>20452</v>
      </c>
      <c r="AB1163" s="2" t="s">
        <v>20453</v>
      </c>
      <c r="AC1163" s="2" t="s">
        <v>20454</v>
      </c>
      <c r="AD1163" s="2" t="s">
        <v>20455</v>
      </c>
      <c r="AE1163" s="2" t="s">
        <v>20456</v>
      </c>
      <c r="AF1163" s="2"/>
      <c r="AG1163" s="2" t="n">
        <v>24</v>
      </c>
      <c r="AH1163" s="2" t="n">
        <v>113</v>
      </c>
      <c r="AI1163" s="2" t="n">
        <v>123</v>
      </c>
      <c r="AJ1163" s="2" t="n">
        <v>2</v>
      </c>
      <c r="AK1163" s="2" t="n">
        <v>12</v>
      </c>
      <c r="AL1163" s="2" t="s">
        <v>3584</v>
      </c>
      <c r="AM1163" s="2" t="s">
        <v>303</v>
      </c>
      <c r="AN1163" s="2" t="s">
        <v>3585</v>
      </c>
      <c r="AO1163" s="2" t="s">
        <v>5626</v>
      </c>
      <c r="AP1163" s="2"/>
      <c r="AQ1163" s="2"/>
      <c r="AR1163" s="2" t="s">
        <v>5628</v>
      </c>
      <c r="AS1163" s="2" t="s">
        <v>5629</v>
      </c>
      <c r="AT1163" s="2" t="s">
        <v>804</v>
      </c>
      <c r="AU1163" s="2" t="n">
        <v>2008</v>
      </c>
      <c r="AV1163" s="2" t="n">
        <v>102</v>
      </c>
      <c r="AW1163" s="2" t="n">
        <v>11</v>
      </c>
      <c r="AX1163" s="2"/>
      <c r="AY1163" s="2"/>
      <c r="AZ1163" s="2"/>
      <c r="BA1163" s="2"/>
      <c r="BB1163" s="2" t="n">
        <v>1575</v>
      </c>
      <c r="BC1163" s="2" t="n">
        <v>1580</v>
      </c>
      <c r="BD1163" s="2"/>
      <c r="BE1163" s="2" t="s">
        <v>20457</v>
      </c>
      <c r="BF1163" s="2" t="str">
        <f aca="false">HYPERLINK("http://dx.doi.org/10.1016/j.rmed.2008.06.006","http://dx.doi.org/10.1016/j.rmed.2008.06.006")</f>
        <v>http://dx.doi.org/10.1016/j.rmed.2008.06.006</v>
      </c>
      <c r="BG1163" s="2"/>
      <c r="BH1163" s="2"/>
      <c r="BI1163" s="2" t="n">
        <v>6</v>
      </c>
      <c r="BJ1163" s="2" t="s">
        <v>5632</v>
      </c>
      <c r="BK1163" s="2" t="s">
        <v>100</v>
      </c>
      <c r="BL1163" s="2" t="s">
        <v>5633</v>
      </c>
      <c r="BM1163" s="2" t="s">
        <v>20458</v>
      </c>
      <c r="BN1163" s="2" t="n">
        <v>18672353</v>
      </c>
      <c r="BO1163" s="2" t="s">
        <v>11469</v>
      </c>
      <c r="BP1163" s="2"/>
      <c r="BQ1163" s="2"/>
      <c r="BR1163" s="2" t="s">
        <v>104</v>
      </c>
      <c r="BS1163" s="2" t="s">
        <v>20459</v>
      </c>
      <c r="BT1163" s="2" t="str">
        <f aca="false">HYPERLINK("https%3A%2F%2Fwww.webofscience.com%2Fwos%2Fwoscc%2Ffull-record%2FWOS:000261506700010","View Full Record in Web of Science")</f>
        <v>View Full Record in Web of Science</v>
      </c>
    </row>
    <row r="1164" customFormat="false" ht="12.75" hidden="false" customHeight="false" outlineLevel="0" collapsed="false">
      <c r="A1164" s="2" t="s">
        <v>72</v>
      </c>
      <c r="B1164" s="2" t="s">
        <v>20460</v>
      </c>
      <c r="C1164" s="2"/>
      <c r="D1164" s="2"/>
      <c r="E1164" s="2"/>
      <c r="F1164" s="2" t="s">
        <v>20461</v>
      </c>
      <c r="G1164" s="2"/>
      <c r="H1164" s="2"/>
      <c r="I1164" s="2" t="s">
        <v>20462</v>
      </c>
      <c r="J1164" s="2" t="s">
        <v>20463</v>
      </c>
      <c r="K1164" s="2"/>
      <c r="L1164" s="2"/>
      <c r="M1164" s="2" t="s">
        <v>77</v>
      </c>
      <c r="N1164" s="2" t="s">
        <v>78</v>
      </c>
      <c r="O1164" s="2"/>
      <c r="P1164" s="2"/>
      <c r="Q1164" s="2"/>
      <c r="R1164" s="2"/>
      <c r="S1164" s="2"/>
      <c r="T1164" s="2" t="s">
        <v>20464</v>
      </c>
      <c r="U1164" s="2" t="s">
        <v>20465</v>
      </c>
      <c r="V1164" s="2" t="s">
        <v>20466</v>
      </c>
      <c r="W1164" s="2" t="s">
        <v>20467</v>
      </c>
      <c r="X1164" s="2" t="s">
        <v>20468</v>
      </c>
      <c r="Y1164" s="2" t="s">
        <v>20469</v>
      </c>
      <c r="Z1164" s="2" t="s">
        <v>20470</v>
      </c>
      <c r="AA1164" s="2" t="s">
        <v>20471</v>
      </c>
      <c r="AB1164" s="2" t="s">
        <v>5364</v>
      </c>
      <c r="AC1164" s="2" t="s">
        <v>20472</v>
      </c>
      <c r="AD1164" s="2" t="s">
        <v>20472</v>
      </c>
      <c r="AE1164" s="2" t="s">
        <v>20473</v>
      </c>
      <c r="AF1164" s="2"/>
      <c r="AG1164" s="2" t="n">
        <v>27</v>
      </c>
      <c r="AH1164" s="2" t="n">
        <v>49</v>
      </c>
      <c r="AI1164" s="2" t="n">
        <v>51</v>
      </c>
      <c r="AJ1164" s="2" t="n">
        <v>0</v>
      </c>
      <c r="AK1164" s="2" t="n">
        <v>3</v>
      </c>
      <c r="AL1164" s="2" t="s">
        <v>5752</v>
      </c>
      <c r="AM1164" s="2" t="s">
        <v>5753</v>
      </c>
      <c r="AN1164" s="2" t="s">
        <v>5754</v>
      </c>
      <c r="AO1164" s="2" t="s">
        <v>20474</v>
      </c>
      <c r="AP1164" s="2" t="s">
        <v>20475</v>
      </c>
      <c r="AQ1164" s="2"/>
      <c r="AR1164" s="2" t="s">
        <v>20476</v>
      </c>
      <c r="AS1164" s="2" t="s">
        <v>20477</v>
      </c>
      <c r="AT1164" s="2" t="s">
        <v>446</v>
      </c>
      <c r="AU1164" s="2" t="n">
        <v>2008</v>
      </c>
      <c r="AV1164" s="2" t="n">
        <v>3</v>
      </c>
      <c r="AW1164" s="2" t="n">
        <v>4</v>
      </c>
      <c r="AX1164" s="2"/>
      <c r="AY1164" s="2"/>
      <c r="AZ1164" s="2"/>
      <c r="BA1164" s="2"/>
      <c r="BB1164" s="2" t="n">
        <v>355</v>
      </c>
      <c r="BC1164" s="2" t="n">
        <v>359</v>
      </c>
      <c r="BD1164" s="2"/>
      <c r="BE1164" s="2" t="s">
        <v>20478</v>
      </c>
      <c r="BF1164" s="2" t="str">
        <f aca="false">HYPERLINK("http://dx.doi.org/10.1007/s11739-008-0197-0","http://dx.doi.org/10.1007/s11739-008-0197-0")</f>
        <v>http://dx.doi.org/10.1007/s11739-008-0197-0</v>
      </c>
      <c r="BG1164" s="2"/>
      <c r="BH1164" s="2"/>
      <c r="BI1164" s="2" t="n">
        <v>5</v>
      </c>
      <c r="BJ1164" s="2" t="s">
        <v>363</v>
      </c>
      <c r="BK1164" s="2" t="s">
        <v>100</v>
      </c>
      <c r="BL1164" s="2" t="s">
        <v>364</v>
      </c>
      <c r="BM1164" s="2" t="s">
        <v>20479</v>
      </c>
      <c r="BN1164" s="2" t="n">
        <v>18825480</v>
      </c>
      <c r="BO1164" s="2"/>
      <c r="BP1164" s="2"/>
      <c r="BQ1164" s="2"/>
      <c r="BR1164" s="2" t="s">
        <v>104</v>
      </c>
      <c r="BS1164" s="2" t="s">
        <v>20480</v>
      </c>
      <c r="BT1164" s="2" t="str">
        <f aca="false">HYPERLINK("https%3A%2F%2Fwww.webofscience.com%2Fwos%2Fwoscc%2Ffull-record%2FWOS:000264318600010","View Full Record in Web of Science")</f>
        <v>View Full Record in Web of Science</v>
      </c>
    </row>
    <row r="1165" customFormat="false" ht="12.75" hidden="false" customHeight="false" outlineLevel="0" collapsed="false">
      <c r="A1165" s="2" t="s">
        <v>72</v>
      </c>
      <c r="B1165" s="2" t="s">
        <v>20481</v>
      </c>
      <c r="C1165" s="2"/>
      <c r="D1165" s="2"/>
      <c r="E1165" s="2"/>
      <c r="F1165" s="2" t="s">
        <v>20482</v>
      </c>
      <c r="G1165" s="2"/>
      <c r="H1165" s="2"/>
      <c r="I1165" s="2" t="s">
        <v>20483</v>
      </c>
      <c r="J1165" s="2" t="s">
        <v>5616</v>
      </c>
      <c r="K1165" s="2"/>
      <c r="L1165" s="2"/>
      <c r="M1165" s="2" t="s">
        <v>77</v>
      </c>
      <c r="N1165" s="2" t="s">
        <v>78</v>
      </c>
      <c r="O1165" s="2"/>
      <c r="P1165" s="2"/>
      <c r="Q1165" s="2"/>
      <c r="R1165" s="2"/>
      <c r="S1165" s="2"/>
      <c r="T1165" s="2" t="s">
        <v>20484</v>
      </c>
      <c r="U1165" s="2" t="s">
        <v>20485</v>
      </c>
      <c r="V1165" s="2" t="s">
        <v>20486</v>
      </c>
      <c r="W1165" s="2" t="s">
        <v>20487</v>
      </c>
      <c r="X1165" s="2" t="s">
        <v>20488</v>
      </c>
      <c r="Y1165" s="2" t="s">
        <v>20489</v>
      </c>
      <c r="Z1165" s="2" t="s">
        <v>20490</v>
      </c>
      <c r="AA1165" s="2" t="s">
        <v>20491</v>
      </c>
      <c r="AB1165" s="2"/>
      <c r="AC1165" s="2" t="s">
        <v>20492</v>
      </c>
      <c r="AD1165" s="2" t="s">
        <v>20493</v>
      </c>
      <c r="AE1165" s="2" t="s">
        <v>20494</v>
      </c>
      <c r="AF1165" s="2"/>
      <c r="AG1165" s="2" t="n">
        <v>32</v>
      </c>
      <c r="AH1165" s="2" t="n">
        <v>0</v>
      </c>
      <c r="AI1165" s="2" t="n">
        <v>0</v>
      </c>
      <c r="AJ1165" s="2" t="n">
        <v>8</v>
      </c>
      <c r="AK1165" s="2" t="n">
        <v>8</v>
      </c>
      <c r="AL1165" s="2" t="s">
        <v>3584</v>
      </c>
      <c r="AM1165" s="2" t="s">
        <v>303</v>
      </c>
      <c r="AN1165" s="2" t="s">
        <v>3585</v>
      </c>
      <c r="AO1165" s="2" t="s">
        <v>5626</v>
      </c>
      <c r="AP1165" s="2" t="s">
        <v>5627</v>
      </c>
      <c r="AQ1165" s="2"/>
      <c r="AR1165" s="2" t="s">
        <v>5628</v>
      </c>
      <c r="AS1165" s="2" t="s">
        <v>5629</v>
      </c>
      <c r="AT1165" s="2" t="s">
        <v>129</v>
      </c>
      <c r="AU1165" s="2" t="n">
        <v>2024</v>
      </c>
      <c r="AV1165" s="2" t="n">
        <v>231</v>
      </c>
      <c r="AW1165" s="2"/>
      <c r="AX1165" s="2"/>
      <c r="AY1165" s="2"/>
      <c r="AZ1165" s="2"/>
      <c r="BA1165" s="2"/>
      <c r="BB1165" s="2"/>
      <c r="BC1165" s="2"/>
      <c r="BD1165" s="2" t="n">
        <v>107692</v>
      </c>
      <c r="BE1165" s="2" t="s">
        <v>20495</v>
      </c>
      <c r="BF1165" s="2" t="str">
        <f aca="false">HYPERLINK("http://dx.doi.org/10.1016/j.rmed.2024.107692","http://dx.doi.org/10.1016/j.rmed.2024.107692")</f>
        <v>http://dx.doi.org/10.1016/j.rmed.2024.107692</v>
      </c>
      <c r="BG1165" s="2"/>
      <c r="BH1165" s="2" t="s">
        <v>20496</v>
      </c>
      <c r="BI1165" s="2" t="n">
        <v>8</v>
      </c>
      <c r="BJ1165" s="2" t="s">
        <v>5632</v>
      </c>
      <c r="BK1165" s="2" t="s">
        <v>100</v>
      </c>
      <c r="BL1165" s="2" t="s">
        <v>5633</v>
      </c>
      <c r="BM1165" s="2" t="s">
        <v>20497</v>
      </c>
      <c r="BN1165" s="2" t="n">
        <v>38852923</v>
      </c>
      <c r="BO1165" s="2"/>
      <c r="BP1165" s="2"/>
      <c r="BQ1165" s="2"/>
      <c r="BR1165" s="2" t="s">
        <v>104</v>
      </c>
      <c r="BS1165" s="2" t="s">
        <v>20498</v>
      </c>
      <c r="BT1165" s="2" t="str">
        <f aca="false">HYPERLINK("https%3A%2F%2Fwww.webofscience.com%2Fwos%2Fwoscc%2Ffull-record%2FWOS:001256185600001","View Full Record in Web of Science")</f>
        <v>View Full Record in Web of Science</v>
      </c>
    </row>
    <row r="1166" customFormat="false" ht="12.75" hidden="false" customHeight="false" outlineLevel="0" collapsed="false">
      <c r="A1166" s="2" t="s">
        <v>72</v>
      </c>
      <c r="B1166" s="2" t="s">
        <v>20499</v>
      </c>
      <c r="C1166" s="2"/>
      <c r="D1166" s="2"/>
      <c r="E1166" s="2"/>
      <c r="F1166" s="2" t="s">
        <v>20500</v>
      </c>
      <c r="G1166" s="2"/>
      <c r="H1166" s="2"/>
      <c r="I1166" s="2" t="s">
        <v>20501</v>
      </c>
      <c r="J1166" s="2" t="s">
        <v>20502</v>
      </c>
      <c r="K1166" s="2"/>
      <c r="L1166" s="2"/>
      <c r="M1166" s="2" t="s">
        <v>77</v>
      </c>
      <c r="N1166" s="2" t="s">
        <v>78</v>
      </c>
      <c r="O1166" s="2"/>
      <c r="P1166" s="2"/>
      <c r="Q1166" s="2"/>
      <c r="R1166" s="2"/>
      <c r="S1166" s="2"/>
      <c r="T1166" s="2" t="s">
        <v>20503</v>
      </c>
      <c r="U1166" s="2" t="s">
        <v>20504</v>
      </c>
      <c r="V1166" s="2" t="s">
        <v>20505</v>
      </c>
      <c r="W1166" s="2" t="s">
        <v>20506</v>
      </c>
      <c r="X1166" s="2" t="s">
        <v>20507</v>
      </c>
      <c r="Y1166" s="2" t="s">
        <v>20508</v>
      </c>
      <c r="Z1166" s="2" t="s">
        <v>20509</v>
      </c>
      <c r="AA1166" s="2" t="s">
        <v>20510</v>
      </c>
      <c r="AB1166" s="2" t="s">
        <v>20511</v>
      </c>
      <c r="AC1166" s="2"/>
      <c r="AD1166" s="2"/>
      <c r="AE1166" s="2"/>
      <c r="AF1166" s="2"/>
      <c r="AG1166" s="2" t="n">
        <v>22</v>
      </c>
      <c r="AH1166" s="2" t="n">
        <v>1</v>
      </c>
      <c r="AI1166" s="2" t="n">
        <v>1</v>
      </c>
      <c r="AJ1166" s="2" t="n">
        <v>0</v>
      </c>
      <c r="AK1166" s="2" t="n">
        <v>2</v>
      </c>
      <c r="AL1166" s="2" t="s">
        <v>20512</v>
      </c>
      <c r="AM1166" s="2" t="s">
        <v>20513</v>
      </c>
      <c r="AN1166" s="2" t="s">
        <v>20514</v>
      </c>
      <c r="AO1166" s="2" t="s">
        <v>20515</v>
      </c>
      <c r="AP1166" s="2" t="s">
        <v>20516</v>
      </c>
      <c r="AQ1166" s="2"/>
      <c r="AR1166" s="2" t="s">
        <v>20502</v>
      </c>
      <c r="AS1166" s="2" t="s">
        <v>20517</v>
      </c>
      <c r="AT1166" s="2"/>
      <c r="AU1166" s="2" t="n">
        <v>2012</v>
      </c>
      <c r="AV1166" s="2" t="n">
        <v>6</v>
      </c>
      <c r="AW1166" s="2" t="n">
        <v>2</v>
      </c>
      <c r="AX1166" s="2"/>
      <c r="AY1166" s="2"/>
      <c r="AZ1166" s="2"/>
      <c r="BA1166" s="2"/>
      <c r="BB1166" s="2" t="n">
        <v>360</v>
      </c>
      <c r="BC1166" s="2" t="n">
        <v>367</v>
      </c>
      <c r="BD1166" s="2"/>
      <c r="BE1166" s="2"/>
      <c r="BF1166" s="2"/>
      <c r="BG1166" s="2"/>
      <c r="BH1166" s="2"/>
      <c r="BI1166" s="2" t="n">
        <v>8</v>
      </c>
      <c r="BJ1166" s="2" t="s">
        <v>363</v>
      </c>
      <c r="BK1166" s="2" t="s">
        <v>100</v>
      </c>
      <c r="BL1166" s="2" t="s">
        <v>364</v>
      </c>
      <c r="BM1166" s="2" t="s">
        <v>20518</v>
      </c>
      <c r="BN1166" s="2"/>
      <c r="BO1166" s="2"/>
      <c r="BP1166" s="2"/>
      <c r="BQ1166" s="2"/>
      <c r="BR1166" s="2" t="s">
        <v>104</v>
      </c>
      <c r="BS1166" s="2" t="s">
        <v>20519</v>
      </c>
      <c r="BT1166" s="2" t="str">
        <f aca="false">HYPERLINK("https%3A%2F%2Fwww.webofscience.com%2Fwos%2Fwoscc%2Ffull-record%2FWOS:000301754800004","View Full Record in Web of Science")</f>
        <v>View Full Record in Web of Science</v>
      </c>
    </row>
    <row r="1167" customFormat="false" ht="12.75" hidden="false" customHeight="false" outlineLevel="0" collapsed="false">
      <c r="A1167" s="2" t="s">
        <v>72</v>
      </c>
      <c r="B1167" s="2" t="s">
        <v>20520</v>
      </c>
      <c r="C1167" s="2"/>
      <c r="D1167" s="2"/>
      <c r="E1167" s="2"/>
      <c r="F1167" s="2" t="s">
        <v>20521</v>
      </c>
      <c r="G1167" s="2"/>
      <c r="H1167" s="2"/>
      <c r="I1167" s="2" t="s">
        <v>20522</v>
      </c>
      <c r="J1167" s="2" t="s">
        <v>20523</v>
      </c>
      <c r="K1167" s="2"/>
      <c r="L1167" s="2"/>
      <c r="M1167" s="2" t="s">
        <v>77</v>
      </c>
      <c r="N1167" s="2" t="s">
        <v>78</v>
      </c>
      <c r="O1167" s="2"/>
      <c r="P1167" s="2"/>
      <c r="Q1167" s="2"/>
      <c r="R1167" s="2"/>
      <c r="S1167" s="2"/>
      <c r="T1167" s="2" t="s">
        <v>20524</v>
      </c>
      <c r="U1167" s="2" t="s">
        <v>20525</v>
      </c>
      <c r="V1167" s="2" t="s">
        <v>20526</v>
      </c>
      <c r="W1167" s="2" t="s">
        <v>20527</v>
      </c>
      <c r="X1167" s="2" t="s">
        <v>20528</v>
      </c>
      <c r="Y1167" s="2" t="s">
        <v>20529</v>
      </c>
      <c r="Z1167" s="2" t="s">
        <v>1643</v>
      </c>
      <c r="AA1167" s="2" t="s">
        <v>20530</v>
      </c>
      <c r="AB1167" s="2" t="s">
        <v>20531</v>
      </c>
      <c r="AC1167" s="2" t="s">
        <v>20532</v>
      </c>
      <c r="AD1167" s="2" t="s">
        <v>20533</v>
      </c>
      <c r="AE1167" s="2" t="s">
        <v>20534</v>
      </c>
      <c r="AF1167" s="2"/>
      <c r="AG1167" s="2" t="n">
        <v>44</v>
      </c>
      <c r="AH1167" s="2" t="n">
        <v>31</v>
      </c>
      <c r="AI1167" s="2" t="n">
        <v>36</v>
      </c>
      <c r="AJ1167" s="2" t="n">
        <v>0</v>
      </c>
      <c r="AK1167" s="2" t="n">
        <v>10</v>
      </c>
      <c r="AL1167" s="2" t="s">
        <v>154</v>
      </c>
      <c r="AM1167" s="2" t="s">
        <v>155</v>
      </c>
      <c r="AN1167" s="2" t="s">
        <v>156</v>
      </c>
      <c r="AO1167" s="2" t="s">
        <v>20535</v>
      </c>
      <c r="AP1167" s="2" t="s">
        <v>20536</v>
      </c>
      <c r="AQ1167" s="2"/>
      <c r="AR1167" s="2" t="s">
        <v>20523</v>
      </c>
      <c r="AS1167" s="2" t="s">
        <v>628</v>
      </c>
      <c r="AT1167" s="2" t="s">
        <v>599</v>
      </c>
      <c r="AU1167" s="2" t="n">
        <v>2013</v>
      </c>
      <c r="AV1167" s="2" t="n">
        <v>139</v>
      </c>
      <c r="AW1167" s="2" t="n">
        <v>3</v>
      </c>
      <c r="AX1167" s="2"/>
      <c r="AY1167" s="2"/>
      <c r="AZ1167" s="2"/>
      <c r="BA1167" s="2"/>
      <c r="BB1167" s="2" t="n">
        <v>366</v>
      </c>
      <c r="BC1167" s="2" t="n">
        <v>376</v>
      </c>
      <c r="BD1167" s="2"/>
      <c r="BE1167" s="2" t="s">
        <v>20537</v>
      </c>
      <c r="BF1167" s="2" t="str">
        <f aca="false">HYPERLINK("http://dx.doi.org/10.1111/imm.12083","http://dx.doi.org/10.1111/imm.12083")</f>
        <v>http://dx.doi.org/10.1111/imm.12083</v>
      </c>
      <c r="BG1167" s="2"/>
      <c r="BH1167" s="2"/>
      <c r="BI1167" s="2" t="n">
        <v>11</v>
      </c>
      <c r="BJ1167" s="2" t="s">
        <v>628</v>
      </c>
      <c r="BK1167" s="2" t="s">
        <v>100</v>
      </c>
      <c r="BL1167" s="2" t="s">
        <v>628</v>
      </c>
      <c r="BM1167" s="2" t="s">
        <v>20538</v>
      </c>
      <c r="BN1167" s="2" t="n">
        <v>23374037</v>
      </c>
      <c r="BO1167" s="2" t="s">
        <v>165</v>
      </c>
      <c r="BP1167" s="2"/>
      <c r="BQ1167" s="2"/>
      <c r="BR1167" s="2" t="s">
        <v>104</v>
      </c>
      <c r="BS1167" s="2" t="s">
        <v>20539</v>
      </c>
      <c r="BT1167" s="2" t="str">
        <f aca="false">HYPERLINK("https%3A%2F%2Fwww.webofscience.com%2Fwos%2Fwoscc%2Ffull-record%2FWOS:000320392500012","View Full Record in Web of Science")</f>
        <v>View Full Record in Web of Science</v>
      </c>
    </row>
    <row r="1168" customFormat="false" ht="12.75" hidden="false" customHeight="false" outlineLevel="0" collapsed="false">
      <c r="A1168" s="2" t="s">
        <v>72</v>
      </c>
      <c r="B1168" s="2" t="s">
        <v>20540</v>
      </c>
      <c r="C1168" s="2"/>
      <c r="D1168" s="2"/>
      <c r="E1168" s="2"/>
      <c r="F1168" s="2" t="s">
        <v>20541</v>
      </c>
      <c r="G1168" s="2"/>
      <c r="H1168" s="2"/>
      <c r="I1168" s="2" t="s">
        <v>20542</v>
      </c>
      <c r="J1168" s="2" t="s">
        <v>18035</v>
      </c>
      <c r="K1168" s="2"/>
      <c r="L1168" s="2"/>
      <c r="M1168" s="2" t="s">
        <v>77</v>
      </c>
      <c r="N1168" s="2" t="s">
        <v>78</v>
      </c>
      <c r="O1168" s="2"/>
      <c r="P1168" s="2"/>
      <c r="Q1168" s="2"/>
      <c r="R1168" s="2"/>
      <c r="S1168" s="2"/>
      <c r="T1168" s="2" t="s">
        <v>20543</v>
      </c>
      <c r="U1168" s="2" t="s">
        <v>20544</v>
      </c>
      <c r="V1168" s="2" t="s">
        <v>20545</v>
      </c>
      <c r="W1168" s="2" t="s">
        <v>20546</v>
      </c>
      <c r="X1168" s="2" t="s">
        <v>20547</v>
      </c>
      <c r="Y1168" s="2" t="s">
        <v>20548</v>
      </c>
      <c r="Z1168" s="2" t="s">
        <v>20549</v>
      </c>
      <c r="AA1168" s="2" t="s">
        <v>20550</v>
      </c>
      <c r="AB1168" s="2"/>
      <c r="AC1168" s="2" t="s">
        <v>20551</v>
      </c>
      <c r="AD1168" s="2" t="s">
        <v>20551</v>
      </c>
      <c r="AE1168" s="2" t="s">
        <v>20551</v>
      </c>
      <c r="AF1168" s="2"/>
      <c r="AG1168" s="2" t="n">
        <v>28</v>
      </c>
      <c r="AH1168" s="2" t="n">
        <v>4</v>
      </c>
      <c r="AI1168" s="2" t="n">
        <v>5</v>
      </c>
      <c r="AJ1168" s="2" t="n">
        <v>2</v>
      </c>
      <c r="AK1168" s="2" t="n">
        <v>17</v>
      </c>
      <c r="AL1168" s="2" t="s">
        <v>154</v>
      </c>
      <c r="AM1168" s="2" t="s">
        <v>155</v>
      </c>
      <c r="AN1168" s="2" t="s">
        <v>156</v>
      </c>
      <c r="AO1168" s="2" t="s">
        <v>18044</v>
      </c>
      <c r="AP1168" s="2" t="s">
        <v>18045</v>
      </c>
      <c r="AQ1168" s="2"/>
      <c r="AR1168" s="2" t="s">
        <v>18046</v>
      </c>
      <c r="AS1168" s="2" t="s">
        <v>18047</v>
      </c>
      <c r="AT1168" s="2" t="s">
        <v>390</v>
      </c>
      <c r="AU1168" s="2" t="n">
        <v>2022</v>
      </c>
      <c r="AV1168" s="2" t="n">
        <v>84</v>
      </c>
      <c r="AW1168" s="2" t="s">
        <v>20552</v>
      </c>
      <c r="AX1168" s="2"/>
      <c r="AY1168" s="2"/>
      <c r="AZ1168" s="2" t="s">
        <v>1627</v>
      </c>
      <c r="BA1168" s="2"/>
      <c r="BB1168" s="2"/>
      <c r="BC1168" s="2"/>
      <c r="BD1168" s="2" t="s">
        <v>20553</v>
      </c>
      <c r="BE1168" s="2" t="s">
        <v>20554</v>
      </c>
      <c r="BF1168" s="2" t="str">
        <f aca="false">HYPERLINK("http://dx.doi.org/10.1002/ajp.23291","http://dx.doi.org/10.1002/ajp.23291")</f>
        <v>http://dx.doi.org/10.1002/ajp.23291</v>
      </c>
      <c r="BG1168" s="2"/>
      <c r="BH1168" s="2" t="s">
        <v>11148</v>
      </c>
      <c r="BI1168" s="2" t="n">
        <v>8</v>
      </c>
      <c r="BJ1168" s="2" t="s">
        <v>18050</v>
      </c>
      <c r="BK1168" s="2" t="s">
        <v>100</v>
      </c>
      <c r="BL1168" s="2" t="s">
        <v>18050</v>
      </c>
      <c r="BM1168" s="2" t="s">
        <v>20555</v>
      </c>
      <c r="BN1168" s="2" t="n">
        <v>34110030</v>
      </c>
      <c r="BO1168" s="2"/>
      <c r="BP1168" s="2"/>
      <c r="BQ1168" s="2"/>
      <c r="BR1168" s="2" t="s">
        <v>104</v>
      </c>
      <c r="BS1168" s="2" t="s">
        <v>20556</v>
      </c>
      <c r="BT1168" s="2" t="str">
        <f aca="false">HYPERLINK("https%3A%2F%2Fwww.webofscience.com%2Fwos%2Fwoscc%2Ffull-record%2FWOS:000659514600001","View Full Record in Web of Science")</f>
        <v>View Full Record in Web of Science</v>
      </c>
    </row>
    <row r="1169" customFormat="false" ht="12.75" hidden="false" customHeight="false" outlineLevel="0" collapsed="false">
      <c r="A1169" s="2" t="s">
        <v>72</v>
      </c>
      <c r="B1169" s="2" t="s">
        <v>20557</v>
      </c>
      <c r="C1169" s="2"/>
      <c r="D1169" s="2"/>
      <c r="E1169" s="2"/>
      <c r="F1169" s="2" t="s">
        <v>20558</v>
      </c>
      <c r="G1169" s="2"/>
      <c r="H1169" s="2"/>
      <c r="I1169" s="2" t="s">
        <v>20559</v>
      </c>
      <c r="J1169" s="2" t="s">
        <v>8293</v>
      </c>
      <c r="K1169" s="2"/>
      <c r="L1169" s="2"/>
      <c r="M1169" s="2" t="s">
        <v>77</v>
      </c>
      <c r="N1169" s="2" t="s">
        <v>78</v>
      </c>
      <c r="O1169" s="2"/>
      <c r="P1169" s="2"/>
      <c r="Q1169" s="2"/>
      <c r="R1169" s="2"/>
      <c r="S1169" s="2"/>
      <c r="T1169" s="2" t="s">
        <v>20560</v>
      </c>
      <c r="U1169" s="2" t="s">
        <v>20561</v>
      </c>
      <c r="V1169" s="2" t="s">
        <v>20562</v>
      </c>
      <c r="W1169" s="2" t="s">
        <v>20563</v>
      </c>
      <c r="X1169" s="2" t="s">
        <v>20564</v>
      </c>
      <c r="Y1169" s="2" t="s">
        <v>20565</v>
      </c>
      <c r="Z1169" s="2" t="s">
        <v>20566</v>
      </c>
      <c r="AA1169" s="2" t="s">
        <v>20567</v>
      </c>
      <c r="AB1169" s="2" t="s">
        <v>20568</v>
      </c>
      <c r="AC1169" s="2"/>
      <c r="AD1169" s="2"/>
      <c r="AE1169" s="2"/>
      <c r="AF1169" s="2"/>
      <c r="AG1169" s="2" t="n">
        <v>16</v>
      </c>
      <c r="AH1169" s="2" t="n">
        <v>2</v>
      </c>
      <c r="AI1169" s="2" t="n">
        <v>2</v>
      </c>
      <c r="AJ1169" s="2" t="n">
        <v>0</v>
      </c>
      <c r="AK1169" s="2" t="n">
        <v>1</v>
      </c>
      <c r="AL1169" s="2" t="s">
        <v>6833</v>
      </c>
      <c r="AM1169" s="2" t="s">
        <v>1705</v>
      </c>
      <c r="AN1169" s="2" t="s">
        <v>6856</v>
      </c>
      <c r="AO1169" s="2" t="s">
        <v>8303</v>
      </c>
      <c r="AP1169" s="2" t="s">
        <v>8304</v>
      </c>
      <c r="AQ1169" s="2"/>
      <c r="AR1169" s="2" t="s">
        <v>8305</v>
      </c>
      <c r="AS1169" s="2" t="s">
        <v>8306</v>
      </c>
      <c r="AT1169" s="2" t="s">
        <v>486</v>
      </c>
      <c r="AU1169" s="2" t="n">
        <v>2020</v>
      </c>
      <c r="AV1169" s="2" t="n">
        <v>30</v>
      </c>
      <c r="AW1169" s="2" t="n">
        <v>6</v>
      </c>
      <c r="AX1169" s="2"/>
      <c r="AY1169" s="2"/>
      <c r="AZ1169" s="2"/>
      <c r="BA1169" s="2"/>
      <c r="BB1169" s="2" t="n">
        <v>818</v>
      </c>
      <c r="BC1169" s="2" t="n">
        <v>821</v>
      </c>
      <c r="BD1169" s="2" t="s">
        <v>20569</v>
      </c>
      <c r="BE1169" s="2" t="s">
        <v>20570</v>
      </c>
      <c r="BF1169" s="2" t="str">
        <f aca="false">HYPERLINK("http://dx.doi.org/10.1017/S1047951120001092","http://dx.doi.org/10.1017/S1047951120001092")</f>
        <v>http://dx.doi.org/10.1017/S1047951120001092</v>
      </c>
      <c r="BG1169" s="2"/>
      <c r="BH1169" s="2"/>
      <c r="BI1169" s="2" t="n">
        <v>4</v>
      </c>
      <c r="BJ1169" s="2" t="s">
        <v>8308</v>
      </c>
      <c r="BK1169" s="2" t="s">
        <v>100</v>
      </c>
      <c r="BL1169" s="2" t="s">
        <v>8309</v>
      </c>
      <c r="BM1169" s="2" t="s">
        <v>20571</v>
      </c>
      <c r="BN1169" s="2" t="n">
        <v>32425145</v>
      </c>
      <c r="BO1169" s="2"/>
      <c r="BP1169" s="2"/>
      <c r="BQ1169" s="2"/>
      <c r="BR1169" s="2" t="s">
        <v>104</v>
      </c>
      <c r="BS1169" s="2" t="s">
        <v>20572</v>
      </c>
      <c r="BT1169" s="2" t="str">
        <f aca="false">HYPERLINK("https%3A%2F%2Fwww.webofscience.com%2Fwos%2Fwoscc%2Ffull-record%2FWOS:000562457600010","View Full Record in Web of Science")</f>
        <v>View Full Record in Web of Science</v>
      </c>
    </row>
    <row r="1170" customFormat="false" ht="12.75" hidden="false" customHeight="false" outlineLevel="0" collapsed="false">
      <c r="A1170" s="2" t="s">
        <v>72</v>
      </c>
      <c r="B1170" s="2" t="s">
        <v>20573</v>
      </c>
      <c r="C1170" s="2"/>
      <c r="D1170" s="2"/>
      <c r="E1170" s="2"/>
      <c r="F1170" s="2" t="s">
        <v>20574</v>
      </c>
      <c r="G1170" s="2"/>
      <c r="H1170" s="2"/>
      <c r="I1170" s="2" t="s">
        <v>20575</v>
      </c>
      <c r="J1170" s="2" t="s">
        <v>141</v>
      </c>
      <c r="K1170" s="2"/>
      <c r="L1170" s="2"/>
      <c r="M1170" s="2" t="s">
        <v>77</v>
      </c>
      <c r="N1170" s="2" t="s">
        <v>78</v>
      </c>
      <c r="O1170" s="2"/>
      <c r="P1170" s="2"/>
      <c r="Q1170" s="2"/>
      <c r="R1170" s="2"/>
      <c r="S1170" s="2"/>
      <c r="T1170" s="2" t="s">
        <v>20576</v>
      </c>
      <c r="U1170" s="2" t="s">
        <v>20577</v>
      </c>
      <c r="V1170" s="2" t="s">
        <v>20578</v>
      </c>
      <c r="W1170" s="2" t="s">
        <v>20579</v>
      </c>
      <c r="X1170" s="2" t="s">
        <v>20580</v>
      </c>
      <c r="Y1170" s="2" t="s">
        <v>20581</v>
      </c>
      <c r="Z1170" s="2" t="s">
        <v>20582</v>
      </c>
      <c r="AA1170" s="2" t="s">
        <v>20583</v>
      </c>
      <c r="AB1170" s="2" t="s">
        <v>20584</v>
      </c>
      <c r="AC1170" s="2"/>
      <c r="AD1170" s="2"/>
      <c r="AE1170" s="2"/>
      <c r="AF1170" s="2"/>
      <c r="AG1170" s="2" t="n">
        <v>64</v>
      </c>
      <c r="AH1170" s="2" t="n">
        <v>75</v>
      </c>
      <c r="AI1170" s="2" t="n">
        <v>76</v>
      </c>
      <c r="AJ1170" s="2" t="n">
        <v>0</v>
      </c>
      <c r="AK1170" s="2" t="n">
        <v>9</v>
      </c>
      <c r="AL1170" s="2" t="s">
        <v>154</v>
      </c>
      <c r="AM1170" s="2" t="s">
        <v>155</v>
      </c>
      <c r="AN1170" s="2" t="s">
        <v>156</v>
      </c>
      <c r="AO1170" s="2" t="s">
        <v>157</v>
      </c>
      <c r="AP1170" s="2" t="s">
        <v>158</v>
      </c>
      <c r="AQ1170" s="2"/>
      <c r="AR1170" s="2" t="s">
        <v>159</v>
      </c>
      <c r="AS1170" s="2" t="s">
        <v>160</v>
      </c>
      <c r="AT1170" s="2" t="s">
        <v>804</v>
      </c>
      <c r="AU1170" s="2" t="n">
        <v>2020</v>
      </c>
      <c r="AV1170" s="2" t="n">
        <v>92</v>
      </c>
      <c r="AW1170" s="2" t="n">
        <v>11</v>
      </c>
      <c r="AX1170" s="2"/>
      <c r="AY1170" s="2"/>
      <c r="AZ1170" s="2"/>
      <c r="BA1170" s="2"/>
      <c r="BB1170" s="2" t="n">
        <v>2623</v>
      </c>
      <c r="BC1170" s="2" t="n">
        <v>2630</v>
      </c>
      <c r="BD1170" s="2"/>
      <c r="BE1170" s="2" t="s">
        <v>20585</v>
      </c>
      <c r="BF1170" s="2" t="str">
        <f aca="false">HYPERLINK("http://dx.doi.org/10.1002/jmv.26098","http://dx.doi.org/10.1002/jmv.26098")</f>
        <v>http://dx.doi.org/10.1002/jmv.26098</v>
      </c>
      <c r="BG1170" s="2"/>
      <c r="BH1170" s="2" t="s">
        <v>20403</v>
      </c>
      <c r="BI1170" s="2" t="n">
        <v>8</v>
      </c>
      <c r="BJ1170" s="2" t="s">
        <v>163</v>
      </c>
      <c r="BK1170" s="2" t="s">
        <v>100</v>
      </c>
      <c r="BL1170" s="2" t="s">
        <v>163</v>
      </c>
      <c r="BM1170" s="2" t="s">
        <v>20586</v>
      </c>
      <c r="BN1170" s="2" t="n">
        <v>32557776</v>
      </c>
      <c r="BO1170" s="2" t="s">
        <v>165</v>
      </c>
      <c r="BP1170" s="2"/>
      <c r="BQ1170" s="2"/>
      <c r="BR1170" s="2" t="s">
        <v>104</v>
      </c>
      <c r="BS1170" s="2" t="s">
        <v>20587</v>
      </c>
      <c r="BT1170" s="2" t="str">
        <f aca="false">HYPERLINK("https%3A%2F%2Fwww.webofscience.com%2Fwos%2Fwoscc%2Ffull-record%2FWOS:000541083100001","View Full Record in Web of Science")</f>
        <v>View Full Record in Web of Science</v>
      </c>
    </row>
    <row r="1171" customFormat="false" ht="12.75" hidden="false" customHeight="false" outlineLevel="0" collapsed="false">
      <c r="A1171" s="2" t="s">
        <v>72</v>
      </c>
      <c r="B1171" s="2" t="s">
        <v>20588</v>
      </c>
      <c r="C1171" s="2"/>
      <c r="D1171" s="2"/>
      <c r="E1171" s="2"/>
      <c r="F1171" s="2" t="s">
        <v>20588</v>
      </c>
      <c r="G1171" s="2"/>
      <c r="H1171" s="2"/>
      <c r="I1171" s="2" t="s">
        <v>20589</v>
      </c>
      <c r="J1171" s="2" t="s">
        <v>20590</v>
      </c>
      <c r="K1171" s="2"/>
      <c r="L1171" s="2"/>
      <c r="M1171" s="2" t="s">
        <v>77</v>
      </c>
      <c r="N1171" s="2" t="s">
        <v>78</v>
      </c>
      <c r="O1171" s="2"/>
      <c r="P1171" s="2"/>
      <c r="Q1171" s="2"/>
      <c r="R1171" s="2"/>
      <c r="S1171" s="2"/>
      <c r="T1171" s="2" t="s">
        <v>20591</v>
      </c>
      <c r="U1171" s="2" t="s">
        <v>20592</v>
      </c>
      <c r="V1171" s="2" t="s">
        <v>20593</v>
      </c>
      <c r="W1171" s="2" t="s">
        <v>20594</v>
      </c>
      <c r="X1171" s="2" t="s">
        <v>20595</v>
      </c>
      <c r="Y1171" s="2" t="s">
        <v>20596</v>
      </c>
      <c r="Z1171" s="2" t="s">
        <v>20597</v>
      </c>
      <c r="AA1171" s="2"/>
      <c r="AB1171" s="2" t="s">
        <v>20598</v>
      </c>
      <c r="AC1171" s="2"/>
      <c r="AD1171" s="2"/>
      <c r="AE1171" s="2"/>
      <c r="AF1171" s="2"/>
      <c r="AG1171" s="2" t="n">
        <v>13</v>
      </c>
      <c r="AH1171" s="2" t="n">
        <v>28</v>
      </c>
      <c r="AI1171" s="2" t="n">
        <v>31</v>
      </c>
      <c r="AJ1171" s="2" t="n">
        <v>0</v>
      </c>
      <c r="AK1171" s="2" t="n">
        <v>10</v>
      </c>
      <c r="AL1171" s="2" t="s">
        <v>122</v>
      </c>
      <c r="AM1171" s="2" t="s">
        <v>123</v>
      </c>
      <c r="AN1171" s="2" t="s">
        <v>124</v>
      </c>
      <c r="AO1171" s="2" t="s">
        <v>20599</v>
      </c>
      <c r="AP1171" s="2" t="s">
        <v>20600</v>
      </c>
      <c r="AQ1171" s="2"/>
      <c r="AR1171" s="2" t="s">
        <v>20601</v>
      </c>
      <c r="AS1171" s="2" t="s">
        <v>20602</v>
      </c>
      <c r="AT1171" s="2" t="s">
        <v>2770</v>
      </c>
      <c r="AU1171" s="2" t="n">
        <v>2005</v>
      </c>
      <c r="AV1171" s="2" t="n">
        <v>29</v>
      </c>
      <c r="AW1171" s="2" t="n">
        <v>2</v>
      </c>
      <c r="AX1171" s="2"/>
      <c r="AY1171" s="2"/>
      <c r="AZ1171" s="2"/>
      <c r="BA1171" s="2"/>
      <c r="BB1171" s="2" t="n">
        <v>223</v>
      </c>
      <c r="BC1171" s="2" t="n">
        <v>227</v>
      </c>
      <c r="BD1171" s="2"/>
      <c r="BE1171" s="2" t="s">
        <v>20603</v>
      </c>
      <c r="BF1171" s="2" t="str">
        <f aca="false">HYPERLINK("http://dx.doi.org/10.1097/01.rct.0000157087.14838.4c","http://dx.doi.org/10.1097/01.rct.0000157087.14838.4c")</f>
        <v>http://dx.doi.org/10.1097/01.rct.0000157087.14838.4c</v>
      </c>
      <c r="BG1171" s="2"/>
      <c r="BH1171" s="2"/>
      <c r="BI1171" s="2" t="n">
        <v>5</v>
      </c>
      <c r="BJ1171" s="2" t="s">
        <v>16579</v>
      </c>
      <c r="BK1171" s="2" t="s">
        <v>100</v>
      </c>
      <c r="BL1171" s="2" t="s">
        <v>16579</v>
      </c>
      <c r="BM1171" s="2" t="s">
        <v>20604</v>
      </c>
      <c r="BN1171" s="2" t="n">
        <v>15772541</v>
      </c>
      <c r="BO1171" s="2"/>
      <c r="BP1171" s="2"/>
      <c r="BQ1171" s="2"/>
      <c r="BR1171" s="2" t="s">
        <v>104</v>
      </c>
      <c r="BS1171" s="2" t="s">
        <v>20605</v>
      </c>
      <c r="BT1171" s="2" t="str">
        <f aca="false">HYPERLINK("https%3A%2F%2Fwww.webofscience.com%2Fwos%2Fwoscc%2Ffull-record%2FWOS:000228030400013","View Full Record in Web of Science")</f>
        <v>View Full Record in Web of Science</v>
      </c>
    </row>
    <row r="1172" customFormat="false" ht="12.75" hidden="false" customHeight="false" outlineLevel="0" collapsed="false">
      <c r="A1172" s="2" t="s">
        <v>72</v>
      </c>
      <c r="B1172" s="2" t="s">
        <v>20606</v>
      </c>
      <c r="C1172" s="2"/>
      <c r="D1172" s="2"/>
      <c r="E1172" s="2"/>
      <c r="F1172" s="2" t="s">
        <v>20607</v>
      </c>
      <c r="G1172" s="2"/>
      <c r="H1172" s="2"/>
      <c r="I1172" s="2" t="s">
        <v>20608</v>
      </c>
      <c r="J1172" s="2" t="s">
        <v>8394</v>
      </c>
      <c r="K1172" s="2"/>
      <c r="L1172" s="2"/>
      <c r="M1172" s="2" t="s">
        <v>77</v>
      </c>
      <c r="N1172" s="2" t="s">
        <v>78</v>
      </c>
      <c r="O1172" s="2"/>
      <c r="P1172" s="2"/>
      <c r="Q1172" s="2"/>
      <c r="R1172" s="2"/>
      <c r="S1172" s="2"/>
      <c r="T1172" s="2" t="s">
        <v>20609</v>
      </c>
      <c r="U1172" s="2" t="s">
        <v>20610</v>
      </c>
      <c r="V1172" s="2" t="s">
        <v>20611</v>
      </c>
      <c r="W1172" s="2" t="s">
        <v>20612</v>
      </c>
      <c r="X1172" s="2" t="s">
        <v>20613</v>
      </c>
      <c r="Y1172" s="2" t="s">
        <v>20614</v>
      </c>
      <c r="Z1172" s="2" t="s">
        <v>10566</v>
      </c>
      <c r="AA1172" s="2" t="s">
        <v>20615</v>
      </c>
      <c r="AB1172" s="2"/>
      <c r="AC1172" s="2" t="s">
        <v>20616</v>
      </c>
      <c r="AD1172" s="2" t="s">
        <v>20617</v>
      </c>
      <c r="AE1172" s="2" t="s">
        <v>20618</v>
      </c>
      <c r="AF1172" s="2"/>
      <c r="AG1172" s="2" t="n">
        <v>55</v>
      </c>
      <c r="AH1172" s="2" t="n">
        <v>31</v>
      </c>
      <c r="AI1172" s="2" t="n">
        <v>34</v>
      </c>
      <c r="AJ1172" s="2" t="n">
        <v>1</v>
      </c>
      <c r="AK1172" s="2" t="n">
        <v>4</v>
      </c>
      <c r="AL1172" s="2" t="s">
        <v>7639</v>
      </c>
      <c r="AM1172" s="2" t="s">
        <v>783</v>
      </c>
      <c r="AN1172" s="2" t="s">
        <v>7640</v>
      </c>
      <c r="AO1172" s="2" t="s">
        <v>8402</v>
      </c>
      <c r="AP1172" s="2" t="s">
        <v>8403</v>
      </c>
      <c r="AQ1172" s="2"/>
      <c r="AR1172" s="2" t="s">
        <v>8404</v>
      </c>
      <c r="AS1172" s="2" t="s">
        <v>8405</v>
      </c>
      <c r="AT1172" s="2" t="s">
        <v>129</v>
      </c>
      <c r="AU1172" s="2" t="n">
        <v>2016</v>
      </c>
      <c r="AV1172" s="2" t="n">
        <v>5</v>
      </c>
      <c r="AW1172" s="2" t="n">
        <v>3</v>
      </c>
      <c r="AX1172" s="2"/>
      <c r="AY1172" s="2"/>
      <c r="AZ1172" s="2"/>
      <c r="BA1172" s="2"/>
      <c r="BB1172" s="2" t="n">
        <v>303</v>
      </c>
      <c r="BC1172" s="2" t="n">
        <v>311</v>
      </c>
      <c r="BD1172" s="2"/>
      <c r="BE1172" s="2" t="s">
        <v>20619</v>
      </c>
      <c r="BF1172" s="2" t="str">
        <f aca="false">HYPERLINK("http://dx.doi.org/10.1093/jpids/piv027","http://dx.doi.org/10.1093/jpids/piv027")</f>
        <v>http://dx.doi.org/10.1093/jpids/piv027</v>
      </c>
      <c r="BG1172" s="2"/>
      <c r="BH1172" s="2"/>
      <c r="BI1172" s="2" t="n">
        <v>9</v>
      </c>
      <c r="BJ1172" s="2" t="s">
        <v>417</v>
      </c>
      <c r="BK1172" s="2" t="s">
        <v>100</v>
      </c>
      <c r="BL1172" s="2" t="s">
        <v>417</v>
      </c>
      <c r="BM1172" s="2" t="s">
        <v>20620</v>
      </c>
      <c r="BN1172" s="2" t="n">
        <v>26407261</v>
      </c>
      <c r="BO1172" s="2" t="s">
        <v>538</v>
      </c>
      <c r="BP1172" s="2"/>
      <c r="BQ1172" s="2"/>
      <c r="BR1172" s="2" t="s">
        <v>104</v>
      </c>
      <c r="BS1172" s="2" t="s">
        <v>20621</v>
      </c>
      <c r="BT1172" s="2" t="str">
        <f aca="false">HYPERLINK("https%3A%2F%2Fwww.webofscience.com%2Fwos%2Fwoscc%2Ffull-record%2FWOS:000386138100012","View Full Record in Web of Science")</f>
        <v>View Full Record in Web of Science</v>
      </c>
    </row>
    <row r="1173" customFormat="false" ht="12.75" hidden="false" customHeight="false" outlineLevel="0" collapsed="false">
      <c r="A1173" s="2" t="s">
        <v>72</v>
      </c>
      <c r="B1173" s="2" t="s">
        <v>20622</v>
      </c>
      <c r="C1173" s="2"/>
      <c r="D1173" s="2"/>
      <c r="E1173" s="2"/>
      <c r="F1173" s="2" t="s">
        <v>20623</v>
      </c>
      <c r="G1173" s="2"/>
      <c r="H1173" s="2"/>
      <c r="I1173" s="2" t="s">
        <v>20624</v>
      </c>
      <c r="J1173" s="2" t="s">
        <v>370</v>
      </c>
      <c r="K1173" s="2"/>
      <c r="L1173" s="2"/>
      <c r="M1173" s="2" t="s">
        <v>77</v>
      </c>
      <c r="N1173" s="2" t="s">
        <v>78</v>
      </c>
      <c r="O1173" s="2"/>
      <c r="P1173" s="2"/>
      <c r="Q1173" s="2"/>
      <c r="R1173" s="2"/>
      <c r="S1173" s="2"/>
      <c r="T1173" s="2" t="s">
        <v>20625</v>
      </c>
      <c r="U1173" s="2" t="s">
        <v>20626</v>
      </c>
      <c r="V1173" s="2" t="s">
        <v>20627</v>
      </c>
      <c r="W1173" s="2" t="s">
        <v>20628</v>
      </c>
      <c r="X1173" s="2" t="s">
        <v>20629</v>
      </c>
      <c r="Y1173" s="2" t="s">
        <v>20630</v>
      </c>
      <c r="Z1173" s="2" t="s">
        <v>3468</v>
      </c>
      <c r="AA1173" s="2" t="s">
        <v>20631</v>
      </c>
      <c r="AB1173" s="2"/>
      <c r="AC1173" s="2" t="s">
        <v>20632</v>
      </c>
      <c r="AD1173" s="2" t="s">
        <v>2053</v>
      </c>
      <c r="AE1173" s="2" t="s">
        <v>20633</v>
      </c>
      <c r="AF1173" s="2"/>
      <c r="AG1173" s="2" t="n">
        <v>33</v>
      </c>
      <c r="AH1173" s="2" t="n">
        <v>3</v>
      </c>
      <c r="AI1173" s="2" t="n">
        <v>4</v>
      </c>
      <c r="AJ1173" s="2" t="n">
        <v>0</v>
      </c>
      <c r="AK1173" s="2" t="n">
        <v>6</v>
      </c>
      <c r="AL1173" s="2" t="s">
        <v>383</v>
      </c>
      <c r="AM1173" s="2" t="s">
        <v>384</v>
      </c>
      <c r="AN1173" s="2" t="s">
        <v>385</v>
      </c>
      <c r="AO1173" s="2" t="s">
        <v>386</v>
      </c>
      <c r="AP1173" s="2" t="s">
        <v>387</v>
      </c>
      <c r="AQ1173" s="2"/>
      <c r="AR1173" s="2" t="s">
        <v>388</v>
      </c>
      <c r="AS1173" s="2" t="s">
        <v>389</v>
      </c>
      <c r="AT1173" s="2" t="s">
        <v>804</v>
      </c>
      <c r="AU1173" s="2" t="n">
        <v>2022</v>
      </c>
      <c r="AV1173" s="2" t="n">
        <v>156</v>
      </c>
      <c r="AW1173" s="2"/>
      <c r="AX1173" s="2"/>
      <c r="AY1173" s="2"/>
      <c r="AZ1173" s="2"/>
      <c r="BA1173" s="2"/>
      <c r="BB1173" s="2"/>
      <c r="BC1173" s="2"/>
      <c r="BD1173" s="2" t="n">
        <v>105274</v>
      </c>
      <c r="BE1173" s="2" t="s">
        <v>20634</v>
      </c>
      <c r="BF1173" s="2" t="str">
        <f aca="false">HYPERLINK("http://dx.doi.org/10.1016/j.jcv.2022.105274","http://dx.doi.org/10.1016/j.jcv.2022.105274")</f>
        <v>http://dx.doi.org/10.1016/j.jcv.2022.105274</v>
      </c>
      <c r="BG1173" s="2"/>
      <c r="BH1173" s="2" t="s">
        <v>6262</v>
      </c>
      <c r="BI1173" s="2" t="n">
        <v>5</v>
      </c>
      <c r="BJ1173" s="2" t="s">
        <v>163</v>
      </c>
      <c r="BK1173" s="2" t="s">
        <v>100</v>
      </c>
      <c r="BL1173" s="2" t="s">
        <v>163</v>
      </c>
      <c r="BM1173" s="2" t="s">
        <v>20635</v>
      </c>
      <c r="BN1173" s="2" t="n">
        <v>36099751</v>
      </c>
      <c r="BO1173" s="2"/>
      <c r="BP1173" s="2"/>
      <c r="BQ1173" s="2"/>
      <c r="BR1173" s="2" t="s">
        <v>104</v>
      </c>
      <c r="BS1173" s="2" t="s">
        <v>20636</v>
      </c>
      <c r="BT1173" s="2" t="str">
        <f aca="false">HYPERLINK("https%3A%2F%2Fwww.webofscience.com%2Fwos%2Fwoscc%2Ffull-record%2FWOS:000858422200004","View Full Record in Web of Science")</f>
        <v>View Full Record in Web of Science</v>
      </c>
    </row>
    <row r="1174" customFormat="false" ht="12.75" hidden="false" customHeight="false" outlineLevel="0" collapsed="false">
      <c r="A1174" s="2" t="s">
        <v>72</v>
      </c>
      <c r="B1174" s="2" t="s">
        <v>20637</v>
      </c>
      <c r="C1174" s="2"/>
      <c r="D1174" s="2"/>
      <c r="E1174" s="2"/>
      <c r="F1174" s="2" t="s">
        <v>20638</v>
      </c>
      <c r="G1174" s="2"/>
      <c r="H1174" s="2"/>
      <c r="I1174" s="2" t="s">
        <v>20639</v>
      </c>
      <c r="J1174" s="2" t="s">
        <v>20640</v>
      </c>
      <c r="K1174" s="2"/>
      <c r="L1174" s="2"/>
      <c r="M1174" s="2" t="s">
        <v>77</v>
      </c>
      <c r="N1174" s="2" t="s">
        <v>78</v>
      </c>
      <c r="O1174" s="2"/>
      <c r="P1174" s="2"/>
      <c r="Q1174" s="2"/>
      <c r="R1174" s="2"/>
      <c r="S1174" s="2"/>
      <c r="T1174" s="2" t="s">
        <v>20641</v>
      </c>
      <c r="U1174" s="2" t="s">
        <v>20642</v>
      </c>
      <c r="V1174" s="2" t="s">
        <v>20643</v>
      </c>
      <c r="W1174" s="2" t="s">
        <v>20644</v>
      </c>
      <c r="X1174" s="2" t="s">
        <v>20645</v>
      </c>
      <c r="Y1174" s="2" t="s">
        <v>20646</v>
      </c>
      <c r="Z1174" s="2" t="s">
        <v>20647</v>
      </c>
      <c r="AA1174" s="2" t="s">
        <v>20648</v>
      </c>
      <c r="AB1174" s="2" t="s">
        <v>20649</v>
      </c>
      <c r="AC1174" s="2"/>
      <c r="AD1174" s="2"/>
      <c r="AE1174" s="2"/>
      <c r="AF1174" s="2"/>
      <c r="AG1174" s="2" t="n">
        <v>42</v>
      </c>
      <c r="AH1174" s="2" t="n">
        <v>6</v>
      </c>
      <c r="AI1174" s="2" t="n">
        <v>6</v>
      </c>
      <c r="AJ1174" s="2" t="n">
        <v>2</v>
      </c>
      <c r="AK1174" s="2" t="n">
        <v>10</v>
      </c>
      <c r="AL1174" s="2" t="s">
        <v>5385</v>
      </c>
      <c r="AM1174" s="2" t="s">
        <v>303</v>
      </c>
      <c r="AN1174" s="2" t="s">
        <v>5386</v>
      </c>
      <c r="AO1174" s="2" t="s">
        <v>20650</v>
      </c>
      <c r="AP1174" s="2"/>
      <c r="AQ1174" s="2"/>
      <c r="AR1174" s="2" t="s">
        <v>20651</v>
      </c>
      <c r="AS1174" s="2" t="s">
        <v>20652</v>
      </c>
      <c r="AT1174" s="2" t="s">
        <v>692</v>
      </c>
      <c r="AU1174" s="2" t="n">
        <v>2020</v>
      </c>
      <c r="AV1174" s="2" t="n">
        <v>141</v>
      </c>
      <c r="AW1174" s="2"/>
      <c r="AX1174" s="2"/>
      <c r="AY1174" s="2"/>
      <c r="AZ1174" s="2"/>
      <c r="BA1174" s="2"/>
      <c r="BB1174" s="2"/>
      <c r="BC1174" s="2"/>
      <c r="BD1174" s="2" t="n">
        <v>104000</v>
      </c>
      <c r="BE1174" s="2" t="s">
        <v>20653</v>
      </c>
      <c r="BF1174" s="2" t="str">
        <f aca="false">HYPERLINK("http://dx.doi.org/10.1016/j.micpath.2020.104000","http://dx.doi.org/10.1016/j.micpath.2020.104000")</f>
        <v>http://dx.doi.org/10.1016/j.micpath.2020.104000</v>
      </c>
      <c r="BG1174" s="2"/>
      <c r="BH1174" s="2"/>
      <c r="BI1174" s="2" t="n">
        <v>8</v>
      </c>
      <c r="BJ1174" s="2" t="s">
        <v>2364</v>
      </c>
      <c r="BK1174" s="2" t="s">
        <v>100</v>
      </c>
      <c r="BL1174" s="2" t="s">
        <v>2364</v>
      </c>
      <c r="BM1174" s="2" t="s">
        <v>20654</v>
      </c>
      <c r="BN1174" s="2" t="n">
        <v>31988005</v>
      </c>
      <c r="BO1174" s="2"/>
      <c r="BP1174" s="2"/>
      <c r="BQ1174" s="2"/>
      <c r="BR1174" s="2" t="s">
        <v>104</v>
      </c>
      <c r="BS1174" s="2" t="s">
        <v>20655</v>
      </c>
      <c r="BT1174" s="2" t="str">
        <f aca="false">HYPERLINK("https%3A%2F%2Fwww.webofscience.com%2Fwos%2Fwoscc%2Ffull-record%2FWOS:000528844800026","View Full Record in Web of Science")</f>
        <v>View Full Record in Web of Science</v>
      </c>
    </row>
    <row r="1175" customFormat="false" ht="12.75" hidden="false" customHeight="false" outlineLevel="0" collapsed="false">
      <c r="A1175" s="2" t="s">
        <v>72</v>
      </c>
      <c r="B1175" s="2" t="s">
        <v>20656</v>
      </c>
      <c r="C1175" s="2"/>
      <c r="D1175" s="2"/>
      <c r="E1175" s="2"/>
      <c r="F1175" s="2" t="s">
        <v>20657</v>
      </c>
      <c r="G1175" s="2"/>
      <c r="H1175" s="2"/>
      <c r="I1175" s="2" t="s">
        <v>20658</v>
      </c>
      <c r="J1175" s="2" t="s">
        <v>10462</v>
      </c>
      <c r="K1175" s="2"/>
      <c r="L1175" s="2"/>
      <c r="M1175" s="2" t="s">
        <v>77</v>
      </c>
      <c r="N1175" s="2" t="s">
        <v>78</v>
      </c>
      <c r="O1175" s="2"/>
      <c r="P1175" s="2"/>
      <c r="Q1175" s="2"/>
      <c r="R1175" s="2"/>
      <c r="S1175" s="2"/>
      <c r="T1175" s="2" t="s">
        <v>20659</v>
      </c>
      <c r="U1175" s="2" t="s">
        <v>16626</v>
      </c>
      <c r="V1175" s="2" t="s">
        <v>20660</v>
      </c>
      <c r="W1175" s="2" t="s">
        <v>20661</v>
      </c>
      <c r="X1175" s="2" t="s">
        <v>20662</v>
      </c>
      <c r="Y1175" s="2" t="s">
        <v>20663</v>
      </c>
      <c r="Z1175" s="2" t="s">
        <v>20664</v>
      </c>
      <c r="AA1175" s="2"/>
      <c r="AB1175" s="2"/>
      <c r="AC1175" s="2" t="s">
        <v>20665</v>
      </c>
      <c r="AD1175" s="2" t="s">
        <v>20666</v>
      </c>
      <c r="AE1175" s="2" t="s">
        <v>20667</v>
      </c>
      <c r="AF1175" s="2"/>
      <c r="AG1175" s="2" t="n">
        <v>30</v>
      </c>
      <c r="AH1175" s="2" t="n">
        <v>1</v>
      </c>
      <c r="AI1175" s="2" t="n">
        <v>1</v>
      </c>
      <c r="AJ1175" s="2" t="n">
        <v>7</v>
      </c>
      <c r="AK1175" s="2" t="n">
        <v>11</v>
      </c>
      <c r="AL1175" s="2" t="s">
        <v>10470</v>
      </c>
      <c r="AM1175" s="2" t="s">
        <v>10471</v>
      </c>
      <c r="AN1175" s="2" t="s">
        <v>10472</v>
      </c>
      <c r="AO1175" s="2" t="s">
        <v>10473</v>
      </c>
      <c r="AP1175" s="2"/>
      <c r="AQ1175" s="2"/>
      <c r="AR1175" s="2" t="s">
        <v>10474</v>
      </c>
      <c r="AS1175" s="2" t="s">
        <v>10475</v>
      </c>
      <c r="AT1175" s="2" t="s">
        <v>599</v>
      </c>
      <c r="AU1175" s="2" t="n">
        <v>2023</v>
      </c>
      <c r="AV1175" s="2" t="n">
        <v>46</v>
      </c>
      <c r="AW1175" s="2" t="n">
        <v>3</v>
      </c>
      <c r="AX1175" s="2"/>
      <c r="AY1175" s="2"/>
      <c r="AZ1175" s="2"/>
      <c r="BA1175" s="2"/>
      <c r="BB1175" s="2" t="n">
        <v>271</v>
      </c>
      <c r="BC1175" s="2" t="n">
        <v>277</v>
      </c>
      <c r="BD1175" s="2"/>
      <c r="BE1175" s="2"/>
      <c r="BF1175" s="2"/>
      <c r="BG1175" s="2"/>
      <c r="BH1175" s="2"/>
      <c r="BI1175" s="2" t="n">
        <v>7</v>
      </c>
      <c r="BJ1175" s="2" t="s">
        <v>211</v>
      </c>
      <c r="BK1175" s="2" t="s">
        <v>100</v>
      </c>
      <c r="BL1175" s="2" t="s">
        <v>211</v>
      </c>
      <c r="BM1175" s="2" t="s">
        <v>20668</v>
      </c>
      <c r="BN1175" s="2" t="n">
        <v>37747472</v>
      </c>
      <c r="BO1175" s="2"/>
      <c r="BP1175" s="2"/>
      <c r="BQ1175" s="2"/>
      <c r="BR1175" s="2" t="s">
        <v>104</v>
      </c>
      <c r="BS1175" s="2" t="s">
        <v>20669</v>
      </c>
      <c r="BT1175" s="2" t="str">
        <f aca="false">HYPERLINK("https%3A%2F%2Fwww.webofscience.com%2Fwos%2Fwoscc%2Ffull-record%2FWOS:001138224500004","View Full Record in Web of Science")</f>
        <v>View Full Record in Web of Science</v>
      </c>
    </row>
    <row r="1176" customFormat="false" ht="12.75" hidden="false" customHeight="false" outlineLevel="0" collapsed="false">
      <c r="A1176" s="2" t="s">
        <v>72</v>
      </c>
      <c r="B1176" s="2" t="s">
        <v>20670</v>
      </c>
      <c r="C1176" s="2"/>
      <c r="D1176" s="2"/>
      <c r="E1176" s="2"/>
      <c r="F1176" s="2" t="s">
        <v>20671</v>
      </c>
      <c r="G1176" s="2"/>
      <c r="H1176" s="2"/>
      <c r="I1176" s="2" t="s">
        <v>20672</v>
      </c>
      <c r="J1176" s="2" t="s">
        <v>3141</v>
      </c>
      <c r="K1176" s="2"/>
      <c r="L1176" s="2"/>
      <c r="M1176" s="2" t="s">
        <v>77</v>
      </c>
      <c r="N1176" s="2" t="s">
        <v>78</v>
      </c>
      <c r="O1176" s="2"/>
      <c r="P1176" s="2"/>
      <c r="Q1176" s="2"/>
      <c r="R1176" s="2"/>
      <c r="S1176" s="2"/>
      <c r="T1176" s="2" t="s">
        <v>20673</v>
      </c>
      <c r="U1176" s="2" t="s">
        <v>20674</v>
      </c>
      <c r="V1176" s="2" t="s">
        <v>20675</v>
      </c>
      <c r="W1176" s="2" t="s">
        <v>20676</v>
      </c>
      <c r="X1176" s="2" t="s">
        <v>20677</v>
      </c>
      <c r="Y1176" s="2" t="s">
        <v>20678</v>
      </c>
      <c r="Z1176" s="2" t="s">
        <v>20679</v>
      </c>
      <c r="AA1176" s="2" t="s">
        <v>20680</v>
      </c>
      <c r="AB1176" s="2" t="s">
        <v>20681</v>
      </c>
      <c r="AC1176" s="2"/>
      <c r="AD1176" s="2"/>
      <c r="AE1176" s="2"/>
      <c r="AF1176" s="2"/>
      <c r="AG1176" s="2" t="n">
        <v>34</v>
      </c>
      <c r="AH1176" s="2" t="n">
        <v>12</v>
      </c>
      <c r="AI1176" s="2" t="n">
        <v>12</v>
      </c>
      <c r="AJ1176" s="2" t="n">
        <v>0</v>
      </c>
      <c r="AK1176" s="2" t="n">
        <v>2</v>
      </c>
      <c r="AL1176" s="2" t="s">
        <v>3150</v>
      </c>
      <c r="AM1176" s="2" t="s">
        <v>3151</v>
      </c>
      <c r="AN1176" s="2" t="s">
        <v>3152</v>
      </c>
      <c r="AO1176" s="2" t="s">
        <v>3153</v>
      </c>
      <c r="AP1176" s="2" t="s">
        <v>3154</v>
      </c>
      <c r="AQ1176" s="2"/>
      <c r="AR1176" s="2" t="s">
        <v>3155</v>
      </c>
      <c r="AS1176" s="2" t="s">
        <v>3156</v>
      </c>
      <c r="AT1176" s="2" t="s">
        <v>692</v>
      </c>
      <c r="AU1176" s="2" t="n">
        <v>2021</v>
      </c>
      <c r="AV1176" s="2" t="n">
        <v>54</v>
      </c>
      <c r="AW1176" s="2" t="n">
        <v>2</v>
      </c>
      <c r="AX1176" s="2"/>
      <c r="AY1176" s="2"/>
      <c r="AZ1176" s="2"/>
      <c r="BA1176" s="2"/>
      <c r="BB1176" s="2" t="n">
        <v>253</v>
      </c>
      <c r="BC1176" s="2" t="n">
        <v>260</v>
      </c>
      <c r="BD1176" s="2"/>
      <c r="BE1176" s="2" t="s">
        <v>20682</v>
      </c>
      <c r="BF1176" s="2" t="str">
        <f aca="false">HYPERLINK("http://dx.doi.org/10.1016/j.jmii.2019.05.007","http://dx.doi.org/10.1016/j.jmii.2019.05.007")</f>
        <v>http://dx.doi.org/10.1016/j.jmii.2019.05.007</v>
      </c>
      <c r="BG1176" s="2"/>
      <c r="BH1176" s="2" t="s">
        <v>7257</v>
      </c>
      <c r="BI1176" s="2" t="n">
        <v>8</v>
      </c>
      <c r="BJ1176" s="2" t="s">
        <v>536</v>
      </c>
      <c r="BK1176" s="2" t="s">
        <v>100</v>
      </c>
      <c r="BL1176" s="2" t="s">
        <v>536</v>
      </c>
      <c r="BM1176" s="2" t="s">
        <v>20683</v>
      </c>
      <c r="BN1176" s="2" t="n">
        <v>31262511</v>
      </c>
      <c r="BO1176" s="2" t="s">
        <v>190</v>
      </c>
      <c r="BP1176" s="2"/>
      <c r="BQ1176" s="2"/>
      <c r="BR1176" s="2" t="s">
        <v>104</v>
      </c>
      <c r="BS1176" s="2" t="s">
        <v>20684</v>
      </c>
      <c r="BT1176" s="2" t="str">
        <f aca="false">HYPERLINK("https%3A%2F%2Fwww.webofscience.com%2Fwos%2Fwoscc%2Ffull-record%2FWOS:000643001600013","View Full Record in Web of Science")</f>
        <v>View Full Record in Web of Science</v>
      </c>
    </row>
    <row r="1177" customFormat="false" ht="12.75" hidden="false" customHeight="false" outlineLevel="0" collapsed="false">
      <c r="A1177" s="2" t="s">
        <v>72</v>
      </c>
      <c r="B1177" s="2" t="s">
        <v>20685</v>
      </c>
      <c r="C1177" s="2"/>
      <c r="D1177" s="2"/>
      <c r="E1177" s="2"/>
      <c r="F1177" s="2" t="s">
        <v>20686</v>
      </c>
      <c r="G1177" s="2"/>
      <c r="H1177" s="2"/>
      <c r="I1177" s="2" t="s">
        <v>20687</v>
      </c>
      <c r="J1177" s="2" t="s">
        <v>20688</v>
      </c>
      <c r="K1177" s="2"/>
      <c r="L1177" s="2"/>
      <c r="M1177" s="2" t="s">
        <v>77</v>
      </c>
      <c r="N1177" s="2" t="s">
        <v>78</v>
      </c>
      <c r="O1177" s="2"/>
      <c r="P1177" s="2"/>
      <c r="Q1177" s="2"/>
      <c r="R1177" s="2"/>
      <c r="S1177" s="2"/>
      <c r="T1177" s="2" t="s">
        <v>20689</v>
      </c>
      <c r="U1177" s="2" t="s">
        <v>20690</v>
      </c>
      <c r="V1177" s="2" t="s">
        <v>20691</v>
      </c>
      <c r="W1177" s="2" t="s">
        <v>20692</v>
      </c>
      <c r="X1177" s="2" t="s">
        <v>1501</v>
      </c>
      <c r="Y1177" s="2" t="s">
        <v>20693</v>
      </c>
      <c r="Z1177" s="2" t="s">
        <v>20694</v>
      </c>
      <c r="AA1177" s="2"/>
      <c r="AB1177" s="2"/>
      <c r="AC1177" s="2"/>
      <c r="AD1177" s="2"/>
      <c r="AE1177" s="2"/>
      <c r="AF1177" s="2"/>
      <c r="AG1177" s="2" t="n">
        <v>42</v>
      </c>
      <c r="AH1177" s="2" t="n">
        <v>222</v>
      </c>
      <c r="AI1177" s="2" t="n">
        <v>241</v>
      </c>
      <c r="AJ1177" s="2" t="n">
        <v>0</v>
      </c>
      <c r="AK1177" s="2" t="n">
        <v>12</v>
      </c>
      <c r="AL1177" s="2" t="s">
        <v>383</v>
      </c>
      <c r="AM1177" s="2" t="s">
        <v>384</v>
      </c>
      <c r="AN1177" s="2" t="s">
        <v>385</v>
      </c>
      <c r="AO1177" s="2" t="s">
        <v>20695</v>
      </c>
      <c r="AP1177" s="2" t="s">
        <v>20696</v>
      </c>
      <c r="AQ1177" s="2"/>
      <c r="AR1177" s="2" t="s">
        <v>20688</v>
      </c>
      <c r="AS1177" s="2" t="s">
        <v>20697</v>
      </c>
      <c r="AT1177" s="2" t="s">
        <v>446</v>
      </c>
      <c r="AU1177" s="2" t="n">
        <v>2008</v>
      </c>
      <c r="AV1177" s="2" t="n">
        <v>134</v>
      </c>
      <c r="AW1177" s="2" t="n">
        <v>6</v>
      </c>
      <c r="AX1177" s="2"/>
      <c r="AY1177" s="2"/>
      <c r="AZ1177" s="2"/>
      <c r="BA1177" s="2"/>
      <c r="BB1177" s="2" t="n">
        <v>1141</v>
      </c>
      <c r="BC1177" s="2" t="n">
        <v>1148</v>
      </c>
      <c r="BD1177" s="2"/>
      <c r="BE1177" s="2" t="s">
        <v>20698</v>
      </c>
      <c r="BF1177" s="2" t="str">
        <f aca="false">HYPERLINK("http://dx.doi.org/10.1378/chest.08-0888","http://dx.doi.org/10.1378/chest.08-0888")</f>
        <v>http://dx.doi.org/10.1378/chest.08-0888</v>
      </c>
      <c r="BG1177" s="2"/>
      <c r="BH1177" s="2"/>
      <c r="BI1177" s="2" t="n">
        <v>8</v>
      </c>
      <c r="BJ1177" s="2" t="s">
        <v>2962</v>
      </c>
      <c r="BK1177" s="2" t="s">
        <v>100</v>
      </c>
      <c r="BL1177" s="2" t="s">
        <v>2963</v>
      </c>
      <c r="BM1177" s="2" t="s">
        <v>20699</v>
      </c>
      <c r="BN1177" s="2" t="n">
        <v>18689592</v>
      </c>
      <c r="BO1177" s="2" t="s">
        <v>165</v>
      </c>
      <c r="BP1177" s="2"/>
      <c r="BQ1177" s="2"/>
      <c r="BR1177" s="2" t="s">
        <v>104</v>
      </c>
      <c r="BS1177" s="2" t="s">
        <v>20700</v>
      </c>
      <c r="BT1177" s="2" t="str">
        <f aca="false">HYPERLINK("https%3A%2F%2Fwww.webofscience.com%2Fwos%2Fwoscc%2Ffull-record%2FWOS:000261755100009","View Full Record in Web of Science")</f>
        <v>View Full Record in Web of Science</v>
      </c>
    </row>
    <row r="1178" customFormat="false" ht="12.75" hidden="false" customHeight="false" outlineLevel="0" collapsed="false">
      <c r="A1178" s="2" t="s">
        <v>72</v>
      </c>
      <c r="B1178" s="2" t="s">
        <v>20701</v>
      </c>
      <c r="C1178" s="2"/>
      <c r="D1178" s="2"/>
      <c r="E1178" s="2"/>
      <c r="F1178" s="2" t="s">
        <v>20702</v>
      </c>
      <c r="G1178" s="2"/>
      <c r="H1178" s="2" t="s">
        <v>20703</v>
      </c>
      <c r="I1178" s="2" t="s">
        <v>20704</v>
      </c>
      <c r="J1178" s="2" t="s">
        <v>557</v>
      </c>
      <c r="K1178" s="2"/>
      <c r="L1178" s="2"/>
      <c r="M1178" s="2" t="s">
        <v>77</v>
      </c>
      <c r="N1178" s="2" t="s">
        <v>78</v>
      </c>
      <c r="O1178" s="2"/>
      <c r="P1178" s="2"/>
      <c r="Q1178" s="2"/>
      <c r="R1178" s="2"/>
      <c r="S1178" s="2"/>
      <c r="T1178" s="2" t="s">
        <v>20705</v>
      </c>
      <c r="U1178" s="2" t="s">
        <v>20706</v>
      </c>
      <c r="V1178" s="2" t="s">
        <v>20707</v>
      </c>
      <c r="W1178" s="2" t="s">
        <v>20708</v>
      </c>
      <c r="X1178" s="2" t="s">
        <v>20709</v>
      </c>
      <c r="Y1178" s="2" t="s">
        <v>20710</v>
      </c>
      <c r="Z1178" s="2" t="s">
        <v>20711</v>
      </c>
      <c r="AA1178" s="2" t="s">
        <v>20712</v>
      </c>
      <c r="AB1178" s="2"/>
      <c r="AC1178" s="2" t="s">
        <v>20713</v>
      </c>
      <c r="AD1178" s="2" t="s">
        <v>20714</v>
      </c>
      <c r="AE1178" s="2" t="s">
        <v>20715</v>
      </c>
      <c r="AF1178" s="2"/>
      <c r="AG1178" s="2" t="n">
        <v>32</v>
      </c>
      <c r="AH1178" s="2" t="n">
        <v>47</v>
      </c>
      <c r="AI1178" s="2" t="n">
        <v>67</v>
      </c>
      <c r="AJ1178" s="2" t="n">
        <v>0</v>
      </c>
      <c r="AK1178" s="2" t="n">
        <v>7</v>
      </c>
      <c r="AL1178" s="2" t="s">
        <v>302</v>
      </c>
      <c r="AM1178" s="2" t="s">
        <v>303</v>
      </c>
      <c r="AN1178" s="2" t="s">
        <v>304</v>
      </c>
      <c r="AO1178" s="2"/>
      <c r="AP1178" s="2" t="s">
        <v>570</v>
      </c>
      <c r="AQ1178" s="2"/>
      <c r="AR1178" s="2" t="s">
        <v>571</v>
      </c>
      <c r="AS1178" s="2" t="s">
        <v>572</v>
      </c>
      <c r="AT1178" s="2" t="s">
        <v>8710</v>
      </c>
      <c r="AU1178" s="2" t="n">
        <v>2015</v>
      </c>
      <c r="AV1178" s="2" t="n">
        <v>15</v>
      </c>
      <c r="AW1178" s="2"/>
      <c r="AX1178" s="2"/>
      <c r="AY1178" s="2"/>
      <c r="AZ1178" s="2"/>
      <c r="BA1178" s="2"/>
      <c r="BB1178" s="2"/>
      <c r="BC1178" s="2"/>
      <c r="BD1178" s="2" t="n">
        <v>89</v>
      </c>
      <c r="BE1178" s="2" t="s">
        <v>20716</v>
      </c>
      <c r="BF1178" s="2" t="str">
        <f aca="false">HYPERLINK("http://dx.doi.org/10.1186/s12879-015-0808-0","http://dx.doi.org/10.1186/s12879-015-0808-0")</f>
        <v>http://dx.doi.org/10.1186/s12879-015-0808-0</v>
      </c>
      <c r="BG1178" s="2"/>
      <c r="BH1178" s="2"/>
      <c r="BI1178" s="2" t="n">
        <v>8</v>
      </c>
      <c r="BJ1178" s="2" t="s">
        <v>575</v>
      </c>
      <c r="BK1178" s="2" t="s">
        <v>100</v>
      </c>
      <c r="BL1178" s="2" t="s">
        <v>575</v>
      </c>
      <c r="BM1178" s="2" t="s">
        <v>20717</v>
      </c>
      <c r="BN1178" s="2" t="n">
        <v>25812108</v>
      </c>
      <c r="BO1178" s="2" t="s">
        <v>103</v>
      </c>
      <c r="BP1178" s="2"/>
      <c r="BQ1178" s="2"/>
      <c r="BR1178" s="2" t="s">
        <v>104</v>
      </c>
      <c r="BS1178" s="2" t="s">
        <v>20718</v>
      </c>
      <c r="BT1178" s="2" t="str">
        <f aca="false">HYPERLINK("https%3A%2F%2Fwww.webofscience.com%2Fwos%2Fwoscc%2Ffull-record%2FWOS:000349995900001","View Full Record in Web of Science")</f>
        <v>View Full Record in Web of Science</v>
      </c>
    </row>
    <row r="1179" customFormat="false" ht="12.75" hidden="false" customHeight="false" outlineLevel="0" collapsed="false">
      <c r="A1179" s="2" t="s">
        <v>72</v>
      </c>
      <c r="B1179" s="2" t="s">
        <v>20719</v>
      </c>
      <c r="C1179" s="2"/>
      <c r="D1179" s="2"/>
      <c r="E1179" s="2"/>
      <c r="F1179" s="2" t="s">
        <v>20720</v>
      </c>
      <c r="G1179" s="2"/>
      <c r="H1179" s="2"/>
      <c r="I1179" s="2" t="s">
        <v>20721</v>
      </c>
      <c r="J1179" s="2" t="s">
        <v>2262</v>
      </c>
      <c r="K1179" s="2"/>
      <c r="L1179" s="2"/>
      <c r="M1179" s="2" t="s">
        <v>77</v>
      </c>
      <c r="N1179" s="2" t="s">
        <v>78</v>
      </c>
      <c r="O1179" s="2"/>
      <c r="P1179" s="2"/>
      <c r="Q1179" s="2"/>
      <c r="R1179" s="2"/>
      <c r="S1179" s="2"/>
      <c r="T1179" s="2" t="s">
        <v>20722</v>
      </c>
      <c r="U1179" s="2" t="s">
        <v>20723</v>
      </c>
      <c r="V1179" s="2" t="s">
        <v>20724</v>
      </c>
      <c r="W1179" s="2" t="s">
        <v>20725</v>
      </c>
      <c r="X1179" s="2" t="s">
        <v>20726</v>
      </c>
      <c r="Y1179" s="2" t="s">
        <v>20727</v>
      </c>
      <c r="Z1179" s="2" t="s">
        <v>20728</v>
      </c>
      <c r="AA1179" s="2" t="s">
        <v>18392</v>
      </c>
      <c r="AB1179" s="2" t="s">
        <v>18393</v>
      </c>
      <c r="AC1179" s="2" t="s">
        <v>20729</v>
      </c>
      <c r="AD1179" s="2" t="s">
        <v>20730</v>
      </c>
      <c r="AE1179" s="2" t="s">
        <v>20731</v>
      </c>
      <c r="AF1179" s="2"/>
      <c r="AG1179" s="2" t="n">
        <v>49</v>
      </c>
      <c r="AH1179" s="2" t="n">
        <v>11</v>
      </c>
      <c r="AI1179" s="2" t="n">
        <v>11</v>
      </c>
      <c r="AJ1179" s="2" t="n">
        <v>0</v>
      </c>
      <c r="AK1179" s="2" t="n">
        <v>0</v>
      </c>
      <c r="AL1179" s="2" t="s">
        <v>383</v>
      </c>
      <c r="AM1179" s="2" t="s">
        <v>384</v>
      </c>
      <c r="AN1179" s="2" t="s">
        <v>385</v>
      </c>
      <c r="AO1179" s="2" t="s">
        <v>2271</v>
      </c>
      <c r="AP1179" s="2" t="s">
        <v>2272</v>
      </c>
      <c r="AQ1179" s="2"/>
      <c r="AR1179" s="2" t="s">
        <v>2273</v>
      </c>
      <c r="AS1179" s="2" t="s">
        <v>2274</v>
      </c>
      <c r="AT1179" s="2" t="s">
        <v>599</v>
      </c>
      <c r="AU1179" s="2" t="n">
        <v>2016</v>
      </c>
      <c r="AV1179" s="2" t="n">
        <v>54</v>
      </c>
      <c r="AW1179" s="2" t="n">
        <v>4</v>
      </c>
      <c r="AX1179" s="2"/>
      <c r="AY1179" s="2"/>
      <c r="AZ1179" s="2"/>
      <c r="BA1179" s="2"/>
      <c r="BB1179" s="2" t="n">
        <v>255</v>
      </c>
      <c r="BC1179" s="2" t="n">
        <v>263</v>
      </c>
      <c r="BD1179" s="2"/>
      <c r="BE1179" s="2" t="s">
        <v>20732</v>
      </c>
      <c r="BF1179" s="2" t="str">
        <f aca="false">HYPERLINK("http://dx.doi.org/10.1015/j.resinv.2016.01.001","http://dx.doi.org/10.1015/j.resinv.2016.01.001")</f>
        <v>http://dx.doi.org/10.1015/j.resinv.2016.01.001</v>
      </c>
      <c r="BG1179" s="2"/>
      <c r="BH1179" s="2"/>
      <c r="BI1179" s="2" t="n">
        <v>9</v>
      </c>
      <c r="BJ1179" s="2" t="s">
        <v>338</v>
      </c>
      <c r="BK1179" s="2" t="s">
        <v>339</v>
      </c>
      <c r="BL1179" s="2" t="s">
        <v>338</v>
      </c>
      <c r="BM1179" s="2" t="s">
        <v>20733</v>
      </c>
      <c r="BN1179" s="2" t="n">
        <v>27424825</v>
      </c>
      <c r="BO1179" s="2"/>
      <c r="BP1179" s="2"/>
      <c r="BQ1179" s="2"/>
      <c r="BR1179" s="2" t="s">
        <v>104</v>
      </c>
      <c r="BS1179" s="2" t="s">
        <v>20734</v>
      </c>
      <c r="BT1179" s="2" t="str">
        <f aca="false">HYPERLINK("https%3A%2F%2Fwww.webofscience.com%2Fwos%2Fwoscc%2Ffull-record%2FWOS:000417481900008","View Full Record in Web of Science")</f>
        <v>View Full Record in Web of Science</v>
      </c>
    </row>
    <row r="1180" customFormat="false" ht="12.75" hidden="false" customHeight="false" outlineLevel="0" collapsed="false">
      <c r="A1180" s="2" t="s">
        <v>72</v>
      </c>
      <c r="B1180" s="2" t="s">
        <v>20735</v>
      </c>
      <c r="C1180" s="2"/>
      <c r="D1180" s="2"/>
      <c r="E1180" s="2"/>
      <c r="F1180" s="2" t="s">
        <v>20736</v>
      </c>
      <c r="G1180" s="2"/>
      <c r="H1180" s="2"/>
      <c r="I1180" s="2" t="s">
        <v>20737</v>
      </c>
      <c r="J1180" s="2" t="s">
        <v>10837</v>
      </c>
      <c r="K1180" s="2"/>
      <c r="L1180" s="2"/>
      <c r="M1180" s="2" t="s">
        <v>77</v>
      </c>
      <c r="N1180" s="2" t="s">
        <v>78</v>
      </c>
      <c r="O1180" s="2"/>
      <c r="P1180" s="2"/>
      <c r="Q1180" s="2"/>
      <c r="R1180" s="2"/>
      <c r="S1180" s="2"/>
      <c r="T1180" s="2" t="s">
        <v>20738</v>
      </c>
      <c r="U1180" s="2" t="s">
        <v>20739</v>
      </c>
      <c r="V1180" s="2" t="s">
        <v>20740</v>
      </c>
      <c r="W1180" s="2" t="s">
        <v>20741</v>
      </c>
      <c r="X1180" s="2" t="s">
        <v>20742</v>
      </c>
      <c r="Y1180" s="2" t="s">
        <v>20743</v>
      </c>
      <c r="Z1180" s="2" t="s">
        <v>20744</v>
      </c>
      <c r="AA1180" s="2" t="s">
        <v>20745</v>
      </c>
      <c r="AB1180" s="2" t="s">
        <v>20746</v>
      </c>
      <c r="AC1180" s="2" t="s">
        <v>20747</v>
      </c>
      <c r="AD1180" s="2" t="s">
        <v>20748</v>
      </c>
      <c r="AE1180" s="2" t="s">
        <v>20749</v>
      </c>
      <c r="AF1180" s="2"/>
      <c r="AG1180" s="2" t="n">
        <v>27</v>
      </c>
      <c r="AH1180" s="2" t="n">
        <v>5</v>
      </c>
      <c r="AI1180" s="2" t="n">
        <v>5</v>
      </c>
      <c r="AJ1180" s="2" t="n">
        <v>0</v>
      </c>
      <c r="AK1180" s="2" t="n">
        <v>5</v>
      </c>
      <c r="AL1180" s="2" t="s">
        <v>527</v>
      </c>
      <c r="AM1180" s="2" t="s">
        <v>528</v>
      </c>
      <c r="AN1180" s="2" t="s">
        <v>529</v>
      </c>
      <c r="AO1180" s="2" t="s">
        <v>10846</v>
      </c>
      <c r="AP1180" s="2"/>
      <c r="AQ1180" s="2"/>
      <c r="AR1180" s="2" t="s">
        <v>10847</v>
      </c>
      <c r="AS1180" s="2" t="s">
        <v>10848</v>
      </c>
      <c r="AT1180" s="2" t="s">
        <v>692</v>
      </c>
      <c r="AU1180" s="2" t="n">
        <v>2018</v>
      </c>
      <c r="AV1180" s="2" t="n">
        <v>5</v>
      </c>
      <c r="AW1180" s="2" t="n">
        <v>4</v>
      </c>
      <c r="AX1180" s="2"/>
      <c r="AY1180" s="2"/>
      <c r="AZ1180" s="2"/>
      <c r="BA1180" s="2"/>
      <c r="BB1180" s="2"/>
      <c r="BC1180" s="2"/>
      <c r="BD1180" s="2"/>
      <c r="BE1180" s="2" t="s">
        <v>20750</v>
      </c>
      <c r="BF1180" s="2" t="str">
        <f aca="false">HYPERLINK("http://dx.doi.org/10.1093/ofid/ofy061","http://dx.doi.org/10.1093/ofid/ofy061")</f>
        <v>http://dx.doi.org/10.1093/ofid/ofy061</v>
      </c>
      <c r="BG1180" s="2"/>
      <c r="BH1180" s="2"/>
      <c r="BI1180" s="2" t="n">
        <v>8</v>
      </c>
      <c r="BJ1180" s="2" t="s">
        <v>536</v>
      </c>
      <c r="BK1180" s="2" t="s">
        <v>100</v>
      </c>
      <c r="BL1180" s="2" t="s">
        <v>536</v>
      </c>
      <c r="BM1180" s="2" t="s">
        <v>20751</v>
      </c>
      <c r="BN1180" s="2" t="n">
        <v>29946553</v>
      </c>
      <c r="BO1180" s="2" t="s">
        <v>5702</v>
      </c>
      <c r="BP1180" s="2"/>
      <c r="BQ1180" s="2"/>
      <c r="BR1180" s="2" t="s">
        <v>104</v>
      </c>
      <c r="BS1180" s="2" t="s">
        <v>20752</v>
      </c>
      <c r="BT1180" s="2" t="str">
        <f aca="false">HYPERLINK("https%3A%2F%2Fwww.webofscience.com%2Fwos%2Fwoscc%2Ffull-record%2FWOS:000431146000014","View Full Record in Web of Science")</f>
        <v>View Full Record in Web of Science</v>
      </c>
    </row>
    <row r="1181" customFormat="false" ht="12.75" hidden="false" customHeight="false" outlineLevel="0" collapsed="false">
      <c r="A1181" s="2" t="s">
        <v>72</v>
      </c>
      <c r="B1181" s="2" t="s">
        <v>20753</v>
      </c>
      <c r="C1181" s="2"/>
      <c r="D1181" s="2"/>
      <c r="E1181" s="2"/>
      <c r="F1181" s="2" t="s">
        <v>20754</v>
      </c>
      <c r="G1181" s="2"/>
      <c r="H1181" s="2"/>
      <c r="I1181" s="2" t="s">
        <v>20755</v>
      </c>
      <c r="J1181" s="2" t="s">
        <v>846</v>
      </c>
      <c r="K1181" s="2"/>
      <c r="L1181" s="2"/>
      <c r="M1181" s="2" t="s">
        <v>77</v>
      </c>
      <c r="N1181" s="2" t="s">
        <v>78</v>
      </c>
      <c r="O1181" s="2"/>
      <c r="P1181" s="2"/>
      <c r="Q1181" s="2"/>
      <c r="R1181" s="2"/>
      <c r="S1181" s="2"/>
      <c r="T1181" s="2" t="s">
        <v>20756</v>
      </c>
      <c r="U1181" s="2" t="s">
        <v>20757</v>
      </c>
      <c r="V1181" s="2" t="s">
        <v>20758</v>
      </c>
      <c r="W1181" s="2" t="s">
        <v>20759</v>
      </c>
      <c r="X1181" s="2" t="s">
        <v>20760</v>
      </c>
      <c r="Y1181" s="2" t="s">
        <v>20761</v>
      </c>
      <c r="Z1181" s="2" t="s">
        <v>20762</v>
      </c>
      <c r="AA1181" s="2" t="s">
        <v>20763</v>
      </c>
      <c r="AB1181" s="2"/>
      <c r="AC1181" s="2"/>
      <c r="AD1181" s="2"/>
      <c r="AE1181" s="2"/>
      <c r="AF1181" s="2"/>
      <c r="AG1181" s="2" t="n">
        <v>52</v>
      </c>
      <c r="AH1181" s="2" t="n">
        <v>2</v>
      </c>
      <c r="AI1181" s="2" t="n">
        <v>2</v>
      </c>
      <c r="AJ1181" s="2" t="n">
        <v>0</v>
      </c>
      <c r="AK1181" s="2" t="n">
        <v>5</v>
      </c>
      <c r="AL1181" s="2" t="s">
        <v>592</v>
      </c>
      <c r="AM1181" s="2" t="s">
        <v>593</v>
      </c>
      <c r="AN1181" s="2" t="s">
        <v>859</v>
      </c>
      <c r="AO1181" s="2" t="s">
        <v>860</v>
      </c>
      <c r="AP1181" s="2" t="s">
        <v>861</v>
      </c>
      <c r="AQ1181" s="2"/>
      <c r="AR1181" s="2" t="s">
        <v>862</v>
      </c>
      <c r="AS1181" s="2" t="s">
        <v>863</v>
      </c>
      <c r="AT1181" s="2" t="s">
        <v>446</v>
      </c>
      <c r="AU1181" s="2" t="n">
        <v>2022</v>
      </c>
      <c r="AV1181" s="2" t="n">
        <v>53</v>
      </c>
      <c r="AW1181" s="2" t="n">
        <v>4</v>
      </c>
      <c r="AX1181" s="2"/>
      <c r="AY1181" s="2"/>
      <c r="AZ1181" s="2"/>
      <c r="BA1181" s="2"/>
      <c r="BB1181" s="2" t="n">
        <v>1915</v>
      </c>
      <c r="BC1181" s="2" t="n">
        <v>1924</v>
      </c>
      <c r="BD1181" s="2"/>
      <c r="BE1181" s="2" t="s">
        <v>20764</v>
      </c>
      <c r="BF1181" s="2" t="str">
        <f aca="false">HYPERLINK("http://dx.doi.org/10.1007/s42770-022-00806-1","http://dx.doi.org/10.1007/s42770-022-00806-1")</f>
        <v>http://dx.doi.org/10.1007/s42770-022-00806-1</v>
      </c>
      <c r="BG1181" s="2"/>
      <c r="BH1181" s="2" t="s">
        <v>2216</v>
      </c>
      <c r="BI1181" s="2" t="n">
        <v>10</v>
      </c>
      <c r="BJ1181" s="2" t="s">
        <v>211</v>
      </c>
      <c r="BK1181" s="2" t="s">
        <v>100</v>
      </c>
      <c r="BL1181" s="2" t="s">
        <v>211</v>
      </c>
      <c r="BM1181" s="2" t="s">
        <v>20765</v>
      </c>
      <c r="BN1181" s="2" t="n">
        <v>35933553</v>
      </c>
      <c r="BO1181" s="2" t="s">
        <v>165</v>
      </c>
      <c r="BP1181" s="2"/>
      <c r="BQ1181" s="2"/>
      <c r="BR1181" s="2" t="s">
        <v>104</v>
      </c>
      <c r="BS1181" s="2" t="s">
        <v>20766</v>
      </c>
      <c r="BT1181" s="2" t="str">
        <f aca="false">HYPERLINK("https%3A%2F%2Fwww.webofscience.com%2Fwos%2Fwoscc%2Ffull-record%2FWOS:000836760900001","View Full Record in Web of Science")</f>
        <v>View Full Record in Web of Science</v>
      </c>
    </row>
    <row r="1182" customFormat="false" ht="12.75" hidden="false" customHeight="false" outlineLevel="0" collapsed="false">
      <c r="A1182" s="2" t="s">
        <v>72</v>
      </c>
      <c r="B1182" s="2" t="s">
        <v>20767</v>
      </c>
      <c r="C1182" s="2"/>
      <c r="D1182" s="2"/>
      <c r="E1182" s="2"/>
      <c r="F1182" s="2" t="s">
        <v>20768</v>
      </c>
      <c r="G1182" s="2"/>
      <c r="H1182" s="2"/>
      <c r="I1182" s="2" t="s">
        <v>20769</v>
      </c>
      <c r="J1182" s="2" t="s">
        <v>3928</v>
      </c>
      <c r="K1182" s="2"/>
      <c r="L1182" s="2"/>
      <c r="M1182" s="2" t="s">
        <v>77</v>
      </c>
      <c r="N1182" s="2" t="s">
        <v>78</v>
      </c>
      <c r="O1182" s="2"/>
      <c r="P1182" s="2"/>
      <c r="Q1182" s="2"/>
      <c r="R1182" s="2"/>
      <c r="S1182" s="2"/>
      <c r="T1182" s="2" t="s">
        <v>20770</v>
      </c>
      <c r="U1182" s="2" t="s">
        <v>20771</v>
      </c>
      <c r="V1182" s="2" t="s">
        <v>20772</v>
      </c>
      <c r="W1182" s="2" t="s">
        <v>20773</v>
      </c>
      <c r="X1182" s="2" t="s">
        <v>20774</v>
      </c>
      <c r="Y1182" s="2" t="s">
        <v>20775</v>
      </c>
      <c r="Z1182" s="2" t="s">
        <v>20776</v>
      </c>
      <c r="AA1182" s="2" t="s">
        <v>20777</v>
      </c>
      <c r="AB1182" s="2" t="s">
        <v>20778</v>
      </c>
      <c r="AC1182" s="2"/>
      <c r="AD1182" s="2"/>
      <c r="AE1182" s="2"/>
      <c r="AF1182" s="2"/>
      <c r="AG1182" s="2" t="n">
        <v>53</v>
      </c>
      <c r="AH1182" s="2" t="n">
        <v>7</v>
      </c>
      <c r="AI1182" s="2" t="n">
        <v>9</v>
      </c>
      <c r="AJ1182" s="2" t="n">
        <v>0</v>
      </c>
      <c r="AK1182" s="2" t="n">
        <v>6</v>
      </c>
      <c r="AL1182" s="2" t="s">
        <v>592</v>
      </c>
      <c r="AM1182" s="2" t="s">
        <v>593</v>
      </c>
      <c r="AN1182" s="2" t="s">
        <v>859</v>
      </c>
      <c r="AO1182" s="2" t="s">
        <v>3936</v>
      </c>
      <c r="AP1182" s="2" t="s">
        <v>3937</v>
      </c>
      <c r="AQ1182" s="2"/>
      <c r="AR1182" s="2" t="s">
        <v>3938</v>
      </c>
      <c r="AS1182" s="2" t="s">
        <v>3939</v>
      </c>
      <c r="AT1182" s="2" t="s">
        <v>486</v>
      </c>
      <c r="AU1182" s="2" t="n">
        <v>2013</v>
      </c>
      <c r="AV1182" s="2" t="n">
        <v>15</v>
      </c>
      <c r="AW1182" s="2" t="n">
        <v>3</v>
      </c>
      <c r="AX1182" s="2"/>
      <c r="AY1182" s="2"/>
      <c r="AZ1182" s="2"/>
      <c r="BA1182" s="2"/>
      <c r="BB1182" s="2" t="n">
        <v>197</v>
      </c>
      <c r="BC1182" s="2" t="n">
        <v>202</v>
      </c>
      <c r="BD1182" s="2"/>
      <c r="BE1182" s="2" t="s">
        <v>20779</v>
      </c>
      <c r="BF1182" s="2" t="str">
        <f aca="false">HYPERLINK("http://dx.doi.org/10.1007/s11908-013-0339-z","http://dx.doi.org/10.1007/s11908-013-0339-z")</f>
        <v>http://dx.doi.org/10.1007/s11908-013-0339-z</v>
      </c>
      <c r="BG1182" s="2"/>
      <c r="BH1182" s="2"/>
      <c r="BI1182" s="2" t="n">
        <v>6</v>
      </c>
      <c r="BJ1182" s="2" t="s">
        <v>575</v>
      </c>
      <c r="BK1182" s="2" t="s">
        <v>100</v>
      </c>
      <c r="BL1182" s="2" t="s">
        <v>575</v>
      </c>
      <c r="BM1182" s="2" t="s">
        <v>20780</v>
      </c>
      <c r="BN1182" s="2" t="n">
        <v>23549618</v>
      </c>
      <c r="BO1182" s="2" t="s">
        <v>1267</v>
      </c>
      <c r="BP1182" s="2"/>
      <c r="BQ1182" s="2"/>
      <c r="BR1182" s="2" t="s">
        <v>104</v>
      </c>
      <c r="BS1182" s="2" t="s">
        <v>20781</v>
      </c>
      <c r="BT1182" s="2" t="str">
        <f aca="false">HYPERLINK("https%3A%2F%2Fwww.webofscience.com%2Fwos%2Fwoscc%2Ffull-record%2FWOS:000338286900001","View Full Record in Web of Science")</f>
        <v>View Full Record in Web of Science</v>
      </c>
    </row>
    <row r="1183" customFormat="false" ht="12.75" hidden="false" customHeight="false" outlineLevel="0" collapsed="false">
      <c r="A1183" s="2" t="s">
        <v>72</v>
      </c>
      <c r="B1183" s="2" t="s">
        <v>20782</v>
      </c>
      <c r="C1183" s="2"/>
      <c r="D1183" s="2"/>
      <c r="E1183" s="2"/>
      <c r="F1183" s="2" t="s">
        <v>20783</v>
      </c>
      <c r="G1183" s="2"/>
      <c r="H1183" s="2"/>
      <c r="I1183" s="2" t="s">
        <v>20784</v>
      </c>
      <c r="J1183" s="2" t="s">
        <v>3928</v>
      </c>
      <c r="K1183" s="2"/>
      <c r="L1183" s="2"/>
      <c r="M1183" s="2" t="s">
        <v>77</v>
      </c>
      <c r="N1183" s="2" t="s">
        <v>78</v>
      </c>
      <c r="O1183" s="2"/>
      <c r="P1183" s="2"/>
      <c r="Q1183" s="2"/>
      <c r="R1183" s="2"/>
      <c r="S1183" s="2"/>
      <c r="T1183" s="2" t="s">
        <v>20785</v>
      </c>
      <c r="U1183" s="2" t="s">
        <v>20786</v>
      </c>
      <c r="V1183" s="2" t="s">
        <v>20787</v>
      </c>
      <c r="W1183" s="2" t="s">
        <v>20788</v>
      </c>
      <c r="X1183" s="2" t="s">
        <v>20789</v>
      </c>
      <c r="Y1183" s="2" t="s">
        <v>20790</v>
      </c>
      <c r="Z1183" s="2" t="s">
        <v>20791</v>
      </c>
      <c r="AA1183" s="2"/>
      <c r="AB1183" s="2"/>
      <c r="AC1183" s="2" t="s">
        <v>5440</v>
      </c>
      <c r="AD1183" s="2" t="s">
        <v>5441</v>
      </c>
      <c r="AE1183" s="2" t="s">
        <v>20792</v>
      </c>
      <c r="AF1183" s="2"/>
      <c r="AG1183" s="2" t="n">
        <v>73</v>
      </c>
      <c r="AH1183" s="2" t="n">
        <v>4</v>
      </c>
      <c r="AI1183" s="2" t="n">
        <v>7</v>
      </c>
      <c r="AJ1183" s="2" t="n">
        <v>1</v>
      </c>
      <c r="AK1183" s="2" t="n">
        <v>15</v>
      </c>
      <c r="AL1183" s="2" t="s">
        <v>592</v>
      </c>
      <c r="AM1183" s="2" t="s">
        <v>593</v>
      </c>
      <c r="AN1183" s="2" t="s">
        <v>859</v>
      </c>
      <c r="AO1183" s="2" t="s">
        <v>3936</v>
      </c>
      <c r="AP1183" s="2" t="s">
        <v>3937</v>
      </c>
      <c r="AQ1183" s="2"/>
      <c r="AR1183" s="2" t="s">
        <v>3938</v>
      </c>
      <c r="AS1183" s="2" t="s">
        <v>3939</v>
      </c>
      <c r="AT1183" s="2" t="s">
        <v>692</v>
      </c>
      <c r="AU1183" s="2" t="n">
        <v>2013</v>
      </c>
      <c r="AV1183" s="2" t="n">
        <v>15</v>
      </c>
      <c r="AW1183" s="2" t="n">
        <v>2</v>
      </c>
      <c r="AX1183" s="2"/>
      <c r="AY1183" s="2"/>
      <c r="AZ1183" s="2"/>
      <c r="BA1183" s="2"/>
      <c r="BB1183" s="2" t="n">
        <v>177</v>
      </c>
      <c r="BC1183" s="2" t="n">
        <v>183</v>
      </c>
      <c r="BD1183" s="2"/>
      <c r="BE1183" s="2" t="s">
        <v>20793</v>
      </c>
      <c r="BF1183" s="2" t="str">
        <f aca="false">HYPERLINK("http://dx.doi.org/10.1007/s11908-013-0324-6","http://dx.doi.org/10.1007/s11908-013-0324-6")</f>
        <v>http://dx.doi.org/10.1007/s11908-013-0324-6</v>
      </c>
      <c r="BG1183" s="2"/>
      <c r="BH1183" s="2"/>
      <c r="BI1183" s="2" t="n">
        <v>7</v>
      </c>
      <c r="BJ1183" s="2" t="s">
        <v>575</v>
      </c>
      <c r="BK1183" s="2" t="s">
        <v>100</v>
      </c>
      <c r="BL1183" s="2" t="s">
        <v>575</v>
      </c>
      <c r="BM1183" s="2" t="s">
        <v>20794</v>
      </c>
      <c r="BN1183" s="2" t="n">
        <v>23371408</v>
      </c>
      <c r="BO1183" s="2" t="s">
        <v>538</v>
      </c>
      <c r="BP1183" s="2"/>
      <c r="BQ1183" s="2"/>
      <c r="BR1183" s="2" t="s">
        <v>104</v>
      </c>
      <c r="BS1183" s="2" t="s">
        <v>20795</v>
      </c>
      <c r="BT1183" s="2" t="str">
        <f aca="false">HYPERLINK("https%3A%2F%2Fwww.webofscience.com%2Fwos%2Fwoscc%2Ffull-record%2FWOS:000338286800012","View Full Record in Web of Science")</f>
        <v>View Full Record in Web of Science</v>
      </c>
    </row>
    <row r="1184" customFormat="false" ht="12.75" hidden="false" customHeight="false" outlineLevel="0" collapsed="false">
      <c r="A1184" s="2" t="s">
        <v>72</v>
      </c>
      <c r="B1184" s="2" t="s">
        <v>20796</v>
      </c>
      <c r="C1184" s="2"/>
      <c r="D1184" s="2"/>
      <c r="E1184" s="2"/>
      <c r="F1184" s="2" t="s">
        <v>20797</v>
      </c>
      <c r="G1184" s="2"/>
      <c r="H1184" s="2"/>
      <c r="I1184" s="2" t="s">
        <v>20798</v>
      </c>
      <c r="J1184" s="2" t="s">
        <v>9230</v>
      </c>
      <c r="K1184" s="2"/>
      <c r="L1184" s="2"/>
      <c r="M1184" s="2" t="s">
        <v>77</v>
      </c>
      <c r="N1184" s="2" t="s">
        <v>78</v>
      </c>
      <c r="O1184" s="2"/>
      <c r="P1184" s="2"/>
      <c r="Q1184" s="2"/>
      <c r="R1184" s="2"/>
      <c r="S1184" s="2"/>
      <c r="T1184" s="2" t="s">
        <v>20799</v>
      </c>
      <c r="U1184" s="2" t="s">
        <v>20800</v>
      </c>
      <c r="V1184" s="2" t="s">
        <v>20801</v>
      </c>
      <c r="W1184" s="2" t="s">
        <v>20802</v>
      </c>
      <c r="X1184" s="2" t="s">
        <v>20803</v>
      </c>
      <c r="Y1184" s="2" t="s">
        <v>20804</v>
      </c>
      <c r="Z1184" s="2" t="s">
        <v>20805</v>
      </c>
      <c r="AA1184" s="2" t="s">
        <v>20806</v>
      </c>
      <c r="AB1184" s="2" t="s">
        <v>20807</v>
      </c>
      <c r="AC1184" s="2" t="s">
        <v>20808</v>
      </c>
      <c r="AD1184" s="2" t="s">
        <v>20809</v>
      </c>
      <c r="AE1184" s="2" t="s">
        <v>20810</v>
      </c>
      <c r="AF1184" s="2"/>
      <c r="AG1184" s="2" t="n">
        <v>32</v>
      </c>
      <c r="AH1184" s="2" t="n">
        <v>4</v>
      </c>
      <c r="AI1184" s="2" t="n">
        <v>5</v>
      </c>
      <c r="AJ1184" s="2" t="n">
        <v>1</v>
      </c>
      <c r="AK1184" s="2" t="n">
        <v>2</v>
      </c>
      <c r="AL1184" s="2" t="s">
        <v>9243</v>
      </c>
      <c r="AM1184" s="2" t="s">
        <v>9244</v>
      </c>
      <c r="AN1184" s="2" t="s">
        <v>9245</v>
      </c>
      <c r="AO1184" s="2" t="s">
        <v>9246</v>
      </c>
      <c r="AP1184" s="2" t="s">
        <v>9247</v>
      </c>
      <c r="AQ1184" s="2"/>
      <c r="AR1184" s="2" t="s">
        <v>9248</v>
      </c>
      <c r="AS1184" s="2" t="s">
        <v>9249</v>
      </c>
      <c r="AT1184" s="2" t="s">
        <v>97</v>
      </c>
      <c r="AU1184" s="2" t="n">
        <v>2023</v>
      </c>
      <c r="AV1184" s="2" t="n">
        <v>15</v>
      </c>
      <c r="AW1184" s="2" t="n">
        <v>3</v>
      </c>
      <c r="AX1184" s="2"/>
      <c r="AY1184" s="2"/>
      <c r="AZ1184" s="2"/>
      <c r="BA1184" s="2"/>
      <c r="BB1184" s="2" t="n">
        <v>967</v>
      </c>
      <c r="BC1184" s="2" t="n">
        <v>976</v>
      </c>
      <c r="BD1184" s="2"/>
      <c r="BE1184" s="2" t="s">
        <v>20811</v>
      </c>
      <c r="BF1184" s="2" t="str">
        <f aca="false">HYPERLINK("http://dx.doi.org/10.21037/jtd-22-331","http://dx.doi.org/10.21037/jtd-22-331")</f>
        <v>http://dx.doi.org/10.21037/jtd-22-331</v>
      </c>
      <c r="BG1184" s="2"/>
      <c r="BH1184" s="2" t="s">
        <v>1919</v>
      </c>
      <c r="BI1184" s="2" t="n">
        <v>10</v>
      </c>
      <c r="BJ1184" s="2" t="s">
        <v>338</v>
      </c>
      <c r="BK1184" s="2" t="s">
        <v>100</v>
      </c>
      <c r="BL1184" s="2" t="s">
        <v>338</v>
      </c>
      <c r="BM1184" s="2" t="s">
        <v>20812</v>
      </c>
      <c r="BN1184" s="2" t="n">
        <v>37065548</v>
      </c>
      <c r="BO1184" s="2" t="s">
        <v>190</v>
      </c>
      <c r="BP1184" s="2"/>
      <c r="BQ1184" s="2"/>
      <c r="BR1184" s="2" t="s">
        <v>104</v>
      </c>
      <c r="BS1184" s="2" t="s">
        <v>20813</v>
      </c>
      <c r="BT1184" s="2" t="str">
        <f aca="false">HYPERLINK("https%3A%2F%2Fwww.webofscience.com%2Fwos%2Fwoscc%2Ffull-record%2FWOS:000937430800001","View Full Record in Web of Science")</f>
        <v>View Full Record in Web of Science</v>
      </c>
    </row>
    <row r="1185" customFormat="false" ht="12.75" hidden="false" customHeight="false" outlineLevel="0" collapsed="false">
      <c r="A1185" s="2" t="s">
        <v>72</v>
      </c>
      <c r="B1185" s="2" t="s">
        <v>20814</v>
      </c>
      <c r="C1185" s="2"/>
      <c r="D1185" s="2"/>
      <c r="E1185" s="2"/>
      <c r="F1185" s="2" t="s">
        <v>20815</v>
      </c>
      <c r="G1185" s="2"/>
      <c r="H1185" s="2"/>
      <c r="I1185" s="2" t="s">
        <v>20816</v>
      </c>
      <c r="J1185" s="2" t="s">
        <v>9230</v>
      </c>
      <c r="K1185" s="2"/>
      <c r="L1185" s="2"/>
      <c r="M1185" s="2" t="s">
        <v>77</v>
      </c>
      <c r="N1185" s="2" t="s">
        <v>78</v>
      </c>
      <c r="O1185" s="2"/>
      <c r="P1185" s="2"/>
      <c r="Q1185" s="2"/>
      <c r="R1185" s="2"/>
      <c r="S1185" s="2"/>
      <c r="T1185" s="2" t="s">
        <v>20817</v>
      </c>
      <c r="U1185" s="2" t="s">
        <v>20818</v>
      </c>
      <c r="V1185" s="2" t="s">
        <v>20819</v>
      </c>
      <c r="W1185" s="2" t="s">
        <v>20820</v>
      </c>
      <c r="X1185" s="2" t="s">
        <v>20821</v>
      </c>
      <c r="Y1185" s="2" t="s">
        <v>20822</v>
      </c>
      <c r="Z1185" s="2" t="s">
        <v>20823</v>
      </c>
      <c r="AA1185" s="2" t="s">
        <v>20824</v>
      </c>
      <c r="AB1185" s="2" t="s">
        <v>20825</v>
      </c>
      <c r="AC1185" s="2" t="s">
        <v>20826</v>
      </c>
      <c r="AD1185" s="2" t="s">
        <v>20827</v>
      </c>
      <c r="AE1185" s="2" t="s">
        <v>20828</v>
      </c>
      <c r="AF1185" s="2"/>
      <c r="AG1185" s="2" t="n">
        <v>27</v>
      </c>
      <c r="AH1185" s="2" t="n">
        <v>29</v>
      </c>
      <c r="AI1185" s="2" t="n">
        <v>34</v>
      </c>
      <c r="AJ1185" s="2" t="n">
        <v>1</v>
      </c>
      <c r="AK1185" s="2" t="n">
        <v>14</v>
      </c>
      <c r="AL1185" s="2" t="s">
        <v>9243</v>
      </c>
      <c r="AM1185" s="2" t="s">
        <v>9244</v>
      </c>
      <c r="AN1185" s="2" t="s">
        <v>9245</v>
      </c>
      <c r="AO1185" s="2" t="s">
        <v>9246</v>
      </c>
      <c r="AP1185" s="2" t="s">
        <v>9247</v>
      </c>
      <c r="AQ1185" s="2"/>
      <c r="AR1185" s="2" t="s">
        <v>9248</v>
      </c>
      <c r="AS1185" s="2" t="s">
        <v>9249</v>
      </c>
      <c r="AT1185" s="2" t="s">
        <v>599</v>
      </c>
      <c r="AU1185" s="2" t="n">
        <v>2018</v>
      </c>
      <c r="AV1185" s="2" t="n">
        <v>10</v>
      </c>
      <c r="AW1185" s="2" t="n">
        <v>7</v>
      </c>
      <c r="AX1185" s="2"/>
      <c r="AY1185" s="2"/>
      <c r="AZ1185" s="2"/>
      <c r="BA1185" s="2"/>
      <c r="BB1185" s="2" t="n">
        <v>4387</v>
      </c>
      <c r="BC1185" s="2" t="s">
        <v>986</v>
      </c>
      <c r="BD1185" s="2"/>
      <c r="BE1185" s="2" t="s">
        <v>20829</v>
      </c>
      <c r="BF1185" s="2" t="str">
        <f aca="false">HYPERLINK("http://dx.doi.org/10.21037/jtd.2018.06.33","http://dx.doi.org/10.21037/jtd.2018.06.33")</f>
        <v>http://dx.doi.org/10.21037/jtd.2018.06.33</v>
      </c>
      <c r="BG1185" s="2"/>
      <c r="BH1185" s="2"/>
      <c r="BI1185" s="2" t="n">
        <v>11</v>
      </c>
      <c r="BJ1185" s="2" t="s">
        <v>338</v>
      </c>
      <c r="BK1185" s="2" t="s">
        <v>100</v>
      </c>
      <c r="BL1185" s="2" t="s">
        <v>338</v>
      </c>
      <c r="BM1185" s="2" t="s">
        <v>20830</v>
      </c>
      <c r="BN1185" s="2" t="n">
        <v>30174887</v>
      </c>
      <c r="BO1185" s="2" t="s">
        <v>165</v>
      </c>
      <c r="BP1185" s="2"/>
      <c r="BQ1185" s="2"/>
      <c r="BR1185" s="2" t="s">
        <v>104</v>
      </c>
      <c r="BS1185" s="2" t="s">
        <v>20831</v>
      </c>
      <c r="BT1185" s="2" t="str">
        <f aca="false">HYPERLINK("https%3A%2F%2Fwww.webofscience.com%2Fwos%2Fwoscc%2Ffull-record%2FWOS:000440380200079","View Full Record in Web of Science")</f>
        <v>View Full Record in Web of Science</v>
      </c>
    </row>
    <row r="1186" customFormat="false" ht="12.75" hidden="false" customHeight="false" outlineLevel="0" collapsed="false">
      <c r="A1186" s="2" t="s">
        <v>72</v>
      </c>
      <c r="B1186" s="2" t="s">
        <v>20832</v>
      </c>
      <c r="C1186" s="2"/>
      <c r="D1186" s="2"/>
      <c r="E1186" s="2"/>
      <c r="F1186" s="2" t="s">
        <v>20833</v>
      </c>
      <c r="G1186" s="2"/>
      <c r="H1186" s="2"/>
      <c r="I1186" s="2" t="s">
        <v>20834</v>
      </c>
      <c r="J1186" s="2" t="s">
        <v>141</v>
      </c>
      <c r="K1186" s="2"/>
      <c r="L1186" s="2"/>
      <c r="M1186" s="2" t="s">
        <v>77</v>
      </c>
      <c r="N1186" s="2" t="s">
        <v>78</v>
      </c>
      <c r="O1186" s="2"/>
      <c r="P1186" s="2"/>
      <c r="Q1186" s="2"/>
      <c r="R1186" s="2"/>
      <c r="S1186" s="2"/>
      <c r="T1186" s="2" t="s">
        <v>20835</v>
      </c>
      <c r="U1186" s="2" t="s">
        <v>20836</v>
      </c>
      <c r="V1186" s="2" t="s">
        <v>20837</v>
      </c>
      <c r="W1186" s="2" t="s">
        <v>20838</v>
      </c>
      <c r="X1186" s="2" t="s">
        <v>20839</v>
      </c>
      <c r="Y1186" s="2" t="s">
        <v>20840</v>
      </c>
      <c r="Z1186" s="2" t="s">
        <v>20841</v>
      </c>
      <c r="AA1186" s="2" t="s">
        <v>20842</v>
      </c>
      <c r="AB1186" s="2" t="s">
        <v>20843</v>
      </c>
      <c r="AC1186" s="2" t="s">
        <v>20844</v>
      </c>
      <c r="AD1186" s="2" t="s">
        <v>20845</v>
      </c>
      <c r="AE1186" s="2" t="s">
        <v>20844</v>
      </c>
      <c r="AF1186" s="2"/>
      <c r="AG1186" s="2" t="n">
        <v>19</v>
      </c>
      <c r="AH1186" s="2" t="n">
        <v>3</v>
      </c>
      <c r="AI1186" s="2" t="n">
        <v>3</v>
      </c>
      <c r="AJ1186" s="2" t="n">
        <v>5</v>
      </c>
      <c r="AK1186" s="2" t="n">
        <v>16</v>
      </c>
      <c r="AL1186" s="2" t="s">
        <v>154</v>
      </c>
      <c r="AM1186" s="2" t="s">
        <v>155</v>
      </c>
      <c r="AN1186" s="2" t="s">
        <v>156</v>
      </c>
      <c r="AO1186" s="2" t="s">
        <v>157</v>
      </c>
      <c r="AP1186" s="2" t="s">
        <v>158</v>
      </c>
      <c r="AQ1186" s="2"/>
      <c r="AR1186" s="2" t="s">
        <v>159</v>
      </c>
      <c r="AS1186" s="2" t="s">
        <v>160</v>
      </c>
      <c r="AT1186" s="2" t="s">
        <v>692</v>
      </c>
      <c r="AU1186" s="2" t="n">
        <v>2023</v>
      </c>
      <c r="AV1186" s="2" t="n">
        <v>95</v>
      </c>
      <c r="AW1186" s="2" t="n">
        <v>4</v>
      </c>
      <c r="AX1186" s="2"/>
      <c r="AY1186" s="2"/>
      <c r="AZ1186" s="2"/>
      <c r="BA1186" s="2"/>
      <c r="BB1186" s="2"/>
      <c r="BC1186" s="2"/>
      <c r="BD1186" s="2"/>
      <c r="BE1186" s="2" t="s">
        <v>20846</v>
      </c>
      <c r="BF1186" s="2" t="str">
        <f aca="false">HYPERLINK("http://dx.doi.org/10.1002/jmv.28692","http://dx.doi.org/10.1002/jmv.28692")</f>
        <v>http://dx.doi.org/10.1002/jmv.28692</v>
      </c>
      <c r="BG1186" s="2"/>
      <c r="BH1186" s="2"/>
      <c r="BI1186" s="2" t="n">
        <v>6</v>
      </c>
      <c r="BJ1186" s="2" t="s">
        <v>163</v>
      </c>
      <c r="BK1186" s="2" t="s">
        <v>100</v>
      </c>
      <c r="BL1186" s="2" t="s">
        <v>163</v>
      </c>
      <c r="BM1186" s="2" t="s">
        <v>20847</v>
      </c>
      <c r="BN1186" s="2" t="n">
        <v>36946502</v>
      </c>
      <c r="BO1186" s="2"/>
      <c r="BP1186" s="2"/>
      <c r="BQ1186" s="2"/>
      <c r="BR1186" s="2" t="s">
        <v>104</v>
      </c>
      <c r="BS1186" s="2" t="s">
        <v>20848</v>
      </c>
      <c r="BT1186" s="2" t="str">
        <f aca="false">HYPERLINK("https%3A%2F%2Fwww.webofscience.com%2Fwos%2Fwoscc%2Ffull-record%2FWOS:000989594000035","View Full Record in Web of Science")</f>
        <v>View Full Record in Web of Science</v>
      </c>
    </row>
    <row r="1187" customFormat="false" ht="12.75" hidden="false" customHeight="false" outlineLevel="0" collapsed="false">
      <c r="A1187" s="2" t="s">
        <v>72</v>
      </c>
      <c r="B1187" s="2" t="s">
        <v>20849</v>
      </c>
      <c r="C1187" s="2"/>
      <c r="D1187" s="2"/>
      <c r="E1187" s="2"/>
      <c r="F1187" s="2" t="s">
        <v>20850</v>
      </c>
      <c r="G1187" s="2"/>
      <c r="H1187" s="2"/>
      <c r="I1187" s="2" t="s">
        <v>20851</v>
      </c>
      <c r="J1187" s="2" t="s">
        <v>4366</v>
      </c>
      <c r="K1187" s="2"/>
      <c r="L1187" s="2"/>
      <c r="M1187" s="2" t="s">
        <v>77</v>
      </c>
      <c r="N1187" s="2" t="s">
        <v>78</v>
      </c>
      <c r="O1187" s="2"/>
      <c r="P1187" s="2"/>
      <c r="Q1187" s="2"/>
      <c r="R1187" s="2"/>
      <c r="S1187" s="2"/>
      <c r="T1187" s="2" t="s">
        <v>20852</v>
      </c>
      <c r="U1187" s="2" t="s">
        <v>20853</v>
      </c>
      <c r="V1187" s="2" t="s">
        <v>20854</v>
      </c>
      <c r="W1187" s="2" t="s">
        <v>20855</v>
      </c>
      <c r="X1187" s="2" t="s">
        <v>6500</v>
      </c>
      <c r="Y1187" s="2" t="s">
        <v>20856</v>
      </c>
      <c r="Z1187" s="2" t="s">
        <v>20857</v>
      </c>
      <c r="AA1187" s="2" t="s">
        <v>20858</v>
      </c>
      <c r="AB1187" s="2" t="s">
        <v>20859</v>
      </c>
      <c r="AC1187" s="2"/>
      <c r="AD1187" s="2"/>
      <c r="AE1187" s="2"/>
      <c r="AF1187" s="2"/>
      <c r="AG1187" s="2" t="n">
        <v>41</v>
      </c>
      <c r="AH1187" s="2" t="n">
        <v>16</v>
      </c>
      <c r="AI1187" s="2" t="n">
        <v>17</v>
      </c>
      <c r="AJ1187" s="2" t="n">
        <v>0</v>
      </c>
      <c r="AK1187" s="2" t="n">
        <v>4</v>
      </c>
      <c r="AL1187" s="2" t="s">
        <v>620</v>
      </c>
      <c r="AM1187" s="2" t="s">
        <v>621</v>
      </c>
      <c r="AN1187" s="2" t="s">
        <v>622</v>
      </c>
      <c r="AO1187" s="2"/>
      <c r="AP1187" s="2" t="s">
        <v>4376</v>
      </c>
      <c r="AQ1187" s="2"/>
      <c r="AR1187" s="2" t="s">
        <v>4377</v>
      </c>
      <c r="AS1187" s="2" t="s">
        <v>4378</v>
      </c>
      <c r="AT1187" s="2" t="s">
        <v>5884</v>
      </c>
      <c r="AU1187" s="2" t="n">
        <v>2022</v>
      </c>
      <c r="AV1187" s="2" t="n">
        <v>10</v>
      </c>
      <c r="AW1187" s="2"/>
      <c r="AX1187" s="2"/>
      <c r="AY1187" s="2"/>
      <c r="AZ1187" s="2"/>
      <c r="BA1187" s="2"/>
      <c r="BB1187" s="2"/>
      <c r="BC1187" s="2"/>
      <c r="BD1187" s="2" t="n">
        <v>959319</v>
      </c>
      <c r="BE1187" s="2" t="s">
        <v>20860</v>
      </c>
      <c r="BF1187" s="2" t="str">
        <f aca="false">HYPERLINK("http://dx.doi.org/10.3389/fpubh.2022.959319","http://dx.doi.org/10.3389/fpubh.2022.959319")</f>
        <v>http://dx.doi.org/10.3389/fpubh.2022.959319</v>
      </c>
      <c r="BG1187" s="2"/>
      <c r="BH1187" s="2"/>
      <c r="BI1187" s="2" t="n">
        <v>12</v>
      </c>
      <c r="BJ1187" s="2" t="s">
        <v>1353</v>
      </c>
      <c r="BK1187" s="2" t="s">
        <v>1086</v>
      </c>
      <c r="BL1187" s="2" t="s">
        <v>1353</v>
      </c>
      <c r="BM1187" s="2" t="s">
        <v>20861</v>
      </c>
      <c r="BN1187" s="2" t="n">
        <v>36117597</v>
      </c>
      <c r="BO1187" s="2" t="s">
        <v>103</v>
      </c>
      <c r="BP1187" s="2"/>
      <c r="BQ1187" s="2"/>
      <c r="BR1187" s="2" t="s">
        <v>104</v>
      </c>
      <c r="BS1187" s="2" t="s">
        <v>20862</v>
      </c>
      <c r="BT1187" s="2" t="str">
        <f aca="false">HYPERLINK("https%3A%2F%2Fwww.webofscience.com%2Fwos%2Fwoscc%2Ffull-record%2FWOS:000854996700001","View Full Record in Web of Science")</f>
        <v>View Full Record in Web of Science</v>
      </c>
    </row>
    <row r="1188" customFormat="false" ht="12.75" hidden="false" customHeight="false" outlineLevel="0" collapsed="false">
      <c r="A1188" s="2" t="s">
        <v>72</v>
      </c>
      <c r="B1188" s="2" t="s">
        <v>20863</v>
      </c>
      <c r="C1188" s="2"/>
      <c r="D1188" s="2"/>
      <c r="E1188" s="2"/>
      <c r="F1188" s="2" t="s">
        <v>20864</v>
      </c>
      <c r="G1188" s="2"/>
      <c r="H1188" s="2"/>
      <c r="I1188" s="2" t="s">
        <v>20865</v>
      </c>
      <c r="J1188" s="2" t="s">
        <v>4366</v>
      </c>
      <c r="K1188" s="2"/>
      <c r="L1188" s="2"/>
      <c r="M1188" s="2" t="s">
        <v>77</v>
      </c>
      <c r="N1188" s="2" t="s">
        <v>78</v>
      </c>
      <c r="O1188" s="2"/>
      <c r="P1188" s="2"/>
      <c r="Q1188" s="2"/>
      <c r="R1188" s="2"/>
      <c r="S1188" s="2"/>
      <c r="T1188" s="2" t="s">
        <v>20866</v>
      </c>
      <c r="U1188" s="2" t="s">
        <v>20867</v>
      </c>
      <c r="V1188" s="2" t="s">
        <v>20868</v>
      </c>
      <c r="W1188" s="2" t="s">
        <v>20869</v>
      </c>
      <c r="X1188" s="2" t="s">
        <v>20870</v>
      </c>
      <c r="Y1188" s="2" t="s">
        <v>20871</v>
      </c>
      <c r="Z1188" s="2" t="s">
        <v>20872</v>
      </c>
      <c r="AA1188" s="2" t="s">
        <v>20873</v>
      </c>
      <c r="AB1188" s="2" t="s">
        <v>20874</v>
      </c>
      <c r="AC1188" s="2" t="s">
        <v>20875</v>
      </c>
      <c r="AD1188" s="2" t="s">
        <v>20876</v>
      </c>
      <c r="AE1188" s="2" t="s">
        <v>20877</v>
      </c>
      <c r="AF1188" s="2"/>
      <c r="AG1188" s="2" t="n">
        <v>73</v>
      </c>
      <c r="AH1188" s="2" t="n">
        <v>5</v>
      </c>
      <c r="AI1188" s="2" t="n">
        <v>5</v>
      </c>
      <c r="AJ1188" s="2" t="n">
        <v>1</v>
      </c>
      <c r="AK1188" s="2" t="n">
        <v>3</v>
      </c>
      <c r="AL1188" s="2" t="s">
        <v>620</v>
      </c>
      <c r="AM1188" s="2" t="s">
        <v>621</v>
      </c>
      <c r="AN1188" s="2" t="s">
        <v>622</v>
      </c>
      <c r="AO1188" s="2"/>
      <c r="AP1188" s="2" t="s">
        <v>4376</v>
      </c>
      <c r="AQ1188" s="2"/>
      <c r="AR1188" s="2" t="s">
        <v>4377</v>
      </c>
      <c r="AS1188" s="2" t="s">
        <v>4378</v>
      </c>
      <c r="AT1188" s="2" t="s">
        <v>880</v>
      </c>
      <c r="AU1188" s="2" t="n">
        <v>2023</v>
      </c>
      <c r="AV1188" s="2" t="n">
        <v>11</v>
      </c>
      <c r="AW1188" s="2"/>
      <c r="AX1188" s="2"/>
      <c r="AY1188" s="2"/>
      <c r="AZ1188" s="2"/>
      <c r="BA1188" s="2"/>
      <c r="BB1188" s="2"/>
      <c r="BC1188" s="2"/>
      <c r="BD1188" s="2" t="n">
        <v>1264632</v>
      </c>
      <c r="BE1188" s="2" t="s">
        <v>20878</v>
      </c>
      <c r="BF1188" s="2" t="str">
        <f aca="false">HYPERLINK("http://dx.doi.org/10.3389/fpubh.2023.1264632","http://dx.doi.org/10.3389/fpubh.2023.1264632")</f>
        <v>http://dx.doi.org/10.3389/fpubh.2023.1264632</v>
      </c>
      <c r="BG1188" s="2"/>
      <c r="BH1188" s="2"/>
      <c r="BI1188" s="2" t="n">
        <v>10</v>
      </c>
      <c r="BJ1188" s="2" t="s">
        <v>1353</v>
      </c>
      <c r="BK1188" s="2" t="s">
        <v>1086</v>
      </c>
      <c r="BL1188" s="2" t="s">
        <v>1353</v>
      </c>
      <c r="BM1188" s="2" t="s">
        <v>20879</v>
      </c>
      <c r="BN1188" s="2" t="n">
        <v>37965509</v>
      </c>
      <c r="BO1188" s="2" t="s">
        <v>1355</v>
      </c>
      <c r="BP1188" s="2"/>
      <c r="BQ1188" s="2"/>
      <c r="BR1188" s="2" t="s">
        <v>104</v>
      </c>
      <c r="BS1188" s="2" t="s">
        <v>20880</v>
      </c>
      <c r="BT1188" s="2" t="str">
        <f aca="false">HYPERLINK("https%3A%2F%2Fwww.webofscience.com%2Fwos%2Fwoscc%2Ffull-record%2FWOS:001103592700001","View Full Record in Web of Science")</f>
        <v>View Full Record in Web of Science</v>
      </c>
    </row>
    <row r="1189" customFormat="false" ht="12.75" hidden="false" customHeight="false" outlineLevel="0" collapsed="false">
      <c r="A1189" s="2" t="s">
        <v>72</v>
      </c>
      <c r="B1189" s="2" t="s">
        <v>20881</v>
      </c>
      <c r="C1189" s="2"/>
      <c r="D1189" s="2"/>
      <c r="E1189" s="2"/>
      <c r="F1189" s="2" t="s">
        <v>20882</v>
      </c>
      <c r="G1189" s="2"/>
      <c r="H1189" s="2"/>
      <c r="I1189" s="2" t="s">
        <v>20883</v>
      </c>
      <c r="J1189" s="2" t="s">
        <v>141</v>
      </c>
      <c r="K1189" s="2"/>
      <c r="L1189" s="2"/>
      <c r="M1189" s="2" t="s">
        <v>77</v>
      </c>
      <c r="N1189" s="2" t="s">
        <v>78</v>
      </c>
      <c r="O1189" s="2"/>
      <c r="P1189" s="2"/>
      <c r="Q1189" s="2"/>
      <c r="R1189" s="2"/>
      <c r="S1189" s="2"/>
      <c r="T1189" s="2" t="s">
        <v>20884</v>
      </c>
      <c r="U1189" s="2" t="s">
        <v>20885</v>
      </c>
      <c r="V1189" s="2" t="s">
        <v>20886</v>
      </c>
      <c r="W1189" s="2" t="s">
        <v>20887</v>
      </c>
      <c r="X1189" s="2" t="s">
        <v>20888</v>
      </c>
      <c r="Y1189" s="2" t="s">
        <v>20889</v>
      </c>
      <c r="Z1189" s="2" t="s">
        <v>20890</v>
      </c>
      <c r="AA1189" s="2" t="s">
        <v>20891</v>
      </c>
      <c r="AB1189" s="2" t="s">
        <v>20892</v>
      </c>
      <c r="AC1189" s="2" t="s">
        <v>20893</v>
      </c>
      <c r="AD1189" s="2" t="s">
        <v>20893</v>
      </c>
      <c r="AE1189" s="2" t="s">
        <v>20894</v>
      </c>
      <c r="AF1189" s="2"/>
      <c r="AG1189" s="2" t="n">
        <v>51</v>
      </c>
      <c r="AH1189" s="2" t="n">
        <v>29</v>
      </c>
      <c r="AI1189" s="2" t="n">
        <v>29</v>
      </c>
      <c r="AJ1189" s="2" t="n">
        <v>1</v>
      </c>
      <c r="AK1189" s="2" t="n">
        <v>11</v>
      </c>
      <c r="AL1189" s="2" t="s">
        <v>154</v>
      </c>
      <c r="AM1189" s="2" t="s">
        <v>155</v>
      </c>
      <c r="AN1189" s="2" t="s">
        <v>156</v>
      </c>
      <c r="AO1189" s="2" t="s">
        <v>157</v>
      </c>
      <c r="AP1189" s="2" t="s">
        <v>158</v>
      </c>
      <c r="AQ1189" s="2"/>
      <c r="AR1189" s="2" t="s">
        <v>159</v>
      </c>
      <c r="AS1189" s="2" t="s">
        <v>160</v>
      </c>
      <c r="AT1189" s="2" t="s">
        <v>599</v>
      </c>
      <c r="AU1189" s="2" t="n">
        <v>2019</v>
      </c>
      <c r="AV1189" s="2" t="n">
        <v>91</v>
      </c>
      <c r="AW1189" s="2" t="n">
        <v>7</v>
      </c>
      <c r="AX1189" s="2"/>
      <c r="AY1189" s="2"/>
      <c r="AZ1189" s="2"/>
      <c r="BA1189" s="2"/>
      <c r="BB1189" s="2" t="n">
        <v>1191</v>
      </c>
      <c r="BC1189" s="2" t="n">
        <v>1201</v>
      </c>
      <c r="BD1189" s="2"/>
      <c r="BE1189" s="2" t="s">
        <v>20895</v>
      </c>
      <c r="BF1189" s="2" t="str">
        <f aca="false">HYPERLINK("http://dx.doi.org/10.1002/jmv.25432","http://dx.doi.org/10.1002/jmv.25432")</f>
        <v>http://dx.doi.org/10.1002/jmv.25432</v>
      </c>
      <c r="BG1189" s="2"/>
      <c r="BH1189" s="2"/>
      <c r="BI1189" s="2" t="n">
        <v>11</v>
      </c>
      <c r="BJ1189" s="2" t="s">
        <v>163</v>
      </c>
      <c r="BK1189" s="2" t="s">
        <v>100</v>
      </c>
      <c r="BL1189" s="2" t="s">
        <v>163</v>
      </c>
      <c r="BM1189" s="2" t="s">
        <v>14345</v>
      </c>
      <c r="BN1189" s="2" t="n">
        <v>30763464</v>
      </c>
      <c r="BO1189" s="2" t="s">
        <v>538</v>
      </c>
      <c r="BP1189" s="2"/>
      <c r="BQ1189" s="2"/>
      <c r="BR1189" s="2" t="s">
        <v>104</v>
      </c>
      <c r="BS1189" s="2" t="s">
        <v>20896</v>
      </c>
      <c r="BT1189" s="2" t="str">
        <f aca="false">HYPERLINK("https%3A%2F%2Fwww.webofscience.com%2Fwos%2Fwoscc%2Ffull-record%2FWOS:000471755300003","View Full Record in Web of Science")</f>
        <v>View Full Record in Web of Science</v>
      </c>
    </row>
    <row r="1190" customFormat="false" ht="12.75" hidden="false" customHeight="false" outlineLevel="0" collapsed="false">
      <c r="A1190" s="2" t="s">
        <v>72</v>
      </c>
      <c r="B1190" s="2" t="s">
        <v>20897</v>
      </c>
      <c r="C1190" s="2"/>
      <c r="D1190" s="2"/>
      <c r="E1190" s="2"/>
      <c r="F1190" s="2" t="s">
        <v>20898</v>
      </c>
      <c r="G1190" s="2"/>
      <c r="H1190" s="2"/>
      <c r="I1190" s="2" t="s">
        <v>20899</v>
      </c>
      <c r="J1190" s="2" t="s">
        <v>493</v>
      </c>
      <c r="K1190" s="2"/>
      <c r="L1190" s="2"/>
      <c r="M1190" s="2" t="s">
        <v>77</v>
      </c>
      <c r="N1190" s="2" t="s">
        <v>78</v>
      </c>
      <c r="O1190" s="2"/>
      <c r="P1190" s="2"/>
      <c r="Q1190" s="2"/>
      <c r="R1190" s="2"/>
      <c r="S1190" s="2"/>
      <c r="T1190" s="2" t="s">
        <v>20900</v>
      </c>
      <c r="U1190" s="2" t="s">
        <v>20901</v>
      </c>
      <c r="V1190" s="2" t="s">
        <v>20902</v>
      </c>
      <c r="W1190" s="2" t="s">
        <v>20903</v>
      </c>
      <c r="X1190" s="2" t="s">
        <v>20904</v>
      </c>
      <c r="Y1190" s="2" t="s">
        <v>20905</v>
      </c>
      <c r="Z1190" s="2" t="s">
        <v>20906</v>
      </c>
      <c r="AA1190" s="2"/>
      <c r="AB1190" s="2"/>
      <c r="AC1190" s="2" t="s">
        <v>20907</v>
      </c>
      <c r="AD1190" s="2" t="s">
        <v>20907</v>
      </c>
      <c r="AE1190" s="2" t="s">
        <v>3970</v>
      </c>
      <c r="AF1190" s="2"/>
      <c r="AG1190" s="2" t="n">
        <v>36</v>
      </c>
      <c r="AH1190" s="2" t="n">
        <v>0</v>
      </c>
      <c r="AI1190" s="2" t="n">
        <v>0</v>
      </c>
      <c r="AJ1190" s="2" t="n">
        <v>3</v>
      </c>
      <c r="AK1190" s="2" t="n">
        <v>5</v>
      </c>
      <c r="AL1190" s="2" t="s">
        <v>91</v>
      </c>
      <c r="AM1190" s="2" t="s">
        <v>92</v>
      </c>
      <c r="AN1190" s="2" t="s">
        <v>93</v>
      </c>
      <c r="AO1190" s="2"/>
      <c r="AP1190" s="2" t="s">
        <v>506</v>
      </c>
      <c r="AQ1190" s="2"/>
      <c r="AR1190" s="2" t="s">
        <v>493</v>
      </c>
      <c r="AS1190" s="2" t="s">
        <v>507</v>
      </c>
      <c r="AT1190" s="2" t="s">
        <v>692</v>
      </c>
      <c r="AU1190" s="2" t="n">
        <v>2024</v>
      </c>
      <c r="AV1190" s="2" t="n">
        <v>16</v>
      </c>
      <c r="AW1190" s="2" t="n">
        <v>4</v>
      </c>
      <c r="AX1190" s="2"/>
      <c r="AY1190" s="2"/>
      <c r="AZ1190" s="2"/>
      <c r="BA1190" s="2"/>
      <c r="BB1190" s="2"/>
      <c r="BC1190" s="2"/>
      <c r="BD1190" s="2" t="n">
        <v>540</v>
      </c>
      <c r="BE1190" s="2" t="s">
        <v>20908</v>
      </c>
      <c r="BF1190" s="2" t="str">
        <f aca="false">HYPERLINK("http://dx.doi.org/10.3390/v16040540","http://dx.doi.org/10.3390/v16040540")</f>
        <v>http://dx.doi.org/10.3390/v16040540</v>
      </c>
      <c r="BG1190" s="2"/>
      <c r="BH1190" s="2"/>
      <c r="BI1190" s="2" t="n">
        <v>12</v>
      </c>
      <c r="BJ1190" s="2" t="s">
        <v>163</v>
      </c>
      <c r="BK1190" s="2" t="s">
        <v>100</v>
      </c>
      <c r="BL1190" s="2" t="s">
        <v>163</v>
      </c>
      <c r="BM1190" s="2" t="s">
        <v>20909</v>
      </c>
      <c r="BN1190" s="2" t="n">
        <v>38675883</v>
      </c>
      <c r="BO1190" s="2" t="s">
        <v>190</v>
      </c>
      <c r="BP1190" s="2"/>
      <c r="BQ1190" s="2"/>
      <c r="BR1190" s="2" t="s">
        <v>104</v>
      </c>
      <c r="BS1190" s="2" t="s">
        <v>20910</v>
      </c>
      <c r="BT1190" s="2" t="str">
        <f aca="false">HYPERLINK("https%3A%2F%2Fwww.webofscience.com%2Fwos%2Fwoscc%2Ffull-record%2FWOS:001210293000001","View Full Record in Web of Science")</f>
        <v>View Full Record in Web of Science</v>
      </c>
    </row>
    <row r="1191" customFormat="false" ht="12.75" hidden="false" customHeight="false" outlineLevel="0" collapsed="false">
      <c r="A1191" s="2" t="s">
        <v>72</v>
      </c>
      <c r="B1191" s="2" t="s">
        <v>20911</v>
      </c>
      <c r="C1191" s="2"/>
      <c r="D1191" s="2"/>
      <c r="E1191" s="2"/>
      <c r="F1191" s="2" t="s">
        <v>20912</v>
      </c>
      <c r="G1191" s="2"/>
      <c r="H1191" s="2"/>
      <c r="I1191" s="2" t="s">
        <v>20913</v>
      </c>
      <c r="J1191" s="2" t="s">
        <v>141</v>
      </c>
      <c r="K1191" s="2"/>
      <c r="L1191" s="2"/>
      <c r="M1191" s="2" t="s">
        <v>77</v>
      </c>
      <c r="N1191" s="2" t="s">
        <v>78</v>
      </c>
      <c r="O1191" s="2"/>
      <c r="P1191" s="2"/>
      <c r="Q1191" s="2"/>
      <c r="R1191" s="2"/>
      <c r="S1191" s="2"/>
      <c r="T1191" s="2" t="s">
        <v>20914</v>
      </c>
      <c r="U1191" s="2" t="s">
        <v>20915</v>
      </c>
      <c r="V1191" s="2" t="s">
        <v>20916</v>
      </c>
      <c r="W1191" s="2" t="s">
        <v>20917</v>
      </c>
      <c r="X1191" s="2" t="s">
        <v>20918</v>
      </c>
      <c r="Y1191" s="2" t="s">
        <v>20919</v>
      </c>
      <c r="Z1191" s="2" t="s">
        <v>16991</v>
      </c>
      <c r="AA1191" s="2"/>
      <c r="AB1191" s="2"/>
      <c r="AC1191" s="2" t="s">
        <v>20920</v>
      </c>
      <c r="AD1191" s="2" t="s">
        <v>20921</v>
      </c>
      <c r="AE1191" s="2" t="s">
        <v>20922</v>
      </c>
      <c r="AF1191" s="2"/>
      <c r="AG1191" s="2" t="n">
        <v>10</v>
      </c>
      <c r="AH1191" s="2" t="n">
        <v>0</v>
      </c>
      <c r="AI1191" s="2" t="n">
        <v>0</v>
      </c>
      <c r="AJ1191" s="2" t="n">
        <v>0</v>
      </c>
      <c r="AK1191" s="2" t="n">
        <v>0</v>
      </c>
      <c r="AL1191" s="2" t="s">
        <v>154</v>
      </c>
      <c r="AM1191" s="2" t="s">
        <v>155</v>
      </c>
      <c r="AN1191" s="2" t="s">
        <v>156</v>
      </c>
      <c r="AO1191" s="2" t="s">
        <v>157</v>
      </c>
      <c r="AP1191" s="2" t="s">
        <v>158</v>
      </c>
      <c r="AQ1191" s="2"/>
      <c r="AR1191" s="2" t="s">
        <v>159</v>
      </c>
      <c r="AS1191" s="2" t="s">
        <v>160</v>
      </c>
      <c r="AT1191" s="2" t="s">
        <v>804</v>
      </c>
      <c r="AU1191" s="2" t="n">
        <v>2024</v>
      </c>
      <c r="AV1191" s="2" t="n">
        <v>96</v>
      </c>
      <c r="AW1191" s="2" t="n">
        <v>11</v>
      </c>
      <c r="AX1191" s="2"/>
      <c r="AY1191" s="2"/>
      <c r="AZ1191" s="2"/>
      <c r="BA1191" s="2"/>
      <c r="BB1191" s="2"/>
      <c r="BC1191" s="2"/>
      <c r="BD1191" s="2" t="s">
        <v>20923</v>
      </c>
      <c r="BE1191" s="2" t="s">
        <v>20924</v>
      </c>
      <c r="BF1191" s="2" t="str">
        <f aca="false">HYPERLINK("http://dx.doi.org/10.1002/jmv.70054","http://dx.doi.org/10.1002/jmv.70054")</f>
        <v>http://dx.doi.org/10.1002/jmv.70054</v>
      </c>
      <c r="BG1191" s="2"/>
      <c r="BH1191" s="2"/>
      <c r="BI1191" s="2" t="n">
        <v>3</v>
      </c>
      <c r="BJ1191" s="2" t="s">
        <v>163</v>
      </c>
      <c r="BK1191" s="2" t="s">
        <v>100</v>
      </c>
      <c r="BL1191" s="2" t="s">
        <v>163</v>
      </c>
      <c r="BM1191" s="2" t="s">
        <v>20925</v>
      </c>
      <c r="BN1191" s="2" t="n">
        <v>39531249</v>
      </c>
      <c r="BO1191" s="2"/>
      <c r="BP1191" s="2"/>
      <c r="BQ1191" s="2"/>
      <c r="BR1191" s="2" t="s">
        <v>104</v>
      </c>
      <c r="BS1191" s="2" t="s">
        <v>20926</v>
      </c>
      <c r="BT1191" s="2" t="str">
        <f aca="false">HYPERLINK("https%3A%2F%2Fwww.webofscience.com%2Fwos%2Fwoscc%2Ffull-record%2FWOS:001368641600001","View Full Record in Web of Science")</f>
        <v>View Full Record in Web of Science</v>
      </c>
    </row>
    <row r="1192" customFormat="false" ht="12.75" hidden="false" customHeight="false" outlineLevel="0" collapsed="false">
      <c r="A1192" s="2" t="s">
        <v>72</v>
      </c>
      <c r="B1192" s="2" t="s">
        <v>20927</v>
      </c>
      <c r="C1192" s="2"/>
      <c r="D1192" s="2"/>
      <c r="E1192" s="2"/>
      <c r="F1192" s="2" t="s">
        <v>20928</v>
      </c>
      <c r="G1192" s="2"/>
      <c r="H1192" s="2"/>
      <c r="I1192" s="2" t="s">
        <v>20929</v>
      </c>
      <c r="J1192" s="2" t="s">
        <v>11019</v>
      </c>
      <c r="K1192" s="2"/>
      <c r="L1192" s="2"/>
      <c r="M1192" s="2" t="s">
        <v>77</v>
      </c>
      <c r="N1192" s="2" t="s">
        <v>78</v>
      </c>
      <c r="O1192" s="2"/>
      <c r="P1192" s="2"/>
      <c r="Q1192" s="2"/>
      <c r="R1192" s="2"/>
      <c r="S1192" s="2"/>
      <c r="T1192" s="2" t="s">
        <v>20930</v>
      </c>
      <c r="U1192" s="2" t="s">
        <v>20931</v>
      </c>
      <c r="V1192" s="2" t="s">
        <v>20932</v>
      </c>
      <c r="W1192" s="2" t="s">
        <v>20933</v>
      </c>
      <c r="X1192" s="2" t="s">
        <v>20934</v>
      </c>
      <c r="Y1192" s="2" t="s">
        <v>20935</v>
      </c>
      <c r="Z1192" s="2" t="s">
        <v>20936</v>
      </c>
      <c r="AA1192" s="2" t="s">
        <v>4210</v>
      </c>
      <c r="AB1192" s="2" t="s">
        <v>20937</v>
      </c>
      <c r="AC1192" s="2" t="s">
        <v>20938</v>
      </c>
      <c r="AD1192" s="2" t="s">
        <v>20939</v>
      </c>
      <c r="AE1192" s="2" t="s">
        <v>20940</v>
      </c>
      <c r="AF1192" s="2"/>
      <c r="AG1192" s="2" t="n">
        <v>25</v>
      </c>
      <c r="AH1192" s="2" t="n">
        <v>8</v>
      </c>
      <c r="AI1192" s="2" t="n">
        <v>8</v>
      </c>
      <c r="AJ1192" s="2" t="n">
        <v>1</v>
      </c>
      <c r="AK1192" s="2" t="n">
        <v>6</v>
      </c>
      <c r="AL1192" s="2" t="s">
        <v>154</v>
      </c>
      <c r="AM1192" s="2" t="s">
        <v>155</v>
      </c>
      <c r="AN1192" s="2" t="s">
        <v>156</v>
      </c>
      <c r="AO1192" s="2" t="s">
        <v>11028</v>
      </c>
      <c r="AP1192" s="2" t="s">
        <v>11029</v>
      </c>
      <c r="AQ1192" s="2"/>
      <c r="AR1192" s="2" t="s">
        <v>11030</v>
      </c>
      <c r="AS1192" s="2" t="s">
        <v>11031</v>
      </c>
      <c r="AT1192" s="2" t="s">
        <v>804</v>
      </c>
      <c r="AU1192" s="2" t="n">
        <v>2020</v>
      </c>
      <c r="AV1192" s="2" t="n">
        <v>14</v>
      </c>
      <c r="AW1192" s="2" t="n">
        <v>6</v>
      </c>
      <c r="AX1192" s="2"/>
      <c r="AY1192" s="2"/>
      <c r="AZ1192" s="2"/>
      <c r="BA1192" s="2"/>
      <c r="BB1192" s="2" t="n">
        <v>739</v>
      </c>
      <c r="BC1192" s="2" t="n">
        <v>746</v>
      </c>
      <c r="BD1192" s="2"/>
      <c r="BE1192" s="2" t="s">
        <v>20941</v>
      </c>
      <c r="BF1192" s="2" t="str">
        <f aca="false">HYPERLINK("http://dx.doi.org/10.1111/irv.12775","http://dx.doi.org/10.1111/irv.12775")</f>
        <v>http://dx.doi.org/10.1111/irv.12775</v>
      </c>
      <c r="BG1192" s="2"/>
      <c r="BH1192" s="2" t="s">
        <v>20403</v>
      </c>
      <c r="BI1192" s="2" t="n">
        <v>8</v>
      </c>
      <c r="BJ1192" s="2" t="s">
        <v>8287</v>
      </c>
      <c r="BK1192" s="2" t="s">
        <v>100</v>
      </c>
      <c r="BL1192" s="2" t="s">
        <v>8287</v>
      </c>
      <c r="BM1192" s="2" t="s">
        <v>20942</v>
      </c>
      <c r="BN1192" s="2" t="n">
        <v>32567818</v>
      </c>
      <c r="BO1192" s="2" t="s">
        <v>103</v>
      </c>
      <c r="BP1192" s="2"/>
      <c r="BQ1192" s="2"/>
      <c r="BR1192" s="2" t="s">
        <v>104</v>
      </c>
      <c r="BS1192" s="2" t="s">
        <v>20943</v>
      </c>
      <c r="BT1192" s="2" t="str">
        <f aca="false">HYPERLINK("https%3A%2F%2Fwww.webofscience.com%2Fwos%2Fwoscc%2Ffull-record%2FWOS:000548030200001","View Full Record in Web of Science")</f>
        <v>View Full Record in Web of Science</v>
      </c>
    </row>
    <row r="1193" customFormat="false" ht="12.75" hidden="false" customHeight="false" outlineLevel="0" collapsed="false">
      <c r="A1193" s="2" t="s">
        <v>72</v>
      </c>
      <c r="B1193" s="2" t="s">
        <v>20944</v>
      </c>
      <c r="C1193" s="2"/>
      <c r="D1193" s="2"/>
      <c r="E1193" s="2"/>
      <c r="F1193" s="2" t="s">
        <v>20945</v>
      </c>
      <c r="G1193" s="2"/>
      <c r="H1193" s="2"/>
      <c r="I1193" s="2" t="s">
        <v>20946</v>
      </c>
      <c r="J1193" s="2" t="s">
        <v>11019</v>
      </c>
      <c r="K1193" s="2"/>
      <c r="L1193" s="2"/>
      <c r="M1193" s="2" t="s">
        <v>77</v>
      </c>
      <c r="N1193" s="2" t="s">
        <v>78</v>
      </c>
      <c r="O1193" s="2"/>
      <c r="P1193" s="2"/>
      <c r="Q1193" s="2"/>
      <c r="R1193" s="2"/>
      <c r="S1193" s="2"/>
      <c r="T1193" s="2" t="s">
        <v>20947</v>
      </c>
      <c r="U1193" s="2" t="s">
        <v>20948</v>
      </c>
      <c r="V1193" s="2" t="s">
        <v>20949</v>
      </c>
      <c r="W1193" s="2" t="s">
        <v>20950</v>
      </c>
      <c r="X1193" s="2" t="s">
        <v>20951</v>
      </c>
      <c r="Y1193" s="2" t="s">
        <v>20952</v>
      </c>
      <c r="Z1193" s="2" t="s">
        <v>4209</v>
      </c>
      <c r="AA1193" s="2" t="s">
        <v>5994</v>
      </c>
      <c r="AB1193" s="2" t="s">
        <v>20953</v>
      </c>
      <c r="AC1193" s="2" t="s">
        <v>20954</v>
      </c>
      <c r="AD1193" s="2" t="s">
        <v>20955</v>
      </c>
      <c r="AE1193" s="2" t="s">
        <v>20956</v>
      </c>
      <c r="AF1193" s="2"/>
      <c r="AG1193" s="2" t="n">
        <v>27</v>
      </c>
      <c r="AH1193" s="2" t="n">
        <v>159</v>
      </c>
      <c r="AI1193" s="2" t="n">
        <v>179</v>
      </c>
      <c r="AJ1193" s="2" t="n">
        <v>0</v>
      </c>
      <c r="AK1193" s="2" t="n">
        <v>19</v>
      </c>
      <c r="AL1193" s="2" t="s">
        <v>154</v>
      </c>
      <c r="AM1193" s="2" t="s">
        <v>155</v>
      </c>
      <c r="AN1193" s="2" t="s">
        <v>156</v>
      </c>
      <c r="AO1193" s="2" t="s">
        <v>11028</v>
      </c>
      <c r="AP1193" s="2" t="s">
        <v>11029</v>
      </c>
      <c r="AQ1193" s="2"/>
      <c r="AR1193" s="2" t="s">
        <v>11030</v>
      </c>
      <c r="AS1193" s="2" t="s">
        <v>11031</v>
      </c>
      <c r="AT1193" s="2" t="s">
        <v>161</v>
      </c>
      <c r="AU1193" s="2" t="n">
        <v>2012</v>
      </c>
      <c r="AV1193" s="2" t="n">
        <v>6</v>
      </c>
      <c r="AW1193" s="2" t="n">
        <v>1</v>
      </c>
      <c r="AX1193" s="2"/>
      <c r="AY1193" s="2"/>
      <c r="AZ1193" s="2"/>
      <c r="BA1193" s="2"/>
      <c r="BB1193" s="2" t="n">
        <v>71</v>
      </c>
      <c r="BC1193" s="2" t="n">
        <v>77</v>
      </c>
      <c r="BD1193" s="2"/>
      <c r="BE1193" s="2" t="s">
        <v>20957</v>
      </c>
      <c r="BF1193" s="2" t="str">
        <f aca="false">HYPERLINK("http://dx.doi.org/10.1111/j.1750-2659.2011.00265.x","http://dx.doi.org/10.1111/j.1750-2659.2011.00265.x")</f>
        <v>http://dx.doi.org/10.1111/j.1750-2659.2011.00265.x</v>
      </c>
      <c r="BG1193" s="2"/>
      <c r="BH1193" s="2"/>
      <c r="BI1193" s="2" t="n">
        <v>7</v>
      </c>
      <c r="BJ1193" s="2" t="s">
        <v>8287</v>
      </c>
      <c r="BK1193" s="2" t="s">
        <v>100</v>
      </c>
      <c r="BL1193" s="2" t="s">
        <v>8287</v>
      </c>
      <c r="BM1193" s="2" t="s">
        <v>20958</v>
      </c>
      <c r="BN1193" s="2" t="n">
        <v>21668660</v>
      </c>
      <c r="BO1193" s="2" t="s">
        <v>676</v>
      </c>
      <c r="BP1193" s="2"/>
      <c r="BQ1193" s="2"/>
      <c r="BR1193" s="2" t="s">
        <v>104</v>
      </c>
      <c r="BS1193" s="2" t="s">
        <v>20959</v>
      </c>
      <c r="BT1193" s="2" t="str">
        <f aca="false">HYPERLINK("https%3A%2F%2Fwww.webofscience.com%2Fwos%2Fwoscc%2Ffull-record%2FWOS:000298015000010","View Full Record in Web of Science")</f>
        <v>View Full Record in Web of Science</v>
      </c>
    </row>
    <row r="1194" customFormat="false" ht="12.75" hidden="false" customHeight="false" outlineLevel="0" collapsed="false">
      <c r="A1194" s="2" t="s">
        <v>72</v>
      </c>
      <c r="B1194" s="2" t="s">
        <v>20960</v>
      </c>
      <c r="C1194" s="2"/>
      <c r="D1194" s="2"/>
      <c r="E1194" s="2"/>
      <c r="F1194" s="2" t="s">
        <v>20961</v>
      </c>
      <c r="G1194" s="2"/>
      <c r="H1194" s="2" t="s">
        <v>20962</v>
      </c>
      <c r="I1194" s="2" t="s">
        <v>20963</v>
      </c>
      <c r="J1194" s="2" t="s">
        <v>109</v>
      </c>
      <c r="K1194" s="2"/>
      <c r="L1194" s="2"/>
      <c r="M1194" s="2" t="s">
        <v>77</v>
      </c>
      <c r="N1194" s="2" t="s">
        <v>78</v>
      </c>
      <c r="O1194" s="2"/>
      <c r="P1194" s="2"/>
      <c r="Q1194" s="2"/>
      <c r="R1194" s="2"/>
      <c r="S1194" s="2"/>
      <c r="T1194" s="2" t="s">
        <v>20964</v>
      </c>
      <c r="U1194" s="2" t="s">
        <v>20965</v>
      </c>
      <c r="V1194" s="2" t="s">
        <v>20966</v>
      </c>
      <c r="W1194" s="2" t="s">
        <v>20967</v>
      </c>
      <c r="X1194" s="2" t="s">
        <v>12075</v>
      </c>
      <c r="Y1194" s="2" t="s">
        <v>20968</v>
      </c>
      <c r="Z1194" s="2" t="s">
        <v>20969</v>
      </c>
      <c r="AA1194" s="2" t="s">
        <v>20970</v>
      </c>
      <c r="AB1194" s="2" t="s">
        <v>20971</v>
      </c>
      <c r="AC1194" s="2"/>
      <c r="AD1194" s="2"/>
      <c r="AE1194" s="2"/>
      <c r="AF1194" s="2"/>
      <c r="AG1194" s="2" t="n">
        <v>27</v>
      </c>
      <c r="AH1194" s="2" t="n">
        <v>112</v>
      </c>
      <c r="AI1194" s="2" t="n">
        <v>124</v>
      </c>
      <c r="AJ1194" s="2" t="n">
        <v>0</v>
      </c>
      <c r="AK1194" s="2" t="n">
        <v>11</v>
      </c>
      <c r="AL1194" s="2" t="s">
        <v>122</v>
      </c>
      <c r="AM1194" s="2" t="s">
        <v>123</v>
      </c>
      <c r="AN1194" s="2" t="s">
        <v>839</v>
      </c>
      <c r="AO1194" s="2" t="s">
        <v>125</v>
      </c>
      <c r="AP1194" s="2"/>
      <c r="AQ1194" s="2"/>
      <c r="AR1194" s="2" t="s">
        <v>127</v>
      </c>
      <c r="AS1194" s="2" t="s">
        <v>128</v>
      </c>
      <c r="AT1194" s="2" t="s">
        <v>1041</v>
      </c>
      <c r="AU1194" s="2" t="n">
        <v>2008</v>
      </c>
      <c r="AV1194" s="2" t="n">
        <v>27</v>
      </c>
      <c r="AW1194" s="2" t="n">
        <v>2</v>
      </c>
      <c r="AX1194" s="2"/>
      <c r="AY1194" s="2"/>
      <c r="AZ1194" s="2"/>
      <c r="BA1194" s="2"/>
      <c r="BB1194" s="2" t="n">
        <v>100</v>
      </c>
      <c r="BC1194" s="2" t="n">
        <v>105</v>
      </c>
      <c r="BD1194" s="2"/>
      <c r="BE1194" s="2" t="s">
        <v>20972</v>
      </c>
      <c r="BF1194" s="2" t="str">
        <f aca="false">HYPERLINK("http://dx.doi.org/10.1097/INF.0b013e31815922c8","http://dx.doi.org/10.1097/INF.0b013e31815922c8")</f>
        <v>http://dx.doi.org/10.1097/INF.0b013e31815922c8</v>
      </c>
      <c r="BG1194" s="2"/>
      <c r="BH1194" s="2"/>
      <c r="BI1194" s="2" t="n">
        <v>6</v>
      </c>
      <c r="BJ1194" s="2" t="s">
        <v>134</v>
      </c>
      <c r="BK1194" s="2" t="s">
        <v>100</v>
      </c>
      <c r="BL1194" s="2" t="s">
        <v>134</v>
      </c>
      <c r="BM1194" s="2" t="s">
        <v>20973</v>
      </c>
      <c r="BN1194" s="2" t="n">
        <v>18174876</v>
      </c>
      <c r="BO1194" s="2"/>
      <c r="BP1194" s="2"/>
      <c r="BQ1194" s="2"/>
      <c r="BR1194" s="2" t="s">
        <v>104</v>
      </c>
      <c r="BS1194" s="2" t="s">
        <v>20974</v>
      </c>
      <c r="BT1194" s="2" t="str">
        <f aca="false">HYPERLINK("https%3A%2F%2Fwww.webofscience.com%2Fwos%2Fwoscc%2Ffull-record%2FWOS:000252794700002","View Full Record in Web of Science")</f>
        <v>View Full Record in Web of Science</v>
      </c>
    </row>
    <row r="1195" customFormat="false" ht="12.75" hidden="false" customHeight="false" outlineLevel="0" collapsed="false">
      <c r="A1195" s="2" t="s">
        <v>72</v>
      </c>
      <c r="B1195" s="2" t="s">
        <v>20975</v>
      </c>
      <c r="C1195" s="2"/>
      <c r="D1195" s="2"/>
      <c r="E1195" s="2"/>
      <c r="F1195" s="2" t="s">
        <v>20976</v>
      </c>
      <c r="G1195" s="2"/>
      <c r="H1195" s="2"/>
      <c r="I1195" s="2" t="s">
        <v>20977</v>
      </c>
      <c r="J1195" s="2" t="s">
        <v>1448</v>
      </c>
      <c r="K1195" s="2"/>
      <c r="L1195" s="2"/>
      <c r="M1195" s="2" t="s">
        <v>77</v>
      </c>
      <c r="N1195" s="2" t="s">
        <v>78</v>
      </c>
      <c r="O1195" s="2"/>
      <c r="P1195" s="2"/>
      <c r="Q1195" s="2"/>
      <c r="R1195" s="2"/>
      <c r="S1195" s="2"/>
      <c r="T1195" s="2" t="s">
        <v>20978</v>
      </c>
      <c r="U1195" s="2" t="s">
        <v>20979</v>
      </c>
      <c r="V1195" s="2" t="s">
        <v>20980</v>
      </c>
      <c r="W1195" s="2" t="s">
        <v>20981</v>
      </c>
      <c r="X1195" s="2" t="s">
        <v>20982</v>
      </c>
      <c r="Y1195" s="2" t="s">
        <v>20983</v>
      </c>
      <c r="Z1195" s="2" t="s">
        <v>20984</v>
      </c>
      <c r="AA1195" s="2" t="s">
        <v>20985</v>
      </c>
      <c r="AB1195" s="2" t="s">
        <v>20986</v>
      </c>
      <c r="AC1195" s="2" t="s">
        <v>20987</v>
      </c>
      <c r="AD1195" s="2" t="s">
        <v>20988</v>
      </c>
      <c r="AE1195" s="2" t="s">
        <v>20989</v>
      </c>
      <c r="AF1195" s="2"/>
      <c r="AG1195" s="2" t="n">
        <v>44</v>
      </c>
      <c r="AH1195" s="2" t="n">
        <v>21</v>
      </c>
      <c r="AI1195" s="2" t="n">
        <v>21</v>
      </c>
      <c r="AJ1195" s="2" t="n">
        <v>0</v>
      </c>
      <c r="AK1195" s="2" t="n">
        <v>12</v>
      </c>
      <c r="AL1195" s="2" t="s">
        <v>1460</v>
      </c>
      <c r="AM1195" s="2" t="s">
        <v>593</v>
      </c>
      <c r="AN1195" s="2" t="s">
        <v>2088</v>
      </c>
      <c r="AO1195" s="2" t="s">
        <v>1462</v>
      </c>
      <c r="AP1195" s="2" t="s">
        <v>1463</v>
      </c>
      <c r="AQ1195" s="2"/>
      <c r="AR1195" s="2" t="s">
        <v>1464</v>
      </c>
      <c r="AS1195" s="2" t="s">
        <v>1465</v>
      </c>
      <c r="AT1195" s="2" t="s">
        <v>1041</v>
      </c>
      <c r="AU1195" s="2" t="n">
        <v>2022</v>
      </c>
      <c r="AV1195" s="2" t="n">
        <v>102</v>
      </c>
      <c r="AW1195" s="2" t="n">
        <v>2</v>
      </c>
      <c r="AX1195" s="2"/>
      <c r="AY1195" s="2"/>
      <c r="AZ1195" s="2"/>
      <c r="BA1195" s="2"/>
      <c r="BB1195" s="2"/>
      <c r="BC1195" s="2"/>
      <c r="BD1195" s="2" t="n">
        <v>115576</v>
      </c>
      <c r="BE1195" s="2" t="s">
        <v>20990</v>
      </c>
      <c r="BF1195" s="2" t="str">
        <f aca="false">HYPERLINK("http://dx.doi.org/10.1016/j.diagmicrobio.2021.115576","http://dx.doi.org/10.1016/j.diagmicrobio.2021.115576")</f>
        <v>http://dx.doi.org/10.1016/j.diagmicrobio.2021.115576</v>
      </c>
      <c r="BG1195" s="2"/>
      <c r="BH1195" s="2" t="s">
        <v>3879</v>
      </c>
      <c r="BI1195" s="2" t="n">
        <v>7</v>
      </c>
      <c r="BJ1195" s="2" t="s">
        <v>1467</v>
      </c>
      <c r="BK1195" s="2" t="s">
        <v>100</v>
      </c>
      <c r="BL1195" s="2" t="s">
        <v>1467</v>
      </c>
      <c r="BM1195" s="2" t="s">
        <v>20991</v>
      </c>
      <c r="BN1195" s="2" t="n">
        <v>34800846</v>
      </c>
      <c r="BO1195" s="2" t="s">
        <v>165</v>
      </c>
      <c r="BP1195" s="2"/>
      <c r="BQ1195" s="2"/>
      <c r="BR1195" s="2" t="s">
        <v>104</v>
      </c>
      <c r="BS1195" s="2" t="s">
        <v>20992</v>
      </c>
      <c r="BT1195" s="2" t="str">
        <f aca="false">HYPERLINK("https%3A%2F%2Fwww.webofscience.com%2Fwos%2Fwoscc%2Ffull-record%2FWOS:000729884600002","View Full Record in Web of Science")</f>
        <v>View Full Record in Web of Science</v>
      </c>
    </row>
    <row r="1196" customFormat="false" ht="12.75" hidden="false" customHeight="false" outlineLevel="0" collapsed="false">
      <c r="A1196" s="2" t="s">
        <v>72</v>
      </c>
      <c r="B1196" s="2" t="s">
        <v>20993</v>
      </c>
      <c r="C1196" s="2"/>
      <c r="D1196" s="2"/>
      <c r="E1196" s="2"/>
      <c r="F1196" s="2" t="s">
        <v>20994</v>
      </c>
      <c r="G1196" s="2"/>
      <c r="H1196" s="2"/>
      <c r="I1196" s="2" t="s">
        <v>20995</v>
      </c>
      <c r="J1196" s="2" t="s">
        <v>581</v>
      </c>
      <c r="K1196" s="2"/>
      <c r="L1196" s="2"/>
      <c r="M1196" s="2" t="s">
        <v>77</v>
      </c>
      <c r="N1196" s="2" t="s">
        <v>78</v>
      </c>
      <c r="O1196" s="2"/>
      <c r="P1196" s="2"/>
      <c r="Q1196" s="2"/>
      <c r="R1196" s="2"/>
      <c r="S1196" s="2"/>
      <c r="T1196" s="2" t="s">
        <v>20996</v>
      </c>
      <c r="U1196" s="2" t="s">
        <v>20997</v>
      </c>
      <c r="V1196" s="2" t="s">
        <v>20998</v>
      </c>
      <c r="W1196" s="2" t="s">
        <v>20999</v>
      </c>
      <c r="X1196" s="2" t="s">
        <v>21000</v>
      </c>
      <c r="Y1196" s="2" t="s">
        <v>21001</v>
      </c>
      <c r="Z1196" s="2" t="s">
        <v>21002</v>
      </c>
      <c r="AA1196" s="2" t="s">
        <v>21003</v>
      </c>
      <c r="AB1196" s="2" t="s">
        <v>21004</v>
      </c>
      <c r="AC1196" s="2"/>
      <c r="AD1196" s="2"/>
      <c r="AE1196" s="2"/>
      <c r="AF1196" s="2"/>
      <c r="AG1196" s="2" t="n">
        <v>26</v>
      </c>
      <c r="AH1196" s="2" t="n">
        <v>26</v>
      </c>
      <c r="AI1196" s="2" t="n">
        <v>27</v>
      </c>
      <c r="AJ1196" s="2" t="n">
        <v>1</v>
      </c>
      <c r="AK1196" s="2" t="n">
        <v>13</v>
      </c>
      <c r="AL1196" s="2" t="s">
        <v>592</v>
      </c>
      <c r="AM1196" s="2" t="s">
        <v>593</v>
      </c>
      <c r="AN1196" s="2" t="s">
        <v>594</v>
      </c>
      <c r="AO1196" s="2" t="s">
        <v>595</v>
      </c>
      <c r="AP1196" s="2"/>
      <c r="AQ1196" s="2"/>
      <c r="AR1196" s="2" t="s">
        <v>597</v>
      </c>
      <c r="AS1196" s="2" t="s">
        <v>598</v>
      </c>
      <c r="AT1196" s="2" t="s">
        <v>599</v>
      </c>
      <c r="AU1196" s="2" t="n">
        <v>2009</v>
      </c>
      <c r="AV1196" s="2" t="n">
        <v>168</v>
      </c>
      <c r="AW1196" s="2" t="n">
        <v>7</v>
      </c>
      <c r="AX1196" s="2"/>
      <c r="AY1196" s="2"/>
      <c r="AZ1196" s="2"/>
      <c r="BA1196" s="2"/>
      <c r="BB1196" s="2" t="n">
        <v>819</v>
      </c>
      <c r="BC1196" s="2" t="n">
        <v>824</v>
      </c>
      <c r="BD1196" s="2"/>
      <c r="BE1196" s="2" t="s">
        <v>21005</v>
      </c>
      <c r="BF1196" s="2" t="str">
        <f aca="false">HYPERLINK("http://dx.doi.org/10.1007/s00431-008-0842-7","http://dx.doi.org/10.1007/s00431-008-0842-7")</f>
        <v>http://dx.doi.org/10.1007/s00431-008-0842-7</v>
      </c>
      <c r="BG1196" s="2"/>
      <c r="BH1196" s="2"/>
      <c r="BI1196" s="2" t="n">
        <v>6</v>
      </c>
      <c r="BJ1196" s="2" t="s">
        <v>601</v>
      </c>
      <c r="BK1196" s="2" t="s">
        <v>100</v>
      </c>
      <c r="BL1196" s="2" t="s">
        <v>601</v>
      </c>
      <c r="BM1196" s="2" t="s">
        <v>21006</v>
      </c>
      <c r="BN1196" s="2" t="n">
        <v>18936971</v>
      </c>
      <c r="BO1196" s="2"/>
      <c r="BP1196" s="2"/>
      <c r="BQ1196" s="2"/>
      <c r="BR1196" s="2" t="s">
        <v>104</v>
      </c>
      <c r="BS1196" s="2" t="s">
        <v>21007</v>
      </c>
      <c r="BT1196" s="2" t="str">
        <f aca="false">HYPERLINK("https%3A%2F%2Fwww.webofscience.com%2Fwos%2Fwoscc%2Ffull-record%2FWOS:000266085400009","View Full Record in Web of Science")</f>
        <v>View Full Record in Web of Science</v>
      </c>
    </row>
    <row r="1197" customFormat="false" ht="12.75" hidden="false" customHeight="false" outlineLevel="0" collapsed="false">
      <c r="A1197" s="2" t="s">
        <v>72</v>
      </c>
      <c r="B1197" s="2" t="s">
        <v>21008</v>
      </c>
      <c r="C1197" s="2"/>
      <c r="D1197" s="2"/>
      <c r="E1197" s="2"/>
      <c r="F1197" s="2" t="s">
        <v>21009</v>
      </c>
      <c r="G1197" s="2"/>
      <c r="H1197" s="2"/>
      <c r="I1197" s="2" t="s">
        <v>21010</v>
      </c>
      <c r="J1197" s="2" t="s">
        <v>11019</v>
      </c>
      <c r="K1197" s="2"/>
      <c r="L1197" s="2"/>
      <c r="M1197" s="2" t="s">
        <v>77</v>
      </c>
      <c r="N1197" s="2" t="s">
        <v>78</v>
      </c>
      <c r="O1197" s="2"/>
      <c r="P1197" s="2"/>
      <c r="Q1197" s="2"/>
      <c r="R1197" s="2"/>
      <c r="S1197" s="2"/>
      <c r="T1197" s="2" t="s">
        <v>21011</v>
      </c>
      <c r="U1197" s="2" t="s">
        <v>21012</v>
      </c>
      <c r="V1197" s="2" t="s">
        <v>21013</v>
      </c>
      <c r="W1197" s="2" t="s">
        <v>21014</v>
      </c>
      <c r="X1197" s="2" t="s">
        <v>21015</v>
      </c>
      <c r="Y1197" s="2" t="s">
        <v>21016</v>
      </c>
      <c r="Z1197" s="2" t="s">
        <v>21017</v>
      </c>
      <c r="AA1197" s="2" t="s">
        <v>21018</v>
      </c>
      <c r="AB1197" s="2" t="s">
        <v>21019</v>
      </c>
      <c r="AC1197" s="2"/>
      <c r="AD1197" s="2"/>
      <c r="AE1197" s="2"/>
      <c r="AF1197" s="2"/>
      <c r="AG1197" s="2" t="n">
        <v>38</v>
      </c>
      <c r="AH1197" s="2" t="n">
        <v>70</v>
      </c>
      <c r="AI1197" s="2" t="n">
        <v>76</v>
      </c>
      <c r="AJ1197" s="2" t="n">
        <v>1</v>
      </c>
      <c r="AK1197" s="2" t="n">
        <v>22</v>
      </c>
      <c r="AL1197" s="2" t="s">
        <v>154</v>
      </c>
      <c r="AM1197" s="2" t="s">
        <v>155</v>
      </c>
      <c r="AN1197" s="2" t="s">
        <v>156</v>
      </c>
      <c r="AO1197" s="2" t="s">
        <v>11028</v>
      </c>
      <c r="AP1197" s="2" t="s">
        <v>11029</v>
      </c>
      <c r="AQ1197" s="2"/>
      <c r="AR1197" s="2" t="s">
        <v>11030</v>
      </c>
      <c r="AS1197" s="2" t="s">
        <v>11031</v>
      </c>
      <c r="AT1197" s="2" t="s">
        <v>804</v>
      </c>
      <c r="AU1197" s="2" t="n">
        <v>2013</v>
      </c>
      <c r="AV1197" s="2" t="n">
        <v>7</v>
      </c>
      <c r="AW1197" s="2" t="n">
        <v>6</v>
      </c>
      <c r="AX1197" s="2"/>
      <c r="AY1197" s="2"/>
      <c r="AZ1197" s="2"/>
      <c r="BA1197" s="2"/>
      <c r="BB1197" s="2" t="n">
        <v>1079</v>
      </c>
      <c r="BC1197" s="2" t="n">
        <v>1087</v>
      </c>
      <c r="BD1197" s="2"/>
      <c r="BE1197" s="2" t="s">
        <v>21020</v>
      </c>
      <c r="BF1197" s="2" t="str">
        <f aca="false">HYPERLINK("http://dx.doi.org/10.1111/irv.12020","http://dx.doi.org/10.1111/irv.12020")</f>
        <v>http://dx.doi.org/10.1111/irv.12020</v>
      </c>
      <c r="BG1197" s="2"/>
      <c r="BH1197" s="2"/>
      <c r="BI1197" s="2" t="n">
        <v>9</v>
      </c>
      <c r="BJ1197" s="2" t="s">
        <v>8287</v>
      </c>
      <c r="BK1197" s="2" t="s">
        <v>100</v>
      </c>
      <c r="BL1197" s="2" t="s">
        <v>8287</v>
      </c>
      <c r="BM1197" s="2" t="s">
        <v>21021</v>
      </c>
      <c r="BN1197" s="2" t="n">
        <v>23078095</v>
      </c>
      <c r="BO1197" s="2" t="s">
        <v>7569</v>
      </c>
      <c r="BP1197" s="2"/>
      <c r="BQ1197" s="2"/>
      <c r="BR1197" s="2" t="s">
        <v>104</v>
      </c>
      <c r="BS1197" s="2" t="s">
        <v>21022</v>
      </c>
      <c r="BT1197" s="2" t="str">
        <f aca="false">HYPERLINK("https%3A%2F%2Fwww.webofscience.com%2Fwos%2Fwoscc%2Ffull-record%2FWOS:000331001400030","View Full Record in Web of Science")</f>
        <v>View Full Record in Web of Science</v>
      </c>
    </row>
    <row r="1198" customFormat="false" ht="12.75" hidden="false" customHeight="false" outlineLevel="0" collapsed="false">
      <c r="A1198" s="2" t="s">
        <v>72</v>
      </c>
      <c r="B1198" s="2" t="s">
        <v>21023</v>
      </c>
      <c r="C1198" s="2"/>
      <c r="D1198" s="2"/>
      <c r="E1198" s="2"/>
      <c r="F1198" s="2" t="s">
        <v>21024</v>
      </c>
      <c r="G1198" s="2"/>
      <c r="H1198" s="2"/>
      <c r="I1198" s="2" t="s">
        <v>21025</v>
      </c>
      <c r="J1198" s="2" t="s">
        <v>11975</v>
      </c>
      <c r="K1198" s="2"/>
      <c r="L1198" s="2"/>
      <c r="M1198" s="2" t="s">
        <v>77</v>
      </c>
      <c r="N1198" s="2" t="s">
        <v>78</v>
      </c>
      <c r="O1198" s="2"/>
      <c r="P1198" s="2"/>
      <c r="Q1198" s="2"/>
      <c r="R1198" s="2"/>
      <c r="S1198" s="2"/>
      <c r="T1198" s="2" t="s">
        <v>21026</v>
      </c>
      <c r="U1198" s="2" t="s">
        <v>21027</v>
      </c>
      <c r="V1198" s="2" t="s">
        <v>21028</v>
      </c>
      <c r="W1198" s="2" t="s">
        <v>21029</v>
      </c>
      <c r="X1198" s="2" t="s">
        <v>21030</v>
      </c>
      <c r="Y1198" s="2" t="s">
        <v>21031</v>
      </c>
      <c r="Z1198" s="2" t="s">
        <v>21032</v>
      </c>
      <c r="AA1198" s="2" t="s">
        <v>21033</v>
      </c>
      <c r="AB1198" s="2" t="s">
        <v>21034</v>
      </c>
      <c r="AC1198" s="2" t="s">
        <v>21035</v>
      </c>
      <c r="AD1198" s="2" t="s">
        <v>21036</v>
      </c>
      <c r="AE1198" s="2" t="s">
        <v>21035</v>
      </c>
      <c r="AF1198" s="2"/>
      <c r="AG1198" s="2" t="n">
        <v>30</v>
      </c>
      <c r="AH1198" s="2" t="n">
        <v>6</v>
      </c>
      <c r="AI1198" s="2" t="n">
        <v>6</v>
      </c>
      <c r="AJ1198" s="2" t="n">
        <v>0</v>
      </c>
      <c r="AK1198" s="2" t="n">
        <v>0</v>
      </c>
      <c r="AL1198" s="2" t="s">
        <v>154</v>
      </c>
      <c r="AM1198" s="2" t="s">
        <v>155</v>
      </c>
      <c r="AN1198" s="2" t="s">
        <v>156</v>
      </c>
      <c r="AO1198" s="2" t="s">
        <v>11983</v>
      </c>
      <c r="AP1198" s="2" t="s">
        <v>11984</v>
      </c>
      <c r="AQ1198" s="2"/>
      <c r="AR1198" s="2" t="s">
        <v>11985</v>
      </c>
      <c r="AS1198" s="2" t="s">
        <v>11986</v>
      </c>
      <c r="AT1198" s="2" t="s">
        <v>692</v>
      </c>
      <c r="AU1198" s="2" t="n">
        <v>2023</v>
      </c>
      <c r="AV1198" s="2" t="n">
        <v>112</v>
      </c>
      <c r="AW1198" s="2" t="n">
        <v>4</v>
      </c>
      <c r="AX1198" s="2"/>
      <c r="AY1198" s="2"/>
      <c r="AZ1198" s="2"/>
      <c r="BA1198" s="2"/>
      <c r="BB1198" s="2" t="n">
        <v>813</v>
      </c>
      <c r="BC1198" s="2" t="n">
        <v>819</v>
      </c>
      <c r="BD1198" s="2"/>
      <c r="BE1198" s="2" t="s">
        <v>21037</v>
      </c>
      <c r="BF1198" s="2" t="str">
        <f aca="false">HYPERLINK("http://dx.doi.org/10.1111/apa.16607","http://dx.doi.org/10.1111/apa.16607")</f>
        <v>http://dx.doi.org/10.1111/apa.16607</v>
      </c>
      <c r="BG1198" s="2"/>
      <c r="BH1198" s="2" t="s">
        <v>5760</v>
      </c>
      <c r="BI1198" s="2" t="n">
        <v>7</v>
      </c>
      <c r="BJ1198" s="2" t="s">
        <v>601</v>
      </c>
      <c r="BK1198" s="2" t="s">
        <v>100</v>
      </c>
      <c r="BL1198" s="2" t="s">
        <v>601</v>
      </c>
      <c r="BM1198" s="2" t="s">
        <v>21038</v>
      </c>
      <c r="BN1198" s="2" t="n">
        <v>36427274</v>
      </c>
      <c r="BO1198" s="2"/>
      <c r="BP1198" s="2"/>
      <c r="BQ1198" s="2"/>
      <c r="BR1198" s="2" t="s">
        <v>104</v>
      </c>
      <c r="BS1198" s="2" t="s">
        <v>21039</v>
      </c>
      <c r="BT1198" s="2" t="str">
        <f aca="false">HYPERLINK("https%3A%2F%2Fwww.webofscience.com%2Fwos%2Fwoscc%2Ffull-record%2FWOS:000919480800001","View Full Record in Web of Science")</f>
        <v>View Full Record in Web of Science</v>
      </c>
    </row>
    <row r="1199" customFormat="false" ht="12.75" hidden="false" customHeight="false" outlineLevel="0" collapsed="false">
      <c r="A1199" s="2" t="s">
        <v>72</v>
      </c>
      <c r="B1199" s="2" t="s">
        <v>21040</v>
      </c>
      <c r="C1199" s="2"/>
      <c r="D1199" s="2"/>
      <c r="E1199" s="2"/>
      <c r="F1199" s="2" t="s">
        <v>21041</v>
      </c>
      <c r="G1199" s="2"/>
      <c r="H1199" s="2"/>
      <c r="I1199" s="2" t="s">
        <v>21042</v>
      </c>
      <c r="J1199" s="2" t="s">
        <v>11019</v>
      </c>
      <c r="K1199" s="2"/>
      <c r="L1199" s="2"/>
      <c r="M1199" s="2" t="s">
        <v>77</v>
      </c>
      <c r="N1199" s="2" t="s">
        <v>78</v>
      </c>
      <c r="O1199" s="2"/>
      <c r="P1199" s="2"/>
      <c r="Q1199" s="2"/>
      <c r="R1199" s="2"/>
      <c r="S1199" s="2"/>
      <c r="T1199" s="2" t="s">
        <v>21043</v>
      </c>
      <c r="U1199" s="2" t="s">
        <v>21044</v>
      </c>
      <c r="V1199" s="2" t="s">
        <v>21045</v>
      </c>
      <c r="W1199" s="2" t="s">
        <v>21046</v>
      </c>
      <c r="X1199" s="2" t="s">
        <v>21047</v>
      </c>
      <c r="Y1199" s="2" t="s">
        <v>21048</v>
      </c>
      <c r="Z1199" s="2" t="s">
        <v>21049</v>
      </c>
      <c r="AA1199" s="2" t="s">
        <v>21050</v>
      </c>
      <c r="AB1199" s="2" t="s">
        <v>21051</v>
      </c>
      <c r="AC1199" s="2" t="s">
        <v>21052</v>
      </c>
      <c r="AD1199" s="2" t="s">
        <v>2053</v>
      </c>
      <c r="AE1199" s="2" t="s">
        <v>21053</v>
      </c>
      <c r="AF1199" s="2"/>
      <c r="AG1199" s="2" t="n">
        <v>18</v>
      </c>
      <c r="AH1199" s="2" t="n">
        <v>39</v>
      </c>
      <c r="AI1199" s="2" t="n">
        <v>46</v>
      </c>
      <c r="AJ1199" s="2" t="n">
        <v>0</v>
      </c>
      <c r="AK1199" s="2" t="n">
        <v>7</v>
      </c>
      <c r="AL1199" s="2" t="s">
        <v>3813</v>
      </c>
      <c r="AM1199" s="2" t="s">
        <v>155</v>
      </c>
      <c r="AN1199" s="2" t="s">
        <v>156</v>
      </c>
      <c r="AO1199" s="2" t="s">
        <v>11028</v>
      </c>
      <c r="AP1199" s="2" t="s">
        <v>11029</v>
      </c>
      <c r="AQ1199" s="2"/>
      <c r="AR1199" s="2" t="s">
        <v>11030</v>
      </c>
      <c r="AS1199" s="2" t="s">
        <v>11031</v>
      </c>
      <c r="AT1199" s="2" t="s">
        <v>599</v>
      </c>
      <c r="AU1199" s="2" t="n">
        <v>2014</v>
      </c>
      <c r="AV1199" s="2" t="n">
        <v>8</v>
      </c>
      <c r="AW1199" s="2" t="n">
        <v>4</v>
      </c>
      <c r="AX1199" s="2"/>
      <c r="AY1199" s="2"/>
      <c r="AZ1199" s="2"/>
      <c r="BA1199" s="2"/>
      <c r="BB1199" s="2" t="n">
        <v>397</v>
      </c>
      <c r="BC1199" s="2" t="n">
        <v>405</v>
      </c>
      <c r="BD1199" s="2"/>
      <c r="BE1199" s="2" t="s">
        <v>21054</v>
      </c>
      <c r="BF1199" s="2" t="str">
        <f aca="false">HYPERLINK("http://dx.doi.org/10.1111/irv.12247","http://dx.doi.org/10.1111/irv.12247")</f>
        <v>http://dx.doi.org/10.1111/irv.12247</v>
      </c>
      <c r="BG1199" s="2"/>
      <c r="BH1199" s="2"/>
      <c r="BI1199" s="2" t="n">
        <v>9</v>
      </c>
      <c r="BJ1199" s="2" t="s">
        <v>8287</v>
      </c>
      <c r="BK1199" s="2" t="s">
        <v>100</v>
      </c>
      <c r="BL1199" s="2" t="s">
        <v>8287</v>
      </c>
      <c r="BM1199" s="2" t="s">
        <v>21055</v>
      </c>
      <c r="BN1199" s="2" t="n">
        <v>24852890</v>
      </c>
      <c r="BO1199" s="2" t="s">
        <v>21056</v>
      </c>
      <c r="BP1199" s="2"/>
      <c r="BQ1199" s="2"/>
      <c r="BR1199" s="2" t="s">
        <v>104</v>
      </c>
      <c r="BS1199" s="2" t="s">
        <v>21057</v>
      </c>
      <c r="BT1199" s="2" t="str">
        <f aca="false">HYPERLINK("https%3A%2F%2Fwww.webofscience.com%2Fwos%2Fwoscc%2Ffull-record%2FWOS:000337608700002","View Full Record in Web of Science")</f>
        <v>View Full Record in Web of Science</v>
      </c>
    </row>
    <row r="1200" customFormat="false" ht="12.75" hidden="false" customHeight="false" outlineLevel="0" collapsed="false">
      <c r="A1200" s="2" t="s">
        <v>72</v>
      </c>
      <c r="B1200" s="2" t="s">
        <v>21058</v>
      </c>
      <c r="C1200" s="2"/>
      <c r="D1200" s="2"/>
      <c r="E1200" s="2"/>
      <c r="F1200" s="2" t="s">
        <v>21059</v>
      </c>
      <c r="G1200" s="2"/>
      <c r="H1200" s="2"/>
      <c r="I1200" s="2" t="s">
        <v>21060</v>
      </c>
      <c r="J1200" s="2" t="s">
        <v>11019</v>
      </c>
      <c r="K1200" s="2"/>
      <c r="L1200" s="2"/>
      <c r="M1200" s="2" t="s">
        <v>77</v>
      </c>
      <c r="N1200" s="2" t="s">
        <v>78</v>
      </c>
      <c r="O1200" s="2"/>
      <c r="P1200" s="2"/>
      <c r="Q1200" s="2"/>
      <c r="R1200" s="2"/>
      <c r="S1200" s="2"/>
      <c r="T1200" s="2" t="s">
        <v>21061</v>
      </c>
      <c r="U1200" s="2" t="s">
        <v>21062</v>
      </c>
      <c r="V1200" s="2" t="s">
        <v>21063</v>
      </c>
      <c r="W1200" s="2" t="s">
        <v>21064</v>
      </c>
      <c r="X1200" s="2" t="s">
        <v>21065</v>
      </c>
      <c r="Y1200" s="2" t="s">
        <v>21066</v>
      </c>
      <c r="Z1200" s="2" t="s">
        <v>21067</v>
      </c>
      <c r="AA1200" s="2" t="s">
        <v>21068</v>
      </c>
      <c r="AB1200" s="2" t="s">
        <v>21069</v>
      </c>
      <c r="AC1200" s="2" t="s">
        <v>21070</v>
      </c>
      <c r="AD1200" s="2" t="s">
        <v>21071</v>
      </c>
      <c r="AE1200" s="2" t="s">
        <v>21072</v>
      </c>
      <c r="AF1200" s="2"/>
      <c r="AG1200" s="2" t="n">
        <v>56</v>
      </c>
      <c r="AH1200" s="2" t="n">
        <v>0</v>
      </c>
      <c r="AI1200" s="2" t="n">
        <v>0</v>
      </c>
      <c r="AJ1200" s="2" t="n">
        <v>1</v>
      </c>
      <c r="AK1200" s="2" t="n">
        <v>1</v>
      </c>
      <c r="AL1200" s="2" t="s">
        <v>154</v>
      </c>
      <c r="AM1200" s="2" t="s">
        <v>155</v>
      </c>
      <c r="AN1200" s="2" t="s">
        <v>156</v>
      </c>
      <c r="AO1200" s="2" t="s">
        <v>11028</v>
      </c>
      <c r="AP1200" s="2" t="s">
        <v>11029</v>
      </c>
      <c r="AQ1200" s="2"/>
      <c r="AR1200" s="2" t="s">
        <v>11030</v>
      </c>
      <c r="AS1200" s="2" t="s">
        <v>11031</v>
      </c>
      <c r="AT1200" s="2" t="s">
        <v>336</v>
      </c>
      <c r="AU1200" s="2" t="n">
        <v>2024</v>
      </c>
      <c r="AV1200" s="2" t="n">
        <v>18</v>
      </c>
      <c r="AW1200" s="2" t="n">
        <v>10</v>
      </c>
      <c r="AX1200" s="2"/>
      <c r="AY1200" s="2"/>
      <c r="AZ1200" s="2"/>
      <c r="BA1200" s="2"/>
      <c r="BB1200" s="2"/>
      <c r="BC1200" s="2"/>
      <c r="BD1200" s="2" t="s">
        <v>21073</v>
      </c>
      <c r="BE1200" s="2" t="s">
        <v>21074</v>
      </c>
      <c r="BF1200" s="2" t="str">
        <f aca="false">HYPERLINK("http://dx.doi.org/10.1111/irv.70017","http://dx.doi.org/10.1111/irv.70017")</f>
        <v>http://dx.doi.org/10.1111/irv.70017</v>
      </c>
      <c r="BG1200" s="2"/>
      <c r="BH1200" s="2"/>
      <c r="BI1200" s="2" t="n">
        <v>12</v>
      </c>
      <c r="BJ1200" s="2" t="s">
        <v>8287</v>
      </c>
      <c r="BK1200" s="2" t="s">
        <v>100</v>
      </c>
      <c r="BL1200" s="2" t="s">
        <v>8287</v>
      </c>
      <c r="BM1200" s="2" t="s">
        <v>21075</v>
      </c>
      <c r="BN1200" s="2" t="n">
        <v>39439102</v>
      </c>
      <c r="BO1200" s="2" t="s">
        <v>1355</v>
      </c>
      <c r="BP1200" s="2"/>
      <c r="BQ1200" s="2"/>
      <c r="BR1200" s="2" t="s">
        <v>104</v>
      </c>
      <c r="BS1200" s="2" t="s">
        <v>21076</v>
      </c>
      <c r="BT1200" s="2" t="str">
        <f aca="false">HYPERLINK("https%3A%2F%2Fwww.webofscience.com%2Fwos%2Fwoscc%2Ffull-record%2FWOS:001340006100001","View Full Record in Web of Science")</f>
        <v>View Full Record in Web of Science</v>
      </c>
    </row>
    <row r="1201" customFormat="false" ht="12.75" hidden="false" customHeight="false" outlineLevel="0" collapsed="false">
      <c r="A1201" s="2" t="s">
        <v>72</v>
      </c>
      <c r="B1201" s="2" t="s">
        <v>21077</v>
      </c>
      <c r="C1201" s="2"/>
      <c r="D1201" s="2"/>
      <c r="E1201" s="2"/>
      <c r="F1201" s="2" t="s">
        <v>21078</v>
      </c>
      <c r="G1201" s="2"/>
      <c r="H1201" s="2"/>
      <c r="I1201" s="2" t="s">
        <v>21079</v>
      </c>
      <c r="J1201" s="2" t="s">
        <v>21080</v>
      </c>
      <c r="K1201" s="2"/>
      <c r="L1201" s="2"/>
      <c r="M1201" s="2" t="s">
        <v>77</v>
      </c>
      <c r="N1201" s="2" t="s">
        <v>78</v>
      </c>
      <c r="O1201" s="2"/>
      <c r="P1201" s="2"/>
      <c r="Q1201" s="2"/>
      <c r="R1201" s="2"/>
      <c r="S1201" s="2"/>
      <c r="T1201" s="2" t="s">
        <v>21081</v>
      </c>
      <c r="U1201" s="2" t="s">
        <v>21082</v>
      </c>
      <c r="V1201" s="2" t="s">
        <v>21083</v>
      </c>
      <c r="W1201" s="2" t="s">
        <v>21084</v>
      </c>
      <c r="X1201" s="2" t="s">
        <v>21085</v>
      </c>
      <c r="Y1201" s="2" t="s">
        <v>21086</v>
      </c>
      <c r="Z1201" s="2" t="s">
        <v>21087</v>
      </c>
      <c r="AA1201" s="2" t="s">
        <v>21088</v>
      </c>
      <c r="AB1201" s="2" t="s">
        <v>21089</v>
      </c>
      <c r="AC1201" s="2"/>
      <c r="AD1201" s="2"/>
      <c r="AE1201" s="2"/>
      <c r="AF1201" s="2"/>
      <c r="AG1201" s="2" t="n">
        <v>35</v>
      </c>
      <c r="AH1201" s="2" t="n">
        <v>22</v>
      </c>
      <c r="AI1201" s="2" t="n">
        <v>26</v>
      </c>
      <c r="AJ1201" s="2" t="n">
        <v>0</v>
      </c>
      <c r="AK1201" s="2" t="n">
        <v>2</v>
      </c>
      <c r="AL1201" s="2" t="s">
        <v>13179</v>
      </c>
      <c r="AM1201" s="2" t="s">
        <v>11627</v>
      </c>
      <c r="AN1201" s="2" t="s">
        <v>13180</v>
      </c>
      <c r="AO1201" s="2" t="s">
        <v>21090</v>
      </c>
      <c r="AP1201" s="2" t="s">
        <v>21091</v>
      </c>
      <c r="AQ1201" s="2"/>
      <c r="AR1201" s="2" t="s">
        <v>21092</v>
      </c>
      <c r="AS1201" s="2" t="s">
        <v>21093</v>
      </c>
      <c r="AT1201" s="2" t="s">
        <v>6698</v>
      </c>
      <c r="AU1201" s="2" t="n">
        <v>2019</v>
      </c>
      <c r="AV1201" s="2" t="n">
        <v>14</v>
      </c>
      <c r="AW1201" s="2"/>
      <c r="AX1201" s="2"/>
      <c r="AY1201" s="2"/>
      <c r="AZ1201" s="2"/>
      <c r="BA1201" s="2"/>
      <c r="BB1201" s="2"/>
      <c r="BC1201" s="2"/>
      <c r="BD1201" s="2" t="n">
        <v>11</v>
      </c>
      <c r="BE1201" s="2" t="s">
        <v>21094</v>
      </c>
      <c r="BF1201" s="2" t="str">
        <f aca="false">HYPERLINK("http://dx.doi.org/10.1186/s40248-019-0174-7","http://dx.doi.org/10.1186/s40248-019-0174-7")</f>
        <v>http://dx.doi.org/10.1186/s40248-019-0174-7</v>
      </c>
      <c r="BG1201" s="2"/>
      <c r="BH1201" s="2"/>
      <c r="BI1201" s="2" t="n">
        <v>12</v>
      </c>
      <c r="BJ1201" s="2" t="s">
        <v>338</v>
      </c>
      <c r="BK1201" s="2" t="s">
        <v>339</v>
      </c>
      <c r="BL1201" s="2" t="s">
        <v>338</v>
      </c>
      <c r="BM1201" s="2" t="s">
        <v>21095</v>
      </c>
      <c r="BN1201" s="2" t="n">
        <v>30976418</v>
      </c>
      <c r="BO1201" s="2" t="s">
        <v>103</v>
      </c>
      <c r="BP1201" s="2"/>
      <c r="BQ1201" s="2"/>
      <c r="BR1201" s="2" t="s">
        <v>104</v>
      </c>
      <c r="BS1201" s="2" t="s">
        <v>21096</v>
      </c>
      <c r="BT1201" s="2" t="str">
        <f aca="false">HYPERLINK("https%3A%2F%2Fwww.webofscience.com%2Fwos%2Fwoscc%2Ffull-record%2FWOS:000462983100001","View Full Record in Web of Science")</f>
        <v>View Full Record in Web of Science</v>
      </c>
    </row>
    <row r="1202" customFormat="false" ht="12.75" hidden="false" customHeight="false" outlineLevel="0" collapsed="false">
      <c r="A1202" s="2" t="s">
        <v>72</v>
      </c>
      <c r="B1202" s="2" t="s">
        <v>21097</v>
      </c>
      <c r="C1202" s="2"/>
      <c r="D1202" s="2"/>
      <c r="E1202" s="2"/>
      <c r="F1202" s="2" t="s">
        <v>21098</v>
      </c>
      <c r="G1202" s="2"/>
      <c r="H1202" s="2"/>
      <c r="I1202" s="2" t="s">
        <v>21099</v>
      </c>
      <c r="J1202" s="2" t="s">
        <v>21080</v>
      </c>
      <c r="K1202" s="2"/>
      <c r="L1202" s="2"/>
      <c r="M1202" s="2" t="s">
        <v>77</v>
      </c>
      <c r="N1202" s="2" t="s">
        <v>78</v>
      </c>
      <c r="O1202" s="2"/>
      <c r="P1202" s="2"/>
      <c r="Q1202" s="2"/>
      <c r="R1202" s="2"/>
      <c r="S1202" s="2"/>
      <c r="T1202" s="2" t="s">
        <v>21100</v>
      </c>
      <c r="U1202" s="2" t="s">
        <v>21101</v>
      </c>
      <c r="V1202" s="2" t="s">
        <v>21102</v>
      </c>
      <c r="W1202" s="2" t="s">
        <v>21103</v>
      </c>
      <c r="X1202" s="2" t="s">
        <v>21085</v>
      </c>
      <c r="Y1202" s="2" t="s">
        <v>21104</v>
      </c>
      <c r="Z1202" s="2" t="s">
        <v>21087</v>
      </c>
      <c r="AA1202" s="2" t="s">
        <v>21088</v>
      </c>
      <c r="AB1202" s="2" t="s">
        <v>21089</v>
      </c>
      <c r="AC1202" s="2"/>
      <c r="AD1202" s="2"/>
      <c r="AE1202" s="2"/>
      <c r="AF1202" s="2"/>
      <c r="AG1202" s="2" t="n">
        <v>28</v>
      </c>
      <c r="AH1202" s="2" t="n">
        <v>2</v>
      </c>
      <c r="AI1202" s="2" t="n">
        <v>2</v>
      </c>
      <c r="AJ1202" s="2" t="n">
        <v>0</v>
      </c>
      <c r="AK1202" s="2" t="n">
        <v>2</v>
      </c>
      <c r="AL1202" s="2" t="s">
        <v>13179</v>
      </c>
      <c r="AM1202" s="2" t="s">
        <v>11627</v>
      </c>
      <c r="AN1202" s="2" t="s">
        <v>13180</v>
      </c>
      <c r="AO1202" s="2" t="s">
        <v>21090</v>
      </c>
      <c r="AP1202" s="2" t="s">
        <v>21091</v>
      </c>
      <c r="AQ1202" s="2"/>
      <c r="AR1202" s="2" t="s">
        <v>21092</v>
      </c>
      <c r="AS1202" s="2" t="s">
        <v>21093</v>
      </c>
      <c r="AT1202" s="2"/>
      <c r="AU1202" s="2" t="n">
        <v>2020</v>
      </c>
      <c r="AV1202" s="2" t="n">
        <v>15</v>
      </c>
      <c r="AW1202" s="2"/>
      <c r="AX1202" s="2"/>
      <c r="AY1202" s="2"/>
      <c r="AZ1202" s="2"/>
      <c r="BA1202" s="2"/>
      <c r="BB1202" s="2"/>
      <c r="BC1202" s="2"/>
      <c r="BD1202" s="2" t="n">
        <v>465</v>
      </c>
      <c r="BE1202" s="2" t="s">
        <v>21105</v>
      </c>
      <c r="BF1202" s="2" t="str">
        <f aca="false">HYPERLINK("http://dx.doi.org/10.4081/mrm.2020.465","http://dx.doi.org/10.4081/mrm.2020.465")</f>
        <v>http://dx.doi.org/10.4081/mrm.2020.465</v>
      </c>
      <c r="BG1202" s="2"/>
      <c r="BH1202" s="2"/>
      <c r="BI1202" s="2" t="n">
        <v>8</v>
      </c>
      <c r="BJ1202" s="2" t="s">
        <v>338</v>
      </c>
      <c r="BK1202" s="2" t="s">
        <v>339</v>
      </c>
      <c r="BL1202" s="2" t="s">
        <v>338</v>
      </c>
      <c r="BM1202" s="2" t="s">
        <v>21106</v>
      </c>
      <c r="BN1202" s="2" t="n">
        <v>32607231</v>
      </c>
      <c r="BO1202" s="2" t="s">
        <v>190</v>
      </c>
      <c r="BP1202" s="2"/>
      <c r="BQ1202" s="2"/>
      <c r="BR1202" s="2" t="s">
        <v>104</v>
      </c>
      <c r="BS1202" s="2" t="s">
        <v>21107</v>
      </c>
      <c r="BT1202" s="2" t="str">
        <f aca="false">HYPERLINK("https%3A%2F%2Fwww.webofscience.com%2Fwos%2Fwoscc%2Ffull-record%2FWOS:000613110400004","View Full Record in Web of Science")</f>
        <v>View Full Record in Web of Science</v>
      </c>
    </row>
    <row r="1203" customFormat="false" ht="12.75" hidden="false" customHeight="false" outlineLevel="0" collapsed="false">
      <c r="A1203" s="2" t="s">
        <v>72</v>
      </c>
      <c r="B1203" s="2" t="s">
        <v>21108</v>
      </c>
      <c r="C1203" s="2"/>
      <c r="D1203" s="2"/>
      <c r="E1203" s="2"/>
      <c r="F1203" s="2" t="s">
        <v>21109</v>
      </c>
      <c r="G1203" s="2"/>
      <c r="H1203" s="2"/>
      <c r="I1203" s="2" t="s">
        <v>21110</v>
      </c>
      <c r="J1203" s="2" t="s">
        <v>21111</v>
      </c>
      <c r="K1203" s="2"/>
      <c r="L1203" s="2"/>
      <c r="M1203" s="2" t="s">
        <v>77</v>
      </c>
      <c r="N1203" s="2" t="s">
        <v>78</v>
      </c>
      <c r="O1203" s="2"/>
      <c r="P1203" s="2"/>
      <c r="Q1203" s="2"/>
      <c r="R1203" s="2"/>
      <c r="S1203" s="2"/>
      <c r="T1203" s="2" t="s">
        <v>21112</v>
      </c>
      <c r="U1203" s="2" t="s">
        <v>21113</v>
      </c>
      <c r="V1203" s="2" t="s">
        <v>21114</v>
      </c>
      <c r="W1203" s="2" t="s">
        <v>21115</v>
      </c>
      <c r="X1203" s="2" t="s">
        <v>17202</v>
      </c>
      <c r="Y1203" s="2" t="s">
        <v>21116</v>
      </c>
      <c r="Z1203" s="2" t="s">
        <v>10668</v>
      </c>
      <c r="AA1203" s="2"/>
      <c r="AB1203" s="2" t="s">
        <v>21117</v>
      </c>
      <c r="AC1203" s="2" t="s">
        <v>21118</v>
      </c>
      <c r="AD1203" s="2" t="s">
        <v>21118</v>
      </c>
      <c r="AE1203" s="2" t="s">
        <v>21119</v>
      </c>
      <c r="AF1203" s="2"/>
      <c r="AG1203" s="2" t="n">
        <v>45</v>
      </c>
      <c r="AH1203" s="2" t="n">
        <v>23</v>
      </c>
      <c r="AI1203" s="2" t="n">
        <v>28</v>
      </c>
      <c r="AJ1203" s="2" t="n">
        <v>0</v>
      </c>
      <c r="AK1203" s="2" t="n">
        <v>4</v>
      </c>
      <c r="AL1203" s="2" t="s">
        <v>20037</v>
      </c>
      <c r="AM1203" s="2" t="s">
        <v>783</v>
      </c>
      <c r="AN1203" s="2" t="s">
        <v>20038</v>
      </c>
      <c r="AO1203" s="2" t="s">
        <v>21120</v>
      </c>
      <c r="AP1203" s="2"/>
      <c r="AQ1203" s="2"/>
      <c r="AR1203" s="2" t="s">
        <v>21121</v>
      </c>
      <c r="AS1203" s="2" t="s">
        <v>21122</v>
      </c>
      <c r="AT1203" s="2" t="s">
        <v>185</v>
      </c>
      <c r="AU1203" s="2" t="n">
        <v>2011</v>
      </c>
      <c r="AV1203" s="2" t="n">
        <v>25</v>
      </c>
      <c r="AW1203" s="2" t="n">
        <v>5</v>
      </c>
      <c r="AX1203" s="2"/>
      <c r="AY1203" s="2"/>
      <c r="AZ1203" s="2"/>
      <c r="BA1203" s="2"/>
      <c r="BB1203" s="2" t="n">
        <v>1106</v>
      </c>
      <c r="BC1203" s="2" t="n">
        <v>1113</v>
      </c>
      <c r="BD1203" s="2"/>
      <c r="BE1203" s="2" t="s">
        <v>21123</v>
      </c>
      <c r="BF1203" s="2" t="str">
        <f aca="false">HYPERLINK("http://dx.doi.org/10.1016/j.tiv.2011.03.011","http://dx.doi.org/10.1016/j.tiv.2011.03.011")</f>
        <v>http://dx.doi.org/10.1016/j.tiv.2011.03.011</v>
      </c>
      <c r="BG1203" s="2"/>
      <c r="BH1203" s="2"/>
      <c r="BI1203" s="2" t="n">
        <v>8</v>
      </c>
      <c r="BJ1203" s="2" t="s">
        <v>21124</v>
      </c>
      <c r="BK1203" s="2" t="s">
        <v>100</v>
      </c>
      <c r="BL1203" s="2" t="s">
        <v>21124</v>
      </c>
      <c r="BM1203" s="2" t="s">
        <v>21125</v>
      </c>
      <c r="BN1203" s="2" t="n">
        <v>21435390</v>
      </c>
      <c r="BO1203" s="2"/>
      <c r="BP1203" s="2"/>
      <c r="BQ1203" s="2"/>
      <c r="BR1203" s="2" t="s">
        <v>104</v>
      </c>
      <c r="BS1203" s="2" t="s">
        <v>21126</v>
      </c>
      <c r="BT1203" s="2" t="str">
        <f aca="false">HYPERLINK("https%3A%2F%2Fwww.webofscience.com%2Fwos%2Fwoscc%2Ffull-record%2FWOS:000292366700015","View Full Record in Web of Science")</f>
        <v>View Full Record in Web of Science</v>
      </c>
    </row>
    <row r="1204" customFormat="false" ht="12.75" hidden="false" customHeight="false" outlineLevel="0" collapsed="false">
      <c r="A1204" s="2" t="s">
        <v>72</v>
      </c>
      <c r="B1204" s="2" t="s">
        <v>21127</v>
      </c>
      <c r="C1204" s="2"/>
      <c r="D1204" s="2"/>
      <c r="E1204" s="2"/>
      <c r="F1204" s="2" t="s">
        <v>21128</v>
      </c>
      <c r="G1204" s="2"/>
      <c r="H1204" s="2"/>
      <c r="I1204" s="2" t="s">
        <v>21129</v>
      </c>
      <c r="J1204" s="2" t="s">
        <v>19092</v>
      </c>
      <c r="K1204" s="2"/>
      <c r="L1204" s="2"/>
      <c r="M1204" s="2" t="s">
        <v>77</v>
      </c>
      <c r="N1204" s="2" t="s">
        <v>78</v>
      </c>
      <c r="O1204" s="2"/>
      <c r="P1204" s="2"/>
      <c r="Q1204" s="2"/>
      <c r="R1204" s="2"/>
      <c r="S1204" s="2"/>
      <c r="T1204" s="2" t="s">
        <v>21130</v>
      </c>
      <c r="U1204" s="2" t="s">
        <v>21131</v>
      </c>
      <c r="V1204" s="2" t="s">
        <v>21132</v>
      </c>
      <c r="W1204" s="2" t="s">
        <v>21133</v>
      </c>
      <c r="X1204" s="2" t="s">
        <v>21134</v>
      </c>
      <c r="Y1204" s="2" t="s">
        <v>21135</v>
      </c>
      <c r="Z1204" s="2" t="s">
        <v>21136</v>
      </c>
      <c r="AA1204" s="2" t="s">
        <v>21137</v>
      </c>
      <c r="AB1204" s="2" t="s">
        <v>21138</v>
      </c>
      <c r="AC1204" s="2"/>
      <c r="AD1204" s="2"/>
      <c r="AE1204" s="2"/>
      <c r="AF1204" s="2"/>
      <c r="AG1204" s="2" t="n">
        <v>25</v>
      </c>
      <c r="AH1204" s="2" t="n">
        <v>137</v>
      </c>
      <c r="AI1204" s="2" t="n">
        <v>153</v>
      </c>
      <c r="AJ1204" s="2" t="n">
        <v>0</v>
      </c>
      <c r="AK1204" s="2" t="n">
        <v>12</v>
      </c>
      <c r="AL1204" s="2" t="s">
        <v>154</v>
      </c>
      <c r="AM1204" s="2" t="s">
        <v>155</v>
      </c>
      <c r="AN1204" s="2" t="s">
        <v>156</v>
      </c>
      <c r="AO1204" s="2" t="s">
        <v>19104</v>
      </c>
      <c r="AP1204" s="2" t="s">
        <v>19105</v>
      </c>
      <c r="AQ1204" s="2"/>
      <c r="AR1204" s="2" t="s">
        <v>19092</v>
      </c>
      <c r="AS1204" s="2" t="s">
        <v>19106</v>
      </c>
      <c r="AT1204" s="2" t="s">
        <v>692</v>
      </c>
      <c r="AU1204" s="2" t="n">
        <v>2010</v>
      </c>
      <c r="AV1204" s="2" t="n">
        <v>15</v>
      </c>
      <c r="AW1204" s="2" t="n">
        <v>3</v>
      </c>
      <c r="AX1204" s="2"/>
      <c r="AY1204" s="2"/>
      <c r="AZ1204" s="2"/>
      <c r="BA1204" s="2"/>
      <c r="BB1204" s="2" t="n">
        <v>536</v>
      </c>
      <c r="BC1204" s="2" t="n">
        <v>542</v>
      </c>
      <c r="BD1204" s="2"/>
      <c r="BE1204" s="2" t="s">
        <v>21139</v>
      </c>
      <c r="BF1204" s="2" t="str">
        <f aca="false">HYPERLINK("http://dx.doi.org/10.1111/j.1440-1843.2010.01722.x","http://dx.doi.org/10.1111/j.1440-1843.2010.01722.x")</f>
        <v>http://dx.doi.org/10.1111/j.1440-1843.2010.01722.x</v>
      </c>
      <c r="BG1204" s="2"/>
      <c r="BH1204" s="2"/>
      <c r="BI1204" s="2" t="n">
        <v>7</v>
      </c>
      <c r="BJ1204" s="2" t="s">
        <v>338</v>
      </c>
      <c r="BK1204" s="2" t="s">
        <v>100</v>
      </c>
      <c r="BL1204" s="2" t="s">
        <v>338</v>
      </c>
      <c r="BM1204" s="2" t="s">
        <v>21140</v>
      </c>
      <c r="BN1204" s="2" t="n">
        <v>20415983</v>
      </c>
      <c r="BO1204" s="2" t="s">
        <v>165</v>
      </c>
      <c r="BP1204" s="2"/>
      <c r="BQ1204" s="2"/>
      <c r="BR1204" s="2" t="s">
        <v>104</v>
      </c>
      <c r="BS1204" s="2" t="s">
        <v>21141</v>
      </c>
      <c r="BT1204" s="2" t="str">
        <f aca="false">HYPERLINK("https%3A%2F%2Fwww.webofscience.com%2Fwos%2Fwoscc%2Ffull-record%2FWOS:000276036400020","View Full Record in Web of Science")</f>
        <v>View Full Record in Web of Science</v>
      </c>
    </row>
    <row r="1205" customFormat="false" ht="12.75" hidden="false" customHeight="false" outlineLevel="0" collapsed="false">
      <c r="A1205" s="2" t="s">
        <v>72</v>
      </c>
      <c r="B1205" s="2" t="s">
        <v>21142</v>
      </c>
      <c r="C1205" s="2"/>
      <c r="D1205" s="2"/>
      <c r="E1205" s="2"/>
      <c r="F1205" s="2" t="s">
        <v>21143</v>
      </c>
      <c r="G1205" s="2"/>
      <c r="H1205" s="2"/>
      <c r="I1205" s="2" t="s">
        <v>21144</v>
      </c>
      <c r="J1205" s="2" t="s">
        <v>493</v>
      </c>
      <c r="K1205" s="2"/>
      <c r="L1205" s="2"/>
      <c r="M1205" s="2" t="s">
        <v>77</v>
      </c>
      <c r="N1205" s="2" t="s">
        <v>78</v>
      </c>
      <c r="O1205" s="2"/>
      <c r="P1205" s="2"/>
      <c r="Q1205" s="2"/>
      <c r="R1205" s="2"/>
      <c r="S1205" s="2"/>
      <c r="T1205" s="2" t="s">
        <v>21145</v>
      </c>
      <c r="U1205" s="2" t="s">
        <v>21146</v>
      </c>
      <c r="V1205" s="2" t="s">
        <v>21147</v>
      </c>
      <c r="W1205" s="2" t="s">
        <v>21148</v>
      </c>
      <c r="X1205" s="2" t="s">
        <v>21149</v>
      </c>
      <c r="Y1205" s="2" t="s">
        <v>21150</v>
      </c>
      <c r="Z1205" s="2" t="s">
        <v>21151</v>
      </c>
      <c r="AA1205" s="2" t="s">
        <v>21152</v>
      </c>
      <c r="AB1205" s="2" t="s">
        <v>21153</v>
      </c>
      <c r="AC1205" s="2"/>
      <c r="AD1205" s="2"/>
      <c r="AE1205" s="2"/>
      <c r="AF1205" s="2"/>
      <c r="AG1205" s="2" t="n">
        <v>36</v>
      </c>
      <c r="AH1205" s="2" t="n">
        <v>5</v>
      </c>
      <c r="AI1205" s="2" t="n">
        <v>5</v>
      </c>
      <c r="AJ1205" s="2" t="n">
        <v>0</v>
      </c>
      <c r="AK1205" s="2" t="n">
        <v>2</v>
      </c>
      <c r="AL1205" s="2" t="s">
        <v>91</v>
      </c>
      <c r="AM1205" s="2" t="s">
        <v>92</v>
      </c>
      <c r="AN1205" s="2" t="s">
        <v>93</v>
      </c>
      <c r="AO1205" s="2"/>
      <c r="AP1205" s="2" t="s">
        <v>506</v>
      </c>
      <c r="AQ1205" s="2"/>
      <c r="AR1205" s="2" t="s">
        <v>493</v>
      </c>
      <c r="AS1205" s="2" t="s">
        <v>507</v>
      </c>
      <c r="AT1205" s="2" t="s">
        <v>390</v>
      </c>
      <c r="AU1205" s="2" t="n">
        <v>2021</v>
      </c>
      <c r="AV1205" s="2" t="n">
        <v>13</v>
      </c>
      <c r="AW1205" s="2" t="n">
        <v>5</v>
      </c>
      <c r="AX1205" s="2"/>
      <c r="AY1205" s="2"/>
      <c r="AZ1205" s="2"/>
      <c r="BA1205" s="2"/>
      <c r="BB1205" s="2"/>
      <c r="BC1205" s="2"/>
      <c r="BD1205" s="2" t="n">
        <v>911</v>
      </c>
      <c r="BE1205" s="2" t="s">
        <v>21154</v>
      </c>
      <c r="BF1205" s="2" t="str">
        <f aca="false">HYPERLINK("http://dx.doi.org/10.3390/v13050911","http://dx.doi.org/10.3390/v13050911")</f>
        <v>http://dx.doi.org/10.3390/v13050911</v>
      </c>
      <c r="BG1205" s="2"/>
      <c r="BH1205" s="2"/>
      <c r="BI1205" s="2" t="n">
        <v>11</v>
      </c>
      <c r="BJ1205" s="2" t="s">
        <v>163</v>
      </c>
      <c r="BK1205" s="2" t="s">
        <v>100</v>
      </c>
      <c r="BL1205" s="2" t="s">
        <v>163</v>
      </c>
      <c r="BM1205" s="2" t="s">
        <v>21155</v>
      </c>
      <c r="BN1205" s="2" t="n">
        <v>34069223</v>
      </c>
      <c r="BO1205" s="2" t="s">
        <v>21156</v>
      </c>
      <c r="BP1205" s="2"/>
      <c r="BQ1205" s="2"/>
      <c r="BR1205" s="2" t="s">
        <v>104</v>
      </c>
      <c r="BS1205" s="2" t="s">
        <v>21157</v>
      </c>
      <c r="BT1205" s="2" t="str">
        <f aca="false">HYPERLINK("https%3A%2F%2Fwww.webofscience.com%2Fwos%2Fwoscc%2Ffull-record%2FWOS:000654617000001","View Full Record in Web of Science")</f>
        <v>View Full Record in Web of Science</v>
      </c>
    </row>
    <row r="1206" customFormat="false" ht="12.75" hidden="false" customHeight="false" outlineLevel="0" collapsed="false">
      <c r="A1206" s="2" t="s">
        <v>72</v>
      </c>
      <c r="B1206" s="2" t="s">
        <v>21158</v>
      </c>
      <c r="C1206" s="2"/>
      <c r="D1206" s="2"/>
      <c r="E1206" s="2"/>
      <c r="F1206" s="2" t="s">
        <v>21159</v>
      </c>
      <c r="G1206" s="2"/>
      <c r="H1206" s="2"/>
      <c r="I1206" s="2" t="s">
        <v>21160</v>
      </c>
      <c r="J1206" s="2" t="s">
        <v>4309</v>
      </c>
      <c r="K1206" s="2"/>
      <c r="L1206" s="2"/>
      <c r="M1206" s="2" t="s">
        <v>77</v>
      </c>
      <c r="N1206" s="2" t="s">
        <v>78</v>
      </c>
      <c r="O1206" s="2"/>
      <c r="P1206" s="2"/>
      <c r="Q1206" s="2"/>
      <c r="R1206" s="2"/>
      <c r="S1206" s="2"/>
      <c r="T1206" s="2" t="s">
        <v>21161</v>
      </c>
      <c r="U1206" s="2" t="s">
        <v>21162</v>
      </c>
      <c r="V1206" s="2" t="s">
        <v>21163</v>
      </c>
      <c r="W1206" s="2" t="s">
        <v>21164</v>
      </c>
      <c r="X1206" s="2" t="s">
        <v>21165</v>
      </c>
      <c r="Y1206" s="2" t="s">
        <v>21166</v>
      </c>
      <c r="Z1206" s="2" t="s">
        <v>21167</v>
      </c>
      <c r="AA1206" s="2" t="s">
        <v>21168</v>
      </c>
      <c r="AB1206" s="2" t="s">
        <v>21169</v>
      </c>
      <c r="AC1206" s="2" t="s">
        <v>21170</v>
      </c>
      <c r="AD1206" s="2" t="s">
        <v>21170</v>
      </c>
      <c r="AE1206" s="2" t="s">
        <v>21171</v>
      </c>
      <c r="AF1206" s="2"/>
      <c r="AG1206" s="2" t="n">
        <v>30</v>
      </c>
      <c r="AH1206" s="2" t="n">
        <v>13</v>
      </c>
      <c r="AI1206" s="2" t="n">
        <v>14</v>
      </c>
      <c r="AJ1206" s="2" t="n">
        <v>0</v>
      </c>
      <c r="AK1206" s="2" t="n">
        <v>5</v>
      </c>
      <c r="AL1206" s="2" t="s">
        <v>8957</v>
      </c>
      <c r="AM1206" s="2" t="s">
        <v>303</v>
      </c>
      <c r="AN1206" s="2" t="s">
        <v>8958</v>
      </c>
      <c r="AO1206" s="2" t="s">
        <v>4319</v>
      </c>
      <c r="AP1206" s="2" t="s">
        <v>4320</v>
      </c>
      <c r="AQ1206" s="2"/>
      <c r="AR1206" s="2" t="s">
        <v>4321</v>
      </c>
      <c r="AS1206" s="2" t="s">
        <v>4322</v>
      </c>
      <c r="AT1206" s="2" t="s">
        <v>1041</v>
      </c>
      <c r="AU1206" s="2" t="n">
        <v>2015</v>
      </c>
      <c r="AV1206" s="2" t="n">
        <v>47</v>
      </c>
      <c r="AW1206" s="2" t="n">
        <v>2</v>
      </c>
      <c r="AX1206" s="2"/>
      <c r="AY1206" s="2"/>
      <c r="AZ1206" s="2"/>
      <c r="BA1206" s="2"/>
      <c r="BB1206" s="2" t="n">
        <v>96</v>
      </c>
      <c r="BC1206" s="2" t="n">
        <v>100</v>
      </c>
      <c r="BD1206" s="2"/>
      <c r="BE1206" s="2" t="s">
        <v>21172</v>
      </c>
      <c r="BF1206" s="2" t="str">
        <f aca="false">HYPERLINK("http://dx.doi.org/10.3109/00365548.2014.968866","http://dx.doi.org/10.3109/00365548.2014.968866")</f>
        <v>http://dx.doi.org/10.3109/00365548.2014.968866</v>
      </c>
      <c r="BG1206" s="2"/>
      <c r="BH1206" s="2"/>
      <c r="BI1206" s="2" t="n">
        <v>5</v>
      </c>
      <c r="BJ1206" s="2" t="s">
        <v>575</v>
      </c>
      <c r="BK1206" s="2" t="s">
        <v>100</v>
      </c>
      <c r="BL1206" s="2" t="s">
        <v>575</v>
      </c>
      <c r="BM1206" s="2" t="s">
        <v>21173</v>
      </c>
      <c r="BN1206" s="2" t="n">
        <v>25426994</v>
      </c>
      <c r="BO1206" s="2"/>
      <c r="BP1206" s="2"/>
      <c r="BQ1206" s="2"/>
      <c r="BR1206" s="2" t="s">
        <v>104</v>
      </c>
      <c r="BS1206" s="2" t="s">
        <v>21174</v>
      </c>
      <c r="BT1206" s="2" t="str">
        <f aca="false">HYPERLINK("https%3A%2F%2Fwww.webofscience.com%2Fwos%2Fwoscc%2Ffull-record%2FWOS:000350052600006","View Full Record in Web of Science")</f>
        <v>View Full Record in Web of Science</v>
      </c>
    </row>
    <row r="1207" customFormat="false" ht="12.75" hidden="false" customHeight="false" outlineLevel="0" collapsed="false">
      <c r="A1207" s="2" t="s">
        <v>72</v>
      </c>
      <c r="B1207" s="2" t="s">
        <v>21175</v>
      </c>
      <c r="C1207" s="2"/>
      <c r="D1207" s="2"/>
      <c r="E1207" s="2"/>
      <c r="F1207" s="2" t="s">
        <v>21176</v>
      </c>
      <c r="G1207" s="2"/>
      <c r="H1207" s="2"/>
      <c r="I1207" s="2" t="s">
        <v>21177</v>
      </c>
      <c r="J1207" s="2" t="s">
        <v>141</v>
      </c>
      <c r="K1207" s="2"/>
      <c r="L1207" s="2"/>
      <c r="M1207" s="2" t="s">
        <v>77</v>
      </c>
      <c r="N1207" s="2" t="s">
        <v>78</v>
      </c>
      <c r="O1207" s="2"/>
      <c r="P1207" s="2"/>
      <c r="Q1207" s="2"/>
      <c r="R1207" s="2"/>
      <c r="S1207" s="2"/>
      <c r="T1207" s="2" t="s">
        <v>21178</v>
      </c>
      <c r="U1207" s="2" t="s">
        <v>21179</v>
      </c>
      <c r="V1207" s="2" t="s">
        <v>21180</v>
      </c>
      <c r="W1207" s="2" t="s">
        <v>21181</v>
      </c>
      <c r="X1207" s="2" t="s">
        <v>21182</v>
      </c>
      <c r="Y1207" s="2" t="s">
        <v>21183</v>
      </c>
      <c r="Z1207" s="2" t="s">
        <v>21184</v>
      </c>
      <c r="AA1207" s="2" t="s">
        <v>21185</v>
      </c>
      <c r="AB1207" s="2" t="s">
        <v>21186</v>
      </c>
      <c r="AC1207" s="2" t="s">
        <v>21187</v>
      </c>
      <c r="AD1207" s="2" t="s">
        <v>21188</v>
      </c>
      <c r="AE1207" s="2" t="s">
        <v>21189</v>
      </c>
      <c r="AF1207" s="2"/>
      <c r="AG1207" s="2" t="n">
        <v>32</v>
      </c>
      <c r="AH1207" s="2" t="n">
        <v>56</v>
      </c>
      <c r="AI1207" s="2" t="n">
        <v>62</v>
      </c>
      <c r="AJ1207" s="2" t="n">
        <v>0</v>
      </c>
      <c r="AK1207" s="2" t="n">
        <v>16</v>
      </c>
      <c r="AL1207" s="2" t="s">
        <v>3813</v>
      </c>
      <c r="AM1207" s="2" t="s">
        <v>155</v>
      </c>
      <c r="AN1207" s="2" t="s">
        <v>156</v>
      </c>
      <c r="AO1207" s="2" t="s">
        <v>157</v>
      </c>
      <c r="AP1207" s="2"/>
      <c r="AQ1207" s="2"/>
      <c r="AR1207" s="2" t="s">
        <v>159</v>
      </c>
      <c r="AS1207" s="2" t="s">
        <v>160</v>
      </c>
      <c r="AT1207" s="2" t="s">
        <v>390</v>
      </c>
      <c r="AU1207" s="2" t="n">
        <v>2013</v>
      </c>
      <c r="AV1207" s="2" t="n">
        <v>85</v>
      </c>
      <c r="AW1207" s="2" t="n">
        <v>5</v>
      </c>
      <c r="AX1207" s="2"/>
      <c r="AY1207" s="2"/>
      <c r="AZ1207" s="2"/>
      <c r="BA1207" s="2"/>
      <c r="BB1207" s="2" t="n">
        <v>866</v>
      </c>
      <c r="BC1207" s="2" t="n">
        <v>873</v>
      </c>
      <c r="BD1207" s="2"/>
      <c r="BE1207" s="2" t="s">
        <v>21190</v>
      </c>
      <c r="BF1207" s="2" t="str">
        <f aca="false">HYPERLINK("http://dx.doi.org/10.1002/jmv.23495","http://dx.doi.org/10.1002/jmv.23495")</f>
        <v>http://dx.doi.org/10.1002/jmv.23495</v>
      </c>
      <c r="BG1207" s="2"/>
      <c r="BH1207" s="2"/>
      <c r="BI1207" s="2" t="n">
        <v>8</v>
      </c>
      <c r="BJ1207" s="2" t="s">
        <v>163</v>
      </c>
      <c r="BK1207" s="2" t="s">
        <v>100</v>
      </c>
      <c r="BL1207" s="2" t="s">
        <v>163</v>
      </c>
      <c r="BM1207" s="2" t="s">
        <v>944</v>
      </c>
      <c r="BN1207" s="2" t="n">
        <v>23447038</v>
      </c>
      <c r="BO1207" s="2" t="s">
        <v>165</v>
      </c>
      <c r="BP1207" s="2"/>
      <c r="BQ1207" s="2"/>
      <c r="BR1207" s="2" t="s">
        <v>104</v>
      </c>
      <c r="BS1207" s="2" t="s">
        <v>21191</v>
      </c>
      <c r="BT1207" s="2" t="str">
        <f aca="false">HYPERLINK("https%3A%2F%2Fwww.webofscience.com%2Fwos%2Fwoscc%2Ffull-record%2FWOS:000316971500017","View Full Record in Web of Science")</f>
        <v>View Full Record in Web of Science</v>
      </c>
    </row>
    <row r="1208" customFormat="false" ht="12.75" hidden="false" customHeight="false" outlineLevel="0" collapsed="false">
      <c r="A1208" s="2" t="s">
        <v>72</v>
      </c>
      <c r="B1208" s="2" t="s">
        <v>21192</v>
      </c>
      <c r="C1208" s="2"/>
      <c r="D1208" s="2"/>
      <c r="E1208" s="2"/>
      <c r="F1208" s="2" t="s">
        <v>21193</v>
      </c>
      <c r="G1208" s="2"/>
      <c r="H1208" s="2"/>
      <c r="I1208" s="2" t="s">
        <v>21194</v>
      </c>
      <c r="J1208" s="2" t="s">
        <v>21195</v>
      </c>
      <c r="K1208" s="2"/>
      <c r="L1208" s="2"/>
      <c r="M1208" s="2" t="s">
        <v>77</v>
      </c>
      <c r="N1208" s="2" t="s">
        <v>78</v>
      </c>
      <c r="O1208" s="2"/>
      <c r="P1208" s="2"/>
      <c r="Q1208" s="2"/>
      <c r="R1208" s="2"/>
      <c r="S1208" s="2"/>
      <c r="T1208" s="2" t="s">
        <v>21196</v>
      </c>
      <c r="U1208" s="2" t="s">
        <v>21197</v>
      </c>
      <c r="V1208" s="2" t="s">
        <v>21198</v>
      </c>
      <c r="W1208" s="2" t="s">
        <v>21199</v>
      </c>
      <c r="X1208" s="2" t="s">
        <v>21200</v>
      </c>
      <c r="Y1208" s="2" t="s">
        <v>21201</v>
      </c>
      <c r="Z1208" s="2" t="s">
        <v>21202</v>
      </c>
      <c r="AA1208" s="2" t="s">
        <v>21203</v>
      </c>
      <c r="AB1208" s="2" t="s">
        <v>21204</v>
      </c>
      <c r="AC1208" s="2" t="s">
        <v>21205</v>
      </c>
      <c r="AD1208" s="2" t="s">
        <v>21205</v>
      </c>
      <c r="AE1208" s="2" t="s">
        <v>21206</v>
      </c>
      <c r="AF1208" s="2"/>
      <c r="AG1208" s="2" t="n">
        <v>24</v>
      </c>
      <c r="AH1208" s="2" t="n">
        <v>19</v>
      </c>
      <c r="AI1208" s="2" t="n">
        <v>23</v>
      </c>
      <c r="AJ1208" s="2" t="n">
        <v>1</v>
      </c>
      <c r="AK1208" s="2" t="n">
        <v>6</v>
      </c>
      <c r="AL1208" s="2" t="s">
        <v>9887</v>
      </c>
      <c r="AM1208" s="2" t="s">
        <v>9888</v>
      </c>
      <c r="AN1208" s="2" t="s">
        <v>9889</v>
      </c>
      <c r="AO1208" s="2" t="s">
        <v>21207</v>
      </c>
      <c r="AP1208" s="2" t="s">
        <v>21208</v>
      </c>
      <c r="AQ1208" s="2"/>
      <c r="AR1208" s="2" t="s">
        <v>21195</v>
      </c>
      <c r="AS1208" s="2" t="s">
        <v>21209</v>
      </c>
      <c r="AT1208" s="2" t="s">
        <v>925</v>
      </c>
      <c r="AU1208" s="2" t="n">
        <v>2017</v>
      </c>
      <c r="AV1208" s="2" t="n">
        <v>34</v>
      </c>
      <c r="AW1208" s="2" t="n">
        <v>1</v>
      </c>
      <c r="AX1208" s="2"/>
      <c r="AY1208" s="2"/>
      <c r="AZ1208" s="2"/>
      <c r="BA1208" s="2"/>
      <c r="BB1208" s="2" t="n">
        <v>29</v>
      </c>
      <c r="BC1208" s="2" t="n">
        <v>33</v>
      </c>
      <c r="BD1208" s="2"/>
      <c r="BE1208" s="2" t="s">
        <v>21210</v>
      </c>
      <c r="BF1208" s="2" t="str">
        <f aca="false">HYPERLINK("http://dx.doi.org/10.4103/0970-2113.197099","http://dx.doi.org/10.4103/0970-2113.197099")</f>
        <v>http://dx.doi.org/10.4103/0970-2113.197099</v>
      </c>
      <c r="BG1208" s="2"/>
      <c r="BH1208" s="2"/>
      <c r="BI1208" s="2" t="n">
        <v>5</v>
      </c>
      <c r="BJ1208" s="2" t="s">
        <v>338</v>
      </c>
      <c r="BK1208" s="2" t="s">
        <v>339</v>
      </c>
      <c r="BL1208" s="2" t="s">
        <v>338</v>
      </c>
      <c r="BM1208" s="2" t="s">
        <v>21211</v>
      </c>
      <c r="BN1208" s="2" t="n">
        <v>28144057</v>
      </c>
      <c r="BO1208" s="2" t="s">
        <v>103</v>
      </c>
      <c r="BP1208" s="2"/>
      <c r="BQ1208" s="2"/>
      <c r="BR1208" s="2" t="s">
        <v>104</v>
      </c>
      <c r="BS1208" s="2" t="s">
        <v>21212</v>
      </c>
      <c r="BT1208" s="2" t="str">
        <f aca="false">HYPERLINK("https%3A%2F%2Fwww.webofscience.com%2Fwos%2Fwoscc%2Ffull-record%2FWOS:000392196500007","View Full Record in Web of Science")</f>
        <v>View Full Record in Web of Science</v>
      </c>
    </row>
    <row r="1209" customFormat="false" ht="12.75" hidden="false" customHeight="false" outlineLevel="0" collapsed="false">
      <c r="A1209" s="2" t="s">
        <v>72</v>
      </c>
      <c r="B1209" s="2" t="s">
        <v>21213</v>
      </c>
      <c r="C1209" s="2"/>
      <c r="D1209" s="2"/>
      <c r="E1209" s="2"/>
      <c r="F1209" s="2" t="s">
        <v>21214</v>
      </c>
      <c r="G1209" s="2"/>
      <c r="H1209" s="2"/>
      <c r="I1209" s="2" t="s">
        <v>21215</v>
      </c>
      <c r="J1209" s="2" t="s">
        <v>21216</v>
      </c>
      <c r="K1209" s="2"/>
      <c r="L1209" s="2"/>
      <c r="M1209" s="2" t="s">
        <v>77</v>
      </c>
      <c r="N1209" s="2" t="s">
        <v>78</v>
      </c>
      <c r="O1209" s="2"/>
      <c r="P1209" s="2"/>
      <c r="Q1209" s="2"/>
      <c r="R1209" s="2"/>
      <c r="S1209" s="2"/>
      <c r="T1209" s="2" t="s">
        <v>21217</v>
      </c>
      <c r="U1209" s="2" t="s">
        <v>21218</v>
      </c>
      <c r="V1209" s="2" t="s">
        <v>21219</v>
      </c>
      <c r="W1209" s="2" t="s">
        <v>21220</v>
      </c>
      <c r="X1209" s="2" t="s">
        <v>21221</v>
      </c>
      <c r="Y1209" s="2" t="s">
        <v>21222</v>
      </c>
      <c r="Z1209" s="2" t="s">
        <v>21223</v>
      </c>
      <c r="AA1209" s="2"/>
      <c r="AB1209" s="2"/>
      <c r="AC1209" s="2"/>
      <c r="AD1209" s="2"/>
      <c r="AE1209" s="2"/>
      <c r="AF1209" s="2"/>
      <c r="AG1209" s="2" t="n">
        <v>54</v>
      </c>
      <c r="AH1209" s="2" t="n">
        <v>59</v>
      </c>
      <c r="AI1209" s="2" t="n">
        <v>69</v>
      </c>
      <c r="AJ1209" s="2" t="n">
        <v>1</v>
      </c>
      <c r="AK1209" s="2" t="n">
        <v>11</v>
      </c>
      <c r="AL1209" s="2" t="s">
        <v>122</v>
      </c>
      <c r="AM1209" s="2" t="s">
        <v>123</v>
      </c>
      <c r="AN1209" s="2" t="s">
        <v>124</v>
      </c>
      <c r="AO1209" s="2" t="s">
        <v>21224</v>
      </c>
      <c r="AP1209" s="2" t="s">
        <v>21225</v>
      </c>
      <c r="AQ1209" s="2"/>
      <c r="AR1209" s="2" t="s">
        <v>21226</v>
      </c>
      <c r="AS1209" s="2" t="s">
        <v>21227</v>
      </c>
      <c r="AT1209" s="2" t="s">
        <v>97</v>
      </c>
      <c r="AU1209" s="2" t="n">
        <v>2008</v>
      </c>
      <c r="AV1209" s="2" t="n">
        <v>14</v>
      </c>
      <c r="AW1209" s="2" t="n">
        <v>2</v>
      </c>
      <c r="AX1209" s="2"/>
      <c r="AY1209" s="2"/>
      <c r="AZ1209" s="2"/>
      <c r="BA1209" s="2"/>
      <c r="BB1209" s="2" t="n">
        <v>89</v>
      </c>
      <c r="BC1209" s="2" t="n">
        <v>94</v>
      </c>
      <c r="BD1209" s="2"/>
      <c r="BE1209" s="2" t="s">
        <v>21228</v>
      </c>
      <c r="BF1209" s="2" t="str">
        <f aca="false">HYPERLINK("http://dx.doi.org/10.1097/MCP.0b013e3282f4a99f","http://dx.doi.org/10.1097/MCP.0b013e3282f4a99f")</f>
        <v>http://dx.doi.org/10.1097/MCP.0b013e3282f4a99f</v>
      </c>
      <c r="BG1209" s="2"/>
      <c r="BH1209" s="2"/>
      <c r="BI1209" s="2" t="n">
        <v>6</v>
      </c>
      <c r="BJ1209" s="2" t="s">
        <v>338</v>
      </c>
      <c r="BK1209" s="2" t="s">
        <v>100</v>
      </c>
      <c r="BL1209" s="2" t="s">
        <v>338</v>
      </c>
      <c r="BM1209" s="2" t="s">
        <v>21229</v>
      </c>
      <c r="BN1209" s="2" t="n">
        <v>18303415</v>
      </c>
      <c r="BO1209" s="2"/>
      <c r="BP1209" s="2"/>
      <c r="BQ1209" s="2"/>
      <c r="BR1209" s="2" t="s">
        <v>104</v>
      </c>
      <c r="BS1209" s="2" t="s">
        <v>21230</v>
      </c>
      <c r="BT1209" s="2" t="str">
        <f aca="false">HYPERLINK("https%3A%2F%2Fwww.webofscience.com%2Fwos%2Fwoscc%2Ffull-record%2FWOS:000253470400001","View Full Record in Web of Science")</f>
        <v>View Full Record in Web of Science</v>
      </c>
    </row>
    <row r="1210" customFormat="false" ht="12.75" hidden="false" customHeight="false" outlineLevel="0" collapsed="false">
      <c r="A1210" s="2" t="s">
        <v>72</v>
      </c>
      <c r="B1210" s="2" t="s">
        <v>21231</v>
      </c>
      <c r="C1210" s="2"/>
      <c r="D1210" s="2"/>
      <c r="E1210" s="2"/>
      <c r="F1210" s="2" t="s">
        <v>21232</v>
      </c>
      <c r="G1210" s="2"/>
      <c r="H1210" s="2"/>
      <c r="I1210" s="2" t="s">
        <v>21233</v>
      </c>
      <c r="J1210" s="2" t="s">
        <v>971</v>
      </c>
      <c r="K1210" s="2"/>
      <c r="L1210" s="2"/>
      <c r="M1210" s="2" t="s">
        <v>77</v>
      </c>
      <c r="N1210" s="2" t="s">
        <v>78</v>
      </c>
      <c r="O1210" s="2"/>
      <c r="P1210" s="2"/>
      <c r="Q1210" s="2"/>
      <c r="R1210" s="2"/>
      <c r="S1210" s="2"/>
      <c r="T1210" s="2" t="s">
        <v>21234</v>
      </c>
      <c r="U1210" s="2" t="s">
        <v>21235</v>
      </c>
      <c r="V1210" s="2" t="s">
        <v>21236</v>
      </c>
      <c r="W1210" s="2" t="s">
        <v>21237</v>
      </c>
      <c r="X1210" s="2" t="s">
        <v>15584</v>
      </c>
      <c r="Y1210" s="2" t="s">
        <v>21238</v>
      </c>
      <c r="Z1210" s="2" t="s">
        <v>21239</v>
      </c>
      <c r="AA1210" s="2" t="s">
        <v>21240</v>
      </c>
      <c r="AB1210" s="2" t="s">
        <v>21241</v>
      </c>
      <c r="AC1210" s="2" t="s">
        <v>21242</v>
      </c>
      <c r="AD1210" s="2" t="s">
        <v>981</v>
      </c>
      <c r="AE1210" s="2"/>
      <c r="AF1210" s="2"/>
      <c r="AG1210" s="2" t="n">
        <v>98</v>
      </c>
      <c r="AH1210" s="2" t="n">
        <v>36</v>
      </c>
      <c r="AI1210" s="2" t="n">
        <v>39</v>
      </c>
      <c r="AJ1210" s="2" t="n">
        <v>1</v>
      </c>
      <c r="AK1210" s="2" t="n">
        <v>50</v>
      </c>
      <c r="AL1210" s="2" t="s">
        <v>957</v>
      </c>
      <c r="AM1210" s="2" t="s">
        <v>123</v>
      </c>
      <c r="AN1210" s="2" t="s">
        <v>958</v>
      </c>
      <c r="AO1210" s="2" t="s">
        <v>982</v>
      </c>
      <c r="AP1210" s="2" t="s">
        <v>983</v>
      </c>
      <c r="AQ1210" s="2"/>
      <c r="AR1210" s="2" t="s">
        <v>984</v>
      </c>
      <c r="AS1210" s="2" t="s">
        <v>985</v>
      </c>
      <c r="AT1210" s="2" t="s">
        <v>97</v>
      </c>
      <c r="AU1210" s="2" t="n">
        <v>2017</v>
      </c>
      <c r="AV1210" s="2" t="n">
        <v>38</v>
      </c>
      <c r="AW1210" s="2" t="n">
        <v>1</v>
      </c>
      <c r="AX1210" s="2"/>
      <c r="AY1210" s="2"/>
      <c r="AZ1210" s="2"/>
      <c r="BA1210" s="2"/>
      <c r="BB1210" s="2" t="n">
        <v>87</v>
      </c>
      <c r="BC1210" s="2" t="s">
        <v>986</v>
      </c>
      <c r="BD1210" s="2"/>
      <c r="BE1210" s="2" t="s">
        <v>21243</v>
      </c>
      <c r="BF1210" s="2" t="str">
        <f aca="false">HYPERLINK("http://dx.doi.org/10.1016/j.ccm.2016.11.014","http://dx.doi.org/10.1016/j.ccm.2016.11.014")</f>
        <v>http://dx.doi.org/10.1016/j.ccm.2016.11.014</v>
      </c>
      <c r="BG1210" s="2"/>
      <c r="BH1210" s="2"/>
      <c r="BI1210" s="2" t="n">
        <v>11</v>
      </c>
      <c r="BJ1210" s="2" t="s">
        <v>338</v>
      </c>
      <c r="BK1210" s="2" t="s">
        <v>100</v>
      </c>
      <c r="BL1210" s="2" t="s">
        <v>338</v>
      </c>
      <c r="BM1210" s="2" t="s">
        <v>988</v>
      </c>
      <c r="BN1210" s="2" t="n">
        <v>28159164</v>
      </c>
      <c r="BO1210" s="2" t="s">
        <v>695</v>
      </c>
      <c r="BP1210" s="2"/>
      <c r="BQ1210" s="2"/>
      <c r="BR1210" s="2" t="s">
        <v>104</v>
      </c>
      <c r="BS1210" s="2" t="s">
        <v>21244</v>
      </c>
      <c r="BT1210" s="2" t="str">
        <f aca="false">HYPERLINK("https%3A%2F%2Fwww.webofscience.com%2Fwos%2Fwoscc%2Ffull-record%2FWOS:000396387100010","View Full Record in Web of Science")</f>
        <v>View Full Record in Web of Science</v>
      </c>
    </row>
    <row r="1211" customFormat="false" ht="12.75" hidden="false" customHeight="false" outlineLevel="0" collapsed="false">
      <c r="A1211" s="2" t="s">
        <v>72</v>
      </c>
      <c r="B1211" s="2" t="s">
        <v>21245</v>
      </c>
      <c r="C1211" s="2"/>
      <c r="D1211" s="2"/>
      <c r="E1211" s="2"/>
      <c r="F1211" s="2" t="s">
        <v>21246</v>
      </c>
      <c r="G1211" s="2"/>
      <c r="H1211" s="2"/>
      <c r="I1211" s="2" t="s">
        <v>21247</v>
      </c>
      <c r="J1211" s="2" t="s">
        <v>2021</v>
      </c>
      <c r="K1211" s="2"/>
      <c r="L1211" s="2"/>
      <c r="M1211" s="2" t="s">
        <v>77</v>
      </c>
      <c r="N1211" s="2" t="s">
        <v>78</v>
      </c>
      <c r="O1211" s="2"/>
      <c r="P1211" s="2"/>
      <c r="Q1211" s="2"/>
      <c r="R1211" s="2"/>
      <c r="S1211" s="2"/>
      <c r="T1211" s="2" t="s">
        <v>21248</v>
      </c>
      <c r="U1211" s="2" t="s">
        <v>21249</v>
      </c>
      <c r="V1211" s="2" t="s">
        <v>21250</v>
      </c>
      <c r="W1211" s="2" t="s">
        <v>21251</v>
      </c>
      <c r="X1211" s="2" t="s">
        <v>21252</v>
      </c>
      <c r="Y1211" s="2" t="s">
        <v>21253</v>
      </c>
      <c r="Z1211" s="2" t="s">
        <v>21254</v>
      </c>
      <c r="AA1211" s="2" t="s">
        <v>21255</v>
      </c>
      <c r="AB1211" s="2" t="s">
        <v>21256</v>
      </c>
      <c r="AC1211" s="2" t="s">
        <v>21257</v>
      </c>
      <c r="AD1211" s="2" t="s">
        <v>11195</v>
      </c>
      <c r="AE1211" s="2" t="s">
        <v>21258</v>
      </c>
      <c r="AF1211" s="2"/>
      <c r="AG1211" s="2" t="n">
        <v>35</v>
      </c>
      <c r="AH1211" s="2" t="n">
        <v>80</v>
      </c>
      <c r="AI1211" s="2" t="n">
        <v>80</v>
      </c>
      <c r="AJ1211" s="2" t="n">
        <v>0</v>
      </c>
      <c r="AK1211" s="2" t="n">
        <v>5</v>
      </c>
      <c r="AL1211" s="2" t="s">
        <v>527</v>
      </c>
      <c r="AM1211" s="2" t="s">
        <v>528</v>
      </c>
      <c r="AN1211" s="2" t="s">
        <v>529</v>
      </c>
      <c r="AO1211" s="2" t="s">
        <v>2033</v>
      </c>
      <c r="AP1211" s="2" t="s">
        <v>2034</v>
      </c>
      <c r="AQ1211" s="2"/>
      <c r="AR1211" s="2" t="s">
        <v>2035</v>
      </c>
      <c r="AS1211" s="2" t="s">
        <v>2036</v>
      </c>
      <c r="AT1211" s="2" t="s">
        <v>3408</v>
      </c>
      <c r="AU1211" s="2" t="n">
        <v>2016</v>
      </c>
      <c r="AV1211" s="2" t="n">
        <v>62</v>
      </c>
      <c r="AW1211" s="2" t="n">
        <v>3</v>
      </c>
      <c r="AX1211" s="2"/>
      <c r="AY1211" s="2"/>
      <c r="AZ1211" s="2"/>
      <c r="BA1211" s="2"/>
      <c r="BB1211" s="2" t="n">
        <v>313</v>
      </c>
      <c r="BC1211" s="2" t="n">
        <v>319</v>
      </c>
      <c r="BD1211" s="2"/>
      <c r="BE1211" s="2" t="s">
        <v>21259</v>
      </c>
      <c r="BF1211" s="2" t="str">
        <f aca="false">HYPERLINK("http://dx.doi.org/10.1093/cid/civ871","http://dx.doi.org/10.1093/cid/civ871")</f>
        <v>http://dx.doi.org/10.1093/cid/civ871</v>
      </c>
      <c r="BG1211" s="2"/>
      <c r="BH1211" s="2"/>
      <c r="BI1211" s="2" t="n">
        <v>7</v>
      </c>
      <c r="BJ1211" s="2" t="s">
        <v>536</v>
      </c>
      <c r="BK1211" s="2" t="s">
        <v>100</v>
      </c>
      <c r="BL1211" s="2" t="s">
        <v>536</v>
      </c>
      <c r="BM1211" s="2" t="s">
        <v>21260</v>
      </c>
      <c r="BN1211" s="2" t="n">
        <v>26565010</v>
      </c>
      <c r="BO1211" s="2" t="s">
        <v>1267</v>
      </c>
      <c r="BP1211" s="2"/>
      <c r="BQ1211" s="2"/>
      <c r="BR1211" s="2" t="s">
        <v>104</v>
      </c>
      <c r="BS1211" s="2" t="s">
        <v>21261</v>
      </c>
      <c r="BT1211" s="2" t="str">
        <f aca="false">HYPERLINK("https%3A%2F%2Fwww.webofscience.com%2Fwos%2Fwoscc%2Ffull-record%2FWOS:000370205600010","View Full Record in Web of Science")</f>
        <v>View Full Record in Web of Science</v>
      </c>
    </row>
    <row r="1212" customFormat="false" ht="12.75" hidden="false" customHeight="false" outlineLevel="0" collapsed="false">
      <c r="A1212" s="2" t="s">
        <v>72</v>
      </c>
      <c r="B1212" s="2" t="s">
        <v>21262</v>
      </c>
      <c r="C1212" s="2"/>
      <c r="D1212" s="2"/>
      <c r="E1212" s="2"/>
      <c r="F1212" s="2" t="s">
        <v>21263</v>
      </c>
      <c r="G1212" s="2"/>
      <c r="H1212" s="2"/>
      <c r="I1212" s="2" t="s">
        <v>21264</v>
      </c>
      <c r="J1212" s="2" t="s">
        <v>21265</v>
      </c>
      <c r="K1212" s="2"/>
      <c r="L1212" s="2"/>
      <c r="M1212" s="2" t="s">
        <v>77</v>
      </c>
      <c r="N1212" s="2" t="s">
        <v>78</v>
      </c>
      <c r="O1212" s="2"/>
      <c r="P1212" s="2"/>
      <c r="Q1212" s="2"/>
      <c r="R1212" s="2"/>
      <c r="S1212" s="2"/>
      <c r="T1212" s="2" t="s">
        <v>21266</v>
      </c>
      <c r="U1212" s="2" t="s">
        <v>21267</v>
      </c>
      <c r="V1212" s="2" t="s">
        <v>21268</v>
      </c>
      <c r="W1212" s="2" t="s">
        <v>21269</v>
      </c>
      <c r="X1212" s="2" t="s">
        <v>21270</v>
      </c>
      <c r="Y1212" s="2" t="s">
        <v>21271</v>
      </c>
      <c r="Z1212" s="2"/>
      <c r="AA1212" s="2"/>
      <c r="AB1212" s="2"/>
      <c r="AC1212" s="2" t="s">
        <v>21272</v>
      </c>
      <c r="AD1212" s="2" t="s">
        <v>21273</v>
      </c>
      <c r="AE1212" s="2" t="s">
        <v>21274</v>
      </c>
      <c r="AF1212" s="2"/>
      <c r="AG1212" s="2" t="n">
        <v>29</v>
      </c>
      <c r="AH1212" s="2" t="n">
        <v>0</v>
      </c>
      <c r="AI1212" s="2" t="n">
        <v>0</v>
      </c>
      <c r="AJ1212" s="2" t="n">
        <v>0</v>
      </c>
      <c r="AK1212" s="2" t="n">
        <v>14</v>
      </c>
      <c r="AL1212" s="2" t="s">
        <v>21275</v>
      </c>
      <c r="AM1212" s="2" t="s">
        <v>21276</v>
      </c>
      <c r="AN1212" s="2" t="s">
        <v>21277</v>
      </c>
      <c r="AO1212" s="2" t="s">
        <v>21278</v>
      </c>
      <c r="AP1212" s="2"/>
      <c r="AQ1212" s="2"/>
      <c r="AR1212" s="2" t="s">
        <v>21279</v>
      </c>
      <c r="AS1212" s="2" t="s">
        <v>21280</v>
      </c>
      <c r="AT1212" s="2" t="s">
        <v>161</v>
      </c>
      <c r="AU1212" s="2" t="n">
        <v>2013</v>
      </c>
      <c r="AV1212" s="2" t="n">
        <v>18</v>
      </c>
      <c r="AW1212" s="2" t="n">
        <v>1</v>
      </c>
      <c r="AX1212" s="2"/>
      <c r="AY1212" s="2"/>
      <c r="AZ1212" s="2"/>
      <c r="BA1212" s="2"/>
      <c r="BB1212" s="2" t="n">
        <v>6</v>
      </c>
      <c r="BC1212" s="2" t="n">
        <v>11</v>
      </c>
      <c r="BD1212" s="2"/>
      <c r="BE1212" s="2"/>
      <c r="BF1212" s="2"/>
      <c r="BG1212" s="2"/>
      <c r="BH1212" s="2"/>
      <c r="BI1212" s="2" t="n">
        <v>6</v>
      </c>
      <c r="BJ1212" s="2" t="s">
        <v>601</v>
      </c>
      <c r="BK1212" s="2" t="s">
        <v>100</v>
      </c>
      <c r="BL1212" s="2" t="s">
        <v>601</v>
      </c>
      <c r="BM1212" s="2" t="s">
        <v>21281</v>
      </c>
      <c r="BN1212" s="2"/>
      <c r="BO1212" s="2"/>
      <c r="BP1212" s="2"/>
      <c r="BQ1212" s="2"/>
      <c r="BR1212" s="2" t="s">
        <v>104</v>
      </c>
      <c r="BS1212" s="2" t="s">
        <v>21282</v>
      </c>
      <c r="BT1212" s="2" t="str">
        <f aca="false">HYPERLINK("https%3A%2F%2Fwww.webofscience.com%2Fwos%2Fwoscc%2Ffull-record%2FWOS:000314201400004","View Full Record in Web of Science")</f>
        <v>View Full Record in Web of Science</v>
      </c>
    </row>
    <row r="1213" customFormat="false" ht="12.75" hidden="false" customHeight="false" outlineLevel="0" collapsed="false">
      <c r="A1213" s="2" t="s">
        <v>72</v>
      </c>
      <c r="B1213" s="2" t="s">
        <v>21283</v>
      </c>
      <c r="C1213" s="2"/>
      <c r="D1213" s="2"/>
      <c r="E1213" s="2"/>
      <c r="F1213" s="2" t="s">
        <v>21284</v>
      </c>
      <c r="G1213" s="2"/>
      <c r="H1213" s="2"/>
      <c r="I1213" s="2" t="s">
        <v>21285</v>
      </c>
      <c r="J1213" s="2" t="s">
        <v>6683</v>
      </c>
      <c r="K1213" s="2"/>
      <c r="L1213" s="2"/>
      <c r="M1213" s="2" t="s">
        <v>77</v>
      </c>
      <c r="N1213" s="2" t="s">
        <v>78</v>
      </c>
      <c r="O1213" s="2"/>
      <c r="P1213" s="2"/>
      <c r="Q1213" s="2"/>
      <c r="R1213" s="2"/>
      <c r="S1213" s="2"/>
      <c r="T1213" s="2" t="s">
        <v>21286</v>
      </c>
      <c r="U1213" s="2" t="s">
        <v>21287</v>
      </c>
      <c r="V1213" s="2" t="s">
        <v>21288</v>
      </c>
      <c r="W1213" s="2" t="s">
        <v>21289</v>
      </c>
      <c r="X1213" s="2" t="s">
        <v>21290</v>
      </c>
      <c r="Y1213" s="2" t="s">
        <v>21291</v>
      </c>
      <c r="Z1213" s="2" t="s">
        <v>21292</v>
      </c>
      <c r="AA1213" s="2" t="s">
        <v>21293</v>
      </c>
      <c r="AB1213" s="2" t="s">
        <v>21294</v>
      </c>
      <c r="AC1213" s="2" t="s">
        <v>21295</v>
      </c>
      <c r="AD1213" s="2" t="s">
        <v>21296</v>
      </c>
      <c r="AE1213" s="2" t="s">
        <v>21297</v>
      </c>
      <c r="AF1213" s="2"/>
      <c r="AG1213" s="2" t="n">
        <v>24</v>
      </c>
      <c r="AH1213" s="2" t="n">
        <v>6</v>
      </c>
      <c r="AI1213" s="2" t="n">
        <v>7</v>
      </c>
      <c r="AJ1213" s="2" t="n">
        <v>0</v>
      </c>
      <c r="AK1213" s="2" t="n">
        <v>19</v>
      </c>
      <c r="AL1213" s="2" t="s">
        <v>302</v>
      </c>
      <c r="AM1213" s="2" t="s">
        <v>303</v>
      </c>
      <c r="AN1213" s="2" t="s">
        <v>304</v>
      </c>
      <c r="AO1213" s="2" t="s">
        <v>6694</v>
      </c>
      <c r="AP1213" s="2" t="s">
        <v>6695</v>
      </c>
      <c r="AQ1213" s="2"/>
      <c r="AR1213" s="2" t="s">
        <v>6696</v>
      </c>
      <c r="AS1213" s="2" t="s">
        <v>6697</v>
      </c>
      <c r="AT1213" s="2" t="s">
        <v>21298</v>
      </c>
      <c r="AU1213" s="2" t="n">
        <v>2021</v>
      </c>
      <c r="AV1213" s="2" t="n">
        <v>8</v>
      </c>
      <c r="AW1213" s="2" t="n">
        <v>1</v>
      </c>
      <c r="AX1213" s="2"/>
      <c r="AY1213" s="2"/>
      <c r="AZ1213" s="2"/>
      <c r="BA1213" s="2"/>
      <c r="BB1213" s="2"/>
      <c r="BC1213" s="2"/>
      <c r="BD1213" s="2" t="n">
        <v>13</v>
      </c>
      <c r="BE1213" s="2" t="s">
        <v>21299</v>
      </c>
      <c r="BF1213" s="2" t="str">
        <f aca="false">HYPERLINK("http://dx.doi.org/10.1186/s40779-021-00306-7","http://dx.doi.org/10.1186/s40779-021-00306-7")</f>
        <v>http://dx.doi.org/10.1186/s40779-021-00306-7</v>
      </c>
      <c r="BG1213" s="2"/>
      <c r="BH1213" s="2"/>
      <c r="BI1213" s="2" t="n">
        <v>14</v>
      </c>
      <c r="BJ1213" s="2" t="s">
        <v>363</v>
      </c>
      <c r="BK1213" s="2" t="s">
        <v>100</v>
      </c>
      <c r="BL1213" s="2" t="s">
        <v>364</v>
      </c>
      <c r="BM1213" s="2" t="s">
        <v>21300</v>
      </c>
      <c r="BN1213" s="2" t="n">
        <v>33593415</v>
      </c>
      <c r="BO1213" s="2" t="s">
        <v>190</v>
      </c>
      <c r="BP1213" s="2"/>
      <c r="BQ1213" s="2"/>
      <c r="BR1213" s="2" t="s">
        <v>104</v>
      </c>
      <c r="BS1213" s="2" t="s">
        <v>21301</v>
      </c>
      <c r="BT1213" s="2" t="str">
        <f aca="false">HYPERLINK("https%3A%2F%2Fwww.webofscience.com%2Fwos%2Fwoscc%2Ffull-record%2FWOS:000620927600002","View Full Record in Web of Science")</f>
        <v>View Full Record in Web of Science</v>
      </c>
    </row>
    <row r="1214" customFormat="false" ht="12.75" hidden="false" customHeight="false" outlineLevel="0" collapsed="false">
      <c r="A1214" s="2" t="s">
        <v>72</v>
      </c>
      <c r="B1214" s="2" t="s">
        <v>21302</v>
      </c>
      <c r="C1214" s="2"/>
      <c r="D1214" s="2"/>
      <c r="E1214" s="2"/>
      <c r="F1214" s="2" t="s">
        <v>21303</v>
      </c>
      <c r="G1214" s="2"/>
      <c r="H1214" s="2"/>
      <c r="I1214" s="2" t="s">
        <v>21304</v>
      </c>
      <c r="J1214" s="2" t="s">
        <v>21305</v>
      </c>
      <c r="K1214" s="2"/>
      <c r="L1214" s="2"/>
      <c r="M1214" s="2" t="s">
        <v>77</v>
      </c>
      <c r="N1214" s="2" t="s">
        <v>78</v>
      </c>
      <c r="O1214" s="2"/>
      <c r="P1214" s="2"/>
      <c r="Q1214" s="2"/>
      <c r="R1214" s="2"/>
      <c r="S1214" s="2"/>
      <c r="T1214" s="2" t="s">
        <v>21306</v>
      </c>
      <c r="U1214" s="2" t="s">
        <v>21307</v>
      </c>
      <c r="V1214" s="2" t="s">
        <v>21308</v>
      </c>
      <c r="W1214" s="2" t="s">
        <v>21309</v>
      </c>
      <c r="X1214" s="2" t="s">
        <v>21310</v>
      </c>
      <c r="Y1214" s="2" t="s">
        <v>2992</v>
      </c>
      <c r="Z1214" s="2" t="s">
        <v>2993</v>
      </c>
      <c r="AA1214" s="2" t="s">
        <v>21311</v>
      </c>
      <c r="AB1214" s="2" t="s">
        <v>21312</v>
      </c>
      <c r="AC1214" s="2" t="s">
        <v>21313</v>
      </c>
      <c r="AD1214" s="2" t="s">
        <v>21314</v>
      </c>
      <c r="AE1214" s="2" t="s">
        <v>21315</v>
      </c>
      <c r="AF1214" s="2"/>
      <c r="AG1214" s="2" t="n">
        <v>21</v>
      </c>
      <c r="AH1214" s="2" t="n">
        <v>12</v>
      </c>
      <c r="AI1214" s="2" t="n">
        <v>12</v>
      </c>
      <c r="AJ1214" s="2" t="n">
        <v>0</v>
      </c>
      <c r="AK1214" s="2" t="n">
        <v>24</v>
      </c>
      <c r="AL1214" s="2" t="s">
        <v>154</v>
      </c>
      <c r="AM1214" s="2" t="s">
        <v>155</v>
      </c>
      <c r="AN1214" s="2" t="s">
        <v>156</v>
      </c>
      <c r="AO1214" s="2" t="s">
        <v>21316</v>
      </c>
      <c r="AP1214" s="2" t="s">
        <v>21317</v>
      </c>
      <c r="AQ1214" s="2"/>
      <c r="AR1214" s="2" t="s">
        <v>21318</v>
      </c>
      <c r="AS1214" s="2" t="s">
        <v>21319</v>
      </c>
      <c r="AT1214" s="2" t="s">
        <v>97</v>
      </c>
      <c r="AU1214" s="2" t="n">
        <v>2014</v>
      </c>
      <c r="AV1214" s="2" t="n">
        <v>61</v>
      </c>
      <c r="AW1214" s="2" t="n">
        <v>3</v>
      </c>
      <c r="AX1214" s="2"/>
      <c r="AY1214" s="2"/>
      <c r="AZ1214" s="2"/>
      <c r="BA1214" s="2"/>
      <c r="BB1214" s="2" t="n">
        <v>507</v>
      </c>
      <c r="BC1214" s="2" t="n">
        <v>511</v>
      </c>
      <c r="BD1214" s="2"/>
      <c r="BE1214" s="2" t="s">
        <v>21320</v>
      </c>
      <c r="BF1214" s="2" t="str">
        <f aca="false">HYPERLINK("http://dx.doi.org/10.1002/pbc.24798","http://dx.doi.org/10.1002/pbc.24798")</f>
        <v>http://dx.doi.org/10.1002/pbc.24798</v>
      </c>
      <c r="BG1214" s="2"/>
      <c r="BH1214" s="2"/>
      <c r="BI1214" s="2" t="n">
        <v>5</v>
      </c>
      <c r="BJ1214" s="2" t="s">
        <v>1128</v>
      </c>
      <c r="BK1214" s="2" t="s">
        <v>100</v>
      </c>
      <c r="BL1214" s="2" t="s">
        <v>1128</v>
      </c>
      <c r="BM1214" s="2" t="s">
        <v>21321</v>
      </c>
      <c r="BN1214" s="2" t="n">
        <v>24123899</v>
      </c>
      <c r="BO1214" s="2" t="s">
        <v>1227</v>
      </c>
      <c r="BP1214" s="2"/>
      <c r="BQ1214" s="2"/>
      <c r="BR1214" s="2" t="s">
        <v>104</v>
      </c>
      <c r="BS1214" s="2" t="s">
        <v>21322</v>
      </c>
      <c r="BT1214" s="2" t="str">
        <f aca="false">HYPERLINK("https%3A%2F%2Fwww.webofscience.com%2Fwos%2Fwoscc%2Ffull-record%2FWOS:000329585300020","View Full Record in Web of Science")</f>
        <v>View Full Record in Web of Science</v>
      </c>
    </row>
    <row r="1215" customFormat="false" ht="12.75" hidden="false" customHeight="false" outlineLevel="0" collapsed="false">
      <c r="A1215" s="2" t="s">
        <v>72</v>
      </c>
      <c r="B1215" s="2" t="s">
        <v>21323</v>
      </c>
      <c r="C1215" s="2"/>
      <c r="D1215" s="2"/>
      <c r="E1215" s="2"/>
      <c r="F1215" s="2" t="s">
        <v>21324</v>
      </c>
      <c r="G1215" s="2"/>
      <c r="H1215" s="2"/>
      <c r="I1215" s="2" t="s">
        <v>21325</v>
      </c>
      <c r="J1215" s="2" t="s">
        <v>21326</v>
      </c>
      <c r="K1215" s="2"/>
      <c r="L1215" s="2"/>
      <c r="M1215" s="2" t="s">
        <v>77</v>
      </c>
      <c r="N1215" s="2" t="s">
        <v>78</v>
      </c>
      <c r="O1215" s="2"/>
      <c r="P1215" s="2"/>
      <c r="Q1215" s="2"/>
      <c r="R1215" s="2"/>
      <c r="S1215" s="2"/>
      <c r="T1215" s="2" t="s">
        <v>21327</v>
      </c>
      <c r="U1215" s="2" t="s">
        <v>21328</v>
      </c>
      <c r="V1215" s="2" t="s">
        <v>21329</v>
      </c>
      <c r="W1215" s="2" t="s">
        <v>21330</v>
      </c>
      <c r="X1215" s="2" t="s">
        <v>21331</v>
      </c>
      <c r="Y1215" s="2" t="s">
        <v>21332</v>
      </c>
      <c r="Z1215" s="2" t="s">
        <v>21333</v>
      </c>
      <c r="AA1215" s="2" t="s">
        <v>21334</v>
      </c>
      <c r="AB1215" s="2" t="s">
        <v>21335</v>
      </c>
      <c r="AC1215" s="2"/>
      <c r="AD1215" s="2"/>
      <c r="AE1215" s="2"/>
      <c r="AF1215" s="2"/>
      <c r="AG1215" s="2" t="n">
        <v>27</v>
      </c>
      <c r="AH1215" s="2" t="n">
        <v>3</v>
      </c>
      <c r="AI1215" s="2" t="n">
        <v>4</v>
      </c>
      <c r="AJ1215" s="2" t="n">
        <v>0</v>
      </c>
      <c r="AK1215" s="2" t="n">
        <v>6</v>
      </c>
      <c r="AL1215" s="2" t="s">
        <v>21336</v>
      </c>
      <c r="AM1215" s="2" t="s">
        <v>3690</v>
      </c>
      <c r="AN1215" s="2" t="s">
        <v>21337</v>
      </c>
      <c r="AO1215" s="2" t="s">
        <v>21338</v>
      </c>
      <c r="AP1215" s="2" t="s">
        <v>21339</v>
      </c>
      <c r="AQ1215" s="2"/>
      <c r="AR1215" s="2" t="s">
        <v>21340</v>
      </c>
      <c r="AS1215" s="2" t="s">
        <v>21341</v>
      </c>
      <c r="AT1215" s="2" t="s">
        <v>486</v>
      </c>
      <c r="AU1215" s="2" t="n">
        <v>2020</v>
      </c>
      <c r="AV1215" s="2" t="n">
        <v>55</v>
      </c>
      <c r="AW1215" s="2" t="n">
        <v>2</v>
      </c>
      <c r="AX1215" s="2"/>
      <c r="AY1215" s="2"/>
      <c r="AZ1215" s="2"/>
      <c r="BA1215" s="2"/>
      <c r="BB1215" s="2" t="n">
        <v>166</v>
      </c>
      <c r="BC1215" s="2" t="n">
        <v>173</v>
      </c>
      <c r="BD1215" s="2"/>
      <c r="BE1215" s="2" t="s">
        <v>21342</v>
      </c>
      <c r="BF1215" s="2" t="str">
        <f aca="false">HYPERLINK("http://dx.doi.org/10.14744/TurkPediatriArs.2020.39114","http://dx.doi.org/10.14744/TurkPediatriArs.2020.39114")</f>
        <v>http://dx.doi.org/10.14744/TurkPediatriArs.2020.39114</v>
      </c>
      <c r="BG1215" s="2"/>
      <c r="BH1215" s="2"/>
      <c r="BI1215" s="2" t="n">
        <v>8</v>
      </c>
      <c r="BJ1215" s="2" t="s">
        <v>601</v>
      </c>
      <c r="BK1215" s="2" t="s">
        <v>339</v>
      </c>
      <c r="BL1215" s="2" t="s">
        <v>601</v>
      </c>
      <c r="BM1215" s="2" t="s">
        <v>21343</v>
      </c>
      <c r="BN1215" s="2" t="n">
        <v>32684762</v>
      </c>
      <c r="BO1215" s="2" t="s">
        <v>165</v>
      </c>
      <c r="BP1215" s="2"/>
      <c r="BQ1215" s="2"/>
      <c r="BR1215" s="2" t="s">
        <v>104</v>
      </c>
      <c r="BS1215" s="2" t="s">
        <v>21344</v>
      </c>
      <c r="BT1215" s="2" t="str">
        <f aca="false">HYPERLINK("https%3A%2F%2Fwww.webofscience.com%2Fwos%2Fwoscc%2Ffull-record%2FWOS:000547379400011","View Full Record in Web of Science")</f>
        <v>View Full Record in Web of Science</v>
      </c>
    </row>
    <row r="1216" customFormat="false" ht="12.75" hidden="false" customHeight="false" outlineLevel="0" collapsed="false">
      <c r="A1216" s="2" t="s">
        <v>72</v>
      </c>
      <c r="B1216" s="2" t="s">
        <v>21345</v>
      </c>
      <c r="C1216" s="2"/>
      <c r="D1216" s="2"/>
      <c r="E1216" s="2"/>
      <c r="F1216" s="2" t="s">
        <v>21346</v>
      </c>
      <c r="G1216" s="2"/>
      <c r="H1216" s="2"/>
      <c r="I1216" s="2" t="s">
        <v>21347</v>
      </c>
      <c r="J1216" s="2" t="s">
        <v>21348</v>
      </c>
      <c r="K1216" s="2"/>
      <c r="L1216" s="2"/>
      <c r="M1216" s="2" t="s">
        <v>77</v>
      </c>
      <c r="N1216" s="2" t="s">
        <v>78</v>
      </c>
      <c r="O1216" s="2"/>
      <c r="P1216" s="2"/>
      <c r="Q1216" s="2"/>
      <c r="R1216" s="2"/>
      <c r="S1216" s="2"/>
      <c r="T1216" s="2" t="s">
        <v>21349</v>
      </c>
      <c r="U1216" s="2" t="s">
        <v>21350</v>
      </c>
      <c r="V1216" s="2" t="s">
        <v>21351</v>
      </c>
      <c r="W1216" s="2" t="s">
        <v>21352</v>
      </c>
      <c r="X1216" s="2" t="s">
        <v>21353</v>
      </c>
      <c r="Y1216" s="2" t="s">
        <v>21354</v>
      </c>
      <c r="Z1216" s="2" t="s">
        <v>21355</v>
      </c>
      <c r="AA1216" s="2" t="s">
        <v>21356</v>
      </c>
      <c r="AB1216" s="2" t="s">
        <v>21357</v>
      </c>
      <c r="AC1216" s="2"/>
      <c r="AD1216" s="2"/>
      <c r="AE1216" s="2"/>
      <c r="AF1216" s="2"/>
      <c r="AG1216" s="2" t="n">
        <v>25</v>
      </c>
      <c r="AH1216" s="2" t="n">
        <v>15</v>
      </c>
      <c r="AI1216" s="2" t="n">
        <v>16</v>
      </c>
      <c r="AJ1216" s="2" t="n">
        <v>0</v>
      </c>
      <c r="AK1216" s="2" t="n">
        <v>2</v>
      </c>
      <c r="AL1216" s="2" t="s">
        <v>21358</v>
      </c>
      <c r="AM1216" s="2" t="s">
        <v>21359</v>
      </c>
      <c r="AN1216" s="2" t="s">
        <v>21360</v>
      </c>
      <c r="AO1216" s="2" t="s">
        <v>21361</v>
      </c>
      <c r="AP1216" s="2"/>
      <c r="AQ1216" s="2"/>
      <c r="AR1216" s="2" t="s">
        <v>21362</v>
      </c>
      <c r="AS1216" s="2" t="s">
        <v>21363</v>
      </c>
      <c r="AT1216" s="2" t="s">
        <v>161</v>
      </c>
      <c r="AU1216" s="2" t="n">
        <v>2007</v>
      </c>
      <c r="AV1216" s="2" t="n">
        <v>106</v>
      </c>
      <c r="AW1216" s="2" t="n">
        <v>1</v>
      </c>
      <c r="AX1216" s="2"/>
      <c r="AY1216" s="2"/>
      <c r="AZ1216" s="2"/>
      <c r="BA1216" s="2"/>
      <c r="BB1216" s="2" t="n">
        <v>16</v>
      </c>
      <c r="BC1216" s="2" t="n">
        <v>24</v>
      </c>
      <c r="BD1216" s="2"/>
      <c r="BE1216" s="2" t="s">
        <v>21364</v>
      </c>
      <c r="BF1216" s="2" t="str">
        <f aca="false">HYPERLINK("http://dx.doi.org/10.1016/S0929-6646(09)60211-4","http://dx.doi.org/10.1016/S0929-6646(09)60211-4")</f>
        <v>http://dx.doi.org/10.1016/S0929-6646(09)60211-4</v>
      </c>
      <c r="BG1216" s="2"/>
      <c r="BH1216" s="2"/>
      <c r="BI1216" s="2" t="n">
        <v>9</v>
      </c>
      <c r="BJ1216" s="2" t="s">
        <v>363</v>
      </c>
      <c r="BK1216" s="2" t="s">
        <v>100</v>
      </c>
      <c r="BL1216" s="2" t="s">
        <v>364</v>
      </c>
      <c r="BM1216" s="2" t="s">
        <v>21365</v>
      </c>
      <c r="BN1216" s="2" t="n">
        <v>17282966</v>
      </c>
      <c r="BO1216" s="2" t="s">
        <v>1267</v>
      </c>
      <c r="BP1216" s="2"/>
      <c r="BQ1216" s="2"/>
      <c r="BR1216" s="2" t="s">
        <v>104</v>
      </c>
      <c r="BS1216" s="2" t="s">
        <v>21366</v>
      </c>
      <c r="BT1216" s="2" t="str">
        <f aca="false">HYPERLINK("https%3A%2F%2Fwww.webofscience.com%2Fwos%2Fwoscc%2Ffull-record%2FWOS:000244306100003","View Full Record in Web of Science")</f>
        <v>View Full Record in Web of Science</v>
      </c>
    </row>
    <row r="1217" customFormat="false" ht="12.75" hidden="false" customHeight="false" outlineLevel="0" collapsed="false">
      <c r="A1217" s="2" t="s">
        <v>72</v>
      </c>
      <c r="B1217" s="2" t="s">
        <v>21367</v>
      </c>
      <c r="C1217" s="2"/>
      <c r="D1217" s="2"/>
      <c r="E1217" s="2"/>
      <c r="F1217" s="2" t="s">
        <v>21368</v>
      </c>
      <c r="G1217" s="2"/>
      <c r="H1217" s="2"/>
      <c r="I1217" s="2" t="s">
        <v>21369</v>
      </c>
      <c r="J1217" s="2" t="s">
        <v>21370</v>
      </c>
      <c r="K1217" s="2"/>
      <c r="L1217" s="2"/>
      <c r="M1217" s="2" t="s">
        <v>77</v>
      </c>
      <c r="N1217" s="2" t="s">
        <v>78</v>
      </c>
      <c r="O1217" s="2"/>
      <c r="P1217" s="2"/>
      <c r="Q1217" s="2"/>
      <c r="R1217" s="2"/>
      <c r="S1217" s="2"/>
      <c r="T1217" s="2" t="s">
        <v>21371</v>
      </c>
      <c r="U1217" s="2" t="s">
        <v>21372</v>
      </c>
      <c r="V1217" s="2" t="s">
        <v>21373</v>
      </c>
      <c r="W1217" s="2" t="s">
        <v>21374</v>
      </c>
      <c r="X1217" s="2" t="s">
        <v>21375</v>
      </c>
      <c r="Y1217" s="2" t="s">
        <v>21376</v>
      </c>
      <c r="Z1217" s="2" t="s">
        <v>21377</v>
      </c>
      <c r="AA1217" s="2" t="s">
        <v>21378</v>
      </c>
      <c r="AB1217" s="2"/>
      <c r="AC1217" s="2"/>
      <c r="AD1217" s="2"/>
      <c r="AE1217" s="2"/>
      <c r="AF1217" s="2"/>
      <c r="AG1217" s="2" t="n">
        <v>41</v>
      </c>
      <c r="AH1217" s="2" t="n">
        <v>2</v>
      </c>
      <c r="AI1217" s="2" t="n">
        <v>2</v>
      </c>
      <c r="AJ1217" s="2" t="n">
        <v>0</v>
      </c>
      <c r="AK1217" s="2" t="n">
        <v>4</v>
      </c>
      <c r="AL1217" s="2" t="s">
        <v>21379</v>
      </c>
      <c r="AM1217" s="2" t="s">
        <v>3690</v>
      </c>
      <c r="AN1217" s="2" t="s">
        <v>21380</v>
      </c>
      <c r="AO1217" s="2" t="s">
        <v>21381</v>
      </c>
      <c r="AP1217" s="2"/>
      <c r="AQ1217" s="2"/>
      <c r="AR1217" s="2" t="s">
        <v>21382</v>
      </c>
      <c r="AS1217" s="2" t="s">
        <v>21383</v>
      </c>
      <c r="AT1217" s="2"/>
      <c r="AU1217" s="2" t="n">
        <v>2022</v>
      </c>
      <c r="AV1217" s="2" t="n">
        <v>9</v>
      </c>
      <c r="AW1217" s="2" t="n">
        <v>2</v>
      </c>
      <c r="AX1217" s="2"/>
      <c r="AY1217" s="2"/>
      <c r="AZ1217" s="2"/>
      <c r="BA1217" s="2"/>
      <c r="BB1217" s="2" t="n">
        <v>162</v>
      </c>
      <c r="BC1217" s="2" t="n">
        <v>172</v>
      </c>
      <c r="BD1217" s="2"/>
      <c r="BE1217" s="2" t="s">
        <v>21384</v>
      </c>
      <c r="BF1217" s="2" t="str">
        <f aca="false">HYPERLINK("http://dx.doi.org/10.14744/nci.2021.69923","http://dx.doi.org/10.14744/nci.2021.69923")</f>
        <v>http://dx.doi.org/10.14744/nci.2021.69923</v>
      </c>
      <c r="BG1217" s="2"/>
      <c r="BH1217" s="2"/>
      <c r="BI1217" s="2" t="n">
        <v>11</v>
      </c>
      <c r="BJ1217" s="2" t="s">
        <v>363</v>
      </c>
      <c r="BK1217" s="2" t="s">
        <v>339</v>
      </c>
      <c r="BL1217" s="2" t="s">
        <v>364</v>
      </c>
      <c r="BM1217" s="2" t="s">
        <v>21385</v>
      </c>
      <c r="BN1217" s="2" t="n">
        <v>35582505</v>
      </c>
      <c r="BO1217" s="2" t="s">
        <v>190</v>
      </c>
      <c r="BP1217" s="2"/>
      <c r="BQ1217" s="2"/>
      <c r="BR1217" s="2" t="s">
        <v>104</v>
      </c>
      <c r="BS1217" s="2" t="s">
        <v>21386</v>
      </c>
      <c r="BT1217" s="2" t="str">
        <f aca="false">HYPERLINK("https%3A%2F%2Fwww.webofscience.com%2Fwos%2Fwoscc%2Ffull-record%2FWOS:000791215800010","View Full Record in Web of Science")</f>
        <v>View Full Record in Web of Science</v>
      </c>
    </row>
    <row r="1218" customFormat="false" ht="12.75" hidden="false" customHeight="false" outlineLevel="0" collapsed="false">
      <c r="A1218" s="2" t="s">
        <v>72</v>
      </c>
      <c r="B1218" s="2" t="s">
        <v>21387</v>
      </c>
      <c r="C1218" s="2"/>
      <c r="D1218" s="2"/>
      <c r="E1218" s="2"/>
      <c r="F1218" s="2" t="s">
        <v>21388</v>
      </c>
      <c r="G1218" s="2"/>
      <c r="H1218" s="2"/>
      <c r="I1218" s="2" t="s">
        <v>21389</v>
      </c>
      <c r="J1218" s="2" t="s">
        <v>3141</v>
      </c>
      <c r="K1218" s="2"/>
      <c r="L1218" s="2"/>
      <c r="M1218" s="2" t="s">
        <v>77</v>
      </c>
      <c r="N1218" s="2" t="s">
        <v>78</v>
      </c>
      <c r="O1218" s="2"/>
      <c r="P1218" s="2"/>
      <c r="Q1218" s="2"/>
      <c r="R1218" s="2"/>
      <c r="S1218" s="2"/>
      <c r="T1218" s="2" t="s">
        <v>21390</v>
      </c>
      <c r="U1218" s="2" t="s">
        <v>21391</v>
      </c>
      <c r="V1218" s="2" t="s">
        <v>21392</v>
      </c>
      <c r="W1218" s="2" t="s">
        <v>21393</v>
      </c>
      <c r="X1218" s="2" t="s">
        <v>21394</v>
      </c>
      <c r="Y1218" s="2" t="s">
        <v>10314</v>
      </c>
      <c r="Z1218" s="2" t="s">
        <v>10315</v>
      </c>
      <c r="AA1218" s="2" t="s">
        <v>10316</v>
      </c>
      <c r="AB1218" s="2" t="s">
        <v>10317</v>
      </c>
      <c r="AC1218" s="2" t="s">
        <v>21395</v>
      </c>
      <c r="AD1218" s="2" t="s">
        <v>10319</v>
      </c>
      <c r="AE1218" s="2" t="s">
        <v>21396</v>
      </c>
      <c r="AF1218" s="2"/>
      <c r="AG1218" s="2" t="n">
        <v>30</v>
      </c>
      <c r="AH1218" s="2" t="n">
        <v>5</v>
      </c>
      <c r="AI1218" s="2" t="n">
        <v>5</v>
      </c>
      <c r="AJ1218" s="2" t="n">
        <v>0</v>
      </c>
      <c r="AK1218" s="2" t="n">
        <v>5</v>
      </c>
      <c r="AL1218" s="2" t="s">
        <v>3150</v>
      </c>
      <c r="AM1218" s="2" t="s">
        <v>3151</v>
      </c>
      <c r="AN1218" s="2" t="s">
        <v>3152</v>
      </c>
      <c r="AO1218" s="2" t="s">
        <v>3153</v>
      </c>
      <c r="AP1218" s="2" t="s">
        <v>3154</v>
      </c>
      <c r="AQ1218" s="2"/>
      <c r="AR1218" s="2" t="s">
        <v>3155</v>
      </c>
      <c r="AS1218" s="2" t="s">
        <v>3156</v>
      </c>
      <c r="AT1218" s="2" t="s">
        <v>185</v>
      </c>
      <c r="AU1218" s="2" t="n">
        <v>2016</v>
      </c>
      <c r="AV1218" s="2" t="n">
        <v>49</v>
      </c>
      <c r="AW1218" s="2" t="n">
        <v>4</v>
      </c>
      <c r="AX1218" s="2"/>
      <c r="AY1218" s="2"/>
      <c r="AZ1218" s="2"/>
      <c r="BA1218" s="2"/>
      <c r="BB1218" s="2" t="n">
        <v>539</v>
      </c>
      <c r="BC1218" s="2" t="n">
        <v>545</v>
      </c>
      <c r="BD1218" s="2"/>
      <c r="BE1218" s="2" t="s">
        <v>21397</v>
      </c>
      <c r="BF1218" s="2" t="str">
        <f aca="false">HYPERLINK("http://dx.doi.org/10.1016/j.jmii.2014.08.029","http://dx.doi.org/10.1016/j.jmii.2014.08.029")</f>
        <v>http://dx.doi.org/10.1016/j.jmii.2014.08.029</v>
      </c>
      <c r="BG1218" s="2"/>
      <c r="BH1218" s="2"/>
      <c r="BI1218" s="2" t="n">
        <v>7</v>
      </c>
      <c r="BJ1218" s="2" t="s">
        <v>536</v>
      </c>
      <c r="BK1218" s="2" t="s">
        <v>100</v>
      </c>
      <c r="BL1218" s="2" t="s">
        <v>536</v>
      </c>
      <c r="BM1218" s="2" t="s">
        <v>21398</v>
      </c>
      <c r="BN1218" s="2" t="n">
        <v>25442857</v>
      </c>
      <c r="BO1218" s="2" t="s">
        <v>1355</v>
      </c>
      <c r="BP1218" s="2"/>
      <c r="BQ1218" s="2"/>
      <c r="BR1218" s="2" t="s">
        <v>104</v>
      </c>
      <c r="BS1218" s="2" t="s">
        <v>21399</v>
      </c>
      <c r="BT1218" s="2" t="str">
        <f aca="false">HYPERLINK("https%3A%2F%2Fwww.webofscience.com%2Fwos%2Fwoscc%2Ffull-record%2FWOS:000381588800010","View Full Record in Web of Science")</f>
        <v>View Full Record in Web of Science</v>
      </c>
    </row>
    <row r="1219" customFormat="false" ht="12.75" hidden="false" customHeight="false" outlineLevel="0" collapsed="false">
      <c r="A1219" s="2" t="s">
        <v>72</v>
      </c>
      <c r="B1219" s="2" t="s">
        <v>21400</v>
      </c>
      <c r="C1219" s="2"/>
      <c r="D1219" s="2"/>
      <c r="E1219" s="2"/>
      <c r="F1219" s="2" t="s">
        <v>21401</v>
      </c>
      <c r="G1219" s="2"/>
      <c r="H1219" s="2"/>
      <c r="I1219" s="2" t="s">
        <v>21402</v>
      </c>
      <c r="J1219" s="2" t="s">
        <v>7060</v>
      </c>
      <c r="K1219" s="2"/>
      <c r="L1219" s="2"/>
      <c r="M1219" s="2" t="s">
        <v>77</v>
      </c>
      <c r="N1219" s="2" t="s">
        <v>78</v>
      </c>
      <c r="O1219" s="2"/>
      <c r="P1219" s="2"/>
      <c r="Q1219" s="2"/>
      <c r="R1219" s="2"/>
      <c r="S1219" s="2"/>
      <c r="T1219" s="2" t="s">
        <v>21403</v>
      </c>
      <c r="U1219" s="2" t="s">
        <v>21404</v>
      </c>
      <c r="V1219" s="2" t="s">
        <v>21405</v>
      </c>
      <c r="W1219" s="2" t="s">
        <v>21406</v>
      </c>
      <c r="X1219" s="2" t="s">
        <v>21407</v>
      </c>
      <c r="Y1219" s="2" t="s">
        <v>21408</v>
      </c>
      <c r="Z1219" s="2" t="s">
        <v>21409</v>
      </c>
      <c r="AA1219" s="2" t="s">
        <v>3329</v>
      </c>
      <c r="AB1219" s="2"/>
      <c r="AC1219" s="2"/>
      <c r="AD1219" s="2"/>
      <c r="AE1219" s="2"/>
      <c r="AF1219" s="2"/>
      <c r="AG1219" s="2" t="n">
        <v>22</v>
      </c>
      <c r="AH1219" s="2" t="n">
        <v>14</v>
      </c>
      <c r="AI1219" s="2" t="n">
        <v>17</v>
      </c>
      <c r="AJ1219" s="2" t="n">
        <v>0</v>
      </c>
      <c r="AK1219" s="2" t="n">
        <v>4</v>
      </c>
      <c r="AL1219" s="2" t="s">
        <v>7073</v>
      </c>
      <c r="AM1219" s="2" t="s">
        <v>7074</v>
      </c>
      <c r="AN1219" s="2" t="s">
        <v>7075</v>
      </c>
      <c r="AO1219" s="2" t="s">
        <v>7076</v>
      </c>
      <c r="AP1219" s="2" t="s">
        <v>7291</v>
      </c>
      <c r="AQ1219" s="2"/>
      <c r="AR1219" s="2" t="s">
        <v>7060</v>
      </c>
      <c r="AS1219" s="2" t="s">
        <v>601</v>
      </c>
      <c r="AT1219" s="2" t="s">
        <v>446</v>
      </c>
      <c r="AU1219" s="2" t="n">
        <v>2012</v>
      </c>
      <c r="AV1219" s="2" t="n">
        <v>130</v>
      </c>
      <c r="AW1219" s="2" t="n">
        <v>6</v>
      </c>
      <c r="AX1219" s="2"/>
      <c r="AY1219" s="2"/>
      <c r="AZ1219" s="2"/>
      <c r="BA1219" s="2"/>
      <c r="BB1219" s="2" t="s">
        <v>21410</v>
      </c>
      <c r="BC1219" s="2" t="s">
        <v>21411</v>
      </c>
      <c r="BD1219" s="2"/>
      <c r="BE1219" s="2" t="s">
        <v>21412</v>
      </c>
      <c r="BF1219" s="2" t="str">
        <f aca="false">HYPERLINK("http://dx.doi.org/10.1542/peds.2011-1768","http://dx.doi.org/10.1542/peds.2011-1768")</f>
        <v>http://dx.doi.org/10.1542/peds.2011-1768</v>
      </c>
      <c r="BG1219" s="2"/>
      <c r="BH1219" s="2"/>
      <c r="BI1219" s="2" t="n">
        <v>5</v>
      </c>
      <c r="BJ1219" s="2" t="s">
        <v>601</v>
      </c>
      <c r="BK1219" s="2" t="s">
        <v>100</v>
      </c>
      <c r="BL1219" s="2" t="s">
        <v>601</v>
      </c>
      <c r="BM1219" s="2" t="s">
        <v>21413</v>
      </c>
      <c r="BN1219" s="2" t="n">
        <v>23147965</v>
      </c>
      <c r="BO1219" s="2"/>
      <c r="BP1219" s="2"/>
      <c r="BQ1219" s="2"/>
      <c r="BR1219" s="2" t="s">
        <v>104</v>
      </c>
      <c r="BS1219" s="2" t="s">
        <v>21414</v>
      </c>
      <c r="BT1219" s="2" t="str">
        <f aca="false">HYPERLINK("https%3A%2F%2Fwww.webofscience.com%2Fwos%2Fwoscc%2Ffull-record%2FWOS:000314802000035","View Full Record in Web of Science")</f>
        <v>View Full Record in Web of Science</v>
      </c>
    </row>
    <row r="1220" customFormat="false" ht="12.75" hidden="false" customHeight="false" outlineLevel="0" collapsed="false">
      <c r="A1220" s="2" t="s">
        <v>72</v>
      </c>
      <c r="B1220" s="2" t="s">
        <v>21415</v>
      </c>
      <c r="C1220" s="2"/>
      <c r="D1220" s="2"/>
      <c r="E1220" s="2"/>
      <c r="F1220" s="2" t="s">
        <v>21415</v>
      </c>
      <c r="G1220" s="2"/>
      <c r="H1220" s="2"/>
      <c r="I1220" s="2" t="s">
        <v>21416</v>
      </c>
      <c r="J1220" s="2" t="s">
        <v>13891</v>
      </c>
      <c r="K1220" s="2"/>
      <c r="L1220" s="2"/>
      <c r="M1220" s="2" t="s">
        <v>77</v>
      </c>
      <c r="N1220" s="2" t="s">
        <v>78</v>
      </c>
      <c r="O1220" s="2"/>
      <c r="P1220" s="2"/>
      <c r="Q1220" s="2"/>
      <c r="R1220" s="2"/>
      <c r="S1220" s="2"/>
      <c r="T1220" s="2" t="s">
        <v>21417</v>
      </c>
      <c r="U1220" s="2" t="s">
        <v>21418</v>
      </c>
      <c r="V1220" s="2" t="s">
        <v>21419</v>
      </c>
      <c r="W1220" s="2" t="s">
        <v>21420</v>
      </c>
      <c r="X1220" s="2" t="s">
        <v>21421</v>
      </c>
      <c r="Y1220" s="2" t="s">
        <v>21422</v>
      </c>
      <c r="Z1220" s="2" t="s">
        <v>21423</v>
      </c>
      <c r="AA1220" s="2" t="s">
        <v>10687</v>
      </c>
      <c r="AB1220" s="2" t="s">
        <v>21424</v>
      </c>
      <c r="AC1220" s="2"/>
      <c r="AD1220" s="2"/>
      <c r="AE1220" s="2"/>
      <c r="AF1220" s="2"/>
      <c r="AG1220" s="2" t="n">
        <v>22</v>
      </c>
      <c r="AH1220" s="2" t="n">
        <v>32</v>
      </c>
      <c r="AI1220" s="2" t="n">
        <v>33</v>
      </c>
      <c r="AJ1220" s="2" t="n">
        <v>0</v>
      </c>
      <c r="AK1220" s="2" t="n">
        <v>1</v>
      </c>
      <c r="AL1220" s="2" t="s">
        <v>154</v>
      </c>
      <c r="AM1220" s="2" t="s">
        <v>155</v>
      </c>
      <c r="AN1220" s="2" t="s">
        <v>156</v>
      </c>
      <c r="AO1220" s="2" t="s">
        <v>13900</v>
      </c>
      <c r="AP1220" s="2" t="s">
        <v>13901</v>
      </c>
      <c r="AQ1220" s="2"/>
      <c r="AR1220" s="2" t="s">
        <v>13902</v>
      </c>
      <c r="AS1220" s="2" t="s">
        <v>13903</v>
      </c>
      <c r="AT1220" s="2" t="s">
        <v>692</v>
      </c>
      <c r="AU1220" s="2" t="n">
        <v>2006</v>
      </c>
      <c r="AV1220" s="2" t="n">
        <v>42</v>
      </c>
      <c r="AW1220" s="2" t="n">
        <v>4</v>
      </c>
      <c r="AX1220" s="2"/>
      <c r="AY1220" s="2"/>
      <c r="AZ1220" s="2"/>
      <c r="BA1220" s="2"/>
      <c r="BB1220" s="2" t="n">
        <v>174</v>
      </c>
      <c r="BC1220" s="2" t="n">
        <v>178</v>
      </c>
      <c r="BD1220" s="2"/>
      <c r="BE1220" s="2" t="s">
        <v>21425</v>
      </c>
      <c r="BF1220" s="2" t="str">
        <f aca="false">HYPERLINK("http://dx.doi.org/10.1111/j.1440-1754.2006.00825.x","http://dx.doi.org/10.1111/j.1440-1754.2006.00825.x")</f>
        <v>http://dx.doi.org/10.1111/j.1440-1754.2006.00825.x</v>
      </c>
      <c r="BG1220" s="2"/>
      <c r="BH1220" s="2"/>
      <c r="BI1220" s="2" t="n">
        <v>5</v>
      </c>
      <c r="BJ1220" s="2" t="s">
        <v>601</v>
      </c>
      <c r="BK1220" s="2" t="s">
        <v>100</v>
      </c>
      <c r="BL1220" s="2" t="s">
        <v>601</v>
      </c>
      <c r="BM1220" s="2" t="s">
        <v>21426</v>
      </c>
      <c r="BN1220" s="2" t="n">
        <v>16630317</v>
      </c>
      <c r="BO1220" s="2"/>
      <c r="BP1220" s="2"/>
      <c r="BQ1220" s="2"/>
      <c r="BR1220" s="2" t="s">
        <v>104</v>
      </c>
      <c r="BS1220" s="2" t="s">
        <v>21427</v>
      </c>
      <c r="BT1220" s="2" t="str">
        <f aca="false">HYPERLINK("https%3A%2F%2Fwww.webofscience.com%2Fwos%2Fwoscc%2Ffull-record%2FWOS:000236222700006","View Full Record in Web of Science")</f>
        <v>View Full Record in Web of Science</v>
      </c>
    </row>
    <row r="1221" customFormat="false" ht="12.75" hidden="false" customHeight="false" outlineLevel="0" collapsed="false">
      <c r="A1221" s="2" t="s">
        <v>72</v>
      </c>
      <c r="B1221" s="2" t="s">
        <v>21428</v>
      </c>
      <c r="C1221" s="2"/>
      <c r="D1221" s="2"/>
      <c r="E1221" s="2"/>
      <c r="F1221" s="2" t="s">
        <v>21429</v>
      </c>
      <c r="G1221" s="2"/>
      <c r="H1221" s="2"/>
      <c r="I1221" s="2" t="s">
        <v>21430</v>
      </c>
      <c r="J1221" s="2" t="s">
        <v>3141</v>
      </c>
      <c r="K1221" s="2"/>
      <c r="L1221" s="2"/>
      <c r="M1221" s="2" t="s">
        <v>77</v>
      </c>
      <c r="N1221" s="2" t="s">
        <v>78</v>
      </c>
      <c r="O1221" s="2"/>
      <c r="P1221" s="2"/>
      <c r="Q1221" s="2"/>
      <c r="R1221" s="2"/>
      <c r="S1221" s="2"/>
      <c r="T1221" s="2" t="s">
        <v>21431</v>
      </c>
      <c r="U1221" s="2" t="s">
        <v>21432</v>
      </c>
      <c r="V1221" s="2" t="s">
        <v>21433</v>
      </c>
      <c r="W1221" s="2" t="s">
        <v>21434</v>
      </c>
      <c r="X1221" s="2" t="s">
        <v>21435</v>
      </c>
      <c r="Y1221" s="2" t="s">
        <v>21436</v>
      </c>
      <c r="Z1221" s="2" t="s">
        <v>21437</v>
      </c>
      <c r="AA1221" s="2" t="s">
        <v>21438</v>
      </c>
      <c r="AB1221" s="2"/>
      <c r="AC1221" s="2"/>
      <c r="AD1221" s="2"/>
      <c r="AE1221" s="2"/>
      <c r="AF1221" s="2"/>
      <c r="AG1221" s="2" t="n">
        <v>14</v>
      </c>
      <c r="AH1221" s="2" t="n">
        <v>23</v>
      </c>
      <c r="AI1221" s="2" t="n">
        <v>26</v>
      </c>
      <c r="AJ1221" s="2" t="n">
        <v>0</v>
      </c>
      <c r="AK1221" s="2" t="n">
        <v>5</v>
      </c>
      <c r="AL1221" s="2" t="s">
        <v>3150</v>
      </c>
      <c r="AM1221" s="2" t="s">
        <v>3151</v>
      </c>
      <c r="AN1221" s="2" t="s">
        <v>3152</v>
      </c>
      <c r="AO1221" s="2" t="s">
        <v>3153</v>
      </c>
      <c r="AP1221" s="2"/>
      <c r="AQ1221" s="2"/>
      <c r="AR1221" s="2" t="s">
        <v>3155</v>
      </c>
      <c r="AS1221" s="2" t="s">
        <v>3156</v>
      </c>
      <c r="AT1221" s="2" t="s">
        <v>336</v>
      </c>
      <c r="AU1221" s="2" t="n">
        <v>2013</v>
      </c>
      <c r="AV1221" s="2" t="n">
        <v>46</v>
      </c>
      <c r="AW1221" s="2" t="n">
        <v>5</v>
      </c>
      <c r="AX1221" s="2"/>
      <c r="AY1221" s="2"/>
      <c r="AZ1221" s="2"/>
      <c r="BA1221" s="2"/>
      <c r="BB1221" s="2" t="n">
        <v>352</v>
      </c>
      <c r="BC1221" s="2" t="n">
        <v>357</v>
      </c>
      <c r="BD1221" s="2"/>
      <c r="BE1221" s="2" t="s">
        <v>21439</v>
      </c>
      <c r="BF1221" s="2" t="str">
        <f aca="false">HYPERLINK("http://dx.doi.org/10.1016/j.jmii.2012.07.007","http://dx.doi.org/10.1016/j.jmii.2012.07.007")</f>
        <v>http://dx.doi.org/10.1016/j.jmii.2012.07.007</v>
      </c>
      <c r="BG1221" s="2"/>
      <c r="BH1221" s="2"/>
      <c r="BI1221" s="2" t="n">
        <v>6</v>
      </c>
      <c r="BJ1221" s="2" t="s">
        <v>536</v>
      </c>
      <c r="BK1221" s="2" t="s">
        <v>100</v>
      </c>
      <c r="BL1221" s="2" t="s">
        <v>536</v>
      </c>
      <c r="BM1221" s="2" t="s">
        <v>21440</v>
      </c>
      <c r="BN1221" s="2" t="n">
        <v>23022463</v>
      </c>
      <c r="BO1221" s="2" t="s">
        <v>656</v>
      </c>
      <c r="BP1221" s="2"/>
      <c r="BQ1221" s="2"/>
      <c r="BR1221" s="2" t="s">
        <v>104</v>
      </c>
      <c r="BS1221" s="2" t="s">
        <v>21441</v>
      </c>
      <c r="BT1221" s="2" t="str">
        <f aca="false">HYPERLINK("https%3A%2F%2Fwww.webofscience.com%2Fwos%2Fwoscc%2Ffull-record%2FWOS:000326213500006","View Full Record in Web of Science")</f>
        <v>View Full Record in Web of Science</v>
      </c>
    </row>
    <row r="1222" customFormat="false" ht="12.75" hidden="false" customHeight="false" outlineLevel="0" collapsed="false">
      <c r="A1222" s="2" t="s">
        <v>72</v>
      </c>
      <c r="B1222" s="2" t="s">
        <v>21442</v>
      </c>
      <c r="C1222" s="2"/>
      <c r="D1222" s="2"/>
      <c r="E1222" s="2"/>
      <c r="F1222" s="2" t="s">
        <v>21443</v>
      </c>
      <c r="G1222" s="2"/>
      <c r="H1222" s="2"/>
      <c r="I1222" s="2" t="s">
        <v>21444</v>
      </c>
      <c r="J1222" s="2" t="s">
        <v>3657</v>
      </c>
      <c r="K1222" s="2"/>
      <c r="L1222" s="2"/>
      <c r="M1222" s="2" t="s">
        <v>77</v>
      </c>
      <c r="N1222" s="2" t="s">
        <v>78</v>
      </c>
      <c r="O1222" s="2"/>
      <c r="P1222" s="2"/>
      <c r="Q1222" s="2"/>
      <c r="R1222" s="2"/>
      <c r="S1222" s="2"/>
      <c r="T1222" s="2" t="s">
        <v>21445</v>
      </c>
      <c r="U1222" s="2" t="s">
        <v>21446</v>
      </c>
      <c r="V1222" s="2" t="s">
        <v>21447</v>
      </c>
      <c r="W1222" s="2" t="s">
        <v>21448</v>
      </c>
      <c r="X1222" s="2" t="s">
        <v>21449</v>
      </c>
      <c r="Y1222" s="2" t="s">
        <v>21450</v>
      </c>
      <c r="Z1222" s="2" t="s">
        <v>21451</v>
      </c>
      <c r="AA1222" s="2" t="s">
        <v>21452</v>
      </c>
      <c r="AB1222" s="2" t="s">
        <v>21453</v>
      </c>
      <c r="AC1222" s="2"/>
      <c r="AD1222" s="2"/>
      <c r="AE1222" s="2"/>
      <c r="AF1222" s="2"/>
      <c r="AG1222" s="2" t="n">
        <v>21</v>
      </c>
      <c r="AH1222" s="2" t="n">
        <v>7</v>
      </c>
      <c r="AI1222" s="2" t="n">
        <v>7</v>
      </c>
      <c r="AJ1222" s="2" t="n">
        <v>0</v>
      </c>
      <c r="AK1222" s="2" t="n">
        <v>2</v>
      </c>
      <c r="AL1222" s="2" t="s">
        <v>3667</v>
      </c>
      <c r="AM1222" s="2" t="s">
        <v>3668</v>
      </c>
      <c r="AN1222" s="2" t="s">
        <v>3669</v>
      </c>
      <c r="AO1222" s="2" t="s">
        <v>3670</v>
      </c>
      <c r="AP1222" s="2"/>
      <c r="AQ1222" s="2"/>
      <c r="AR1222" s="2" t="s">
        <v>3671</v>
      </c>
      <c r="AS1222" s="2" t="s">
        <v>3672</v>
      </c>
      <c r="AT1222" s="2" t="s">
        <v>252</v>
      </c>
      <c r="AU1222" s="2" t="n">
        <v>2017</v>
      </c>
      <c r="AV1222" s="2" t="n">
        <v>59</v>
      </c>
      <c r="AW1222" s="2" t="n">
        <v>5</v>
      </c>
      <c r="AX1222" s="2"/>
      <c r="AY1222" s="2"/>
      <c r="AZ1222" s="2"/>
      <c r="BA1222" s="2"/>
      <c r="BB1222" s="2" t="n">
        <v>511</v>
      </c>
      <c r="BC1222" s="2" t="n">
        <v>519</v>
      </c>
      <c r="BD1222" s="2"/>
      <c r="BE1222" s="2" t="s">
        <v>21454</v>
      </c>
      <c r="BF1222" s="2" t="str">
        <f aca="false">HYPERLINK("http://dx.doi.org/10.24953/turkjped.2017.05.002","http://dx.doi.org/10.24953/turkjped.2017.05.002")</f>
        <v>http://dx.doi.org/10.24953/turkjped.2017.05.002</v>
      </c>
      <c r="BG1222" s="2"/>
      <c r="BH1222" s="2"/>
      <c r="BI1222" s="2" t="n">
        <v>9</v>
      </c>
      <c r="BJ1222" s="2" t="s">
        <v>601</v>
      </c>
      <c r="BK1222" s="2" t="s">
        <v>100</v>
      </c>
      <c r="BL1222" s="2" t="s">
        <v>601</v>
      </c>
      <c r="BM1222" s="2" t="s">
        <v>21455</v>
      </c>
      <c r="BN1222" s="2" t="n">
        <v>29745111</v>
      </c>
      <c r="BO1222" s="2" t="s">
        <v>656</v>
      </c>
      <c r="BP1222" s="2"/>
      <c r="BQ1222" s="2"/>
      <c r="BR1222" s="2" t="s">
        <v>104</v>
      </c>
      <c r="BS1222" s="2" t="s">
        <v>21456</v>
      </c>
      <c r="BT1222" s="2" t="str">
        <f aca="false">HYPERLINK("https%3A%2F%2Fwww.webofscience.com%2Fwos%2Fwoscc%2Ffull-record%2FWOS:000438380400002","View Full Record in Web of Science")</f>
        <v>View Full Record in Web of Science</v>
      </c>
    </row>
    <row r="1223" customFormat="false" ht="12.75" hidden="false" customHeight="false" outlineLevel="0" collapsed="false">
      <c r="A1223" s="2" t="s">
        <v>72</v>
      </c>
      <c r="B1223" s="2" t="s">
        <v>21457</v>
      </c>
      <c r="C1223" s="2"/>
      <c r="D1223" s="2"/>
      <c r="E1223" s="2"/>
      <c r="F1223" s="2" t="s">
        <v>21458</v>
      </c>
      <c r="G1223" s="2"/>
      <c r="H1223" s="2"/>
      <c r="I1223" s="2" t="s">
        <v>21459</v>
      </c>
      <c r="J1223" s="2" t="s">
        <v>8664</v>
      </c>
      <c r="K1223" s="2"/>
      <c r="L1223" s="2"/>
      <c r="M1223" s="2" t="s">
        <v>77</v>
      </c>
      <c r="N1223" s="2" t="s">
        <v>78</v>
      </c>
      <c r="O1223" s="2"/>
      <c r="P1223" s="2"/>
      <c r="Q1223" s="2"/>
      <c r="R1223" s="2"/>
      <c r="S1223" s="2"/>
      <c r="T1223" s="2" t="s">
        <v>21460</v>
      </c>
      <c r="U1223" s="2" t="s">
        <v>21461</v>
      </c>
      <c r="V1223" s="2" t="s">
        <v>21462</v>
      </c>
      <c r="W1223" s="2" t="s">
        <v>21463</v>
      </c>
      <c r="X1223" s="2" t="s">
        <v>21464</v>
      </c>
      <c r="Y1223" s="2" t="s">
        <v>21465</v>
      </c>
      <c r="Z1223" s="2" t="s">
        <v>21466</v>
      </c>
      <c r="AA1223" s="2"/>
      <c r="AB1223" s="2" t="s">
        <v>21467</v>
      </c>
      <c r="AC1223" s="2"/>
      <c r="AD1223" s="2"/>
      <c r="AE1223" s="2"/>
      <c r="AF1223" s="2"/>
      <c r="AG1223" s="2" t="n">
        <v>22</v>
      </c>
      <c r="AH1223" s="2" t="n">
        <v>11</v>
      </c>
      <c r="AI1223" s="2" t="n">
        <v>13</v>
      </c>
      <c r="AJ1223" s="2" t="n">
        <v>0</v>
      </c>
      <c r="AK1223" s="2" t="n">
        <v>2</v>
      </c>
      <c r="AL1223" s="2" t="s">
        <v>154</v>
      </c>
      <c r="AM1223" s="2" t="s">
        <v>155</v>
      </c>
      <c r="AN1223" s="2" t="s">
        <v>156</v>
      </c>
      <c r="AO1223" s="2" t="s">
        <v>8673</v>
      </c>
      <c r="AP1223" s="2" t="s">
        <v>8674</v>
      </c>
      <c r="AQ1223" s="2"/>
      <c r="AR1223" s="2" t="s">
        <v>8675</v>
      </c>
      <c r="AS1223" s="2" t="s">
        <v>8676</v>
      </c>
      <c r="AT1223" s="2" t="s">
        <v>161</v>
      </c>
      <c r="AU1223" s="2" t="n">
        <v>2016</v>
      </c>
      <c r="AV1223" s="2" t="n">
        <v>58</v>
      </c>
      <c r="AW1223" s="2" t="n">
        <v>1</v>
      </c>
      <c r="AX1223" s="2"/>
      <c r="AY1223" s="2"/>
      <c r="AZ1223" s="2"/>
      <c r="BA1223" s="2"/>
      <c r="BB1223" s="2" t="n">
        <v>22</v>
      </c>
      <c r="BC1223" s="2" t="n">
        <v>26</v>
      </c>
      <c r="BD1223" s="2"/>
      <c r="BE1223" s="2" t="s">
        <v>21468</v>
      </c>
      <c r="BF1223" s="2" t="str">
        <f aca="false">HYPERLINK("http://dx.doi.org/10.1111/ped.12782","http://dx.doi.org/10.1111/ped.12782")</f>
        <v>http://dx.doi.org/10.1111/ped.12782</v>
      </c>
      <c r="BG1223" s="2"/>
      <c r="BH1223" s="2"/>
      <c r="BI1223" s="2" t="n">
        <v>5</v>
      </c>
      <c r="BJ1223" s="2" t="s">
        <v>601</v>
      </c>
      <c r="BK1223" s="2" t="s">
        <v>100</v>
      </c>
      <c r="BL1223" s="2" t="s">
        <v>601</v>
      </c>
      <c r="BM1223" s="2" t="s">
        <v>21469</v>
      </c>
      <c r="BN1223" s="2" t="n">
        <v>26260168</v>
      </c>
      <c r="BO1223" s="2"/>
      <c r="BP1223" s="2"/>
      <c r="BQ1223" s="2"/>
      <c r="BR1223" s="2" t="s">
        <v>104</v>
      </c>
      <c r="BS1223" s="2" t="s">
        <v>21470</v>
      </c>
      <c r="BT1223" s="2" t="str">
        <f aca="false">HYPERLINK("https%3A%2F%2Fwww.webofscience.com%2Fwos%2Fwoscc%2Ffull-record%2FWOS:000369305300005","View Full Record in Web of Science")</f>
        <v>View Full Record in Web of Science</v>
      </c>
    </row>
    <row r="1224" customFormat="false" ht="12.75" hidden="false" customHeight="false" outlineLevel="0" collapsed="false">
      <c r="A1224" s="2" t="s">
        <v>72</v>
      </c>
      <c r="B1224" s="2" t="s">
        <v>21471</v>
      </c>
      <c r="C1224" s="2"/>
      <c r="D1224" s="2"/>
      <c r="E1224" s="2"/>
      <c r="F1224" s="2" t="s">
        <v>21472</v>
      </c>
      <c r="G1224" s="2"/>
      <c r="H1224" s="2" t="s">
        <v>21473</v>
      </c>
      <c r="I1224" s="2" t="s">
        <v>21474</v>
      </c>
      <c r="J1224" s="2" t="s">
        <v>2522</v>
      </c>
      <c r="K1224" s="2"/>
      <c r="L1224" s="2"/>
      <c r="M1224" s="2" t="s">
        <v>77</v>
      </c>
      <c r="N1224" s="2" t="s">
        <v>78</v>
      </c>
      <c r="O1224" s="2"/>
      <c r="P1224" s="2"/>
      <c r="Q1224" s="2"/>
      <c r="R1224" s="2"/>
      <c r="S1224" s="2"/>
      <c r="T1224" s="2" t="s">
        <v>21475</v>
      </c>
      <c r="U1224" s="2" t="s">
        <v>21476</v>
      </c>
      <c r="V1224" s="2" t="s">
        <v>21477</v>
      </c>
      <c r="W1224" s="2" t="s">
        <v>21478</v>
      </c>
      <c r="X1224" s="2" t="s">
        <v>21479</v>
      </c>
      <c r="Y1224" s="2" t="s">
        <v>21480</v>
      </c>
      <c r="Z1224" s="2" t="s">
        <v>21481</v>
      </c>
      <c r="AA1224" s="2" t="s">
        <v>21482</v>
      </c>
      <c r="AB1224" s="2" t="s">
        <v>21483</v>
      </c>
      <c r="AC1224" s="2" t="s">
        <v>21484</v>
      </c>
      <c r="AD1224" s="2" t="s">
        <v>21485</v>
      </c>
      <c r="AE1224" s="2" t="s">
        <v>21486</v>
      </c>
      <c r="AF1224" s="2"/>
      <c r="AG1224" s="2" t="n">
        <v>30</v>
      </c>
      <c r="AH1224" s="2" t="n">
        <v>47</v>
      </c>
      <c r="AI1224" s="2" t="n">
        <v>49</v>
      </c>
      <c r="AJ1224" s="2" t="n">
        <v>0</v>
      </c>
      <c r="AK1224" s="2" t="n">
        <v>10</v>
      </c>
      <c r="AL1224" s="2" t="s">
        <v>2533</v>
      </c>
      <c r="AM1224" s="2" t="s">
        <v>123</v>
      </c>
      <c r="AN1224" s="2" t="s">
        <v>2534</v>
      </c>
      <c r="AO1224" s="2" t="s">
        <v>2535</v>
      </c>
      <c r="AP1224" s="2" t="s">
        <v>2536</v>
      </c>
      <c r="AQ1224" s="2"/>
      <c r="AR1224" s="2" t="s">
        <v>2537</v>
      </c>
      <c r="AS1224" s="2" t="s">
        <v>2538</v>
      </c>
      <c r="AT1224" s="2" t="s">
        <v>3408</v>
      </c>
      <c r="AU1224" s="2" t="n">
        <v>2019</v>
      </c>
      <c r="AV1224" s="2" t="n">
        <v>15</v>
      </c>
      <c r="AW1224" s="2" t="n">
        <v>2</v>
      </c>
      <c r="AX1224" s="2"/>
      <c r="AY1224" s="2"/>
      <c r="AZ1224" s="2"/>
      <c r="BA1224" s="2"/>
      <c r="BB1224" s="2" t="n">
        <v>496</v>
      </c>
      <c r="BC1224" s="2" t="n">
        <v>502</v>
      </c>
      <c r="BD1224" s="2"/>
      <c r="BE1224" s="2" t="s">
        <v>21487</v>
      </c>
      <c r="BF1224" s="2" t="str">
        <f aca="false">HYPERLINK("http://dx.doi.org/10.1080/21645515.2018.1526588","http://dx.doi.org/10.1080/21645515.2018.1526588")</f>
        <v>http://dx.doi.org/10.1080/21645515.2018.1526588</v>
      </c>
      <c r="BG1224" s="2"/>
      <c r="BH1224" s="2"/>
      <c r="BI1224" s="2" t="n">
        <v>7</v>
      </c>
      <c r="BJ1224" s="2" t="s">
        <v>2541</v>
      </c>
      <c r="BK1224" s="2" t="s">
        <v>100</v>
      </c>
      <c r="BL1224" s="2" t="s">
        <v>2541</v>
      </c>
      <c r="BM1224" s="2" t="s">
        <v>21488</v>
      </c>
      <c r="BN1224" s="2" t="n">
        <v>30235060</v>
      </c>
      <c r="BO1224" s="2" t="s">
        <v>538</v>
      </c>
      <c r="BP1224" s="2"/>
      <c r="BQ1224" s="2"/>
      <c r="BR1224" s="2" t="s">
        <v>104</v>
      </c>
      <c r="BS1224" s="2" t="s">
        <v>21489</v>
      </c>
      <c r="BT1224" s="2" t="str">
        <f aca="false">HYPERLINK("https%3A%2F%2Fwww.webofscience.com%2Fwos%2Fwoscc%2Ffull-record%2FWOS:000461231000031","View Full Record in Web of Science")</f>
        <v>View Full Record in Web of Science</v>
      </c>
    </row>
    <row r="1225" customFormat="false" ht="12.75" hidden="false" customHeight="false" outlineLevel="0" collapsed="false">
      <c r="A1225" s="2" t="s">
        <v>72</v>
      </c>
      <c r="B1225" s="2" t="s">
        <v>21490</v>
      </c>
      <c r="C1225" s="2"/>
      <c r="D1225" s="2"/>
      <c r="E1225" s="2"/>
      <c r="F1225" s="2" t="s">
        <v>21491</v>
      </c>
      <c r="G1225" s="2"/>
      <c r="H1225" s="2"/>
      <c r="I1225" s="2" t="s">
        <v>21492</v>
      </c>
      <c r="J1225" s="2" t="s">
        <v>6822</v>
      </c>
      <c r="K1225" s="2"/>
      <c r="L1225" s="2"/>
      <c r="M1225" s="2" t="s">
        <v>77</v>
      </c>
      <c r="N1225" s="2" t="s">
        <v>78</v>
      </c>
      <c r="O1225" s="2"/>
      <c r="P1225" s="2"/>
      <c r="Q1225" s="2"/>
      <c r="R1225" s="2"/>
      <c r="S1225" s="2"/>
      <c r="T1225" s="2" t="s">
        <v>21493</v>
      </c>
      <c r="U1225" s="2" t="s">
        <v>21494</v>
      </c>
      <c r="V1225" s="2" t="s">
        <v>21495</v>
      </c>
      <c r="W1225" s="2" t="s">
        <v>21496</v>
      </c>
      <c r="X1225" s="2" t="s">
        <v>16629</v>
      </c>
      <c r="Y1225" s="2" t="s">
        <v>21497</v>
      </c>
      <c r="Z1225" s="2" t="s">
        <v>21498</v>
      </c>
      <c r="AA1225" s="2"/>
      <c r="AB1225" s="2"/>
      <c r="AC1225" s="2" t="s">
        <v>21499</v>
      </c>
      <c r="AD1225" s="2" t="s">
        <v>21500</v>
      </c>
      <c r="AE1225" s="2" t="s">
        <v>21501</v>
      </c>
      <c r="AF1225" s="2"/>
      <c r="AG1225" s="2" t="n">
        <v>29</v>
      </c>
      <c r="AH1225" s="2" t="n">
        <v>6</v>
      </c>
      <c r="AI1225" s="2" t="n">
        <v>6</v>
      </c>
      <c r="AJ1225" s="2" t="n">
        <v>1</v>
      </c>
      <c r="AK1225" s="2" t="n">
        <v>6</v>
      </c>
      <c r="AL1225" s="2" t="s">
        <v>6833</v>
      </c>
      <c r="AM1225" s="2" t="s">
        <v>593</v>
      </c>
      <c r="AN1225" s="2" t="s">
        <v>6834</v>
      </c>
      <c r="AO1225" s="2" t="s">
        <v>6835</v>
      </c>
      <c r="AP1225" s="2" t="s">
        <v>6836</v>
      </c>
      <c r="AQ1225" s="2"/>
      <c r="AR1225" s="2" t="s">
        <v>6837</v>
      </c>
      <c r="AS1225" s="2" t="s">
        <v>6838</v>
      </c>
      <c r="AT1225" s="2" t="s">
        <v>21502</v>
      </c>
      <c r="AU1225" s="2" t="n">
        <v>2023</v>
      </c>
      <c r="AV1225" s="2" t="n">
        <v>151</v>
      </c>
      <c r="AW1225" s="2"/>
      <c r="AX1225" s="2"/>
      <c r="AY1225" s="2"/>
      <c r="AZ1225" s="2"/>
      <c r="BA1225" s="2"/>
      <c r="BB1225" s="2"/>
      <c r="BC1225" s="2"/>
      <c r="BD1225" s="2" t="s">
        <v>21503</v>
      </c>
      <c r="BE1225" s="2" t="s">
        <v>21504</v>
      </c>
      <c r="BF1225" s="2" t="str">
        <f aca="false">HYPERLINK("http://dx.doi.org/10.1017/S0950268823000626","http://dx.doi.org/10.1017/S0950268823000626")</f>
        <v>http://dx.doi.org/10.1017/S0950268823000626</v>
      </c>
      <c r="BG1225" s="2"/>
      <c r="BH1225" s="2"/>
      <c r="BI1225" s="2" t="n">
        <v>8</v>
      </c>
      <c r="BJ1225" s="2" t="s">
        <v>2113</v>
      </c>
      <c r="BK1225" s="2" t="s">
        <v>100</v>
      </c>
      <c r="BL1225" s="2" t="s">
        <v>2113</v>
      </c>
      <c r="BM1225" s="2" t="s">
        <v>21505</v>
      </c>
      <c r="BN1225" s="2" t="n">
        <v>37127406</v>
      </c>
      <c r="BO1225" s="2" t="s">
        <v>103</v>
      </c>
      <c r="BP1225" s="2"/>
      <c r="BQ1225" s="2"/>
      <c r="BR1225" s="2" t="s">
        <v>104</v>
      </c>
      <c r="BS1225" s="2" t="s">
        <v>21506</v>
      </c>
      <c r="BT1225" s="2" t="str">
        <f aca="false">HYPERLINK("https%3A%2F%2Fwww.webofscience.com%2Fwos%2Fwoscc%2Ffull-record%2FWOS:000994362200001","View Full Record in Web of Science")</f>
        <v>View Full Record in Web of Science</v>
      </c>
    </row>
    <row r="1226" customFormat="false" ht="12.75" hidden="false" customHeight="false" outlineLevel="0" collapsed="false">
      <c r="A1226" s="2" t="s">
        <v>72</v>
      </c>
      <c r="B1226" s="2" t="s">
        <v>21507</v>
      </c>
      <c r="C1226" s="2"/>
      <c r="D1226" s="2"/>
      <c r="E1226" s="2"/>
      <c r="F1226" s="2" t="s">
        <v>21508</v>
      </c>
      <c r="G1226" s="2"/>
      <c r="H1226" s="2"/>
      <c r="I1226" s="2" t="s">
        <v>21509</v>
      </c>
      <c r="J1226" s="2" t="s">
        <v>1290</v>
      </c>
      <c r="K1226" s="2"/>
      <c r="L1226" s="2"/>
      <c r="M1226" s="2" t="s">
        <v>77</v>
      </c>
      <c r="N1226" s="2" t="s">
        <v>78</v>
      </c>
      <c r="O1226" s="2"/>
      <c r="P1226" s="2"/>
      <c r="Q1226" s="2"/>
      <c r="R1226" s="2"/>
      <c r="S1226" s="2"/>
      <c r="T1226" s="2" t="s">
        <v>21510</v>
      </c>
      <c r="U1226" s="2" t="s">
        <v>21511</v>
      </c>
      <c r="V1226" s="2" t="s">
        <v>21512</v>
      </c>
      <c r="W1226" s="2" t="s">
        <v>21513</v>
      </c>
      <c r="X1226" s="2" t="s">
        <v>21514</v>
      </c>
      <c r="Y1226" s="2" t="s">
        <v>21515</v>
      </c>
      <c r="Z1226" s="2" t="s">
        <v>21516</v>
      </c>
      <c r="AA1226" s="2"/>
      <c r="AB1226" s="2" t="s">
        <v>21517</v>
      </c>
      <c r="AC1226" s="2"/>
      <c r="AD1226" s="2"/>
      <c r="AE1226" s="2"/>
      <c r="AF1226" s="2"/>
      <c r="AG1226" s="2" t="n">
        <v>41</v>
      </c>
      <c r="AH1226" s="2" t="n">
        <v>0</v>
      </c>
      <c r="AI1226" s="2" t="n">
        <v>0</v>
      </c>
      <c r="AJ1226" s="2" t="n">
        <v>0</v>
      </c>
      <c r="AK1226" s="2" t="n">
        <v>5</v>
      </c>
      <c r="AL1226" s="2" t="s">
        <v>154</v>
      </c>
      <c r="AM1226" s="2" t="s">
        <v>155</v>
      </c>
      <c r="AN1226" s="2" t="s">
        <v>156</v>
      </c>
      <c r="AO1226" s="2" t="s">
        <v>1302</v>
      </c>
      <c r="AP1226" s="2" t="s">
        <v>1303</v>
      </c>
      <c r="AQ1226" s="2"/>
      <c r="AR1226" s="2" t="s">
        <v>1304</v>
      </c>
      <c r="AS1226" s="2" t="s">
        <v>1305</v>
      </c>
      <c r="AT1226" s="2" t="s">
        <v>161</v>
      </c>
      <c r="AU1226" s="2" t="n">
        <v>2023</v>
      </c>
      <c r="AV1226" s="2" t="n">
        <v>58</v>
      </c>
      <c r="AW1226" s="2" t="n">
        <v>1</v>
      </c>
      <c r="AX1226" s="2"/>
      <c r="AY1226" s="2"/>
      <c r="AZ1226" s="2"/>
      <c r="BA1226" s="2"/>
      <c r="BB1226" s="2" t="n">
        <v>222</v>
      </c>
      <c r="BC1226" s="2" t="n">
        <v>229</v>
      </c>
      <c r="BD1226" s="2"/>
      <c r="BE1226" s="2" t="s">
        <v>21518</v>
      </c>
      <c r="BF1226" s="2" t="str">
        <f aca="false">HYPERLINK("http://dx.doi.org/10.1002/ppul.26188","http://dx.doi.org/10.1002/ppul.26188")</f>
        <v>http://dx.doi.org/10.1002/ppul.26188</v>
      </c>
      <c r="BG1226" s="2"/>
      <c r="BH1226" s="2" t="s">
        <v>2884</v>
      </c>
      <c r="BI1226" s="2" t="n">
        <v>8</v>
      </c>
      <c r="BJ1226" s="2" t="s">
        <v>1307</v>
      </c>
      <c r="BK1226" s="2" t="s">
        <v>100</v>
      </c>
      <c r="BL1226" s="2" t="s">
        <v>1307</v>
      </c>
      <c r="BM1226" s="2" t="s">
        <v>21519</v>
      </c>
      <c r="BN1226" s="2" t="n">
        <v>36202614</v>
      </c>
      <c r="BO1226" s="2"/>
      <c r="BP1226" s="2"/>
      <c r="BQ1226" s="2"/>
      <c r="BR1226" s="2" t="s">
        <v>104</v>
      </c>
      <c r="BS1226" s="2" t="s">
        <v>21520</v>
      </c>
      <c r="BT1226" s="2" t="str">
        <f aca="false">HYPERLINK("https%3A%2F%2Fwww.webofscience.com%2Fwos%2Fwoscc%2Ffull-record%2FWOS:000870288600001","View Full Record in Web of Science")</f>
        <v>View Full Record in Web of Science</v>
      </c>
    </row>
    <row r="1227" customFormat="false" ht="12.75" hidden="false" customHeight="false" outlineLevel="0" collapsed="false">
      <c r="A1227" s="2" t="s">
        <v>72</v>
      </c>
      <c r="B1227" s="2" t="s">
        <v>21521</v>
      </c>
      <c r="C1227" s="2"/>
      <c r="D1227" s="2"/>
      <c r="E1227" s="2"/>
      <c r="F1227" s="2" t="s">
        <v>21522</v>
      </c>
      <c r="G1227" s="2"/>
      <c r="H1227" s="2"/>
      <c r="I1227" s="2" t="s">
        <v>21523</v>
      </c>
      <c r="J1227" s="2" t="s">
        <v>11019</v>
      </c>
      <c r="K1227" s="2"/>
      <c r="L1227" s="2"/>
      <c r="M1227" s="2" t="s">
        <v>77</v>
      </c>
      <c r="N1227" s="2" t="s">
        <v>78</v>
      </c>
      <c r="O1227" s="2"/>
      <c r="P1227" s="2"/>
      <c r="Q1227" s="2"/>
      <c r="R1227" s="2"/>
      <c r="S1227" s="2"/>
      <c r="T1227" s="2" t="s">
        <v>21524</v>
      </c>
      <c r="U1227" s="2" t="s">
        <v>21525</v>
      </c>
      <c r="V1227" s="2" t="s">
        <v>21526</v>
      </c>
      <c r="W1227" s="2" t="s">
        <v>21527</v>
      </c>
      <c r="X1227" s="2" t="s">
        <v>21528</v>
      </c>
      <c r="Y1227" s="2" t="s">
        <v>21529</v>
      </c>
      <c r="Z1227" s="2" t="s">
        <v>21530</v>
      </c>
      <c r="AA1227" s="2"/>
      <c r="AB1227" s="2" t="s">
        <v>21531</v>
      </c>
      <c r="AC1227" s="2" t="s">
        <v>21532</v>
      </c>
      <c r="AD1227" s="2" t="s">
        <v>13468</v>
      </c>
      <c r="AE1227" s="2" t="s">
        <v>21533</v>
      </c>
      <c r="AF1227" s="2"/>
      <c r="AG1227" s="2" t="n">
        <v>15</v>
      </c>
      <c r="AH1227" s="2" t="n">
        <v>10</v>
      </c>
      <c r="AI1227" s="2" t="n">
        <v>11</v>
      </c>
      <c r="AJ1227" s="2" t="n">
        <v>0</v>
      </c>
      <c r="AK1227" s="2" t="n">
        <v>5</v>
      </c>
      <c r="AL1227" s="2" t="s">
        <v>154</v>
      </c>
      <c r="AM1227" s="2" t="s">
        <v>155</v>
      </c>
      <c r="AN1227" s="2" t="s">
        <v>156</v>
      </c>
      <c r="AO1227" s="2" t="s">
        <v>11028</v>
      </c>
      <c r="AP1227" s="2" t="s">
        <v>11029</v>
      </c>
      <c r="AQ1227" s="2"/>
      <c r="AR1227" s="2" t="s">
        <v>11030</v>
      </c>
      <c r="AS1227" s="2" t="s">
        <v>11031</v>
      </c>
      <c r="AT1227" s="2" t="s">
        <v>129</v>
      </c>
      <c r="AU1227" s="2" t="n">
        <v>2022</v>
      </c>
      <c r="AV1227" s="2" t="n">
        <v>16</v>
      </c>
      <c r="AW1227" s="2" t="n">
        <v>5</v>
      </c>
      <c r="AX1227" s="2"/>
      <c r="AY1227" s="2"/>
      <c r="AZ1227" s="2"/>
      <c r="BA1227" s="2"/>
      <c r="BB1227" s="2" t="n">
        <v>837</v>
      </c>
      <c r="BC1227" s="2" t="n">
        <v>841</v>
      </c>
      <c r="BD1227" s="2"/>
      <c r="BE1227" s="2" t="s">
        <v>21534</v>
      </c>
      <c r="BF1227" s="2" t="str">
        <f aca="false">HYPERLINK("http://dx.doi.org/10.1111/irv.12995","http://dx.doi.org/10.1111/irv.12995")</f>
        <v>http://dx.doi.org/10.1111/irv.12995</v>
      </c>
      <c r="BG1227" s="2"/>
      <c r="BH1227" s="2" t="s">
        <v>4060</v>
      </c>
      <c r="BI1227" s="2" t="n">
        <v>5</v>
      </c>
      <c r="BJ1227" s="2" t="s">
        <v>8287</v>
      </c>
      <c r="BK1227" s="2" t="s">
        <v>100</v>
      </c>
      <c r="BL1227" s="2" t="s">
        <v>8287</v>
      </c>
      <c r="BM1227" s="2" t="s">
        <v>21535</v>
      </c>
      <c r="BN1227" s="2" t="n">
        <v>35488324</v>
      </c>
      <c r="BO1227" s="2" t="s">
        <v>103</v>
      </c>
      <c r="BP1227" s="2"/>
      <c r="BQ1227" s="2"/>
      <c r="BR1227" s="2" t="s">
        <v>104</v>
      </c>
      <c r="BS1227" s="2" t="s">
        <v>21536</v>
      </c>
      <c r="BT1227" s="2" t="str">
        <f aca="false">HYPERLINK("https%3A%2F%2Fwww.webofscience.com%2Fwos%2Fwoscc%2Ffull-record%2FWOS:000788802800001","View Full Record in Web of Science")</f>
        <v>View Full Record in Web of Science</v>
      </c>
    </row>
    <row r="1228" customFormat="false" ht="12.75" hidden="false" customHeight="false" outlineLevel="0" collapsed="false">
      <c r="A1228" s="2" t="s">
        <v>72</v>
      </c>
      <c r="B1228" s="2" t="s">
        <v>21537</v>
      </c>
      <c r="C1228" s="2"/>
      <c r="D1228" s="2"/>
      <c r="E1228" s="2"/>
      <c r="F1228" s="2" t="s">
        <v>21538</v>
      </c>
      <c r="G1228" s="2"/>
      <c r="H1228" s="2"/>
      <c r="I1228" s="2" t="s">
        <v>21539</v>
      </c>
      <c r="J1228" s="2" t="s">
        <v>2061</v>
      </c>
      <c r="K1228" s="2"/>
      <c r="L1228" s="2"/>
      <c r="M1228" s="2" t="s">
        <v>77</v>
      </c>
      <c r="N1228" s="2" t="s">
        <v>78</v>
      </c>
      <c r="O1228" s="2"/>
      <c r="P1228" s="2"/>
      <c r="Q1228" s="2"/>
      <c r="R1228" s="2"/>
      <c r="S1228" s="2"/>
      <c r="T1228" s="2" t="s">
        <v>21540</v>
      </c>
      <c r="U1228" s="2" t="s">
        <v>21541</v>
      </c>
      <c r="V1228" s="2" t="s">
        <v>21542</v>
      </c>
      <c r="W1228" s="2" t="s">
        <v>21543</v>
      </c>
      <c r="X1228" s="2" t="s">
        <v>3187</v>
      </c>
      <c r="Y1228" s="2" t="s">
        <v>21544</v>
      </c>
      <c r="Z1228" s="2" t="s">
        <v>21545</v>
      </c>
      <c r="AA1228" s="2"/>
      <c r="AB1228" s="2" t="s">
        <v>3191</v>
      </c>
      <c r="AC1228" s="2"/>
      <c r="AD1228" s="2"/>
      <c r="AE1228" s="2"/>
      <c r="AF1228" s="2"/>
      <c r="AG1228" s="2" t="n">
        <v>32</v>
      </c>
      <c r="AH1228" s="2" t="n">
        <v>3</v>
      </c>
      <c r="AI1228" s="2" t="n">
        <v>3</v>
      </c>
      <c r="AJ1228" s="2" t="n">
        <v>1</v>
      </c>
      <c r="AK1228" s="2" t="n">
        <v>6</v>
      </c>
      <c r="AL1228" s="2" t="s">
        <v>2070</v>
      </c>
      <c r="AM1228" s="2" t="s">
        <v>2071</v>
      </c>
      <c r="AN1228" s="2" t="s">
        <v>2072</v>
      </c>
      <c r="AO1228" s="2" t="s">
        <v>2073</v>
      </c>
      <c r="AP1228" s="2"/>
      <c r="AQ1228" s="2"/>
      <c r="AR1228" s="2" t="s">
        <v>2074</v>
      </c>
      <c r="AS1228" s="2" t="s">
        <v>2075</v>
      </c>
      <c r="AT1228" s="2" t="s">
        <v>161</v>
      </c>
      <c r="AU1228" s="2" t="n">
        <v>2022</v>
      </c>
      <c r="AV1228" s="2" t="n">
        <v>16</v>
      </c>
      <c r="AW1228" s="2" t="n">
        <v>1</v>
      </c>
      <c r="AX1228" s="2"/>
      <c r="AY1228" s="2"/>
      <c r="AZ1228" s="2"/>
      <c r="BA1228" s="2"/>
      <c r="BB1228" s="2" t="n">
        <v>196</v>
      </c>
      <c r="BC1228" s="2" t="n">
        <v>205</v>
      </c>
      <c r="BD1228" s="2"/>
      <c r="BE1228" s="2" t="s">
        <v>21546</v>
      </c>
      <c r="BF1228" s="2" t="str">
        <f aca="false">HYPERLINK("http://dx.doi.org/10.3855/jidc.15117","http://dx.doi.org/10.3855/jidc.15117")</f>
        <v>http://dx.doi.org/10.3855/jidc.15117</v>
      </c>
      <c r="BG1228" s="2"/>
      <c r="BH1228" s="2"/>
      <c r="BI1228" s="2" t="n">
        <v>10</v>
      </c>
      <c r="BJ1228" s="2" t="s">
        <v>575</v>
      </c>
      <c r="BK1228" s="2" t="s">
        <v>100</v>
      </c>
      <c r="BL1228" s="2" t="s">
        <v>575</v>
      </c>
      <c r="BM1228" s="2" t="s">
        <v>21547</v>
      </c>
      <c r="BN1228" s="2" t="n">
        <v>35192538</v>
      </c>
      <c r="BO1228" s="2" t="s">
        <v>1355</v>
      </c>
      <c r="BP1228" s="2"/>
      <c r="BQ1228" s="2"/>
      <c r="BR1228" s="2" t="s">
        <v>104</v>
      </c>
      <c r="BS1228" s="2" t="s">
        <v>21548</v>
      </c>
      <c r="BT1228" s="2" t="str">
        <f aca="false">HYPERLINK("https%3A%2F%2Fwww.webofscience.com%2Fwos%2Fwoscc%2Ffull-record%2FWOS:000760556800025","View Full Record in Web of Science")</f>
        <v>View Full Record in Web of Science</v>
      </c>
    </row>
    <row r="1229" customFormat="false" ht="12.75" hidden="false" customHeight="false" outlineLevel="0" collapsed="false">
      <c r="A1229" s="2" t="s">
        <v>72</v>
      </c>
      <c r="B1229" s="2" t="s">
        <v>21549</v>
      </c>
      <c r="C1229" s="2"/>
      <c r="D1229" s="2"/>
      <c r="E1229" s="2"/>
      <c r="F1229" s="2" t="s">
        <v>21550</v>
      </c>
      <c r="G1229" s="2"/>
      <c r="H1229" s="2"/>
      <c r="I1229" s="2" t="s">
        <v>21551</v>
      </c>
      <c r="J1229" s="2" t="s">
        <v>370</v>
      </c>
      <c r="K1229" s="2"/>
      <c r="L1229" s="2"/>
      <c r="M1229" s="2" t="s">
        <v>77</v>
      </c>
      <c r="N1229" s="2" t="s">
        <v>78</v>
      </c>
      <c r="O1229" s="2"/>
      <c r="P1229" s="2"/>
      <c r="Q1229" s="2"/>
      <c r="R1229" s="2"/>
      <c r="S1229" s="2"/>
      <c r="T1229" s="2" t="s">
        <v>21552</v>
      </c>
      <c r="U1229" s="2" t="s">
        <v>21553</v>
      </c>
      <c r="V1229" s="2" t="s">
        <v>21554</v>
      </c>
      <c r="W1229" s="2" t="s">
        <v>21555</v>
      </c>
      <c r="X1229" s="2" t="s">
        <v>21556</v>
      </c>
      <c r="Y1229" s="2" t="s">
        <v>21557</v>
      </c>
      <c r="Z1229" s="2" t="s">
        <v>21558</v>
      </c>
      <c r="AA1229" s="2" t="s">
        <v>21559</v>
      </c>
      <c r="AB1229" s="2" t="s">
        <v>21560</v>
      </c>
      <c r="AC1229" s="2" t="s">
        <v>21561</v>
      </c>
      <c r="AD1229" s="2" t="s">
        <v>21561</v>
      </c>
      <c r="AE1229" s="2" t="s">
        <v>21562</v>
      </c>
      <c r="AF1229" s="2"/>
      <c r="AG1229" s="2" t="n">
        <v>33</v>
      </c>
      <c r="AH1229" s="2" t="n">
        <v>34</v>
      </c>
      <c r="AI1229" s="2" t="n">
        <v>38</v>
      </c>
      <c r="AJ1229" s="2" t="n">
        <v>0</v>
      </c>
      <c r="AK1229" s="2" t="n">
        <v>12</v>
      </c>
      <c r="AL1229" s="2" t="s">
        <v>549</v>
      </c>
      <c r="AM1229" s="2" t="s">
        <v>384</v>
      </c>
      <c r="AN1229" s="2" t="s">
        <v>550</v>
      </c>
      <c r="AO1229" s="2" t="s">
        <v>386</v>
      </c>
      <c r="AP1229" s="2" t="s">
        <v>387</v>
      </c>
      <c r="AQ1229" s="2"/>
      <c r="AR1229" s="2" t="s">
        <v>388</v>
      </c>
      <c r="AS1229" s="2" t="s">
        <v>389</v>
      </c>
      <c r="AT1229" s="2" t="s">
        <v>185</v>
      </c>
      <c r="AU1229" s="2" t="n">
        <v>2014</v>
      </c>
      <c r="AV1229" s="2" t="n">
        <v>60</v>
      </c>
      <c r="AW1229" s="2" t="n">
        <v>4</v>
      </c>
      <c r="AX1229" s="2"/>
      <c r="AY1229" s="2"/>
      <c r="AZ1229" s="2"/>
      <c r="BA1229" s="2"/>
      <c r="BB1229" s="2" t="n">
        <v>402</v>
      </c>
      <c r="BC1229" s="2" t="n">
        <v>407</v>
      </c>
      <c r="BD1229" s="2"/>
      <c r="BE1229" s="2" t="s">
        <v>21563</v>
      </c>
      <c r="BF1229" s="2" t="str">
        <f aca="false">HYPERLINK("http://dx.doi.org/10.1016/j.jcv.2014.05.006","http://dx.doi.org/10.1016/j.jcv.2014.05.006")</f>
        <v>http://dx.doi.org/10.1016/j.jcv.2014.05.006</v>
      </c>
      <c r="BG1229" s="2"/>
      <c r="BH1229" s="2"/>
      <c r="BI1229" s="2" t="n">
        <v>6</v>
      </c>
      <c r="BJ1229" s="2" t="s">
        <v>163</v>
      </c>
      <c r="BK1229" s="2" t="s">
        <v>100</v>
      </c>
      <c r="BL1229" s="2" t="s">
        <v>163</v>
      </c>
      <c r="BM1229" s="2" t="s">
        <v>21564</v>
      </c>
      <c r="BN1229" s="2" t="n">
        <v>24915939</v>
      </c>
      <c r="BO1229" s="2" t="s">
        <v>165</v>
      </c>
      <c r="BP1229" s="2"/>
      <c r="BQ1229" s="2"/>
      <c r="BR1229" s="2" t="s">
        <v>104</v>
      </c>
      <c r="BS1229" s="2" t="s">
        <v>21565</v>
      </c>
      <c r="BT1229" s="2" t="str">
        <f aca="false">HYPERLINK("https%3A%2F%2Fwww.webofscience.com%2Fwos%2Fwoscc%2Ffull-record%2FWOS:000341353200014","View Full Record in Web of Science")</f>
        <v>View Full Record in Web of Science</v>
      </c>
    </row>
    <row r="1230" customFormat="false" ht="12.75" hidden="false" customHeight="false" outlineLevel="0" collapsed="false">
      <c r="A1230" s="2" t="s">
        <v>72</v>
      </c>
      <c r="B1230" s="2" t="s">
        <v>21566</v>
      </c>
      <c r="C1230" s="2"/>
      <c r="D1230" s="2"/>
      <c r="E1230" s="2"/>
      <c r="F1230" s="2" t="s">
        <v>21567</v>
      </c>
      <c r="G1230" s="2"/>
      <c r="H1230" s="2"/>
      <c r="I1230" s="2" t="s">
        <v>21568</v>
      </c>
      <c r="J1230" s="2" t="s">
        <v>11019</v>
      </c>
      <c r="K1230" s="2"/>
      <c r="L1230" s="2"/>
      <c r="M1230" s="2" t="s">
        <v>77</v>
      </c>
      <c r="N1230" s="2" t="s">
        <v>78</v>
      </c>
      <c r="O1230" s="2"/>
      <c r="P1230" s="2"/>
      <c r="Q1230" s="2"/>
      <c r="R1230" s="2"/>
      <c r="S1230" s="2"/>
      <c r="T1230" s="2" t="s">
        <v>21569</v>
      </c>
      <c r="U1230" s="2" t="s">
        <v>21570</v>
      </c>
      <c r="V1230" s="2" t="s">
        <v>21571</v>
      </c>
      <c r="W1230" s="2" t="s">
        <v>21572</v>
      </c>
      <c r="X1230" s="2" t="s">
        <v>21573</v>
      </c>
      <c r="Y1230" s="2" t="s">
        <v>21574</v>
      </c>
      <c r="Z1230" s="2" t="s">
        <v>21575</v>
      </c>
      <c r="AA1230" s="2" t="s">
        <v>21576</v>
      </c>
      <c r="AB1230" s="2" t="s">
        <v>21577</v>
      </c>
      <c r="AC1230" s="2" t="s">
        <v>21578</v>
      </c>
      <c r="AD1230" s="2" t="s">
        <v>21579</v>
      </c>
      <c r="AE1230" s="2" t="s">
        <v>21580</v>
      </c>
      <c r="AF1230" s="2"/>
      <c r="AG1230" s="2" t="n">
        <v>38</v>
      </c>
      <c r="AH1230" s="2" t="n">
        <v>100</v>
      </c>
      <c r="AI1230" s="2" t="n">
        <v>118</v>
      </c>
      <c r="AJ1230" s="2" t="n">
        <v>0</v>
      </c>
      <c r="AK1230" s="2" t="n">
        <v>8</v>
      </c>
      <c r="AL1230" s="2" t="s">
        <v>3813</v>
      </c>
      <c r="AM1230" s="2" t="s">
        <v>155</v>
      </c>
      <c r="AN1230" s="2" t="s">
        <v>156</v>
      </c>
      <c r="AO1230" s="2" t="s">
        <v>11028</v>
      </c>
      <c r="AP1230" s="2"/>
      <c r="AQ1230" s="2"/>
      <c r="AR1230" s="2" t="s">
        <v>11030</v>
      </c>
      <c r="AS1230" s="2" t="s">
        <v>11031</v>
      </c>
      <c r="AT1230" s="2" t="s">
        <v>161</v>
      </c>
      <c r="AU1230" s="2" t="n">
        <v>2013</v>
      </c>
      <c r="AV1230" s="2" t="n">
        <v>7</v>
      </c>
      <c r="AW1230" s="2" t="n">
        <v>1</v>
      </c>
      <c r="AX1230" s="2"/>
      <c r="AY1230" s="2"/>
      <c r="AZ1230" s="2"/>
      <c r="BA1230" s="2"/>
      <c r="BB1230" s="2" t="n">
        <v>18</v>
      </c>
      <c r="BC1230" s="2" t="n">
        <v>26</v>
      </c>
      <c r="BD1230" s="2"/>
      <c r="BE1230" s="2" t="s">
        <v>21581</v>
      </c>
      <c r="BF1230" s="2" t="str">
        <f aca="false">HYPERLINK("http://dx.doi.org/10.1111/j.1750-2659.2012.00340.x","http://dx.doi.org/10.1111/j.1750-2659.2012.00340.x")</f>
        <v>http://dx.doi.org/10.1111/j.1750-2659.2012.00340.x</v>
      </c>
      <c r="BG1230" s="2"/>
      <c r="BH1230" s="2"/>
      <c r="BI1230" s="2" t="n">
        <v>9</v>
      </c>
      <c r="BJ1230" s="2" t="s">
        <v>8287</v>
      </c>
      <c r="BK1230" s="2" t="s">
        <v>100</v>
      </c>
      <c r="BL1230" s="2" t="s">
        <v>8287</v>
      </c>
      <c r="BM1230" s="2" t="s">
        <v>21582</v>
      </c>
      <c r="BN1230" s="2" t="n">
        <v>22329841</v>
      </c>
      <c r="BO1230" s="2" t="s">
        <v>136</v>
      </c>
      <c r="BP1230" s="2"/>
      <c r="BQ1230" s="2"/>
      <c r="BR1230" s="2" t="s">
        <v>104</v>
      </c>
      <c r="BS1230" s="2" t="s">
        <v>21583</v>
      </c>
      <c r="BT1230" s="2" t="str">
        <f aca="false">HYPERLINK("https%3A%2F%2Fwww.webofscience.com%2Fwos%2Fwoscc%2Ffull-record%2FWOS:000312650000006","View Full Record in Web of Science")</f>
        <v>View Full Record in Web of Science</v>
      </c>
    </row>
    <row r="1231" customFormat="false" ht="12.75" hidden="false" customHeight="false" outlineLevel="0" collapsed="false">
      <c r="A1231" s="2" t="s">
        <v>72</v>
      </c>
      <c r="B1231" s="2" t="s">
        <v>21584</v>
      </c>
      <c r="C1231" s="2"/>
      <c r="D1231" s="2"/>
      <c r="E1231" s="2"/>
      <c r="F1231" s="2" t="s">
        <v>21585</v>
      </c>
      <c r="G1231" s="2"/>
      <c r="H1231" s="2"/>
      <c r="I1231" s="2" t="s">
        <v>21586</v>
      </c>
      <c r="J1231" s="2" t="s">
        <v>16276</v>
      </c>
      <c r="K1231" s="2"/>
      <c r="L1231" s="2"/>
      <c r="M1231" s="2" t="s">
        <v>77</v>
      </c>
      <c r="N1231" s="2" t="s">
        <v>78</v>
      </c>
      <c r="O1231" s="2"/>
      <c r="P1231" s="2"/>
      <c r="Q1231" s="2"/>
      <c r="R1231" s="2"/>
      <c r="S1231" s="2"/>
      <c r="T1231" s="2" t="s">
        <v>21587</v>
      </c>
      <c r="U1231" s="2" t="s">
        <v>21588</v>
      </c>
      <c r="V1231" s="2" t="s">
        <v>21589</v>
      </c>
      <c r="W1231" s="2" t="s">
        <v>21590</v>
      </c>
      <c r="X1231" s="2" t="s">
        <v>21591</v>
      </c>
      <c r="Y1231" s="2" t="s">
        <v>21592</v>
      </c>
      <c r="Z1231" s="2" t="s">
        <v>21593</v>
      </c>
      <c r="AA1231" s="2" t="s">
        <v>21594</v>
      </c>
      <c r="AB1231" s="2"/>
      <c r="AC1231" s="2" t="s">
        <v>21595</v>
      </c>
      <c r="AD1231" s="2" t="s">
        <v>21596</v>
      </c>
      <c r="AE1231" s="2" t="s">
        <v>21597</v>
      </c>
      <c r="AF1231" s="2"/>
      <c r="AG1231" s="2" t="n">
        <v>48</v>
      </c>
      <c r="AH1231" s="2" t="n">
        <v>16</v>
      </c>
      <c r="AI1231" s="2" t="n">
        <v>22</v>
      </c>
      <c r="AJ1231" s="2" t="n">
        <v>0</v>
      </c>
      <c r="AK1231" s="2" t="n">
        <v>141</v>
      </c>
      <c r="AL1231" s="2" t="s">
        <v>16287</v>
      </c>
      <c r="AM1231" s="2" t="s">
        <v>3793</v>
      </c>
      <c r="AN1231" s="2" t="s">
        <v>21598</v>
      </c>
      <c r="AO1231" s="2" t="s">
        <v>16289</v>
      </c>
      <c r="AP1231" s="2" t="s">
        <v>16290</v>
      </c>
      <c r="AQ1231" s="2"/>
      <c r="AR1231" s="2" t="s">
        <v>16291</v>
      </c>
      <c r="AS1231" s="2" t="s">
        <v>16292</v>
      </c>
      <c r="AT1231" s="2" t="s">
        <v>446</v>
      </c>
      <c r="AU1231" s="2" t="n">
        <v>2021</v>
      </c>
      <c r="AV1231" s="2" t="n">
        <v>36</v>
      </c>
      <c r="AW1231" s="2" t="n">
        <v>6</v>
      </c>
      <c r="AX1231" s="2"/>
      <c r="AY1231" s="2"/>
      <c r="AZ1231" s="2"/>
      <c r="BA1231" s="2"/>
      <c r="BB1231" s="2" t="n">
        <v>1543</v>
      </c>
      <c r="BC1231" s="2" t="n">
        <v>1553</v>
      </c>
      <c r="BD1231" s="2"/>
      <c r="BE1231" s="2" t="s">
        <v>21599</v>
      </c>
      <c r="BF1231" s="2" t="str">
        <f aca="false">HYPERLINK("http://dx.doi.org/10.1007/s12250-021-00437-0","http://dx.doi.org/10.1007/s12250-021-00437-0")</f>
        <v>http://dx.doi.org/10.1007/s12250-021-00437-0</v>
      </c>
      <c r="BG1231" s="2"/>
      <c r="BH1231" s="2" t="s">
        <v>18084</v>
      </c>
      <c r="BI1231" s="2" t="n">
        <v>11</v>
      </c>
      <c r="BJ1231" s="2" t="s">
        <v>163</v>
      </c>
      <c r="BK1231" s="2" t="s">
        <v>100</v>
      </c>
      <c r="BL1231" s="2" t="s">
        <v>163</v>
      </c>
      <c r="BM1231" s="2" t="s">
        <v>21600</v>
      </c>
      <c r="BN1231" s="2" t="n">
        <v>34523109</v>
      </c>
      <c r="BO1231" s="2" t="s">
        <v>1267</v>
      </c>
      <c r="BP1231" s="2"/>
      <c r="BQ1231" s="2"/>
      <c r="BR1231" s="2" t="s">
        <v>104</v>
      </c>
      <c r="BS1231" s="2" t="s">
        <v>21601</v>
      </c>
      <c r="BT1231" s="2" t="str">
        <f aca="false">HYPERLINK("https%3A%2F%2Fwww.webofscience.com%2Fwos%2Fwoscc%2Ffull-record%2FWOS:000695758100001","View Full Record in Web of Science")</f>
        <v>View Full Record in Web of Science</v>
      </c>
    </row>
    <row r="1232" customFormat="false" ht="12.75" hidden="false" customHeight="false" outlineLevel="0" collapsed="false">
      <c r="A1232" s="2" t="s">
        <v>72</v>
      </c>
      <c r="B1232" s="2" t="s">
        <v>21602</v>
      </c>
      <c r="C1232" s="2"/>
      <c r="D1232" s="2"/>
      <c r="E1232" s="2"/>
      <c r="F1232" s="2" t="s">
        <v>21603</v>
      </c>
      <c r="G1232" s="2"/>
      <c r="H1232" s="2"/>
      <c r="I1232" s="2" t="s">
        <v>21604</v>
      </c>
      <c r="J1232" s="2" t="s">
        <v>141</v>
      </c>
      <c r="K1232" s="2"/>
      <c r="L1232" s="2"/>
      <c r="M1232" s="2" t="s">
        <v>77</v>
      </c>
      <c r="N1232" s="2" t="s">
        <v>78</v>
      </c>
      <c r="O1232" s="2"/>
      <c r="P1232" s="2"/>
      <c r="Q1232" s="2"/>
      <c r="R1232" s="2"/>
      <c r="S1232" s="2"/>
      <c r="T1232" s="2" t="s">
        <v>21605</v>
      </c>
      <c r="U1232" s="2" t="s">
        <v>21606</v>
      </c>
      <c r="V1232" s="2" t="s">
        <v>21607</v>
      </c>
      <c r="W1232" s="2" t="s">
        <v>21608</v>
      </c>
      <c r="X1232" s="2" t="s">
        <v>21609</v>
      </c>
      <c r="Y1232" s="2" t="s">
        <v>21610</v>
      </c>
      <c r="Z1232" s="2" t="s">
        <v>21611</v>
      </c>
      <c r="AA1232" s="2" t="s">
        <v>21612</v>
      </c>
      <c r="AB1232" s="2"/>
      <c r="AC1232" s="2" t="s">
        <v>21613</v>
      </c>
      <c r="AD1232" s="2" t="s">
        <v>21614</v>
      </c>
      <c r="AE1232" s="2" t="s">
        <v>21615</v>
      </c>
      <c r="AF1232" s="2"/>
      <c r="AG1232" s="2" t="n">
        <v>42</v>
      </c>
      <c r="AH1232" s="2" t="n">
        <v>48</v>
      </c>
      <c r="AI1232" s="2" t="n">
        <v>56</v>
      </c>
      <c r="AJ1232" s="2" t="n">
        <v>2</v>
      </c>
      <c r="AK1232" s="2" t="n">
        <v>40</v>
      </c>
      <c r="AL1232" s="2" t="s">
        <v>154</v>
      </c>
      <c r="AM1232" s="2" t="s">
        <v>155</v>
      </c>
      <c r="AN1232" s="2" t="s">
        <v>156</v>
      </c>
      <c r="AO1232" s="2" t="s">
        <v>157</v>
      </c>
      <c r="AP1232" s="2" t="s">
        <v>158</v>
      </c>
      <c r="AQ1232" s="2"/>
      <c r="AR1232" s="2" t="s">
        <v>159</v>
      </c>
      <c r="AS1232" s="2" t="s">
        <v>160</v>
      </c>
      <c r="AT1232" s="2" t="s">
        <v>97</v>
      </c>
      <c r="AU1232" s="2" t="n">
        <v>2018</v>
      </c>
      <c r="AV1232" s="2" t="n">
        <v>90</v>
      </c>
      <c r="AW1232" s="2" t="n">
        <v>3</v>
      </c>
      <c r="AX1232" s="2"/>
      <c r="AY1232" s="2"/>
      <c r="AZ1232" s="2"/>
      <c r="BA1232" s="2"/>
      <c r="BB1232" s="2" t="n">
        <v>421</v>
      </c>
      <c r="BC1232" s="2" t="n">
        <v>428</v>
      </c>
      <c r="BD1232" s="2"/>
      <c r="BE1232" s="2" t="s">
        <v>21616</v>
      </c>
      <c r="BF1232" s="2" t="str">
        <f aca="false">HYPERLINK("http://dx.doi.org/10.1002/jmv.24963","http://dx.doi.org/10.1002/jmv.24963")</f>
        <v>http://dx.doi.org/10.1002/jmv.24963</v>
      </c>
      <c r="BG1232" s="2"/>
      <c r="BH1232" s="2"/>
      <c r="BI1232" s="2" t="n">
        <v>8</v>
      </c>
      <c r="BJ1232" s="2" t="s">
        <v>163</v>
      </c>
      <c r="BK1232" s="2" t="s">
        <v>100</v>
      </c>
      <c r="BL1232" s="2" t="s">
        <v>163</v>
      </c>
      <c r="BM1232" s="2" t="s">
        <v>14397</v>
      </c>
      <c r="BN1232" s="2" t="n">
        <v>28975629</v>
      </c>
      <c r="BO1232" s="2" t="s">
        <v>165</v>
      </c>
      <c r="BP1232" s="2"/>
      <c r="BQ1232" s="2"/>
      <c r="BR1232" s="2" t="s">
        <v>104</v>
      </c>
      <c r="BS1232" s="2" t="s">
        <v>21617</v>
      </c>
      <c r="BT1232" s="2" t="str">
        <f aca="false">HYPERLINK("https%3A%2F%2Fwww.webofscience.com%2Fwos%2Fwoscc%2Ffull-record%2FWOS:000419510600005","View Full Record in Web of Science")</f>
        <v>View Full Record in Web of Science</v>
      </c>
    </row>
    <row r="1233" customFormat="false" ht="12.75" hidden="false" customHeight="false" outlineLevel="0" collapsed="false">
      <c r="A1233" s="2" t="s">
        <v>72</v>
      </c>
      <c r="B1233" s="2" t="s">
        <v>21618</v>
      </c>
      <c r="C1233" s="2"/>
      <c r="D1233" s="2"/>
      <c r="E1233" s="2"/>
      <c r="F1233" s="2" t="s">
        <v>21619</v>
      </c>
      <c r="G1233" s="2"/>
      <c r="H1233" s="2"/>
      <c r="I1233" s="2" t="s">
        <v>21620</v>
      </c>
      <c r="J1233" s="2" t="s">
        <v>10837</v>
      </c>
      <c r="K1233" s="2"/>
      <c r="L1233" s="2"/>
      <c r="M1233" s="2" t="s">
        <v>77</v>
      </c>
      <c r="N1233" s="2" t="s">
        <v>78</v>
      </c>
      <c r="O1233" s="2"/>
      <c r="P1233" s="2"/>
      <c r="Q1233" s="2"/>
      <c r="R1233" s="2"/>
      <c r="S1233" s="2"/>
      <c r="T1233" s="2" t="s">
        <v>21621</v>
      </c>
      <c r="U1233" s="2" t="s">
        <v>21622</v>
      </c>
      <c r="V1233" s="2" t="s">
        <v>21623</v>
      </c>
      <c r="W1233" s="2" t="s">
        <v>21624</v>
      </c>
      <c r="X1233" s="2" t="s">
        <v>21625</v>
      </c>
      <c r="Y1233" s="2" t="s">
        <v>21626</v>
      </c>
      <c r="Z1233" s="2" t="s">
        <v>21627</v>
      </c>
      <c r="AA1233" s="2" t="s">
        <v>21628</v>
      </c>
      <c r="AB1233" s="2" t="s">
        <v>21629</v>
      </c>
      <c r="AC1233" s="2"/>
      <c r="AD1233" s="2"/>
      <c r="AE1233" s="2"/>
      <c r="AF1233" s="2"/>
      <c r="AG1233" s="2" t="n">
        <v>39</v>
      </c>
      <c r="AH1233" s="2" t="n">
        <v>9</v>
      </c>
      <c r="AI1233" s="2" t="n">
        <v>9</v>
      </c>
      <c r="AJ1233" s="2" t="n">
        <v>0</v>
      </c>
      <c r="AK1233" s="2" t="n">
        <v>1</v>
      </c>
      <c r="AL1233" s="2" t="s">
        <v>527</v>
      </c>
      <c r="AM1233" s="2" t="s">
        <v>528</v>
      </c>
      <c r="AN1233" s="2" t="s">
        <v>529</v>
      </c>
      <c r="AO1233" s="2" t="s">
        <v>10846</v>
      </c>
      <c r="AP1233" s="2"/>
      <c r="AQ1233" s="2"/>
      <c r="AR1233" s="2" t="s">
        <v>10847</v>
      </c>
      <c r="AS1233" s="2" t="s">
        <v>10848</v>
      </c>
      <c r="AT1233" s="2" t="s">
        <v>18410</v>
      </c>
      <c r="AU1233" s="2" t="n">
        <v>2023</v>
      </c>
      <c r="AV1233" s="2" t="n">
        <v>10</v>
      </c>
      <c r="AW1233" s="2" t="n">
        <v>3</v>
      </c>
      <c r="AX1233" s="2"/>
      <c r="AY1233" s="2"/>
      <c r="AZ1233" s="2"/>
      <c r="BA1233" s="2"/>
      <c r="BB1233" s="2"/>
      <c r="BC1233" s="2"/>
      <c r="BD1233" s="2"/>
      <c r="BE1233" s="2" t="s">
        <v>21630</v>
      </c>
      <c r="BF1233" s="2" t="str">
        <f aca="false">HYPERLINK("http://dx.doi.org/10.1093/ofid/ofad110","http://dx.doi.org/10.1093/ofid/ofad110")</f>
        <v>http://dx.doi.org/10.1093/ofid/ofad110</v>
      </c>
      <c r="BG1233" s="2"/>
      <c r="BH1233" s="2" t="s">
        <v>5450</v>
      </c>
      <c r="BI1233" s="2" t="n">
        <v>8</v>
      </c>
      <c r="BJ1233" s="2" t="s">
        <v>536</v>
      </c>
      <c r="BK1233" s="2" t="s">
        <v>100</v>
      </c>
      <c r="BL1233" s="2" t="s">
        <v>536</v>
      </c>
      <c r="BM1233" s="2" t="s">
        <v>21631</v>
      </c>
      <c r="BN1233" s="2" t="n">
        <v>36968956</v>
      </c>
      <c r="BO1233" s="2" t="s">
        <v>190</v>
      </c>
      <c r="BP1233" s="2"/>
      <c r="BQ1233" s="2"/>
      <c r="BR1233" s="2" t="s">
        <v>104</v>
      </c>
      <c r="BS1233" s="2" t="s">
        <v>21632</v>
      </c>
      <c r="BT1233" s="2" t="str">
        <f aca="false">HYPERLINK("https%3A%2F%2Fwww.webofscience.com%2Fwos%2Fwoscc%2Ffull-record%2FWOS:001012150100037","View Full Record in Web of Science")</f>
        <v>View Full Record in Web of Science</v>
      </c>
    </row>
    <row r="1234" customFormat="false" ht="12.75" hidden="false" customHeight="false" outlineLevel="0" collapsed="false">
      <c r="A1234" s="2" t="s">
        <v>72</v>
      </c>
      <c r="B1234" s="2" t="s">
        <v>21633</v>
      </c>
      <c r="C1234" s="2"/>
      <c r="D1234" s="2"/>
      <c r="E1234" s="2"/>
      <c r="F1234" s="2" t="s">
        <v>21634</v>
      </c>
      <c r="G1234" s="2"/>
      <c r="H1234" s="2"/>
      <c r="I1234" s="2" t="s">
        <v>21635</v>
      </c>
      <c r="J1234" s="2" t="s">
        <v>7244</v>
      </c>
      <c r="K1234" s="2"/>
      <c r="L1234" s="2"/>
      <c r="M1234" s="2" t="s">
        <v>77</v>
      </c>
      <c r="N1234" s="2" t="s">
        <v>78</v>
      </c>
      <c r="O1234" s="2"/>
      <c r="P1234" s="2"/>
      <c r="Q1234" s="2"/>
      <c r="R1234" s="2"/>
      <c r="S1234" s="2"/>
      <c r="T1234" s="2" t="s">
        <v>21636</v>
      </c>
      <c r="U1234" s="2" t="s">
        <v>21637</v>
      </c>
      <c r="V1234" s="2" t="s">
        <v>21638</v>
      </c>
      <c r="W1234" s="2" t="s">
        <v>21639</v>
      </c>
      <c r="X1234" s="2" t="s">
        <v>21640</v>
      </c>
      <c r="Y1234" s="2" t="s">
        <v>21641</v>
      </c>
      <c r="Z1234" s="2" t="s">
        <v>21642</v>
      </c>
      <c r="AA1234" s="2" t="s">
        <v>21643</v>
      </c>
      <c r="AB1234" s="2" t="s">
        <v>21644</v>
      </c>
      <c r="AC1234" s="2"/>
      <c r="AD1234" s="2"/>
      <c r="AE1234" s="2"/>
      <c r="AF1234" s="2"/>
      <c r="AG1234" s="2" t="n">
        <v>31</v>
      </c>
      <c r="AH1234" s="2" t="n">
        <v>66</v>
      </c>
      <c r="AI1234" s="2" t="n">
        <v>72</v>
      </c>
      <c r="AJ1234" s="2" t="n">
        <v>0</v>
      </c>
      <c r="AK1234" s="2" t="n">
        <v>8</v>
      </c>
      <c r="AL1234" s="2" t="s">
        <v>782</v>
      </c>
      <c r="AM1234" s="2" t="s">
        <v>783</v>
      </c>
      <c r="AN1234" s="2" t="s">
        <v>784</v>
      </c>
      <c r="AO1234" s="2" t="s">
        <v>7252</v>
      </c>
      <c r="AP1234" s="2" t="s">
        <v>7253</v>
      </c>
      <c r="AQ1234" s="2"/>
      <c r="AR1234" s="2" t="s">
        <v>7254</v>
      </c>
      <c r="AS1234" s="2" t="s">
        <v>7255</v>
      </c>
      <c r="AT1234" s="2" t="s">
        <v>185</v>
      </c>
      <c r="AU1234" s="2" t="n">
        <v>2013</v>
      </c>
      <c r="AV1234" s="2" t="n">
        <v>19</v>
      </c>
      <c r="AW1234" s="2" t="n">
        <v>8</v>
      </c>
      <c r="AX1234" s="2"/>
      <c r="AY1234" s="2"/>
      <c r="AZ1234" s="2"/>
      <c r="BA1234" s="2"/>
      <c r="BB1234" s="2" t="n">
        <v>772</v>
      </c>
      <c r="BC1234" s="2" t="n">
        <v>777</v>
      </c>
      <c r="BD1234" s="2"/>
      <c r="BE1234" s="2" t="s">
        <v>21645</v>
      </c>
      <c r="BF1234" s="2" t="str">
        <f aca="false">HYPERLINK("http://dx.doi.org/10.1111/1469-0691.12015","http://dx.doi.org/10.1111/1469-0691.12015")</f>
        <v>http://dx.doi.org/10.1111/1469-0691.12015</v>
      </c>
      <c r="BG1234" s="2"/>
      <c r="BH1234" s="2"/>
      <c r="BI1234" s="2" t="n">
        <v>6</v>
      </c>
      <c r="BJ1234" s="2" t="s">
        <v>1467</v>
      </c>
      <c r="BK1234" s="2" t="s">
        <v>100</v>
      </c>
      <c r="BL1234" s="2" t="s">
        <v>1467</v>
      </c>
      <c r="BM1234" s="2" t="s">
        <v>21646</v>
      </c>
      <c r="BN1234" s="2" t="n">
        <v>23020634</v>
      </c>
      <c r="BO1234" s="2" t="s">
        <v>165</v>
      </c>
      <c r="BP1234" s="2"/>
      <c r="BQ1234" s="2"/>
      <c r="BR1234" s="2" t="s">
        <v>104</v>
      </c>
      <c r="BS1234" s="2" t="s">
        <v>21647</v>
      </c>
      <c r="BT1234" s="2" t="str">
        <f aca="false">HYPERLINK("https%3A%2F%2Fwww.webofscience.com%2Fwos%2Fwoscc%2Ffull-record%2FWOS:000321761900026","View Full Record in Web of Science")</f>
        <v>View Full Record in Web of Science</v>
      </c>
    </row>
    <row r="1235" customFormat="false" ht="12.75" hidden="false" customHeight="false" outlineLevel="0" collapsed="false">
      <c r="A1235" s="2" t="s">
        <v>72</v>
      </c>
      <c r="B1235" s="2" t="s">
        <v>21648</v>
      </c>
      <c r="C1235" s="2"/>
      <c r="D1235" s="2"/>
      <c r="E1235" s="2"/>
      <c r="F1235" s="2" t="s">
        <v>21649</v>
      </c>
      <c r="G1235" s="2"/>
      <c r="H1235" s="2"/>
      <c r="I1235" s="2" t="s">
        <v>21650</v>
      </c>
      <c r="J1235" s="2" t="s">
        <v>141</v>
      </c>
      <c r="K1235" s="2"/>
      <c r="L1235" s="2"/>
      <c r="M1235" s="2" t="s">
        <v>77</v>
      </c>
      <c r="N1235" s="2" t="s">
        <v>78</v>
      </c>
      <c r="O1235" s="2"/>
      <c r="P1235" s="2"/>
      <c r="Q1235" s="2"/>
      <c r="R1235" s="2"/>
      <c r="S1235" s="2"/>
      <c r="T1235" s="2" t="s">
        <v>21651</v>
      </c>
      <c r="U1235" s="2" t="s">
        <v>21652</v>
      </c>
      <c r="V1235" s="2" t="s">
        <v>21653</v>
      </c>
      <c r="W1235" s="2" t="s">
        <v>21654</v>
      </c>
      <c r="X1235" s="2" t="s">
        <v>21655</v>
      </c>
      <c r="Y1235" s="2" t="s">
        <v>21656</v>
      </c>
      <c r="Z1235" s="2" t="s">
        <v>21657</v>
      </c>
      <c r="AA1235" s="2"/>
      <c r="AB1235" s="2"/>
      <c r="AC1235" s="2" t="s">
        <v>21658</v>
      </c>
      <c r="AD1235" s="2" t="s">
        <v>21659</v>
      </c>
      <c r="AE1235" s="2" t="s">
        <v>21660</v>
      </c>
      <c r="AF1235" s="2"/>
      <c r="AG1235" s="2" t="n">
        <v>35</v>
      </c>
      <c r="AH1235" s="2" t="n">
        <v>23</v>
      </c>
      <c r="AI1235" s="2" t="n">
        <v>31</v>
      </c>
      <c r="AJ1235" s="2" t="n">
        <v>3</v>
      </c>
      <c r="AK1235" s="2" t="n">
        <v>13</v>
      </c>
      <c r="AL1235" s="2" t="s">
        <v>154</v>
      </c>
      <c r="AM1235" s="2" t="s">
        <v>155</v>
      </c>
      <c r="AN1235" s="2" t="s">
        <v>156</v>
      </c>
      <c r="AO1235" s="2" t="s">
        <v>157</v>
      </c>
      <c r="AP1235" s="2" t="s">
        <v>158</v>
      </c>
      <c r="AQ1235" s="2"/>
      <c r="AR1235" s="2" t="s">
        <v>159</v>
      </c>
      <c r="AS1235" s="2" t="s">
        <v>160</v>
      </c>
      <c r="AT1235" s="2" t="s">
        <v>129</v>
      </c>
      <c r="AU1235" s="2" t="n">
        <v>2019</v>
      </c>
      <c r="AV1235" s="2" t="n">
        <v>91</v>
      </c>
      <c r="AW1235" s="2" t="n">
        <v>9</v>
      </c>
      <c r="AX1235" s="2"/>
      <c r="AY1235" s="2"/>
      <c r="AZ1235" s="2"/>
      <c r="BA1235" s="2"/>
      <c r="BB1235" s="2" t="n">
        <v>1625</v>
      </c>
      <c r="BC1235" s="2" t="n">
        <v>1632</v>
      </c>
      <c r="BD1235" s="2"/>
      <c r="BE1235" s="2" t="s">
        <v>21661</v>
      </c>
      <c r="BF1235" s="2" t="str">
        <f aca="false">HYPERLINK("http://dx.doi.org/10.1002/jmv.25499","http://dx.doi.org/10.1002/jmv.25499")</f>
        <v>http://dx.doi.org/10.1002/jmv.25499</v>
      </c>
      <c r="BG1235" s="2"/>
      <c r="BH1235" s="2"/>
      <c r="BI1235" s="2" t="n">
        <v>8</v>
      </c>
      <c r="BJ1235" s="2" t="s">
        <v>163</v>
      </c>
      <c r="BK1235" s="2" t="s">
        <v>100</v>
      </c>
      <c r="BL1235" s="2" t="s">
        <v>163</v>
      </c>
      <c r="BM1235" s="2" t="s">
        <v>18566</v>
      </c>
      <c r="BN1235" s="2" t="n">
        <v>31066075</v>
      </c>
      <c r="BO1235" s="2" t="s">
        <v>1267</v>
      </c>
      <c r="BP1235" s="2"/>
      <c r="BQ1235" s="2"/>
      <c r="BR1235" s="2" t="s">
        <v>104</v>
      </c>
      <c r="BS1235" s="2" t="s">
        <v>21662</v>
      </c>
      <c r="BT1235" s="2" t="str">
        <f aca="false">HYPERLINK("https%3A%2F%2Fwww.webofscience.com%2Fwos%2Fwoscc%2Ffull-record%2FWOS:000481450500007","View Full Record in Web of Science")</f>
        <v>View Full Record in Web of Science</v>
      </c>
    </row>
    <row r="1236" customFormat="false" ht="12.75" hidden="false" customHeight="false" outlineLevel="0" collapsed="false">
      <c r="A1236" s="2" t="s">
        <v>72</v>
      </c>
      <c r="B1236" s="2" t="s">
        <v>21663</v>
      </c>
      <c r="C1236" s="2"/>
      <c r="D1236" s="2"/>
      <c r="E1236" s="2"/>
      <c r="F1236" s="2" t="s">
        <v>21664</v>
      </c>
      <c r="G1236" s="2"/>
      <c r="H1236" s="2"/>
      <c r="I1236" s="2" t="s">
        <v>21665</v>
      </c>
      <c r="J1236" s="2" t="s">
        <v>8924</v>
      </c>
      <c r="K1236" s="2"/>
      <c r="L1236" s="2"/>
      <c r="M1236" s="2" t="s">
        <v>77</v>
      </c>
      <c r="N1236" s="2" t="s">
        <v>78</v>
      </c>
      <c r="O1236" s="2"/>
      <c r="P1236" s="2"/>
      <c r="Q1236" s="2"/>
      <c r="R1236" s="2"/>
      <c r="S1236" s="2"/>
      <c r="T1236" s="2" t="s">
        <v>21666</v>
      </c>
      <c r="U1236" s="2" t="s">
        <v>21667</v>
      </c>
      <c r="V1236" s="2" t="s">
        <v>21668</v>
      </c>
      <c r="W1236" s="2" t="s">
        <v>21669</v>
      </c>
      <c r="X1236" s="2" t="s">
        <v>21670</v>
      </c>
      <c r="Y1236" s="2" t="s">
        <v>21671</v>
      </c>
      <c r="Z1236" s="2" t="s">
        <v>21672</v>
      </c>
      <c r="AA1236" s="2" t="s">
        <v>21673</v>
      </c>
      <c r="AB1236" s="2"/>
      <c r="AC1236" s="2" t="s">
        <v>21674</v>
      </c>
      <c r="AD1236" s="2" t="s">
        <v>21675</v>
      </c>
      <c r="AE1236" s="2" t="s">
        <v>21676</v>
      </c>
      <c r="AF1236" s="2"/>
      <c r="AG1236" s="2" t="n">
        <v>32</v>
      </c>
      <c r="AH1236" s="2" t="n">
        <v>7</v>
      </c>
      <c r="AI1236" s="2" t="n">
        <v>8</v>
      </c>
      <c r="AJ1236" s="2" t="n">
        <v>0</v>
      </c>
      <c r="AK1236" s="2" t="n">
        <v>3</v>
      </c>
      <c r="AL1236" s="2" t="s">
        <v>8933</v>
      </c>
      <c r="AM1236" s="2" t="s">
        <v>1345</v>
      </c>
      <c r="AN1236" s="2" t="s">
        <v>8934</v>
      </c>
      <c r="AO1236" s="2" t="s">
        <v>8935</v>
      </c>
      <c r="AP1236" s="2" t="s">
        <v>8936</v>
      </c>
      <c r="AQ1236" s="2"/>
      <c r="AR1236" s="2" t="s">
        <v>8937</v>
      </c>
      <c r="AS1236" s="2" t="s">
        <v>8938</v>
      </c>
      <c r="AT1236" s="2" t="s">
        <v>1041</v>
      </c>
      <c r="AU1236" s="2" t="n">
        <v>2013</v>
      </c>
      <c r="AV1236" s="2" t="n">
        <v>80</v>
      </c>
      <c r="AW1236" s="2" t="n">
        <v>2</v>
      </c>
      <c r="AX1236" s="2"/>
      <c r="AY1236" s="2"/>
      <c r="AZ1236" s="2"/>
      <c r="BA1236" s="2"/>
      <c r="BB1236" s="2" t="n">
        <v>91</v>
      </c>
      <c r="BC1236" s="2" t="n">
        <v>96</v>
      </c>
      <c r="BD1236" s="2"/>
      <c r="BE1236" s="2" t="s">
        <v>21677</v>
      </c>
      <c r="BF1236" s="2" t="str">
        <f aca="false">HYPERLINK("http://dx.doi.org/10.1007/s12098-012-0880-z","http://dx.doi.org/10.1007/s12098-012-0880-z")</f>
        <v>http://dx.doi.org/10.1007/s12098-012-0880-z</v>
      </c>
      <c r="BG1236" s="2"/>
      <c r="BH1236" s="2"/>
      <c r="BI1236" s="2" t="n">
        <v>6</v>
      </c>
      <c r="BJ1236" s="2" t="s">
        <v>601</v>
      </c>
      <c r="BK1236" s="2" t="s">
        <v>100</v>
      </c>
      <c r="BL1236" s="2" t="s">
        <v>601</v>
      </c>
      <c r="BM1236" s="2" t="s">
        <v>21678</v>
      </c>
      <c r="BN1236" s="2" t="n">
        <v>23054853</v>
      </c>
      <c r="BO1236" s="2" t="s">
        <v>1267</v>
      </c>
      <c r="BP1236" s="2"/>
      <c r="BQ1236" s="2"/>
      <c r="BR1236" s="2" t="s">
        <v>104</v>
      </c>
      <c r="BS1236" s="2" t="s">
        <v>21679</v>
      </c>
      <c r="BT1236" s="2" t="str">
        <f aca="false">HYPERLINK("https%3A%2F%2Fwww.webofscience.com%2Fwos%2Fwoscc%2Ffull-record%2FWOS:000316336800001","View Full Record in Web of Science")</f>
        <v>View Full Record in Web of Science</v>
      </c>
    </row>
    <row r="1237" customFormat="false" ht="12.75" hidden="false" customHeight="false" outlineLevel="0" collapsed="false">
      <c r="A1237" s="2" t="s">
        <v>72</v>
      </c>
      <c r="B1237" s="2" t="s">
        <v>21680</v>
      </c>
      <c r="C1237" s="2"/>
      <c r="D1237" s="2"/>
      <c r="E1237" s="2"/>
      <c r="F1237" s="2" t="s">
        <v>21681</v>
      </c>
      <c r="G1237" s="2"/>
      <c r="H1237" s="2"/>
      <c r="I1237" s="2" t="s">
        <v>21682</v>
      </c>
      <c r="J1237" s="2" t="s">
        <v>21683</v>
      </c>
      <c r="K1237" s="2"/>
      <c r="L1237" s="2"/>
      <c r="M1237" s="2" t="s">
        <v>77</v>
      </c>
      <c r="N1237" s="2" t="s">
        <v>78</v>
      </c>
      <c r="O1237" s="2"/>
      <c r="P1237" s="2"/>
      <c r="Q1237" s="2"/>
      <c r="R1237" s="2"/>
      <c r="S1237" s="2"/>
      <c r="T1237" s="2" t="s">
        <v>21684</v>
      </c>
      <c r="U1237" s="2" t="s">
        <v>21685</v>
      </c>
      <c r="V1237" s="2" t="s">
        <v>21686</v>
      </c>
      <c r="W1237" s="2" t="s">
        <v>21687</v>
      </c>
      <c r="X1237" s="2" t="s">
        <v>21688</v>
      </c>
      <c r="Y1237" s="2" t="s">
        <v>21689</v>
      </c>
      <c r="Z1237" s="2" t="s">
        <v>21690</v>
      </c>
      <c r="AA1237" s="2" t="s">
        <v>21691</v>
      </c>
      <c r="AB1237" s="2" t="s">
        <v>21692</v>
      </c>
      <c r="AC1237" s="2" t="s">
        <v>21693</v>
      </c>
      <c r="AD1237" s="2" t="s">
        <v>21693</v>
      </c>
      <c r="AE1237" s="2" t="s">
        <v>21694</v>
      </c>
      <c r="AF1237" s="2"/>
      <c r="AG1237" s="2" t="n">
        <v>54</v>
      </c>
      <c r="AH1237" s="2" t="n">
        <v>11</v>
      </c>
      <c r="AI1237" s="2" t="n">
        <v>11</v>
      </c>
      <c r="AJ1237" s="2" t="n">
        <v>1</v>
      </c>
      <c r="AK1237" s="2" t="n">
        <v>10</v>
      </c>
      <c r="AL1237" s="2" t="s">
        <v>2533</v>
      </c>
      <c r="AM1237" s="2" t="s">
        <v>123</v>
      </c>
      <c r="AN1237" s="2" t="s">
        <v>2534</v>
      </c>
      <c r="AO1237" s="2" t="s">
        <v>21695</v>
      </c>
      <c r="AP1237" s="2" t="s">
        <v>21696</v>
      </c>
      <c r="AQ1237" s="2"/>
      <c r="AR1237" s="2" t="s">
        <v>21697</v>
      </c>
      <c r="AS1237" s="2" t="s">
        <v>21698</v>
      </c>
      <c r="AT1237" s="2" t="s">
        <v>9432</v>
      </c>
      <c r="AU1237" s="2" t="n">
        <v>2019</v>
      </c>
      <c r="AV1237" s="2" t="n">
        <v>36</v>
      </c>
      <c r="AW1237" s="2" t="n">
        <v>3</v>
      </c>
      <c r="AX1237" s="2"/>
      <c r="AY1237" s="2"/>
      <c r="AZ1237" s="2"/>
      <c r="BA1237" s="2"/>
      <c r="BB1237" s="2" t="n">
        <v>173</v>
      </c>
      <c r="BC1237" s="2" t="n">
        <v>186</v>
      </c>
      <c r="BD1237" s="2"/>
      <c r="BE1237" s="2" t="s">
        <v>21699</v>
      </c>
      <c r="BF1237" s="2" t="str">
        <f aca="false">HYPERLINK("http://dx.doi.org/10.1080/08880018.2019.1613462","http://dx.doi.org/10.1080/08880018.2019.1613462")</f>
        <v>http://dx.doi.org/10.1080/08880018.2019.1613462</v>
      </c>
      <c r="BG1237" s="2"/>
      <c r="BH1237" s="2" t="s">
        <v>21700</v>
      </c>
      <c r="BI1237" s="2" t="n">
        <v>14</v>
      </c>
      <c r="BJ1237" s="2" t="s">
        <v>1128</v>
      </c>
      <c r="BK1237" s="2" t="s">
        <v>100</v>
      </c>
      <c r="BL1237" s="2" t="s">
        <v>1128</v>
      </c>
      <c r="BM1237" s="2" t="s">
        <v>21701</v>
      </c>
      <c r="BN1237" s="2" t="n">
        <v>31215284</v>
      </c>
      <c r="BO1237" s="2" t="s">
        <v>656</v>
      </c>
      <c r="BP1237" s="2"/>
      <c r="BQ1237" s="2"/>
      <c r="BR1237" s="2" t="s">
        <v>104</v>
      </c>
      <c r="BS1237" s="2" t="s">
        <v>21702</v>
      </c>
      <c r="BT1237" s="2" t="str">
        <f aca="false">HYPERLINK("https%3A%2F%2Fwww.webofscience.com%2Fwos%2Fwoscc%2Ffull-record%2FWOS:000475234600001","View Full Record in Web of Science")</f>
        <v>View Full Record in Web of Science</v>
      </c>
    </row>
    <row r="1238" customFormat="false" ht="12.75" hidden="false" customHeight="false" outlineLevel="0" collapsed="false">
      <c r="A1238" s="2" t="s">
        <v>72</v>
      </c>
      <c r="B1238" s="2" t="s">
        <v>21703</v>
      </c>
      <c r="C1238" s="2"/>
      <c r="D1238" s="2"/>
      <c r="E1238" s="2"/>
      <c r="F1238" s="2" t="s">
        <v>21704</v>
      </c>
      <c r="G1238" s="2"/>
      <c r="H1238" s="2"/>
      <c r="I1238" s="2" t="s">
        <v>21705</v>
      </c>
      <c r="J1238" s="2" t="s">
        <v>7060</v>
      </c>
      <c r="K1238" s="2"/>
      <c r="L1238" s="2"/>
      <c r="M1238" s="2" t="s">
        <v>77</v>
      </c>
      <c r="N1238" s="2" t="s">
        <v>78</v>
      </c>
      <c r="O1238" s="2"/>
      <c r="P1238" s="2"/>
      <c r="Q1238" s="2"/>
      <c r="R1238" s="2"/>
      <c r="S1238" s="2"/>
      <c r="T1238" s="2" t="s">
        <v>21706</v>
      </c>
      <c r="U1238" s="2" t="s">
        <v>21707</v>
      </c>
      <c r="V1238" s="2" t="s">
        <v>21708</v>
      </c>
      <c r="W1238" s="2" t="s">
        <v>21709</v>
      </c>
      <c r="X1238" s="2" t="s">
        <v>21710</v>
      </c>
      <c r="Y1238" s="2" t="s">
        <v>21711</v>
      </c>
      <c r="Z1238" s="2" t="s">
        <v>21712</v>
      </c>
      <c r="AA1238" s="2" t="s">
        <v>21713</v>
      </c>
      <c r="AB1238" s="2" t="s">
        <v>21714</v>
      </c>
      <c r="AC1238" s="2" t="s">
        <v>21715</v>
      </c>
      <c r="AD1238" s="2" t="s">
        <v>21716</v>
      </c>
      <c r="AE1238" s="2" t="s">
        <v>21717</v>
      </c>
      <c r="AF1238" s="2"/>
      <c r="AG1238" s="2" t="n">
        <v>40</v>
      </c>
      <c r="AH1238" s="2" t="n">
        <v>127</v>
      </c>
      <c r="AI1238" s="2" t="n">
        <v>139</v>
      </c>
      <c r="AJ1238" s="2" t="n">
        <v>2</v>
      </c>
      <c r="AK1238" s="2" t="n">
        <v>13</v>
      </c>
      <c r="AL1238" s="2" t="s">
        <v>7073</v>
      </c>
      <c r="AM1238" s="2" t="s">
        <v>7074</v>
      </c>
      <c r="AN1238" s="2" t="s">
        <v>7075</v>
      </c>
      <c r="AO1238" s="2" t="s">
        <v>7076</v>
      </c>
      <c r="AP1238" s="2" t="s">
        <v>7291</v>
      </c>
      <c r="AQ1238" s="2"/>
      <c r="AR1238" s="2" t="s">
        <v>7060</v>
      </c>
      <c r="AS1238" s="2" t="s">
        <v>601</v>
      </c>
      <c r="AT1238" s="2" t="s">
        <v>97</v>
      </c>
      <c r="AU1238" s="2" t="n">
        <v>2014</v>
      </c>
      <c r="AV1238" s="2" t="n">
        <v>133</v>
      </c>
      <c r="AW1238" s="2" t="n">
        <v>3</v>
      </c>
      <c r="AX1238" s="2"/>
      <c r="AY1238" s="2"/>
      <c r="AZ1238" s="2"/>
      <c r="BA1238" s="2"/>
      <c r="BB1238" s="2" t="s">
        <v>21718</v>
      </c>
      <c r="BC1238" s="2" t="s">
        <v>21719</v>
      </c>
      <c r="BD1238" s="2"/>
      <c r="BE1238" s="2" t="s">
        <v>21720</v>
      </c>
      <c r="BF1238" s="2" t="str">
        <f aca="false">HYPERLINK("http://dx.doi.org/10.1542/peds.2013-3042","http://dx.doi.org/10.1542/peds.2013-3042")</f>
        <v>http://dx.doi.org/10.1542/peds.2013-3042</v>
      </c>
      <c r="BG1238" s="2"/>
      <c r="BH1238" s="2"/>
      <c r="BI1238" s="2" t="n">
        <v>8</v>
      </c>
      <c r="BJ1238" s="2" t="s">
        <v>601</v>
      </c>
      <c r="BK1238" s="2" t="s">
        <v>100</v>
      </c>
      <c r="BL1238" s="2" t="s">
        <v>601</v>
      </c>
      <c r="BM1238" s="2" t="s">
        <v>13453</v>
      </c>
      <c r="BN1238" s="2" t="n">
        <v>24567027</v>
      </c>
      <c r="BO1238" s="2"/>
      <c r="BP1238" s="2"/>
      <c r="BQ1238" s="2"/>
      <c r="BR1238" s="2" t="s">
        <v>104</v>
      </c>
      <c r="BS1238" s="2" t="s">
        <v>21721</v>
      </c>
      <c r="BT1238" s="2" t="str">
        <f aca="false">HYPERLINK("https%3A%2F%2Fwww.webofscience.com%2Fwos%2Fwoscc%2Ffull-record%2FWOS:000335330700031","View Full Record in Web of Science")</f>
        <v>View Full Record in Web of Science</v>
      </c>
    </row>
    <row r="1239" customFormat="false" ht="12.75" hidden="false" customHeight="false" outlineLevel="0" collapsed="false">
      <c r="A1239" s="2" t="s">
        <v>72</v>
      </c>
      <c r="B1239" s="2" t="s">
        <v>21722</v>
      </c>
      <c r="C1239" s="2"/>
      <c r="D1239" s="2"/>
      <c r="E1239" s="2"/>
      <c r="F1239" s="2" t="s">
        <v>21723</v>
      </c>
      <c r="G1239" s="2"/>
      <c r="H1239" s="2"/>
      <c r="I1239" s="2" t="s">
        <v>21724</v>
      </c>
      <c r="J1239" s="2" t="s">
        <v>21725</v>
      </c>
      <c r="K1239" s="2"/>
      <c r="L1239" s="2"/>
      <c r="M1239" s="2" t="s">
        <v>77</v>
      </c>
      <c r="N1239" s="2" t="s">
        <v>78</v>
      </c>
      <c r="O1239" s="2"/>
      <c r="P1239" s="2"/>
      <c r="Q1239" s="2"/>
      <c r="R1239" s="2"/>
      <c r="S1239" s="2"/>
      <c r="T1239" s="2" t="s">
        <v>21726</v>
      </c>
      <c r="U1239" s="2" t="s">
        <v>21727</v>
      </c>
      <c r="V1239" s="2" t="s">
        <v>21728</v>
      </c>
      <c r="W1239" s="2" t="s">
        <v>21729</v>
      </c>
      <c r="X1239" s="2" t="s">
        <v>21730</v>
      </c>
      <c r="Y1239" s="2" t="s">
        <v>21731</v>
      </c>
      <c r="Z1239" s="2" t="s">
        <v>21732</v>
      </c>
      <c r="AA1239" s="2" t="s">
        <v>21733</v>
      </c>
      <c r="AB1239" s="2"/>
      <c r="AC1239" s="2"/>
      <c r="AD1239" s="2"/>
      <c r="AE1239" s="2"/>
      <c r="AF1239" s="2"/>
      <c r="AG1239" s="2" t="n">
        <v>33</v>
      </c>
      <c r="AH1239" s="2" t="n">
        <v>4</v>
      </c>
      <c r="AI1239" s="2" t="n">
        <v>4</v>
      </c>
      <c r="AJ1239" s="2" t="n">
        <v>0</v>
      </c>
      <c r="AK1239" s="2" t="n">
        <v>1</v>
      </c>
      <c r="AL1239" s="2" t="s">
        <v>21734</v>
      </c>
      <c r="AM1239" s="2" t="s">
        <v>21735</v>
      </c>
      <c r="AN1239" s="2" t="s">
        <v>21736</v>
      </c>
      <c r="AO1239" s="2"/>
      <c r="AP1239" s="2" t="s">
        <v>21737</v>
      </c>
      <c r="AQ1239" s="2"/>
      <c r="AR1239" s="2" t="s">
        <v>21738</v>
      </c>
      <c r="AS1239" s="2" t="s">
        <v>21739</v>
      </c>
      <c r="AT1239" s="2" t="s">
        <v>21740</v>
      </c>
      <c r="AU1239" s="2" t="n">
        <v>2019</v>
      </c>
      <c r="AV1239" s="2" t="n">
        <v>11</v>
      </c>
      <c r="AW1239" s="2"/>
      <c r="AX1239" s="2"/>
      <c r="AY1239" s="2"/>
      <c r="AZ1239" s="2"/>
      <c r="BA1239" s="2"/>
      <c r="BB1239" s="2"/>
      <c r="BC1239" s="2"/>
      <c r="BD1239" s="2" t="s">
        <v>21741</v>
      </c>
      <c r="BE1239" s="2" t="s">
        <v>21742</v>
      </c>
      <c r="BF1239" s="2" t="str">
        <f aca="false">HYPERLINK("http://dx.doi.org/10.4084/MJHID.2019.059","http://dx.doi.org/10.4084/MJHID.2019.059")</f>
        <v>http://dx.doi.org/10.4084/MJHID.2019.059</v>
      </c>
      <c r="BG1239" s="2"/>
      <c r="BH1239" s="2"/>
      <c r="BI1239" s="2" t="n">
        <v>7</v>
      </c>
      <c r="BJ1239" s="2" t="s">
        <v>21743</v>
      </c>
      <c r="BK1239" s="2" t="s">
        <v>100</v>
      </c>
      <c r="BL1239" s="2" t="s">
        <v>21743</v>
      </c>
      <c r="BM1239" s="2" t="s">
        <v>21744</v>
      </c>
      <c r="BN1239" s="2" t="n">
        <v>31700584</v>
      </c>
      <c r="BO1239" s="2" t="s">
        <v>190</v>
      </c>
      <c r="BP1239" s="2"/>
      <c r="BQ1239" s="2"/>
      <c r="BR1239" s="2" t="s">
        <v>104</v>
      </c>
      <c r="BS1239" s="2" t="s">
        <v>21745</v>
      </c>
      <c r="BT1239" s="2" t="str">
        <f aca="false">HYPERLINK("https%3A%2F%2Fwww.webofscience.com%2Fwos%2Fwoscc%2Ffull-record%2FWOS:000500247200002","View Full Record in Web of Science")</f>
        <v>View Full Record in Web of Science</v>
      </c>
    </row>
    <row r="1240" customFormat="false" ht="12.75" hidden="false" customHeight="false" outlineLevel="0" collapsed="false">
      <c r="A1240" s="2" t="s">
        <v>72</v>
      </c>
      <c r="B1240" s="2" t="s">
        <v>21746</v>
      </c>
      <c r="C1240" s="2"/>
      <c r="D1240" s="2"/>
      <c r="E1240" s="2"/>
      <c r="F1240" s="2" t="s">
        <v>21747</v>
      </c>
      <c r="G1240" s="2"/>
      <c r="H1240" s="2"/>
      <c r="I1240" s="2" t="s">
        <v>21748</v>
      </c>
      <c r="J1240" s="2" t="s">
        <v>6395</v>
      </c>
      <c r="K1240" s="2"/>
      <c r="L1240" s="2"/>
      <c r="M1240" s="2" t="s">
        <v>77</v>
      </c>
      <c r="N1240" s="2" t="s">
        <v>78</v>
      </c>
      <c r="O1240" s="2"/>
      <c r="P1240" s="2"/>
      <c r="Q1240" s="2"/>
      <c r="R1240" s="2"/>
      <c r="S1240" s="2"/>
      <c r="T1240" s="2" t="s">
        <v>21749</v>
      </c>
      <c r="U1240" s="2"/>
      <c r="V1240" s="2" t="s">
        <v>21750</v>
      </c>
      <c r="W1240" s="2" t="s">
        <v>21751</v>
      </c>
      <c r="X1240" s="2"/>
      <c r="Y1240" s="2" t="s">
        <v>21752</v>
      </c>
      <c r="Z1240" s="2" t="s">
        <v>21753</v>
      </c>
      <c r="AA1240" s="2"/>
      <c r="AB1240" s="2"/>
      <c r="AC1240" s="2" t="s">
        <v>21754</v>
      </c>
      <c r="AD1240" s="2" t="s">
        <v>21755</v>
      </c>
      <c r="AE1240" s="2" t="s">
        <v>3970</v>
      </c>
      <c r="AF1240" s="2"/>
      <c r="AG1240" s="2" t="n">
        <v>26</v>
      </c>
      <c r="AH1240" s="2" t="n">
        <v>1</v>
      </c>
      <c r="AI1240" s="2" t="n">
        <v>1</v>
      </c>
      <c r="AJ1240" s="2" t="n">
        <v>5</v>
      </c>
      <c r="AK1240" s="2" t="n">
        <v>5</v>
      </c>
      <c r="AL1240" s="2" t="s">
        <v>6405</v>
      </c>
      <c r="AM1240" s="2" t="s">
        <v>6406</v>
      </c>
      <c r="AN1240" s="2" t="s">
        <v>6407</v>
      </c>
      <c r="AO1240" s="2" t="s">
        <v>6408</v>
      </c>
      <c r="AP1240" s="2"/>
      <c r="AQ1240" s="2"/>
      <c r="AR1240" s="2" t="s">
        <v>6409</v>
      </c>
      <c r="AS1240" s="2" t="s">
        <v>6410</v>
      </c>
      <c r="AT1240" s="2" t="s">
        <v>4483</v>
      </c>
      <c r="AU1240" s="2" t="n">
        <v>2024</v>
      </c>
      <c r="AV1240" s="2" t="n">
        <v>14</v>
      </c>
      <c r="AW1240" s="2" t="n">
        <v>1</v>
      </c>
      <c r="AX1240" s="2"/>
      <c r="AY1240" s="2"/>
      <c r="AZ1240" s="2"/>
      <c r="BA1240" s="2"/>
      <c r="BB1240" s="2"/>
      <c r="BC1240" s="2"/>
      <c r="BD1240" s="2" t="n">
        <v>16299</v>
      </c>
      <c r="BE1240" s="2" t="s">
        <v>21756</v>
      </c>
      <c r="BF1240" s="2" t="str">
        <f aca="false">HYPERLINK("http://dx.doi.org/10.1038/s41598-024-65006-3","http://dx.doi.org/10.1038/s41598-024-65006-3")</f>
        <v>http://dx.doi.org/10.1038/s41598-024-65006-3</v>
      </c>
      <c r="BG1240" s="2"/>
      <c r="BH1240" s="2"/>
      <c r="BI1240" s="2" t="n">
        <v>10</v>
      </c>
      <c r="BJ1240" s="2" t="s">
        <v>1658</v>
      </c>
      <c r="BK1240" s="2" t="s">
        <v>100</v>
      </c>
      <c r="BL1240" s="2" t="s">
        <v>1659</v>
      </c>
      <c r="BM1240" s="2" t="s">
        <v>21757</v>
      </c>
      <c r="BN1240" s="2" t="n">
        <v>39009660</v>
      </c>
      <c r="BO1240" s="2" t="s">
        <v>103</v>
      </c>
      <c r="BP1240" s="2"/>
      <c r="BQ1240" s="2"/>
      <c r="BR1240" s="2" t="s">
        <v>104</v>
      </c>
      <c r="BS1240" s="2" t="s">
        <v>21758</v>
      </c>
      <c r="BT1240" s="2" t="str">
        <f aca="false">HYPERLINK("https%3A%2F%2Fwww.webofscience.com%2Fwos%2Fwoscc%2Ffull-record%2FWOS:001272561200012","View Full Record in Web of Science")</f>
        <v>View Full Record in Web of Science</v>
      </c>
    </row>
    <row r="1241" customFormat="false" ht="12.75" hidden="false" customHeight="false" outlineLevel="0" collapsed="false">
      <c r="A1241" s="2" t="s">
        <v>72</v>
      </c>
      <c r="B1241" s="2" t="s">
        <v>21759</v>
      </c>
      <c r="C1241" s="2"/>
      <c r="D1241" s="2"/>
      <c r="E1241" s="2"/>
      <c r="F1241" s="2" t="s">
        <v>21760</v>
      </c>
      <c r="G1241" s="2"/>
      <c r="H1241" s="2"/>
      <c r="I1241" s="2" t="s">
        <v>21761</v>
      </c>
      <c r="J1241" s="2" t="s">
        <v>8664</v>
      </c>
      <c r="K1241" s="2"/>
      <c r="L1241" s="2"/>
      <c r="M1241" s="2" t="s">
        <v>77</v>
      </c>
      <c r="N1241" s="2" t="s">
        <v>78</v>
      </c>
      <c r="O1241" s="2"/>
      <c r="P1241" s="2"/>
      <c r="Q1241" s="2"/>
      <c r="R1241" s="2"/>
      <c r="S1241" s="2"/>
      <c r="T1241" s="2" t="s">
        <v>21762</v>
      </c>
      <c r="U1241" s="2" t="s">
        <v>21763</v>
      </c>
      <c r="V1241" s="2" t="s">
        <v>21764</v>
      </c>
      <c r="W1241" s="2" t="s">
        <v>21765</v>
      </c>
      <c r="X1241" s="2" t="s">
        <v>6324</v>
      </c>
      <c r="Y1241" s="2" t="s">
        <v>21766</v>
      </c>
      <c r="Z1241" s="2" t="s">
        <v>21767</v>
      </c>
      <c r="AA1241" s="2" t="s">
        <v>21768</v>
      </c>
      <c r="AB1241" s="2" t="s">
        <v>21769</v>
      </c>
      <c r="AC1241" s="2"/>
      <c r="AD1241" s="2"/>
      <c r="AE1241" s="2"/>
      <c r="AF1241" s="2"/>
      <c r="AG1241" s="2" t="n">
        <v>30</v>
      </c>
      <c r="AH1241" s="2" t="n">
        <v>1</v>
      </c>
      <c r="AI1241" s="2" t="n">
        <v>1</v>
      </c>
      <c r="AJ1241" s="2" t="n">
        <v>0</v>
      </c>
      <c r="AK1241" s="2" t="n">
        <v>5</v>
      </c>
      <c r="AL1241" s="2" t="s">
        <v>154</v>
      </c>
      <c r="AM1241" s="2" t="s">
        <v>155</v>
      </c>
      <c r="AN1241" s="2" t="s">
        <v>156</v>
      </c>
      <c r="AO1241" s="2" t="s">
        <v>8673</v>
      </c>
      <c r="AP1241" s="2" t="s">
        <v>8674</v>
      </c>
      <c r="AQ1241" s="2"/>
      <c r="AR1241" s="2" t="s">
        <v>8675</v>
      </c>
      <c r="AS1241" s="2" t="s">
        <v>8676</v>
      </c>
      <c r="AT1241" s="2" t="s">
        <v>161</v>
      </c>
      <c r="AU1241" s="2" t="n">
        <v>2022</v>
      </c>
      <c r="AV1241" s="2" t="n">
        <v>64</v>
      </c>
      <c r="AW1241" s="2" t="n">
        <v>1</v>
      </c>
      <c r="AX1241" s="2"/>
      <c r="AY1241" s="2"/>
      <c r="AZ1241" s="2"/>
      <c r="BA1241" s="2"/>
      <c r="BB1241" s="2"/>
      <c r="BC1241" s="2"/>
      <c r="BD1241" s="2" t="s">
        <v>21770</v>
      </c>
      <c r="BE1241" s="2" t="s">
        <v>21771</v>
      </c>
      <c r="BF1241" s="2" t="str">
        <f aca="false">HYPERLINK("http://dx.doi.org/10.1111/ped.15102","http://dx.doi.org/10.1111/ped.15102")</f>
        <v>http://dx.doi.org/10.1111/ped.15102</v>
      </c>
      <c r="BG1241" s="2"/>
      <c r="BH1241" s="2"/>
      <c r="BI1241" s="2" t="n">
        <v>9</v>
      </c>
      <c r="BJ1241" s="2" t="s">
        <v>601</v>
      </c>
      <c r="BK1241" s="2" t="s">
        <v>100</v>
      </c>
      <c r="BL1241" s="2" t="s">
        <v>601</v>
      </c>
      <c r="BM1241" s="2" t="s">
        <v>21772</v>
      </c>
      <c r="BN1241" s="2" t="n">
        <v>35616205</v>
      </c>
      <c r="BO1241" s="2"/>
      <c r="BP1241" s="2"/>
      <c r="BQ1241" s="2"/>
      <c r="BR1241" s="2" t="s">
        <v>104</v>
      </c>
      <c r="BS1241" s="2" t="s">
        <v>21773</v>
      </c>
      <c r="BT1241" s="2" t="str">
        <f aca="false">HYPERLINK("https%3A%2F%2Fwww.webofscience.com%2Fwos%2Fwoscc%2Ffull-record%2FWOS:000800201400001","View Full Record in Web of Science")</f>
        <v>View Full Record in Web of Science</v>
      </c>
    </row>
    <row r="1242" customFormat="false" ht="12.75" hidden="false" customHeight="false" outlineLevel="0" collapsed="false">
      <c r="A1242" s="2" t="s">
        <v>72</v>
      </c>
      <c r="B1242" s="2" t="s">
        <v>21774</v>
      </c>
      <c r="C1242" s="2"/>
      <c r="D1242" s="2"/>
      <c r="E1242" s="2"/>
      <c r="F1242" s="2" t="s">
        <v>21775</v>
      </c>
      <c r="G1242" s="2"/>
      <c r="H1242" s="2"/>
      <c r="I1242" s="2" t="s">
        <v>21776</v>
      </c>
      <c r="J1242" s="2" t="s">
        <v>19145</v>
      </c>
      <c r="K1242" s="2"/>
      <c r="L1242" s="2"/>
      <c r="M1242" s="2" t="s">
        <v>77</v>
      </c>
      <c r="N1242" s="2" t="s">
        <v>78</v>
      </c>
      <c r="O1242" s="2"/>
      <c r="P1242" s="2"/>
      <c r="Q1242" s="2"/>
      <c r="R1242" s="2"/>
      <c r="S1242" s="2"/>
      <c r="T1242" s="2" t="s">
        <v>21777</v>
      </c>
      <c r="U1242" s="2" t="s">
        <v>21778</v>
      </c>
      <c r="V1242" s="2" t="s">
        <v>21779</v>
      </c>
      <c r="W1242" s="2" t="s">
        <v>21780</v>
      </c>
      <c r="X1242" s="2" t="s">
        <v>21781</v>
      </c>
      <c r="Y1242" s="2" t="s">
        <v>21782</v>
      </c>
      <c r="Z1242" s="2" t="s">
        <v>21783</v>
      </c>
      <c r="AA1242" s="2" t="s">
        <v>21784</v>
      </c>
      <c r="AB1242" s="2" t="s">
        <v>21785</v>
      </c>
      <c r="AC1242" s="2" t="s">
        <v>21786</v>
      </c>
      <c r="AD1242" s="2" t="s">
        <v>21787</v>
      </c>
      <c r="AE1242" s="2" t="s">
        <v>21788</v>
      </c>
      <c r="AF1242" s="2"/>
      <c r="AG1242" s="2" t="n">
        <v>80</v>
      </c>
      <c r="AH1242" s="2" t="n">
        <v>49</v>
      </c>
      <c r="AI1242" s="2" t="n">
        <v>61</v>
      </c>
      <c r="AJ1242" s="2" t="n">
        <v>0</v>
      </c>
      <c r="AK1242" s="2" t="n">
        <v>10</v>
      </c>
      <c r="AL1242" s="2" t="s">
        <v>13712</v>
      </c>
      <c r="AM1242" s="2" t="s">
        <v>303</v>
      </c>
      <c r="AN1242" s="2" t="s">
        <v>13713</v>
      </c>
      <c r="AO1242" s="2" t="s">
        <v>19158</v>
      </c>
      <c r="AP1242" s="2" t="s">
        <v>19159</v>
      </c>
      <c r="AQ1242" s="2"/>
      <c r="AR1242" s="2" t="s">
        <v>19160</v>
      </c>
      <c r="AS1242" s="2" t="s">
        <v>19161</v>
      </c>
      <c r="AT1242" s="2" t="s">
        <v>1041</v>
      </c>
      <c r="AU1242" s="2" t="n">
        <v>2011</v>
      </c>
      <c r="AV1242" s="2" t="n">
        <v>6</v>
      </c>
      <c r="AW1242" s="2" t="n">
        <v>2</v>
      </c>
      <c r="AX1242" s="2"/>
      <c r="AY1242" s="2"/>
      <c r="AZ1242" s="2"/>
      <c r="BA1242" s="2"/>
      <c r="BB1242" s="2" t="n">
        <v>153</v>
      </c>
      <c r="BC1242" s="2" t="n">
        <v>159</v>
      </c>
      <c r="BD1242" s="2"/>
      <c r="BE1242" s="2" t="s">
        <v>21789</v>
      </c>
      <c r="BF1242" s="2" t="str">
        <f aca="false">HYPERLINK("http://dx.doi.org/10.2217/FMB.10.166","http://dx.doi.org/10.2217/FMB.10.166")</f>
        <v>http://dx.doi.org/10.2217/FMB.10.166</v>
      </c>
      <c r="BG1242" s="2"/>
      <c r="BH1242" s="2"/>
      <c r="BI1242" s="2" t="n">
        <v>7</v>
      </c>
      <c r="BJ1242" s="2" t="s">
        <v>211</v>
      </c>
      <c r="BK1242" s="2" t="s">
        <v>100</v>
      </c>
      <c r="BL1242" s="2" t="s">
        <v>211</v>
      </c>
      <c r="BM1242" s="2" t="s">
        <v>21790</v>
      </c>
      <c r="BN1242" s="2" t="n">
        <v>21366416</v>
      </c>
      <c r="BO1242" s="2" t="s">
        <v>165</v>
      </c>
      <c r="BP1242" s="2"/>
      <c r="BQ1242" s="2"/>
      <c r="BR1242" s="2" t="s">
        <v>104</v>
      </c>
      <c r="BS1242" s="2" t="s">
        <v>21791</v>
      </c>
      <c r="BT1242" s="2" t="str">
        <f aca="false">HYPERLINK("https%3A%2F%2Fwww.webofscience.com%2Fwos%2Fwoscc%2Ffull-record%2FWOS:000288588800010","View Full Record in Web of Science")</f>
        <v>View Full Record in Web of Science</v>
      </c>
    </row>
    <row r="1243" customFormat="false" ht="12.75" hidden="false" customHeight="false" outlineLevel="0" collapsed="false">
      <c r="A1243" s="2" t="s">
        <v>72</v>
      </c>
      <c r="B1243" s="2" t="s">
        <v>21792</v>
      </c>
      <c r="C1243" s="2"/>
      <c r="D1243" s="2"/>
      <c r="E1243" s="2"/>
      <c r="F1243" s="2" t="s">
        <v>21792</v>
      </c>
      <c r="G1243" s="2"/>
      <c r="H1243" s="2"/>
      <c r="I1243" s="2" t="s">
        <v>21793</v>
      </c>
      <c r="J1243" s="2" t="s">
        <v>21216</v>
      </c>
      <c r="K1243" s="2"/>
      <c r="L1243" s="2"/>
      <c r="M1243" s="2" t="s">
        <v>77</v>
      </c>
      <c r="N1243" s="2" t="s">
        <v>78</v>
      </c>
      <c r="O1243" s="2"/>
      <c r="P1243" s="2"/>
      <c r="Q1243" s="2"/>
      <c r="R1243" s="2"/>
      <c r="S1243" s="2"/>
      <c r="T1243" s="2" t="s">
        <v>21794</v>
      </c>
      <c r="U1243" s="2" t="s">
        <v>21795</v>
      </c>
      <c r="V1243" s="2" t="s">
        <v>21796</v>
      </c>
      <c r="W1243" s="2" t="s">
        <v>21797</v>
      </c>
      <c r="X1243" s="2" t="s">
        <v>16401</v>
      </c>
      <c r="Y1243" s="2" t="s">
        <v>21798</v>
      </c>
      <c r="Z1243" s="2" t="s">
        <v>21799</v>
      </c>
      <c r="AA1243" s="2" t="s">
        <v>8567</v>
      </c>
      <c r="AB1243" s="2" t="s">
        <v>8568</v>
      </c>
      <c r="AC1243" s="2"/>
      <c r="AD1243" s="2"/>
      <c r="AE1243" s="2"/>
      <c r="AF1243" s="2"/>
      <c r="AG1243" s="2" t="n">
        <v>68</v>
      </c>
      <c r="AH1243" s="2" t="n">
        <v>47</v>
      </c>
      <c r="AI1243" s="2" t="n">
        <v>55</v>
      </c>
      <c r="AJ1243" s="2" t="n">
        <v>0</v>
      </c>
      <c r="AK1243" s="2" t="n">
        <v>5</v>
      </c>
      <c r="AL1243" s="2" t="s">
        <v>122</v>
      </c>
      <c r="AM1243" s="2" t="s">
        <v>123</v>
      </c>
      <c r="AN1243" s="2" t="s">
        <v>124</v>
      </c>
      <c r="AO1243" s="2" t="s">
        <v>21224</v>
      </c>
      <c r="AP1243" s="2" t="s">
        <v>21225</v>
      </c>
      <c r="AQ1243" s="2"/>
      <c r="AR1243" s="2" t="s">
        <v>21226</v>
      </c>
      <c r="AS1243" s="2" t="s">
        <v>21227</v>
      </c>
      <c r="AT1243" s="2" t="s">
        <v>390</v>
      </c>
      <c r="AU1243" s="2" t="n">
        <v>2004</v>
      </c>
      <c r="AV1243" s="2" t="n">
        <v>10</v>
      </c>
      <c r="AW1243" s="2" t="n">
        <v>3</v>
      </c>
      <c r="AX1243" s="2"/>
      <c r="AY1243" s="2"/>
      <c r="AZ1243" s="2"/>
      <c r="BA1243" s="2"/>
      <c r="BB1243" s="2" t="n">
        <v>176</v>
      </c>
      <c r="BC1243" s="2" t="n">
        <v>182</v>
      </c>
      <c r="BD1243" s="2"/>
      <c r="BE1243" s="2" t="s">
        <v>21800</v>
      </c>
      <c r="BF1243" s="2" t="str">
        <f aca="false">HYPERLINK("http://dx.doi.org/10.1097/00063198-200405000-00006","http://dx.doi.org/10.1097/00063198-200405000-00006")</f>
        <v>http://dx.doi.org/10.1097/00063198-200405000-00006</v>
      </c>
      <c r="BG1243" s="2"/>
      <c r="BH1243" s="2"/>
      <c r="BI1243" s="2" t="n">
        <v>7</v>
      </c>
      <c r="BJ1243" s="2" t="s">
        <v>338</v>
      </c>
      <c r="BK1243" s="2" t="s">
        <v>1086</v>
      </c>
      <c r="BL1243" s="2" t="s">
        <v>338</v>
      </c>
      <c r="BM1243" s="2" t="s">
        <v>21801</v>
      </c>
      <c r="BN1243" s="2" t="n">
        <v>15071368</v>
      </c>
      <c r="BO1243" s="2"/>
      <c r="BP1243" s="2"/>
      <c r="BQ1243" s="2"/>
      <c r="BR1243" s="2" t="s">
        <v>104</v>
      </c>
      <c r="BS1243" s="2" t="s">
        <v>21802</v>
      </c>
      <c r="BT1243" s="2" t="str">
        <f aca="false">HYPERLINK("https%3A%2F%2Fwww.webofscience.com%2Fwos%2Fwoscc%2Ffull-record%2FWOS:000220972400005","View Full Record in Web of Science")</f>
        <v>View Full Record in Web of Science</v>
      </c>
    </row>
    <row r="1244" customFormat="false" ht="12.75" hidden="false" customHeight="false" outlineLevel="0" collapsed="false">
      <c r="A1244" s="2" t="s">
        <v>72</v>
      </c>
      <c r="B1244" s="2" t="s">
        <v>21803</v>
      </c>
      <c r="C1244" s="2"/>
      <c r="D1244" s="2"/>
      <c r="E1244" s="2"/>
      <c r="F1244" s="2" t="s">
        <v>21804</v>
      </c>
      <c r="G1244" s="2"/>
      <c r="H1244" s="2"/>
      <c r="I1244" s="2" t="s">
        <v>21805</v>
      </c>
      <c r="J1244" s="2" t="s">
        <v>607</v>
      </c>
      <c r="K1244" s="2"/>
      <c r="L1244" s="2"/>
      <c r="M1244" s="2" t="s">
        <v>77</v>
      </c>
      <c r="N1244" s="2" t="s">
        <v>78</v>
      </c>
      <c r="O1244" s="2"/>
      <c r="P1244" s="2"/>
      <c r="Q1244" s="2"/>
      <c r="R1244" s="2"/>
      <c r="S1244" s="2"/>
      <c r="T1244" s="2" t="s">
        <v>21806</v>
      </c>
      <c r="U1244" s="2" t="s">
        <v>21807</v>
      </c>
      <c r="V1244" s="2" t="s">
        <v>21808</v>
      </c>
      <c r="W1244" s="2" t="s">
        <v>21809</v>
      </c>
      <c r="X1244" s="2" t="s">
        <v>21810</v>
      </c>
      <c r="Y1244" s="2" t="s">
        <v>21811</v>
      </c>
      <c r="Z1244" s="2" t="s">
        <v>21812</v>
      </c>
      <c r="AA1244" s="2"/>
      <c r="AB1244" s="2" t="s">
        <v>7510</v>
      </c>
      <c r="AC1244" s="2" t="s">
        <v>21813</v>
      </c>
      <c r="AD1244" s="2" t="s">
        <v>21813</v>
      </c>
      <c r="AE1244" s="2" t="s">
        <v>21814</v>
      </c>
      <c r="AF1244" s="2"/>
      <c r="AG1244" s="2" t="n">
        <v>45</v>
      </c>
      <c r="AH1244" s="2" t="n">
        <v>1</v>
      </c>
      <c r="AI1244" s="2" t="n">
        <v>1</v>
      </c>
      <c r="AJ1244" s="2" t="n">
        <v>0</v>
      </c>
      <c r="AK1244" s="2" t="n">
        <v>4</v>
      </c>
      <c r="AL1244" s="2" t="s">
        <v>620</v>
      </c>
      <c r="AM1244" s="2" t="s">
        <v>621</v>
      </c>
      <c r="AN1244" s="2" t="s">
        <v>622</v>
      </c>
      <c r="AO1244" s="2" t="s">
        <v>623</v>
      </c>
      <c r="AP1244" s="2"/>
      <c r="AQ1244" s="2"/>
      <c r="AR1244" s="2" t="s">
        <v>624</v>
      </c>
      <c r="AS1244" s="2" t="s">
        <v>625</v>
      </c>
      <c r="AT1244" s="2" t="s">
        <v>21815</v>
      </c>
      <c r="AU1244" s="2" t="n">
        <v>2023</v>
      </c>
      <c r="AV1244" s="2" t="n">
        <v>13</v>
      </c>
      <c r="AW1244" s="2"/>
      <c r="AX1244" s="2"/>
      <c r="AY1244" s="2"/>
      <c r="AZ1244" s="2"/>
      <c r="BA1244" s="2"/>
      <c r="BB1244" s="2"/>
      <c r="BC1244" s="2"/>
      <c r="BD1244" s="2" t="n">
        <v>1054119</v>
      </c>
      <c r="BE1244" s="2" t="s">
        <v>21816</v>
      </c>
      <c r="BF1244" s="2" t="str">
        <f aca="false">HYPERLINK("http://dx.doi.org/10.3389/fimmu.2022.1054119","http://dx.doi.org/10.3389/fimmu.2022.1054119")</f>
        <v>http://dx.doi.org/10.3389/fimmu.2022.1054119</v>
      </c>
      <c r="BG1244" s="2"/>
      <c r="BH1244" s="2"/>
      <c r="BI1244" s="2" t="n">
        <v>10</v>
      </c>
      <c r="BJ1244" s="2" t="s">
        <v>628</v>
      </c>
      <c r="BK1244" s="2" t="s">
        <v>100</v>
      </c>
      <c r="BL1244" s="2" t="s">
        <v>628</v>
      </c>
      <c r="BM1244" s="2" t="s">
        <v>21817</v>
      </c>
      <c r="BN1244" s="2" t="n">
        <v>36685501</v>
      </c>
      <c r="BO1244" s="2" t="s">
        <v>103</v>
      </c>
      <c r="BP1244" s="2"/>
      <c r="BQ1244" s="2"/>
      <c r="BR1244" s="2" t="s">
        <v>104</v>
      </c>
      <c r="BS1244" s="2" t="s">
        <v>21818</v>
      </c>
      <c r="BT1244" s="2" t="str">
        <f aca="false">HYPERLINK("https%3A%2F%2Fwww.webofscience.com%2Fwos%2Fwoscc%2Ffull-record%2FWOS:000916456700001","View Full Record in Web of Science")</f>
        <v>View Full Record in Web of Science</v>
      </c>
    </row>
    <row r="1245" customFormat="false" ht="12.75" hidden="false" customHeight="false" outlineLevel="0" collapsed="false">
      <c r="A1245" s="2" t="s">
        <v>72</v>
      </c>
      <c r="B1245" s="2" t="s">
        <v>21819</v>
      </c>
      <c r="C1245" s="2"/>
      <c r="D1245" s="2"/>
      <c r="E1245" s="2"/>
      <c r="F1245" s="2" t="s">
        <v>21820</v>
      </c>
      <c r="G1245" s="2"/>
      <c r="H1245" s="2"/>
      <c r="I1245" s="2" t="s">
        <v>21821</v>
      </c>
      <c r="J1245" s="2" t="s">
        <v>10031</v>
      </c>
      <c r="K1245" s="2"/>
      <c r="L1245" s="2"/>
      <c r="M1245" s="2" t="s">
        <v>77</v>
      </c>
      <c r="N1245" s="2" t="s">
        <v>78</v>
      </c>
      <c r="O1245" s="2"/>
      <c r="P1245" s="2"/>
      <c r="Q1245" s="2"/>
      <c r="R1245" s="2"/>
      <c r="S1245" s="2"/>
      <c r="T1245" s="2" t="s">
        <v>21822</v>
      </c>
      <c r="U1245" s="2" t="s">
        <v>21823</v>
      </c>
      <c r="V1245" s="2" t="s">
        <v>21824</v>
      </c>
      <c r="W1245" s="2" t="s">
        <v>21825</v>
      </c>
      <c r="X1245" s="2" t="s">
        <v>15720</v>
      </c>
      <c r="Y1245" s="2" t="s">
        <v>21826</v>
      </c>
      <c r="Z1245" s="2" t="s">
        <v>15722</v>
      </c>
      <c r="AA1245" s="2" t="s">
        <v>21827</v>
      </c>
      <c r="AB1245" s="2" t="s">
        <v>21828</v>
      </c>
      <c r="AC1245" s="2"/>
      <c r="AD1245" s="2"/>
      <c r="AE1245" s="2"/>
      <c r="AF1245" s="2"/>
      <c r="AG1245" s="2" t="n">
        <v>113</v>
      </c>
      <c r="AH1245" s="2" t="n">
        <v>31</v>
      </c>
      <c r="AI1245" s="2" t="n">
        <v>31</v>
      </c>
      <c r="AJ1245" s="2" t="n">
        <v>0</v>
      </c>
      <c r="AK1245" s="2" t="n">
        <v>6</v>
      </c>
      <c r="AL1245" s="2" t="s">
        <v>10039</v>
      </c>
      <c r="AM1245" s="2" t="s">
        <v>10040</v>
      </c>
      <c r="AN1245" s="2" t="s">
        <v>21829</v>
      </c>
      <c r="AO1245" s="2" t="s">
        <v>10042</v>
      </c>
      <c r="AP1245" s="2" t="s">
        <v>21830</v>
      </c>
      <c r="AQ1245" s="2"/>
      <c r="AR1245" s="2" t="s">
        <v>10043</v>
      </c>
      <c r="AS1245" s="2" t="s">
        <v>10044</v>
      </c>
      <c r="AT1245" s="2" t="s">
        <v>185</v>
      </c>
      <c r="AU1245" s="2" t="n">
        <v>2010</v>
      </c>
      <c r="AV1245" s="2" t="n">
        <v>36</v>
      </c>
      <c r="AW1245" s="2" t="n">
        <v>2</v>
      </c>
      <c r="AX1245" s="2"/>
      <c r="AY1245" s="2"/>
      <c r="AZ1245" s="2"/>
      <c r="BA1245" s="2"/>
      <c r="BB1245" s="2" t="n">
        <v>438</v>
      </c>
      <c r="BC1245" s="2" t="n">
        <v>445</v>
      </c>
      <c r="BD1245" s="2"/>
      <c r="BE1245" s="2" t="s">
        <v>21831</v>
      </c>
      <c r="BF1245" s="2" t="str">
        <f aca="false">HYPERLINK("http://dx.doi.org/10.1183/09031936.00149009","http://dx.doi.org/10.1183/09031936.00149009")</f>
        <v>http://dx.doi.org/10.1183/09031936.00149009</v>
      </c>
      <c r="BG1245" s="2"/>
      <c r="BH1245" s="2"/>
      <c r="BI1245" s="2" t="n">
        <v>8</v>
      </c>
      <c r="BJ1245" s="2" t="s">
        <v>338</v>
      </c>
      <c r="BK1245" s="2" t="s">
        <v>100</v>
      </c>
      <c r="BL1245" s="2" t="s">
        <v>338</v>
      </c>
      <c r="BM1245" s="2" t="s">
        <v>21832</v>
      </c>
      <c r="BN1245" s="2" t="n">
        <v>20675781</v>
      </c>
      <c r="BO1245" s="2" t="s">
        <v>656</v>
      </c>
      <c r="BP1245" s="2"/>
      <c r="BQ1245" s="2"/>
      <c r="BR1245" s="2" t="s">
        <v>104</v>
      </c>
      <c r="BS1245" s="2" t="s">
        <v>21833</v>
      </c>
      <c r="BT1245" s="2" t="str">
        <f aca="false">HYPERLINK("https%3A%2F%2Fwww.webofscience.com%2Fwos%2Fwoscc%2Ffull-record%2FWOS:000281601800030","View Full Record in Web of Science")</f>
        <v>View Full Record in Web of Science</v>
      </c>
    </row>
    <row r="1246" customFormat="false" ht="12.75" hidden="false" customHeight="false" outlineLevel="0" collapsed="false">
      <c r="A1246" s="2" t="s">
        <v>72</v>
      </c>
      <c r="B1246" s="2" t="s">
        <v>21834</v>
      </c>
      <c r="C1246" s="2"/>
      <c r="D1246" s="2"/>
      <c r="E1246" s="2"/>
      <c r="F1246" s="2" t="s">
        <v>21835</v>
      </c>
      <c r="G1246" s="2"/>
      <c r="H1246" s="2"/>
      <c r="I1246" s="2" t="s">
        <v>21836</v>
      </c>
      <c r="J1246" s="2" t="s">
        <v>109</v>
      </c>
      <c r="K1246" s="2"/>
      <c r="L1246" s="2"/>
      <c r="M1246" s="2" t="s">
        <v>77</v>
      </c>
      <c r="N1246" s="2" t="s">
        <v>78</v>
      </c>
      <c r="O1246" s="2"/>
      <c r="P1246" s="2"/>
      <c r="Q1246" s="2"/>
      <c r="R1246" s="2"/>
      <c r="S1246" s="2"/>
      <c r="T1246" s="2" t="s">
        <v>21837</v>
      </c>
      <c r="U1246" s="2" t="s">
        <v>21838</v>
      </c>
      <c r="V1246" s="2" t="s">
        <v>21839</v>
      </c>
      <c r="W1246" s="2" t="s">
        <v>21840</v>
      </c>
      <c r="X1246" s="2" t="s">
        <v>21841</v>
      </c>
      <c r="Y1246" s="2" t="s">
        <v>21842</v>
      </c>
      <c r="Z1246" s="2" t="s">
        <v>21843</v>
      </c>
      <c r="AA1246" s="2" t="s">
        <v>21844</v>
      </c>
      <c r="AB1246" s="2" t="s">
        <v>21845</v>
      </c>
      <c r="AC1246" s="2" t="s">
        <v>21846</v>
      </c>
      <c r="AD1246" s="2" t="s">
        <v>21847</v>
      </c>
      <c r="AE1246" s="2" t="s">
        <v>21848</v>
      </c>
      <c r="AF1246" s="2"/>
      <c r="AG1246" s="2" t="n">
        <v>49</v>
      </c>
      <c r="AH1246" s="2" t="n">
        <v>2</v>
      </c>
      <c r="AI1246" s="2" t="n">
        <v>2</v>
      </c>
      <c r="AJ1246" s="2" t="n">
        <v>0</v>
      </c>
      <c r="AK1246" s="2" t="n">
        <v>2</v>
      </c>
      <c r="AL1246" s="2" t="s">
        <v>122</v>
      </c>
      <c r="AM1246" s="2" t="s">
        <v>123</v>
      </c>
      <c r="AN1246" s="2" t="s">
        <v>124</v>
      </c>
      <c r="AO1246" s="2" t="s">
        <v>125</v>
      </c>
      <c r="AP1246" s="2" t="s">
        <v>126</v>
      </c>
      <c r="AQ1246" s="2"/>
      <c r="AR1246" s="2" t="s">
        <v>127</v>
      </c>
      <c r="AS1246" s="2" t="s">
        <v>128</v>
      </c>
      <c r="AT1246" s="2" t="s">
        <v>486</v>
      </c>
      <c r="AU1246" s="2" t="n">
        <v>2023</v>
      </c>
      <c r="AV1246" s="2" t="n">
        <v>42</v>
      </c>
      <c r="AW1246" s="2" t="n">
        <v>6</v>
      </c>
      <c r="AX1246" s="2"/>
      <c r="AY1246" s="2"/>
      <c r="AZ1246" s="2"/>
      <c r="BA1246" s="2"/>
      <c r="BB1246" s="2" t="n">
        <v>443</v>
      </c>
      <c r="BC1246" s="2" t="n">
        <v>448</v>
      </c>
      <c r="BD1246" s="2"/>
      <c r="BE1246" s="2" t="s">
        <v>21849</v>
      </c>
      <c r="BF1246" s="2" t="str">
        <f aca="false">HYPERLINK("http://dx.doi.org/10.1097/INF.0000000000003884","http://dx.doi.org/10.1097/INF.0000000000003884")</f>
        <v>http://dx.doi.org/10.1097/INF.0000000000003884</v>
      </c>
      <c r="BG1246" s="2"/>
      <c r="BH1246" s="2"/>
      <c r="BI1246" s="2" t="n">
        <v>6</v>
      </c>
      <c r="BJ1246" s="2" t="s">
        <v>134</v>
      </c>
      <c r="BK1246" s="2" t="s">
        <v>100</v>
      </c>
      <c r="BL1246" s="2" t="s">
        <v>134</v>
      </c>
      <c r="BM1246" s="2" t="s">
        <v>4393</v>
      </c>
      <c r="BN1246" s="2" t="n">
        <v>36854108</v>
      </c>
      <c r="BO1246" s="2"/>
      <c r="BP1246" s="2"/>
      <c r="BQ1246" s="2"/>
      <c r="BR1246" s="2" t="s">
        <v>104</v>
      </c>
      <c r="BS1246" s="2" t="s">
        <v>21850</v>
      </c>
      <c r="BT1246" s="2" t="str">
        <f aca="false">HYPERLINK("https%3A%2F%2Fwww.webofscience.com%2Fwos%2Fwoscc%2Ffull-record%2FWOS:000991916200011","View Full Record in Web of Science")</f>
        <v>View Full Record in Web of Science</v>
      </c>
    </row>
    <row r="1247" customFormat="false" ht="12.75" hidden="false" customHeight="false" outlineLevel="0" collapsed="false">
      <c r="A1247" s="2" t="s">
        <v>72</v>
      </c>
      <c r="B1247" s="2" t="s">
        <v>21851</v>
      </c>
      <c r="C1247" s="2"/>
      <c r="D1247" s="2"/>
      <c r="E1247" s="2"/>
      <c r="F1247" s="2" t="s">
        <v>21852</v>
      </c>
      <c r="G1247" s="2"/>
      <c r="H1247" s="2"/>
      <c r="I1247" s="2" t="s">
        <v>21853</v>
      </c>
      <c r="J1247" s="2" t="s">
        <v>4977</v>
      </c>
      <c r="K1247" s="2"/>
      <c r="L1247" s="2"/>
      <c r="M1247" s="2" t="s">
        <v>77</v>
      </c>
      <c r="N1247" s="2" t="s">
        <v>78</v>
      </c>
      <c r="O1247" s="2"/>
      <c r="P1247" s="2"/>
      <c r="Q1247" s="2"/>
      <c r="R1247" s="2"/>
      <c r="S1247" s="2"/>
      <c r="T1247" s="2" t="s">
        <v>21854</v>
      </c>
      <c r="U1247" s="2" t="s">
        <v>21855</v>
      </c>
      <c r="V1247" s="2" t="s">
        <v>21856</v>
      </c>
      <c r="W1247" s="2" t="s">
        <v>21857</v>
      </c>
      <c r="X1247" s="2"/>
      <c r="Y1247" s="2" t="s">
        <v>21858</v>
      </c>
      <c r="Z1247" s="2" t="s">
        <v>21859</v>
      </c>
      <c r="AA1247" s="2" t="s">
        <v>21860</v>
      </c>
      <c r="AB1247" s="2" t="s">
        <v>21861</v>
      </c>
      <c r="AC1247" s="2" t="s">
        <v>21862</v>
      </c>
      <c r="AD1247" s="2" t="s">
        <v>21863</v>
      </c>
      <c r="AE1247" s="2" t="s">
        <v>21864</v>
      </c>
      <c r="AF1247" s="2"/>
      <c r="AG1247" s="2" t="n">
        <v>28</v>
      </c>
      <c r="AH1247" s="2" t="n">
        <v>8</v>
      </c>
      <c r="AI1247" s="2" t="n">
        <v>8</v>
      </c>
      <c r="AJ1247" s="2" t="n">
        <v>0</v>
      </c>
      <c r="AK1247" s="2" t="n">
        <v>0</v>
      </c>
      <c r="AL1247" s="2" t="s">
        <v>4987</v>
      </c>
      <c r="AM1247" s="2" t="s">
        <v>2438</v>
      </c>
      <c r="AN1247" s="2" t="s">
        <v>4988</v>
      </c>
      <c r="AO1247" s="2" t="s">
        <v>4989</v>
      </c>
      <c r="AP1247" s="2" t="s">
        <v>4990</v>
      </c>
      <c r="AQ1247" s="2"/>
      <c r="AR1247" s="2" t="s">
        <v>4991</v>
      </c>
      <c r="AS1247" s="2" t="s">
        <v>4992</v>
      </c>
      <c r="AT1247" s="2" t="s">
        <v>336</v>
      </c>
      <c r="AU1247" s="2" t="n">
        <v>2013</v>
      </c>
      <c r="AV1247" s="2" t="n">
        <v>1</v>
      </c>
      <c r="AW1247" s="2" t="n">
        <v>3</v>
      </c>
      <c r="AX1247" s="2"/>
      <c r="AY1247" s="2"/>
      <c r="AZ1247" s="2"/>
      <c r="BA1247" s="2"/>
      <c r="BB1247" s="2" t="n">
        <v>118</v>
      </c>
      <c r="BC1247" s="2" t="n">
        <v>121</v>
      </c>
      <c r="BD1247" s="2"/>
      <c r="BE1247" s="2" t="s">
        <v>21865</v>
      </c>
      <c r="BF1247" s="2" t="str">
        <f aca="false">HYPERLINK("http://dx.doi.org/10.5812/pedinfect.9987","http://dx.doi.org/10.5812/pedinfect.9987")</f>
        <v>http://dx.doi.org/10.5812/pedinfect.9987</v>
      </c>
      <c r="BG1247" s="2"/>
      <c r="BH1247" s="2"/>
      <c r="BI1247" s="2" t="n">
        <v>4</v>
      </c>
      <c r="BJ1247" s="2" t="s">
        <v>601</v>
      </c>
      <c r="BK1247" s="2" t="s">
        <v>339</v>
      </c>
      <c r="BL1247" s="2" t="s">
        <v>601</v>
      </c>
      <c r="BM1247" s="2" t="s">
        <v>21866</v>
      </c>
      <c r="BN1247" s="2"/>
      <c r="BO1247" s="2" t="s">
        <v>2278</v>
      </c>
      <c r="BP1247" s="2"/>
      <c r="BQ1247" s="2"/>
      <c r="BR1247" s="2" t="s">
        <v>104</v>
      </c>
      <c r="BS1247" s="2" t="s">
        <v>21867</v>
      </c>
      <c r="BT1247" s="2" t="str">
        <f aca="false">HYPERLINK("https%3A%2F%2Fwww.webofscience.com%2Fwos%2Fwoscc%2Ffull-record%2FWOS:000215114100004","View Full Record in Web of Science")</f>
        <v>View Full Record in Web of Science</v>
      </c>
    </row>
    <row r="1248" customFormat="false" ht="12.75" hidden="false" customHeight="false" outlineLevel="0" collapsed="false">
      <c r="A1248" s="2" t="s">
        <v>72</v>
      </c>
      <c r="B1248" s="2" t="s">
        <v>21868</v>
      </c>
      <c r="C1248" s="2"/>
      <c r="D1248" s="2"/>
      <c r="E1248" s="2"/>
      <c r="F1248" s="2" t="s">
        <v>21869</v>
      </c>
      <c r="G1248" s="2"/>
      <c r="H1248" s="2"/>
      <c r="I1248" s="2" t="s">
        <v>21870</v>
      </c>
      <c r="J1248" s="2" t="s">
        <v>11019</v>
      </c>
      <c r="K1248" s="2"/>
      <c r="L1248" s="2"/>
      <c r="M1248" s="2" t="s">
        <v>77</v>
      </c>
      <c r="N1248" s="2" t="s">
        <v>78</v>
      </c>
      <c r="O1248" s="2"/>
      <c r="P1248" s="2"/>
      <c r="Q1248" s="2"/>
      <c r="R1248" s="2"/>
      <c r="S1248" s="2"/>
      <c r="T1248" s="2" t="s">
        <v>21871</v>
      </c>
      <c r="U1248" s="2" t="s">
        <v>21872</v>
      </c>
      <c r="V1248" s="2" t="s">
        <v>21873</v>
      </c>
      <c r="W1248" s="2" t="s">
        <v>21874</v>
      </c>
      <c r="X1248" s="2"/>
      <c r="Y1248" s="2" t="s">
        <v>21875</v>
      </c>
      <c r="Z1248" s="2" t="s">
        <v>21876</v>
      </c>
      <c r="AA1248" s="2" t="s">
        <v>21877</v>
      </c>
      <c r="AB1248" s="2"/>
      <c r="AC1248" s="2" t="s">
        <v>21878</v>
      </c>
      <c r="AD1248" s="2" t="s">
        <v>21878</v>
      </c>
      <c r="AE1248" s="2" t="s">
        <v>21879</v>
      </c>
      <c r="AF1248" s="2"/>
      <c r="AG1248" s="2" t="n">
        <v>30</v>
      </c>
      <c r="AH1248" s="2" t="n">
        <v>2</v>
      </c>
      <c r="AI1248" s="2" t="n">
        <v>2</v>
      </c>
      <c r="AJ1248" s="2" t="n">
        <v>2</v>
      </c>
      <c r="AK1248" s="2" t="n">
        <v>2</v>
      </c>
      <c r="AL1248" s="2" t="s">
        <v>154</v>
      </c>
      <c r="AM1248" s="2" t="s">
        <v>155</v>
      </c>
      <c r="AN1248" s="2" t="s">
        <v>156</v>
      </c>
      <c r="AO1248" s="2" t="s">
        <v>11028</v>
      </c>
      <c r="AP1248" s="2" t="s">
        <v>11029</v>
      </c>
      <c r="AQ1248" s="2"/>
      <c r="AR1248" s="2" t="s">
        <v>11030</v>
      </c>
      <c r="AS1248" s="2" t="s">
        <v>11031</v>
      </c>
      <c r="AT1248" s="2" t="s">
        <v>390</v>
      </c>
      <c r="AU1248" s="2" t="n">
        <v>2024</v>
      </c>
      <c r="AV1248" s="2" t="n">
        <v>18</v>
      </c>
      <c r="AW1248" s="2" t="n">
        <v>5</v>
      </c>
      <c r="AX1248" s="2"/>
      <c r="AY1248" s="2"/>
      <c r="AZ1248" s="2"/>
      <c r="BA1248" s="2"/>
      <c r="BB1248" s="2"/>
      <c r="BC1248" s="2"/>
      <c r="BD1248" s="2" t="s">
        <v>21880</v>
      </c>
      <c r="BE1248" s="2" t="s">
        <v>21881</v>
      </c>
      <c r="BF1248" s="2" t="str">
        <f aca="false">HYPERLINK("http://dx.doi.org/10.1111/irv.13310","http://dx.doi.org/10.1111/irv.13310")</f>
        <v>http://dx.doi.org/10.1111/irv.13310</v>
      </c>
      <c r="BG1248" s="2"/>
      <c r="BH1248" s="2"/>
      <c r="BI1248" s="2" t="n">
        <v>9</v>
      </c>
      <c r="BJ1248" s="2" t="s">
        <v>8287</v>
      </c>
      <c r="BK1248" s="2" t="s">
        <v>100</v>
      </c>
      <c r="BL1248" s="2" t="s">
        <v>8287</v>
      </c>
      <c r="BM1248" s="2" t="s">
        <v>21882</v>
      </c>
      <c r="BN1248" s="2" t="n">
        <v>38725276</v>
      </c>
      <c r="BO1248" s="2" t="s">
        <v>1355</v>
      </c>
      <c r="BP1248" s="2"/>
      <c r="BQ1248" s="2"/>
      <c r="BR1248" s="2" t="s">
        <v>104</v>
      </c>
      <c r="BS1248" s="2" t="s">
        <v>21883</v>
      </c>
      <c r="BT1248" s="2" t="str">
        <f aca="false">HYPERLINK("https%3A%2F%2Fwww.webofscience.com%2Fwos%2Fwoscc%2Ffull-record%2FWOS:001216888000001","View Full Record in Web of Science")</f>
        <v>View Full Record in Web of Science</v>
      </c>
    </row>
    <row r="1249" customFormat="false" ht="12.75" hidden="false" customHeight="false" outlineLevel="0" collapsed="false">
      <c r="A1249" s="2" t="s">
        <v>72</v>
      </c>
      <c r="B1249" s="2" t="s">
        <v>21884</v>
      </c>
      <c r="C1249" s="2"/>
      <c r="D1249" s="2"/>
      <c r="E1249" s="2"/>
      <c r="F1249" s="2" t="s">
        <v>21885</v>
      </c>
      <c r="G1249" s="2"/>
      <c r="H1249" s="2"/>
      <c r="I1249" s="2" t="s">
        <v>21886</v>
      </c>
      <c r="J1249" s="2" t="s">
        <v>16041</v>
      </c>
      <c r="K1249" s="2"/>
      <c r="L1249" s="2"/>
      <c r="M1249" s="2" t="s">
        <v>77</v>
      </c>
      <c r="N1249" s="2" t="s">
        <v>78</v>
      </c>
      <c r="O1249" s="2"/>
      <c r="P1249" s="2"/>
      <c r="Q1249" s="2"/>
      <c r="R1249" s="2"/>
      <c r="S1249" s="2"/>
      <c r="T1249" s="2" t="s">
        <v>21887</v>
      </c>
      <c r="U1249" s="2" t="s">
        <v>6516</v>
      </c>
      <c r="V1249" s="2" t="s">
        <v>21888</v>
      </c>
      <c r="W1249" s="2" t="s">
        <v>21889</v>
      </c>
      <c r="X1249" s="2" t="s">
        <v>21890</v>
      </c>
      <c r="Y1249" s="2" t="s">
        <v>21891</v>
      </c>
      <c r="Z1249" s="2" t="s">
        <v>21892</v>
      </c>
      <c r="AA1249" s="2" t="s">
        <v>21893</v>
      </c>
      <c r="AB1249" s="2" t="s">
        <v>21894</v>
      </c>
      <c r="AC1249" s="2"/>
      <c r="AD1249" s="2"/>
      <c r="AE1249" s="2"/>
      <c r="AF1249" s="2"/>
      <c r="AG1249" s="2" t="n">
        <v>17</v>
      </c>
      <c r="AH1249" s="2" t="n">
        <v>0</v>
      </c>
      <c r="AI1249" s="2" t="n">
        <v>0</v>
      </c>
      <c r="AJ1249" s="2" t="n">
        <v>0</v>
      </c>
      <c r="AK1249" s="2" t="n">
        <v>4</v>
      </c>
      <c r="AL1249" s="2" t="s">
        <v>16048</v>
      </c>
      <c r="AM1249" s="2" t="s">
        <v>3690</v>
      </c>
      <c r="AN1249" s="2" t="s">
        <v>16049</v>
      </c>
      <c r="AO1249" s="2" t="s">
        <v>16050</v>
      </c>
      <c r="AP1249" s="2" t="s">
        <v>16051</v>
      </c>
      <c r="AQ1249" s="2"/>
      <c r="AR1249" s="2" t="s">
        <v>16052</v>
      </c>
      <c r="AS1249" s="2" t="s">
        <v>16053</v>
      </c>
      <c r="AT1249" s="2" t="s">
        <v>97</v>
      </c>
      <c r="AU1249" s="2" t="n">
        <v>2022</v>
      </c>
      <c r="AV1249" s="2" t="n">
        <v>16</v>
      </c>
      <c r="AW1249" s="2" t="n">
        <v>1</v>
      </c>
      <c r="AX1249" s="2"/>
      <c r="AY1249" s="2"/>
      <c r="AZ1249" s="2"/>
      <c r="BA1249" s="2"/>
      <c r="BB1249" s="2" t="s">
        <v>7199</v>
      </c>
      <c r="BC1249" s="2" t="s">
        <v>21895</v>
      </c>
      <c r="BD1249" s="2"/>
      <c r="BE1249" s="2" t="s">
        <v>21896</v>
      </c>
      <c r="BF1249" s="2" t="str">
        <f aca="false">HYPERLINK("http://dx.doi.org/10.5578/ced.20229902","http://dx.doi.org/10.5578/ced.20229902")</f>
        <v>http://dx.doi.org/10.5578/ced.20229902</v>
      </c>
      <c r="BG1249" s="2"/>
      <c r="BH1249" s="2"/>
      <c r="BI1249" s="2" t="n">
        <v>7</v>
      </c>
      <c r="BJ1249" s="2" t="s">
        <v>601</v>
      </c>
      <c r="BK1249" s="2" t="s">
        <v>339</v>
      </c>
      <c r="BL1249" s="2" t="s">
        <v>601</v>
      </c>
      <c r="BM1249" s="2" t="s">
        <v>21897</v>
      </c>
      <c r="BN1249" s="2"/>
      <c r="BO1249" s="2" t="s">
        <v>1355</v>
      </c>
      <c r="BP1249" s="2"/>
      <c r="BQ1249" s="2"/>
      <c r="BR1249" s="2" t="s">
        <v>104</v>
      </c>
      <c r="BS1249" s="2" t="s">
        <v>21898</v>
      </c>
      <c r="BT1249" s="2" t="str">
        <f aca="false">HYPERLINK("https%3A%2F%2Fwww.webofscience.com%2Fwos%2Fwoscc%2Ffull-record%2FWOS:000811493900007","View Full Record in Web of Science")</f>
        <v>View Full Record in Web of Science</v>
      </c>
    </row>
    <row r="1250" customFormat="false" ht="12.75" hidden="false" customHeight="false" outlineLevel="0" collapsed="false">
      <c r="A1250" s="2" t="s">
        <v>72</v>
      </c>
      <c r="B1250" s="2" t="s">
        <v>21899</v>
      </c>
      <c r="C1250" s="2"/>
      <c r="D1250" s="2"/>
      <c r="E1250" s="2"/>
      <c r="F1250" s="2" t="s">
        <v>21900</v>
      </c>
      <c r="G1250" s="2"/>
      <c r="H1250" s="2"/>
      <c r="I1250" s="2" t="s">
        <v>21901</v>
      </c>
      <c r="J1250" s="2" t="s">
        <v>21902</v>
      </c>
      <c r="K1250" s="2"/>
      <c r="L1250" s="2"/>
      <c r="M1250" s="2" t="s">
        <v>77</v>
      </c>
      <c r="N1250" s="2" t="s">
        <v>78</v>
      </c>
      <c r="O1250" s="2"/>
      <c r="P1250" s="2"/>
      <c r="Q1250" s="2"/>
      <c r="R1250" s="2"/>
      <c r="S1250" s="2"/>
      <c r="T1250" s="2" t="s">
        <v>21903</v>
      </c>
      <c r="U1250" s="2" t="s">
        <v>21904</v>
      </c>
      <c r="V1250" s="2" t="s">
        <v>21905</v>
      </c>
      <c r="W1250" s="2" t="s">
        <v>21906</v>
      </c>
      <c r="X1250" s="2" t="s">
        <v>18496</v>
      </c>
      <c r="Y1250" s="2" t="s">
        <v>21907</v>
      </c>
      <c r="Z1250" s="2" t="s">
        <v>21908</v>
      </c>
      <c r="AA1250" s="2" t="s">
        <v>21909</v>
      </c>
      <c r="AB1250" s="2"/>
      <c r="AC1250" s="2" t="s">
        <v>21910</v>
      </c>
      <c r="AD1250" s="2" t="s">
        <v>21911</v>
      </c>
      <c r="AE1250" s="2" t="s">
        <v>21912</v>
      </c>
      <c r="AF1250" s="2"/>
      <c r="AG1250" s="2" t="n">
        <v>31</v>
      </c>
      <c r="AH1250" s="2" t="n">
        <v>7</v>
      </c>
      <c r="AI1250" s="2" t="n">
        <v>9</v>
      </c>
      <c r="AJ1250" s="2" t="n">
        <v>0</v>
      </c>
      <c r="AK1250" s="2" t="n">
        <v>7</v>
      </c>
      <c r="AL1250" s="2" t="s">
        <v>9887</v>
      </c>
      <c r="AM1250" s="2" t="s">
        <v>9888</v>
      </c>
      <c r="AN1250" s="2" t="s">
        <v>9889</v>
      </c>
      <c r="AO1250" s="2" t="s">
        <v>21913</v>
      </c>
      <c r="AP1250" s="2" t="s">
        <v>21914</v>
      </c>
      <c r="AQ1250" s="2"/>
      <c r="AR1250" s="2" t="s">
        <v>21915</v>
      </c>
      <c r="AS1250" s="2" t="s">
        <v>21916</v>
      </c>
      <c r="AT1250" s="2" t="s">
        <v>21917</v>
      </c>
      <c r="AU1250" s="2" t="n">
        <v>2014</v>
      </c>
      <c r="AV1250" s="2" t="n">
        <v>57</v>
      </c>
      <c r="AW1250" s="2" t="n">
        <v>3</v>
      </c>
      <c r="AX1250" s="2"/>
      <c r="AY1250" s="2"/>
      <c r="AZ1250" s="2"/>
      <c r="BA1250" s="2"/>
      <c r="BB1250" s="2" t="n">
        <v>413</v>
      </c>
      <c r="BC1250" s="2" t="n">
        <v>417</v>
      </c>
      <c r="BD1250" s="2"/>
      <c r="BE1250" s="2" t="s">
        <v>21918</v>
      </c>
      <c r="BF1250" s="2" t="str">
        <f aca="false">HYPERLINK("http://dx.doi.org/10.4103/0377-4929.138735","http://dx.doi.org/10.4103/0377-4929.138735")</f>
        <v>http://dx.doi.org/10.4103/0377-4929.138735</v>
      </c>
      <c r="BG1250" s="2"/>
      <c r="BH1250" s="2"/>
      <c r="BI1250" s="2" t="n">
        <v>5</v>
      </c>
      <c r="BJ1250" s="2" t="s">
        <v>6585</v>
      </c>
      <c r="BK1250" s="2" t="s">
        <v>100</v>
      </c>
      <c r="BL1250" s="2" t="s">
        <v>6585</v>
      </c>
      <c r="BM1250" s="2" t="s">
        <v>21919</v>
      </c>
      <c r="BN1250" s="2" t="n">
        <v>25118733</v>
      </c>
      <c r="BO1250" s="2" t="s">
        <v>1355</v>
      </c>
      <c r="BP1250" s="2"/>
      <c r="BQ1250" s="2"/>
      <c r="BR1250" s="2" t="s">
        <v>104</v>
      </c>
      <c r="BS1250" s="2" t="s">
        <v>21920</v>
      </c>
      <c r="BT1250" s="2" t="str">
        <f aca="false">HYPERLINK("https%3A%2F%2Fwww.webofscience.com%2Fwos%2Fwoscc%2Ffull-record%2FWOS:000349209900011","View Full Record in Web of Science")</f>
        <v>View Full Record in Web of Science</v>
      </c>
    </row>
    <row r="1251" customFormat="false" ht="12.75" hidden="false" customHeight="false" outlineLevel="0" collapsed="false">
      <c r="A1251" s="2" t="s">
        <v>72</v>
      </c>
      <c r="B1251" s="2" t="s">
        <v>21921</v>
      </c>
      <c r="C1251" s="2"/>
      <c r="D1251" s="2"/>
      <c r="E1251" s="2"/>
      <c r="F1251" s="2" t="s">
        <v>21922</v>
      </c>
      <c r="G1251" s="2"/>
      <c r="H1251" s="2"/>
      <c r="I1251" s="2" t="s">
        <v>21923</v>
      </c>
      <c r="J1251" s="2" t="s">
        <v>16041</v>
      </c>
      <c r="K1251" s="2"/>
      <c r="L1251" s="2"/>
      <c r="M1251" s="2" t="s">
        <v>77</v>
      </c>
      <c r="N1251" s="2" t="s">
        <v>78</v>
      </c>
      <c r="O1251" s="2"/>
      <c r="P1251" s="2"/>
      <c r="Q1251" s="2"/>
      <c r="R1251" s="2"/>
      <c r="S1251" s="2"/>
      <c r="T1251" s="2" t="s">
        <v>21924</v>
      </c>
      <c r="U1251" s="2" t="s">
        <v>796</v>
      </c>
      <c r="V1251" s="2" t="s">
        <v>21925</v>
      </c>
      <c r="W1251" s="2" t="s">
        <v>21926</v>
      </c>
      <c r="X1251" s="2" t="s">
        <v>21927</v>
      </c>
      <c r="Y1251" s="2" t="s">
        <v>21928</v>
      </c>
      <c r="Z1251" s="2" t="s">
        <v>21929</v>
      </c>
      <c r="AA1251" s="2" t="s">
        <v>21930</v>
      </c>
      <c r="AB1251" s="2" t="s">
        <v>21931</v>
      </c>
      <c r="AC1251" s="2"/>
      <c r="AD1251" s="2"/>
      <c r="AE1251" s="2"/>
      <c r="AF1251" s="2"/>
      <c r="AG1251" s="2" t="n">
        <v>10</v>
      </c>
      <c r="AH1251" s="2" t="n">
        <v>0</v>
      </c>
      <c r="AI1251" s="2" t="n">
        <v>0</v>
      </c>
      <c r="AJ1251" s="2" t="n">
        <v>0</v>
      </c>
      <c r="AK1251" s="2" t="n">
        <v>2</v>
      </c>
      <c r="AL1251" s="2" t="s">
        <v>16048</v>
      </c>
      <c r="AM1251" s="2" t="s">
        <v>3690</v>
      </c>
      <c r="AN1251" s="2" t="s">
        <v>16049</v>
      </c>
      <c r="AO1251" s="2" t="s">
        <v>16050</v>
      </c>
      <c r="AP1251" s="2" t="s">
        <v>16051</v>
      </c>
      <c r="AQ1251" s="2"/>
      <c r="AR1251" s="2" t="s">
        <v>16052</v>
      </c>
      <c r="AS1251" s="2" t="s">
        <v>16053</v>
      </c>
      <c r="AT1251" s="2" t="s">
        <v>129</v>
      </c>
      <c r="AU1251" s="2" t="n">
        <v>2019</v>
      </c>
      <c r="AV1251" s="2" t="n">
        <v>13</v>
      </c>
      <c r="AW1251" s="2" t="n">
        <v>3</v>
      </c>
      <c r="AX1251" s="2"/>
      <c r="AY1251" s="2"/>
      <c r="AZ1251" s="2"/>
      <c r="BA1251" s="2"/>
      <c r="BB1251" s="2" t="s">
        <v>21932</v>
      </c>
      <c r="BC1251" s="2" t="s">
        <v>21933</v>
      </c>
      <c r="BD1251" s="2"/>
      <c r="BE1251" s="2" t="s">
        <v>21934</v>
      </c>
      <c r="BF1251" s="2" t="str">
        <f aca="false">HYPERLINK("http://dx.doi.org/10.5578/ced.201939","http://dx.doi.org/10.5578/ced.201939")</f>
        <v>http://dx.doi.org/10.5578/ced.201939</v>
      </c>
      <c r="BG1251" s="2"/>
      <c r="BH1251" s="2"/>
      <c r="BI1251" s="2" t="n">
        <v>3</v>
      </c>
      <c r="BJ1251" s="2" t="s">
        <v>601</v>
      </c>
      <c r="BK1251" s="2" t="s">
        <v>339</v>
      </c>
      <c r="BL1251" s="2" t="s">
        <v>601</v>
      </c>
      <c r="BM1251" s="2" t="s">
        <v>21935</v>
      </c>
      <c r="BN1251" s="2"/>
      <c r="BO1251" s="2" t="s">
        <v>1355</v>
      </c>
      <c r="BP1251" s="2"/>
      <c r="BQ1251" s="2"/>
      <c r="BR1251" s="2" t="s">
        <v>104</v>
      </c>
      <c r="BS1251" s="2" t="s">
        <v>21936</v>
      </c>
      <c r="BT1251" s="2" t="str">
        <f aca="false">HYPERLINK("https%3A%2F%2Fwww.webofscience.com%2Fwos%2Fwoscc%2Ffull-record%2FWOS:000510638700006","View Full Record in Web of Science")</f>
        <v>View Full Record in Web of Science</v>
      </c>
    </row>
    <row r="1252" customFormat="false" ht="12.75" hidden="false" customHeight="false" outlineLevel="0" collapsed="false">
      <c r="A1252" s="2" t="s">
        <v>72</v>
      </c>
      <c r="B1252" s="2" t="s">
        <v>21937</v>
      </c>
      <c r="C1252" s="2"/>
      <c r="D1252" s="2"/>
      <c r="E1252" s="2"/>
      <c r="F1252" s="2" t="s">
        <v>21938</v>
      </c>
      <c r="G1252" s="2"/>
      <c r="H1252" s="2"/>
      <c r="I1252" s="2" t="s">
        <v>21939</v>
      </c>
      <c r="J1252" s="2" t="s">
        <v>13891</v>
      </c>
      <c r="K1252" s="2"/>
      <c r="L1252" s="2"/>
      <c r="M1252" s="2" t="s">
        <v>77</v>
      </c>
      <c r="N1252" s="2" t="s">
        <v>78</v>
      </c>
      <c r="O1252" s="2"/>
      <c r="P1252" s="2"/>
      <c r="Q1252" s="2"/>
      <c r="R1252" s="2"/>
      <c r="S1252" s="2"/>
      <c r="T1252" s="2" t="s">
        <v>21940</v>
      </c>
      <c r="U1252" s="2" t="s">
        <v>21941</v>
      </c>
      <c r="V1252" s="2" t="s">
        <v>21942</v>
      </c>
      <c r="W1252" s="2" t="s">
        <v>21943</v>
      </c>
      <c r="X1252" s="2" t="s">
        <v>21944</v>
      </c>
      <c r="Y1252" s="2" t="s">
        <v>21945</v>
      </c>
      <c r="Z1252" s="2" t="s">
        <v>21946</v>
      </c>
      <c r="AA1252" s="2" t="s">
        <v>21947</v>
      </c>
      <c r="AB1252" s="2" t="s">
        <v>21948</v>
      </c>
      <c r="AC1252" s="2"/>
      <c r="AD1252" s="2"/>
      <c r="AE1252" s="2"/>
      <c r="AF1252" s="2"/>
      <c r="AG1252" s="2" t="n">
        <v>25</v>
      </c>
      <c r="AH1252" s="2" t="n">
        <v>20</v>
      </c>
      <c r="AI1252" s="2" t="n">
        <v>22</v>
      </c>
      <c r="AJ1252" s="2" t="n">
        <v>0</v>
      </c>
      <c r="AK1252" s="2" t="n">
        <v>5</v>
      </c>
      <c r="AL1252" s="2" t="s">
        <v>3813</v>
      </c>
      <c r="AM1252" s="2" t="s">
        <v>4498</v>
      </c>
      <c r="AN1252" s="2" t="s">
        <v>4499</v>
      </c>
      <c r="AO1252" s="2" t="s">
        <v>13900</v>
      </c>
      <c r="AP1252" s="2"/>
      <c r="AQ1252" s="2"/>
      <c r="AR1252" s="2" t="s">
        <v>13902</v>
      </c>
      <c r="AS1252" s="2" t="s">
        <v>13903</v>
      </c>
      <c r="AT1252" s="2" t="s">
        <v>336</v>
      </c>
      <c r="AU1252" s="2" t="n">
        <v>2011</v>
      </c>
      <c r="AV1252" s="2" t="n">
        <v>47</v>
      </c>
      <c r="AW1252" s="2" t="n">
        <v>10</v>
      </c>
      <c r="AX1252" s="2"/>
      <c r="AY1252" s="2"/>
      <c r="AZ1252" s="2"/>
      <c r="BA1252" s="2"/>
      <c r="BB1252" s="2" t="n">
        <v>737</v>
      </c>
      <c r="BC1252" s="2" t="n">
        <v>741</v>
      </c>
      <c r="BD1252" s="2"/>
      <c r="BE1252" s="2" t="s">
        <v>21949</v>
      </c>
      <c r="BF1252" s="2" t="str">
        <f aca="false">HYPERLINK("http://dx.doi.org/10.1111/j.1440-1754.2011.02043.x","http://dx.doi.org/10.1111/j.1440-1754.2011.02043.x")</f>
        <v>http://dx.doi.org/10.1111/j.1440-1754.2011.02043.x</v>
      </c>
      <c r="BG1252" s="2"/>
      <c r="BH1252" s="2"/>
      <c r="BI1252" s="2" t="n">
        <v>5</v>
      </c>
      <c r="BJ1252" s="2" t="s">
        <v>601</v>
      </c>
      <c r="BK1252" s="2" t="s">
        <v>100</v>
      </c>
      <c r="BL1252" s="2" t="s">
        <v>601</v>
      </c>
      <c r="BM1252" s="2" t="s">
        <v>21950</v>
      </c>
      <c r="BN1252" s="2" t="n">
        <v>21449904</v>
      </c>
      <c r="BO1252" s="2"/>
      <c r="BP1252" s="2"/>
      <c r="BQ1252" s="2"/>
      <c r="BR1252" s="2" t="s">
        <v>104</v>
      </c>
      <c r="BS1252" s="2" t="s">
        <v>21951</v>
      </c>
      <c r="BT1252" s="2" t="str">
        <f aca="false">HYPERLINK("https%3A%2F%2Fwww.webofscience.com%2Fwos%2Fwoscc%2Ffull-record%2FWOS:000297027600013","View Full Record in Web of Science")</f>
        <v>View Full Record in Web of Science</v>
      </c>
    </row>
    <row r="1253" customFormat="false" ht="12.75" hidden="false" customHeight="false" outlineLevel="0" collapsed="false">
      <c r="A1253" s="2" t="s">
        <v>72</v>
      </c>
      <c r="B1253" s="2" t="s">
        <v>21952</v>
      </c>
      <c r="C1253" s="2"/>
      <c r="D1253" s="2"/>
      <c r="E1253" s="2"/>
      <c r="F1253" s="2" t="s">
        <v>21953</v>
      </c>
      <c r="G1253" s="2"/>
      <c r="H1253" s="2"/>
      <c r="I1253" s="2" t="s">
        <v>21954</v>
      </c>
      <c r="J1253" s="2" t="s">
        <v>10679</v>
      </c>
      <c r="K1253" s="2"/>
      <c r="L1253" s="2"/>
      <c r="M1253" s="2" t="s">
        <v>77</v>
      </c>
      <c r="N1253" s="2" t="s">
        <v>78</v>
      </c>
      <c r="O1253" s="2"/>
      <c r="P1253" s="2"/>
      <c r="Q1253" s="2"/>
      <c r="R1253" s="2"/>
      <c r="S1253" s="2"/>
      <c r="T1253" s="2" t="s">
        <v>21955</v>
      </c>
      <c r="U1253" s="2" t="s">
        <v>21956</v>
      </c>
      <c r="V1253" s="2" t="s">
        <v>21957</v>
      </c>
      <c r="W1253" s="2" t="s">
        <v>21958</v>
      </c>
      <c r="X1253" s="2" t="s">
        <v>21959</v>
      </c>
      <c r="Y1253" s="2" t="s">
        <v>21960</v>
      </c>
      <c r="Z1253" s="2" t="s">
        <v>21961</v>
      </c>
      <c r="AA1253" s="2" t="s">
        <v>21962</v>
      </c>
      <c r="AB1253" s="2" t="s">
        <v>21963</v>
      </c>
      <c r="AC1253" s="2" t="s">
        <v>21964</v>
      </c>
      <c r="AD1253" s="2" t="s">
        <v>21965</v>
      </c>
      <c r="AE1253" s="2"/>
      <c r="AF1253" s="2"/>
      <c r="AG1253" s="2" t="n">
        <v>24</v>
      </c>
      <c r="AH1253" s="2" t="n">
        <v>31</v>
      </c>
      <c r="AI1253" s="2" t="n">
        <v>33</v>
      </c>
      <c r="AJ1253" s="2" t="n">
        <v>0</v>
      </c>
      <c r="AK1253" s="2" t="n">
        <v>4</v>
      </c>
      <c r="AL1253" s="2" t="s">
        <v>122</v>
      </c>
      <c r="AM1253" s="2" t="s">
        <v>123</v>
      </c>
      <c r="AN1253" s="2" t="s">
        <v>124</v>
      </c>
      <c r="AO1253" s="2" t="s">
        <v>10692</v>
      </c>
      <c r="AP1253" s="2" t="s">
        <v>21966</v>
      </c>
      <c r="AQ1253" s="2"/>
      <c r="AR1253" s="2" t="s">
        <v>10693</v>
      </c>
      <c r="AS1253" s="2" t="s">
        <v>10694</v>
      </c>
      <c r="AT1253" s="2" t="s">
        <v>97</v>
      </c>
      <c r="AU1253" s="2" t="n">
        <v>2013</v>
      </c>
      <c r="AV1253" s="2" t="n">
        <v>14</v>
      </c>
      <c r="AW1253" s="2" t="n">
        <v>3</v>
      </c>
      <c r="AX1253" s="2"/>
      <c r="AY1253" s="2"/>
      <c r="AZ1253" s="2"/>
      <c r="BA1253" s="2"/>
      <c r="BB1253" s="2" t="n">
        <v>268</v>
      </c>
      <c r="BC1253" s="2" t="n">
        <v>272</v>
      </c>
      <c r="BD1253" s="2"/>
      <c r="BE1253" s="2" t="s">
        <v>21967</v>
      </c>
      <c r="BF1253" s="2" t="str">
        <f aca="false">HYPERLINK("http://dx.doi.org/10.1097/PCC.0b013e3182720fc7","http://dx.doi.org/10.1097/PCC.0b013e3182720fc7")</f>
        <v>http://dx.doi.org/10.1097/PCC.0b013e3182720fc7</v>
      </c>
      <c r="BG1253" s="2"/>
      <c r="BH1253" s="2"/>
      <c r="BI1253" s="2" t="n">
        <v>5</v>
      </c>
      <c r="BJ1253" s="2" t="s">
        <v>10698</v>
      </c>
      <c r="BK1253" s="2" t="s">
        <v>100</v>
      </c>
      <c r="BL1253" s="2" t="s">
        <v>10699</v>
      </c>
      <c r="BM1253" s="2" t="s">
        <v>21968</v>
      </c>
      <c r="BN1253" s="2" t="n">
        <v>23392374</v>
      </c>
      <c r="BO1253" s="2"/>
      <c r="BP1253" s="2"/>
      <c r="BQ1253" s="2"/>
      <c r="BR1253" s="2" t="s">
        <v>104</v>
      </c>
      <c r="BS1253" s="2" t="s">
        <v>21969</v>
      </c>
      <c r="BT1253" s="2" t="str">
        <f aca="false">HYPERLINK("https%3A%2F%2Fwww.webofscience.com%2Fwos%2Fwoscc%2Ffull-record%2FWOS:000315949600011","View Full Record in Web of Science")</f>
        <v>View Full Record in Web of Science</v>
      </c>
    </row>
    <row r="1254" customFormat="false" ht="12.75" hidden="false" customHeight="false" outlineLevel="0" collapsed="false">
      <c r="A1254" s="2" t="s">
        <v>72</v>
      </c>
      <c r="B1254" s="2" t="s">
        <v>21970</v>
      </c>
      <c r="C1254" s="2"/>
      <c r="D1254" s="2"/>
      <c r="E1254" s="2"/>
      <c r="F1254" s="2" t="s">
        <v>21971</v>
      </c>
      <c r="G1254" s="2"/>
      <c r="H1254" s="2"/>
      <c r="I1254" s="2" t="s">
        <v>21972</v>
      </c>
      <c r="J1254" s="2" t="s">
        <v>3614</v>
      </c>
      <c r="K1254" s="2"/>
      <c r="L1254" s="2"/>
      <c r="M1254" s="2" t="s">
        <v>77</v>
      </c>
      <c r="N1254" s="2" t="s">
        <v>78</v>
      </c>
      <c r="O1254" s="2"/>
      <c r="P1254" s="2"/>
      <c r="Q1254" s="2"/>
      <c r="R1254" s="2"/>
      <c r="S1254" s="2"/>
      <c r="T1254" s="2" t="s">
        <v>21973</v>
      </c>
      <c r="U1254" s="2" t="s">
        <v>21974</v>
      </c>
      <c r="V1254" s="2" t="s">
        <v>21975</v>
      </c>
      <c r="W1254" s="2" t="s">
        <v>21976</v>
      </c>
      <c r="X1254" s="2" t="s">
        <v>21977</v>
      </c>
      <c r="Y1254" s="2" t="s">
        <v>21978</v>
      </c>
      <c r="Z1254" s="2" t="s">
        <v>21979</v>
      </c>
      <c r="AA1254" s="2" t="s">
        <v>21980</v>
      </c>
      <c r="AB1254" s="2" t="s">
        <v>21981</v>
      </c>
      <c r="AC1254" s="2"/>
      <c r="AD1254" s="2"/>
      <c r="AE1254" s="2"/>
      <c r="AF1254" s="2"/>
      <c r="AG1254" s="2" t="n">
        <v>41</v>
      </c>
      <c r="AH1254" s="2" t="n">
        <v>78</v>
      </c>
      <c r="AI1254" s="2" t="n">
        <v>92</v>
      </c>
      <c r="AJ1254" s="2" t="n">
        <v>0</v>
      </c>
      <c r="AK1254" s="2" t="n">
        <v>6</v>
      </c>
      <c r="AL1254" s="2" t="s">
        <v>2337</v>
      </c>
      <c r="AM1254" s="2" t="s">
        <v>303</v>
      </c>
      <c r="AN1254" s="2" t="s">
        <v>2338</v>
      </c>
      <c r="AO1254" s="2" t="s">
        <v>3627</v>
      </c>
      <c r="AP1254" s="2" t="s">
        <v>3628</v>
      </c>
      <c r="AQ1254" s="2"/>
      <c r="AR1254" s="2" t="s">
        <v>3629</v>
      </c>
      <c r="AS1254" s="2" t="s">
        <v>3630</v>
      </c>
      <c r="AT1254" s="2" t="s">
        <v>2461</v>
      </c>
      <c r="AU1254" s="2" t="n">
        <v>2013</v>
      </c>
      <c r="AV1254" s="2" t="n">
        <v>39</v>
      </c>
      <c r="AW1254" s="2"/>
      <c r="AX1254" s="2"/>
      <c r="AY1254" s="2"/>
      <c r="AZ1254" s="2"/>
      <c r="BA1254" s="2"/>
      <c r="BB1254" s="2"/>
      <c r="BC1254" s="2"/>
      <c r="BD1254" s="2" t="n">
        <v>22</v>
      </c>
      <c r="BE1254" s="2" t="s">
        <v>21982</v>
      </c>
      <c r="BF1254" s="2" t="str">
        <f aca="false">HYPERLINK("http://dx.doi.org/10.1186/1824-7288-39-22","http://dx.doi.org/10.1186/1824-7288-39-22")</f>
        <v>http://dx.doi.org/10.1186/1824-7288-39-22</v>
      </c>
      <c r="BG1254" s="2"/>
      <c r="BH1254" s="2"/>
      <c r="BI1254" s="2" t="n">
        <v>10</v>
      </c>
      <c r="BJ1254" s="2" t="s">
        <v>601</v>
      </c>
      <c r="BK1254" s="2" t="s">
        <v>100</v>
      </c>
      <c r="BL1254" s="2" t="s">
        <v>601</v>
      </c>
      <c r="BM1254" s="2" t="s">
        <v>21983</v>
      </c>
      <c r="BN1254" s="2" t="n">
        <v>23536956</v>
      </c>
      <c r="BO1254" s="2" t="s">
        <v>190</v>
      </c>
      <c r="BP1254" s="2"/>
      <c r="BQ1254" s="2"/>
      <c r="BR1254" s="2" t="s">
        <v>104</v>
      </c>
      <c r="BS1254" s="2" t="s">
        <v>21984</v>
      </c>
      <c r="BT1254" s="2" t="str">
        <f aca="false">HYPERLINK("https%3A%2F%2Fwww.webofscience.com%2Fwos%2Fwoscc%2Ffull-record%2FWOS:000317644700001","View Full Record in Web of Science")</f>
        <v>View Full Record in Web of Science</v>
      </c>
    </row>
    <row r="1255" customFormat="false" ht="12.75" hidden="false" customHeight="false" outlineLevel="0" collapsed="false">
      <c r="A1255" s="2" t="s">
        <v>72</v>
      </c>
      <c r="B1255" s="2" t="s">
        <v>21985</v>
      </c>
      <c r="C1255" s="2"/>
      <c r="D1255" s="2"/>
      <c r="E1255" s="2"/>
      <c r="F1255" s="2" t="s">
        <v>21986</v>
      </c>
      <c r="G1255" s="2"/>
      <c r="H1255" s="2"/>
      <c r="I1255" s="2" t="s">
        <v>21987</v>
      </c>
      <c r="J1255" s="2" t="s">
        <v>8664</v>
      </c>
      <c r="K1255" s="2"/>
      <c r="L1255" s="2"/>
      <c r="M1255" s="2" t="s">
        <v>77</v>
      </c>
      <c r="N1255" s="2" t="s">
        <v>78</v>
      </c>
      <c r="O1255" s="2"/>
      <c r="P1255" s="2"/>
      <c r="Q1255" s="2"/>
      <c r="R1255" s="2"/>
      <c r="S1255" s="2"/>
      <c r="T1255" s="2" t="s">
        <v>21988</v>
      </c>
      <c r="U1255" s="2" t="s">
        <v>21989</v>
      </c>
      <c r="V1255" s="2" t="s">
        <v>21990</v>
      </c>
      <c r="W1255" s="2" t="s">
        <v>21991</v>
      </c>
      <c r="X1255" s="2" t="s">
        <v>21992</v>
      </c>
      <c r="Y1255" s="2" t="s">
        <v>21993</v>
      </c>
      <c r="Z1255" s="2" t="s">
        <v>21994</v>
      </c>
      <c r="AA1255" s="2"/>
      <c r="AB1255" s="2"/>
      <c r="AC1255" s="2"/>
      <c r="AD1255" s="2"/>
      <c r="AE1255" s="2"/>
      <c r="AF1255" s="2"/>
      <c r="AG1255" s="2" t="n">
        <v>22</v>
      </c>
      <c r="AH1255" s="2" t="n">
        <v>12</v>
      </c>
      <c r="AI1255" s="2" t="n">
        <v>15</v>
      </c>
      <c r="AJ1255" s="2" t="n">
        <v>0</v>
      </c>
      <c r="AK1255" s="2" t="n">
        <v>4</v>
      </c>
      <c r="AL1255" s="2" t="s">
        <v>154</v>
      </c>
      <c r="AM1255" s="2" t="s">
        <v>155</v>
      </c>
      <c r="AN1255" s="2" t="s">
        <v>156</v>
      </c>
      <c r="AO1255" s="2" t="s">
        <v>8673</v>
      </c>
      <c r="AP1255" s="2" t="s">
        <v>8674</v>
      </c>
      <c r="AQ1255" s="2"/>
      <c r="AR1255" s="2" t="s">
        <v>8675</v>
      </c>
      <c r="AS1255" s="2" t="s">
        <v>8676</v>
      </c>
      <c r="AT1255" s="2" t="s">
        <v>161</v>
      </c>
      <c r="AU1255" s="2" t="n">
        <v>2020</v>
      </c>
      <c r="AV1255" s="2" t="n">
        <v>62</v>
      </c>
      <c r="AW1255" s="2" t="n">
        <v>1</v>
      </c>
      <c r="AX1255" s="2"/>
      <c r="AY1255" s="2"/>
      <c r="AZ1255" s="2"/>
      <c r="BA1255" s="2"/>
      <c r="BB1255" s="2" t="n">
        <v>52</v>
      </c>
      <c r="BC1255" s="2" t="n">
        <v>58</v>
      </c>
      <c r="BD1255" s="2"/>
      <c r="BE1255" s="2" t="s">
        <v>21995</v>
      </c>
      <c r="BF1255" s="2" t="str">
        <f aca="false">HYPERLINK("http://dx.doi.org/10.1111/ped.14049","http://dx.doi.org/10.1111/ped.14049")</f>
        <v>http://dx.doi.org/10.1111/ped.14049</v>
      </c>
      <c r="BG1255" s="2"/>
      <c r="BH1255" s="2" t="s">
        <v>21996</v>
      </c>
      <c r="BI1255" s="2" t="n">
        <v>7</v>
      </c>
      <c r="BJ1255" s="2" t="s">
        <v>601</v>
      </c>
      <c r="BK1255" s="2" t="s">
        <v>100</v>
      </c>
      <c r="BL1255" s="2" t="s">
        <v>601</v>
      </c>
      <c r="BM1255" s="2" t="s">
        <v>21997</v>
      </c>
      <c r="BN1255" s="2" t="n">
        <v>31705838</v>
      </c>
      <c r="BO1255" s="2" t="s">
        <v>538</v>
      </c>
      <c r="BP1255" s="2"/>
      <c r="BQ1255" s="2"/>
      <c r="BR1255" s="2" t="s">
        <v>104</v>
      </c>
      <c r="BS1255" s="2" t="s">
        <v>21998</v>
      </c>
      <c r="BT1255" s="2" t="str">
        <f aca="false">HYPERLINK("https%3A%2F%2Fwww.webofscience.com%2Fwos%2Fwoscc%2Ffull-record%2FWOS:000507906300001","View Full Record in Web of Science")</f>
        <v>View Full Record in Web of Science</v>
      </c>
    </row>
    <row r="1256" customFormat="false" ht="12.75" hidden="false" customHeight="false" outlineLevel="0" collapsed="false">
      <c r="A1256" s="2" t="s">
        <v>72</v>
      </c>
      <c r="B1256" s="2" t="s">
        <v>21999</v>
      </c>
      <c r="C1256" s="2"/>
      <c r="D1256" s="2"/>
      <c r="E1256" s="2"/>
      <c r="F1256" s="2" t="s">
        <v>22000</v>
      </c>
      <c r="G1256" s="2"/>
      <c r="H1256" s="2"/>
      <c r="I1256" s="2" t="s">
        <v>22001</v>
      </c>
      <c r="J1256" s="2" t="s">
        <v>3141</v>
      </c>
      <c r="K1256" s="2"/>
      <c r="L1256" s="2"/>
      <c r="M1256" s="2" t="s">
        <v>77</v>
      </c>
      <c r="N1256" s="2" t="s">
        <v>78</v>
      </c>
      <c r="O1256" s="2"/>
      <c r="P1256" s="2"/>
      <c r="Q1256" s="2"/>
      <c r="R1256" s="2"/>
      <c r="S1256" s="2"/>
      <c r="T1256" s="2" t="s">
        <v>22002</v>
      </c>
      <c r="U1256" s="2" t="s">
        <v>22003</v>
      </c>
      <c r="V1256" s="2" t="s">
        <v>22004</v>
      </c>
      <c r="W1256" s="2" t="s">
        <v>22005</v>
      </c>
      <c r="X1256" s="2" t="s">
        <v>22006</v>
      </c>
      <c r="Y1256" s="2" t="s">
        <v>22007</v>
      </c>
      <c r="Z1256" s="2" t="s">
        <v>22008</v>
      </c>
      <c r="AA1256" s="2" t="s">
        <v>22009</v>
      </c>
      <c r="AB1256" s="2" t="s">
        <v>22010</v>
      </c>
      <c r="AC1256" s="2"/>
      <c r="AD1256" s="2"/>
      <c r="AE1256" s="2"/>
      <c r="AF1256" s="2"/>
      <c r="AG1256" s="2" t="n">
        <v>24</v>
      </c>
      <c r="AH1256" s="2" t="n">
        <v>24</v>
      </c>
      <c r="AI1256" s="2" t="n">
        <v>24</v>
      </c>
      <c r="AJ1256" s="2" t="n">
        <v>0</v>
      </c>
      <c r="AK1256" s="2" t="n">
        <v>1</v>
      </c>
      <c r="AL1256" s="2" t="s">
        <v>3150</v>
      </c>
      <c r="AM1256" s="2" t="s">
        <v>3151</v>
      </c>
      <c r="AN1256" s="2" t="s">
        <v>3152</v>
      </c>
      <c r="AO1256" s="2" t="s">
        <v>3153</v>
      </c>
      <c r="AP1256" s="2" t="s">
        <v>3154</v>
      </c>
      <c r="AQ1256" s="2"/>
      <c r="AR1256" s="2" t="s">
        <v>3155</v>
      </c>
      <c r="AS1256" s="2" t="s">
        <v>3156</v>
      </c>
      <c r="AT1256" s="2" t="s">
        <v>185</v>
      </c>
      <c r="AU1256" s="2" t="n">
        <v>2008</v>
      </c>
      <c r="AV1256" s="2" t="n">
        <v>41</v>
      </c>
      <c r="AW1256" s="2" t="n">
        <v>4</v>
      </c>
      <c r="AX1256" s="2"/>
      <c r="AY1256" s="2"/>
      <c r="AZ1256" s="2"/>
      <c r="BA1256" s="2"/>
      <c r="BB1256" s="2" t="n">
        <v>294</v>
      </c>
      <c r="BC1256" s="2" t="n">
        <v>300</v>
      </c>
      <c r="BD1256" s="2"/>
      <c r="BE1256" s="2"/>
      <c r="BF1256" s="2"/>
      <c r="BG1256" s="2"/>
      <c r="BH1256" s="2"/>
      <c r="BI1256" s="2" t="n">
        <v>7</v>
      </c>
      <c r="BJ1256" s="2" t="s">
        <v>536</v>
      </c>
      <c r="BK1256" s="2" t="s">
        <v>100</v>
      </c>
      <c r="BL1256" s="2" t="s">
        <v>536</v>
      </c>
      <c r="BM1256" s="2" t="s">
        <v>22011</v>
      </c>
      <c r="BN1256" s="2" t="n">
        <v>18787735</v>
      </c>
      <c r="BO1256" s="2"/>
      <c r="BP1256" s="2"/>
      <c r="BQ1256" s="2"/>
      <c r="BR1256" s="2" t="s">
        <v>104</v>
      </c>
      <c r="BS1256" s="2" t="s">
        <v>22012</v>
      </c>
      <c r="BT1256" s="2" t="str">
        <f aca="false">HYPERLINK("https%3A%2F%2Fwww.webofscience.com%2Fwos%2Fwoscc%2Ffull-record%2FWOS:000261903100002","View Full Record in Web of Science")</f>
        <v>View Full Record in Web of Science</v>
      </c>
    </row>
    <row r="1257" customFormat="false" ht="12.75" hidden="false" customHeight="false" outlineLevel="0" collapsed="false">
      <c r="A1257" s="2" t="s">
        <v>72</v>
      </c>
      <c r="B1257" s="2" t="s">
        <v>22013</v>
      </c>
      <c r="C1257" s="2"/>
      <c r="D1257" s="2"/>
      <c r="E1257" s="2"/>
      <c r="F1257" s="2" t="s">
        <v>22014</v>
      </c>
      <c r="G1257" s="2"/>
      <c r="H1257" s="2"/>
      <c r="I1257" s="2" t="s">
        <v>22015</v>
      </c>
      <c r="J1257" s="2" t="s">
        <v>22016</v>
      </c>
      <c r="K1257" s="2"/>
      <c r="L1257" s="2"/>
      <c r="M1257" s="2" t="s">
        <v>77</v>
      </c>
      <c r="N1257" s="2" t="s">
        <v>78</v>
      </c>
      <c r="O1257" s="2"/>
      <c r="P1257" s="2"/>
      <c r="Q1257" s="2"/>
      <c r="R1257" s="2"/>
      <c r="S1257" s="2"/>
      <c r="T1257" s="2" t="s">
        <v>22017</v>
      </c>
      <c r="U1257" s="2" t="s">
        <v>22018</v>
      </c>
      <c r="V1257" s="2" t="s">
        <v>22019</v>
      </c>
      <c r="W1257" s="2" t="s">
        <v>22020</v>
      </c>
      <c r="X1257" s="2" t="s">
        <v>22021</v>
      </c>
      <c r="Y1257" s="2" t="s">
        <v>22022</v>
      </c>
      <c r="Z1257" s="2" t="s">
        <v>22023</v>
      </c>
      <c r="AA1257" s="2" t="s">
        <v>22024</v>
      </c>
      <c r="AB1257" s="2" t="s">
        <v>22025</v>
      </c>
      <c r="AC1257" s="2" t="s">
        <v>22026</v>
      </c>
      <c r="AD1257" s="2" t="s">
        <v>22026</v>
      </c>
      <c r="AE1257" s="2" t="s">
        <v>22027</v>
      </c>
      <c r="AF1257" s="2"/>
      <c r="AG1257" s="2" t="n">
        <v>47</v>
      </c>
      <c r="AH1257" s="2" t="n">
        <v>18</v>
      </c>
      <c r="AI1257" s="2" t="n">
        <v>20</v>
      </c>
      <c r="AJ1257" s="2" t="n">
        <v>0</v>
      </c>
      <c r="AK1257" s="2" t="n">
        <v>6</v>
      </c>
      <c r="AL1257" s="2" t="s">
        <v>22028</v>
      </c>
      <c r="AM1257" s="2" t="s">
        <v>303</v>
      </c>
      <c r="AN1257" s="2" t="s">
        <v>22029</v>
      </c>
      <c r="AO1257" s="2" t="s">
        <v>22030</v>
      </c>
      <c r="AP1257" s="2" t="s">
        <v>22031</v>
      </c>
      <c r="AQ1257" s="2"/>
      <c r="AR1257" s="2" t="s">
        <v>22032</v>
      </c>
      <c r="AS1257" s="2" t="s">
        <v>22033</v>
      </c>
      <c r="AT1257" s="2" t="s">
        <v>1041</v>
      </c>
      <c r="AU1257" s="2" t="n">
        <v>2015</v>
      </c>
      <c r="AV1257" s="2" t="n">
        <v>65</v>
      </c>
      <c r="AW1257" s="2" t="n">
        <v>631</v>
      </c>
      <c r="AX1257" s="2"/>
      <c r="AY1257" s="2"/>
      <c r="AZ1257" s="2"/>
      <c r="BA1257" s="2"/>
      <c r="BB1257" s="2" t="s">
        <v>22034</v>
      </c>
      <c r="BC1257" s="2" t="s">
        <v>22035</v>
      </c>
      <c r="BD1257" s="2"/>
      <c r="BE1257" s="2" t="s">
        <v>22036</v>
      </c>
      <c r="BF1257" s="2" t="str">
        <f aca="false">HYPERLINK("http://dx.doi.org/10.3399/bjgp15X683497","http://dx.doi.org/10.3399/bjgp15X683497")</f>
        <v>http://dx.doi.org/10.3399/bjgp15X683497</v>
      </c>
      <c r="BG1257" s="2"/>
      <c r="BH1257" s="2"/>
      <c r="BI1257" s="2" t="n">
        <v>13</v>
      </c>
      <c r="BJ1257" s="2" t="s">
        <v>22037</v>
      </c>
      <c r="BK1257" s="2" t="s">
        <v>100</v>
      </c>
      <c r="BL1257" s="2" t="s">
        <v>364</v>
      </c>
      <c r="BM1257" s="2" t="s">
        <v>22038</v>
      </c>
      <c r="BN1257" s="2" t="n">
        <v>25624310</v>
      </c>
      <c r="BO1257" s="2" t="s">
        <v>538</v>
      </c>
      <c r="BP1257" s="2"/>
      <c r="BQ1257" s="2"/>
      <c r="BR1257" s="2" t="s">
        <v>104</v>
      </c>
      <c r="BS1257" s="2" t="s">
        <v>22039</v>
      </c>
      <c r="BT1257" s="2" t="str">
        <f aca="false">HYPERLINK("https%3A%2F%2Fwww.webofscience.com%2Fwos%2Fwoscc%2Ffull-record%2FWOS:000348521900002","View Full Record in Web of Science")</f>
        <v>View Full Record in Web of Science</v>
      </c>
    </row>
    <row r="1258" customFormat="false" ht="12.75" hidden="false" customHeight="false" outlineLevel="0" collapsed="false">
      <c r="A1258" s="2" t="s">
        <v>72</v>
      </c>
      <c r="B1258" s="2" t="s">
        <v>22040</v>
      </c>
      <c r="C1258" s="2"/>
      <c r="D1258" s="2"/>
      <c r="E1258" s="2"/>
      <c r="F1258" s="2" t="s">
        <v>22041</v>
      </c>
      <c r="G1258" s="2"/>
      <c r="H1258" s="2"/>
      <c r="I1258" s="2" t="s">
        <v>22042</v>
      </c>
      <c r="J1258" s="2" t="s">
        <v>22043</v>
      </c>
      <c r="K1258" s="2"/>
      <c r="L1258" s="2"/>
      <c r="M1258" s="2" t="s">
        <v>77</v>
      </c>
      <c r="N1258" s="2" t="s">
        <v>78</v>
      </c>
      <c r="O1258" s="2"/>
      <c r="P1258" s="2"/>
      <c r="Q1258" s="2"/>
      <c r="R1258" s="2"/>
      <c r="S1258" s="2"/>
      <c r="T1258" s="2" t="s">
        <v>22044</v>
      </c>
      <c r="U1258" s="2" t="s">
        <v>22045</v>
      </c>
      <c r="V1258" s="2" t="s">
        <v>22046</v>
      </c>
      <c r="W1258" s="2" t="s">
        <v>22047</v>
      </c>
      <c r="X1258" s="2" t="s">
        <v>22048</v>
      </c>
      <c r="Y1258" s="2" t="s">
        <v>22049</v>
      </c>
      <c r="Z1258" s="2" t="s">
        <v>9446</v>
      </c>
      <c r="AA1258" s="2" t="s">
        <v>22050</v>
      </c>
      <c r="AB1258" s="2"/>
      <c r="AC1258" s="2"/>
      <c r="AD1258" s="2"/>
      <c r="AE1258" s="2"/>
      <c r="AF1258" s="2"/>
      <c r="AG1258" s="2" t="n">
        <v>28</v>
      </c>
      <c r="AH1258" s="2" t="n">
        <v>11</v>
      </c>
      <c r="AI1258" s="2" t="n">
        <v>14</v>
      </c>
      <c r="AJ1258" s="2" t="n">
        <v>0</v>
      </c>
      <c r="AK1258" s="2" t="n">
        <v>1</v>
      </c>
      <c r="AL1258" s="2" t="s">
        <v>22051</v>
      </c>
      <c r="AM1258" s="2" t="s">
        <v>330</v>
      </c>
      <c r="AN1258" s="2" t="s">
        <v>22052</v>
      </c>
      <c r="AO1258" s="2" t="s">
        <v>22053</v>
      </c>
      <c r="AP1258" s="2" t="s">
        <v>22054</v>
      </c>
      <c r="AQ1258" s="2"/>
      <c r="AR1258" s="2" t="s">
        <v>22055</v>
      </c>
      <c r="AS1258" s="2" t="s">
        <v>22056</v>
      </c>
      <c r="AT1258" s="2" t="s">
        <v>336</v>
      </c>
      <c r="AU1258" s="2" t="n">
        <v>2017</v>
      </c>
      <c r="AV1258" s="2" t="n">
        <v>7</v>
      </c>
      <c r="AW1258" s="2" t="n">
        <v>4</v>
      </c>
      <c r="AX1258" s="2"/>
      <c r="AY1258" s="2"/>
      <c r="AZ1258" s="2"/>
      <c r="BA1258" s="2"/>
      <c r="BB1258" s="2" t="n">
        <v>206</v>
      </c>
      <c r="BC1258" s="2" t="n">
        <v>212</v>
      </c>
      <c r="BD1258" s="2"/>
      <c r="BE1258" s="2" t="s">
        <v>22057</v>
      </c>
      <c r="BF1258" s="2" t="str">
        <f aca="false">HYPERLINK("http://dx.doi.org/10.5415/apallergy.2017.7.4.206","http://dx.doi.org/10.5415/apallergy.2017.7.4.206")</f>
        <v>http://dx.doi.org/10.5415/apallergy.2017.7.4.206</v>
      </c>
      <c r="BG1258" s="2"/>
      <c r="BH1258" s="2"/>
      <c r="BI1258" s="2" t="n">
        <v>7</v>
      </c>
      <c r="BJ1258" s="2" t="s">
        <v>15678</v>
      </c>
      <c r="BK1258" s="2" t="s">
        <v>339</v>
      </c>
      <c r="BL1258" s="2" t="s">
        <v>15678</v>
      </c>
      <c r="BM1258" s="2" t="s">
        <v>22058</v>
      </c>
      <c r="BN1258" s="2" t="n">
        <v>29094018</v>
      </c>
      <c r="BO1258" s="2" t="s">
        <v>2178</v>
      </c>
      <c r="BP1258" s="2"/>
      <c r="BQ1258" s="2"/>
      <c r="BR1258" s="2" t="s">
        <v>104</v>
      </c>
      <c r="BS1258" s="2" t="s">
        <v>22059</v>
      </c>
      <c r="BT1258" s="2" t="str">
        <f aca="false">HYPERLINK("https%3A%2F%2Fwww.webofscience.com%2Fwos%2Fwoscc%2Ffull-record%2FWOS:000417997000005","View Full Record in Web of Science")</f>
        <v>View Full Record in Web of Science</v>
      </c>
    </row>
    <row r="1259" customFormat="false" ht="12.75" hidden="false" customHeight="false" outlineLevel="0" collapsed="false">
      <c r="A1259" s="2" t="s">
        <v>72</v>
      </c>
      <c r="B1259" s="2" t="s">
        <v>22060</v>
      </c>
      <c r="C1259" s="2"/>
      <c r="D1259" s="2"/>
      <c r="E1259" s="2"/>
      <c r="F1259" s="2" t="s">
        <v>22061</v>
      </c>
      <c r="G1259" s="2"/>
      <c r="H1259" s="2"/>
      <c r="I1259" s="2" t="s">
        <v>22062</v>
      </c>
      <c r="J1259" s="2" t="s">
        <v>10679</v>
      </c>
      <c r="K1259" s="2"/>
      <c r="L1259" s="2"/>
      <c r="M1259" s="2" t="s">
        <v>77</v>
      </c>
      <c r="N1259" s="2" t="s">
        <v>78</v>
      </c>
      <c r="O1259" s="2"/>
      <c r="P1259" s="2"/>
      <c r="Q1259" s="2"/>
      <c r="R1259" s="2"/>
      <c r="S1259" s="2"/>
      <c r="T1259" s="2" t="s">
        <v>22063</v>
      </c>
      <c r="U1259" s="2" t="s">
        <v>22064</v>
      </c>
      <c r="V1259" s="2" t="s">
        <v>22065</v>
      </c>
      <c r="W1259" s="2" t="s">
        <v>22066</v>
      </c>
      <c r="X1259" s="2" t="s">
        <v>22067</v>
      </c>
      <c r="Y1259" s="2" t="s">
        <v>22068</v>
      </c>
      <c r="Z1259" s="2" t="s">
        <v>22069</v>
      </c>
      <c r="AA1259" s="2" t="s">
        <v>22070</v>
      </c>
      <c r="AB1259" s="2" t="s">
        <v>22071</v>
      </c>
      <c r="AC1259" s="2" t="s">
        <v>22072</v>
      </c>
      <c r="AD1259" s="2" t="s">
        <v>22072</v>
      </c>
      <c r="AE1259" s="2" t="s">
        <v>22073</v>
      </c>
      <c r="AF1259" s="2"/>
      <c r="AG1259" s="2" t="n">
        <v>41</v>
      </c>
      <c r="AH1259" s="2" t="n">
        <v>6</v>
      </c>
      <c r="AI1259" s="2" t="n">
        <v>7</v>
      </c>
      <c r="AJ1259" s="2" t="n">
        <v>0</v>
      </c>
      <c r="AK1259" s="2" t="n">
        <v>4</v>
      </c>
      <c r="AL1259" s="2" t="s">
        <v>122</v>
      </c>
      <c r="AM1259" s="2" t="s">
        <v>123</v>
      </c>
      <c r="AN1259" s="2" t="s">
        <v>124</v>
      </c>
      <c r="AO1259" s="2" t="s">
        <v>10692</v>
      </c>
      <c r="AP1259" s="2" t="s">
        <v>21966</v>
      </c>
      <c r="AQ1259" s="2"/>
      <c r="AR1259" s="2" t="s">
        <v>10693</v>
      </c>
      <c r="AS1259" s="2" t="s">
        <v>10694</v>
      </c>
      <c r="AT1259" s="2" t="s">
        <v>486</v>
      </c>
      <c r="AU1259" s="2" t="n">
        <v>2020</v>
      </c>
      <c r="AV1259" s="2" t="n">
        <v>21</v>
      </c>
      <c r="AW1259" s="2" t="n">
        <v>6</v>
      </c>
      <c r="AX1259" s="2"/>
      <c r="AY1259" s="2"/>
      <c r="AZ1259" s="2"/>
      <c r="BA1259" s="2"/>
      <c r="BB1259" s="2" t="s">
        <v>22074</v>
      </c>
      <c r="BC1259" s="2" t="s">
        <v>22075</v>
      </c>
      <c r="BD1259" s="2"/>
      <c r="BE1259" s="2" t="s">
        <v>22076</v>
      </c>
      <c r="BF1259" s="2" t="str">
        <f aca="false">HYPERLINK("http://dx.doi.org/10.1097/PCC.0000000000002302","http://dx.doi.org/10.1097/PCC.0000000000002302")</f>
        <v>http://dx.doi.org/10.1097/PCC.0000000000002302</v>
      </c>
      <c r="BG1259" s="2"/>
      <c r="BH1259" s="2"/>
      <c r="BI1259" s="2" t="n">
        <v>9</v>
      </c>
      <c r="BJ1259" s="2" t="s">
        <v>10698</v>
      </c>
      <c r="BK1259" s="2" t="s">
        <v>100</v>
      </c>
      <c r="BL1259" s="2" t="s">
        <v>10699</v>
      </c>
      <c r="BM1259" s="2" t="s">
        <v>22077</v>
      </c>
      <c r="BN1259" s="2" t="n">
        <v>32343113</v>
      </c>
      <c r="BO1259" s="2"/>
      <c r="BP1259" s="2"/>
      <c r="BQ1259" s="2"/>
      <c r="BR1259" s="2" t="s">
        <v>104</v>
      </c>
      <c r="BS1259" s="2" t="s">
        <v>22078</v>
      </c>
      <c r="BT1259" s="2" t="str">
        <f aca="false">HYPERLINK("https%3A%2F%2Fwww.webofscience.com%2Fwos%2Fwoscc%2Ffull-record%2FWOS:000538163400003","View Full Record in Web of Science")</f>
        <v>View Full Record in Web of Science</v>
      </c>
    </row>
    <row r="1260" customFormat="false" ht="12.75" hidden="false" customHeight="false" outlineLevel="0" collapsed="false">
      <c r="A1260" s="2" t="s">
        <v>72</v>
      </c>
      <c r="B1260" s="2" t="s">
        <v>22079</v>
      </c>
      <c r="C1260" s="2"/>
      <c r="D1260" s="2"/>
      <c r="E1260" s="2"/>
      <c r="F1260" s="2" t="s">
        <v>22080</v>
      </c>
      <c r="G1260" s="2"/>
      <c r="H1260" s="2"/>
      <c r="I1260" s="2" t="s">
        <v>22081</v>
      </c>
      <c r="J1260" s="2" t="s">
        <v>109</v>
      </c>
      <c r="K1260" s="2"/>
      <c r="L1260" s="2"/>
      <c r="M1260" s="2" t="s">
        <v>77</v>
      </c>
      <c r="N1260" s="2" t="s">
        <v>78</v>
      </c>
      <c r="O1260" s="2"/>
      <c r="P1260" s="2"/>
      <c r="Q1260" s="2"/>
      <c r="R1260" s="2"/>
      <c r="S1260" s="2"/>
      <c r="T1260" s="2" t="s">
        <v>22082</v>
      </c>
      <c r="U1260" s="2" t="s">
        <v>22083</v>
      </c>
      <c r="V1260" s="2" t="s">
        <v>22084</v>
      </c>
      <c r="W1260" s="2" t="s">
        <v>22085</v>
      </c>
      <c r="X1260" s="2" t="s">
        <v>22086</v>
      </c>
      <c r="Y1260" s="2" t="s">
        <v>22087</v>
      </c>
      <c r="Z1260" s="2" t="s">
        <v>22088</v>
      </c>
      <c r="AA1260" s="2" t="s">
        <v>22089</v>
      </c>
      <c r="AB1260" s="2" t="s">
        <v>22090</v>
      </c>
      <c r="AC1260" s="2"/>
      <c r="AD1260" s="2"/>
      <c r="AE1260" s="2"/>
      <c r="AF1260" s="2"/>
      <c r="AG1260" s="2" t="n">
        <v>42</v>
      </c>
      <c r="AH1260" s="2" t="n">
        <v>6</v>
      </c>
      <c r="AI1260" s="2" t="n">
        <v>6</v>
      </c>
      <c r="AJ1260" s="2" t="n">
        <v>1</v>
      </c>
      <c r="AK1260" s="2" t="n">
        <v>5</v>
      </c>
      <c r="AL1260" s="2" t="s">
        <v>122</v>
      </c>
      <c r="AM1260" s="2" t="s">
        <v>123</v>
      </c>
      <c r="AN1260" s="2" t="s">
        <v>124</v>
      </c>
      <c r="AO1260" s="2" t="s">
        <v>125</v>
      </c>
      <c r="AP1260" s="2" t="s">
        <v>126</v>
      </c>
      <c r="AQ1260" s="2"/>
      <c r="AR1260" s="2" t="s">
        <v>127</v>
      </c>
      <c r="AS1260" s="2" t="s">
        <v>128</v>
      </c>
      <c r="AT1260" s="2" t="s">
        <v>129</v>
      </c>
      <c r="AU1260" s="2" t="n">
        <v>2023</v>
      </c>
      <c r="AV1260" s="2" t="n">
        <v>42</v>
      </c>
      <c r="AW1260" s="2" t="n">
        <v>9</v>
      </c>
      <c r="AX1260" s="2"/>
      <c r="AY1260" s="2"/>
      <c r="AZ1260" s="2"/>
      <c r="BA1260" s="2"/>
      <c r="BB1260" s="2" t="n">
        <v>766</v>
      </c>
      <c r="BC1260" s="2" t="n">
        <v>773</v>
      </c>
      <c r="BD1260" s="2"/>
      <c r="BE1260" s="2" t="s">
        <v>22091</v>
      </c>
      <c r="BF1260" s="2" t="str">
        <f aca="false">HYPERLINK("http://dx.doi.org/10.1097/INF.0000000000003982","http://dx.doi.org/10.1097/INF.0000000000003982")</f>
        <v>http://dx.doi.org/10.1097/INF.0000000000003982</v>
      </c>
      <c r="BG1260" s="2"/>
      <c r="BH1260" s="2"/>
      <c r="BI1260" s="2" t="n">
        <v>8</v>
      </c>
      <c r="BJ1260" s="2" t="s">
        <v>134</v>
      </c>
      <c r="BK1260" s="2" t="s">
        <v>100</v>
      </c>
      <c r="BL1260" s="2" t="s">
        <v>134</v>
      </c>
      <c r="BM1260" s="2" t="s">
        <v>22092</v>
      </c>
      <c r="BN1260" s="2" t="n">
        <v>37257096</v>
      </c>
      <c r="BO1260" s="2" t="s">
        <v>538</v>
      </c>
      <c r="BP1260" s="2"/>
      <c r="BQ1260" s="2"/>
      <c r="BR1260" s="2" t="s">
        <v>104</v>
      </c>
      <c r="BS1260" s="2" t="s">
        <v>22093</v>
      </c>
      <c r="BT1260" s="2" t="str">
        <f aca="false">HYPERLINK("https%3A%2F%2Fwww.webofscience.com%2Fwos%2Fwoscc%2Ffull-record%2FWOS:001049300000028","View Full Record in Web of Science")</f>
        <v>View Full Record in Web of Science</v>
      </c>
    </row>
    <row r="1261" customFormat="false" ht="12.75" hidden="false" customHeight="false" outlineLevel="0" collapsed="false">
      <c r="A1261" s="2" t="s">
        <v>72</v>
      </c>
      <c r="B1261" s="2" t="s">
        <v>22079</v>
      </c>
      <c r="C1261" s="2"/>
      <c r="D1261" s="2"/>
      <c r="E1261" s="2"/>
      <c r="F1261" s="2" t="s">
        <v>22080</v>
      </c>
      <c r="G1261" s="2"/>
      <c r="H1261" s="2"/>
      <c r="I1261" s="2" t="s">
        <v>22094</v>
      </c>
      <c r="J1261" s="2" t="s">
        <v>141</v>
      </c>
      <c r="K1261" s="2"/>
      <c r="L1261" s="2"/>
      <c r="M1261" s="2" t="s">
        <v>77</v>
      </c>
      <c r="N1261" s="2" t="s">
        <v>78</v>
      </c>
      <c r="O1261" s="2"/>
      <c r="P1261" s="2"/>
      <c r="Q1261" s="2"/>
      <c r="R1261" s="2"/>
      <c r="S1261" s="2"/>
      <c r="T1261" s="2" t="s">
        <v>22095</v>
      </c>
      <c r="U1261" s="2" t="s">
        <v>22096</v>
      </c>
      <c r="V1261" s="2" t="s">
        <v>22097</v>
      </c>
      <c r="W1261" s="2" t="s">
        <v>22098</v>
      </c>
      <c r="X1261" s="2" t="s">
        <v>22086</v>
      </c>
      <c r="Y1261" s="2" t="s">
        <v>22099</v>
      </c>
      <c r="Z1261" s="2" t="s">
        <v>22100</v>
      </c>
      <c r="AA1261" s="2" t="s">
        <v>22101</v>
      </c>
      <c r="AB1261" s="2" t="s">
        <v>22090</v>
      </c>
      <c r="AC1261" s="2"/>
      <c r="AD1261" s="2"/>
      <c r="AE1261" s="2"/>
      <c r="AF1261" s="2"/>
      <c r="AG1261" s="2" t="n">
        <v>57</v>
      </c>
      <c r="AH1261" s="2" t="n">
        <v>4</v>
      </c>
      <c r="AI1261" s="2" t="n">
        <v>4</v>
      </c>
      <c r="AJ1261" s="2" t="n">
        <v>1</v>
      </c>
      <c r="AK1261" s="2" t="n">
        <v>4</v>
      </c>
      <c r="AL1261" s="2" t="s">
        <v>154</v>
      </c>
      <c r="AM1261" s="2" t="s">
        <v>155</v>
      </c>
      <c r="AN1261" s="2" t="s">
        <v>156</v>
      </c>
      <c r="AO1261" s="2" t="s">
        <v>157</v>
      </c>
      <c r="AP1261" s="2" t="s">
        <v>158</v>
      </c>
      <c r="AQ1261" s="2"/>
      <c r="AR1261" s="2" t="s">
        <v>159</v>
      </c>
      <c r="AS1261" s="2" t="s">
        <v>160</v>
      </c>
      <c r="AT1261" s="2" t="s">
        <v>446</v>
      </c>
      <c r="AU1261" s="2" t="n">
        <v>2023</v>
      </c>
      <c r="AV1261" s="2" t="n">
        <v>95</v>
      </c>
      <c r="AW1261" s="2" t="n">
        <v>12</v>
      </c>
      <c r="AX1261" s="2"/>
      <c r="AY1261" s="2"/>
      <c r="AZ1261" s="2"/>
      <c r="BA1261" s="2"/>
      <c r="BB1261" s="2"/>
      <c r="BC1261" s="2"/>
      <c r="BD1261" s="2" t="s">
        <v>22102</v>
      </c>
      <c r="BE1261" s="2" t="s">
        <v>22103</v>
      </c>
      <c r="BF1261" s="2" t="str">
        <f aca="false">HYPERLINK("http://dx.doi.org/10.1002/jmv.29299","http://dx.doi.org/10.1002/jmv.29299")</f>
        <v>http://dx.doi.org/10.1002/jmv.29299</v>
      </c>
      <c r="BG1261" s="2"/>
      <c r="BH1261" s="2"/>
      <c r="BI1261" s="2" t="n">
        <v>12</v>
      </c>
      <c r="BJ1261" s="2" t="s">
        <v>163</v>
      </c>
      <c r="BK1261" s="2" t="s">
        <v>100</v>
      </c>
      <c r="BL1261" s="2" t="s">
        <v>163</v>
      </c>
      <c r="BM1261" s="2" t="s">
        <v>22104</v>
      </c>
      <c r="BN1261" s="2" t="n">
        <v>38081792</v>
      </c>
      <c r="BO1261" s="2"/>
      <c r="BP1261" s="2"/>
      <c r="BQ1261" s="2"/>
      <c r="BR1261" s="2" t="s">
        <v>104</v>
      </c>
      <c r="BS1261" s="2" t="s">
        <v>22105</v>
      </c>
      <c r="BT1261" s="2" t="str">
        <f aca="false">HYPERLINK("https%3A%2F%2Fwww.webofscience.com%2Fwos%2Fwoscc%2Ffull-record%2FWOS:001138650800065","View Full Record in Web of Science")</f>
        <v>View Full Record in Web of Science</v>
      </c>
    </row>
    <row r="1262" customFormat="false" ht="12.75" hidden="false" customHeight="false" outlineLevel="0" collapsed="false">
      <c r="A1262" s="2" t="s">
        <v>72</v>
      </c>
      <c r="B1262" s="2" t="s">
        <v>22106</v>
      </c>
      <c r="C1262" s="2"/>
      <c r="D1262" s="2"/>
      <c r="E1262" s="2"/>
      <c r="F1262" s="2" t="s">
        <v>22107</v>
      </c>
      <c r="G1262" s="2"/>
      <c r="H1262" s="2" t="s">
        <v>22108</v>
      </c>
      <c r="I1262" s="2" t="s">
        <v>22109</v>
      </c>
      <c r="J1262" s="2" t="s">
        <v>8394</v>
      </c>
      <c r="K1262" s="2"/>
      <c r="L1262" s="2"/>
      <c r="M1262" s="2" t="s">
        <v>77</v>
      </c>
      <c r="N1262" s="2" t="s">
        <v>78</v>
      </c>
      <c r="O1262" s="2"/>
      <c r="P1262" s="2"/>
      <c r="Q1262" s="2"/>
      <c r="R1262" s="2"/>
      <c r="S1262" s="2"/>
      <c r="T1262" s="2" t="s">
        <v>22110</v>
      </c>
      <c r="U1262" s="2" t="s">
        <v>22111</v>
      </c>
      <c r="V1262" s="2" t="s">
        <v>22112</v>
      </c>
      <c r="W1262" s="2" t="s">
        <v>22113</v>
      </c>
      <c r="X1262" s="2" t="s">
        <v>22114</v>
      </c>
      <c r="Y1262" s="2" t="s">
        <v>22115</v>
      </c>
      <c r="Z1262" s="2" t="s">
        <v>22116</v>
      </c>
      <c r="AA1262" s="2" t="s">
        <v>22117</v>
      </c>
      <c r="AB1262" s="2" t="s">
        <v>22118</v>
      </c>
      <c r="AC1262" s="2" t="s">
        <v>22119</v>
      </c>
      <c r="AD1262" s="2" t="s">
        <v>22120</v>
      </c>
      <c r="AE1262" s="2" t="s">
        <v>22121</v>
      </c>
      <c r="AF1262" s="2"/>
      <c r="AG1262" s="2" t="n">
        <v>26</v>
      </c>
      <c r="AH1262" s="2" t="n">
        <v>13</v>
      </c>
      <c r="AI1262" s="2" t="n">
        <v>14</v>
      </c>
      <c r="AJ1262" s="2" t="n">
        <v>0</v>
      </c>
      <c r="AK1262" s="2" t="n">
        <v>1</v>
      </c>
      <c r="AL1262" s="2" t="s">
        <v>7639</v>
      </c>
      <c r="AM1262" s="2" t="s">
        <v>783</v>
      </c>
      <c r="AN1262" s="2" t="s">
        <v>7640</v>
      </c>
      <c r="AO1262" s="2" t="s">
        <v>8402</v>
      </c>
      <c r="AP1262" s="2" t="s">
        <v>8403</v>
      </c>
      <c r="AQ1262" s="2"/>
      <c r="AR1262" s="2" t="s">
        <v>14523</v>
      </c>
      <c r="AS1262" s="2" t="s">
        <v>8405</v>
      </c>
      <c r="AT1262" s="2" t="s">
        <v>129</v>
      </c>
      <c r="AU1262" s="2" t="n">
        <v>2017</v>
      </c>
      <c r="AV1262" s="2" t="n">
        <v>6</v>
      </c>
      <c r="AW1262" s="2" t="n">
        <v>3</v>
      </c>
      <c r="AX1262" s="2"/>
      <c r="AY1262" s="2"/>
      <c r="AZ1262" s="2"/>
      <c r="BA1262" s="2"/>
      <c r="BB1262" s="2" t="n">
        <v>260</v>
      </c>
      <c r="BC1262" s="2" t="n">
        <v>266</v>
      </c>
      <c r="BD1262" s="2"/>
      <c r="BE1262" s="2" t="s">
        <v>22122</v>
      </c>
      <c r="BF1262" s="2" t="str">
        <f aca="false">HYPERLINK("http://dx.doi.org/10.1093/jpids/piw042","http://dx.doi.org/10.1093/jpids/piw042")</f>
        <v>http://dx.doi.org/10.1093/jpids/piw042</v>
      </c>
      <c r="BG1262" s="2"/>
      <c r="BH1262" s="2"/>
      <c r="BI1262" s="2" t="n">
        <v>7</v>
      </c>
      <c r="BJ1262" s="2" t="s">
        <v>417</v>
      </c>
      <c r="BK1262" s="2" t="s">
        <v>100</v>
      </c>
      <c r="BL1262" s="2" t="s">
        <v>417</v>
      </c>
      <c r="BM1262" s="2" t="s">
        <v>22123</v>
      </c>
      <c r="BN1262" s="2" t="n">
        <v>27440506</v>
      </c>
      <c r="BO1262" s="2" t="s">
        <v>22124</v>
      </c>
      <c r="BP1262" s="2"/>
      <c r="BQ1262" s="2"/>
      <c r="BR1262" s="2" t="s">
        <v>104</v>
      </c>
      <c r="BS1262" s="2" t="s">
        <v>22125</v>
      </c>
      <c r="BT1262" s="2" t="str">
        <f aca="false">HYPERLINK("https%3A%2F%2Fwww.webofscience.com%2Fwos%2Fwoscc%2Ffull-record%2FWOS:000416622700035","View Full Record in Web of Science")</f>
        <v>View Full Record in Web of Science</v>
      </c>
    </row>
    <row r="1263" customFormat="false" ht="12.75" hidden="false" customHeight="false" outlineLevel="0" collapsed="false">
      <c r="A1263" s="2" t="s">
        <v>72</v>
      </c>
      <c r="B1263" s="2" t="s">
        <v>22126</v>
      </c>
      <c r="C1263" s="2"/>
      <c r="D1263" s="2"/>
      <c r="E1263" s="2"/>
      <c r="F1263" s="2" t="s">
        <v>22127</v>
      </c>
      <c r="G1263" s="2"/>
      <c r="H1263" s="2"/>
      <c r="I1263" s="2" t="s">
        <v>22128</v>
      </c>
      <c r="J1263" s="2" t="s">
        <v>1290</v>
      </c>
      <c r="K1263" s="2"/>
      <c r="L1263" s="2"/>
      <c r="M1263" s="2" t="s">
        <v>77</v>
      </c>
      <c r="N1263" s="2" t="s">
        <v>78</v>
      </c>
      <c r="O1263" s="2"/>
      <c r="P1263" s="2"/>
      <c r="Q1263" s="2"/>
      <c r="R1263" s="2"/>
      <c r="S1263" s="2"/>
      <c r="T1263" s="2" t="s">
        <v>22129</v>
      </c>
      <c r="U1263" s="2" t="s">
        <v>22130</v>
      </c>
      <c r="V1263" s="2" t="s">
        <v>22131</v>
      </c>
      <c r="W1263" s="2" t="s">
        <v>22132</v>
      </c>
      <c r="X1263" s="2" t="s">
        <v>22133</v>
      </c>
      <c r="Y1263" s="2" t="s">
        <v>22134</v>
      </c>
      <c r="Z1263" s="2" t="s">
        <v>22135</v>
      </c>
      <c r="AA1263" s="2" t="s">
        <v>22136</v>
      </c>
      <c r="AB1263" s="2" t="s">
        <v>22137</v>
      </c>
      <c r="AC1263" s="2"/>
      <c r="AD1263" s="2"/>
      <c r="AE1263" s="2"/>
      <c r="AF1263" s="2"/>
      <c r="AG1263" s="2" t="n">
        <v>40</v>
      </c>
      <c r="AH1263" s="2" t="n">
        <v>15</v>
      </c>
      <c r="AI1263" s="2" t="n">
        <v>16</v>
      </c>
      <c r="AJ1263" s="2" t="n">
        <v>0</v>
      </c>
      <c r="AK1263" s="2" t="n">
        <v>10</v>
      </c>
      <c r="AL1263" s="2" t="s">
        <v>154</v>
      </c>
      <c r="AM1263" s="2" t="s">
        <v>155</v>
      </c>
      <c r="AN1263" s="2" t="s">
        <v>156</v>
      </c>
      <c r="AO1263" s="2" t="s">
        <v>1302</v>
      </c>
      <c r="AP1263" s="2" t="s">
        <v>1303</v>
      </c>
      <c r="AQ1263" s="2"/>
      <c r="AR1263" s="2" t="s">
        <v>1304</v>
      </c>
      <c r="AS1263" s="2" t="s">
        <v>1305</v>
      </c>
      <c r="AT1263" s="2" t="s">
        <v>804</v>
      </c>
      <c r="AU1263" s="2" t="n">
        <v>2013</v>
      </c>
      <c r="AV1263" s="2" t="n">
        <v>48</v>
      </c>
      <c r="AW1263" s="2" t="n">
        <v>11</v>
      </c>
      <c r="AX1263" s="2"/>
      <c r="AY1263" s="2"/>
      <c r="AZ1263" s="2"/>
      <c r="BA1263" s="2"/>
      <c r="BB1263" s="2" t="n">
        <v>1112</v>
      </c>
      <c r="BC1263" s="2" t="n">
        <v>1118</v>
      </c>
      <c r="BD1263" s="2"/>
      <c r="BE1263" s="2" t="s">
        <v>22138</v>
      </c>
      <c r="BF1263" s="2" t="str">
        <f aca="false">HYPERLINK("http://dx.doi.org/10.1002/ppul.22732","http://dx.doi.org/10.1002/ppul.22732")</f>
        <v>http://dx.doi.org/10.1002/ppul.22732</v>
      </c>
      <c r="BG1263" s="2"/>
      <c r="BH1263" s="2"/>
      <c r="BI1263" s="2" t="n">
        <v>7</v>
      </c>
      <c r="BJ1263" s="2" t="s">
        <v>1307</v>
      </c>
      <c r="BK1263" s="2" t="s">
        <v>100</v>
      </c>
      <c r="BL1263" s="2" t="s">
        <v>1307</v>
      </c>
      <c r="BM1263" s="2" t="s">
        <v>22139</v>
      </c>
      <c r="BN1263" s="2" t="n">
        <v>23818319</v>
      </c>
      <c r="BO1263" s="2"/>
      <c r="BP1263" s="2"/>
      <c r="BQ1263" s="2"/>
      <c r="BR1263" s="2" t="s">
        <v>104</v>
      </c>
      <c r="BS1263" s="2" t="s">
        <v>22140</v>
      </c>
      <c r="BT1263" s="2" t="str">
        <f aca="false">HYPERLINK("https%3A%2F%2Fwww.webofscience.com%2Fwos%2Fwoscc%2Ffull-record%2FWOS:000326276500007","View Full Record in Web of Science")</f>
        <v>View Full Record in Web of Science</v>
      </c>
    </row>
    <row r="1264" customFormat="false" ht="12.75" hidden="false" customHeight="false" outlineLevel="0" collapsed="false">
      <c r="A1264" s="2" t="s">
        <v>72</v>
      </c>
      <c r="B1264" s="2" t="s">
        <v>22141</v>
      </c>
      <c r="C1264" s="2"/>
      <c r="D1264" s="2"/>
      <c r="E1264" s="2"/>
      <c r="F1264" s="2" t="s">
        <v>22142</v>
      </c>
      <c r="G1264" s="2"/>
      <c r="H1264" s="2"/>
      <c r="I1264" s="2" t="s">
        <v>22143</v>
      </c>
      <c r="J1264" s="2" t="s">
        <v>2820</v>
      </c>
      <c r="K1264" s="2"/>
      <c r="L1264" s="2"/>
      <c r="M1264" s="2" t="s">
        <v>77</v>
      </c>
      <c r="N1264" s="2" t="s">
        <v>78</v>
      </c>
      <c r="O1264" s="2"/>
      <c r="P1264" s="2"/>
      <c r="Q1264" s="2"/>
      <c r="R1264" s="2"/>
      <c r="S1264" s="2"/>
      <c r="T1264" s="2" t="s">
        <v>22144</v>
      </c>
      <c r="U1264" s="2" t="s">
        <v>22145</v>
      </c>
      <c r="V1264" s="2" t="s">
        <v>22146</v>
      </c>
      <c r="W1264" s="2" t="s">
        <v>22147</v>
      </c>
      <c r="X1264" s="2" t="s">
        <v>22148</v>
      </c>
      <c r="Y1264" s="2" t="s">
        <v>22149</v>
      </c>
      <c r="Z1264" s="2" t="s">
        <v>22150</v>
      </c>
      <c r="AA1264" s="2" t="s">
        <v>22151</v>
      </c>
      <c r="AB1264" s="2" t="s">
        <v>22152</v>
      </c>
      <c r="AC1264" s="2" t="s">
        <v>22153</v>
      </c>
      <c r="AD1264" s="2" t="s">
        <v>22154</v>
      </c>
      <c r="AE1264" s="2" t="s">
        <v>22155</v>
      </c>
      <c r="AF1264" s="2"/>
      <c r="AG1264" s="2" t="n">
        <v>31</v>
      </c>
      <c r="AH1264" s="2" t="n">
        <v>110</v>
      </c>
      <c r="AI1264" s="2" t="n">
        <v>118</v>
      </c>
      <c r="AJ1264" s="2" t="n">
        <v>0</v>
      </c>
      <c r="AK1264" s="2" t="n">
        <v>21</v>
      </c>
      <c r="AL1264" s="2" t="s">
        <v>919</v>
      </c>
      <c r="AM1264" s="2" t="s">
        <v>593</v>
      </c>
      <c r="AN1264" s="2" t="s">
        <v>920</v>
      </c>
      <c r="AO1264" s="2" t="s">
        <v>2833</v>
      </c>
      <c r="AP1264" s="2" t="s">
        <v>2834</v>
      </c>
      <c r="AQ1264" s="2"/>
      <c r="AR1264" s="2" t="s">
        <v>2835</v>
      </c>
      <c r="AS1264" s="2" t="s">
        <v>2836</v>
      </c>
      <c r="AT1264" s="2" t="s">
        <v>599</v>
      </c>
      <c r="AU1264" s="2" t="n">
        <v>2015</v>
      </c>
      <c r="AV1264" s="2" t="n">
        <v>136</v>
      </c>
      <c r="AW1264" s="2" t="n">
        <v>1</v>
      </c>
      <c r="AX1264" s="2"/>
      <c r="AY1264" s="2"/>
      <c r="AZ1264" s="2"/>
      <c r="BA1264" s="2"/>
      <c r="BB1264" s="2" t="n">
        <v>81</v>
      </c>
      <c r="BC1264" s="2" t="s">
        <v>22156</v>
      </c>
      <c r="BD1264" s="2"/>
      <c r="BE1264" s="2" t="s">
        <v>22157</v>
      </c>
      <c r="BF1264" s="2" t="str">
        <f aca="false">HYPERLINK("http://dx.doi.org/10.1016/j.jaci.2015.02.024","http://dx.doi.org/10.1016/j.jaci.2015.02.024")</f>
        <v>http://dx.doi.org/10.1016/j.jaci.2015.02.024</v>
      </c>
      <c r="BG1264" s="2"/>
      <c r="BH1264" s="2"/>
      <c r="BI1264" s="2" t="n">
        <v>10</v>
      </c>
      <c r="BJ1264" s="2" t="s">
        <v>254</v>
      </c>
      <c r="BK1264" s="2" t="s">
        <v>100</v>
      </c>
      <c r="BL1264" s="2" t="s">
        <v>254</v>
      </c>
      <c r="BM1264" s="2" t="s">
        <v>22158</v>
      </c>
      <c r="BN1264" s="2" t="n">
        <v>25910716</v>
      </c>
      <c r="BO1264" s="2" t="s">
        <v>13292</v>
      </c>
      <c r="BP1264" s="2"/>
      <c r="BQ1264" s="2"/>
      <c r="BR1264" s="2" t="s">
        <v>104</v>
      </c>
      <c r="BS1264" s="2" t="s">
        <v>22159</v>
      </c>
      <c r="BT1264" s="2" t="str">
        <f aca="false">HYPERLINK("https%3A%2F%2Fwww.webofscience.com%2Fwos%2Fwoscc%2Ffull-record%2FWOS:000357542200009","View Full Record in Web of Science")</f>
        <v>View Full Record in Web of Science</v>
      </c>
    </row>
    <row r="1265" customFormat="false" ht="12.75" hidden="false" customHeight="false" outlineLevel="0" collapsed="false">
      <c r="A1265" s="2" t="s">
        <v>72</v>
      </c>
      <c r="B1265" s="2" t="s">
        <v>22160</v>
      </c>
      <c r="C1265" s="2"/>
      <c r="D1265" s="2"/>
      <c r="E1265" s="2"/>
      <c r="F1265" s="2" t="s">
        <v>22161</v>
      </c>
      <c r="G1265" s="2"/>
      <c r="H1265" s="2"/>
      <c r="I1265" s="2" t="s">
        <v>22162</v>
      </c>
      <c r="J1265" s="2" t="s">
        <v>22163</v>
      </c>
      <c r="K1265" s="2"/>
      <c r="L1265" s="2"/>
      <c r="M1265" s="2" t="s">
        <v>77</v>
      </c>
      <c r="N1265" s="2" t="s">
        <v>78</v>
      </c>
      <c r="O1265" s="2"/>
      <c r="P1265" s="2"/>
      <c r="Q1265" s="2"/>
      <c r="R1265" s="2"/>
      <c r="S1265" s="2"/>
      <c r="T1265" s="2" t="s">
        <v>22164</v>
      </c>
      <c r="U1265" s="2" t="s">
        <v>22165</v>
      </c>
      <c r="V1265" s="2" t="s">
        <v>22166</v>
      </c>
      <c r="W1265" s="2" t="s">
        <v>22167</v>
      </c>
      <c r="X1265" s="2" t="s">
        <v>22168</v>
      </c>
      <c r="Y1265" s="2" t="s">
        <v>22169</v>
      </c>
      <c r="Z1265" s="2" t="s">
        <v>22170</v>
      </c>
      <c r="AA1265" s="2" t="s">
        <v>22171</v>
      </c>
      <c r="AB1265" s="2" t="s">
        <v>22172</v>
      </c>
      <c r="AC1265" s="2"/>
      <c r="AD1265" s="2"/>
      <c r="AE1265" s="2"/>
      <c r="AF1265" s="2"/>
      <c r="AG1265" s="2" t="n">
        <v>21</v>
      </c>
      <c r="AH1265" s="2" t="n">
        <v>26</v>
      </c>
      <c r="AI1265" s="2" t="n">
        <v>26</v>
      </c>
      <c r="AJ1265" s="2" t="n">
        <v>0</v>
      </c>
      <c r="AK1265" s="2" t="n">
        <v>5</v>
      </c>
      <c r="AL1265" s="2" t="s">
        <v>1749</v>
      </c>
      <c r="AM1265" s="2" t="s">
        <v>1750</v>
      </c>
      <c r="AN1265" s="2" t="s">
        <v>1751</v>
      </c>
      <c r="AO1265" s="2" t="s">
        <v>22173</v>
      </c>
      <c r="AP1265" s="2"/>
      <c r="AQ1265" s="2"/>
      <c r="AR1265" s="2" t="s">
        <v>22174</v>
      </c>
      <c r="AS1265" s="2" t="s">
        <v>22175</v>
      </c>
      <c r="AT1265" s="2" t="s">
        <v>446</v>
      </c>
      <c r="AU1265" s="2" t="n">
        <v>2012</v>
      </c>
      <c r="AV1265" s="2" t="n">
        <v>81</v>
      </c>
      <c r="AW1265" s="2" t="n">
        <v>12</v>
      </c>
      <c r="AX1265" s="2"/>
      <c r="AY1265" s="2"/>
      <c r="AZ1265" s="2"/>
      <c r="BA1265" s="2"/>
      <c r="BB1265" s="2" t="n">
        <v>4173</v>
      </c>
      <c r="BC1265" s="2" t="n">
        <v>4178</v>
      </c>
      <c r="BD1265" s="2"/>
      <c r="BE1265" s="2" t="s">
        <v>22176</v>
      </c>
      <c r="BF1265" s="2" t="str">
        <f aca="false">HYPERLINK("http://dx.doi.org/10.1016/j.ejrad.2012.06.024","http://dx.doi.org/10.1016/j.ejrad.2012.06.024")</f>
        <v>http://dx.doi.org/10.1016/j.ejrad.2012.06.024</v>
      </c>
      <c r="BG1265" s="2"/>
      <c r="BH1265" s="2"/>
      <c r="BI1265" s="2" t="n">
        <v>6</v>
      </c>
      <c r="BJ1265" s="2" t="s">
        <v>16579</v>
      </c>
      <c r="BK1265" s="2" t="s">
        <v>100</v>
      </c>
      <c r="BL1265" s="2" t="s">
        <v>16579</v>
      </c>
      <c r="BM1265" s="2" t="s">
        <v>22177</v>
      </c>
      <c r="BN1265" s="2" t="n">
        <v>22795844</v>
      </c>
      <c r="BO1265" s="2"/>
      <c r="BP1265" s="2"/>
      <c r="BQ1265" s="2"/>
      <c r="BR1265" s="2" t="s">
        <v>104</v>
      </c>
      <c r="BS1265" s="2" t="s">
        <v>22178</v>
      </c>
      <c r="BT1265" s="2" t="str">
        <f aca="false">HYPERLINK("https%3A%2F%2Fwww.webofscience.com%2Fwos%2Fwoscc%2Ffull-record%2FWOS:000311340800078","View Full Record in Web of Science")</f>
        <v>View Full Record in Web of Science</v>
      </c>
    </row>
    <row r="1266" customFormat="false" ht="12.75" hidden="false" customHeight="false" outlineLevel="0" collapsed="false">
      <c r="A1266" s="2" t="s">
        <v>72</v>
      </c>
      <c r="B1266" s="2" t="s">
        <v>22179</v>
      </c>
      <c r="C1266" s="2"/>
      <c r="D1266" s="2"/>
      <c r="E1266" s="2"/>
      <c r="F1266" s="2" t="s">
        <v>22180</v>
      </c>
      <c r="G1266" s="2"/>
      <c r="H1266" s="2"/>
      <c r="I1266" s="2" t="s">
        <v>22181</v>
      </c>
      <c r="J1266" s="2" t="s">
        <v>4895</v>
      </c>
      <c r="K1266" s="2"/>
      <c r="L1266" s="2"/>
      <c r="M1266" s="2" t="s">
        <v>77</v>
      </c>
      <c r="N1266" s="2" t="s">
        <v>78</v>
      </c>
      <c r="O1266" s="2"/>
      <c r="P1266" s="2"/>
      <c r="Q1266" s="2"/>
      <c r="R1266" s="2"/>
      <c r="S1266" s="2"/>
      <c r="T1266" s="2" t="s">
        <v>22182</v>
      </c>
      <c r="U1266" s="2"/>
      <c r="V1266" s="2" t="s">
        <v>22183</v>
      </c>
      <c r="W1266" s="2" t="s">
        <v>22184</v>
      </c>
      <c r="X1266" s="2" t="s">
        <v>22185</v>
      </c>
      <c r="Y1266" s="2" t="s">
        <v>22186</v>
      </c>
      <c r="Z1266" s="2" t="s">
        <v>22187</v>
      </c>
      <c r="AA1266" s="2" t="s">
        <v>22188</v>
      </c>
      <c r="AB1266" s="2"/>
      <c r="AC1266" s="2" t="s">
        <v>22189</v>
      </c>
      <c r="AD1266" s="2" t="s">
        <v>9467</v>
      </c>
      <c r="AE1266" s="2" t="s">
        <v>22190</v>
      </c>
      <c r="AF1266" s="2"/>
      <c r="AG1266" s="2" t="n">
        <v>41</v>
      </c>
      <c r="AH1266" s="2" t="n">
        <v>0</v>
      </c>
      <c r="AI1266" s="2" t="n">
        <v>0</v>
      </c>
      <c r="AJ1266" s="2" t="n">
        <v>1</v>
      </c>
      <c r="AK1266" s="2" t="n">
        <v>1</v>
      </c>
      <c r="AL1266" s="2" t="s">
        <v>592</v>
      </c>
      <c r="AM1266" s="2" t="s">
        <v>593</v>
      </c>
      <c r="AN1266" s="2" t="s">
        <v>859</v>
      </c>
      <c r="AO1266" s="2" t="s">
        <v>4905</v>
      </c>
      <c r="AP1266" s="2" t="s">
        <v>4906</v>
      </c>
      <c r="AQ1266" s="2"/>
      <c r="AR1266" s="2" t="s">
        <v>4907</v>
      </c>
      <c r="AS1266" s="2" t="s">
        <v>4908</v>
      </c>
      <c r="AT1266" s="2" t="s">
        <v>446</v>
      </c>
      <c r="AU1266" s="2" t="n">
        <v>2024</v>
      </c>
      <c r="AV1266" s="2" t="n">
        <v>43</v>
      </c>
      <c r="AW1266" s="2" t="n">
        <v>12</v>
      </c>
      <c r="AX1266" s="2"/>
      <c r="AY1266" s="2"/>
      <c r="AZ1266" s="2"/>
      <c r="BA1266" s="2"/>
      <c r="BB1266" s="2" t="n">
        <v>2259</v>
      </c>
      <c r="BC1266" s="2" t="n">
        <v>2268</v>
      </c>
      <c r="BD1266" s="2"/>
      <c r="BE1266" s="2" t="s">
        <v>22191</v>
      </c>
      <c r="BF1266" s="2" t="str">
        <f aca="false">HYPERLINK("http://dx.doi.org/10.1007/s10096-024-04945-1","http://dx.doi.org/10.1007/s10096-024-04945-1")</f>
        <v>http://dx.doi.org/10.1007/s10096-024-04945-1</v>
      </c>
      <c r="BG1266" s="2"/>
      <c r="BH1266" s="2" t="s">
        <v>22192</v>
      </c>
      <c r="BI1266" s="2" t="n">
        <v>10</v>
      </c>
      <c r="BJ1266" s="2" t="s">
        <v>1467</v>
      </c>
      <c r="BK1266" s="2" t="s">
        <v>100</v>
      </c>
      <c r="BL1266" s="2" t="s">
        <v>1467</v>
      </c>
      <c r="BM1266" s="2" t="s">
        <v>22193</v>
      </c>
      <c r="BN1266" s="2" t="n">
        <v>39292354</v>
      </c>
      <c r="BO1266" s="2" t="s">
        <v>2278</v>
      </c>
      <c r="BP1266" s="2"/>
      <c r="BQ1266" s="2"/>
      <c r="BR1266" s="2" t="s">
        <v>104</v>
      </c>
      <c r="BS1266" s="2" t="s">
        <v>22194</v>
      </c>
      <c r="BT1266" s="2" t="str">
        <f aca="false">HYPERLINK("https%3A%2F%2Fwww.webofscience.com%2Fwos%2Fwoscc%2Ffull-record%2FWOS:001315593500001","View Full Record in Web of Science")</f>
        <v>View Full Record in Web of Science</v>
      </c>
    </row>
    <row r="1267" customFormat="false" ht="12.75" hidden="false" customHeight="false" outlineLevel="0" collapsed="false">
      <c r="A1267" s="2" t="s">
        <v>72</v>
      </c>
      <c r="B1267" s="2" t="s">
        <v>22195</v>
      </c>
      <c r="C1267" s="2"/>
      <c r="D1267" s="2"/>
      <c r="E1267" s="2"/>
      <c r="F1267" s="2" t="s">
        <v>22196</v>
      </c>
      <c r="G1267" s="2"/>
      <c r="H1267" s="2"/>
      <c r="I1267" s="2" t="s">
        <v>22197</v>
      </c>
      <c r="J1267" s="2" t="s">
        <v>557</v>
      </c>
      <c r="K1267" s="2"/>
      <c r="L1267" s="2"/>
      <c r="M1267" s="2" t="s">
        <v>77</v>
      </c>
      <c r="N1267" s="2" t="s">
        <v>78</v>
      </c>
      <c r="O1267" s="2"/>
      <c r="P1267" s="2"/>
      <c r="Q1267" s="2"/>
      <c r="R1267" s="2"/>
      <c r="S1267" s="2"/>
      <c r="T1267" s="2" t="s">
        <v>22198</v>
      </c>
      <c r="U1267" s="2" t="s">
        <v>22199</v>
      </c>
      <c r="V1267" s="2" t="s">
        <v>22200</v>
      </c>
      <c r="W1267" s="2" t="s">
        <v>22201</v>
      </c>
      <c r="X1267" s="2" t="s">
        <v>22202</v>
      </c>
      <c r="Y1267" s="2" t="s">
        <v>22203</v>
      </c>
      <c r="Z1267" s="2" t="s">
        <v>22204</v>
      </c>
      <c r="AA1267" s="2" t="s">
        <v>22205</v>
      </c>
      <c r="AB1267" s="2"/>
      <c r="AC1267" s="2" t="s">
        <v>22206</v>
      </c>
      <c r="AD1267" s="2" t="s">
        <v>22207</v>
      </c>
      <c r="AE1267" s="2" t="s">
        <v>22208</v>
      </c>
      <c r="AF1267" s="2"/>
      <c r="AG1267" s="2" t="n">
        <v>33</v>
      </c>
      <c r="AH1267" s="2" t="n">
        <v>1</v>
      </c>
      <c r="AI1267" s="2" t="n">
        <v>1</v>
      </c>
      <c r="AJ1267" s="2" t="n">
        <v>5</v>
      </c>
      <c r="AK1267" s="2" t="n">
        <v>10</v>
      </c>
      <c r="AL1267" s="2" t="s">
        <v>302</v>
      </c>
      <c r="AM1267" s="2" t="s">
        <v>303</v>
      </c>
      <c r="AN1267" s="2" t="s">
        <v>304</v>
      </c>
      <c r="AO1267" s="2"/>
      <c r="AP1267" s="2" t="s">
        <v>570</v>
      </c>
      <c r="AQ1267" s="2"/>
      <c r="AR1267" s="2" t="s">
        <v>571</v>
      </c>
      <c r="AS1267" s="2" t="s">
        <v>572</v>
      </c>
      <c r="AT1267" s="2" t="s">
        <v>22209</v>
      </c>
      <c r="AU1267" s="2" t="n">
        <v>2024</v>
      </c>
      <c r="AV1267" s="2" t="n">
        <v>24</v>
      </c>
      <c r="AW1267" s="2" t="n">
        <v>1</v>
      </c>
      <c r="AX1267" s="2"/>
      <c r="AY1267" s="2"/>
      <c r="AZ1267" s="2"/>
      <c r="BA1267" s="2"/>
      <c r="BB1267" s="2"/>
      <c r="BC1267" s="2"/>
      <c r="BD1267" s="2" t="n">
        <v>426</v>
      </c>
      <c r="BE1267" s="2" t="s">
        <v>22210</v>
      </c>
      <c r="BF1267" s="2" t="str">
        <f aca="false">HYPERLINK("http://dx.doi.org/10.1186/s12879-024-09297-x","http://dx.doi.org/10.1186/s12879-024-09297-x")</f>
        <v>http://dx.doi.org/10.1186/s12879-024-09297-x</v>
      </c>
      <c r="BG1267" s="2"/>
      <c r="BH1267" s="2"/>
      <c r="BI1267" s="2" t="n">
        <v>14</v>
      </c>
      <c r="BJ1267" s="2" t="s">
        <v>575</v>
      </c>
      <c r="BK1267" s="2" t="s">
        <v>100</v>
      </c>
      <c r="BL1267" s="2" t="s">
        <v>575</v>
      </c>
      <c r="BM1267" s="2" t="s">
        <v>22211</v>
      </c>
      <c r="BN1267" s="2" t="n">
        <v>38649799</v>
      </c>
      <c r="BO1267" s="2" t="s">
        <v>1355</v>
      </c>
      <c r="BP1267" s="2"/>
      <c r="BQ1267" s="2"/>
      <c r="BR1267" s="2" t="s">
        <v>104</v>
      </c>
      <c r="BS1267" s="2" t="s">
        <v>22212</v>
      </c>
      <c r="BT1267" s="2" t="str">
        <f aca="false">HYPERLINK("https%3A%2F%2Fwww.webofscience.com%2Fwos%2Fwoscc%2Ffull-record%2FWOS:001206346900006","View Full Record in Web of Science")</f>
        <v>View Full Record in Web of Science</v>
      </c>
    </row>
    <row r="1268" customFormat="false" ht="12.75" hidden="false" customHeight="false" outlineLevel="0" collapsed="false">
      <c r="A1268" s="2" t="s">
        <v>72</v>
      </c>
      <c r="B1268" s="2" t="s">
        <v>22213</v>
      </c>
      <c r="C1268" s="2"/>
      <c r="D1268" s="2"/>
      <c r="E1268" s="2"/>
      <c r="F1268" s="2" t="s">
        <v>22214</v>
      </c>
      <c r="G1268" s="2"/>
      <c r="H1268" s="2"/>
      <c r="I1268" s="2" t="s">
        <v>22215</v>
      </c>
      <c r="J1268" s="2" t="s">
        <v>13508</v>
      </c>
      <c r="K1268" s="2"/>
      <c r="L1268" s="2"/>
      <c r="M1268" s="2" t="s">
        <v>77</v>
      </c>
      <c r="N1268" s="2" t="s">
        <v>78</v>
      </c>
      <c r="O1268" s="2"/>
      <c r="P1268" s="2"/>
      <c r="Q1268" s="2"/>
      <c r="R1268" s="2"/>
      <c r="S1268" s="2"/>
      <c r="T1268" s="2" t="s">
        <v>22216</v>
      </c>
      <c r="U1268" s="2" t="s">
        <v>22217</v>
      </c>
      <c r="V1268" s="2" t="s">
        <v>22218</v>
      </c>
      <c r="W1268" s="2" t="s">
        <v>22219</v>
      </c>
      <c r="X1268" s="2" t="s">
        <v>22220</v>
      </c>
      <c r="Y1268" s="2" t="s">
        <v>22221</v>
      </c>
      <c r="Z1268" s="2" t="s">
        <v>22222</v>
      </c>
      <c r="AA1268" s="2" t="s">
        <v>22223</v>
      </c>
      <c r="AB1268" s="2" t="s">
        <v>22224</v>
      </c>
      <c r="AC1268" s="2" t="s">
        <v>22225</v>
      </c>
      <c r="AD1268" s="2" t="s">
        <v>22226</v>
      </c>
      <c r="AE1268" s="2" t="s">
        <v>22227</v>
      </c>
      <c r="AF1268" s="2"/>
      <c r="AG1268" s="2" t="n">
        <v>50</v>
      </c>
      <c r="AH1268" s="2" t="n">
        <v>8</v>
      </c>
      <c r="AI1268" s="2" t="n">
        <v>8</v>
      </c>
      <c r="AJ1268" s="2" t="n">
        <v>0</v>
      </c>
      <c r="AK1268" s="2" t="n">
        <v>1</v>
      </c>
      <c r="AL1268" s="2" t="s">
        <v>383</v>
      </c>
      <c r="AM1268" s="2" t="s">
        <v>384</v>
      </c>
      <c r="AN1268" s="2" t="s">
        <v>385</v>
      </c>
      <c r="AO1268" s="2" t="s">
        <v>13518</v>
      </c>
      <c r="AP1268" s="2" t="s">
        <v>13519</v>
      </c>
      <c r="AQ1268" s="2"/>
      <c r="AR1268" s="2" t="s">
        <v>13520</v>
      </c>
      <c r="AS1268" s="2" t="s">
        <v>13521</v>
      </c>
      <c r="AT1268" s="2" t="s">
        <v>185</v>
      </c>
      <c r="AU1268" s="2" t="n">
        <v>2011</v>
      </c>
      <c r="AV1268" s="2" t="n">
        <v>13</v>
      </c>
      <c r="AW1268" s="2" t="s">
        <v>22228</v>
      </c>
      <c r="AX1268" s="2"/>
      <c r="AY1268" s="2"/>
      <c r="AZ1268" s="2"/>
      <c r="BA1268" s="2"/>
      <c r="BB1268" s="2" t="n">
        <v>783</v>
      </c>
      <c r="BC1268" s="2" t="n">
        <v>797</v>
      </c>
      <c r="BD1268" s="2"/>
      <c r="BE1268" s="2" t="s">
        <v>22229</v>
      </c>
      <c r="BF1268" s="2" t="str">
        <f aca="false">HYPERLINK("http://dx.doi.org/10.1016/j.micinf.2011.04.003","http://dx.doi.org/10.1016/j.micinf.2011.04.003")</f>
        <v>http://dx.doi.org/10.1016/j.micinf.2011.04.003</v>
      </c>
      <c r="BG1268" s="2"/>
      <c r="BH1268" s="2"/>
      <c r="BI1268" s="2" t="n">
        <v>15</v>
      </c>
      <c r="BJ1268" s="2" t="s">
        <v>536</v>
      </c>
      <c r="BK1268" s="2" t="s">
        <v>100</v>
      </c>
      <c r="BL1268" s="2" t="s">
        <v>536</v>
      </c>
      <c r="BM1268" s="2" t="s">
        <v>22230</v>
      </c>
      <c r="BN1268" s="2" t="n">
        <v>21530676</v>
      </c>
      <c r="BO1268" s="2" t="s">
        <v>765</v>
      </c>
      <c r="BP1268" s="2"/>
      <c r="BQ1268" s="2"/>
      <c r="BR1268" s="2" t="s">
        <v>104</v>
      </c>
      <c r="BS1268" s="2" t="s">
        <v>22231</v>
      </c>
      <c r="BT1268" s="2" t="str">
        <f aca="false">HYPERLINK("https%3A%2F%2Fwww.webofscience.com%2Fwos%2Fwoscc%2Ffull-record%2FWOS:000293118300010","View Full Record in Web of Science")</f>
        <v>View Full Record in Web of Science</v>
      </c>
    </row>
    <row r="1269" customFormat="false" ht="12.75" hidden="false" customHeight="false" outlineLevel="0" collapsed="false">
      <c r="A1269" s="2" t="s">
        <v>72</v>
      </c>
      <c r="B1269" s="2" t="s">
        <v>22232</v>
      </c>
      <c r="C1269" s="2"/>
      <c r="D1269" s="2"/>
      <c r="E1269" s="2"/>
      <c r="F1269" s="2" t="s">
        <v>22233</v>
      </c>
      <c r="G1269" s="2"/>
      <c r="H1269" s="2"/>
      <c r="I1269" s="2" t="s">
        <v>22234</v>
      </c>
      <c r="J1269" s="2" t="s">
        <v>141</v>
      </c>
      <c r="K1269" s="2"/>
      <c r="L1269" s="2"/>
      <c r="M1269" s="2" t="s">
        <v>77</v>
      </c>
      <c r="N1269" s="2" t="s">
        <v>78</v>
      </c>
      <c r="O1269" s="2"/>
      <c r="P1269" s="2"/>
      <c r="Q1269" s="2"/>
      <c r="R1269" s="2"/>
      <c r="S1269" s="2"/>
      <c r="T1269" s="2" t="s">
        <v>22235</v>
      </c>
      <c r="U1269" s="2" t="s">
        <v>22236</v>
      </c>
      <c r="V1269" s="2" t="s">
        <v>22237</v>
      </c>
      <c r="W1269" s="2" t="s">
        <v>22238</v>
      </c>
      <c r="X1269" s="2" t="s">
        <v>22239</v>
      </c>
      <c r="Y1269" s="2" t="s">
        <v>22240</v>
      </c>
      <c r="Z1269" s="2" t="s">
        <v>22241</v>
      </c>
      <c r="AA1269" s="2" t="s">
        <v>22242</v>
      </c>
      <c r="AB1269" s="2" t="s">
        <v>22243</v>
      </c>
      <c r="AC1269" s="2" t="s">
        <v>22244</v>
      </c>
      <c r="AD1269" s="2" t="s">
        <v>22245</v>
      </c>
      <c r="AE1269" s="2" t="s">
        <v>22244</v>
      </c>
      <c r="AF1269" s="2"/>
      <c r="AG1269" s="2" t="n">
        <v>26</v>
      </c>
      <c r="AH1269" s="2" t="n">
        <v>1</v>
      </c>
      <c r="AI1269" s="2" t="n">
        <v>1</v>
      </c>
      <c r="AJ1269" s="2" t="n">
        <v>0</v>
      </c>
      <c r="AK1269" s="2" t="n">
        <v>1</v>
      </c>
      <c r="AL1269" s="2" t="s">
        <v>154</v>
      </c>
      <c r="AM1269" s="2" t="s">
        <v>155</v>
      </c>
      <c r="AN1269" s="2" t="s">
        <v>156</v>
      </c>
      <c r="AO1269" s="2" t="s">
        <v>157</v>
      </c>
      <c r="AP1269" s="2" t="s">
        <v>158</v>
      </c>
      <c r="AQ1269" s="2"/>
      <c r="AR1269" s="2" t="s">
        <v>159</v>
      </c>
      <c r="AS1269" s="2" t="s">
        <v>160</v>
      </c>
      <c r="AT1269" s="2" t="s">
        <v>804</v>
      </c>
      <c r="AU1269" s="2" t="n">
        <v>2021</v>
      </c>
      <c r="AV1269" s="2" t="n">
        <v>93</v>
      </c>
      <c r="AW1269" s="2" t="n">
        <v>11</v>
      </c>
      <c r="AX1269" s="2"/>
      <c r="AY1269" s="2"/>
      <c r="AZ1269" s="2"/>
      <c r="BA1269" s="2"/>
      <c r="BB1269" s="2" t="n">
        <v>6132</v>
      </c>
      <c r="BC1269" s="2" t="n">
        <v>6139</v>
      </c>
      <c r="BD1269" s="2"/>
      <c r="BE1269" s="2" t="s">
        <v>22246</v>
      </c>
      <c r="BF1269" s="2" t="str">
        <f aca="false">HYPERLINK("http://dx.doi.org/10.1002/jmv.27107","http://dx.doi.org/10.1002/jmv.27107")</f>
        <v>http://dx.doi.org/10.1002/jmv.27107</v>
      </c>
      <c r="BG1269" s="2"/>
      <c r="BH1269" s="2" t="s">
        <v>11148</v>
      </c>
      <c r="BI1269" s="2" t="n">
        <v>8</v>
      </c>
      <c r="BJ1269" s="2" t="s">
        <v>163</v>
      </c>
      <c r="BK1269" s="2" t="s">
        <v>100</v>
      </c>
      <c r="BL1269" s="2" t="s">
        <v>163</v>
      </c>
      <c r="BM1269" s="2" t="s">
        <v>22247</v>
      </c>
      <c r="BN1269" s="2" t="n">
        <v>34050944</v>
      </c>
      <c r="BO1269" s="2"/>
      <c r="BP1269" s="2"/>
      <c r="BQ1269" s="2"/>
      <c r="BR1269" s="2" t="s">
        <v>104</v>
      </c>
      <c r="BS1269" s="2" t="s">
        <v>22248</v>
      </c>
      <c r="BT1269" s="2" t="str">
        <f aca="false">HYPERLINK("https%3A%2F%2Fwww.webofscience.com%2Fwos%2Fwoscc%2Ffull-record%2FWOS:000659467600001","View Full Record in Web of Science")</f>
        <v>View Full Record in Web of Science</v>
      </c>
    </row>
    <row r="1270" customFormat="false" ht="12.75" hidden="false" customHeight="false" outlineLevel="0" collapsed="false">
      <c r="A1270" s="2" t="s">
        <v>72</v>
      </c>
      <c r="B1270" s="2" t="s">
        <v>22249</v>
      </c>
      <c r="C1270" s="2"/>
      <c r="D1270" s="2"/>
      <c r="E1270" s="2"/>
      <c r="F1270" s="2" t="s">
        <v>22250</v>
      </c>
      <c r="G1270" s="2"/>
      <c r="H1270" s="2"/>
      <c r="I1270" s="2" t="s">
        <v>22251</v>
      </c>
      <c r="J1270" s="2" t="s">
        <v>22252</v>
      </c>
      <c r="K1270" s="2"/>
      <c r="L1270" s="2"/>
      <c r="M1270" s="2" t="s">
        <v>77</v>
      </c>
      <c r="N1270" s="2" t="s">
        <v>78</v>
      </c>
      <c r="O1270" s="2"/>
      <c r="P1270" s="2"/>
      <c r="Q1270" s="2"/>
      <c r="R1270" s="2"/>
      <c r="S1270" s="2"/>
      <c r="T1270" s="2" t="s">
        <v>22253</v>
      </c>
      <c r="U1270" s="2" t="s">
        <v>22254</v>
      </c>
      <c r="V1270" s="2" t="s">
        <v>22255</v>
      </c>
      <c r="W1270" s="2" t="s">
        <v>22256</v>
      </c>
      <c r="X1270" s="2" t="s">
        <v>22257</v>
      </c>
      <c r="Y1270" s="2" t="s">
        <v>22258</v>
      </c>
      <c r="Z1270" s="2" t="s">
        <v>22259</v>
      </c>
      <c r="AA1270" s="2" t="s">
        <v>22260</v>
      </c>
      <c r="AB1270" s="2" t="s">
        <v>22261</v>
      </c>
      <c r="AC1270" s="2" t="s">
        <v>22262</v>
      </c>
      <c r="AD1270" s="2" t="s">
        <v>22263</v>
      </c>
      <c r="AE1270" s="2" t="s">
        <v>22264</v>
      </c>
      <c r="AF1270" s="2"/>
      <c r="AG1270" s="2" t="n">
        <v>37</v>
      </c>
      <c r="AH1270" s="2" t="n">
        <v>2</v>
      </c>
      <c r="AI1270" s="2" t="n">
        <v>2</v>
      </c>
      <c r="AJ1270" s="2" t="n">
        <v>2</v>
      </c>
      <c r="AK1270" s="2" t="n">
        <v>9</v>
      </c>
      <c r="AL1270" s="2" t="s">
        <v>302</v>
      </c>
      <c r="AM1270" s="2" t="s">
        <v>303</v>
      </c>
      <c r="AN1270" s="2" t="s">
        <v>304</v>
      </c>
      <c r="AO1270" s="2" t="s">
        <v>22265</v>
      </c>
      <c r="AP1270" s="2"/>
      <c r="AQ1270" s="2"/>
      <c r="AR1270" s="2" t="s">
        <v>22266</v>
      </c>
      <c r="AS1270" s="2" t="s">
        <v>22267</v>
      </c>
      <c r="AT1270" s="2" t="s">
        <v>22268</v>
      </c>
      <c r="AU1270" s="2" t="n">
        <v>2023</v>
      </c>
      <c r="AV1270" s="2" t="n">
        <v>17</v>
      </c>
      <c r="AW1270" s="2" t="n">
        <v>1</v>
      </c>
      <c r="AX1270" s="2"/>
      <c r="AY1270" s="2"/>
      <c r="AZ1270" s="2"/>
      <c r="BA1270" s="2"/>
      <c r="BB1270" s="2"/>
      <c r="BC1270" s="2"/>
      <c r="BD1270" s="2" t="n">
        <v>31</v>
      </c>
      <c r="BE1270" s="2" t="s">
        <v>22269</v>
      </c>
      <c r="BF1270" s="2" t="str">
        <f aca="false">HYPERLINK("http://dx.doi.org/10.1186/s13036-023-00349-5","http://dx.doi.org/10.1186/s13036-023-00349-5")</f>
        <v>http://dx.doi.org/10.1186/s13036-023-00349-5</v>
      </c>
      <c r="BG1270" s="2"/>
      <c r="BH1270" s="2"/>
      <c r="BI1270" s="2" t="n">
        <v>12</v>
      </c>
      <c r="BJ1270" s="2" t="s">
        <v>22270</v>
      </c>
      <c r="BK1270" s="2" t="s">
        <v>100</v>
      </c>
      <c r="BL1270" s="2" t="s">
        <v>22271</v>
      </c>
      <c r="BM1270" s="2" t="s">
        <v>22272</v>
      </c>
      <c r="BN1270" s="2" t="n">
        <v>37095522</v>
      </c>
      <c r="BO1270" s="2" t="s">
        <v>103</v>
      </c>
      <c r="BP1270" s="2"/>
      <c r="BQ1270" s="2"/>
      <c r="BR1270" s="2" t="s">
        <v>104</v>
      </c>
      <c r="BS1270" s="2" t="s">
        <v>22273</v>
      </c>
      <c r="BT1270" s="2" t="str">
        <f aca="false">HYPERLINK("https%3A%2F%2Fwww.webofscience.com%2Fwos%2Fwoscc%2Ffull-record%2FWOS:000978835900002","View Full Record in Web of Science")</f>
        <v>View Full Record in Web of Science</v>
      </c>
    </row>
    <row r="1271" customFormat="false" ht="12.75" hidden="false" customHeight="false" outlineLevel="0" collapsed="false">
      <c r="A1271" s="2" t="s">
        <v>72</v>
      </c>
      <c r="B1271" s="2" t="s">
        <v>22274</v>
      </c>
      <c r="C1271" s="2"/>
      <c r="D1271" s="2"/>
      <c r="E1271" s="2"/>
      <c r="F1271" s="2" t="s">
        <v>22275</v>
      </c>
      <c r="G1271" s="2"/>
      <c r="H1271" s="2"/>
      <c r="I1271" s="2" t="s">
        <v>22276</v>
      </c>
      <c r="J1271" s="2" t="s">
        <v>141</v>
      </c>
      <c r="K1271" s="2"/>
      <c r="L1271" s="2"/>
      <c r="M1271" s="2" t="s">
        <v>77</v>
      </c>
      <c r="N1271" s="2" t="s">
        <v>78</v>
      </c>
      <c r="O1271" s="2"/>
      <c r="P1271" s="2"/>
      <c r="Q1271" s="2"/>
      <c r="R1271" s="2"/>
      <c r="S1271" s="2"/>
      <c r="T1271" s="2" t="s">
        <v>22277</v>
      </c>
      <c r="U1271" s="2" t="s">
        <v>22278</v>
      </c>
      <c r="V1271" s="2" t="s">
        <v>22279</v>
      </c>
      <c r="W1271" s="2" t="s">
        <v>22280</v>
      </c>
      <c r="X1271" s="2" t="s">
        <v>9462</v>
      </c>
      <c r="Y1271" s="2" t="s">
        <v>22281</v>
      </c>
      <c r="Z1271" s="2" t="s">
        <v>15625</v>
      </c>
      <c r="AA1271" s="2" t="s">
        <v>9465</v>
      </c>
      <c r="AB1271" s="2"/>
      <c r="AC1271" s="2" t="s">
        <v>22282</v>
      </c>
      <c r="AD1271" s="2" t="s">
        <v>22283</v>
      </c>
      <c r="AE1271" s="2" t="s">
        <v>22284</v>
      </c>
      <c r="AF1271" s="2"/>
      <c r="AG1271" s="2" t="n">
        <v>33</v>
      </c>
      <c r="AH1271" s="2" t="n">
        <v>9</v>
      </c>
      <c r="AI1271" s="2" t="n">
        <v>14</v>
      </c>
      <c r="AJ1271" s="2" t="n">
        <v>2</v>
      </c>
      <c r="AK1271" s="2" t="n">
        <v>23</v>
      </c>
      <c r="AL1271" s="2" t="s">
        <v>154</v>
      </c>
      <c r="AM1271" s="2" t="s">
        <v>155</v>
      </c>
      <c r="AN1271" s="2" t="s">
        <v>156</v>
      </c>
      <c r="AO1271" s="2" t="s">
        <v>157</v>
      </c>
      <c r="AP1271" s="2" t="s">
        <v>158</v>
      </c>
      <c r="AQ1271" s="2"/>
      <c r="AR1271" s="2" t="s">
        <v>159</v>
      </c>
      <c r="AS1271" s="2" t="s">
        <v>160</v>
      </c>
      <c r="AT1271" s="2" t="s">
        <v>486</v>
      </c>
      <c r="AU1271" s="2" t="n">
        <v>2019</v>
      </c>
      <c r="AV1271" s="2" t="n">
        <v>91</v>
      </c>
      <c r="AW1271" s="2" t="n">
        <v>6</v>
      </c>
      <c r="AX1271" s="2"/>
      <c r="AY1271" s="2"/>
      <c r="AZ1271" s="2"/>
      <c r="BA1271" s="2"/>
      <c r="BB1271" s="2" t="n">
        <v>949</v>
      </c>
      <c r="BC1271" s="2" t="n">
        <v>957</v>
      </c>
      <c r="BD1271" s="2"/>
      <c r="BE1271" s="2" t="s">
        <v>22285</v>
      </c>
      <c r="BF1271" s="2" t="str">
        <f aca="false">HYPERLINK("http://dx.doi.org/10.1002/jmv.25414","http://dx.doi.org/10.1002/jmv.25414")</f>
        <v>http://dx.doi.org/10.1002/jmv.25414</v>
      </c>
      <c r="BG1271" s="2"/>
      <c r="BH1271" s="2"/>
      <c r="BI1271" s="2" t="n">
        <v>9</v>
      </c>
      <c r="BJ1271" s="2" t="s">
        <v>163</v>
      </c>
      <c r="BK1271" s="2" t="s">
        <v>100</v>
      </c>
      <c r="BL1271" s="2" t="s">
        <v>163</v>
      </c>
      <c r="BM1271" s="2" t="s">
        <v>14412</v>
      </c>
      <c r="BN1271" s="2" t="n">
        <v>30698826</v>
      </c>
      <c r="BO1271" s="2" t="s">
        <v>538</v>
      </c>
      <c r="BP1271" s="2"/>
      <c r="BQ1271" s="2"/>
      <c r="BR1271" s="2" t="s">
        <v>104</v>
      </c>
      <c r="BS1271" s="2" t="s">
        <v>22286</v>
      </c>
      <c r="BT1271" s="2" t="str">
        <f aca="false">HYPERLINK("https%3A%2F%2Fwww.webofscience.com%2Fwos%2Fwoscc%2Ffull-record%2FWOS:000465087100007","View Full Record in Web of Science")</f>
        <v>View Full Record in Web of Science</v>
      </c>
    </row>
    <row r="1272" customFormat="false" ht="12.75" hidden="false" customHeight="false" outlineLevel="0" collapsed="false">
      <c r="A1272" s="2" t="s">
        <v>72</v>
      </c>
      <c r="B1272" s="2" t="s">
        <v>22287</v>
      </c>
      <c r="C1272" s="2"/>
      <c r="D1272" s="2"/>
      <c r="E1272" s="2"/>
      <c r="F1272" s="2" t="s">
        <v>22288</v>
      </c>
      <c r="G1272" s="2"/>
      <c r="H1272" s="2"/>
      <c r="I1272" s="2" t="s">
        <v>22289</v>
      </c>
      <c r="J1272" s="2" t="s">
        <v>2547</v>
      </c>
      <c r="K1272" s="2"/>
      <c r="L1272" s="2"/>
      <c r="M1272" s="2" t="s">
        <v>77</v>
      </c>
      <c r="N1272" s="2" t="s">
        <v>78</v>
      </c>
      <c r="O1272" s="2"/>
      <c r="P1272" s="2"/>
      <c r="Q1272" s="2"/>
      <c r="R1272" s="2"/>
      <c r="S1272" s="2"/>
      <c r="T1272" s="2" t="s">
        <v>22290</v>
      </c>
      <c r="U1272" s="2" t="s">
        <v>22291</v>
      </c>
      <c r="V1272" s="2" t="s">
        <v>22292</v>
      </c>
      <c r="W1272" s="2" t="s">
        <v>22293</v>
      </c>
      <c r="X1272" s="2" t="s">
        <v>22294</v>
      </c>
      <c r="Y1272" s="2" t="s">
        <v>22295</v>
      </c>
      <c r="Z1272" s="2" t="s">
        <v>22296</v>
      </c>
      <c r="AA1272" s="2" t="s">
        <v>22297</v>
      </c>
      <c r="AB1272" s="2" t="s">
        <v>22298</v>
      </c>
      <c r="AC1272" s="2" t="s">
        <v>22299</v>
      </c>
      <c r="AD1272" s="2" t="s">
        <v>22300</v>
      </c>
      <c r="AE1272" s="2" t="s">
        <v>22301</v>
      </c>
      <c r="AF1272" s="2"/>
      <c r="AG1272" s="2" t="n">
        <v>51</v>
      </c>
      <c r="AH1272" s="2" t="n">
        <v>38</v>
      </c>
      <c r="AI1272" s="2" t="n">
        <v>40</v>
      </c>
      <c r="AJ1272" s="2" t="n">
        <v>0</v>
      </c>
      <c r="AK1272" s="2" t="n">
        <v>11</v>
      </c>
      <c r="AL1272" s="2" t="s">
        <v>782</v>
      </c>
      <c r="AM1272" s="2" t="s">
        <v>2193</v>
      </c>
      <c r="AN1272" s="2" t="s">
        <v>2194</v>
      </c>
      <c r="AO1272" s="2" t="s">
        <v>2556</v>
      </c>
      <c r="AP1272" s="2" t="s">
        <v>2557</v>
      </c>
      <c r="AQ1272" s="2"/>
      <c r="AR1272" s="2" t="s">
        <v>2547</v>
      </c>
      <c r="AS1272" s="2" t="s">
        <v>2558</v>
      </c>
      <c r="AT1272" s="2" t="s">
        <v>7586</v>
      </c>
      <c r="AU1272" s="2" t="n">
        <v>2012</v>
      </c>
      <c r="AV1272" s="2" t="n">
        <v>30</v>
      </c>
      <c r="AW1272" s="2" t="n">
        <v>39</v>
      </c>
      <c r="AX1272" s="2"/>
      <c r="AY1272" s="2"/>
      <c r="AZ1272" s="2"/>
      <c r="BA1272" s="2"/>
      <c r="BB1272" s="2" t="n">
        <v>5714</v>
      </c>
      <c r="BC1272" s="2" t="n">
        <v>5720</v>
      </c>
      <c r="BD1272" s="2"/>
      <c r="BE1272" s="2" t="s">
        <v>22302</v>
      </c>
      <c r="BF1272" s="2" t="str">
        <f aca="false">HYPERLINK("http://dx.doi.org/10.1016/j.vaccine.2012.07.006","http://dx.doi.org/10.1016/j.vaccine.2012.07.006")</f>
        <v>http://dx.doi.org/10.1016/j.vaccine.2012.07.006</v>
      </c>
      <c r="BG1272" s="2"/>
      <c r="BH1272" s="2"/>
      <c r="BI1272" s="2" t="n">
        <v>7</v>
      </c>
      <c r="BJ1272" s="2" t="s">
        <v>187</v>
      </c>
      <c r="BK1272" s="2" t="s">
        <v>100</v>
      </c>
      <c r="BL1272" s="2" t="s">
        <v>188</v>
      </c>
      <c r="BM1272" s="2" t="s">
        <v>22303</v>
      </c>
      <c r="BN1272" s="2" t="n">
        <v>22819720</v>
      </c>
      <c r="BO1272" s="2" t="s">
        <v>165</v>
      </c>
      <c r="BP1272" s="2"/>
      <c r="BQ1272" s="2"/>
      <c r="BR1272" s="2" t="s">
        <v>104</v>
      </c>
      <c r="BS1272" s="2" t="s">
        <v>22304</v>
      </c>
      <c r="BT1272" s="2" t="str">
        <f aca="false">HYPERLINK("https%3A%2F%2Fwww.webofscience.com%2Fwos%2Fwoscc%2Ffull-record%2FWOS:000308382000004","View Full Record in Web of Science")</f>
        <v>View Full Record in Web of Science</v>
      </c>
    </row>
    <row r="1273" customFormat="false" ht="12.75" hidden="false" customHeight="false" outlineLevel="0" collapsed="false">
      <c r="A1273" s="2" t="s">
        <v>72</v>
      </c>
      <c r="B1273" s="2" t="s">
        <v>22305</v>
      </c>
      <c r="C1273" s="2"/>
      <c r="D1273" s="2"/>
      <c r="E1273" s="2"/>
      <c r="F1273" s="2" t="s">
        <v>22306</v>
      </c>
      <c r="G1273" s="2"/>
      <c r="H1273" s="2"/>
      <c r="I1273" s="2" t="s">
        <v>22307</v>
      </c>
      <c r="J1273" s="2" t="s">
        <v>22308</v>
      </c>
      <c r="K1273" s="2"/>
      <c r="L1273" s="2"/>
      <c r="M1273" s="2" t="s">
        <v>77</v>
      </c>
      <c r="N1273" s="2" t="s">
        <v>78</v>
      </c>
      <c r="O1273" s="2"/>
      <c r="P1273" s="2"/>
      <c r="Q1273" s="2"/>
      <c r="R1273" s="2"/>
      <c r="S1273" s="2"/>
      <c r="T1273" s="2" t="s">
        <v>22309</v>
      </c>
      <c r="U1273" s="2"/>
      <c r="V1273" s="2" t="s">
        <v>22310</v>
      </c>
      <c r="W1273" s="2" t="s">
        <v>22311</v>
      </c>
      <c r="X1273" s="2" t="s">
        <v>22312</v>
      </c>
      <c r="Y1273" s="2" t="s">
        <v>22313</v>
      </c>
      <c r="Z1273" s="2" t="s">
        <v>22314</v>
      </c>
      <c r="AA1273" s="2" t="s">
        <v>22315</v>
      </c>
      <c r="AB1273" s="2" t="s">
        <v>22316</v>
      </c>
      <c r="AC1273" s="2"/>
      <c r="AD1273" s="2"/>
      <c r="AE1273" s="2"/>
      <c r="AF1273" s="2"/>
      <c r="AG1273" s="2" t="n">
        <v>10</v>
      </c>
      <c r="AH1273" s="2" t="n">
        <v>36</v>
      </c>
      <c r="AI1273" s="2" t="n">
        <v>39</v>
      </c>
      <c r="AJ1273" s="2" t="n">
        <v>1</v>
      </c>
      <c r="AK1273" s="2" t="n">
        <v>19</v>
      </c>
      <c r="AL1273" s="2" t="s">
        <v>302</v>
      </c>
      <c r="AM1273" s="2" t="s">
        <v>303</v>
      </c>
      <c r="AN1273" s="2" t="s">
        <v>304</v>
      </c>
      <c r="AO1273" s="2" t="s">
        <v>22317</v>
      </c>
      <c r="AP1273" s="2" t="s">
        <v>22318</v>
      </c>
      <c r="AQ1273" s="2"/>
      <c r="AR1273" s="2" t="s">
        <v>22319</v>
      </c>
      <c r="AS1273" s="2" t="s">
        <v>22320</v>
      </c>
      <c r="AT1273" s="2" t="s">
        <v>2296</v>
      </c>
      <c r="AU1273" s="2" t="n">
        <v>2020</v>
      </c>
      <c r="AV1273" s="2" t="n">
        <v>9</v>
      </c>
      <c r="AW1273" s="2" t="n">
        <v>1</v>
      </c>
      <c r="AX1273" s="2"/>
      <c r="AY1273" s="2"/>
      <c r="AZ1273" s="2"/>
      <c r="BA1273" s="2"/>
      <c r="BB1273" s="2"/>
      <c r="BC1273" s="2"/>
      <c r="BD1273" s="2" t="n">
        <v>77</v>
      </c>
      <c r="BE1273" s="2" t="s">
        <v>22321</v>
      </c>
      <c r="BF1273" s="2" t="str">
        <f aca="false">HYPERLINK("http://dx.doi.org/10.1186/s40249-020-00688-1","http://dx.doi.org/10.1186/s40249-020-00688-1")</f>
        <v>http://dx.doi.org/10.1186/s40249-020-00688-1</v>
      </c>
      <c r="BG1273" s="2"/>
      <c r="BH1273" s="2"/>
      <c r="BI1273" s="2" t="n">
        <v>5</v>
      </c>
      <c r="BJ1273" s="2" t="s">
        <v>6473</v>
      </c>
      <c r="BK1273" s="2" t="s">
        <v>100</v>
      </c>
      <c r="BL1273" s="2" t="s">
        <v>6473</v>
      </c>
      <c r="BM1273" s="2" t="s">
        <v>22322</v>
      </c>
      <c r="BN1273" s="2" t="n">
        <v>32586369</v>
      </c>
      <c r="BO1273" s="2" t="s">
        <v>190</v>
      </c>
      <c r="BP1273" s="2"/>
      <c r="BQ1273" s="2"/>
      <c r="BR1273" s="2" t="s">
        <v>104</v>
      </c>
      <c r="BS1273" s="2" t="s">
        <v>22323</v>
      </c>
      <c r="BT1273" s="2" t="str">
        <f aca="false">HYPERLINK("https%3A%2F%2Fwww.webofscience.com%2Fwos%2Fwoscc%2Ffull-record%2FWOS:000545583700001","View Full Record in Web of Science")</f>
        <v>View Full Record in Web of Science</v>
      </c>
    </row>
    <row r="1274" customFormat="false" ht="12.75" hidden="false" customHeight="false" outlineLevel="0" collapsed="false">
      <c r="A1274" s="2" t="s">
        <v>72</v>
      </c>
      <c r="B1274" s="2" t="s">
        <v>22324</v>
      </c>
      <c r="C1274" s="2"/>
      <c r="D1274" s="2"/>
      <c r="E1274" s="2"/>
      <c r="F1274" s="2" t="s">
        <v>22325</v>
      </c>
      <c r="G1274" s="2"/>
      <c r="H1274" s="2"/>
      <c r="I1274" s="2" t="s">
        <v>22326</v>
      </c>
      <c r="J1274" s="2" t="s">
        <v>7244</v>
      </c>
      <c r="K1274" s="2"/>
      <c r="L1274" s="2"/>
      <c r="M1274" s="2" t="s">
        <v>77</v>
      </c>
      <c r="N1274" s="2" t="s">
        <v>78</v>
      </c>
      <c r="O1274" s="2"/>
      <c r="P1274" s="2"/>
      <c r="Q1274" s="2"/>
      <c r="R1274" s="2"/>
      <c r="S1274" s="2"/>
      <c r="T1274" s="2" t="s">
        <v>22327</v>
      </c>
      <c r="U1274" s="2" t="s">
        <v>22328</v>
      </c>
      <c r="V1274" s="2" t="s">
        <v>22329</v>
      </c>
      <c r="W1274" s="2" t="s">
        <v>22330</v>
      </c>
      <c r="X1274" s="2" t="s">
        <v>22331</v>
      </c>
      <c r="Y1274" s="2" t="s">
        <v>22332</v>
      </c>
      <c r="Z1274" s="2" t="s">
        <v>22333</v>
      </c>
      <c r="AA1274" s="2" t="s">
        <v>22334</v>
      </c>
      <c r="AB1274" s="2" t="s">
        <v>22335</v>
      </c>
      <c r="AC1274" s="2"/>
      <c r="AD1274" s="2"/>
      <c r="AE1274" s="2"/>
      <c r="AF1274" s="2"/>
      <c r="AG1274" s="2" t="n">
        <v>30</v>
      </c>
      <c r="AH1274" s="2" t="n">
        <v>15</v>
      </c>
      <c r="AI1274" s="2" t="n">
        <v>16</v>
      </c>
      <c r="AJ1274" s="2" t="n">
        <v>0</v>
      </c>
      <c r="AK1274" s="2" t="n">
        <v>5</v>
      </c>
      <c r="AL1274" s="2" t="s">
        <v>782</v>
      </c>
      <c r="AM1274" s="2" t="s">
        <v>783</v>
      </c>
      <c r="AN1274" s="2" t="s">
        <v>784</v>
      </c>
      <c r="AO1274" s="2" t="s">
        <v>7252</v>
      </c>
      <c r="AP1274" s="2" t="s">
        <v>7253</v>
      </c>
      <c r="AQ1274" s="2"/>
      <c r="AR1274" s="2" t="s">
        <v>7254</v>
      </c>
      <c r="AS1274" s="2" t="s">
        <v>7255</v>
      </c>
      <c r="AT1274" s="2" t="s">
        <v>97</v>
      </c>
      <c r="AU1274" s="2" t="n">
        <v>2019</v>
      </c>
      <c r="AV1274" s="2" t="n">
        <v>25</v>
      </c>
      <c r="AW1274" s="2" t="n">
        <v>3</v>
      </c>
      <c r="AX1274" s="2"/>
      <c r="AY1274" s="2"/>
      <c r="AZ1274" s="2"/>
      <c r="BA1274" s="2"/>
      <c r="BB1274" s="2"/>
      <c r="BC1274" s="2"/>
      <c r="BD1274" s="2" t="s">
        <v>22336</v>
      </c>
      <c r="BE1274" s="2" t="s">
        <v>22337</v>
      </c>
      <c r="BF1274" s="2" t="str">
        <f aca="false">HYPERLINK("http://dx.doi.org/10.1016/j.cmi.2018.05.023","http://dx.doi.org/10.1016/j.cmi.2018.05.023")</f>
        <v>http://dx.doi.org/10.1016/j.cmi.2018.05.023</v>
      </c>
      <c r="BG1274" s="2"/>
      <c r="BH1274" s="2"/>
      <c r="BI1274" s="2" t="n">
        <v>8</v>
      </c>
      <c r="BJ1274" s="2" t="s">
        <v>1467</v>
      </c>
      <c r="BK1274" s="2" t="s">
        <v>100</v>
      </c>
      <c r="BL1274" s="2" t="s">
        <v>1467</v>
      </c>
      <c r="BM1274" s="2" t="s">
        <v>22338</v>
      </c>
      <c r="BN1274" s="2" t="n">
        <v>29906596</v>
      </c>
      <c r="BO1274" s="2" t="s">
        <v>656</v>
      </c>
      <c r="BP1274" s="2"/>
      <c r="BQ1274" s="2"/>
      <c r="BR1274" s="2" t="s">
        <v>104</v>
      </c>
      <c r="BS1274" s="2" t="s">
        <v>22339</v>
      </c>
      <c r="BT1274" s="2" t="str">
        <f aca="false">HYPERLINK("https%3A%2F%2Fwww.webofscience.com%2Fwos%2Fwoscc%2Ffull-record%2FWOS:000459953000020","View Full Record in Web of Science")</f>
        <v>View Full Record in Web of Science</v>
      </c>
    </row>
    <row r="1275" customFormat="false" ht="12.75" hidden="false" customHeight="false" outlineLevel="0" collapsed="false">
      <c r="A1275" s="2" t="s">
        <v>72</v>
      </c>
      <c r="B1275" s="2" t="s">
        <v>22340</v>
      </c>
      <c r="C1275" s="2"/>
      <c r="D1275" s="2"/>
      <c r="E1275" s="2"/>
      <c r="F1275" s="2" t="s">
        <v>22341</v>
      </c>
      <c r="G1275" s="2"/>
      <c r="H1275" s="2"/>
      <c r="I1275" s="2" t="s">
        <v>22342</v>
      </c>
      <c r="J1275" s="2" t="s">
        <v>8359</v>
      </c>
      <c r="K1275" s="2"/>
      <c r="L1275" s="2"/>
      <c r="M1275" s="2" t="s">
        <v>77</v>
      </c>
      <c r="N1275" s="2" t="s">
        <v>78</v>
      </c>
      <c r="O1275" s="2"/>
      <c r="P1275" s="2"/>
      <c r="Q1275" s="2"/>
      <c r="R1275" s="2"/>
      <c r="S1275" s="2"/>
      <c r="T1275" s="2" t="s">
        <v>22343</v>
      </c>
      <c r="U1275" s="2"/>
      <c r="V1275" s="2" t="s">
        <v>22344</v>
      </c>
      <c r="W1275" s="2" t="s">
        <v>22345</v>
      </c>
      <c r="X1275" s="2"/>
      <c r="Y1275" s="2" t="s">
        <v>22346</v>
      </c>
      <c r="Z1275" s="2" t="s">
        <v>22347</v>
      </c>
      <c r="AA1275" s="2"/>
      <c r="AB1275" s="2"/>
      <c r="AC1275" s="2"/>
      <c r="AD1275" s="2"/>
      <c r="AE1275" s="2"/>
      <c r="AF1275" s="2"/>
      <c r="AG1275" s="2" t="n">
        <v>9</v>
      </c>
      <c r="AH1275" s="2" t="n">
        <v>6</v>
      </c>
      <c r="AI1275" s="2" t="n">
        <v>6</v>
      </c>
      <c r="AJ1275" s="2" t="n">
        <v>0</v>
      </c>
      <c r="AK1275" s="2" t="n">
        <v>5</v>
      </c>
      <c r="AL1275" s="2" t="s">
        <v>3584</v>
      </c>
      <c r="AM1275" s="2" t="s">
        <v>303</v>
      </c>
      <c r="AN1275" s="2" t="s">
        <v>3585</v>
      </c>
      <c r="AO1275" s="2" t="s">
        <v>8369</v>
      </c>
      <c r="AP1275" s="2" t="s">
        <v>13302</v>
      </c>
      <c r="AQ1275" s="2"/>
      <c r="AR1275" s="2" t="s">
        <v>8370</v>
      </c>
      <c r="AS1275" s="2" t="s">
        <v>8371</v>
      </c>
      <c r="AT1275" s="2" t="s">
        <v>185</v>
      </c>
      <c r="AU1275" s="2" t="n">
        <v>2015</v>
      </c>
      <c r="AV1275" s="2" t="n">
        <v>90</v>
      </c>
      <c r="AW1275" s="2" t="n">
        <v>4</v>
      </c>
      <c r="AX1275" s="2"/>
      <c r="AY1275" s="2"/>
      <c r="AZ1275" s="2"/>
      <c r="BA1275" s="2"/>
      <c r="BB1275" s="2" t="n">
        <v>299</v>
      </c>
      <c r="BC1275" s="2" t="n">
        <v>303</v>
      </c>
      <c r="BD1275" s="2"/>
      <c r="BE1275" s="2" t="s">
        <v>22348</v>
      </c>
      <c r="BF1275" s="2" t="str">
        <f aca="false">HYPERLINK("http://dx.doi.org/10.1016/j.jhin.2015.04.019","http://dx.doi.org/10.1016/j.jhin.2015.04.019")</f>
        <v>http://dx.doi.org/10.1016/j.jhin.2015.04.019</v>
      </c>
      <c r="BG1275" s="2"/>
      <c r="BH1275" s="2"/>
      <c r="BI1275" s="2" t="n">
        <v>5</v>
      </c>
      <c r="BJ1275" s="2" t="s">
        <v>2113</v>
      </c>
      <c r="BK1275" s="2" t="s">
        <v>100</v>
      </c>
      <c r="BL1275" s="2" t="s">
        <v>2113</v>
      </c>
      <c r="BM1275" s="2" t="s">
        <v>22349</v>
      </c>
      <c r="BN1275" s="2" t="n">
        <v>26071039</v>
      </c>
      <c r="BO1275" s="2"/>
      <c r="BP1275" s="2"/>
      <c r="BQ1275" s="2"/>
      <c r="BR1275" s="2" t="s">
        <v>104</v>
      </c>
      <c r="BS1275" s="2" t="s">
        <v>22350</v>
      </c>
      <c r="BT1275" s="2" t="str">
        <f aca="false">HYPERLINK("https%3A%2F%2Fwww.webofscience.com%2Fwos%2Fwoscc%2Ffull-record%2FWOS:000356881600004","View Full Record in Web of Science")</f>
        <v>View Full Record in Web of Science</v>
      </c>
    </row>
    <row r="1276" customFormat="false" ht="12.75" hidden="false" customHeight="false" outlineLevel="0" collapsed="false">
      <c r="A1276" s="2" t="s">
        <v>72</v>
      </c>
      <c r="B1276" s="2" t="s">
        <v>22351</v>
      </c>
      <c r="C1276" s="2"/>
      <c r="D1276" s="2"/>
      <c r="E1276" s="2"/>
      <c r="F1276" s="2" t="s">
        <v>22352</v>
      </c>
      <c r="G1276" s="2"/>
      <c r="H1276" s="2"/>
      <c r="I1276" s="2" t="s">
        <v>22353</v>
      </c>
      <c r="J1276" s="2" t="s">
        <v>22354</v>
      </c>
      <c r="K1276" s="2"/>
      <c r="L1276" s="2"/>
      <c r="M1276" s="2" t="s">
        <v>77</v>
      </c>
      <c r="N1276" s="2" t="s">
        <v>78</v>
      </c>
      <c r="O1276" s="2"/>
      <c r="P1276" s="2"/>
      <c r="Q1276" s="2"/>
      <c r="R1276" s="2"/>
      <c r="S1276" s="2"/>
      <c r="T1276" s="2" t="s">
        <v>22355</v>
      </c>
      <c r="U1276" s="2" t="s">
        <v>22356</v>
      </c>
      <c r="V1276" s="2" t="s">
        <v>22357</v>
      </c>
      <c r="W1276" s="2" t="s">
        <v>22358</v>
      </c>
      <c r="X1276" s="2" t="s">
        <v>22359</v>
      </c>
      <c r="Y1276" s="2" t="s">
        <v>22360</v>
      </c>
      <c r="Z1276" s="2" t="s">
        <v>22361</v>
      </c>
      <c r="AA1276" s="2" t="s">
        <v>22362</v>
      </c>
      <c r="AB1276" s="2"/>
      <c r="AC1276" s="2" t="s">
        <v>22363</v>
      </c>
      <c r="AD1276" s="2" t="s">
        <v>22364</v>
      </c>
      <c r="AE1276" s="2" t="s">
        <v>22365</v>
      </c>
      <c r="AF1276" s="2"/>
      <c r="AG1276" s="2" t="n">
        <v>30</v>
      </c>
      <c r="AH1276" s="2" t="n">
        <v>5</v>
      </c>
      <c r="AI1276" s="2" t="n">
        <v>6</v>
      </c>
      <c r="AJ1276" s="2" t="n">
        <v>0</v>
      </c>
      <c r="AK1276" s="2" t="n">
        <v>3</v>
      </c>
      <c r="AL1276" s="2" t="s">
        <v>22366</v>
      </c>
      <c r="AM1276" s="2" t="s">
        <v>22367</v>
      </c>
      <c r="AN1276" s="2" t="s">
        <v>22368</v>
      </c>
      <c r="AO1276" s="2" t="s">
        <v>22369</v>
      </c>
      <c r="AP1276" s="2"/>
      <c r="AQ1276" s="2"/>
      <c r="AR1276" s="2" t="s">
        <v>22370</v>
      </c>
      <c r="AS1276" s="2" t="s">
        <v>22371</v>
      </c>
      <c r="AT1276" s="2" t="s">
        <v>804</v>
      </c>
      <c r="AU1276" s="2" t="n">
        <v>2018</v>
      </c>
      <c r="AV1276" s="2" t="n">
        <v>47</v>
      </c>
      <c r="AW1276" s="2" t="n">
        <v>11</v>
      </c>
      <c r="AX1276" s="2"/>
      <c r="AY1276" s="2"/>
      <c r="AZ1276" s="2"/>
      <c r="BA1276" s="2"/>
      <c r="BB1276" s="2" t="n">
        <v>445</v>
      </c>
      <c r="BC1276" s="2" t="n">
        <v>450</v>
      </c>
      <c r="BD1276" s="2"/>
      <c r="BE1276" s="2"/>
      <c r="BF1276" s="2"/>
      <c r="BG1276" s="2"/>
      <c r="BH1276" s="2"/>
      <c r="BI1276" s="2" t="n">
        <v>6</v>
      </c>
      <c r="BJ1276" s="2" t="s">
        <v>363</v>
      </c>
      <c r="BK1276" s="2" t="s">
        <v>100</v>
      </c>
      <c r="BL1276" s="2" t="s">
        <v>364</v>
      </c>
      <c r="BM1276" s="2" t="s">
        <v>22372</v>
      </c>
      <c r="BN1276" s="2" t="n">
        <v>30578423</v>
      </c>
      <c r="BO1276" s="2"/>
      <c r="BP1276" s="2"/>
      <c r="BQ1276" s="2"/>
      <c r="BR1276" s="2" t="s">
        <v>104</v>
      </c>
      <c r="BS1276" s="2" t="s">
        <v>22373</v>
      </c>
      <c r="BT1276" s="2" t="str">
        <f aca="false">HYPERLINK("https%3A%2F%2Fwww.webofscience.com%2Fwos%2Fwoscc%2Ffull-record%2FWOS:000460488800003","View Full Record in Web of Science")</f>
        <v>View Full Record in Web of Science</v>
      </c>
    </row>
    <row r="1277" customFormat="false" ht="12.75" hidden="false" customHeight="false" outlineLevel="0" collapsed="false">
      <c r="A1277" s="2" t="s">
        <v>72</v>
      </c>
      <c r="B1277" s="2" t="s">
        <v>22374</v>
      </c>
      <c r="C1277" s="2"/>
      <c r="D1277" s="2"/>
      <c r="E1277" s="2"/>
      <c r="F1277" s="2" t="s">
        <v>22375</v>
      </c>
      <c r="G1277" s="2"/>
      <c r="H1277" s="2"/>
      <c r="I1277" s="2" t="s">
        <v>22376</v>
      </c>
      <c r="J1277" s="2" t="s">
        <v>5305</v>
      </c>
      <c r="K1277" s="2"/>
      <c r="L1277" s="2"/>
      <c r="M1277" s="2" t="s">
        <v>77</v>
      </c>
      <c r="N1277" s="2" t="s">
        <v>78</v>
      </c>
      <c r="O1277" s="2"/>
      <c r="P1277" s="2"/>
      <c r="Q1277" s="2"/>
      <c r="R1277" s="2"/>
      <c r="S1277" s="2"/>
      <c r="T1277" s="2" t="s">
        <v>22377</v>
      </c>
      <c r="U1277" s="2"/>
      <c r="V1277" s="2" t="s">
        <v>22378</v>
      </c>
      <c r="W1277" s="2" t="s">
        <v>22379</v>
      </c>
      <c r="X1277" s="2" t="s">
        <v>22380</v>
      </c>
      <c r="Y1277" s="2" t="s">
        <v>22381</v>
      </c>
      <c r="Z1277" s="2" t="s">
        <v>22382</v>
      </c>
      <c r="AA1277" s="2"/>
      <c r="AB1277" s="2"/>
      <c r="AC1277" s="2"/>
      <c r="AD1277" s="2"/>
      <c r="AE1277" s="2"/>
      <c r="AF1277" s="2"/>
      <c r="AG1277" s="2" t="n">
        <v>12</v>
      </c>
      <c r="AH1277" s="2" t="n">
        <v>1</v>
      </c>
      <c r="AI1277" s="2" t="n">
        <v>1</v>
      </c>
      <c r="AJ1277" s="2" t="n">
        <v>1</v>
      </c>
      <c r="AK1277" s="2" t="n">
        <v>1</v>
      </c>
      <c r="AL1277" s="2" t="s">
        <v>620</v>
      </c>
      <c r="AM1277" s="2" t="s">
        <v>621</v>
      </c>
      <c r="AN1277" s="2" t="s">
        <v>622</v>
      </c>
      <c r="AO1277" s="2"/>
      <c r="AP1277" s="2" t="s">
        <v>5318</v>
      </c>
      <c r="AQ1277" s="2"/>
      <c r="AR1277" s="2" t="s">
        <v>5319</v>
      </c>
      <c r="AS1277" s="2" t="s">
        <v>5320</v>
      </c>
      <c r="AT1277" s="2" t="s">
        <v>6488</v>
      </c>
      <c r="AU1277" s="2" t="n">
        <v>2024</v>
      </c>
      <c r="AV1277" s="2" t="n">
        <v>10</v>
      </c>
      <c r="AW1277" s="2"/>
      <c r="AX1277" s="2"/>
      <c r="AY1277" s="2"/>
      <c r="AZ1277" s="2"/>
      <c r="BA1277" s="2"/>
      <c r="BB1277" s="2"/>
      <c r="BC1277" s="2"/>
      <c r="BD1277" s="2" t="n">
        <v>1327854</v>
      </c>
      <c r="BE1277" s="2" t="s">
        <v>22383</v>
      </c>
      <c r="BF1277" s="2" t="str">
        <f aca="false">HYPERLINK("http://dx.doi.org/10.3389/fmed.2023.1327854","http://dx.doi.org/10.3389/fmed.2023.1327854")</f>
        <v>http://dx.doi.org/10.3389/fmed.2023.1327854</v>
      </c>
      <c r="BG1277" s="2"/>
      <c r="BH1277" s="2"/>
      <c r="BI1277" s="2" t="n">
        <v>4</v>
      </c>
      <c r="BJ1277" s="2" t="s">
        <v>363</v>
      </c>
      <c r="BK1277" s="2" t="s">
        <v>100</v>
      </c>
      <c r="BL1277" s="2" t="s">
        <v>364</v>
      </c>
      <c r="BM1277" s="2" t="s">
        <v>22384</v>
      </c>
      <c r="BN1277" s="2" t="n">
        <v>38235270</v>
      </c>
      <c r="BO1277" s="2" t="s">
        <v>103</v>
      </c>
      <c r="BP1277" s="2"/>
      <c r="BQ1277" s="2"/>
      <c r="BR1277" s="2" t="s">
        <v>104</v>
      </c>
      <c r="BS1277" s="2" t="s">
        <v>22385</v>
      </c>
      <c r="BT1277" s="2" t="str">
        <f aca="false">HYPERLINK("https%3A%2F%2Fwww.webofscience.com%2Fwos%2Fwoscc%2Ffull-record%2FWOS:001142737000001","View Full Record in Web of Science")</f>
        <v>View Full Record in Web of Science</v>
      </c>
    </row>
    <row r="1278" customFormat="false" ht="12.75" hidden="false" customHeight="false" outlineLevel="0" collapsed="false">
      <c r="A1278" s="2" t="s">
        <v>72</v>
      </c>
      <c r="B1278" s="2" t="s">
        <v>22386</v>
      </c>
      <c r="C1278" s="2"/>
      <c r="D1278" s="2"/>
      <c r="E1278" s="2"/>
      <c r="F1278" s="2" t="s">
        <v>22387</v>
      </c>
      <c r="G1278" s="2"/>
      <c r="H1278" s="2"/>
      <c r="I1278" s="2" t="s">
        <v>22388</v>
      </c>
      <c r="J1278" s="2" t="s">
        <v>11019</v>
      </c>
      <c r="K1278" s="2"/>
      <c r="L1278" s="2"/>
      <c r="M1278" s="2" t="s">
        <v>77</v>
      </c>
      <c r="N1278" s="2" t="s">
        <v>78</v>
      </c>
      <c r="O1278" s="2"/>
      <c r="P1278" s="2"/>
      <c r="Q1278" s="2"/>
      <c r="R1278" s="2"/>
      <c r="S1278" s="2"/>
      <c r="T1278" s="2" t="s">
        <v>22389</v>
      </c>
      <c r="U1278" s="2" t="s">
        <v>6516</v>
      </c>
      <c r="V1278" s="2" t="s">
        <v>22390</v>
      </c>
      <c r="W1278" s="2" t="s">
        <v>22391</v>
      </c>
      <c r="X1278" s="2" t="s">
        <v>22392</v>
      </c>
      <c r="Y1278" s="2" t="s">
        <v>22393</v>
      </c>
      <c r="Z1278" s="2" t="s">
        <v>22394</v>
      </c>
      <c r="AA1278" s="2" t="s">
        <v>22395</v>
      </c>
      <c r="AB1278" s="2"/>
      <c r="AC1278" s="2" t="s">
        <v>2052</v>
      </c>
      <c r="AD1278" s="2" t="s">
        <v>2053</v>
      </c>
      <c r="AE1278" s="2" t="s">
        <v>22396</v>
      </c>
      <c r="AF1278" s="2"/>
      <c r="AG1278" s="2" t="n">
        <v>17</v>
      </c>
      <c r="AH1278" s="2" t="n">
        <v>0</v>
      </c>
      <c r="AI1278" s="2" t="n">
        <v>0</v>
      </c>
      <c r="AJ1278" s="2" t="n">
        <v>2</v>
      </c>
      <c r="AK1278" s="2" t="n">
        <v>2</v>
      </c>
      <c r="AL1278" s="2" t="s">
        <v>154</v>
      </c>
      <c r="AM1278" s="2" t="s">
        <v>155</v>
      </c>
      <c r="AN1278" s="2" t="s">
        <v>156</v>
      </c>
      <c r="AO1278" s="2" t="s">
        <v>11028</v>
      </c>
      <c r="AP1278" s="2" t="s">
        <v>11029</v>
      </c>
      <c r="AQ1278" s="2"/>
      <c r="AR1278" s="2" t="s">
        <v>11030</v>
      </c>
      <c r="AS1278" s="2" t="s">
        <v>11031</v>
      </c>
      <c r="AT1278" s="2" t="s">
        <v>390</v>
      </c>
      <c r="AU1278" s="2" t="n">
        <v>2024</v>
      </c>
      <c r="AV1278" s="2" t="n">
        <v>18</v>
      </c>
      <c r="AW1278" s="2" t="n">
        <v>5</v>
      </c>
      <c r="AX1278" s="2"/>
      <c r="AY1278" s="2"/>
      <c r="AZ1278" s="2"/>
      <c r="BA1278" s="2"/>
      <c r="BB1278" s="2"/>
      <c r="BC1278" s="2"/>
      <c r="BD1278" s="2" t="s">
        <v>22397</v>
      </c>
      <c r="BE1278" s="2" t="s">
        <v>22398</v>
      </c>
      <c r="BF1278" s="2" t="str">
        <f aca="false">HYPERLINK("http://dx.doi.org/10.1111/irv.13299","http://dx.doi.org/10.1111/irv.13299")</f>
        <v>http://dx.doi.org/10.1111/irv.13299</v>
      </c>
      <c r="BG1278" s="2"/>
      <c r="BH1278" s="2"/>
      <c r="BI1278" s="2" t="n">
        <v>6</v>
      </c>
      <c r="BJ1278" s="2" t="s">
        <v>8287</v>
      </c>
      <c r="BK1278" s="2" t="s">
        <v>100</v>
      </c>
      <c r="BL1278" s="2" t="s">
        <v>8287</v>
      </c>
      <c r="BM1278" s="2" t="s">
        <v>22399</v>
      </c>
      <c r="BN1278" s="2" t="n">
        <v>38700006</v>
      </c>
      <c r="BO1278" s="2" t="s">
        <v>165</v>
      </c>
      <c r="BP1278" s="2"/>
      <c r="BQ1278" s="2"/>
      <c r="BR1278" s="2" t="s">
        <v>104</v>
      </c>
      <c r="BS1278" s="2" t="s">
        <v>22400</v>
      </c>
      <c r="BT1278" s="2" t="str">
        <f aca="false">HYPERLINK("https%3A%2F%2Fwww.webofscience.com%2Fwos%2Fwoscc%2Ffull-record%2FWOS:001258457000001","View Full Record in Web of Science")</f>
        <v>View Full Record in Web of Science</v>
      </c>
    </row>
    <row r="1279" customFormat="false" ht="12.75" hidden="false" customHeight="false" outlineLevel="0" collapsed="false">
      <c r="A1279" s="2" t="s">
        <v>72</v>
      </c>
      <c r="B1279" s="2" t="s">
        <v>22401</v>
      </c>
      <c r="C1279" s="2"/>
      <c r="D1279" s="2"/>
      <c r="E1279" s="2"/>
      <c r="F1279" s="2" t="s">
        <v>22402</v>
      </c>
      <c r="G1279" s="2"/>
      <c r="H1279" s="2"/>
      <c r="I1279" s="2" t="s">
        <v>22403</v>
      </c>
      <c r="J1279" s="2" t="s">
        <v>11975</v>
      </c>
      <c r="K1279" s="2"/>
      <c r="L1279" s="2"/>
      <c r="M1279" s="2" t="s">
        <v>77</v>
      </c>
      <c r="N1279" s="2" t="s">
        <v>78</v>
      </c>
      <c r="O1279" s="2"/>
      <c r="P1279" s="2"/>
      <c r="Q1279" s="2"/>
      <c r="R1279" s="2"/>
      <c r="S1279" s="2"/>
      <c r="T1279" s="2" t="s">
        <v>22404</v>
      </c>
      <c r="U1279" s="2" t="s">
        <v>22405</v>
      </c>
      <c r="V1279" s="2" t="s">
        <v>22406</v>
      </c>
      <c r="W1279" s="2" t="s">
        <v>22407</v>
      </c>
      <c r="X1279" s="2" t="s">
        <v>22408</v>
      </c>
      <c r="Y1279" s="2" t="s">
        <v>22409</v>
      </c>
      <c r="Z1279" s="2" t="s">
        <v>22410</v>
      </c>
      <c r="AA1279" s="2" t="s">
        <v>22411</v>
      </c>
      <c r="AB1279" s="2" t="s">
        <v>22412</v>
      </c>
      <c r="AC1279" s="2"/>
      <c r="AD1279" s="2"/>
      <c r="AE1279" s="2"/>
      <c r="AF1279" s="2"/>
      <c r="AG1279" s="2" t="n">
        <v>95</v>
      </c>
      <c r="AH1279" s="2" t="n">
        <v>8</v>
      </c>
      <c r="AI1279" s="2" t="n">
        <v>14</v>
      </c>
      <c r="AJ1279" s="2" t="n">
        <v>0</v>
      </c>
      <c r="AK1279" s="2" t="n">
        <v>11</v>
      </c>
      <c r="AL1279" s="2" t="s">
        <v>154</v>
      </c>
      <c r="AM1279" s="2" t="s">
        <v>155</v>
      </c>
      <c r="AN1279" s="2" t="s">
        <v>156</v>
      </c>
      <c r="AO1279" s="2" t="s">
        <v>11983</v>
      </c>
      <c r="AP1279" s="2" t="s">
        <v>11984</v>
      </c>
      <c r="AQ1279" s="2"/>
      <c r="AR1279" s="2" t="s">
        <v>11985</v>
      </c>
      <c r="AS1279" s="2" t="s">
        <v>11986</v>
      </c>
      <c r="AT1279" s="2" t="s">
        <v>446</v>
      </c>
      <c r="AU1279" s="2" t="n">
        <v>2013</v>
      </c>
      <c r="AV1279" s="2" t="n">
        <v>102</v>
      </c>
      <c r="AW1279" s="2"/>
      <c r="AX1279" s="2"/>
      <c r="AY1279" s="2" t="n">
        <v>465</v>
      </c>
      <c r="AZ1279" s="2" t="s">
        <v>1627</v>
      </c>
      <c r="BA1279" s="2"/>
      <c r="BB1279" s="2" t="n">
        <v>17</v>
      </c>
      <c r="BC1279" s="2" t="n">
        <v>24</v>
      </c>
      <c r="BD1279" s="2"/>
      <c r="BE1279" s="2" t="s">
        <v>22413</v>
      </c>
      <c r="BF1279" s="2" t="str">
        <f aca="false">HYPERLINK("http://dx.doi.org/10.1111/apa.12502","http://dx.doi.org/10.1111/apa.12502")</f>
        <v>http://dx.doi.org/10.1111/apa.12502</v>
      </c>
      <c r="BG1279" s="2"/>
      <c r="BH1279" s="2"/>
      <c r="BI1279" s="2" t="n">
        <v>8</v>
      </c>
      <c r="BJ1279" s="2" t="s">
        <v>601</v>
      </c>
      <c r="BK1279" s="2" t="s">
        <v>100</v>
      </c>
      <c r="BL1279" s="2" t="s">
        <v>601</v>
      </c>
      <c r="BM1279" s="2" t="s">
        <v>22414</v>
      </c>
      <c r="BN1279" s="2" t="n">
        <v>24330269</v>
      </c>
      <c r="BO1279" s="2"/>
      <c r="BP1279" s="2"/>
      <c r="BQ1279" s="2"/>
      <c r="BR1279" s="2" t="s">
        <v>104</v>
      </c>
      <c r="BS1279" s="2" t="s">
        <v>22415</v>
      </c>
      <c r="BT1279" s="2" t="str">
        <f aca="false">HYPERLINK("https%3A%2F%2Fwww.webofscience.com%2Fwos%2Fwoscc%2Ffull-record%2FWOS:000328543700003","View Full Record in Web of Science")</f>
        <v>View Full Record in Web of Science</v>
      </c>
    </row>
    <row r="1280" customFormat="false" ht="12.75" hidden="false" customHeight="false" outlineLevel="0" collapsed="false">
      <c r="A1280" s="2" t="s">
        <v>72</v>
      </c>
      <c r="B1280" s="2" t="s">
        <v>22416</v>
      </c>
      <c r="C1280" s="2"/>
      <c r="D1280" s="2"/>
      <c r="E1280" s="2"/>
      <c r="F1280" s="2" t="s">
        <v>22417</v>
      </c>
      <c r="G1280" s="2"/>
      <c r="H1280" s="2"/>
      <c r="I1280" s="2" t="s">
        <v>22418</v>
      </c>
      <c r="J1280" s="2" t="s">
        <v>9992</v>
      </c>
      <c r="K1280" s="2"/>
      <c r="L1280" s="2"/>
      <c r="M1280" s="2" t="s">
        <v>77</v>
      </c>
      <c r="N1280" s="2" t="s">
        <v>78</v>
      </c>
      <c r="O1280" s="2"/>
      <c r="P1280" s="2"/>
      <c r="Q1280" s="2"/>
      <c r="R1280" s="2"/>
      <c r="S1280" s="2"/>
      <c r="T1280" s="2" t="s">
        <v>22419</v>
      </c>
      <c r="U1280" s="2" t="s">
        <v>22420</v>
      </c>
      <c r="V1280" s="2" t="s">
        <v>22421</v>
      </c>
      <c r="W1280" s="2" t="s">
        <v>22422</v>
      </c>
      <c r="X1280" s="2" t="s">
        <v>2825</v>
      </c>
      <c r="Y1280" s="2" t="s">
        <v>22423</v>
      </c>
      <c r="Z1280" s="2" t="s">
        <v>6724</v>
      </c>
      <c r="AA1280" s="2" t="s">
        <v>22424</v>
      </c>
      <c r="AB1280" s="2" t="s">
        <v>2851</v>
      </c>
      <c r="AC1280" s="2"/>
      <c r="AD1280" s="2"/>
      <c r="AE1280" s="2"/>
      <c r="AF1280" s="2"/>
      <c r="AG1280" s="2" t="n">
        <v>45</v>
      </c>
      <c r="AH1280" s="2" t="n">
        <v>8</v>
      </c>
      <c r="AI1280" s="2" t="n">
        <v>8</v>
      </c>
      <c r="AJ1280" s="2" t="n">
        <v>0</v>
      </c>
      <c r="AK1280" s="2" t="n">
        <v>13</v>
      </c>
      <c r="AL1280" s="2" t="s">
        <v>154</v>
      </c>
      <c r="AM1280" s="2" t="s">
        <v>155</v>
      </c>
      <c r="AN1280" s="2" t="s">
        <v>156</v>
      </c>
      <c r="AO1280" s="2" t="s">
        <v>10005</v>
      </c>
      <c r="AP1280" s="2" t="s">
        <v>19820</v>
      </c>
      <c r="AQ1280" s="2"/>
      <c r="AR1280" s="2" t="s">
        <v>10006</v>
      </c>
      <c r="AS1280" s="2" t="s">
        <v>10007</v>
      </c>
      <c r="AT1280" s="2" t="s">
        <v>1041</v>
      </c>
      <c r="AU1280" s="2" t="n">
        <v>2015</v>
      </c>
      <c r="AV1280" s="2" t="n">
        <v>19</v>
      </c>
      <c r="AW1280" s="2" t="n">
        <v>1</v>
      </c>
      <c r="AX1280" s="2"/>
      <c r="AY1280" s="2"/>
      <c r="AZ1280" s="2"/>
      <c r="BA1280" s="2"/>
      <c r="BB1280" s="2" t="n">
        <v>94</v>
      </c>
      <c r="BC1280" s="2" t="n">
        <v>100</v>
      </c>
      <c r="BD1280" s="2"/>
      <c r="BE1280" s="2" t="s">
        <v>22425</v>
      </c>
      <c r="BF1280" s="2" t="str">
        <f aca="false">HYPERLINK("http://dx.doi.org/10.1111/petr.12383","http://dx.doi.org/10.1111/petr.12383")</f>
        <v>http://dx.doi.org/10.1111/petr.12383</v>
      </c>
      <c r="BG1280" s="2"/>
      <c r="BH1280" s="2"/>
      <c r="BI1280" s="2" t="n">
        <v>7</v>
      </c>
      <c r="BJ1280" s="2" t="s">
        <v>10009</v>
      </c>
      <c r="BK1280" s="2" t="s">
        <v>100</v>
      </c>
      <c r="BL1280" s="2" t="s">
        <v>10009</v>
      </c>
      <c r="BM1280" s="2" t="s">
        <v>22426</v>
      </c>
      <c r="BN1280" s="2" t="n">
        <v>25377237</v>
      </c>
      <c r="BO1280" s="2" t="s">
        <v>695</v>
      </c>
      <c r="BP1280" s="2"/>
      <c r="BQ1280" s="2"/>
      <c r="BR1280" s="2" t="s">
        <v>104</v>
      </c>
      <c r="BS1280" s="2" t="s">
        <v>22427</v>
      </c>
      <c r="BT1280" s="2" t="str">
        <f aca="false">HYPERLINK("https%3A%2F%2Fwww.webofscience.com%2Fwos%2Fwoscc%2Ffull-record%2FWOS:000346915200024","View Full Record in Web of Science")</f>
        <v>View Full Record in Web of Science</v>
      </c>
    </row>
    <row r="1281" customFormat="false" ht="12.75" hidden="false" customHeight="false" outlineLevel="0" collapsed="false">
      <c r="A1281" s="2" t="s">
        <v>72</v>
      </c>
      <c r="B1281" s="2" t="s">
        <v>22428</v>
      </c>
      <c r="C1281" s="2"/>
      <c r="D1281" s="2"/>
      <c r="E1281" s="2"/>
      <c r="F1281" s="2" t="s">
        <v>22428</v>
      </c>
      <c r="G1281" s="2"/>
      <c r="H1281" s="2"/>
      <c r="I1281" s="2" t="s">
        <v>22429</v>
      </c>
      <c r="J1281" s="2" t="s">
        <v>21305</v>
      </c>
      <c r="K1281" s="2"/>
      <c r="L1281" s="2"/>
      <c r="M1281" s="2" t="s">
        <v>77</v>
      </c>
      <c r="N1281" s="2" t="s">
        <v>78</v>
      </c>
      <c r="O1281" s="2"/>
      <c r="P1281" s="2"/>
      <c r="Q1281" s="2"/>
      <c r="R1281" s="2"/>
      <c r="S1281" s="2"/>
      <c r="T1281" s="2" t="s">
        <v>22430</v>
      </c>
      <c r="U1281" s="2" t="s">
        <v>22431</v>
      </c>
      <c r="V1281" s="2" t="s">
        <v>22432</v>
      </c>
      <c r="W1281" s="2" t="s">
        <v>22433</v>
      </c>
      <c r="X1281" s="2" t="s">
        <v>22434</v>
      </c>
      <c r="Y1281" s="2" t="s">
        <v>22435</v>
      </c>
      <c r="Z1281" s="2" t="s">
        <v>22436</v>
      </c>
      <c r="AA1281" s="2"/>
      <c r="AB1281" s="2" t="s">
        <v>22437</v>
      </c>
      <c r="AC1281" s="2"/>
      <c r="AD1281" s="2"/>
      <c r="AE1281" s="2"/>
      <c r="AF1281" s="2"/>
      <c r="AG1281" s="2" t="n">
        <v>43</v>
      </c>
      <c r="AH1281" s="2" t="n">
        <v>55</v>
      </c>
      <c r="AI1281" s="2" t="n">
        <v>60</v>
      </c>
      <c r="AJ1281" s="2" t="n">
        <v>0</v>
      </c>
      <c r="AK1281" s="2" t="n">
        <v>1</v>
      </c>
      <c r="AL1281" s="2" t="s">
        <v>154</v>
      </c>
      <c r="AM1281" s="2" t="s">
        <v>155</v>
      </c>
      <c r="AN1281" s="2" t="s">
        <v>156</v>
      </c>
      <c r="AO1281" s="2" t="s">
        <v>21316</v>
      </c>
      <c r="AP1281" s="2" t="s">
        <v>21317</v>
      </c>
      <c r="AQ1281" s="2"/>
      <c r="AR1281" s="2" t="s">
        <v>21318</v>
      </c>
      <c r="AS1281" s="2" t="s">
        <v>21319</v>
      </c>
      <c r="AT1281" s="2" t="s">
        <v>446</v>
      </c>
      <c r="AU1281" s="2" t="n">
        <v>2005</v>
      </c>
      <c r="AV1281" s="2" t="n">
        <v>45</v>
      </c>
      <c r="AW1281" s="2" t="n">
        <v>7</v>
      </c>
      <c r="AX1281" s="2"/>
      <c r="AY1281" s="2"/>
      <c r="AZ1281" s="2"/>
      <c r="BA1281" s="2"/>
      <c r="BB1281" s="2" t="n">
        <v>945</v>
      </c>
      <c r="BC1281" s="2" t="n">
        <v>951</v>
      </c>
      <c r="BD1281" s="2"/>
      <c r="BE1281" s="2" t="s">
        <v>22438</v>
      </c>
      <c r="BF1281" s="2" t="str">
        <f aca="false">HYPERLINK("http://dx.doi.org/10.1002/pbc.20469","http://dx.doi.org/10.1002/pbc.20469")</f>
        <v>http://dx.doi.org/10.1002/pbc.20469</v>
      </c>
      <c r="BG1281" s="2"/>
      <c r="BH1281" s="2"/>
      <c r="BI1281" s="2" t="n">
        <v>7</v>
      </c>
      <c r="BJ1281" s="2" t="s">
        <v>1128</v>
      </c>
      <c r="BK1281" s="2" t="s">
        <v>100</v>
      </c>
      <c r="BL1281" s="2" t="s">
        <v>1128</v>
      </c>
      <c r="BM1281" s="2" t="s">
        <v>22439</v>
      </c>
      <c r="BN1281" s="2" t="n">
        <v>16047356</v>
      </c>
      <c r="BO1281" s="2"/>
      <c r="BP1281" s="2"/>
      <c r="BQ1281" s="2"/>
      <c r="BR1281" s="2" t="s">
        <v>104</v>
      </c>
      <c r="BS1281" s="2" t="s">
        <v>22440</v>
      </c>
      <c r="BT1281" s="2" t="str">
        <f aca="false">HYPERLINK("https%3A%2F%2Fwww.webofscience.com%2Fwos%2Fwoscc%2Ffull-record%2FWOS:000232840200015","View Full Record in Web of Science")</f>
        <v>View Full Record in Web of Science</v>
      </c>
    </row>
    <row r="1282" customFormat="false" ht="12.75" hidden="false" customHeight="false" outlineLevel="0" collapsed="false">
      <c r="A1282" s="2" t="s">
        <v>72</v>
      </c>
      <c r="B1282" s="2" t="s">
        <v>22441</v>
      </c>
      <c r="C1282" s="2"/>
      <c r="D1282" s="2"/>
      <c r="E1282" s="2"/>
      <c r="F1282" s="2" t="s">
        <v>22442</v>
      </c>
      <c r="G1282" s="2"/>
      <c r="H1282" s="2"/>
      <c r="I1282" s="2" t="s">
        <v>22443</v>
      </c>
      <c r="J1282" s="2" t="s">
        <v>9127</v>
      </c>
      <c r="K1282" s="2"/>
      <c r="L1282" s="2"/>
      <c r="M1282" s="2" t="s">
        <v>77</v>
      </c>
      <c r="N1282" s="2" t="s">
        <v>78</v>
      </c>
      <c r="O1282" s="2"/>
      <c r="P1282" s="2"/>
      <c r="Q1282" s="2"/>
      <c r="R1282" s="2"/>
      <c r="S1282" s="2"/>
      <c r="T1282" s="2" t="s">
        <v>22444</v>
      </c>
      <c r="U1282" s="2" t="s">
        <v>22445</v>
      </c>
      <c r="V1282" s="2" t="s">
        <v>22446</v>
      </c>
      <c r="W1282" s="2" t="s">
        <v>22447</v>
      </c>
      <c r="X1282" s="2" t="s">
        <v>22448</v>
      </c>
      <c r="Y1282" s="2" t="s">
        <v>22449</v>
      </c>
      <c r="Z1282" s="2" t="s">
        <v>22450</v>
      </c>
      <c r="AA1282" s="2"/>
      <c r="AB1282" s="2" t="s">
        <v>22451</v>
      </c>
      <c r="AC1282" s="2" t="s">
        <v>22452</v>
      </c>
      <c r="AD1282" s="2" t="s">
        <v>22453</v>
      </c>
      <c r="AE1282" s="2" t="s">
        <v>22454</v>
      </c>
      <c r="AF1282" s="2"/>
      <c r="AG1282" s="2" t="n">
        <v>41</v>
      </c>
      <c r="AH1282" s="2" t="n">
        <v>24</v>
      </c>
      <c r="AI1282" s="2" t="n">
        <v>25</v>
      </c>
      <c r="AJ1282" s="2" t="n">
        <v>0</v>
      </c>
      <c r="AK1282" s="2" t="n">
        <v>4</v>
      </c>
      <c r="AL1282" s="2" t="s">
        <v>154</v>
      </c>
      <c r="AM1282" s="2" t="s">
        <v>155</v>
      </c>
      <c r="AN1282" s="2" t="s">
        <v>156</v>
      </c>
      <c r="AO1282" s="2" t="s">
        <v>9134</v>
      </c>
      <c r="AP1282" s="2" t="s">
        <v>9135</v>
      </c>
      <c r="AQ1282" s="2"/>
      <c r="AR1282" s="2" t="s">
        <v>9136</v>
      </c>
      <c r="AS1282" s="2" t="s">
        <v>9137</v>
      </c>
      <c r="AT1282" s="2" t="s">
        <v>2037</v>
      </c>
      <c r="AU1282" s="2" t="n">
        <v>2017</v>
      </c>
      <c r="AV1282" s="2" t="n">
        <v>123</v>
      </c>
      <c r="AW1282" s="2" t="n">
        <v>12</v>
      </c>
      <c r="AX1282" s="2"/>
      <c r="AY1282" s="2"/>
      <c r="AZ1282" s="2"/>
      <c r="BA1282" s="2"/>
      <c r="BB1282" s="2" t="n">
        <v>2329</v>
      </c>
      <c r="BC1282" s="2" t="n">
        <v>2337</v>
      </c>
      <c r="BD1282" s="2"/>
      <c r="BE1282" s="2" t="s">
        <v>22455</v>
      </c>
      <c r="BF1282" s="2" t="str">
        <f aca="false">HYPERLINK("http://dx.doi.org/10.1002/cncr.30599","http://dx.doi.org/10.1002/cncr.30599")</f>
        <v>http://dx.doi.org/10.1002/cncr.30599</v>
      </c>
      <c r="BG1282" s="2"/>
      <c r="BH1282" s="2"/>
      <c r="BI1282" s="2" t="n">
        <v>9</v>
      </c>
      <c r="BJ1282" s="2" t="s">
        <v>9139</v>
      </c>
      <c r="BK1282" s="2" t="s">
        <v>100</v>
      </c>
      <c r="BL1282" s="2" t="s">
        <v>9139</v>
      </c>
      <c r="BM1282" s="2" t="s">
        <v>22456</v>
      </c>
      <c r="BN1282" s="2" t="n">
        <v>28178369</v>
      </c>
      <c r="BO1282" s="2" t="s">
        <v>2643</v>
      </c>
      <c r="BP1282" s="2"/>
      <c r="BQ1282" s="2"/>
      <c r="BR1282" s="2" t="s">
        <v>104</v>
      </c>
      <c r="BS1282" s="2" t="s">
        <v>22457</v>
      </c>
      <c r="BT1282" s="2" t="str">
        <f aca="false">HYPERLINK("https%3A%2F%2Fwww.webofscience.com%2Fwos%2Fwoscc%2Ffull-record%2FWOS:000402846300021","View Full Record in Web of Science")</f>
        <v>View Full Record in Web of Science</v>
      </c>
    </row>
    <row r="1283" customFormat="false" ht="12.75" hidden="false" customHeight="false" outlineLevel="0" collapsed="false">
      <c r="A1283" s="2" t="s">
        <v>72</v>
      </c>
      <c r="B1283" s="2" t="s">
        <v>22458</v>
      </c>
      <c r="C1283" s="2"/>
      <c r="D1283" s="2"/>
      <c r="E1283" s="2"/>
      <c r="F1283" s="2" t="s">
        <v>22459</v>
      </c>
      <c r="G1283" s="2"/>
      <c r="H1283" s="2" t="s">
        <v>22460</v>
      </c>
      <c r="I1283" s="2" t="s">
        <v>22461</v>
      </c>
      <c r="J1283" s="2" t="s">
        <v>2021</v>
      </c>
      <c r="K1283" s="2"/>
      <c r="L1283" s="2"/>
      <c r="M1283" s="2" t="s">
        <v>77</v>
      </c>
      <c r="N1283" s="2" t="s">
        <v>78</v>
      </c>
      <c r="O1283" s="2"/>
      <c r="P1283" s="2"/>
      <c r="Q1283" s="2"/>
      <c r="R1283" s="2"/>
      <c r="S1283" s="2"/>
      <c r="T1283" s="2" t="s">
        <v>22462</v>
      </c>
      <c r="U1283" s="2" t="s">
        <v>22463</v>
      </c>
      <c r="V1283" s="2" t="s">
        <v>22464</v>
      </c>
      <c r="W1283" s="2" t="s">
        <v>22465</v>
      </c>
      <c r="X1283" s="2" t="s">
        <v>22466</v>
      </c>
      <c r="Y1283" s="2" t="s">
        <v>22467</v>
      </c>
      <c r="Z1283" s="2" t="s">
        <v>22468</v>
      </c>
      <c r="AA1283" s="2" t="s">
        <v>22469</v>
      </c>
      <c r="AB1283" s="2" t="s">
        <v>22470</v>
      </c>
      <c r="AC1283" s="2" t="s">
        <v>22471</v>
      </c>
      <c r="AD1283" s="2" t="s">
        <v>22472</v>
      </c>
      <c r="AE1283" s="2" t="s">
        <v>22473</v>
      </c>
      <c r="AF1283" s="2"/>
      <c r="AG1283" s="2" t="n">
        <v>42</v>
      </c>
      <c r="AH1283" s="2" t="n">
        <v>73</v>
      </c>
      <c r="AI1283" s="2" t="n">
        <v>80</v>
      </c>
      <c r="AJ1283" s="2" t="n">
        <v>0</v>
      </c>
      <c r="AK1283" s="2" t="n">
        <v>4</v>
      </c>
      <c r="AL1283" s="2" t="s">
        <v>527</v>
      </c>
      <c r="AM1283" s="2" t="s">
        <v>528</v>
      </c>
      <c r="AN1283" s="2" t="s">
        <v>529</v>
      </c>
      <c r="AO1283" s="2" t="s">
        <v>2033</v>
      </c>
      <c r="AP1283" s="2" t="s">
        <v>2034</v>
      </c>
      <c r="AQ1283" s="2"/>
      <c r="AR1283" s="2" t="s">
        <v>2035</v>
      </c>
      <c r="AS1283" s="2" t="s">
        <v>2036</v>
      </c>
      <c r="AT1283" s="2" t="s">
        <v>2037</v>
      </c>
      <c r="AU1283" s="2" t="n">
        <v>2017</v>
      </c>
      <c r="AV1283" s="2" t="n">
        <v>64</v>
      </c>
      <c r="AW1283" s="2"/>
      <c r="AX1283" s="2"/>
      <c r="AY1283" s="2" t="n">
        <v>3</v>
      </c>
      <c r="AZ1283" s="2"/>
      <c r="BA1283" s="2"/>
      <c r="BB1283" s="2" t="s">
        <v>22474</v>
      </c>
      <c r="BC1283" s="2" t="s">
        <v>22475</v>
      </c>
      <c r="BD1283" s="2"/>
      <c r="BE1283" s="2" t="s">
        <v>22476</v>
      </c>
      <c r="BF1283" s="2" t="str">
        <f aca="false">HYPERLINK("http://dx.doi.org/10.1093/cid/cix150","http://dx.doi.org/10.1093/cid/cix150")</f>
        <v>http://dx.doi.org/10.1093/cid/cix150</v>
      </c>
      <c r="BG1283" s="2"/>
      <c r="BH1283" s="2"/>
      <c r="BI1283" s="2" t="n">
        <v>9</v>
      </c>
      <c r="BJ1283" s="2" t="s">
        <v>536</v>
      </c>
      <c r="BK1283" s="2" t="s">
        <v>100</v>
      </c>
      <c r="BL1283" s="2" t="s">
        <v>536</v>
      </c>
      <c r="BM1283" s="2" t="s">
        <v>22477</v>
      </c>
      <c r="BN1283" s="2" t="n">
        <v>28575375</v>
      </c>
      <c r="BO1283" s="2" t="s">
        <v>676</v>
      </c>
      <c r="BP1283" s="2"/>
      <c r="BQ1283" s="2"/>
      <c r="BR1283" s="2" t="s">
        <v>104</v>
      </c>
      <c r="BS1283" s="2" t="s">
        <v>22478</v>
      </c>
      <c r="BT1283" s="2" t="str">
        <f aca="false">HYPERLINK("https%3A%2F%2Fwww.webofscience.com%2Fwos%2Fwoscc%2Ffull-record%2FWOS:000402298300023","View Full Record in Web of Science")</f>
        <v>View Full Record in Web of Science</v>
      </c>
    </row>
    <row r="1284" customFormat="false" ht="12.75" hidden="false" customHeight="false" outlineLevel="0" collapsed="false">
      <c r="A1284" s="2" t="s">
        <v>72</v>
      </c>
      <c r="B1284" s="2" t="s">
        <v>22479</v>
      </c>
      <c r="C1284" s="2"/>
      <c r="D1284" s="2"/>
      <c r="E1284" s="2"/>
      <c r="F1284" s="2" t="s">
        <v>22480</v>
      </c>
      <c r="G1284" s="2"/>
      <c r="H1284" s="2"/>
      <c r="I1284" s="2" t="s">
        <v>22481</v>
      </c>
      <c r="J1284" s="2" t="s">
        <v>717</v>
      </c>
      <c r="K1284" s="2"/>
      <c r="L1284" s="2"/>
      <c r="M1284" s="2" t="s">
        <v>77</v>
      </c>
      <c r="N1284" s="2" t="s">
        <v>78</v>
      </c>
      <c r="O1284" s="2"/>
      <c r="P1284" s="2"/>
      <c r="Q1284" s="2"/>
      <c r="R1284" s="2"/>
      <c r="S1284" s="2"/>
      <c r="T1284" s="2" t="s">
        <v>22482</v>
      </c>
      <c r="U1284" s="2" t="s">
        <v>22483</v>
      </c>
      <c r="V1284" s="2" t="s">
        <v>22484</v>
      </c>
      <c r="W1284" s="2" t="s">
        <v>22485</v>
      </c>
      <c r="X1284" s="2" t="s">
        <v>22486</v>
      </c>
      <c r="Y1284" s="2" t="s">
        <v>22487</v>
      </c>
      <c r="Z1284" s="2" t="s">
        <v>22488</v>
      </c>
      <c r="AA1284" s="2" t="s">
        <v>22489</v>
      </c>
      <c r="AB1284" s="2" t="s">
        <v>22490</v>
      </c>
      <c r="AC1284" s="2" t="s">
        <v>22491</v>
      </c>
      <c r="AD1284" s="2" t="s">
        <v>22491</v>
      </c>
      <c r="AE1284" s="2" t="s">
        <v>22492</v>
      </c>
      <c r="AF1284" s="2"/>
      <c r="AG1284" s="2" t="n">
        <v>56</v>
      </c>
      <c r="AH1284" s="2" t="n">
        <v>4</v>
      </c>
      <c r="AI1284" s="2" t="n">
        <v>4</v>
      </c>
      <c r="AJ1284" s="2" t="n">
        <v>0</v>
      </c>
      <c r="AK1284" s="2" t="n">
        <v>12</v>
      </c>
      <c r="AL1284" s="2" t="s">
        <v>549</v>
      </c>
      <c r="AM1284" s="2" t="s">
        <v>384</v>
      </c>
      <c r="AN1284" s="2" t="s">
        <v>550</v>
      </c>
      <c r="AO1284" s="2" t="s">
        <v>729</v>
      </c>
      <c r="AP1284" s="2" t="s">
        <v>730</v>
      </c>
      <c r="AQ1284" s="2"/>
      <c r="AR1284" s="2" t="s">
        <v>731</v>
      </c>
      <c r="AS1284" s="2" t="s">
        <v>732</v>
      </c>
      <c r="AT1284" s="2" t="s">
        <v>4214</v>
      </c>
      <c r="AU1284" s="2" t="n">
        <v>2014</v>
      </c>
      <c r="AV1284" s="2" t="n">
        <v>198</v>
      </c>
      <c r="AW1284" s="2"/>
      <c r="AX1284" s="2"/>
      <c r="AY1284" s="2"/>
      <c r="AZ1284" s="2"/>
      <c r="BA1284" s="2"/>
      <c r="BB1284" s="2" t="n">
        <v>56</v>
      </c>
      <c r="BC1284" s="2" t="n">
        <v>63</v>
      </c>
      <c r="BD1284" s="2"/>
      <c r="BE1284" s="2" t="s">
        <v>22493</v>
      </c>
      <c r="BF1284" s="2" t="str">
        <f aca="false">HYPERLINK("http://dx.doi.org/10.1016/j.jviromet.2013.12.017","http://dx.doi.org/10.1016/j.jviromet.2013.12.017")</f>
        <v>http://dx.doi.org/10.1016/j.jviromet.2013.12.017</v>
      </c>
      <c r="BG1284" s="2"/>
      <c r="BH1284" s="2"/>
      <c r="BI1284" s="2" t="n">
        <v>8</v>
      </c>
      <c r="BJ1284" s="2" t="s">
        <v>735</v>
      </c>
      <c r="BK1284" s="2" t="s">
        <v>100</v>
      </c>
      <c r="BL1284" s="2" t="s">
        <v>736</v>
      </c>
      <c r="BM1284" s="2" t="s">
        <v>22494</v>
      </c>
      <c r="BN1284" s="2" t="n">
        <v>24389127</v>
      </c>
      <c r="BO1284" s="2"/>
      <c r="BP1284" s="2"/>
      <c r="BQ1284" s="2"/>
      <c r="BR1284" s="2" t="s">
        <v>104</v>
      </c>
      <c r="BS1284" s="2" t="s">
        <v>22495</v>
      </c>
      <c r="BT1284" s="2" t="str">
        <f aca="false">HYPERLINK("https%3A%2F%2Fwww.webofscience.com%2Fwos%2Fwoscc%2Ffull-record%2FWOS:000332056600008","View Full Record in Web of Science")</f>
        <v>View Full Record in Web of Science</v>
      </c>
    </row>
    <row r="1285" customFormat="false" ht="12.75" hidden="false" customHeight="false" outlineLevel="0" collapsed="false">
      <c r="A1285" s="2" t="s">
        <v>72</v>
      </c>
      <c r="B1285" s="2" t="s">
        <v>22496</v>
      </c>
      <c r="C1285" s="2"/>
      <c r="D1285" s="2"/>
      <c r="E1285" s="2"/>
      <c r="F1285" s="2" t="s">
        <v>22497</v>
      </c>
      <c r="G1285" s="2"/>
      <c r="H1285" s="2"/>
      <c r="I1285" s="2" t="s">
        <v>22498</v>
      </c>
      <c r="J1285" s="2" t="s">
        <v>11019</v>
      </c>
      <c r="K1285" s="2"/>
      <c r="L1285" s="2"/>
      <c r="M1285" s="2" t="s">
        <v>77</v>
      </c>
      <c r="N1285" s="2" t="s">
        <v>78</v>
      </c>
      <c r="O1285" s="2"/>
      <c r="P1285" s="2"/>
      <c r="Q1285" s="2"/>
      <c r="R1285" s="2"/>
      <c r="S1285" s="2"/>
      <c r="T1285" s="2" t="s">
        <v>22499</v>
      </c>
      <c r="U1285" s="2" t="s">
        <v>22500</v>
      </c>
      <c r="V1285" s="2" t="s">
        <v>22501</v>
      </c>
      <c r="W1285" s="2" t="s">
        <v>22502</v>
      </c>
      <c r="X1285" s="2"/>
      <c r="Y1285" s="2" t="s">
        <v>22503</v>
      </c>
      <c r="Z1285" s="2" t="s">
        <v>22504</v>
      </c>
      <c r="AA1285" s="2"/>
      <c r="AB1285" s="2" t="s">
        <v>22505</v>
      </c>
      <c r="AC1285" s="2" t="s">
        <v>22506</v>
      </c>
      <c r="AD1285" s="2" t="s">
        <v>22506</v>
      </c>
      <c r="AE1285" s="2" t="s">
        <v>22507</v>
      </c>
      <c r="AF1285" s="2"/>
      <c r="AG1285" s="2" t="n">
        <v>44</v>
      </c>
      <c r="AH1285" s="2" t="n">
        <v>0</v>
      </c>
      <c r="AI1285" s="2" t="n">
        <v>0</v>
      </c>
      <c r="AJ1285" s="2" t="n">
        <v>0</v>
      </c>
      <c r="AK1285" s="2" t="n">
        <v>0</v>
      </c>
      <c r="AL1285" s="2" t="s">
        <v>154</v>
      </c>
      <c r="AM1285" s="2" t="s">
        <v>155</v>
      </c>
      <c r="AN1285" s="2" t="s">
        <v>156</v>
      </c>
      <c r="AO1285" s="2" t="s">
        <v>11028</v>
      </c>
      <c r="AP1285" s="2" t="s">
        <v>11029</v>
      </c>
      <c r="AQ1285" s="2"/>
      <c r="AR1285" s="2" t="s">
        <v>11030</v>
      </c>
      <c r="AS1285" s="2" t="s">
        <v>11031</v>
      </c>
      <c r="AT1285" s="2" t="s">
        <v>97</v>
      </c>
      <c r="AU1285" s="2" t="n">
        <v>2024</v>
      </c>
      <c r="AV1285" s="2" t="n">
        <v>18</v>
      </c>
      <c r="AW1285" s="2" t="n">
        <v>3</v>
      </c>
      <c r="AX1285" s="2"/>
      <c r="AY1285" s="2"/>
      <c r="AZ1285" s="2"/>
      <c r="BA1285" s="2"/>
      <c r="BB1285" s="2"/>
      <c r="BC1285" s="2"/>
      <c r="BD1285" s="2" t="s">
        <v>22508</v>
      </c>
      <c r="BE1285" s="2" t="s">
        <v>22509</v>
      </c>
      <c r="BF1285" s="2" t="str">
        <f aca="false">HYPERLINK("http://dx.doi.org/10.1111/irv.13271","http://dx.doi.org/10.1111/irv.13271")</f>
        <v>http://dx.doi.org/10.1111/irv.13271</v>
      </c>
      <c r="BG1285" s="2"/>
      <c r="BH1285" s="2"/>
      <c r="BI1285" s="2" t="n">
        <v>8</v>
      </c>
      <c r="BJ1285" s="2" t="s">
        <v>8287</v>
      </c>
      <c r="BK1285" s="2" t="s">
        <v>100</v>
      </c>
      <c r="BL1285" s="2" t="s">
        <v>8287</v>
      </c>
      <c r="BM1285" s="2" t="s">
        <v>22510</v>
      </c>
      <c r="BN1285" s="2" t="n">
        <v>38501305</v>
      </c>
      <c r="BO1285" s="2" t="s">
        <v>9339</v>
      </c>
      <c r="BP1285" s="2"/>
      <c r="BQ1285" s="2"/>
      <c r="BR1285" s="2" t="s">
        <v>104</v>
      </c>
      <c r="BS1285" s="2" t="s">
        <v>22511</v>
      </c>
      <c r="BT1285" s="2" t="str">
        <f aca="false">HYPERLINK("https%3A%2F%2Fwww.webofscience.com%2Fwos%2Fwoscc%2Ffull-record%2FWOS:001187144800001","View Full Record in Web of Science")</f>
        <v>View Full Record in Web of Science</v>
      </c>
    </row>
    <row r="1286" customFormat="false" ht="12.75" hidden="false" customHeight="false" outlineLevel="0" collapsed="false">
      <c r="A1286" s="2" t="s">
        <v>72</v>
      </c>
      <c r="B1286" s="2" t="s">
        <v>22512</v>
      </c>
      <c r="C1286" s="2"/>
      <c r="D1286" s="2"/>
      <c r="E1286" s="2"/>
      <c r="F1286" s="2" t="s">
        <v>22513</v>
      </c>
      <c r="G1286" s="2"/>
      <c r="H1286" s="2"/>
      <c r="I1286" s="2" t="s">
        <v>22514</v>
      </c>
      <c r="J1286" s="2" t="s">
        <v>11019</v>
      </c>
      <c r="K1286" s="2"/>
      <c r="L1286" s="2"/>
      <c r="M1286" s="2" t="s">
        <v>77</v>
      </c>
      <c r="N1286" s="2" t="s">
        <v>78</v>
      </c>
      <c r="O1286" s="2"/>
      <c r="P1286" s="2"/>
      <c r="Q1286" s="2"/>
      <c r="R1286" s="2"/>
      <c r="S1286" s="2"/>
      <c r="T1286" s="2" t="s">
        <v>22515</v>
      </c>
      <c r="U1286" s="2" t="s">
        <v>22516</v>
      </c>
      <c r="V1286" s="2" t="s">
        <v>22517</v>
      </c>
      <c r="W1286" s="2" t="s">
        <v>22518</v>
      </c>
      <c r="X1286" s="2" t="s">
        <v>22519</v>
      </c>
      <c r="Y1286" s="2" t="s">
        <v>22520</v>
      </c>
      <c r="Z1286" s="2" t="s">
        <v>22521</v>
      </c>
      <c r="AA1286" s="2" t="s">
        <v>22522</v>
      </c>
      <c r="AB1286" s="2" t="s">
        <v>22523</v>
      </c>
      <c r="AC1286" s="2" t="s">
        <v>22524</v>
      </c>
      <c r="AD1286" s="2" t="s">
        <v>22525</v>
      </c>
      <c r="AE1286" s="2" t="s">
        <v>22526</v>
      </c>
      <c r="AF1286" s="2"/>
      <c r="AG1286" s="2" t="n">
        <v>37</v>
      </c>
      <c r="AH1286" s="2" t="n">
        <v>9</v>
      </c>
      <c r="AI1286" s="2" t="n">
        <v>10</v>
      </c>
      <c r="AJ1286" s="2" t="n">
        <v>0</v>
      </c>
      <c r="AK1286" s="2" t="n">
        <v>4</v>
      </c>
      <c r="AL1286" s="2" t="s">
        <v>154</v>
      </c>
      <c r="AM1286" s="2" t="s">
        <v>155</v>
      </c>
      <c r="AN1286" s="2" t="s">
        <v>156</v>
      </c>
      <c r="AO1286" s="2" t="s">
        <v>11028</v>
      </c>
      <c r="AP1286" s="2" t="s">
        <v>11029</v>
      </c>
      <c r="AQ1286" s="2"/>
      <c r="AR1286" s="2" t="s">
        <v>11030</v>
      </c>
      <c r="AS1286" s="2" t="s">
        <v>11031</v>
      </c>
      <c r="AT1286" s="2" t="s">
        <v>390</v>
      </c>
      <c r="AU1286" s="2" t="n">
        <v>2022</v>
      </c>
      <c r="AV1286" s="2" t="n">
        <v>16</v>
      </c>
      <c r="AW1286" s="2" t="n">
        <v>3</v>
      </c>
      <c r="AX1286" s="2"/>
      <c r="AY1286" s="2"/>
      <c r="AZ1286" s="2"/>
      <c r="BA1286" s="2"/>
      <c r="BB1286" s="2" t="n">
        <v>438</v>
      </c>
      <c r="BC1286" s="2" t="n">
        <v>451</v>
      </c>
      <c r="BD1286" s="2"/>
      <c r="BE1286" s="2" t="s">
        <v>22527</v>
      </c>
      <c r="BF1286" s="2" t="str">
        <f aca="false">HYPERLINK("http://dx.doi.org/10.1111/irv.12949","http://dx.doi.org/10.1111/irv.12949")</f>
        <v>http://dx.doi.org/10.1111/irv.12949</v>
      </c>
      <c r="BG1286" s="2"/>
      <c r="BH1286" s="2" t="s">
        <v>10762</v>
      </c>
      <c r="BI1286" s="2" t="n">
        <v>14</v>
      </c>
      <c r="BJ1286" s="2" t="s">
        <v>8287</v>
      </c>
      <c r="BK1286" s="2" t="s">
        <v>100</v>
      </c>
      <c r="BL1286" s="2" t="s">
        <v>8287</v>
      </c>
      <c r="BM1286" s="2" t="s">
        <v>22528</v>
      </c>
      <c r="BN1286" s="2" t="n">
        <v>35150059</v>
      </c>
      <c r="BO1286" s="2" t="s">
        <v>2178</v>
      </c>
      <c r="BP1286" s="2"/>
      <c r="BQ1286" s="2"/>
      <c r="BR1286" s="2" t="s">
        <v>104</v>
      </c>
      <c r="BS1286" s="2" t="s">
        <v>22529</v>
      </c>
      <c r="BT1286" s="2" t="str">
        <f aca="false">HYPERLINK("https%3A%2F%2Fwww.webofscience.com%2Fwos%2Fwoscc%2Ffull-record%2FWOS:000754159600001","View Full Record in Web of Science")</f>
        <v>View Full Record in Web of Science</v>
      </c>
    </row>
    <row r="1287" customFormat="false" ht="12.75" hidden="false" customHeight="false" outlineLevel="0" collapsed="false">
      <c r="A1287" s="2" t="s">
        <v>72</v>
      </c>
      <c r="B1287" s="2" t="s">
        <v>22530</v>
      </c>
      <c r="C1287" s="2"/>
      <c r="D1287" s="2"/>
      <c r="E1287" s="2"/>
      <c r="F1287" s="2" t="s">
        <v>22531</v>
      </c>
      <c r="G1287" s="2"/>
      <c r="H1287" s="2"/>
      <c r="I1287" s="2" t="s">
        <v>22532</v>
      </c>
      <c r="J1287" s="2" t="s">
        <v>11019</v>
      </c>
      <c r="K1287" s="2"/>
      <c r="L1287" s="2"/>
      <c r="M1287" s="2" t="s">
        <v>77</v>
      </c>
      <c r="N1287" s="2" t="s">
        <v>78</v>
      </c>
      <c r="O1287" s="2"/>
      <c r="P1287" s="2"/>
      <c r="Q1287" s="2"/>
      <c r="R1287" s="2"/>
      <c r="S1287" s="2"/>
      <c r="T1287" s="2" t="s">
        <v>22533</v>
      </c>
      <c r="U1287" s="2" t="s">
        <v>22534</v>
      </c>
      <c r="V1287" s="2" t="s">
        <v>22535</v>
      </c>
      <c r="W1287" s="2" t="s">
        <v>22536</v>
      </c>
      <c r="X1287" s="2" t="s">
        <v>6554</v>
      </c>
      <c r="Y1287" s="2" t="s">
        <v>22537</v>
      </c>
      <c r="Z1287" s="2" t="s">
        <v>2528</v>
      </c>
      <c r="AA1287" s="2" t="s">
        <v>22538</v>
      </c>
      <c r="AB1287" s="2"/>
      <c r="AC1287" s="2" t="s">
        <v>22539</v>
      </c>
      <c r="AD1287" s="2" t="s">
        <v>22540</v>
      </c>
      <c r="AE1287" s="2" t="s">
        <v>22541</v>
      </c>
      <c r="AF1287" s="2"/>
      <c r="AG1287" s="2" t="n">
        <v>22</v>
      </c>
      <c r="AH1287" s="2" t="n">
        <v>13</v>
      </c>
      <c r="AI1287" s="2" t="n">
        <v>16</v>
      </c>
      <c r="AJ1287" s="2" t="n">
        <v>0</v>
      </c>
      <c r="AK1287" s="2" t="n">
        <v>6</v>
      </c>
      <c r="AL1287" s="2" t="s">
        <v>154</v>
      </c>
      <c r="AM1287" s="2" t="s">
        <v>155</v>
      </c>
      <c r="AN1287" s="2" t="s">
        <v>156</v>
      </c>
      <c r="AO1287" s="2" t="s">
        <v>11028</v>
      </c>
      <c r="AP1287" s="2" t="s">
        <v>11029</v>
      </c>
      <c r="AQ1287" s="2"/>
      <c r="AR1287" s="2" t="s">
        <v>11030</v>
      </c>
      <c r="AS1287" s="2" t="s">
        <v>11031</v>
      </c>
      <c r="AT1287" s="2" t="s">
        <v>804</v>
      </c>
      <c r="AU1287" s="2" t="n">
        <v>2022</v>
      </c>
      <c r="AV1287" s="2" t="n">
        <v>16</v>
      </c>
      <c r="AW1287" s="2" t="n">
        <v>6</v>
      </c>
      <c r="AX1287" s="2"/>
      <c r="AY1287" s="2"/>
      <c r="AZ1287" s="2"/>
      <c r="BA1287" s="2"/>
      <c r="BB1287" s="2" t="n">
        <v>1133</v>
      </c>
      <c r="BC1287" s="2" t="n">
        <v>1140</v>
      </c>
      <c r="BD1287" s="2"/>
      <c r="BE1287" s="2" t="s">
        <v>22542</v>
      </c>
      <c r="BF1287" s="2" t="str">
        <f aca="false">HYPERLINK("http://dx.doi.org/10.1111/irv.13040","http://dx.doi.org/10.1111/irv.13040")</f>
        <v>http://dx.doi.org/10.1111/irv.13040</v>
      </c>
      <c r="BG1287" s="2"/>
      <c r="BH1287" s="2" t="s">
        <v>2216</v>
      </c>
      <c r="BI1287" s="2" t="n">
        <v>8</v>
      </c>
      <c r="BJ1287" s="2" t="s">
        <v>8287</v>
      </c>
      <c r="BK1287" s="2" t="s">
        <v>100</v>
      </c>
      <c r="BL1287" s="2" t="s">
        <v>8287</v>
      </c>
      <c r="BM1287" s="2" t="s">
        <v>22543</v>
      </c>
      <c r="BN1287" s="2" t="n">
        <v>35996836</v>
      </c>
      <c r="BO1287" s="2" t="s">
        <v>14604</v>
      </c>
      <c r="BP1287" s="2"/>
      <c r="BQ1287" s="2"/>
      <c r="BR1287" s="2" t="s">
        <v>104</v>
      </c>
      <c r="BS1287" s="2" t="s">
        <v>22544</v>
      </c>
      <c r="BT1287" s="2" t="str">
        <f aca="false">HYPERLINK("https%3A%2F%2Fwww.webofscience.com%2Fwos%2Fwoscc%2Ffull-record%2FWOS:000842817900001","View Full Record in Web of Science")</f>
        <v>View Full Record in Web of Science</v>
      </c>
    </row>
    <row r="1288" customFormat="false" ht="12.75" hidden="false" customHeight="false" outlineLevel="0" collapsed="false">
      <c r="A1288" s="2" t="s">
        <v>72</v>
      </c>
      <c r="B1288" s="2" t="s">
        <v>22545</v>
      </c>
      <c r="C1288" s="2"/>
      <c r="D1288" s="2"/>
      <c r="E1288" s="2"/>
      <c r="F1288" s="2" t="s">
        <v>22546</v>
      </c>
      <c r="G1288" s="2"/>
      <c r="H1288" s="2"/>
      <c r="I1288" s="2" t="s">
        <v>22547</v>
      </c>
      <c r="J1288" s="2" t="s">
        <v>514</v>
      </c>
      <c r="K1288" s="2"/>
      <c r="L1288" s="2"/>
      <c r="M1288" s="2" t="s">
        <v>77</v>
      </c>
      <c r="N1288" s="2" t="s">
        <v>78</v>
      </c>
      <c r="O1288" s="2"/>
      <c r="P1288" s="2"/>
      <c r="Q1288" s="2"/>
      <c r="R1288" s="2"/>
      <c r="S1288" s="2"/>
      <c r="T1288" s="2" t="s">
        <v>22548</v>
      </c>
      <c r="U1288" s="2" t="s">
        <v>22549</v>
      </c>
      <c r="V1288" s="2" t="s">
        <v>22550</v>
      </c>
      <c r="W1288" s="2" t="s">
        <v>22551</v>
      </c>
      <c r="X1288" s="2" t="s">
        <v>16723</v>
      </c>
      <c r="Y1288" s="2" t="s">
        <v>22552</v>
      </c>
      <c r="Z1288" s="2" t="s">
        <v>22553</v>
      </c>
      <c r="AA1288" s="2"/>
      <c r="AB1288" s="2" t="s">
        <v>22554</v>
      </c>
      <c r="AC1288" s="2" t="s">
        <v>22555</v>
      </c>
      <c r="AD1288" s="2" t="s">
        <v>22556</v>
      </c>
      <c r="AE1288" s="2" t="s">
        <v>22557</v>
      </c>
      <c r="AF1288" s="2"/>
      <c r="AG1288" s="2" t="n">
        <v>49</v>
      </c>
      <c r="AH1288" s="2" t="n">
        <v>24</v>
      </c>
      <c r="AI1288" s="2" t="n">
        <v>27</v>
      </c>
      <c r="AJ1288" s="2" t="n">
        <v>4</v>
      </c>
      <c r="AK1288" s="2" t="n">
        <v>6</v>
      </c>
      <c r="AL1288" s="2" t="s">
        <v>527</v>
      </c>
      <c r="AM1288" s="2" t="s">
        <v>528</v>
      </c>
      <c r="AN1288" s="2" t="s">
        <v>529</v>
      </c>
      <c r="AO1288" s="2" t="s">
        <v>530</v>
      </c>
      <c r="AP1288" s="2" t="s">
        <v>531</v>
      </c>
      <c r="AQ1288" s="2"/>
      <c r="AR1288" s="2" t="s">
        <v>532</v>
      </c>
      <c r="AS1288" s="2" t="s">
        <v>533</v>
      </c>
      <c r="AT1288" s="2" t="s">
        <v>8806</v>
      </c>
      <c r="AU1288" s="2" t="n">
        <v>2017</v>
      </c>
      <c r="AV1288" s="2" t="n">
        <v>216</v>
      </c>
      <c r="AW1288" s="2" t="n">
        <v>1</v>
      </c>
      <c r="AX1288" s="2"/>
      <c r="AY1288" s="2"/>
      <c r="AZ1288" s="2"/>
      <c r="BA1288" s="2"/>
      <c r="BB1288" s="2" t="n">
        <v>110</v>
      </c>
      <c r="BC1288" s="2" t="n">
        <v>116</v>
      </c>
      <c r="BD1288" s="2"/>
      <c r="BE1288" s="2" t="s">
        <v>22558</v>
      </c>
      <c r="BF1288" s="2" t="str">
        <f aca="false">HYPERLINK("http://dx.doi.org/10.1093/infdis/jix262","http://dx.doi.org/10.1093/infdis/jix262")</f>
        <v>http://dx.doi.org/10.1093/infdis/jix262</v>
      </c>
      <c r="BG1288" s="2"/>
      <c r="BH1288" s="2"/>
      <c r="BI1288" s="2" t="n">
        <v>7</v>
      </c>
      <c r="BJ1288" s="2" t="s">
        <v>536</v>
      </c>
      <c r="BK1288" s="2" t="s">
        <v>100</v>
      </c>
      <c r="BL1288" s="2" t="s">
        <v>536</v>
      </c>
      <c r="BM1288" s="2" t="s">
        <v>22559</v>
      </c>
      <c r="BN1288" s="2" t="n">
        <v>28838133</v>
      </c>
      <c r="BO1288" s="2" t="s">
        <v>22124</v>
      </c>
      <c r="BP1288" s="2"/>
      <c r="BQ1288" s="2"/>
      <c r="BR1288" s="2" t="s">
        <v>104</v>
      </c>
      <c r="BS1288" s="2" t="s">
        <v>22560</v>
      </c>
      <c r="BT1288" s="2" t="str">
        <f aca="false">HYPERLINK("https%3A%2F%2Fwww.webofscience.com%2Fwos%2Fwoscc%2Ffull-record%2FWOS:000405951900016","View Full Record in Web of Science")</f>
        <v>View Full Record in Web of Science</v>
      </c>
    </row>
    <row r="1289" customFormat="false" ht="12.75" hidden="false" customHeight="false" outlineLevel="0" collapsed="false">
      <c r="A1289" s="2" t="s">
        <v>72</v>
      </c>
      <c r="B1289" s="2" t="s">
        <v>22561</v>
      </c>
      <c r="C1289" s="2"/>
      <c r="D1289" s="2"/>
      <c r="E1289" s="2"/>
      <c r="F1289" s="2" t="s">
        <v>22562</v>
      </c>
      <c r="G1289" s="2"/>
      <c r="H1289" s="2"/>
      <c r="I1289" s="2" t="s">
        <v>22563</v>
      </c>
      <c r="J1289" s="2" t="s">
        <v>7060</v>
      </c>
      <c r="K1289" s="2"/>
      <c r="L1289" s="2"/>
      <c r="M1289" s="2" t="s">
        <v>77</v>
      </c>
      <c r="N1289" s="2" t="s">
        <v>78</v>
      </c>
      <c r="O1289" s="2"/>
      <c r="P1289" s="2"/>
      <c r="Q1289" s="2"/>
      <c r="R1289" s="2"/>
      <c r="S1289" s="2"/>
      <c r="T1289" s="2" t="s">
        <v>22564</v>
      </c>
      <c r="U1289" s="2" t="s">
        <v>22565</v>
      </c>
      <c r="V1289" s="2" t="s">
        <v>22566</v>
      </c>
      <c r="W1289" s="2" t="s">
        <v>22567</v>
      </c>
      <c r="X1289" s="2" t="s">
        <v>22568</v>
      </c>
      <c r="Y1289" s="2" t="s">
        <v>22569</v>
      </c>
      <c r="Z1289" s="2" t="s">
        <v>22570</v>
      </c>
      <c r="AA1289" s="2" t="s">
        <v>22571</v>
      </c>
      <c r="AB1289" s="2"/>
      <c r="AC1289" s="2" t="s">
        <v>22572</v>
      </c>
      <c r="AD1289" s="2" t="s">
        <v>22573</v>
      </c>
      <c r="AE1289" s="2" t="s">
        <v>22574</v>
      </c>
      <c r="AF1289" s="2"/>
      <c r="AG1289" s="2" t="n">
        <v>45</v>
      </c>
      <c r="AH1289" s="2" t="n">
        <v>61</v>
      </c>
      <c r="AI1289" s="2" t="n">
        <v>72</v>
      </c>
      <c r="AJ1289" s="2" t="n">
        <v>0</v>
      </c>
      <c r="AK1289" s="2" t="n">
        <v>4</v>
      </c>
      <c r="AL1289" s="2" t="s">
        <v>7073</v>
      </c>
      <c r="AM1289" s="2" t="s">
        <v>7074</v>
      </c>
      <c r="AN1289" s="2" t="s">
        <v>7075</v>
      </c>
      <c r="AO1289" s="2" t="s">
        <v>7076</v>
      </c>
      <c r="AP1289" s="2" t="s">
        <v>7291</v>
      </c>
      <c r="AQ1289" s="2"/>
      <c r="AR1289" s="2" t="s">
        <v>7060</v>
      </c>
      <c r="AS1289" s="2" t="s">
        <v>601</v>
      </c>
      <c r="AT1289" s="2" t="s">
        <v>446</v>
      </c>
      <c r="AU1289" s="2" t="n">
        <v>2009</v>
      </c>
      <c r="AV1289" s="2" t="n">
        <v>124</v>
      </c>
      <c r="AW1289" s="2" t="n">
        <v>6</v>
      </c>
      <c r="AX1289" s="2"/>
      <c r="AY1289" s="2"/>
      <c r="AZ1289" s="2"/>
      <c r="BA1289" s="2"/>
      <c r="BB1289" s="2" t="s">
        <v>22575</v>
      </c>
      <c r="BC1289" s="2" t="s">
        <v>22576</v>
      </c>
      <c r="BD1289" s="2"/>
      <c r="BE1289" s="2" t="s">
        <v>22577</v>
      </c>
      <c r="BF1289" s="2" t="str">
        <f aca="false">HYPERLINK("http://dx.doi.org/10.1542/peds.2008-3074","http://dx.doi.org/10.1542/peds.2008-3074")</f>
        <v>http://dx.doi.org/10.1542/peds.2008-3074</v>
      </c>
      <c r="BG1289" s="2"/>
      <c r="BH1289" s="2"/>
      <c r="BI1289" s="2" t="n">
        <v>9</v>
      </c>
      <c r="BJ1289" s="2" t="s">
        <v>601</v>
      </c>
      <c r="BK1289" s="2" t="s">
        <v>100</v>
      </c>
      <c r="BL1289" s="2" t="s">
        <v>601</v>
      </c>
      <c r="BM1289" s="2" t="s">
        <v>22578</v>
      </c>
      <c r="BN1289" s="2" t="n">
        <v>19933730</v>
      </c>
      <c r="BO1289" s="2" t="s">
        <v>695</v>
      </c>
      <c r="BP1289" s="2"/>
      <c r="BQ1289" s="2"/>
      <c r="BR1289" s="2" t="s">
        <v>104</v>
      </c>
      <c r="BS1289" s="2" t="s">
        <v>22579</v>
      </c>
      <c r="BT1289" s="2" t="str">
        <f aca="false">HYPERLINK("https%3A%2F%2Fwww.webofscience.com%2Fwos%2Fwoscc%2Ffull-record%2FWOS:000272162400032","View Full Record in Web of Science")</f>
        <v>View Full Record in Web of Science</v>
      </c>
    </row>
    <row r="1290" customFormat="false" ht="12.75" hidden="false" customHeight="false" outlineLevel="0" collapsed="false">
      <c r="A1290" s="2" t="s">
        <v>72</v>
      </c>
      <c r="B1290" s="2" t="s">
        <v>22580</v>
      </c>
      <c r="C1290" s="2"/>
      <c r="D1290" s="2"/>
      <c r="E1290" s="2"/>
      <c r="F1290" s="2" t="s">
        <v>22581</v>
      </c>
      <c r="G1290" s="2"/>
      <c r="H1290" s="2"/>
      <c r="I1290" s="2" t="s">
        <v>22582</v>
      </c>
      <c r="J1290" s="2" t="s">
        <v>11019</v>
      </c>
      <c r="K1290" s="2"/>
      <c r="L1290" s="2"/>
      <c r="M1290" s="2" t="s">
        <v>77</v>
      </c>
      <c r="N1290" s="2" t="s">
        <v>78</v>
      </c>
      <c r="O1290" s="2"/>
      <c r="P1290" s="2"/>
      <c r="Q1290" s="2"/>
      <c r="R1290" s="2"/>
      <c r="S1290" s="2"/>
      <c r="T1290" s="2" t="s">
        <v>22583</v>
      </c>
      <c r="U1290" s="2" t="s">
        <v>22584</v>
      </c>
      <c r="V1290" s="2" t="s">
        <v>22585</v>
      </c>
      <c r="W1290" s="2" t="s">
        <v>22586</v>
      </c>
      <c r="X1290" s="2" t="s">
        <v>22587</v>
      </c>
      <c r="Y1290" s="2" t="s">
        <v>22588</v>
      </c>
      <c r="Z1290" s="2" t="s">
        <v>22589</v>
      </c>
      <c r="AA1290" s="2" t="s">
        <v>22590</v>
      </c>
      <c r="AB1290" s="2" t="s">
        <v>22591</v>
      </c>
      <c r="AC1290" s="2" t="s">
        <v>22592</v>
      </c>
      <c r="AD1290" s="2" t="s">
        <v>22593</v>
      </c>
      <c r="AE1290" s="2" t="s">
        <v>22594</v>
      </c>
      <c r="AF1290" s="2"/>
      <c r="AG1290" s="2" t="n">
        <v>19</v>
      </c>
      <c r="AH1290" s="2" t="n">
        <v>94</v>
      </c>
      <c r="AI1290" s="2" t="n">
        <v>96</v>
      </c>
      <c r="AJ1290" s="2" t="n">
        <v>0</v>
      </c>
      <c r="AK1290" s="2" t="n">
        <v>5</v>
      </c>
      <c r="AL1290" s="2" t="s">
        <v>3813</v>
      </c>
      <c r="AM1290" s="2" t="s">
        <v>155</v>
      </c>
      <c r="AN1290" s="2" t="s">
        <v>156</v>
      </c>
      <c r="AO1290" s="2" t="s">
        <v>11028</v>
      </c>
      <c r="AP1290" s="2" t="s">
        <v>11029</v>
      </c>
      <c r="AQ1290" s="2"/>
      <c r="AR1290" s="2" t="s">
        <v>11030</v>
      </c>
      <c r="AS1290" s="2" t="s">
        <v>11031</v>
      </c>
      <c r="AT1290" s="2" t="s">
        <v>390</v>
      </c>
      <c r="AU1290" s="2" t="n">
        <v>2014</v>
      </c>
      <c r="AV1290" s="2" t="n">
        <v>8</v>
      </c>
      <c r="AW1290" s="2" t="n">
        <v>3</v>
      </c>
      <c r="AX1290" s="2"/>
      <c r="AY1290" s="2"/>
      <c r="AZ1290" s="2"/>
      <c r="BA1290" s="2"/>
      <c r="BB1290" s="2" t="n">
        <v>347</v>
      </c>
      <c r="BC1290" s="2" t="n">
        <v>352</v>
      </c>
      <c r="BD1290" s="2"/>
      <c r="BE1290" s="2" t="s">
        <v>22595</v>
      </c>
      <c r="BF1290" s="2" t="str">
        <f aca="false">HYPERLINK("http://dx.doi.org/10.1111/irv.12234","http://dx.doi.org/10.1111/irv.12234")</f>
        <v>http://dx.doi.org/10.1111/irv.12234</v>
      </c>
      <c r="BG1290" s="2"/>
      <c r="BH1290" s="2"/>
      <c r="BI1290" s="2" t="n">
        <v>6</v>
      </c>
      <c r="BJ1290" s="2" t="s">
        <v>8287</v>
      </c>
      <c r="BK1290" s="2" t="s">
        <v>100</v>
      </c>
      <c r="BL1290" s="2" t="s">
        <v>8287</v>
      </c>
      <c r="BM1290" s="2" t="s">
        <v>18672</v>
      </c>
      <c r="BN1290" s="2" t="n">
        <v>24512531</v>
      </c>
      <c r="BO1290" s="2" t="s">
        <v>21056</v>
      </c>
      <c r="BP1290" s="2"/>
      <c r="BQ1290" s="2"/>
      <c r="BR1290" s="2" t="s">
        <v>104</v>
      </c>
      <c r="BS1290" s="2" t="s">
        <v>22596</v>
      </c>
      <c r="BT1290" s="2" t="str">
        <f aca="false">HYPERLINK("https%3A%2F%2Fwww.webofscience.com%2Fwos%2Fwoscc%2Ffull-record%2FWOS:000334116600010","View Full Record in Web of Science")</f>
        <v>View Full Record in Web of Science</v>
      </c>
    </row>
    <row r="1291" customFormat="false" ht="12.75" hidden="false" customHeight="false" outlineLevel="0" collapsed="false">
      <c r="A1291" s="2" t="s">
        <v>72</v>
      </c>
      <c r="B1291" s="2" t="s">
        <v>22597</v>
      </c>
      <c r="C1291" s="2"/>
      <c r="D1291" s="2"/>
      <c r="E1291" s="2"/>
      <c r="F1291" s="2" t="s">
        <v>22598</v>
      </c>
      <c r="G1291" s="2"/>
      <c r="H1291" s="2"/>
      <c r="I1291" s="2" t="s">
        <v>22599</v>
      </c>
      <c r="J1291" s="2" t="s">
        <v>2262</v>
      </c>
      <c r="K1291" s="2"/>
      <c r="L1291" s="2"/>
      <c r="M1291" s="2" t="s">
        <v>77</v>
      </c>
      <c r="N1291" s="2" t="s">
        <v>78</v>
      </c>
      <c r="O1291" s="2"/>
      <c r="P1291" s="2"/>
      <c r="Q1291" s="2"/>
      <c r="R1291" s="2"/>
      <c r="S1291" s="2"/>
      <c r="T1291" s="2" t="s">
        <v>22600</v>
      </c>
      <c r="U1291" s="2" t="s">
        <v>796</v>
      </c>
      <c r="V1291" s="2" t="s">
        <v>22601</v>
      </c>
      <c r="W1291" s="2" t="s">
        <v>22602</v>
      </c>
      <c r="X1291" s="2" t="s">
        <v>22603</v>
      </c>
      <c r="Y1291" s="2" t="s">
        <v>22604</v>
      </c>
      <c r="Z1291" s="2" t="s">
        <v>22605</v>
      </c>
      <c r="AA1291" s="2"/>
      <c r="AB1291" s="2" t="s">
        <v>22606</v>
      </c>
      <c r="AC1291" s="2" t="s">
        <v>22607</v>
      </c>
      <c r="AD1291" s="2" t="s">
        <v>22607</v>
      </c>
      <c r="AE1291" s="2" t="s">
        <v>22608</v>
      </c>
      <c r="AF1291" s="2"/>
      <c r="AG1291" s="2" t="n">
        <v>41</v>
      </c>
      <c r="AH1291" s="2" t="n">
        <v>0</v>
      </c>
      <c r="AI1291" s="2" t="n">
        <v>0</v>
      </c>
      <c r="AJ1291" s="2" t="n">
        <v>1</v>
      </c>
      <c r="AK1291" s="2" t="n">
        <v>1</v>
      </c>
      <c r="AL1291" s="2" t="s">
        <v>383</v>
      </c>
      <c r="AM1291" s="2" t="s">
        <v>384</v>
      </c>
      <c r="AN1291" s="2" t="s">
        <v>385</v>
      </c>
      <c r="AO1291" s="2" t="s">
        <v>2271</v>
      </c>
      <c r="AP1291" s="2" t="s">
        <v>2272</v>
      </c>
      <c r="AQ1291" s="2"/>
      <c r="AR1291" s="2" t="s">
        <v>2273</v>
      </c>
      <c r="AS1291" s="2" t="s">
        <v>2274</v>
      </c>
      <c r="AT1291" s="2" t="s">
        <v>599</v>
      </c>
      <c r="AU1291" s="2" t="n">
        <v>2024</v>
      </c>
      <c r="AV1291" s="2" t="n">
        <v>62</v>
      </c>
      <c r="AW1291" s="2" t="n">
        <v>4</v>
      </c>
      <c r="AX1291" s="2"/>
      <c r="AY1291" s="2"/>
      <c r="AZ1291" s="2"/>
      <c r="BA1291" s="2"/>
      <c r="BB1291" s="2" t="n">
        <v>717</v>
      </c>
      <c r="BC1291" s="2" t="n">
        <v>725</v>
      </c>
      <c r="BD1291" s="2"/>
      <c r="BE1291" s="2" t="s">
        <v>22609</v>
      </c>
      <c r="BF1291" s="2" t="str">
        <f aca="false">HYPERLINK("http://dx.doi.org/10.1016/j.resinv.2024.05.015","http://dx.doi.org/10.1016/j.resinv.2024.05.015")</f>
        <v>http://dx.doi.org/10.1016/j.resinv.2024.05.015</v>
      </c>
      <c r="BG1291" s="2"/>
      <c r="BH1291" s="2" t="s">
        <v>2310</v>
      </c>
      <c r="BI1291" s="2" t="n">
        <v>9</v>
      </c>
      <c r="BJ1291" s="2" t="s">
        <v>338</v>
      </c>
      <c r="BK1291" s="2" t="s">
        <v>339</v>
      </c>
      <c r="BL1291" s="2" t="s">
        <v>338</v>
      </c>
      <c r="BM1291" s="2" t="s">
        <v>22610</v>
      </c>
      <c r="BN1291" s="2" t="n">
        <v>38823191</v>
      </c>
      <c r="BO1291" s="2"/>
      <c r="BP1291" s="2"/>
      <c r="BQ1291" s="2"/>
      <c r="BR1291" s="2" t="s">
        <v>104</v>
      </c>
      <c r="BS1291" s="2" t="s">
        <v>22611</v>
      </c>
      <c r="BT1291" s="2" t="str">
        <f aca="false">HYPERLINK("https%3A%2F%2Fwww.webofscience.com%2Fwos%2Fwoscc%2Ffull-record%2FWOS:001249059000001","View Full Record in Web of Science")</f>
        <v>View Full Record in Web of Science</v>
      </c>
    </row>
    <row r="1292" customFormat="false" ht="12.75" hidden="false" customHeight="false" outlineLevel="0" collapsed="false">
      <c r="A1292" s="2" t="s">
        <v>72</v>
      </c>
      <c r="B1292" s="2" t="s">
        <v>22612</v>
      </c>
      <c r="C1292" s="2"/>
      <c r="D1292" s="2"/>
      <c r="E1292" s="2"/>
      <c r="F1292" s="2" t="s">
        <v>22612</v>
      </c>
      <c r="G1292" s="2"/>
      <c r="H1292" s="2"/>
      <c r="I1292" s="2" t="s">
        <v>22613</v>
      </c>
      <c r="J1292" s="2" t="s">
        <v>141</v>
      </c>
      <c r="K1292" s="2"/>
      <c r="L1292" s="2"/>
      <c r="M1292" s="2" t="s">
        <v>77</v>
      </c>
      <c r="N1292" s="2" t="s">
        <v>78</v>
      </c>
      <c r="O1292" s="2"/>
      <c r="P1292" s="2"/>
      <c r="Q1292" s="2"/>
      <c r="R1292" s="2"/>
      <c r="S1292" s="2"/>
      <c r="T1292" s="2" t="s">
        <v>22614</v>
      </c>
      <c r="U1292" s="2" t="s">
        <v>22615</v>
      </c>
      <c r="V1292" s="2" t="s">
        <v>22616</v>
      </c>
      <c r="W1292" s="2"/>
      <c r="X1292" s="2"/>
      <c r="Y1292" s="2" t="s">
        <v>22617</v>
      </c>
      <c r="Z1292" s="2" t="s">
        <v>7386</v>
      </c>
      <c r="AA1292" s="2"/>
      <c r="AB1292" s="2"/>
      <c r="AC1292" s="2"/>
      <c r="AD1292" s="2"/>
      <c r="AE1292" s="2"/>
      <c r="AF1292" s="2"/>
      <c r="AG1292" s="2" t="n">
        <v>36</v>
      </c>
      <c r="AH1292" s="2" t="n">
        <v>44</v>
      </c>
      <c r="AI1292" s="2" t="n">
        <v>51</v>
      </c>
      <c r="AJ1292" s="2" t="n">
        <v>0</v>
      </c>
      <c r="AK1292" s="2" t="n">
        <v>3</v>
      </c>
      <c r="AL1292" s="2" t="s">
        <v>154</v>
      </c>
      <c r="AM1292" s="2" t="s">
        <v>155</v>
      </c>
      <c r="AN1292" s="2" t="s">
        <v>156</v>
      </c>
      <c r="AO1292" s="2" t="s">
        <v>157</v>
      </c>
      <c r="AP1292" s="2" t="s">
        <v>158</v>
      </c>
      <c r="AQ1292" s="2"/>
      <c r="AR1292" s="2" t="s">
        <v>159</v>
      </c>
      <c r="AS1292" s="2" t="s">
        <v>160</v>
      </c>
      <c r="AT1292" s="2" t="s">
        <v>390</v>
      </c>
      <c r="AU1292" s="2" t="n">
        <v>2006</v>
      </c>
      <c r="AV1292" s="2" t="n">
        <v>78</v>
      </c>
      <c r="AW1292" s="2" t="n">
        <v>5</v>
      </c>
      <c r="AX1292" s="2"/>
      <c r="AY1292" s="2"/>
      <c r="AZ1292" s="2"/>
      <c r="BA1292" s="2"/>
      <c r="BB1292" s="2" t="n">
        <v>702</v>
      </c>
      <c r="BC1292" s="2" t="n">
        <v>710</v>
      </c>
      <c r="BD1292" s="2"/>
      <c r="BE1292" s="2" t="s">
        <v>22618</v>
      </c>
      <c r="BF1292" s="2" t="str">
        <f aca="false">HYPERLINK("http://dx.doi.org/10.1002/jmv.20595","http://dx.doi.org/10.1002/jmv.20595")</f>
        <v>http://dx.doi.org/10.1002/jmv.20595</v>
      </c>
      <c r="BG1292" s="2"/>
      <c r="BH1292" s="2"/>
      <c r="BI1292" s="2" t="n">
        <v>9</v>
      </c>
      <c r="BJ1292" s="2" t="s">
        <v>163</v>
      </c>
      <c r="BK1292" s="2" t="s">
        <v>100</v>
      </c>
      <c r="BL1292" s="2" t="s">
        <v>163</v>
      </c>
      <c r="BM1292" s="2" t="s">
        <v>18161</v>
      </c>
      <c r="BN1292" s="2" t="n">
        <v>16555283</v>
      </c>
      <c r="BO1292" s="2" t="s">
        <v>165</v>
      </c>
      <c r="BP1292" s="2"/>
      <c r="BQ1292" s="2"/>
      <c r="BR1292" s="2" t="s">
        <v>104</v>
      </c>
      <c r="BS1292" s="2" t="s">
        <v>22619</v>
      </c>
      <c r="BT1292" s="2" t="str">
        <f aca="false">HYPERLINK("https%3A%2F%2Fwww.webofscience.com%2Fwos%2Fwoscc%2Ffull-record%2FWOS:000236657000024","View Full Record in Web of Science")</f>
        <v>View Full Record in Web of Science</v>
      </c>
    </row>
    <row r="1293" customFormat="false" ht="12.75" hidden="false" customHeight="false" outlineLevel="0" collapsed="false">
      <c r="A1293" s="2" t="s">
        <v>72</v>
      </c>
      <c r="B1293" s="2" t="s">
        <v>22620</v>
      </c>
      <c r="C1293" s="2"/>
      <c r="D1293" s="2"/>
      <c r="E1293" s="2"/>
      <c r="F1293" s="2" t="s">
        <v>22621</v>
      </c>
      <c r="G1293" s="2"/>
      <c r="H1293" s="2"/>
      <c r="I1293" s="2" t="s">
        <v>22622</v>
      </c>
      <c r="J1293" s="2" t="s">
        <v>7244</v>
      </c>
      <c r="K1293" s="2"/>
      <c r="L1293" s="2"/>
      <c r="M1293" s="2" t="s">
        <v>77</v>
      </c>
      <c r="N1293" s="2" t="s">
        <v>78</v>
      </c>
      <c r="O1293" s="2"/>
      <c r="P1293" s="2"/>
      <c r="Q1293" s="2"/>
      <c r="R1293" s="2"/>
      <c r="S1293" s="2"/>
      <c r="T1293" s="2" t="s">
        <v>22623</v>
      </c>
      <c r="U1293" s="2" t="s">
        <v>16028</v>
      </c>
      <c r="V1293" s="2" t="s">
        <v>22624</v>
      </c>
      <c r="W1293" s="2" t="s">
        <v>22625</v>
      </c>
      <c r="X1293" s="2" t="s">
        <v>22626</v>
      </c>
      <c r="Y1293" s="2" t="s">
        <v>22627</v>
      </c>
      <c r="Z1293" s="2" t="s">
        <v>22628</v>
      </c>
      <c r="AA1293" s="2" t="s">
        <v>22629</v>
      </c>
      <c r="AB1293" s="2" t="s">
        <v>22010</v>
      </c>
      <c r="AC1293" s="2"/>
      <c r="AD1293" s="2"/>
      <c r="AE1293" s="2"/>
      <c r="AF1293" s="2"/>
      <c r="AG1293" s="2" t="n">
        <v>12</v>
      </c>
      <c r="AH1293" s="2" t="n">
        <v>11</v>
      </c>
      <c r="AI1293" s="2" t="n">
        <v>11</v>
      </c>
      <c r="AJ1293" s="2" t="n">
        <v>0</v>
      </c>
      <c r="AK1293" s="2" t="n">
        <v>2</v>
      </c>
      <c r="AL1293" s="2" t="s">
        <v>22630</v>
      </c>
      <c r="AM1293" s="2" t="s">
        <v>783</v>
      </c>
      <c r="AN1293" s="2" t="s">
        <v>22631</v>
      </c>
      <c r="AO1293" s="2" t="s">
        <v>7252</v>
      </c>
      <c r="AP1293" s="2"/>
      <c r="AQ1293" s="2"/>
      <c r="AR1293" s="2" t="s">
        <v>7254</v>
      </c>
      <c r="AS1293" s="2" t="s">
        <v>7255</v>
      </c>
      <c r="AT1293" s="2" t="s">
        <v>446</v>
      </c>
      <c r="AU1293" s="2" t="n">
        <v>2006</v>
      </c>
      <c r="AV1293" s="2" t="n">
        <v>12</v>
      </c>
      <c r="AW1293" s="2" t="n">
        <v>12</v>
      </c>
      <c r="AX1293" s="2"/>
      <c r="AY1293" s="2"/>
      <c r="AZ1293" s="2"/>
      <c r="BA1293" s="2"/>
      <c r="BB1293" s="2" t="n">
        <v>1221</v>
      </c>
      <c r="BC1293" s="2" t="n">
        <v>1224</v>
      </c>
      <c r="BD1293" s="2"/>
      <c r="BE1293" s="2" t="s">
        <v>22632</v>
      </c>
      <c r="BF1293" s="2" t="str">
        <f aca="false">HYPERLINK("http://dx.doi.org/10.1111/j.1469-0691.2006.01540.x","http://dx.doi.org/10.1111/j.1469-0691.2006.01540.x")</f>
        <v>http://dx.doi.org/10.1111/j.1469-0691.2006.01540.x</v>
      </c>
      <c r="BG1293" s="2"/>
      <c r="BH1293" s="2"/>
      <c r="BI1293" s="2" t="n">
        <v>4</v>
      </c>
      <c r="BJ1293" s="2" t="s">
        <v>1467</v>
      </c>
      <c r="BK1293" s="2" t="s">
        <v>100</v>
      </c>
      <c r="BL1293" s="2" t="s">
        <v>1467</v>
      </c>
      <c r="BM1293" s="2" t="s">
        <v>22633</v>
      </c>
      <c r="BN1293" s="2" t="n">
        <v>17121629</v>
      </c>
      <c r="BO1293" s="2" t="s">
        <v>656</v>
      </c>
      <c r="BP1293" s="2"/>
      <c r="BQ1293" s="2"/>
      <c r="BR1293" s="2" t="s">
        <v>104</v>
      </c>
      <c r="BS1293" s="2" t="s">
        <v>22634</v>
      </c>
      <c r="BT1293" s="2" t="str">
        <f aca="false">HYPERLINK("https%3A%2F%2Fwww.webofscience.com%2Fwos%2Fwoscc%2Ffull-record%2FWOS:000242790400011","View Full Record in Web of Science")</f>
        <v>View Full Record in Web of Science</v>
      </c>
    </row>
    <row r="1294" customFormat="false" ht="12.75" hidden="false" customHeight="false" outlineLevel="0" collapsed="false">
      <c r="A1294" s="2" t="s">
        <v>72</v>
      </c>
      <c r="B1294" s="2" t="s">
        <v>22635</v>
      </c>
      <c r="C1294" s="2"/>
      <c r="D1294" s="2"/>
      <c r="E1294" s="2"/>
      <c r="F1294" s="2" t="s">
        <v>22635</v>
      </c>
      <c r="G1294" s="2"/>
      <c r="H1294" s="2"/>
      <c r="I1294" s="2" t="s">
        <v>22636</v>
      </c>
      <c r="J1294" s="2" t="s">
        <v>2944</v>
      </c>
      <c r="K1294" s="2"/>
      <c r="L1294" s="2"/>
      <c r="M1294" s="2" t="s">
        <v>77</v>
      </c>
      <c r="N1294" s="2" t="s">
        <v>78</v>
      </c>
      <c r="O1294" s="2"/>
      <c r="P1294" s="2"/>
      <c r="Q1294" s="2"/>
      <c r="R1294" s="2"/>
      <c r="S1294" s="2"/>
      <c r="T1294" s="2" t="s">
        <v>22637</v>
      </c>
      <c r="U1294" s="2" t="s">
        <v>22638</v>
      </c>
      <c r="V1294" s="2" t="s">
        <v>22639</v>
      </c>
      <c r="W1294" s="2" t="s">
        <v>22640</v>
      </c>
      <c r="X1294" s="2" t="s">
        <v>22641</v>
      </c>
      <c r="Y1294" s="2" t="s">
        <v>22642</v>
      </c>
      <c r="Z1294" s="2" t="s">
        <v>10021</v>
      </c>
      <c r="AA1294" s="2" t="s">
        <v>22643</v>
      </c>
      <c r="AB1294" s="2" t="s">
        <v>22644</v>
      </c>
      <c r="AC1294" s="2"/>
      <c r="AD1294" s="2"/>
      <c r="AE1294" s="2"/>
      <c r="AF1294" s="2"/>
      <c r="AG1294" s="2" t="n">
        <v>44</v>
      </c>
      <c r="AH1294" s="2" t="n">
        <v>115</v>
      </c>
      <c r="AI1294" s="2" t="n">
        <v>118</v>
      </c>
      <c r="AJ1294" s="2" t="n">
        <v>1</v>
      </c>
      <c r="AK1294" s="2" t="n">
        <v>5</v>
      </c>
      <c r="AL1294" s="2" t="s">
        <v>2954</v>
      </c>
      <c r="AM1294" s="2" t="s">
        <v>593</v>
      </c>
      <c r="AN1294" s="2" t="s">
        <v>2955</v>
      </c>
      <c r="AO1294" s="2" t="s">
        <v>2956</v>
      </c>
      <c r="AP1294" s="2" t="s">
        <v>2957</v>
      </c>
      <c r="AQ1294" s="2"/>
      <c r="AR1294" s="2" t="s">
        <v>2958</v>
      </c>
      <c r="AS1294" s="2" t="s">
        <v>2959</v>
      </c>
      <c r="AT1294" s="2" t="s">
        <v>1855</v>
      </c>
      <c r="AU1294" s="2" t="n">
        <v>2004</v>
      </c>
      <c r="AV1294" s="2" t="n">
        <v>170</v>
      </c>
      <c r="AW1294" s="2" t="n">
        <v>11</v>
      </c>
      <c r="AX1294" s="2"/>
      <c r="AY1294" s="2"/>
      <c r="AZ1294" s="2"/>
      <c r="BA1294" s="2"/>
      <c r="BB1294" s="2" t="n">
        <v>1197</v>
      </c>
      <c r="BC1294" s="2" t="n">
        <v>1203</v>
      </c>
      <c r="BD1294" s="2"/>
      <c r="BE1294" s="2" t="s">
        <v>22645</v>
      </c>
      <c r="BF1294" s="2" t="str">
        <f aca="false">HYPERLINK("http://dx.doi.org/10.1164/rccm.200406-781OC","http://dx.doi.org/10.1164/rccm.200406-781OC")</f>
        <v>http://dx.doi.org/10.1164/rccm.200406-781OC</v>
      </c>
      <c r="BG1294" s="2"/>
      <c r="BH1294" s="2"/>
      <c r="BI1294" s="2" t="n">
        <v>7</v>
      </c>
      <c r="BJ1294" s="2" t="s">
        <v>2962</v>
      </c>
      <c r="BK1294" s="2" t="s">
        <v>100</v>
      </c>
      <c r="BL1294" s="2" t="s">
        <v>2963</v>
      </c>
      <c r="BM1294" s="2" t="s">
        <v>22646</v>
      </c>
      <c r="BN1294" s="2" t="n">
        <v>15361367</v>
      </c>
      <c r="BO1294" s="2"/>
      <c r="BP1294" s="2"/>
      <c r="BQ1294" s="2"/>
      <c r="BR1294" s="2" t="s">
        <v>104</v>
      </c>
      <c r="BS1294" s="2" t="s">
        <v>22647</v>
      </c>
      <c r="BT1294" s="2" t="str">
        <f aca="false">HYPERLINK("https%3A%2F%2Fwww.webofscience.com%2Fwos%2Fwoscc%2Ffull-record%2FWOS:000225444900012","View Full Record in Web of Science")</f>
        <v>View Full Record in Web of Science</v>
      </c>
    </row>
    <row r="1295" customFormat="false" ht="12.75" hidden="false" customHeight="false" outlineLevel="0" collapsed="false">
      <c r="A1295" s="2" t="s">
        <v>72</v>
      </c>
      <c r="B1295" s="2" t="s">
        <v>22648</v>
      </c>
      <c r="C1295" s="2"/>
      <c r="D1295" s="2"/>
      <c r="E1295" s="2"/>
      <c r="F1295" s="2" t="s">
        <v>22649</v>
      </c>
      <c r="G1295" s="2"/>
      <c r="H1295" s="2"/>
      <c r="I1295" s="2" t="s">
        <v>22650</v>
      </c>
      <c r="J1295" s="2" t="s">
        <v>11975</v>
      </c>
      <c r="K1295" s="2"/>
      <c r="L1295" s="2"/>
      <c r="M1295" s="2" t="s">
        <v>77</v>
      </c>
      <c r="N1295" s="2" t="s">
        <v>78</v>
      </c>
      <c r="O1295" s="2"/>
      <c r="P1295" s="2"/>
      <c r="Q1295" s="2"/>
      <c r="R1295" s="2"/>
      <c r="S1295" s="2"/>
      <c r="T1295" s="2" t="s">
        <v>22651</v>
      </c>
      <c r="U1295" s="2" t="s">
        <v>22652</v>
      </c>
      <c r="V1295" s="2" t="s">
        <v>22653</v>
      </c>
      <c r="W1295" s="2" t="s">
        <v>22654</v>
      </c>
      <c r="X1295" s="2" t="s">
        <v>14547</v>
      </c>
      <c r="Y1295" s="2" t="s">
        <v>22655</v>
      </c>
      <c r="Z1295" s="2" t="s">
        <v>22656</v>
      </c>
      <c r="AA1295" s="2"/>
      <c r="AB1295" s="2"/>
      <c r="AC1295" s="2"/>
      <c r="AD1295" s="2"/>
      <c r="AE1295" s="2"/>
      <c r="AF1295" s="2"/>
      <c r="AG1295" s="2" t="n">
        <v>21</v>
      </c>
      <c r="AH1295" s="2" t="n">
        <v>11</v>
      </c>
      <c r="AI1295" s="2" t="n">
        <v>13</v>
      </c>
      <c r="AJ1295" s="2" t="n">
        <v>0</v>
      </c>
      <c r="AK1295" s="2" t="n">
        <v>9</v>
      </c>
      <c r="AL1295" s="2" t="s">
        <v>154</v>
      </c>
      <c r="AM1295" s="2" t="s">
        <v>155</v>
      </c>
      <c r="AN1295" s="2" t="s">
        <v>156</v>
      </c>
      <c r="AO1295" s="2" t="s">
        <v>11983</v>
      </c>
      <c r="AP1295" s="2" t="s">
        <v>11984</v>
      </c>
      <c r="AQ1295" s="2"/>
      <c r="AR1295" s="2" t="s">
        <v>11985</v>
      </c>
      <c r="AS1295" s="2" t="s">
        <v>11986</v>
      </c>
      <c r="AT1295" s="2" t="s">
        <v>486</v>
      </c>
      <c r="AU1295" s="2" t="n">
        <v>2013</v>
      </c>
      <c r="AV1295" s="2" t="n">
        <v>102</v>
      </c>
      <c r="AW1295" s="2" t="n">
        <v>6</v>
      </c>
      <c r="AX1295" s="2"/>
      <c r="AY1295" s="2"/>
      <c r="AZ1295" s="2"/>
      <c r="BA1295" s="2"/>
      <c r="BB1295" s="2" t="s">
        <v>22657</v>
      </c>
      <c r="BC1295" s="2" t="s">
        <v>22658</v>
      </c>
      <c r="BD1295" s="2"/>
      <c r="BE1295" s="2" t="s">
        <v>22659</v>
      </c>
      <c r="BF1295" s="2" t="str">
        <f aca="false">HYPERLINK("http://dx.doi.org/10.1111/apa.12207","http://dx.doi.org/10.1111/apa.12207")</f>
        <v>http://dx.doi.org/10.1111/apa.12207</v>
      </c>
      <c r="BG1295" s="2"/>
      <c r="BH1295" s="2"/>
      <c r="BI1295" s="2" t="n">
        <v>6</v>
      </c>
      <c r="BJ1295" s="2" t="s">
        <v>601</v>
      </c>
      <c r="BK1295" s="2" t="s">
        <v>100</v>
      </c>
      <c r="BL1295" s="2" t="s">
        <v>601</v>
      </c>
      <c r="BM1295" s="2" t="s">
        <v>22660</v>
      </c>
      <c r="BN1295" s="2" t="n">
        <v>23421914</v>
      </c>
      <c r="BO1295" s="2" t="s">
        <v>165</v>
      </c>
      <c r="BP1295" s="2"/>
      <c r="BQ1295" s="2"/>
      <c r="BR1295" s="2" t="s">
        <v>104</v>
      </c>
      <c r="BS1295" s="2" t="s">
        <v>22661</v>
      </c>
      <c r="BT1295" s="2" t="str">
        <f aca="false">HYPERLINK("https%3A%2F%2Fwww.webofscience.com%2Fwos%2Fwoscc%2Ffull-record%2FWOS:000318562500006","View Full Record in Web of Science")</f>
        <v>View Full Record in Web of Science</v>
      </c>
    </row>
    <row r="1296" customFormat="false" ht="12.75" hidden="false" customHeight="false" outlineLevel="0" collapsed="false">
      <c r="A1296" s="2" t="s">
        <v>72</v>
      </c>
      <c r="B1296" s="2" t="s">
        <v>22662</v>
      </c>
      <c r="C1296" s="2"/>
      <c r="D1296" s="2"/>
      <c r="E1296" s="2"/>
      <c r="F1296" s="2" t="s">
        <v>22662</v>
      </c>
      <c r="G1296" s="2"/>
      <c r="H1296" s="2"/>
      <c r="I1296" s="2" t="s">
        <v>22663</v>
      </c>
      <c r="J1296" s="2" t="s">
        <v>22664</v>
      </c>
      <c r="K1296" s="2"/>
      <c r="L1296" s="2"/>
      <c r="M1296" s="2" t="s">
        <v>77</v>
      </c>
      <c r="N1296" s="2" t="s">
        <v>78</v>
      </c>
      <c r="O1296" s="2"/>
      <c r="P1296" s="2"/>
      <c r="Q1296" s="2"/>
      <c r="R1296" s="2"/>
      <c r="S1296" s="2"/>
      <c r="T1296" s="2" t="s">
        <v>22665</v>
      </c>
      <c r="U1296" s="2" t="s">
        <v>22666</v>
      </c>
      <c r="V1296" s="2"/>
      <c r="W1296" s="2" t="s">
        <v>22667</v>
      </c>
      <c r="X1296" s="2" t="s">
        <v>22668</v>
      </c>
      <c r="Y1296" s="2" t="s">
        <v>22669</v>
      </c>
      <c r="Z1296" s="2" t="s">
        <v>22670</v>
      </c>
      <c r="AA1296" s="2" t="s">
        <v>22671</v>
      </c>
      <c r="AB1296" s="2" t="s">
        <v>22672</v>
      </c>
      <c r="AC1296" s="2"/>
      <c r="AD1296" s="2"/>
      <c r="AE1296" s="2"/>
      <c r="AF1296" s="2"/>
      <c r="AG1296" s="2" t="n">
        <v>9</v>
      </c>
      <c r="AH1296" s="2" t="n">
        <v>8</v>
      </c>
      <c r="AI1296" s="2" t="n">
        <v>9</v>
      </c>
      <c r="AJ1296" s="2" t="n">
        <v>0</v>
      </c>
      <c r="AK1296" s="2" t="n">
        <v>0</v>
      </c>
      <c r="AL1296" s="2" t="s">
        <v>7639</v>
      </c>
      <c r="AM1296" s="2" t="s">
        <v>783</v>
      </c>
      <c r="AN1296" s="2" t="s">
        <v>7640</v>
      </c>
      <c r="AO1296" s="2" t="s">
        <v>22673</v>
      </c>
      <c r="AP1296" s="2"/>
      <c r="AQ1296" s="2"/>
      <c r="AR1296" s="2" t="s">
        <v>22674</v>
      </c>
      <c r="AS1296" s="2" t="s">
        <v>22675</v>
      </c>
      <c r="AT1296" s="2" t="s">
        <v>446</v>
      </c>
      <c r="AU1296" s="2" t="n">
        <v>2005</v>
      </c>
      <c r="AV1296" s="2" t="n">
        <v>20</v>
      </c>
      <c r="AW1296" s="2" t="n">
        <v>12</v>
      </c>
      <c r="AX1296" s="2"/>
      <c r="AY1296" s="2"/>
      <c r="AZ1296" s="2"/>
      <c r="BA1296" s="2"/>
      <c r="BB1296" s="2" t="n">
        <v>2848</v>
      </c>
      <c r="BC1296" s="2" t="n">
        <v>2850</v>
      </c>
      <c r="BD1296" s="2"/>
      <c r="BE1296" s="2" t="s">
        <v>22676</v>
      </c>
      <c r="BF1296" s="2" t="str">
        <f aca="false">HYPERLINK("http://dx.doi.org/10.1093/ndt/gfi167","http://dx.doi.org/10.1093/ndt/gfi167")</f>
        <v>http://dx.doi.org/10.1093/ndt/gfi167</v>
      </c>
      <c r="BG1296" s="2"/>
      <c r="BH1296" s="2"/>
      <c r="BI1296" s="2" t="n">
        <v>3</v>
      </c>
      <c r="BJ1296" s="2" t="s">
        <v>22677</v>
      </c>
      <c r="BK1296" s="2" t="s">
        <v>100</v>
      </c>
      <c r="BL1296" s="2" t="s">
        <v>22677</v>
      </c>
      <c r="BM1296" s="2" t="s">
        <v>22678</v>
      </c>
      <c r="BN1296" s="2" t="n">
        <v>16221714</v>
      </c>
      <c r="BO1296" s="2" t="s">
        <v>656</v>
      </c>
      <c r="BP1296" s="2"/>
      <c r="BQ1296" s="2"/>
      <c r="BR1296" s="2" t="s">
        <v>104</v>
      </c>
      <c r="BS1296" s="2" t="s">
        <v>22679</v>
      </c>
      <c r="BT1296" s="2" t="str">
        <f aca="false">HYPERLINK("https%3A%2F%2Fwww.webofscience.com%2Fwos%2Fwoscc%2Ffull-record%2FWOS:000233361800044","View Full Record in Web of Science")</f>
        <v>View Full Record in Web of Science</v>
      </c>
    </row>
    <row r="1297" customFormat="false" ht="12.75" hidden="false" customHeight="false" outlineLevel="0" collapsed="false">
      <c r="A1297" s="2" t="s">
        <v>72</v>
      </c>
      <c r="B1297" s="2" t="s">
        <v>22680</v>
      </c>
      <c r="C1297" s="2"/>
      <c r="D1297" s="2"/>
      <c r="E1297" s="2"/>
      <c r="F1297" s="2" t="s">
        <v>22680</v>
      </c>
      <c r="G1297" s="2"/>
      <c r="H1297" s="2"/>
      <c r="I1297" s="2" t="s">
        <v>22681</v>
      </c>
      <c r="J1297" s="2" t="s">
        <v>22664</v>
      </c>
      <c r="K1297" s="2"/>
      <c r="L1297" s="2"/>
      <c r="M1297" s="2" t="s">
        <v>77</v>
      </c>
      <c r="N1297" s="2" t="s">
        <v>78</v>
      </c>
      <c r="O1297" s="2"/>
      <c r="P1297" s="2"/>
      <c r="Q1297" s="2"/>
      <c r="R1297" s="2"/>
      <c r="S1297" s="2"/>
      <c r="T1297" s="2" t="s">
        <v>22665</v>
      </c>
      <c r="U1297" s="2" t="s">
        <v>22682</v>
      </c>
      <c r="V1297" s="2" t="s">
        <v>22683</v>
      </c>
      <c r="W1297" s="2" t="s">
        <v>22684</v>
      </c>
      <c r="X1297" s="2"/>
      <c r="Y1297" s="2" t="s">
        <v>22685</v>
      </c>
      <c r="Z1297" s="2" t="s">
        <v>22686</v>
      </c>
      <c r="AA1297" s="2"/>
      <c r="AB1297" s="2"/>
      <c r="AC1297" s="2"/>
      <c r="AD1297" s="2"/>
      <c r="AE1297" s="2"/>
      <c r="AF1297" s="2"/>
      <c r="AG1297" s="2" t="n">
        <v>50</v>
      </c>
      <c r="AH1297" s="2" t="n">
        <v>45</v>
      </c>
      <c r="AI1297" s="2" t="n">
        <v>66</v>
      </c>
      <c r="AJ1297" s="2" t="n">
        <v>1</v>
      </c>
      <c r="AK1297" s="2" t="n">
        <v>1</v>
      </c>
      <c r="AL1297" s="2" t="s">
        <v>7639</v>
      </c>
      <c r="AM1297" s="2" t="s">
        <v>783</v>
      </c>
      <c r="AN1297" s="2" t="s">
        <v>7640</v>
      </c>
      <c r="AO1297" s="2" t="s">
        <v>22673</v>
      </c>
      <c r="AP1297" s="2" t="s">
        <v>22687</v>
      </c>
      <c r="AQ1297" s="2"/>
      <c r="AR1297" s="2" t="s">
        <v>22674</v>
      </c>
      <c r="AS1297" s="2" t="s">
        <v>22675</v>
      </c>
      <c r="AT1297" s="2" t="s">
        <v>446</v>
      </c>
      <c r="AU1297" s="2" t="n">
        <v>2005</v>
      </c>
      <c r="AV1297" s="2" t="n">
        <v>20</v>
      </c>
      <c r="AW1297" s="2" t="n">
        <v>12</v>
      </c>
      <c r="AX1297" s="2"/>
      <c r="AY1297" s="2"/>
      <c r="AZ1297" s="2"/>
      <c r="BA1297" s="2"/>
      <c r="BB1297" s="2" t="n">
        <v>2629</v>
      </c>
      <c r="BC1297" s="2" t="n">
        <v>2635</v>
      </c>
      <c r="BD1297" s="2"/>
      <c r="BE1297" s="2" t="s">
        <v>22688</v>
      </c>
      <c r="BF1297" s="2" t="str">
        <f aca="false">HYPERLINK("http://dx.doi.org/10.1093/ndt/gfi168","http://dx.doi.org/10.1093/ndt/gfi168")</f>
        <v>http://dx.doi.org/10.1093/ndt/gfi168</v>
      </c>
      <c r="BG1297" s="2"/>
      <c r="BH1297" s="2"/>
      <c r="BI1297" s="2" t="n">
        <v>7</v>
      </c>
      <c r="BJ1297" s="2" t="s">
        <v>22677</v>
      </c>
      <c r="BK1297" s="2" t="s">
        <v>100</v>
      </c>
      <c r="BL1297" s="2" t="s">
        <v>22677</v>
      </c>
      <c r="BM1297" s="2" t="s">
        <v>22678</v>
      </c>
      <c r="BN1297" s="2" t="n">
        <v>16204277</v>
      </c>
      <c r="BO1297" s="2" t="s">
        <v>656</v>
      </c>
      <c r="BP1297" s="2"/>
      <c r="BQ1297" s="2"/>
      <c r="BR1297" s="2" t="s">
        <v>104</v>
      </c>
      <c r="BS1297" s="2" t="s">
        <v>22689</v>
      </c>
      <c r="BT1297" s="2" t="str">
        <f aca="false">HYPERLINK("https%3A%2F%2Fwww.webofscience.com%2Fwos%2Fwoscc%2Ffull-record%2FWOS:000233361800011","View Full Record in Web of Science")</f>
        <v>View Full Record in Web of Science</v>
      </c>
    </row>
    <row r="1298" customFormat="false" ht="12.75" hidden="false" customHeight="false" outlineLevel="0" collapsed="false">
      <c r="A1298" s="2" t="s">
        <v>72</v>
      </c>
      <c r="B1298" s="2" t="s">
        <v>22690</v>
      </c>
      <c r="C1298" s="2"/>
      <c r="D1298" s="2"/>
      <c r="E1298" s="2"/>
      <c r="F1298" s="2" t="s">
        <v>22691</v>
      </c>
      <c r="G1298" s="2"/>
      <c r="H1298" s="2"/>
      <c r="I1298" s="2" t="s">
        <v>22692</v>
      </c>
      <c r="J1298" s="2" t="s">
        <v>141</v>
      </c>
      <c r="K1298" s="2"/>
      <c r="L1298" s="2"/>
      <c r="M1298" s="2" t="s">
        <v>77</v>
      </c>
      <c r="N1298" s="2" t="s">
        <v>78</v>
      </c>
      <c r="O1298" s="2"/>
      <c r="P1298" s="2"/>
      <c r="Q1298" s="2"/>
      <c r="R1298" s="2"/>
      <c r="S1298" s="2"/>
      <c r="T1298" s="2" t="s">
        <v>22693</v>
      </c>
      <c r="U1298" s="2"/>
      <c r="V1298" s="2" t="s">
        <v>22694</v>
      </c>
      <c r="W1298" s="2" t="s">
        <v>22695</v>
      </c>
      <c r="X1298" s="2" t="s">
        <v>22696</v>
      </c>
      <c r="Y1298" s="2" t="s">
        <v>22697</v>
      </c>
      <c r="Z1298" s="2" t="s">
        <v>22698</v>
      </c>
      <c r="AA1298" s="2" t="s">
        <v>22699</v>
      </c>
      <c r="AB1298" s="2" t="s">
        <v>22700</v>
      </c>
      <c r="AC1298" s="2" t="s">
        <v>22701</v>
      </c>
      <c r="AD1298" s="2" t="s">
        <v>22702</v>
      </c>
      <c r="AE1298" s="2" t="s">
        <v>22703</v>
      </c>
      <c r="AF1298" s="2"/>
      <c r="AG1298" s="2" t="n">
        <v>32</v>
      </c>
      <c r="AH1298" s="2" t="n">
        <v>2</v>
      </c>
      <c r="AI1298" s="2" t="n">
        <v>2</v>
      </c>
      <c r="AJ1298" s="2" t="n">
        <v>0</v>
      </c>
      <c r="AK1298" s="2" t="n">
        <v>3</v>
      </c>
      <c r="AL1298" s="2" t="s">
        <v>154</v>
      </c>
      <c r="AM1298" s="2" t="s">
        <v>155</v>
      </c>
      <c r="AN1298" s="2" t="s">
        <v>156</v>
      </c>
      <c r="AO1298" s="2" t="s">
        <v>157</v>
      </c>
      <c r="AP1298" s="2" t="s">
        <v>158</v>
      </c>
      <c r="AQ1298" s="2"/>
      <c r="AR1298" s="2" t="s">
        <v>159</v>
      </c>
      <c r="AS1298" s="2" t="s">
        <v>160</v>
      </c>
      <c r="AT1298" s="2" t="s">
        <v>185</v>
      </c>
      <c r="AU1298" s="2" t="n">
        <v>2021</v>
      </c>
      <c r="AV1298" s="2" t="n">
        <v>93</v>
      </c>
      <c r="AW1298" s="2" t="n">
        <v>8</v>
      </c>
      <c r="AX1298" s="2"/>
      <c r="AY1298" s="2"/>
      <c r="AZ1298" s="2"/>
      <c r="BA1298" s="2"/>
      <c r="BB1298" s="2" t="n">
        <v>4693</v>
      </c>
      <c r="BC1298" s="2" t="n">
        <v>4703</v>
      </c>
      <c r="BD1298" s="2"/>
      <c r="BE1298" s="2" t="s">
        <v>22704</v>
      </c>
      <c r="BF1298" s="2" t="str">
        <f aca="false">HYPERLINK("http://dx.doi.org/10.1002/jmv.26843","http://dx.doi.org/10.1002/jmv.26843")</f>
        <v>http://dx.doi.org/10.1002/jmv.26843</v>
      </c>
      <c r="BG1298" s="2"/>
      <c r="BH1298" s="2" t="s">
        <v>4228</v>
      </c>
      <c r="BI1298" s="2" t="n">
        <v>11</v>
      </c>
      <c r="BJ1298" s="2" t="s">
        <v>163</v>
      </c>
      <c r="BK1298" s="2" t="s">
        <v>100</v>
      </c>
      <c r="BL1298" s="2" t="s">
        <v>163</v>
      </c>
      <c r="BM1298" s="2" t="s">
        <v>22705</v>
      </c>
      <c r="BN1298" s="2" t="n">
        <v>33527417</v>
      </c>
      <c r="BO1298" s="2"/>
      <c r="BP1298" s="2"/>
      <c r="BQ1298" s="2"/>
      <c r="BR1298" s="2" t="s">
        <v>104</v>
      </c>
      <c r="BS1298" s="2" t="s">
        <v>22706</v>
      </c>
      <c r="BT1298" s="2" t="str">
        <f aca="false">HYPERLINK("https%3A%2F%2Fwww.webofscience.com%2Fwos%2Fwoscc%2Ffull-record%2FWOS:000616087900001","View Full Record in Web of Science")</f>
        <v>View Full Record in Web of Science</v>
      </c>
    </row>
    <row r="1299" customFormat="false" ht="12.75" hidden="false" customHeight="false" outlineLevel="0" collapsed="false">
      <c r="A1299" s="2" t="s">
        <v>72</v>
      </c>
      <c r="B1299" s="2" t="s">
        <v>22707</v>
      </c>
      <c r="C1299" s="2"/>
      <c r="D1299" s="2"/>
      <c r="E1299" s="2"/>
      <c r="F1299" s="2" t="s">
        <v>22708</v>
      </c>
      <c r="G1299" s="2"/>
      <c r="H1299" s="2"/>
      <c r="I1299" s="2" t="s">
        <v>22709</v>
      </c>
      <c r="J1299" s="2" t="s">
        <v>22710</v>
      </c>
      <c r="K1299" s="2"/>
      <c r="L1299" s="2"/>
      <c r="M1299" s="2" t="s">
        <v>77</v>
      </c>
      <c r="N1299" s="2" t="s">
        <v>78</v>
      </c>
      <c r="O1299" s="2"/>
      <c r="P1299" s="2"/>
      <c r="Q1299" s="2"/>
      <c r="R1299" s="2"/>
      <c r="S1299" s="2"/>
      <c r="T1299" s="2" t="s">
        <v>22711</v>
      </c>
      <c r="U1299" s="2" t="s">
        <v>22712</v>
      </c>
      <c r="V1299" s="2" t="s">
        <v>22713</v>
      </c>
      <c r="W1299" s="2" t="s">
        <v>22714</v>
      </c>
      <c r="X1299" s="2" t="s">
        <v>7210</v>
      </c>
      <c r="Y1299" s="2" t="s">
        <v>22715</v>
      </c>
      <c r="Z1299" s="2" t="s">
        <v>22716</v>
      </c>
      <c r="AA1299" s="2" t="s">
        <v>3645</v>
      </c>
      <c r="AB1299" s="2"/>
      <c r="AC1299" s="2"/>
      <c r="AD1299" s="2"/>
      <c r="AE1299" s="2"/>
      <c r="AF1299" s="2"/>
      <c r="AG1299" s="2" t="n">
        <v>35</v>
      </c>
      <c r="AH1299" s="2" t="n">
        <v>7</v>
      </c>
      <c r="AI1299" s="2" t="n">
        <v>7</v>
      </c>
      <c r="AJ1299" s="2" t="n">
        <v>0</v>
      </c>
      <c r="AK1299" s="2" t="n">
        <v>0</v>
      </c>
      <c r="AL1299" s="2" t="s">
        <v>592</v>
      </c>
      <c r="AM1299" s="2" t="s">
        <v>593</v>
      </c>
      <c r="AN1299" s="2" t="s">
        <v>859</v>
      </c>
      <c r="AO1299" s="2"/>
      <c r="AP1299" s="2" t="s">
        <v>22717</v>
      </c>
      <c r="AQ1299" s="2"/>
      <c r="AR1299" s="2" t="s">
        <v>22718</v>
      </c>
      <c r="AS1299" s="2" t="s">
        <v>22719</v>
      </c>
      <c r="AT1299" s="2" t="s">
        <v>22720</v>
      </c>
      <c r="AU1299" s="2" t="n">
        <v>2019</v>
      </c>
      <c r="AV1299" s="2" t="n">
        <v>94</v>
      </c>
      <c r="AW1299" s="2" t="n">
        <v>1</v>
      </c>
      <c r="AX1299" s="2"/>
      <c r="AY1299" s="2"/>
      <c r="AZ1299" s="2"/>
      <c r="BA1299" s="2"/>
      <c r="BB1299" s="2"/>
      <c r="BC1299" s="2"/>
      <c r="BD1299" s="2" t="n">
        <v>15</v>
      </c>
      <c r="BE1299" s="2" t="s">
        <v>22721</v>
      </c>
      <c r="BF1299" s="2" t="str">
        <f aca="false">HYPERLINK("http://dx.doi.org/10.1186/s42506-019-0015-8","http://dx.doi.org/10.1186/s42506-019-0015-8")</f>
        <v>http://dx.doi.org/10.1186/s42506-019-0015-8</v>
      </c>
      <c r="BG1299" s="2"/>
      <c r="BH1299" s="2"/>
      <c r="BI1299" s="2" t="n">
        <v>6</v>
      </c>
      <c r="BJ1299" s="2" t="s">
        <v>1353</v>
      </c>
      <c r="BK1299" s="2" t="s">
        <v>339</v>
      </c>
      <c r="BL1299" s="2" t="s">
        <v>1353</v>
      </c>
      <c r="BM1299" s="2" t="s">
        <v>22722</v>
      </c>
      <c r="BN1299" s="2"/>
      <c r="BO1299" s="2" t="s">
        <v>103</v>
      </c>
      <c r="BP1299" s="2"/>
      <c r="BQ1299" s="2"/>
      <c r="BR1299" s="2" t="s">
        <v>104</v>
      </c>
      <c r="BS1299" s="2" t="s">
        <v>22723</v>
      </c>
      <c r="BT1299" s="2" t="str">
        <f aca="false">HYPERLINK("https%3A%2F%2Fwww.webofscience.com%2Fwos%2Fwoscc%2Ffull-record%2FWOS:000473816500001","View Full Record in Web of Science")</f>
        <v>View Full Record in Web of Science</v>
      </c>
    </row>
    <row r="1300" customFormat="false" ht="12.75" hidden="false" customHeight="false" outlineLevel="0" collapsed="false">
      <c r="A1300" s="2" t="s">
        <v>72</v>
      </c>
      <c r="B1300" s="2" t="s">
        <v>22724</v>
      </c>
      <c r="C1300" s="2"/>
      <c r="D1300" s="2"/>
      <c r="E1300" s="2"/>
      <c r="F1300" s="2" t="s">
        <v>22725</v>
      </c>
      <c r="G1300" s="2"/>
      <c r="H1300" s="2"/>
      <c r="I1300" s="2" t="s">
        <v>22726</v>
      </c>
      <c r="J1300" s="2" t="s">
        <v>1290</v>
      </c>
      <c r="K1300" s="2"/>
      <c r="L1300" s="2"/>
      <c r="M1300" s="2" t="s">
        <v>77</v>
      </c>
      <c r="N1300" s="2" t="s">
        <v>78</v>
      </c>
      <c r="O1300" s="2"/>
      <c r="P1300" s="2"/>
      <c r="Q1300" s="2"/>
      <c r="R1300" s="2"/>
      <c r="S1300" s="2"/>
      <c r="T1300" s="2" t="s">
        <v>22727</v>
      </c>
      <c r="U1300" s="2" t="s">
        <v>22728</v>
      </c>
      <c r="V1300" s="2" t="s">
        <v>22729</v>
      </c>
      <c r="W1300" s="2" t="s">
        <v>22730</v>
      </c>
      <c r="X1300" s="2" t="s">
        <v>2351</v>
      </c>
      <c r="Y1300" s="2" t="s">
        <v>22731</v>
      </c>
      <c r="Z1300" s="2" t="s">
        <v>16590</v>
      </c>
      <c r="AA1300" s="2" t="s">
        <v>22732</v>
      </c>
      <c r="AB1300" s="2" t="s">
        <v>22733</v>
      </c>
      <c r="AC1300" s="2"/>
      <c r="AD1300" s="2"/>
      <c r="AE1300" s="2"/>
      <c r="AF1300" s="2"/>
      <c r="AG1300" s="2" t="n">
        <v>23</v>
      </c>
      <c r="AH1300" s="2" t="n">
        <v>45</v>
      </c>
      <c r="AI1300" s="2" t="n">
        <v>47</v>
      </c>
      <c r="AJ1300" s="2" t="n">
        <v>0</v>
      </c>
      <c r="AK1300" s="2" t="n">
        <v>1</v>
      </c>
      <c r="AL1300" s="2" t="s">
        <v>3813</v>
      </c>
      <c r="AM1300" s="2" t="s">
        <v>155</v>
      </c>
      <c r="AN1300" s="2" t="s">
        <v>156</v>
      </c>
      <c r="AO1300" s="2" t="s">
        <v>1302</v>
      </c>
      <c r="AP1300" s="2" t="s">
        <v>1303</v>
      </c>
      <c r="AQ1300" s="2"/>
      <c r="AR1300" s="2" t="s">
        <v>1304</v>
      </c>
      <c r="AS1300" s="2" t="s">
        <v>1305</v>
      </c>
      <c r="AT1300" s="2" t="s">
        <v>446</v>
      </c>
      <c r="AU1300" s="2" t="n">
        <v>2016</v>
      </c>
      <c r="AV1300" s="2" t="n">
        <v>51</v>
      </c>
      <c r="AW1300" s="2" t="n">
        <v>12</v>
      </c>
      <c r="AX1300" s="2"/>
      <c r="AY1300" s="2"/>
      <c r="AZ1300" s="2"/>
      <c r="BA1300" s="2"/>
      <c r="BB1300" s="2" t="n">
        <v>1330</v>
      </c>
      <c r="BC1300" s="2" t="n">
        <v>1335</v>
      </c>
      <c r="BD1300" s="2"/>
      <c r="BE1300" s="2" t="s">
        <v>22734</v>
      </c>
      <c r="BF1300" s="2" t="str">
        <f aca="false">HYPERLINK("http://dx.doi.org/10.1002/ppul.23476","http://dx.doi.org/10.1002/ppul.23476")</f>
        <v>http://dx.doi.org/10.1002/ppul.23476</v>
      </c>
      <c r="BG1300" s="2"/>
      <c r="BH1300" s="2"/>
      <c r="BI1300" s="2" t="n">
        <v>6</v>
      </c>
      <c r="BJ1300" s="2" t="s">
        <v>1307</v>
      </c>
      <c r="BK1300" s="2" t="s">
        <v>100</v>
      </c>
      <c r="BL1300" s="2" t="s">
        <v>1307</v>
      </c>
      <c r="BM1300" s="2" t="s">
        <v>4972</v>
      </c>
      <c r="BN1300" s="2" t="n">
        <v>27228123</v>
      </c>
      <c r="BO1300" s="2" t="s">
        <v>3775</v>
      </c>
      <c r="BP1300" s="2"/>
      <c r="BQ1300" s="2"/>
      <c r="BR1300" s="2" t="s">
        <v>104</v>
      </c>
      <c r="BS1300" s="2" t="s">
        <v>22735</v>
      </c>
      <c r="BT1300" s="2" t="str">
        <f aca="false">HYPERLINK("https%3A%2F%2Fwww.webofscience.com%2Fwos%2Fwoscc%2Ffull-record%2FWOS:000388583200010","View Full Record in Web of Science")</f>
        <v>View Full Record in Web of Science</v>
      </c>
    </row>
    <row r="1301" customFormat="false" ht="12.75" hidden="false" customHeight="false" outlineLevel="0" collapsed="false">
      <c r="A1301" s="2" t="s">
        <v>72</v>
      </c>
      <c r="B1301" s="2" t="s">
        <v>22736</v>
      </c>
      <c r="C1301" s="2"/>
      <c r="D1301" s="2"/>
      <c r="E1301" s="2"/>
      <c r="F1301" s="2" t="s">
        <v>22737</v>
      </c>
      <c r="G1301" s="2"/>
      <c r="H1301" s="2"/>
      <c r="I1301" s="2" t="s">
        <v>22738</v>
      </c>
      <c r="J1301" s="2" t="s">
        <v>7060</v>
      </c>
      <c r="K1301" s="2"/>
      <c r="L1301" s="2"/>
      <c r="M1301" s="2" t="s">
        <v>77</v>
      </c>
      <c r="N1301" s="2" t="s">
        <v>78</v>
      </c>
      <c r="O1301" s="2"/>
      <c r="P1301" s="2"/>
      <c r="Q1301" s="2"/>
      <c r="R1301" s="2"/>
      <c r="S1301" s="2"/>
      <c r="T1301" s="2" t="s">
        <v>22739</v>
      </c>
      <c r="U1301" s="2" t="s">
        <v>22740</v>
      </c>
      <c r="V1301" s="2" t="s">
        <v>22741</v>
      </c>
      <c r="W1301" s="2" t="s">
        <v>22742</v>
      </c>
      <c r="X1301" s="2" t="s">
        <v>22743</v>
      </c>
      <c r="Y1301" s="2" t="s">
        <v>22744</v>
      </c>
      <c r="Z1301" s="2" t="s">
        <v>22745</v>
      </c>
      <c r="AA1301" s="2" t="s">
        <v>22746</v>
      </c>
      <c r="AB1301" s="2" t="s">
        <v>22747</v>
      </c>
      <c r="AC1301" s="2" t="s">
        <v>22748</v>
      </c>
      <c r="AD1301" s="2" t="s">
        <v>22749</v>
      </c>
      <c r="AE1301" s="2" t="s">
        <v>22750</v>
      </c>
      <c r="AF1301" s="2"/>
      <c r="AG1301" s="2" t="n">
        <v>23</v>
      </c>
      <c r="AH1301" s="2" t="n">
        <v>195</v>
      </c>
      <c r="AI1301" s="2" t="n">
        <v>207</v>
      </c>
      <c r="AJ1301" s="2" t="n">
        <v>1</v>
      </c>
      <c r="AK1301" s="2" t="n">
        <v>13</v>
      </c>
      <c r="AL1301" s="2" t="s">
        <v>7073</v>
      </c>
      <c r="AM1301" s="2" t="s">
        <v>7074</v>
      </c>
      <c r="AN1301" s="2" t="s">
        <v>7075</v>
      </c>
      <c r="AO1301" s="2" t="s">
        <v>7076</v>
      </c>
      <c r="AP1301" s="2" t="s">
        <v>7291</v>
      </c>
      <c r="AQ1301" s="2"/>
      <c r="AR1301" s="2" t="s">
        <v>7060</v>
      </c>
      <c r="AS1301" s="2" t="s">
        <v>601</v>
      </c>
      <c r="AT1301" s="2" t="s">
        <v>446</v>
      </c>
      <c r="AU1301" s="2" t="n">
        <v>2010</v>
      </c>
      <c r="AV1301" s="2" t="n">
        <v>126</v>
      </c>
      <c r="AW1301" s="2" t="n">
        <v>6</v>
      </c>
      <c r="AX1301" s="2"/>
      <c r="AY1301" s="2"/>
      <c r="AZ1301" s="2"/>
      <c r="BA1301" s="2"/>
      <c r="BB1301" s="2" t="s">
        <v>22751</v>
      </c>
      <c r="BC1301" s="2" t="s">
        <v>22752</v>
      </c>
      <c r="BD1301" s="2"/>
      <c r="BE1301" s="2" t="s">
        <v>22753</v>
      </c>
      <c r="BF1301" s="2" t="str">
        <f aca="false">HYPERLINK("http://dx.doi.org/10.1542/peds.2010-0507","http://dx.doi.org/10.1542/peds.2010-0507")</f>
        <v>http://dx.doi.org/10.1542/peds.2010-0507</v>
      </c>
      <c r="BG1301" s="2"/>
      <c r="BH1301" s="2"/>
      <c r="BI1301" s="2" t="n">
        <v>8</v>
      </c>
      <c r="BJ1301" s="2" t="s">
        <v>601</v>
      </c>
      <c r="BK1301" s="2" t="s">
        <v>100</v>
      </c>
      <c r="BL1301" s="2" t="s">
        <v>601</v>
      </c>
      <c r="BM1301" s="2" t="s">
        <v>22754</v>
      </c>
      <c r="BN1301" s="2" t="n">
        <v>21098154</v>
      </c>
      <c r="BO1301" s="2" t="s">
        <v>695</v>
      </c>
      <c r="BP1301" s="2"/>
      <c r="BQ1301" s="2"/>
      <c r="BR1301" s="2" t="s">
        <v>104</v>
      </c>
      <c r="BS1301" s="2" t="s">
        <v>22755</v>
      </c>
      <c r="BT1301" s="2" t="str">
        <f aca="false">HYPERLINK("https%3A%2F%2Fwww.webofscience.com%2Fwos%2Fwoscc%2Ffull-record%2FWOS:000284831900005","View Full Record in Web of Science")</f>
        <v>View Full Record in Web of Science</v>
      </c>
    </row>
    <row r="1302" customFormat="false" ht="12.75" hidden="false" customHeight="false" outlineLevel="0" collapsed="false">
      <c r="A1302" s="2" t="s">
        <v>72</v>
      </c>
      <c r="B1302" s="2" t="s">
        <v>22756</v>
      </c>
      <c r="C1302" s="2"/>
      <c r="D1302" s="2"/>
      <c r="E1302" s="2"/>
      <c r="F1302" s="2" t="s">
        <v>22757</v>
      </c>
      <c r="G1302" s="2"/>
      <c r="H1302" s="2"/>
      <c r="I1302" s="2" t="s">
        <v>22758</v>
      </c>
      <c r="J1302" s="2" t="s">
        <v>1290</v>
      </c>
      <c r="K1302" s="2"/>
      <c r="L1302" s="2"/>
      <c r="M1302" s="2" t="s">
        <v>77</v>
      </c>
      <c r="N1302" s="2" t="s">
        <v>78</v>
      </c>
      <c r="O1302" s="2"/>
      <c r="P1302" s="2"/>
      <c r="Q1302" s="2"/>
      <c r="R1302" s="2"/>
      <c r="S1302" s="2"/>
      <c r="T1302" s="2" t="s">
        <v>22759</v>
      </c>
      <c r="U1302" s="2" t="s">
        <v>22760</v>
      </c>
      <c r="V1302" s="2" t="s">
        <v>22761</v>
      </c>
      <c r="W1302" s="2" t="s">
        <v>22762</v>
      </c>
      <c r="X1302" s="2" t="s">
        <v>22763</v>
      </c>
      <c r="Y1302" s="2" t="s">
        <v>22764</v>
      </c>
      <c r="Z1302" s="2" t="s">
        <v>22765</v>
      </c>
      <c r="AA1302" s="2" t="s">
        <v>22766</v>
      </c>
      <c r="AB1302" s="2" t="s">
        <v>22767</v>
      </c>
      <c r="AC1302" s="2" t="s">
        <v>22768</v>
      </c>
      <c r="AD1302" s="2" t="s">
        <v>22769</v>
      </c>
      <c r="AE1302" s="2" t="s">
        <v>22770</v>
      </c>
      <c r="AF1302" s="2"/>
      <c r="AG1302" s="2" t="n">
        <v>32</v>
      </c>
      <c r="AH1302" s="2" t="n">
        <v>97</v>
      </c>
      <c r="AI1302" s="2" t="n">
        <v>109</v>
      </c>
      <c r="AJ1302" s="2" t="n">
        <v>0</v>
      </c>
      <c r="AK1302" s="2" t="n">
        <v>3</v>
      </c>
      <c r="AL1302" s="2" t="s">
        <v>154</v>
      </c>
      <c r="AM1302" s="2" t="s">
        <v>155</v>
      </c>
      <c r="AN1302" s="2" t="s">
        <v>156</v>
      </c>
      <c r="AO1302" s="2" t="s">
        <v>1302</v>
      </c>
      <c r="AP1302" s="2" t="s">
        <v>1303</v>
      </c>
      <c r="AQ1302" s="2"/>
      <c r="AR1302" s="2" t="s">
        <v>1304</v>
      </c>
      <c r="AS1302" s="2" t="s">
        <v>1305</v>
      </c>
      <c r="AT1302" s="2" t="s">
        <v>692</v>
      </c>
      <c r="AU1302" s="2" t="n">
        <v>2012</v>
      </c>
      <c r="AV1302" s="2" t="n">
        <v>47</v>
      </c>
      <c r="AW1302" s="2" t="n">
        <v>4</v>
      </c>
      <c r="AX1302" s="2"/>
      <c r="AY1302" s="2"/>
      <c r="AZ1302" s="2"/>
      <c r="BA1302" s="2"/>
      <c r="BB1302" s="2" t="n">
        <v>393</v>
      </c>
      <c r="BC1302" s="2" t="n">
        <v>400</v>
      </c>
      <c r="BD1302" s="2"/>
      <c r="BE1302" s="2" t="s">
        <v>22771</v>
      </c>
      <c r="BF1302" s="2" t="str">
        <f aca="false">HYPERLINK("http://dx.doi.org/10.1002/ppul.21552","http://dx.doi.org/10.1002/ppul.21552")</f>
        <v>http://dx.doi.org/10.1002/ppul.21552</v>
      </c>
      <c r="BG1302" s="2"/>
      <c r="BH1302" s="2"/>
      <c r="BI1302" s="2" t="n">
        <v>8</v>
      </c>
      <c r="BJ1302" s="2" t="s">
        <v>1307</v>
      </c>
      <c r="BK1302" s="2" t="s">
        <v>100</v>
      </c>
      <c r="BL1302" s="2" t="s">
        <v>1307</v>
      </c>
      <c r="BM1302" s="2" t="s">
        <v>22772</v>
      </c>
      <c r="BN1302" s="2" t="n">
        <v>21901859</v>
      </c>
      <c r="BO1302" s="2" t="s">
        <v>538</v>
      </c>
      <c r="BP1302" s="2"/>
      <c r="BQ1302" s="2"/>
      <c r="BR1302" s="2" t="s">
        <v>104</v>
      </c>
      <c r="BS1302" s="2" t="s">
        <v>22773</v>
      </c>
      <c r="BT1302" s="2" t="str">
        <f aca="false">HYPERLINK("https%3A%2F%2Fwww.webofscience.com%2Fwos%2Fwoscc%2Ffull-record%2FWOS:000301574400010","View Full Record in Web of Science")</f>
        <v>View Full Record in Web of Science</v>
      </c>
    </row>
    <row r="1303" customFormat="false" ht="12.75" hidden="false" customHeight="false" outlineLevel="0" collapsed="false">
      <c r="A1303" s="2" t="s">
        <v>72</v>
      </c>
      <c r="B1303" s="2" t="s">
        <v>22774</v>
      </c>
      <c r="C1303" s="2"/>
      <c r="D1303" s="2"/>
      <c r="E1303" s="2"/>
      <c r="F1303" s="2" t="s">
        <v>22775</v>
      </c>
      <c r="G1303" s="2"/>
      <c r="H1303" s="2"/>
      <c r="I1303" s="2" t="s">
        <v>22776</v>
      </c>
      <c r="J1303" s="2" t="s">
        <v>11975</v>
      </c>
      <c r="K1303" s="2"/>
      <c r="L1303" s="2"/>
      <c r="M1303" s="2" t="s">
        <v>77</v>
      </c>
      <c r="N1303" s="2" t="s">
        <v>78</v>
      </c>
      <c r="O1303" s="2"/>
      <c r="P1303" s="2"/>
      <c r="Q1303" s="2"/>
      <c r="R1303" s="2"/>
      <c r="S1303" s="2"/>
      <c r="T1303" s="2" t="s">
        <v>22777</v>
      </c>
      <c r="U1303" s="2" t="s">
        <v>22778</v>
      </c>
      <c r="V1303" s="2" t="s">
        <v>22779</v>
      </c>
      <c r="W1303" s="2" t="s">
        <v>22780</v>
      </c>
      <c r="X1303" s="2" t="s">
        <v>22781</v>
      </c>
      <c r="Y1303" s="2" t="s">
        <v>22782</v>
      </c>
      <c r="Z1303" s="2" t="s">
        <v>22783</v>
      </c>
      <c r="AA1303" s="2" t="s">
        <v>4210</v>
      </c>
      <c r="AB1303" s="2" t="s">
        <v>22784</v>
      </c>
      <c r="AC1303" s="2" t="s">
        <v>22785</v>
      </c>
      <c r="AD1303" s="2" t="s">
        <v>11195</v>
      </c>
      <c r="AE1303" s="2" t="s">
        <v>22786</v>
      </c>
      <c r="AF1303" s="2"/>
      <c r="AG1303" s="2" t="n">
        <v>18</v>
      </c>
      <c r="AH1303" s="2" t="n">
        <v>95</v>
      </c>
      <c r="AI1303" s="2" t="n">
        <v>107</v>
      </c>
      <c r="AJ1303" s="2" t="n">
        <v>0</v>
      </c>
      <c r="AK1303" s="2" t="n">
        <v>6</v>
      </c>
      <c r="AL1303" s="2" t="s">
        <v>154</v>
      </c>
      <c r="AM1303" s="2" t="s">
        <v>155</v>
      </c>
      <c r="AN1303" s="2" t="s">
        <v>156</v>
      </c>
      <c r="AO1303" s="2" t="s">
        <v>11983</v>
      </c>
      <c r="AP1303" s="2" t="s">
        <v>11984</v>
      </c>
      <c r="AQ1303" s="2"/>
      <c r="AR1303" s="2" t="s">
        <v>11985</v>
      </c>
      <c r="AS1303" s="2" t="s">
        <v>11986</v>
      </c>
      <c r="AT1303" s="2" t="s">
        <v>161</v>
      </c>
      <c r="AU1303" s="2" t="n">
        <v>2009</v>
      </c>
      <c r="AV1303" s="2" t="n">
        <v>98</v>
      </c>
      <c r="AW1303" s="2" t="n">
        <v>1</v>
      </c>
      <c r="AX1303" s="2"/>
      <c r="AY1303" s="2"/>
      <c r="AZ1303" s="2"/>
      <c r="BA1303" s="2"/>
      <c r="BB1303" s="2" t="n">
        <v>123</v>
      </c>
      <c r="BC1303" s="2" t="n">
        <v>126</v>
      </c>
      <c r="BD1303" s="2"/>
      <c r="BE1303" s="2" t="s">
        <v>22787</v>
      </c>
      <c r="BF1303" s="2" t="str">
        <f aca="false">HYPERLINK("http://dx.doi.org/10.1111/j.1651-2227.2008.01023.x","http://dx.doi.org/10.1111/j.1651-2227.2008.01023.x")</f>
        <v>http://dx.doi.org/10.1111/j.1651-2227.2008.01023.x</v>
      </c>
      <c r="BG1303" s="2"/>
      <c r="BH1303" s="2"/>
      <c r="BI1303" s="2" t="n">
        <v>4</v>
      </c>
      <c r="BJ1303" s="2" t="s">
        <v>601</v>
      </c>
      <c r="BK1303" s="2" t="s">
        <v>100</v>
      </c>
      <c r="BL1303" s="2" t="s">
        <v>601</v>
      </c>
      <c r="BM1303" s="2" t="s">
        <v>22788</v>
      </c>
      <c r="BN1303" s="2" t="n">
        <v>18785966</v>
      </c>
      <c r="BO1303" s="2" t="s">
        <v>11469</v>
      </c>
      <c r="BP1303" s="2"/>
      <c r="BQ1303" s="2"/>
      <c r="BR1303" s="2" t="s">
        <v>104</v>
      </c>
      <c r="BS1303" s="2" t="s">
        <v>22789</v>
      </c>
      <c r="BT1303" s="2" t="str">
        <f aca="false">HYPERLINK("https%3A%2F%2Fwww.webofscience.com%2Fwos%2Fwoscc%2Ffull-record%2FWOS:000261636800027","View Full Record in Web of Science")</f>
        <v>View Full Record in Web of Science</v>
      </c>
    </row>
    <row r="1304" customFormat="false" ht="12.75" hidden="false" customHeight="false" outlineLevel="0" collapsed="false">
      <c r="A1304" s="2" t="s">
        <v>72</v>
      </c>
      <c r="B1304" s="2" t="s">
        <v>22790</v>
      </c>
      <c r="C1304" s="2"/>
      <c r="D1304" s="2"/>
      <c r="E1304" s="2"/>
      <c r="F1304" s="2" t="s">
        <v>22791</v>
      </c>
      <c r="G1304" s="2"/>
      <c r="H1304" s="2"/>
      <c r="I1304" s="2" t="s">
        <v>22792</v>
      </c>
      <c r="J1304" s="2" t="s">
        <v>1765</v>
      </c>
      <c r="K1304" s="2"/>
      <c r="L1304" s="2"/>
      <c r="M1304" s="2" t="s">
        <v>77</v>
      </c>
      <c r="N1304" s="2" t="s">
        <v>78</v>
      </c>
      <c r="O1304" s="2"/>
      <c r="P1304" s="2"/>
      <c r="Q1304" s="2"/>
      <c r="R1304" s="2"/>
      <c r="S1304" s="2"/>
      <c r="T1304" s="2" t="s">
        <v>22793</v>
      </c>
      <c r="U1304" s="2" t="s">
        <v>22794</v>
      </c>
      <c r="V1304" s="2" t="s">
        <v>22795</v>
      </c>
      <c r="W1304" s="2" t="s">
        <v>22796</v>
      </c>
      <c r="X1304" s="2" t="s">
        <v>22797</v>
      </c>
      <c r="Y1304" s="2" t="s">
        <v>22798</v>
      </c>
      <c r="Z1304" s="2" t="s">
        <v>22799</v>
      </c>
      <c r="AA1304" s="2" t="s">
        <v>22800</v>
      </c>
      <c r="AB1304" s="2"/>
      <c r="AC1304" s="2"/>
      <c r="AD1304" s="2"/>
      <c r="AE1304" s="2"/>
      <c r="AF1304" s="2"/>
      <c r="AG1304" s="2" t="n">
        <v>38</v>
      </c>
      <c r="AH1304" s="2" t="n">
        <v>3</v>
      </c>
      <c r="AI1304" s="2" t="n">
        <v>4</v>
      </c>
      <c r="AJ1304" s="2" t="n">
        <v>0</v>
      </c>
      <c r="AK1304" s="2" t="n">
        <v>1</v>
      </c>
      <c r="AL1304" s="2" t="s">
        <v>620</v>
      </c>
      <c r="AM1304" s="2" t="s">
        <v>621</v>
      </c>
      <c r="AN1304" s="2" t="s">
        <v>622</v>
      </c>
      <c r="AO1304" s="2" t="s">
        <v>1778</v>
      </c>
      <c r="AP1304" s="2"/>
      <c r="AQ1304" s="2"/>
      <c r="AR1304" s="2" t="s">
        <v>1779</v>
      </c>
      <c r="AS1304" s="2" t="s">
        <v>1780</v>
      </c>
      <c r="AT1304" s="2" t="s">
        <v>1246</v>
      </c>
      <c r="AU1304" s="2" t="n">
        <v>2019</v>
      </c>
      <c r="AV1304" s="2" t="n">
        <v>7</v>
      </c>
      <c r="AW1304" s="2"/>
      <c r="AX1304" s="2"/>
      <c r="AY1304" s="2"/>
      <c r="AZ1304" s="2"/>
      <c r="BA1304" s="2"/>
      <c r="BB1304" s="2"/>
      <c r="BC1304" s="2"/>
      <c r="BD1304" s="2" t="n">
        <v>189</v>
      </c>
      <c r="BE1304" s="2" t="s">
        <v>22801</v>
      </c>
      <c r="BF1304" s="2" t="str">
        <f aca="false">HYPERLINK("http://dx.doi.org/10.3389/fped.2019.00189","http://dx.doi.org/10.3389/fped.2019.00189")</f>
        <v>http://dx.doi.org/10.3389/fped.2019.00189</v>
      </c>
      <c r="BG1304" s="2"/>
      <c r="BH1304" s="2"/>
      <c r="BI1304" s="2" t="n">
        <v>8</v>
      </c>
      <c r="BJ1304" s="2" t="s">
        <v>601</v>
      </c>
      <c r="BK1304" s="2" t="s">
        <v>100</v>
      </c>
      <c r="BL1304" s="2" t="s">
        <v>601</v>
      </c>
      <c r="BM1304" s="2" t="s">
        <v>22802</v>
      </c>
      <c r="BN1304" s="2" t="n">
        <v>31157192</v>
      </c>
      <c r="BO1304" s="2" t="s">
        <v>103</v>
      </c>
      <c r="BP1304" s="2"/>
      <c r="BQ1304" s="2"/>
      <c r="BR1304" s="2" t="s">
        <v>104</v>
      </c>
      <c r="BS1304" s="2" t="s">
        <v>22803</v>
      </c>
      <c r="BT1304" s="2" t="str">
        <f aca="false">HYPERLINK("https%3A%2F%2Fwww.webofscience.com%2Fwos%2Fwoscc%2Ffull-record%2FWOS:000468177800001","View Full Record in Web of Science")</f>
        <v>View Full Record in Web of Science</v>
      </c>
    </row>
    <row r="1305" customFormat="false" ht="12.75" hidden="false" customHeight="false" outlineLevel="0" collapsed="false">
      <c r="A1305" s="2" t="s">
        <v>72</v>
      </c>
      <c r="B1305" s="2" t="s">
        <v>22804</v>
      </c>
      <c r="C1305" s="2"/>
      <c r="D1305" s="2"/>
      <c r="E1305" s="2"/>
      <c r="F1305" s="2" t="s">
        <v>22805</v>
      </c>
      <c r="G1305" s="2"/>
      <c r="H1305" s="2"/>
      <c r="I1305" s="2" t="s">
        <v>22806</v>
      </c>
      <c r="J1305" s="2" t="s">
        <v>22807</v>
      </c>
      <c r="K1305" s="2"/>
      <c r="L1305" s="2"/>
      <c r="M1305" s="2" t="s">
        <v>77</v>
      </c>
      <c r="N1305" s="2" t="s">
        <v>78</v>
      </c>
      <c r="O1305" s="2"/>
      <c r="P1305" s="2"/>
      <c r="Q1305" s="2"/>
      <c r="R1305" s="2"/>
      <c r="S1305" s="2"/>
      <c r="T1305" s="2" t="s">
        <v>22808</v>
      </c>
      <c r="U1305" s="2" t="s">
        <v>22809</v>
      </c>
      <c r="V1305" s="2" t="s">
        <v>22810</v>
      </c>
      <c r="W1305" s="2" t="s">
        <v>22811</v>
      </c>
      <c r="X1305" s="2" t="s">
        <v>22812</v>
      </c>
      <c r="Y1305" s="2" t="s">
        <v>22813</v>
      </c>
      <c r="Z1305" s="2" t="s">
        <v>22814</v>
      </c>
      <c r="AA1305" s="2" t="s">
        <v>20471</v>
      </c>
      <c r="AB1305" s="2" t="s">
        <v>5364</v>
      </c>
      <c r="AC1305" s="2"/>
      <c r="AD1305" s="2"/>
      <c r="AE1305" s="2"/>
      <c r="AF1305" s="2"/>
      <c r="AG1305" s="2" t="n">
        <v>45</v>
      </c>
      <c r="AH1305" s="2" t="n">
        <v>84</v>
      </c>
      <c r="AI1305" s="2" t="n">
        <v>95</v>
      </c>
      <c r="AJ1305" s="2" t="n">
        <v>0</v>
      </c>
      <c r="AK1305" s="2" t="n">
        <v>3</v>
      </c>
      <c r="AL1305" s="2" t="s">
        <v>154</v>
      </c>
      <c r="AM1305" s="2" t="s">
        <v>155</v>
      </c>
      <c r="AN1305" s="2" t="s">
        <v>156</v>
      </c>
      <c r="AO1305" s="2" t="s">
        <v>22815</v>
      </c>
      <c r="AP1305" s="2" t="s">
        <v>22816</v>
      </c>
      <c r="AQ1305" s="2"/>
      <c r="AR1305" s="2" t="s">
        <v>22817</v>
      </c>
      <c r="AS1305" s="2" t="s">
        <v>22818</v>
      </c>
      <c r="AT1305" s="2" t="s">
        <v>1041</v>
      </c>
      <c r="AU1305" s="2" t="n">
        <v>2008</v>
      </c>
      <c r="AV1305" s="2" t="n">
        <v>15</v>
      </c>
      <c r="AW1305" s="2" t="n">
        <v>2</v>
      </c>
      <c r="AX1305" s="2"/>
      <c r="AY1305" s="2"/>
      <c r="AZ1305" s="2"/>
      <c r="BA1305" s="2"/>
      <c r="BB1305" s="2" t="n">
        <v>111</v>
      </c>
      <c r="BC1305" s="2" t="n">
        <v>118</v>
      </c>
      <c r="BD1305" s="2"/>
      <c r="BE1305" s="2" t="s">
        <v>22819</v>
      </c>
      <c r="BF1305" s="2" t="str">
        <f aca="false">HYPERLINK("http://dx.doi.org/10.1111/j.1553-2712.2007.00034.x","http://dx.doi.org/10.1111/j.1553-2712.2007.00034.x")</f>
        <v>http://dx.doi.org/10.1111/j.1553-2712.2007.00034.x</v>
      </c>
      <c r="BG1305" s="2"/>
      <c r="BH1305" s="2"/>
      <c r="BI1305" s="2" t="n">
        <v>8</v>
      </c>
      <c r="BJ1305" s="2" t="s">
        <v>15742</v>
      </c>
      <c r="BK1305" s="2" t="s">
        <v>100</v>
      </c>
      <c r="BL1305" s="2" t="s">
        <v>15742</v>
      </c>
      <c r="BM1305" s="2" t="s">
        <v>22820</v>
      </c>
      <c r="BN1305" s="2" t="n">
        <v>18275439</v>
      </c>
      <c r="BO1305" s="2" t="s">
        <v>1267</v>
      </c>
      <c r="BP1305" s="2"/>
      <c r="BQ1305" s="2"/>
      <c r="BR1305" s="2" t="s">
        <v>104</v>
      </c>
      <c r="BS1305" s="2" t="s">
        <v>22821</v>
      </c>
      <c r="BT1305" s="2" t="str">
        <f aca="false">HYPERLINK("https%3A%2F%2Fwww.webofscience.com%2Fwos%2Fwoscc%2Ffull-record%2FWOS:000253041300001","View Full Record in Web of Science")</f>
        <v>View Full Record in Web of Science</v>
      </c>
    </row>
    <row r="1306" customFormat="false" ht="12.75" hidden="false" customHeight="false" outlineLevel="0" collapsed="false">
      <c r="A1306" s="2" t="s">
        <v>72</v>
      </c>
      <c r="B1306" s="2" t="s">
        <v>22822</v>
      </c>
      <c r="C1306" s="2"/>
      <c r="D1306" s="2"/>
      <c r="E1306" s="2"/>
      <c r="F1306" s="2" t="s">
        <v>22823</v>
      </c>
      <c r="G1306" s="2"/>
      <c r="H1306" s="2"/>
      <c r="I1306" s="2" t="s">
        <v>22824</v>
      </c>
      <c r="J1306" s="2" t="s">
        <v>398</v>
      </c>
      <c r="K1306" s="2"/>
      <c r="L1306" s="2"/>
      <c r="M1306" s="2" t="s">
        <v>77</v>
      </c>
      <c r="N1306" s="2" t="s">
        <v>78</v>
      </c>
      <c r="O1306" s="2"/>
      <c r="P1306" s="2"/>
      <c r="Q1306" s="2"/>
      <c r="R1306" s="2"/>
      <c r="S1306" s="2"/>
      <c r="T1306" s="2" t="s">
        <v>22825</v>
      </c>
      <c r="U1306" s="2"/>
      <c r="V1306" s="2" t="s">
        <v>22826</v>
      </c>
      <c r="W1306" s="2" t="s">
        <v>22827</v>
      </c>
      <c r="X1306" s="2" t="s">
        <v>13378</v>
      </c>
      <c r="Y1306" s="2" t="s">
        <v>22828</v>
      </c>
      <c r="Z1306" s="2" t="s">
        <v>22829</v>
      </c>
      <c r="AA1306" s="2" t="s">
        <v>22830</v>
      </c>
      <c r="AB1306" s="2"/>
      <c r="AC1306" s="2"/>
      <c r="AD1306" s="2"/>
      <c r="AE1306" s="2"/>
      <c r="AF1306" s="2"/>
      <c r="AG1306" s="2" t="n">
        <v>35</v>
      </c>
      <c r="AH1306" s="2" t="n">
        <v>1</v>
      </c>
      <c r="AI1306" s="2" t="n">
        <v>1</v>
      </c>
      <c r="AJ1306" s="2" t="n">
        <v>0</v>
      </c>
      <c r="AK1306" s="2" t="n">
        <v>0</v>
      </c>
      <c r="AL1306" s="2" t="s">
        <v>408</v>
      </c>
      <c r="AM1306" s="2" t="s">
        <v>409</v>
      </c>
      <c r="AN1306" s="2" t="s">
        <v>410</v>
      </c>
      <c r="AO1306" s="2" t="s">
        <v>411</v>
      </c>
      <c r="AP1306" s="2" t="s">
        <v>412</v>
      </c>
      <c r="AQ1306" s="2"/>
      <c r="AR1306" s="2" t="s">
        <v>6314</v>
      </c>
      <c r="AS1306" s="2" t="s">
        <v>414</v>
      </c>
      <c r="AT1306" s="2"/>
      <c r="AU1306" s="2" t="n">
        <v>2010</v>
      </c>
      <c r="AV1306" s="2" t="n">
        <v>5</v>
      </c>
      <c r="AW1306" s="2" t="n">
        <v>3</v>
      </c>
      <c r="AX1306" s="2"/>
      <c r="AY1306" s="2"/>
      <c r="AZ1306" s="2"/>
      <c r="BA1306" s="2"/>
      <c r="BB1306" s="2" t="n">
        <v>255</v>
      </c>
      <c r="BC1306" s="2" t="n">
        <v>261</v>
      </c>
      <c r="BD1306" s="2"/>
      <c r="BE1306" s="2" t="s">
        <v>22831</v>
      </c>
      <c r="BF1306" s="2" t="str">
        <f aca="false">HYPERLINK("http://dx.doi.org/10.3233/JPI-2010-0254","http://dx.doi.org/10.3233/JPI-2010-0254")</f>
        <v>http://dx.doi.org/10.3233/JPI-2010-0254</v>
      </c>
      <c r="BG1306" s="2"/>
      <c r="BH1306" s="2"/>
      <c r="BI1306" s="2" t="n">
        <v>7</v>
      </c>
      <c r="BJ1306" s="2" t="s">
        <v>417</v>
      </c>
      <c r="BK1306" s="2" t="s">
        <v>339</v>
      </c>
      <c r="BL1306" s="2" t="s">
        <v>417</v>
      </c>
      <c r="BM1306" s="2" t="s">
        <v>22832</v>
      </c>
      <c r="BN1306" s="2"/>
      <c r="BO1306" s="2"/>
      <c r="BP1306" s="2"/>
      <c r="BQ1306" s="2"/>
      <c r="BR1306" s="2" t="s">
        <v>104</v>
      </c>
      <c r="BS1306" s="2" t="s">
        <v>22833</v>
      </c>
      <c r="BT1306" s="2" t="str">
        <f aca="false">HYPERLINK("https%3A%2F%2Fwww.webofscience.com%2Fwos%2Fwoscc%2Ffull-record%2FWOS:000214699700007","View Full Record in Web of Science")</f>
        <v>View Full Record in Web of Science</v>
      </c>
    </row>
    <row r="1307" customFormat="false" ht="12.75" hidden="false" customHeight="false" outlineLevel="0" collapsed="false">
      <c r="A1307" s="2" t="s">
        <v>72</v>
      </c>
      <c r="B1307" s="2" t="s">
        <v>22834</v>
      </c>
      <c r="C1307" s="2"/>
      <c r="D1307" s="2"/>
      <c r="E1307" s="2"/>
      <c r="F1307" s="2" t="s">
        <v>22835</v>
      </c>
      <c r="G1307" s="2"/>
      <c r="H1307" s="2"/>
      <c r="I1307" s="2" t="s">
        <v>22836</v>
      </c>
      <c r="J1307" s="2" t="s">
        <v>22837</v>
      </c>
      <c r="K1307" s="2"/>
      <c r="L1307" s="2"/>
      <c r="M1307" s="2" t="s">
        <v>77</v>
      </c>
      <c r="N1307" s="2" t="s">
        <v>78</v>
      </c>
      <c r="O1307" s="2"/>
      <c r="P1307" s="2"/>
      <c r="Q1307" s="2"/>
      <c r="R1307" s="2"/>
      <c r="S1307" s="2"/>
      <c r="T1307" s="2" t="s">
        <v>22838</v>
      </c>
      <c r="U1307" s="2" t="s">
        <v>22839</v>
      </c>
      <c r="V1307" s="2" t="s">
        <v>22840</v>
      </c>
      <c r="W1307" s="2" t="s">
        <v>22841</v>
      </c>
      <c r="X1307" s="2" t="s">
        <v>22842</v>
      </c>
      <c r="Y1307" s="2" t="s">
        <v>22843</v>
      </c>
      <c r="Z1307" s="2" t="s">
        <v>22844</v>
      </c>
      <c r="AA1307" s="2" t="s">
        <v>22845</v>
      </c>
      <c r="AB1307" s="2"/>
      <c r="AC1307" s="2" t="s">
        <v>22846</v>
      </c>
      <c r="AD1307" s="2" t="s">
        <v>22846</v>
      </c>
      <c r="AE1307" s="2" t="s">
        <v>22847</v>
      </c>
      <c r="AF1307" s="2"/>
      <c r="AG1307" s="2" t="n">
        <v>27</v>
      </c>
      <c r="AH1307" s="2" t="n">
        <v>71</v>
      </c>
      <c r="AI1307" s="2" t="n">
        <v>80</v>
      </c>
      <c r="AJ1307" s="2" t="n">
        <v>0</v>
      </c>
      <c r="AK1307" s="2" t="n">
        <v>4</v>
      </c>
      <c r="AL1307" s="2" t="s">
        <v>22848</v>
      </c>
      <c r="AM1307" s="2" t="s">
        <v>6466</v>
      </c>
      <c r="AN1307" s="2" t="s">
        <v>22849</v>
      </c>
      <c r="AO1307" s="2" t="s">
        <v>22850</v>
      </c>
      <c r="AP1307" s="2"/>
      <c r="AQ1307" s="2"/>
      <c r="AR1307" s="2" t="s">
        <v>22837</v>
      </c>
      <c r="AS1307" s="2" t="s">
        <v>22851</v>
      </c>
      <c r="AT1307" s="2"/>
      <c r="AU1307" s="2" t="n">
        <v>2010</v>
      </c>
      <c r="AV1307" s="2" t="n">
        <v>65</v>
      </c>
      <c r="AW1307" s="2" t="n">
        <v>11</v>
      </c>
      <c r="AX1307" s="2"/>
      <c r="AY1307" s="2"/>
      <c r="AZ1307" s="2"/>
      <c r="BA1307" s="2"/>
      <c r="BB1307" s="2" t="n">
        <v>1133</v>
      </c>
      <c r="BC1307" s="2" t="n">
        <v>1137</v>
      </c>
      <c r="BD1307" s="2"/>
      <c r="BE1307" s="2" t="s">
        <v>22852</v>
      </c>
      <c r="BF1307" s="2" t="str">
        <f aca="false">HYPERLINK("http://dx.doi.org/10.1590/S1807-59322010001100014","http://dx.doi.org/10.1590/S1807-59322010001100014")</f>
        <v>http://dx.doi.org/10.1590/S1807-59322010001100014</v>
      </c>
      <c r="BG1307" s="2"/>
      <c r="BH1307" s="2"/>
      <c r="BI1307" s="2" t="n">
        <v>5</v>
      </c>
      <c r="BJ1307" s="2" t="s">
        <v>363</v>
      </c>
      <c r="BK1307" s="2" t="s">
        <v>100</v>
      </c>
      <c r="BL1307" s="2" t="s">
        <v>364</v>
      </c>
      <c r="BM1307" s="2" t="s">
        <v>22853</v>
      </c>
      <c r="BN1307" s="2" t="n">
        <v>21243286</v>
      </c>
      <c r="BO1307" s="2" t="s">
        <v>6349</v>
      </c>
      <c r="BP1307" s="2"/>
      <c r="BQ1307" s="2"/>
      <c r="BR1307" s="2" t="s">
        <v>104</v>
      </c>
      <c r="BS1307" s="2" t="s">
        <v>22854</v>
      </c>
      <c r="BT1307" s="2" t="str">
        <f aca="false">HYPERLINK("https%3A%2F%2Fwww.webofscience.com%2Fwos%2Fwoscc%2Ffull-record%2FWOS:000288492000014","View Full Record in Web of Science")</f>
        <v>View Full Record in Web of Science</v>
      </c>
    </row>
    <row r="1308" customFormat="false" ht="12.75" hidden="false" customHeight="false" outlineLevel="0" collapsed="false">
      <c r="A1308" s="2" t="s">
        <v>72</v>
      </c>
      <c r="B1308" s="2" t="s">
        <v>22855</v>
      </c>
      <c r="C1308" s="2"/>
      <c r="D1308" s="2"/>
      <c r="E1308" s="2"/>
      <c r="F1308" s="2" t="s">
        <v>22856</v>
      </c>
      <c r="G1308" s="2"/>
      <c r="H1308" s="2"/>
      <c r="I1308" s="2" t="s">
        <v>22857</v>
      </c>
      <c r="J1308" s="2" t="s">
        <v>6354</v>
      </c>
      <c r="K1308" s="2"/>
      <c r="L1308" s="2"/>
      <c r="M1308" s="2" t="s">
        <v>77</v>
      </c>
      <c r="N1308" s="2" t="s">
        <v>78</v>
      </c>
      <c r="O1308" s="2"/>
      <c r="P1308" s="2"/>
      <c r="Q1308" s="2"/>
      <c r="R1308" s="2"/>
      <c r="S1308" s="2"/>
      <c r="T1308" s="2" t="s">
        <v>22858</v>
      </c>
      <c r="U1308" s="2" t="s">
        <v>22859</v>
      </c>
      <c r="V1308" s="2" t="s">
        <v>22860</v>
      </c>
      <c r="W1308" s="2" t="s">
        <v>22861</v>
      </c>
      <c r="X1308" s="2" t="s">
        <v>22862</v>
      </c>
      <c r="Y1308" s="2" t="s">
        <v>22863</v>
      </c>
      <c r="Z1308" s="2" t="s">
        <v>22864</v>
      </c>
      <c r="AA1308" s="2"/>
      <c r="AB1308" s="2" t="s">
        <v>22865</v>
      </c>
      <c r="AC1308" s="2"/>
      <c r="AD1308" s="2"/>
      <c r="AE1308" s="2"/>
      <c r="AF1308" s="2"/>
      <c r="AG1308" s="2" t="n">
        <v>27</v>
      </c>
      <c r="AH1308" s="2" t="n">
        <v>0</v>
      </c>
      <c r="AI1308" s="2" t="n">
        <v>0</v>
      </c>
      <c r="AJ1308" s="2" t="n">
        <v>0</v>
      </c>
      <c r="AK1308" s="2" t="n">
        <v>7</v>
      </c>
      <c r="AL1308" s="2" t="s">
        <v>1565</v>
      </c>
      <c r="AM1308" s="2" t="s">
        <v>1566</v>
      </c>
      <c r="AN1308" s="2" t="s">
        <v>1567</v>
      </c>
      <c r="AO1308" s="2" t="s">
        <v>6367</v>
      </c>
      <c r="AP1308" s="2" t="s">
        <v>6368</v>
      </c>
      <c r="AQ1308" s="2"/>
      <c r="AR1308" s="2" t="s">
        <v>6369</v>
      </c>
      <c r="AS1308" s="2" t="s">
        <v>6370</v>
      </c>
      <c r="AT1308" s="2" t="s">
        <v>336</v>
      </c>
      <c r="AU1308" s="2" t="n">
        <v>2023</v>
      </c>
      <c r="AV1308" s="2" t="n">
        <v>62</v>
      </c>
      <c r="AW1308" s="2" t="n">
        <v>9</v>
      </c>
      <c r="AX1308" s="2"/>
      <c r="AY1308" s="2"/>
      <c r="AZ1308" s="2"/>
      <c r="BA1308" s="2"/>
      <c r="BB1308" s="2" t="n">
        <v>1032</v>
      </c>
      <c r="BC1308" s="2" t="n">
        <v>1039</v>
      </c>
      <c r="BD1308" s="2"/>
      <c r="BE1308" s="2" t="s">
        <v>22866</v>
      </c>
      <c r="BF1308" s="2" t="str">
        <f aca="false">HYPERLINK("http://dx.doi.org/10.1177/00099228231151401","http://dx.doi.org/10.1177/00099228231151401")</f>
        <v>http://dx.doi.org/10.1177/00099228231151401</v>
      </c>
      <c r="BG1308" s="2"/>
      <c r="BH1308" s="2" t="s">
        <v>1919</v>
      </c>
      <c r="BI1308" s="2" t="n">
        <v>8</v>
      </c>
      <c r="BJ1308" s="2" t="s">
        <v>601</v>
      </c>
      <c r="BK1308" s="2" t="s">
        <v>100</v>
      </c>
      <c r="BL1308" s="2" t="s">
        <v>601</v>
      </c>
      <c r="BM1308" s="2" t="s">
        <v>22867</v>
      </c>
      <c r="BN1308" s="2" t="n">
        <v>36744682</v>
      </c>
      <c r="BO1308" s="2"/>
      <c r="BP1308" s="2"/>
      <c r="BQ1308" s="2"/>
      <c r="BR1308" s="2" t="s">
        <v>104</v>
      </c>
      <c r="BS1308" s="2" t="s">
        <v>22868</v>
      </c>
      <c r="BT1308" s="2" t="str">
        <f aca="false">HYPERLINK("https%3A%2F%2Fwww.webofscience.com%2Fwos%2Fwoscc%2Ffull-record%2FWOS:000926292100001","View Full Record in Web of Science")</f>
        <v>View Full Record in Web of Science</v>
      </c>
    </row>
    <row r="1309" customFormat="false" ht="12.75" hidden="false" customHeight="false" outlineLevel="0" collapsed="false">
      <c r="A1309" s="2" t="s">
        <v>72</v>
      </c>
      <c r="B1309" s="2" t="s">
        <v>22869</v>
      </c>
      <c r="C1309" s="2"/>
      <c r="D1309" s="2"/>
      <c r="E1309" s="2"/>
      <c r="F1309" s="2" t="s">
        <v>22870</v>
      </c>
      <c r="G1309" s="2"/>
      <c r="H1309" s="2"/>
      <c r="I1309" s="2" t="s">
        <v>22871</v>
      </c>
      <c r="J1309" s="2" t="s">
        <v>7060</v>
      </c>
      <c r="K1309" s="2"/>
      <c r="L1309" s="2"/>
      <c r="M1309" s="2" t="s">
        <v>77</v>
      </c>
      <c r="N1309" s="2" t="s">
        <v>78</v>
      </c>
      <c r="O1309" s="2"/>
      <c r="P1309" s="2"/>
      <c r="Q1309" s="2"/>
      <c r="R1309" s="2"/>
      <c r="S1309" s="2"/>
      <c r="T1309" s="2" t="s">
        <v>22872</v>
      </c>
      <c r="U1309" s="2" t="s">
        <v>22873</v>
      </c>
      <c r="V1309" s="2" t="s">
        <v>22874</v>
      </c>
      <c r="W1309" s="2" t="s">
        <v>22875</v>
      </c>
      <c r="X1309" s="2" t="s">
        <v>22876</v>
      </c>
      <c r="Y1309" s="2" t="s">
        <v>22877</v>
      </c>
      <c r="Z1309" s="2" t="s">
        <v>22878</v>
      </c>
      <c r="AA1309" s="2"/>
      <c r="AB1309" s="2"/>
      <c r="AC1309" s="2"/>
      <c r="AD1309" s="2"/>
      <c r="AE1309" s="2"/>
      <c r="AF1309" s="2"/>
      <c r="AG1309" s="2" t="n">
        <v>75</v>
      </c>
      <c r="AH1309" s="2" t="n">
        <v>227</v>
      </c>
      <c r="AI1309" s="2" t="n">
        <v>243</v>
      </c>
      <c r="AJ1309" s="2" t="n">
        <v>0</v>
      </c>
      <c r="AK1309" s="2" t="n">
        <v>21</v>
      </c>
      <c r="AL1309" s="2" t="s">
        <v>7073</v>
      </c>
      <c r="AM1309" s="2" t="s">
        <v>7074</v>
      </c>
      <c r="AN1309" s="2" t="s">
        <v>7075</v>
      </c>
      <c r="AO1309" s="2" t="s">
        <v>7076</v>
      </c>
      <c r="AP1309" s="2" t="s">
        <v>7291</v>
      </c>
      <c r="AQ1309" s="2"/>
      <c r="AR1309" s="2" t="s">
        <v>7060</v>
      </c>
      <c r="AS1309" s="2" t="s">
        <v>601</v>
      </c>
      <c r="AT1309" s="2" t="s">
        <v>1041</v>
      </c>
      <c r="AU1309" s="2" t="n">
        <v>2010</v>
      </c>
      <c r="AV1309" s="2" t="n">
        <v>125</v>
      </c>
      <c r="AW1309" s="2" t="n">
        <v>2</v>
      </c>
      <c r="AX1309" s="2"/>
      <c r="AY1309" s="2"/>
      <c r="AZ1309" s="2"/>
      <c r="BA1309" s="2"/>
      <c r="BB1309" s="2" t="n">
        <v>342</v>
      </c>
      <c r="BC1309" s="2" t="n">
        <v>349</v>
      </c>
      <c r="BD1309" s="2"/>
      <c r="BE1309" s="2" t="s">
        <v>22879</v>
      </c>
      <c r="BF1309" s="2" t="str">
        <f aca="false">HYPERLINK("http://dx.doi.org/10.1542/peds.2009-2092","http://dx.doi.org/10.1542/peds.2009-2092")</f>
        <v>http://dx.doi.org/10.1542/peds.2009-2092</v>
      </c>
      <c r="BG1309" s="2"/>
      <c r="BH1309" s="2"/>
      <c r="BI1309" s="2" t="n">
        <v>8</v>
      </c>
      <c r="BJ1309" s="2" t="s">
        <v>601</v>
      </c>
      <c r="BK1309" s="2" t="s">
        <v>100</v>
      </c>
      <c r="BL1309" s="2" t="s">
        <v>601</v>
      </c>
      <c r="BM1309" s="2" t="s">
        <v>10420</v>
      </c>
      <c r="BN1309" s="2" t="n">
        <v>20100768</v>
      </c>
      <c r="BO1309" s="2"/>
      <c r="BP1309" s="2"/>
      <c r="BQ1309" s="2"/>
      <c r="BR1309" s="2" t="s">
        <v>104</v>
      </c>
      <c r="BS1309" s="2" t="s">
        <v>22880</v>
      </c>
      <c r="BT1309" s="2" t="str">
        <f aca="false">HYPERLINK("https%3A%2F%2Fwww.webofscience.com%2Fwos%2Fwoscc%2Ffull-record%2FWOS:000275942900020","View Full Record in Web of Science")</f>
        <v>View Full Record in Web of Science</v>
      </c>
    </row>
    <row r="1310" customFormat="false" ht="12.75" hidden="false" customHeight="false" outlineLevel="0" collapsed="false">
      <c r="A1310" s="2" t="s">
        <v>72</v>
      </c>
      <c r="B1310" s="2" t="s">
        <v>22881</v>
      </c>
      <c r="C1310" s="2"/>
      <c r="D1310" s="2"/>
      <c r="E1310" s="2"/>
      <c r="F1310" s="2" t="s">
        <v>22881</v>
      </c>
      <c r="G1310" s="2"/>
      <c r="H1310" s="2"/>
      <c r="I1310" s="2" t="s">
        <v>22882</v>
      </c>
      <c r="J1310" s="2" t="s">
        <v>141</v>
      </c>
      <c r="K1310" s="2"/>
      <c r="L1310" s="2"/>
      <c r="M1310" s="2" t="s">
        <v>77</v>
      </c>
      <c r="N1310" s="2" t="s">
        <v>78</v>
      </c>
      <c r="O1310" s="2"/>
      <c r="P1310" s="2"/>
      <c r="Q1310" s="2"/>
      <c r="R1310" s="2"/>
      <c r="S1310" s="2"/>
      <c r="T1310" s="2" t="s">
        <v>22883</v>
      </c>
      <c r="U1310" s="2" t="s">
        <v>22884</v>
      </c>
      <c r="V1310" s="2" t="s">
        <v>22885</v>
      </c>
      <c r="W1310" s="2" t="s">
        <v>22886</v>
      </c>
      <c r="X1310" s="2" t="s">
        <v>22887</v>
      </c>
      <c r="Y1310" s="2" t="s">
        <v>22888</v>
      </c>
      <c r="Z1310" s="2" t="s">
        <v>7386</v>
      </c>
      <c r="AA1310" s="2"/>
      <c r="AB1310" s="2"/>
      <c r="AC1310" s="2"/>
      <c r="AD1310" s="2"/>
      <c r="AE1310" s="2"/>
      <c r="AF1310" s="2"/>
      <c r="AG1310" s="2" t="n">
        <v>35</v>
      </c>
      <c r="AH1310" s="2" t="n">
        <v>50</v>
      </c>
      <c r="AI1310" s="2" t="n">
        <v>50</v>
      </c>
      <c r="AJ1310" s="2" t="n">
        <v>0</v>
      </c>
      <c r="AK1310" s="2" t="n">
        <v>0</v>
      </c>
      <c r="AL1310" s="2" t="s">
        <v>154</v>
      </c>
      <c r="AM1310" s="2" t="s">
        <v>155</v>
      </c>
      <c r="AN1310" s="2" t="s">
        <v>156</v>
      </c>
      <c r="AO1310" s="2" t="s">
        <v>157</v>
      </c>
      <c r="AP1310" s="2" t="s">
        <v>158</v>
      </c>
      <c r="AQ1310" s="2"/>
      <c r="AR1310" s="2" t="s">
        <v>159</v>
      </c>
      <c r="AS1310" s="2" t="s">
        <v>160</v>
      </c>
      <c r="AT1310" s="2" t="s">
        <v>390</v>
      </c>
      <c r="AU1310" s="2" t="n">
        <v>2005</v>
      </c>
      <c r="AV1310" s="2" t="n">
        <v>76</v>
      </c>
      <c r="AW1310" s="2" t="n">
        <v>1</v>
      </c>
      <c r="AX1310" s="2"/>
      <c r="AY1310" s="2"/>
      <c r="AZ1310" s="2"/>
      <c r="BA1310" s="2"/>
      <c r="BB1310" s="2" t="n">
        <v>98</v>
      </c>
      <c r="BC1310" s="2" t="n">
        <v>105</v>
      </c>
      <c r="BD1310" s="2"/>
      <c r="BE1310" s="2" t="s">
        <v>22889</v>
      </c>
      <c r="BF1310" s="2" t="str">
        <f aca="false">HYPERLINK("http://dx.doi.org/10.1002/jmv.20329","http://dx.doi.org/10.1002/jmv.20329")</f>
        <v>http://dx.doi.org/10.1002/jmv.20329</v>
      </c>
      <c r="BG1310" s="2"/>
      <c r="BH1310" s="2"/>
      <c r="BI1310" s="2" t="n">
        <v>8</v>
      </c>
      <c r="BJ1310" s="2" t="s">
        <v>163</v>
      </c>
      <c r="BK1310" s="2" t="s">
        <v>100</v>
      </c>
      <c r="BL1310" s="2" t="s">
        <v>163</v>
      </c>
      <c r="BM1310" s="2" t="s">
        <v>22890</v>
      </c>
      <c r="BN1310" s="2" t="n">
        <v>15778961</v>
      </c>
      <c r="BO1310" s="2"/>
      <c r="BP1310" s="2"/>
      <c r="BQ1310" s="2"/>
      <c r="BR1310" s="2" t="s">
        <v>104</v>
      </c>
      <c r="BS1310" s="2" t="s">
        <v>22891</v>
      </c>
      <c r="BT1310" s="2" t="str">
        <f aca="false">HYPERLINK("https%3A%2F%2Fwww.webofscience.com%2Fwos%2Fwoscc%2Ffull-record%2FWOS:000228049600015","View Full Record in Web of Science")</f>
        <v>View Full Record in Web of Science</v>
      </c>
    </row>
    <row r="1311" customFormat="false" ht="12.75" hidden="false" customHeight="false" outlineLevel="0" collapsed="false">
      <c r="A1311" s="2" t="s">
        <v>72</v>
      </c>
      <c r="B1311" s="2" t="s">
        <v>22892</v>
      </c>
      <c r="C1311" s="2"/>
      <c r="D1311" s="2"/>
      <c r="E1311" s="2"/>
      <c r="F1311" s="2" t="s">
        <v>22893</v>
      </c>
      <c r="G1311" s="2"/>
      <c r="H1311" s="2"/>
      <c r="I1311" s="2" t="s">
        <v>22894</v>
      </c>
      <c r="J1311" s="2" t="s">
        <v>9002</v>
      </c>
      <c r="K1311" s="2"/>
      <c r="L1311" s="2"/>
      <c r="M1311" s="2" t="s">
        <v>77</v>
      </c>
      <c r="N1311" s="2" t="s">
        <v>78</v>
      </c>
      <c r="O1311" s="2"/>
      <c r="P1311" s="2"/>
      <c r="Q1311" s="2"/>
      <c r="R1311" s="2"/>
      <c r="S1311" s="2"/>
      <c r="T1311" s="2" t="s">
        <v>22895</v>
      </c>
      <c r="U1311" s="2" t="s">
        <v>22896</v>
      </c>
      <c r="V1311" s="2" t="s">
        <v>22897</v>
      </c>
      <c r="W1311" s="2" t="s">
        <v>22898</v>
      </c>
      <c r="X1311" s="2" t="s">
        <v>22899</v>
      </c>
      <c r="Y1311" s="2" t="s">
        <v>22900</v>
      </c>
      <c r="Z1311" s="2" t="s">
        <v>22901</v>
      </c>
      <c r="AA1311" s="2"/>
      <c r="AB1311" s="2" t="s">
        <v>22902</v>
      </c>
      <c r="AC1311" s="2"/>
      <c r="AD1311" s="2"/>
      <c r="AE1311" s="2"/>
      <c r="AF1311" s="2"/>
      <c r="AG1311" s="2" t="n">
        <v>37</v>
      </c>
      <c r="AH1311" s="2" t="n">
        <v>3</v>
      </c>
      <c r="AI1311" s="2" t="n">
        <v>3</v>
      </c>
      <c r="AJ1311" s="2" t="n">
        <v>0</v>
      </c>
      <c r="AK1311" s="2" t="n">
        <v>5</v>
      </c>
      <c r="AL1311" s="2" t="s">
        <v>154</v>
      </c>
      <c r="AM1311" s="2" t="s">
        <v>155</v>
      </c>
      <c r="AN1311" s="2" t="s">
        <v>156</v>
      </c>
      <c r="AO1311" s="2" t="s">
        <v>9009</v>
      </c>
      <c r="AP1311" s="2" t="s">
        <v>9010</v>
      </c>
      <c r="AQ1311" s="2"/>
      <c r="AR1311" s="2" t="s">
        <v>9011</v>
      </c>
      <c r="AS1311" s="2" t="s">
        <v>9012</v>
      </c>
      <c r="AT1311" s="2" t="s">
        <v>336</v>
      </c>
      <c r="AU1311" s="2" t="n">
        <v>2020</v>
      </c>
      <c r="AV1311" s="2" t="n">
        <v>25</v>
      </c>
      <c r="AW1311" s="2" t="n">
        <v>10</v>
      </c>
      <c r="AX1311" s="2"/>
      <c r="AY1311" s="2"/>
      <c r="AZ1311" s="2"/>
      <c r="BA1311" s="2"/>
      <c r="BB1311" s="2" t="n">
        <v>1291</v>
      </c>
      <c r="BC1311" s="2" t="n">
        <v>1297</v>
      </c>
      <c r="BD1311" s="2"/>
      <c r="BE1311" s="2" t="s">
        <v>22903</v>
      </c>
      <c r="BF1311" s="2" t="str">
        <f aca="false">HYPERLINK("http://dx.doi.org/10.1111/tmi.13462","http://dx.doi.org/10.1111/tmi.13462")</f>
        <v>http://dx.doi.org/10.1111/tmi.13462</v>
      </c>
      <c r="BG1311" s="2"/>
      <c r="BH1311" s="2" t="s">
        <v>20327</v>
      </c>
      <c r="BI1311" s="2" t="n">
        <v>7</v>
      </c>
      <c r="BJ1311" s="2" t="s">
        <v>9015</v>
      </c>
      <c r="BK1311" s="2" t="s">
        <v>100</v>
      </c>
      <c r="BL1311" s="2" t="s">
        <v>9015</v>
      </c>
      <c r="BM1311" s="2" t="s">
        <v>22904</v>
      </c>
      <c r="BN1311" s="2" t="n">
        <v>32628347</v>
      </c>
      <c r="BO1311" s="2" t="s">
        <v>656</v>
      </c>
      <c r="BP1311" s="2"/>
      <c r="BQ1311" s="2"/>
      <c r="BR1311" s="2" t="s">
        <v>104</v>
      </c>
      <c r="BS1311" s="2" t="s">
        <v>22905</v>
      </c>
      <c r="BT1311" s="2" t="str">
        <f aca="false">HYPERLINK("https%3A%2F%2Fwww.webofscience.com%2Fwos%2Fwoscc%2Ffull-record%2FWOS:000555533200001","View Full Record in Web of Science")</f>
        <v>View Full Record in Web of Science</v>
      </c>
    </row>
    <row r="1312" customFormat="false" ht="12.75" hidden="false" customHeight="false" outlineLevel="0" collapsed="false">
      <c r="A1312" s="2" t="s">
        <v>72</v>
      </c>
      <c r="B1312" s="2" t="s">
        <v>22906</v>
      </c>
      <c r="C1312" s="2"/>
      <c r="D1312" s="2"/>
      <c r="E1312" s="2"/>
      <c r="F1312" s="2" t="s">
        <v>22907</v>
      </c>
      <c r="G1312" s="2"/>
      <c r="H1312" s="2"/>
      <c r="I1312" s="2" t="s">
        <v>22908</v>
      </c>
      <c r="J1312" s="2" t="s">
        <v>770</v>
      </c>
      <c r="K1312" s="2"/>
      <c r="L1312" s="2"/>
      <c r="M1312" s="2" t="s">
        <v>77</v>
      </c>
      <c r="N1312" s="2" t="s">
        <v>78</v>
      </c>
      <c r="O1312" s="2"/>
      <c r="P1312" s="2"/>
      <c r="Q1312" s="2"/>
      <c r="R1312" s="2"/>
      <c r="S1312" s="2"/>
      <c r="T1312" s="2" t="s">
        <v>22909</v>
      </c>
      <c r="U1312" s="2" t="s">
        <v>22910</v>
      </c>
      <c r="V1312" s="2" t="s">
        <v>22911</v>
      </c>
      <c r="W1312" s="2" t="s">
        <v>22912</v>
      </c>
      <c r="X1312" s="2" t="s">
        <v>22913</v>
      </c>
      <c r="Y1312" s="2" t="s">
        <v>22914</v>
      </c>
      <c r="Z1312" s="2" t="s">
        <v>22915</v>
      </c>
      <c r="AA1312" s="2" t="s">
        <v>22916</v>
      </c>
      <c r="AB1312" s="2" t="s">
        <v>22917</v>
      </c>
      <c r="AC1312" s="2" t="s">
        <v>22918</v>
      </c>
      <c r="AD1312" s="2" t="s">
        <v>22919</v>
      </c>
      <c r="AE1312" s="2" t="s">
        <v>22920</v>
      </c>
      <c r="AF1312" s="2"/>
      <c r="AG1312" s="2" t="n">
        <v>39</v>
      </c>
      <c r="AH1312" s="2" t="n">
        <v>3</v>
      </c>
      <c r="AI1312" s="2" t="n">
        <v>4</v>
      </c>
      <c r="AJ1312" s="2" t="n">
        <v>0</v>
      </c>
      <c r="AK1312" s="2" t="n">
        <v>3</v>
      </c>
      <c r="AL1312" s="2" t="s">
        <v>782</v>
      </c>
      <c r="AM1312" s="2" t="s">
        <v>783</v>
      </c>
      <c r="AN1312" s="2" t="s">
        <v>784</v>
      </c>
      <c r="AO1312" s="2" t="s">
        <v>785</v>
      </c>
      <c r="AP1312" s="2" t="s">
        <v>786</v>
      </c>
      <c r="AQ1312" s="2"/>
      <c r="AR1312" s="2" t="s">
        <v>787</v>
      </c>
      <c r="AS1312" s="2" t="s">
        <v>788</v>
      </c>
      <c r="AT1312" s="2" t="s">
        <v>446</v>
      </c>
      <c r="AU1312" s="2" t="n">
        <v>2012</v>
      </c>
      <c r="AV1312" s="2" t="n">
        <v>16</v>
      </c>
      <c r="AW1312" s="2" t="n">
        <v>12</v>
      </c>
      <c r="AX1312" s="2"/>
      <c r="AY1312" s="2"/>
      <c r="AZ1312" s="2"/>
      <c r="BA1312" s="2"/>
      <c r="BB1312" s="2" t="s">
        <v>22921</v>
      </c>
      <c r="BC1312" s="2" t="s">
        <v>22922</v>
      </c>
      <c r="BD1312" s="2"/>
      <c r="BE1312" s="2" t="s">
        <v>22923</v>
      </c>
      <c r="BF1312" s="2" t="str">
        <f aca="false">HYPERLINK("http://dx.doi.org/10.1016/j.ijid.2012.07.016","http://dx.doi.org/10.1016/j.ijid.2012.07.016")</f>
        <v>http://dx.doi.org/10.1016/j.ijid.2012.07.016</v>
      </c>
      <c r="BG1312" s="2"/>
      <c r="BH1312" s="2"/>
      <c r="BI1312" s="2" t="n">
        <v>6</v>
      </c>
      <c r="BJ1312" s="2" t="s">
        <v>575</v>
      </c>
      <c r="BK1312" s="2" t="s">
        <v>100</v>
      </c>
      <c r="BL1312" s="2" t="s">
        <v>575</v>
      </c>
      <c r="BM1312" s="2" t="s">
        <v>22924</v>
      </c>
      <c r="BN1312" s="2" t="n">
        <v>22938872</v>
      </c>
      <c r="BO1312" s="2" t="s">
        <v>3567</v>
      </c>
      <c r="BP1312" s="2"/>
      <c r="BQ1312" s="2"/>
      <c r="BR1312" s="2" t="s">
        <v>104</v>
      </c>
      <c r="BS1312" s="2" t="s">
        <v>22925</v>
      </c>
      <c r="BT1312" s="2" t="str">
        <f aca="false">HYPERLINK("https%3A%2F%2Fwww.webofscience.com%2Fwos%2Fwoscc%2Ffull-record%2FWOS:000311223700007","View Full Record in Web of Science")</f>
        <v>View Full Record in Web of Science</v>
      </c>
    </row>
    <row r="1313" customFormat="false" ht="12.75" hidden="false" customHeight="false" outlineLevel="0" collapsed="false">
      <c r="A1313" s="2" t="s">
        <v>72</v>
      </c>
      <c r="B1313" s="2" t="s">
        <v>22926</v>
      </c>
      <c r="C1313" s="2"/>
      <c r="D1313" s="2"/>
      <c r="E1313" s="2"/>
      <c r="F1313" s="2" t="s">
        <v>22927</v>
      </c>
      <c r="G1313" s="2"/>
      <c r="H1313" s="2"/>
      <c r="I1313" s="2" t="s">
        <v>22928</v>
      </c>
      <c r="J1313" s="2" t="s">
        <v>3657</v>
      </c>
      <c r="K1313" s="2"/>
      <c r="L1313" s="2"/>
      <c r="M1313" s="2" t="s">
        <v>77</v>
      </c>
      <c r="N1313" s="2" t="s">
        <v>78</v>
      </c>
      <c r="O1313" s="2"/>
      <c r="P1313" s="2"/>
      <c r="Q1313" s="2"/>
      <c r="R1313" s="2"/>
      <c r="S1313" s="2"/>
      <c r="T1313" s="2" t="s">
        <v>22929</v>
      </c>
      <c r="U1313" s="2" t="s">
        <v>22930</v>
      </c>
      <c r="V1313" s="2" t="s">
        <v>22931</v>
      </c>
      <c r="W1313" s="2" t="s">
        <v>22932</v>
      </c>
      <c r="X1313" s="2" t="s">
        <v>22933</v>
      </c>
      <c r="Y1313" s="2" t="s">
        <v>22934</v>
      </c>
      <c r="Z1313" s="2"/>
      <c r="AA1313" s="2" t="s">
        <v>22935</v>
      </c>
      <c r="AB1313" s="2" t="s">
        <v>22936</v>
      </c>
      <c r="AC1313" s="2"/>
      <c r="AD1313" s="2"/>
      <c r="AE1313" s="2"/>
      <c r="AF1313" s="2"/>
      <c r="AG1313" s="2" t="n">
        <v>38</v>
      </c>
      <c r="AH1313" s="2" t="n">
        <v>41</v>
      </c>
      <c r="AI1313" s="2" t="n">
        <v>44</v>
      </c>
      <c r="AJ1313" s="2" t="n">
        <v>0</v>
      </c>
      <c r="AK1313" s="2" t="n">
        <v>5</v>
      </c>
      <c r="AL1313" s="2" t="s">
        <v>3667</v>
      </c>
      <c r="AM1313" s="2" t="s">
        <v>3668</v>
      </c>
      <c r="AN1313" s="2" t="s">
        <v>3669</v>
      </c>
      <c r="AO1313" s="2" t="s">
        <v>3670</v>
      </c>
      <c r="AP1313" s="2"/>
      <c r="AQ1313" s="2"/>
      <c r="AR1313" s="2" t="s">
        <v>3671</v>
      </c>
      <c r="AS1313" s="2" t="s">
        <v>3672</v>
      </c>
      <c r="AT1313" s="2" t="s">
        <v>252</v>
      </c>
      <c r="AU1313" s="2" t="n">
        <v>2011</v>
      </c>
      <c r="AV1313" s="2" t="n">
        <v>53</v>
      </c>
      <c r="AW1313" s="2" t="n">
        <v>5</v>
      </c>
      <c r="AX1313" s="2"/>
      <c r="AY1313" s="2"/>
      <c r="AZ1313" s="2"/>
      <c r="BA1313" s="2"/>
      <c r="BB1313" s="2" t="n">
        <v>508</v>
      </c>
      <c r="BC1313" s="2" t="n">
        <v>516</v>
      </c>
      <c r="BD1313" s="2"/>
      <c r="BE1313" s="2"/>
      <c r="BF1313" s="2"/>
      <c r="BG1313" s="2"/>
      <c r="BH1313" s="2"/>
      <c r="BI1313" s="2" t="n">
        <v>9</v>
      </c>
      <c r="BJ1313" s="2" t="s">
        <v>601</v>
      </c>
      <c r="BK1313" s="2" t="s">
        <v>100</v>
      </c>
      <c r="BL1313" s="2" t="s">
        <v>601</v>
      </c>
      <c r="BM1313" s="2" t="s">
        <v>22937</v>
      </c>
      <c r="BN1313" s="2" t="n">
        <v>22272450</v>
      </c>
      <c r="BO1313" s="2"/>
      <c r="BP1313" s="2"/>
      <c r="BQ1313" s="2"/>
      <c r="BR1313" s="2" t="s">
        <v>104</v>
      </c>
      <c r="BS1313" s="2" t="s">
        <v>22938</v>
      </c>
      <c r="BT1313" s="2" t="str">
        <f aca="false">HYPERLINK("https%3A%2F%2Fwww.webofscience.com%2Fwos%2Fwoscc%2Ffull-record%2FWOS:000299459800004","View Full Record in Web of Science")</f>
        <v>View Full Record in Web of Science</v>
      </c>
    </row>
    <row r="1314" customFormat="false" ht="12.75" hidden="false" customHeight="false" outlineLevel="0" collapsed="false">
      <c r="A1314" s="2" t="s">
        <v>72</v>
      </c>
      <c r="B1314" s="2" t="s">
        <v>22939</v>
      </c>
      <c r="C1314" s="2"/>
      <c r="D1314" s="2"/>
      <c r="E1314" s="2"/>
      <c r="F1314" s="2" t="s">
        <v>22939</v>
      </c>
      <c r="G1314" s="2"/>
      <c r="H1314" s="2"/>
      <c r="I1314" s="2" t="s">
        <v>22940</v>
      </c>
      <c r="J1314" s="2" t="s">
        <v>13891</v>
      </c>
      <c r="K1314" s="2"/>
      <c r="L1314" s="2"/>
      <c r="M1314" s="2" t="s">
        <v>77</v>
      </c>
      <c r="N1314" s="2" t="s">
        <v>78</v>
      </c>
      <c r="O1314" s="2"/>
      <c r="P1314" s="2"/>
      <c r="Q1314" s="2"/>
      <c r="R1314" s="2"/>
      <c r="S1314" s="2"/>
      <c r="T1314" s="2" t="s">
        <v>22941</v>
      </c>
      <c r="U1314" s="2" t="s">
        <v>22942</v>
      </c>
      <c r="V1314" s="2" t="s">
        <v>22943</v>
      </c>
      <c r="W1314" s="2" t="s">
        <v>22944</v>
      </c>
      <c r="X1314" s="2" t="s">
        <v>22945</v>
      </c>
      <c r="Y1314" s="2" t="s">
        <v>22946</v>
      </c>
      <c r="Z1314" s="2" t="s">
        <v>22947</v>
      </c>
      <c r="AA1314" s="2" t="s">
        <v>117</v>
      </c>
      <c r="AB1314" s="2"/>
      <c r="AC1314" s="2"/>
      <c r="AD1314" s="2"/>
      <c r="AE1314" s="2"/>
      <c r="AF1314" s="2"/>
      <c r="AG1314" s="2" t="n">
        <v>20</v>
      </c>
      <c r="AH1314" s="2" t="n">
        <v>11</v>
      </c>
      <c r="AI1314" s="2" t="n">
        <v>12</v>
      </c>
      <c r="AJ1314" s="2" t="n">
        <v>0</v>
      </c>
      <c r="AK1314" s="2" t="n">
        <v>0</v>
      </c>
      <c r="AL1314" s="2" t="s">
        <v>22948</v>
      </c>
      <c r="AM1314" s="2" t="s">
        <v>22949</v>
      </c>
      <c r="AN1314" s="2" t="s">
        <v>22950</v>
      </c>
      <c r="AO1314" s="2" t="s">
        <v>13900</v>
      </c>
      <c r="AP1314" s="2"/>
      <c r="AQ1314" s="2"/>
      <c r="AR1314" s="2" t="s">
        <v>13902</v>
      </c>
      <c r="AS1314" s="2" t="s">
        <v>13903</v>
      </c>
      <c r="AT1314" s="2" t="s">
        <v>252</v>
      </c>
      <c r="AU1314" s="2" t="n">
        <v>2004</v>
      </c>
      <c r="AV1314" s="2" t="n">
        <v>40</v>
      </c>
      <c r="AW1314" s="2" t="s">
        <v>22951</v>
      </c>
      <c r="AX1314" s="2"/>
      <c r="AY1314" s="2"/>
      <c r="AZ1314" s="2"/>
      <c r="BA1314" s="2"/>
      <c r="BB1314" s="2" t="n">
        <v>549</v>
      </c>
      <c r="BC1314" s="2" t="n">
        <v>551</v>
      </c>
      <c r="BD1314" s="2"/>
      <c r="BE1314" s="2" t="s">
        <v>22952</v>
      </c>
      <c r="BF1314" s="2" t="str">
        <f aca="false">HYPERLINK("http://dx.doi.org/10.1111/j.1440-1754.2004.00461.x","http://dx.doi.org/10.1111/j.1440-1754.2004.00461.x")</f>
        <v>http://dx.doi.org/10.1111/j.1440-1754.2004.00461.x</v>
      </c>
      <c r="BG1314" s="2"/>
      <c r="BH1314" s="2"/>
      <c r="BI1314" s="2" t="n">
        <v>3</v>
      </c>
      <c r="BJ1314" s="2" t="s">
        <v>601</v>
      </c>
      <c r="BK1314" s="2" t="s">
        <v>100</v>
      </c>
      <c r="BL1314" s="2" t="s">
        <v>601</v>
      </c>
      <c r="BM1314" s="2" t="s">
        <v>22953</v>
      </c>
      <c r="BN1314" s="2" t="n">
        <v>15367150</v>
      </c>
      <c r="BO1314" s="2"/>
      <c r="BP1314" s="2"/>
      <c r="BQ1314" s="2"/>
      <c r="BR1314" s="2" t="s">
        <v>104</v>
      </c>
      <c r="BS1314" s="2" t="s">
        <v>22954</v>
      </c>
      <c r="BT1314" s="2" t="str">
        <f aca="false">HYPERLINK("https%3A%2F%2Fwww.webofscience.com%2Fwos%2Fwoscc%2Ffull-record%2FWOS:000223748100013","View Full Record in Web of Science")</f>
        <v>View Full Record in Web of Science</v>
      </c>
    </row>
    <row r="1315" customFormat="false" ht="12.75" hidden="false" customHeight="false" outlineLevel="0" collapsed="false">
      <c r="A1315" s="2" t="s">
        <v>72</v>
      </c>
      <c r="B1315" s="2" t="s">
        <v>22955</v>
      </c>
      <c r="C1315" s="2"/>
      <c r="D1315" s="2"/>
      <c r="E1315" s="2"/>
      <c r="F1315" s="2" t="s">
        <v>22956</v>
      </c>
      <c r="G1315" s="2"/>
      <c r="H1315" s="2"/>
      <c r="I1315" s="2" t="s">
        <v>22957</v>
      </c>
      <c r="J1315" s="2" t="s">
        <v>232</v>
      </c>
      <c r="K1315" s="2"/>
      <c r="L1315" s="2"/>
      <c r="M1315" s="2" t="s">
        <v>77</v>
      </c>
      <c r="N1315" s="2" t="s">
        <v>78</v>
      </c>
      <c r="O1315" s="2"/>
      <c r="P1315" s="2"/>
      <c r="Q1315" s="2"/>
      <c r="R1315" s="2"/>
      <c r="S1315" s="2"/>
      <c r="T1315" s="2" t="s">
        <v>22958</v>
      </c>
      <c r="U1315" s="2" t="s">
        <v>22959</v>
      </c>
      <c r="V1315" s="2" t="s">
        <v>22960</v>
      </c>
      <c r="W1315" s="2" t="s">
        <v>22961</v>
      </c>
      <c r="X1315" s="2"/>
      <c r="Y1315" s="2" t="s">
        <v>22962</v>
      </c>
      <c r="Z1315" s="2" t="s">
        <v>22963</v>
      </c>
      <c r="AA1315" s="2" t="s">
        <v>22964</v>
      </c>
      <c r="AB1315" s="2"/>
      <c r="AC1315" s="2"/>
      <c r="AD1315" s="2"/>
      <c r="AE1315" s="2"/>
      <c r="AF1315" s="2"/>
      <c r="AG1315" s="2" t="n">
        <v>27</v>
      </c>
      <c r="AH1315" s="2" t="n">
        <v>8</v>
      </c>
      <c r="AI1315" s="2" t="n">
        <v>8</v>
      </c>
      <c r="AJ1315" s="2" t="n">
        <v>0</v>
      </c>
      <c r="AK1315" s="2" t="n">
        <v>5</v>
      </c>
      <c r="AL1315" s="2" t="s">
        <v>22965</v>
      </c>
      <c r="AM1315" s="2" t="s">
        <v>246</v>
      </c>
      <c r="AN1315" s="2" t="s">
        <v>22966</v>
      </c>
      <c r="AO1315" s="2" t="s">
        <v>248</v>
      </c>
      <c r="AP1315" s="2" t="s">
        <v>249</v>
      </c>
      <c r="AQ1315" s="2"/>
      <c r="AR1315" s="2" t="s">
        <v>250</v>
      </c>
      <c r="AS1315" s="2" t="s">
        <v>251</v>
      </c>
      <c r="AT1315" s="2" t="s">
        <v>925</v>
      </c>
      <c r="AU1315" s="2" t="n">
        <v>2011</v>
      </c>
      <c r="AV1315" s="2" t="n">
        <v>39</v>
      </c>
      <c r="AW1315" s="2" t="n">
        <v>1</v>
      </c>
      <c r="AX1315" s="2"/>
      <c r="AY1315" s="2"/>
      <c r="AZ1315" s="2"/>
      <c r="BA1315" s="2"/>
      <c r="BB1315" s="2" t="n">
        <v>3</v>
      </c>
      <c r="BC1315" s="2" t="n">
        <v>9</v>
      </c>
      <c r="BD1315" s="2"/>
      <c r="BE1315" s="2" t="s">
        <v>22967</v>
      </c>
      <c r="BF1315" s="2" t="str">
        <f aca="false">HYPERLINK("http://dx.doi.org/10.1016/j.aller.2010.03.008","http://dx.doi.org/10.1016/j.aller.2010.03.008")</f>
        <v>http://dx.doi.org/10.1016/j.aller.2010.03.008</v>
      </c>
      <c r="BG1315" s="2"/>
      <c r="BH1315" s="2"/>
      <c r="BI1315" s="2" t="n">
        <v>7</v>
      </c>
      <c r="BJ1315" s="2" t="s">
        <v>254</v>
      </c>
      <c r="BK1315" s="2" t="s">
        <v>100</v>
      </c>
      <c r="BL1315" s="2" t="s">
        <v>254</v>
      </c>
      <c r="BM1315" s="2" t="s">
        <v>22968</v>
      </c>
      <c r="BN1315" s="2" t="n">
        <v>20685025</v>
      </c>
      <c r="BO1315" s="2"/>
      <c r="BP1315" s="2"/>
      <c r="BQ1315" s="2"/>
      <c r="BR1315" s="2" t="s">
        <v>104</v>
      </c>
      <c r="BS1315" s="2" t="s">
        <v>22969</v>
      </c>
      <c r="BT1315" s="2" t="str">
        <f aca="false">HYPERLINK("https%3A%2F%2Fwww.webofscience.com%2Fwos%2Fwoscc%2Ffull-record%2FWOS:000287296100002","View Full Record in Web of Science")</f>
        <v>View Full Record in Web of Science</v>
      </c>
    </row>
    <row r="1316" customFormat="false" ht="12.75" hidden="false" customHeight="false" outlineLevel="0" collapsed="false">
      <c r="A1316" s="2" t="s">
        <v>72</v>
      </c>
      <c r="B1316" s="2" t="s">
        <v>22970</v>
      </c>
      <c r="C1316" s="2"/>
      <c r="D1316" s="2"/>
      <c r="E1316" s="2"/>
      <c r="F1316" s="2" t="s">
        <v>22971</v>
      </c>
      <c r="G1316" s="2"/>
      <c r="H1316" s="2"/>
      <c r="I1316" s="2" t="s">
        <v>22972</v>
      </c>
      <c r="J1316" s="2" t="s">
        <v>141</v>
      </c>
      <c r="K1316" s="2"/>
      <c r="L1316" s="2"/>
      <c r="M1316" s="2" t="s">
        <v>77</v>
      </c>
      <c r="N1316" s="2" t="s">
        <v>78</v>
      </c>
      <c r="O1316" s="2"/>
      <c r="P1316" s="2"/>
      <c r="Q1316" s="2"/>
      <c r="R1316" s="2"/>
      <c r="S1316" s="2"/>
      <c r="T1316" s="2" t="s">
        <v>22973</v>
      </c>
      <c r="U1316" s="2" t="s">
        <v>22974</v>
      </c>
      <c r="V1316" s="2" t="s">
        <v>22975</v>
      </c>
      <c r="W1316" s="2" t="s">
        <v>22976</v>
      </c>
      <c r="X1316" s="2" t="s">
        <v>22977</v>
      </c>
      <c r="Y1316" s="2" t="s">
        <v>22978</v>
      </c>
      <c r="Z1316" s="2" t="s">
        <v>7658</v>
      </c>
      <c r="AA1316" s="2" t="s">
        <v>22979</v>
      </c>
      <c r="AB1316" s="2" t="s">
        <v>22980</v>
      </c>
      <c r="AC1316" s="2" t="s">
        <v>22981</v>
      </c>
      <c r="AD1316" s="2" t="s">
        <v>22982</v>
      </c>
      <c r="AE1316" s="2" t="s">
        <v>22983</v>
      </c>
      <c r="AF1316" s="2"/>
      <c r="AG1316" s="2" t="n">
        <v>31</v>
      </c>
      <c r="AH1316" s="2" t="n">
        <v>58</v>
      </c>
      <c r="AI1316" s="2" t="n">
        <v>64</v>
      </c>
      <c r="AJ1316" s="2" t="n">
        <v>0</v>
      </c>
      <c r="AK1316" s="2" t="n">
        <v>5</v>
      </c>
      <c r="AL1316" s="2" t="s">
        <v>154</v>
      </c>
      <c r="AM1316" s="2" t="s">
        <v>155</v>
      </c>
      <c r="AN1316" s="2" t="s">
        <v>156</v>
      </c>
      <c r="AO1316" s="2" t="s">
        <v>157</v>
      </c>
      <c r="AP1316" s="2" t="s">
        <v>158</v>
      </c>
      <c r="AQ1316" s="2"/>
      <c r="AR1316" s="2" t="s">
        <v>159</v>
      </c>
      <c r="AS1316" s="2" t="s">
        <v>160</v>
      </c>
      <c r="AT1316" s="2" t="s">
        <v>486</v>
      </c>
      <c r="AU1316" s="2" t="n">
        <v>2012</v>
      </c>
      <c r="AV1316" s="2" t="n">
        <v>84</v>
      </c>
      <c r="AW1316" s="2" t="n">
        <v>6</v>
      </c>
      <c r="AX1316" s="2"/>
      <c r="AY1316" s="2"/>
      <c r="AZ1316" s="2"/>
      <c r="BA1316" s="2"/>
      <c r="BB1316" s="2" t="n">
        <v>979</v>
      </c>
      <c r="BC1316" s="2" t="n">
        <v>985</v>
      </c>
      <c r="BD1316" s="2"/>
      <c r="BE1316" s="2" t="s">
        <v>22984</v>
      </c>
      <c r="BF1316" s="2" t="str">
        <f aca="false">HYPERLINK("http://dx.doi.org/10.1002/jmv.23272","http://dx.doi.org/10.1002/jmv.23272")</f>
        <v>http://dx.doi.org/10.1002/jmv.23272</v>
      </c>
      <c r="BG1316" s="2"/>
      <c r="BH1316" s="2"/>
      <c r="BI1316" s="2" t="n">
        <v>7</v>
      </c>
      <c r="BJ1316" s="2" t="s">
        <v>163</v>
      </c>
      <c r="BK1316" s="2" t="s">
        <v>100</v>
      </c>
      <c r="BL1316" s="2" t="s">
        <v>163</v>
      </c>
      <c r="BM1316" s="2" t="s">
        <v>22985</v>
      </c>
      <c r="BN1316" s="2" t="n">
        <v>22499022</v>
      </c>
      <c r="BO1316" s="2" t="s">
        <v>1267</v>
      </c>
      <c r="BP1316" s="2"/>
      <c r="BQ1316" s="2"/>
      <c r="BR1316" s="2" t="s">
        <v>104</v>
      </c>
      <c r="BS1316" s="2" t="s">
        <v>22986</v>
      </c>
      <c r="BT1316" s="2" t="str">
        <f aca="false">HYPERLINK("https%3A%2F%2Fwww.webofscience.com%2Fwos%2Fwoscc%2Ffull-record%2FWOS:000302723100018","View Full Record in Web of Science")</f>
        <v>View Full Record in Web of Science</v>
      </c>
    </row>
    <row r="1317" customFormat="false" ht="12.75" hidden="false" customHeight="false" outlineLevel="0" collapsed="false">
      <c r="A1317" s="2" t="s">
        <v>72</v>
      </c>
      <c r="B1317" s="2" t="s">
        <v>22987</v>
      </c>
      <c r="C1317" s="2"/>
      <c r="D1317" s="2"/>
      <c r="E1317" s="2"/>
      <c r="F1317" s="2" t="s">
        <v>22988</v>
      </c>
      <c r="G1317" s="2"/>
      <c r="H1317" s="2"/>
      <c r="I1317" s="2" t="s">
        <v>22989</v>
      </c>
      <c r="J1317" s="2" t="s">
        <v>1290</v>
      </c>
      <c r="K1317" s="2"/>
      <c r="L1317" s="2"/>
      <c r="M1317" s="2" t="s">
        <v>77</v>
      </c>
      <c r="N1317" s="2" t="s">
        <v>78</v>
      </c>
      <c r="O1317" s="2"/>
      <c r="P1317" s="2"/>
      <c r="Q1317" s="2"/>
      <c r="R1317" s="2"/>
      <c r="S1317" s="2"/>
      <c r="T1317" s="2" t="s">
        <v>22990</v>
      </c>
      <c r="U1317" s="2" t="s">
        <v>22991</v>
      </c>
      <c r="V1317" s="2" t="s">
        <v>22992</v>
      </c>
      <c r="W1317" s="2" t="s">
        <v>22993</v>
      </c>
      <c r="X1317" s="2" t="s">
        <v>22994</v>
      </c>
      <c r="Y1317" s="2" t="s">
        <v>22995</v>
      </c>
      <c r="Z1317" s="2" t="s">
        <v>22996</v>
      </c>
      <c r="AA1317" s="2"/>
      <c r="AB1317" s="2" t="s">
        <v>22997</v>
      </c>
      <c r="AC1317" s="2" t="s">
        <v>22998</v>
      </c>
      <c r="AD1317" s="2" t="s">
        <v>7156</v>
      </c>
      <c r="AE1317" s="2"/>
      <c r="AF1317" s="2"/>
      <c r="AG1317" s="2" t="n">
        <v>13</v>
      </c>
      <c r="AH1317" s="2" t="n">
        <v>27</v>
      </c>
      <c r="AI1317" s="2" t="n">
        <v>31</v>
      </c>
      <c r="AJ1317" s="2" t="n">
        <v>0</v>
      </c>
      <c r="AK1317" s="2" t="n">
        <v>1</v>
      </c>
      <c r="AL1317" s="2" t="s">
        <v>154</v>
      </c>
      <c r="AM1317" s="2" t="s">
        <v>155</v>
      </c>
      <c r="AN1317" s="2" t="s">
        <v>156</v>
      </c>
      <c r="AO1317" s="2" t="s">
        <v>1302</v>
      </c>
      <c r="AP1317" s="2" t="s">
        <v>1303</v>
      </c>
      <c r="AQ1317" s="2"/>
      <c r="AR1317" s="2" t="s">
        <v>1304</v>
      </c>
      <c r="AS1317" s="2" t="s">
        <v>1305</v>
      </c>
      <c r="AT1317" s="2" t="s">
        <v>185</v>
      </c>
      <c r="AU1317" s="2" t="n">
        <v>2007</v>
      </c>
      <c r="AV1317" s="2" t="n">
        <v>42</v>
      </c>
      <c r="AW1317" s="2" t="n">
        <v>8</v>
      </c>
      <c r="AX1317" s="2"/>
      <c r="AY1317" s="2"/>
      <c r="AZ1317" s="2"/>
      <c r="BA1317" s="2"/>
      <c r="BB1317" s="2" t="n">
        <v>740</v>
      </c>
      <c r="BC1317" s="2" t="n">
        <v>743</v>
      </c>
      <c r="BD1317" s="2"/>
      <c r="BE1317" s="2" t="s">
        <v>22999</v>
      </c>
      <c r="BF1317" s="2" t="str">
        <f aca="false">HYPERLINK("http://dx.doi.org/10.1002/ppul.20649","http://dx.doi.org/10.1002/ppul.20649")</f>
        <v>http://dx.doi.org/10.1002/ppul.20649</v>
      </c>
      <c r="BG1317" s="2"/>
      <c r="BH1317" s="2"/>
      <c r="BI1317" s="2" t="n">
        <v>4</v>
      </c>
      <c r="BJ1317" s="2" t="s">
        <v>1307</v>
      </c>
      <c r="BK1317" s="2" t="s">
        <v>100</v>
      </c>
      <c r="BL1317" s="2" t="s">
        <v>1307</v>
      </c>
      <c r="BM1317" s="2" t="s">
        <v>23000</v>
      </c>
      <c r="BN1317" s="2" t="n">
        <v>17588245</v>
      </c>
      <c r="BO1317" s="2" t="s">
        <v>656</v>
      </c>
      <c r="BP1317" s="2"/>
      <c r="BQ1317" s="2"/>
      <c r="BR1317" s="2" t="s">
        <v>104</v>
      </c>
      <c r="BS1317" s="2" t="s">
        <v>23001</v>
      </c>
      <c r="BT1317" s="2" t="str">
        <f aca="false">HYPERLINK("https%3A%2F%2Fwww.webofscience.com%2Fwos%2Fwoscc%2Ffull-record%2FWOS:000248713200012","View Full Record in Web of Science")</f>
        <v>View Full Record in Web of Science</v>
      </c>
    </row>
    <row r="1318" customFormat="false" ht="12.75" hidden="false" customHeight="false" outlineLevel="0" collapsed="false">
      <c r="A1318" s="2" t="s">
        <v>72</v>
      </c>
      <c r="B1318" s="2" t="s">
        <v>23002</v>
      </c>
      <c r="C1318" s="2"/>
      <c r="D1318" s="2"/>
      <c r="E1318" s="2"/>
      <c r="F1318" s="2" t="s">
        <v>23003</v>
      </c>
      <c r="G1318" s="2"/>
      <c r="H1318" s="2"/>
      <c r="I1318" s="2" t="s">
        <v>23004</v>
      </c>
      <c r="J1318" s="2" t="s">
        <v>23005</v>
      </c>
      <c r="K1318" s="2"/>
      <c r="L1318" s="2"/>
      <c r="M1318" s="2" t="s">
        <v>77</v>
      </c>
      <c r="N1318" s="2" t="s">
        <v>78</v>
      </c>
      <c r="O1318" s="2"/>
      <c r="P1318" s="2"/>
      <c r="Q1318" s="2"/>
      <c r="R1318" s="2"/>
      <c r="S1318" s="2"/>
      <c r="T1318" s="2" t="s">
        <v>23006</v>
      </c>
      <c r="U1318" s="2" t="s">
        <v>23007</v>
      </c>
      <c r="V1318" s="2" t="s">
        <v>23008</v>
      </c>
      <c r="W1318" s="2" t="s">
        <v>23009</v>
      </c>
      <c r="X1318" s="2" t="s">
        <v>23010</v>
      </c>
      <c r="Y1318" s="2" t="s">
        <v>23011</v>
      </c>
      <c r="Z1318" s="2" t="s">
        <v>23012</v>
      </c>
      <c r="AA1318" s="2" t="s">
        <v>23013</v>
      </c>
      <c r="AB1318" s="2" t="s">
        <v>23014</v>
      </c>
      <c r="AC1318" s="2"/>
      <c r="AD1318" s="2"/>
      <c r="AE1318" s="2"/>
      <c r="AF1318" s="2"/>
      <c r="AG1318" s="2" t="n">
        <v>15</v>
      </c>
      <c r="AH1318" s="2" t="n">
        <v>0</v>
      </c>
      <c r="AI1318" s="2" t="n">
        <v>0</v>
      </c>
      <c r="AJ1318" s="2" t="n">
        <v>0</v>
      </c>
      <c r="AK1318" s="2" t="n">
        <v>0</v>
      </c>
      <c r="AL1318" s="2" t="s">
        <v>23015</v>
      </c>
      <c r="AM1318" s="2" t="s">
        <v>3690</v>
      </c>
      <c r="AN1318" s="2" t="s">
        <v>23016</v>
      </c>
      <c r="AO1318" s="2" t="s">
        <v>23017</v>
      </c>
      <c r="AP1318" s="2" t="s">
        <v>23018</v>
      </c>
      <c r="AQ1318" s="2"/>
      <c r="AR1318" s="2" t="s">
        <v>23019</v>
      </c>
      <c r="AS1318" s="2" t="s">
        <v>23020</v>
      </c>
      <c r="AT1318" s="2" t="s">
        <v>390</v>
      </c>
      <c r="AU1318" s="2" t="n">
        <v>2019</v>
      </c>
      <c r="AV1318" s="2" t="n">
        <v>20</v>
      </c>
      <c r="AW1318" s="2" t="n">
        <v>3</v>
      </c>
      <c r="AX1318" s="2"/>
      <c r="AY1318" s="2"/>
      <c r="AZ1318" s="2"/>
      <c r="BA1318" s="2"/>
      <c r="BB1318" s="2" t="n">
        <v>261</v>
      </c>
      <c r="BC1318" s="2" t="n">
        <v>263</v>
      </c>
      <c r="BD1318" s="2"/>
      <c r="BE1318" s="2" t="s">
        <v>23021</v>
      </c>
      <c r="BF1318" s="2" t="str">
        <f aca="false">HYPERLINK("http://dx.doi.org/10.4274/imj.galenos.2018.81488","http://dx.doi.org/10.4274/imj.galenos.2018.81488")</f>
        <v>http://dx.doi.org/10.4274/imj.galenos.2018.81488</v>
      </c>
      <c r="BG1318" s="2"/>
      <c r="BH1318" s="2"/>
      <c r="BI1318" s="2" t="n">
        <v>3</v>
      </c>
      <c r="BJ1318" s="2" t="s">
        <v>363</v>
      </c>
      <c r="BK1318" s="2" t="s">
        <v>339</v>
      </c>
      <c r="BL1318" s="2" t="s">
        <v>364</v>
      </c>
      <c r="BM1318" s="2" t="s">
        <v>23022</v>
      </c>
      <c r="BN1318" s="2"/>
      <c r="BO1318" s="2" t="s">
        <v>1355</v>
      </c>
      <c r="BP1318" s="2"/>
      <c r="BQ1318" s="2"/>
      <c r="BR1318" s="2" t="s">
        <v>104</v>
      </c>
      <c r="BS1318" s="2" t="s">
        <v>23023</v>
      </c>
      <c r="BT1318" s="2" t="str">
        <f aca="false">HYPERLINK("https%3A%2F%2Fwww.webofscience.com%2Fwos%2Fwoscc%2Ffull-record%2FWOS:000499971500017","View Full Record in Web of Science")</f>
        <v>View Full Record in Web of Science</v>
      </c>
    </row>
    <row r="1319" customFormat="false" ht="12.75" hidden="false" customHeight="false" outlineLevel="0" collapsed="false">
      <c r="A1319" s="2" t="s">
        <v>72</v>
      </c>
      <c r="B1319" s="2" t="s">
        <v>23024</v>
      </c>
      <c r="C1319" s="2"/>
      <c r="D1319" s="2"/>
      <c r="E1319" s="2"/>
      <c r="F1319" s="2" t="s">
        <v>23025</v>
      </c>
      <c r="G1319" s="2"/>
      <c r="H1319" s="2"/>
      <c r="I1319" s="2" t="s">
        <v>23026</v>
      </c>
      <c r="J1319" s="2" t="s">
        <v>23027</v>
      </c>
      <c r="K1319" s="2"/>
      <c r="L1319" s="2"/>
      <c r="M1319" s="2" t="s">
        <v>77</v>
      </c>
      <c r="N1319" s="2" t="s">
        <v>78</v>
      </c>
      <c r="O1319" s="2"/>
      <c r="P1319" s="2"/>
      <c r="Q1319" s="2"/>
      <c r="R1319" s="2"/>
      <c r="S1319" s="2"/>
      <c r="T1319" s="2" t="s">
        <v>23028</v>
      </c>
      <c r="U1319" s="2" t="s">
        <v>23029</v>
      </c>
      <c r="V1319" s="2" t="s">
        <v>23030</v>
      </c>
      <c r="W1319" s="2" t="s">
        <v>23031</v>
      </c>
      <c r="X1319" s="2" t="s">
        <v>23032</v>
      </c>
      <c r="Y1319" s="2" t="s">
        <v>23033</v>
      </c>
      <c r="Z1319" s="2" t="s">
        <v>23034</v>
      </c>
      <c r="AA1319" s="2" t="s">
        <v>23035</v>
      </c>
      <c r="AB1319" s="2" t="s">
        <v>23036</v>
      </c>
      <c r="AC1319" s="2" t="s">
        <v>23037</v>
      </c>
      <c r="AD1319" s="2" t="s">
        <v>23038</v>
      </c>
      <c r="AE1319" s="2" t="s">
        <v>23039</v>
      </c>
      <c r="AF1319" s="2"/>
      <c r="AG1319" s="2" t="n">
        <v>40</v>
      </c>
      <c r="AH1319" s="2" t="n">
        <v>4</v>
      </c>
      <c r="AI1319" s="2" t="n">
        <v>4</v>
      </c>
      <c r="AJ1319" s="2" t="n">
        <v>0</v>
      </c>
      <c r="AK1319" s="2" t="n">
        <v>0</v>
      </c>
      <c r="AL1319" s="2" t="s">
        <v>9887</v>
      </c>
      <c r="AM1319" s="2" t="s">
        <v>9888</v>
      </c>
      <c r="AN1319" s="2" t="s">
        <v>23040</v>
      </c>
      <c r="AO1319" s="2" t="s">
        <v>23041</v>
      </c>
      <c r="AP1319" s="2"/>
      <c r="AQ1319" s="2"/>
      <c r="AR1319" s="2" t="s">
        <v>23042</v>
      </c>
      <c r="AS1319" s="2" t="s">
        <v>23043</v>
      </c>
      <c r="AT1319" s="2" t="s">
        <v>23044</v>
      </c>
      <c r="AU1319" s="2" t="n">
        <v>2019</v>
      </c>
      <c r="AV1319" s="2" t="n">
        <v>7</v>
      </c>
      <c r="AW1319" s="2" t="n">
        <v>2</v>
      </c>
      <c r="AX1319" s="2"/>
      <c r="AY1319" s="2"/>
      <c r="AZ1319" s="2"/>
      <c r="BA1319" s="2"/>
      <c r="BB1319" s="2" t="n">
        <v>80</v>
      </c>
      <c r="BC1319" s="2" t="n">
        <v>85</v>
      </c>
      <c r="BD1319" s="2"/>
      <c r="BE1319" s="2" t="s">
        <v>23045</v>
      </c>
      <c r="BF1319" s="2" t="str">
        <f aca="false">HYPERLINK("http://dx.doi.org/10.4103/sjmms.sjmms_72_18","http://dx.doi.org/10.4103/sjmms.sjmms_72_18")</f>
        <v>http://dx.doi.org/10.4103/sjmms.sjmms_72_18</v>
      </c>
      <c r="BG1319" s="2"/>
      <c r="BH1319" s="2"/>
      <c r="BI1319" s="2" t="n">
        <v>6</v>
      </c>
      <c r="BJ1319" s="2" t="s">
        <v>363</v>
      </c>
      <c r="BK1319" s="2" t="s">
        <v>339</v>
      </c>
      <c r="BL1319" s="2" t="s">
        <v>364</v>
      </c>
      <c r="BM1319" s="2" t="s">
        <v>23046</v>
      </c>
      <c r="BN1319" s="2" t="n">
        <v>31080387</v>
      </c>
      <c r="BO1319" s="2" t="s">
        <v>190</v>
      </c>
      <c r="BP1319" s="2"/>
      <c r="BQ1319" s="2"/>
      <c r="BR1319" s="2" t="s">
        <v>104</v>
      </c>
      <c r="BS1319" s="2" t="s">
        <v>23047</v>
      </c>
      <c r="BT1319" s="2" t="str">
        <f aca="false">HYPERLINK("https%3A%2F%2Fwww.webofscience.com%2Fwos%2Fwoscc%2Ffull-record%2FWOS:000464974400004","View Full Record in Web of Science")</f>
        <v>View Full Record in Web of Science</v>
      </c>
    </row>
    <row r="1320" customFormat="false" ht="12.75" hidden="false" customHeight="false" outlineLevel="0" collapsed="false">
      <c r="A1320" s="2" t="s">
        <v>72</v>
      </c>
      <c r="B1320" s="2" t="s">
        <v>23048</v>
      </c>
      <c r="C1320" s="2"/>
      <c r="D1320" s="2"/>
      <c r="E1320" s="2"/>
      <c r="F1320" s="2" t="s">
        <v>23049</v>
      </c>
      <c r="G1320" s="2"/>
      <c r="H1320" s="2"/>
      <c r="I1320" s="2" t="s">
        <v>23050</v>
      </c>
      <c r="J1320" s="2" t="s">
        <v>3141</v>
      </c>
      <c r="K1320" s="2"/>
      <c r="L1320" s="2"/>
      <c r="M1320" s="2" t="s">
        <v>77</v>
      </c>
      <c r="N1320" s="2" t="s">
        <v>78</v>
      </c>
      <c r="O1320" s="2"/>
      <c r="P1320" s="2"/>
      <c r="Q1320" s="2"/>
      <c r="R1320" s="2"/>
      <c r="S1320" s="2"/>
      <c r="T1320" s="2" t="s">
        <v>23051</v>
      </c>
      <c r="U1320" s="2" t="s">
        <v>23052</v>
      </c>
      <c r="V1320" s="2" t="s">
        <v>23053</v>
      </c>
      <c r="W1320" s="2" t="s">
        <v>23054</v>
      </c>
      <c r="X1320" s="2" t="s">
        <v>23055</v>
      </c>
      <c r="Y1320" s="2" t="s">
        <v>23056</v>
      </c>
      <c r="Z1320" s="2" t="s">
        <v>21437</v>
      </c>
      <c r="AA1320" s="2" t="s">
        <v>23057</v>
      </c>
      <c r="AB1320" s="2"/>
      <c r="AC1320" s="2" t="s">
        <v>23058</v>
      </c>
      <c r="AD1320" s="2" t="s">
        <v>23059</v>
      </c>
      <c r="AE1320" s="2" t="s">
        <v>23060</v>
      </c>
      <c r="AF1320" s="2"/>
      <c r="AG1320" s="2" t="n">
        <v>19</v>
      </c>
      <c r="AH1320" s="2" t="n">
        <v>31</v>
      </c>
      <c r="AI1320" s="2" t="n">
        <v>35</v>
      </c>
      <c r="AJ1320" s="2" t="n">
        <v>0</v>
      </c>
      <c r="AK1320" s="2" t="n">
        <v>2</v>
      </c>
      <c r="AL1320" s="2" t="s">
        <v>3150</v>
      </c>
      <c r="AM1320" s="2" t="s">
        <v>3151</v>
      </c>
      <c r="AN1320" s="2" t="s">
        <v>3152</v>
      </c>
      <c r="AO1320" s="2" t="s">
        <v>3153</v>
      </c>
      <c r="AP1320" s="2" t="s">
        <v>3154</v>
      </c>
      <c r="AQ1320" s="2"/>
      <c r="AR1320" s="2" t="s">
        <v>3155</v>
      </c>
      <c r="AS1320" s="2" t="s">
        <v>3156</v>
      </c>
      <c r="AT1320" s="2" t="s">
        <v>692</v>
      </c>
      <c r="AU1320" s="2" t="n">
        <v>2014</v>
      </c>
      <c r="AV1320" s="2" t="n">
        <v>47</v>
      </c>
      <c r="AW1320" s="2" t="n">
        <v>2</v>
      </c>
      <c r="AX1320" s="2"/>
      <c r="AY1320" s="2"/>
      <c r="AZ1320" s="2"/>
      <c r="BA1320" s="2"/>
      <c r="BB1320" s="2" t="n">
        <v>116</v>
      </c>
      <c r="BC1320" s="2" t="n">
        <v>121</v>
      </c>
      <c r="BD1320" s="2"/>
      <c r="BE1320" s="2" t="s">
        <v>23061</v>
      </c>
      <c r="BF1320" s="2" t="str">
        <f aca="false">HYPERLINK("http://dx.doi.org/10.1016/j.jmii.2012.08.012","http://dx.doi.org/10.1016/j.jmii.2012.08.012")</f>
        <v>http://dx.doi.org/10.1016/j.jmii.2012.08.012</v>
      </c>
      <c r="BG1320" s="2"/>
      <c r="BH1320" s="2"/>
      <c r="BI1320" s="2" t="n">
        <v>6</v>
      </c>
      <c r="BJ1320" s="2" t="s">
        <v>536</v>
      </c>
      <c r="BK1320" s="2" t="s">
        <v>100</v>
      </c>
      <c r="BL1320" s="2" t="s">
        <v>536</v>
      </c>
      <c r="BM1320" s="2" t="s">
        <v>23062</v>
      </c>
      <c r="BN1320" s="2" t="n">
        <v>23040235</v>
      </c>
      <c r="BO1320" s="2" t="s">
        <v>23063</v>
      </c>
      <c r="BP1320" s="2"/>
      <c r="BQ1320" s="2"/>
      <c r="BR1320" s="2" t="s">
        <v>104</v>
      </c>
      <c r="BS1320" s="2" t="s">
        <v>23064</v>
      </c>
      <c r="BT1320" s="2" t="str">
        <f aca="false">HYPERLINK("https%3A%2F%2Fwww.webofscience.com%2Fwos%2Fwoscc%2Ffull-record%2FWOS:000335365400006","View Full Record in Web of Science")</f>
        <v>View Full Record in Web of Science</v>
      </c>
    </row>
    <row r="1321" customFormat="false" ht="12.75" hidden="false" customHeight="false" outlineLevel="0" collapsed="false">
      <c r="A1321" s="2" t="s">
        <v>72</v>
      </c>
      <c r="B1321" s="2" t="s">
        <v>23065</v>
      </c>
      <c r="C1321" s="2"/>
      <c r="D1321" s="2"/>
      <c r="E1321" s="2"/>
      <c r="F1321" s="2" t="s">
        <v>23066</v>
      </c>
      <c r="G1321" s="2"/>
      <c r="H1321" s="2"/>
      <c r="I1321" s="2" t="s">
        <v>23067</v>
      </c>
      <c r="J1321" s="2" t="s">
        <v>11975</v>
      </c>
      <c r="K1321" s="2"/>
      <c r="L1321" s="2"/>
      <c r="M1321" s="2" t="s">
        <v>77</v>
      </c>
      <c r="N1321" s="2" t="s">
        <v>78</v>
      </c>
      <c r="O1321" s="2"/>
      <c r="P1321" s="2"/>
      <c r="Q1321" s="2"/>
      <c r="R1321" s="2"/>
      <c r="S1321" s="2"/>
      <c r="T1321" s="2" t="s">
        <v>23068</v>
      </c>
      <c r="U1321" s="2" t="s">
        <v>23069</v>
      </c>
      <c r="V1321" s="2" t="s">
        <v>23070</v>
      </c>
      <c r="W1321" s="2" t="s">
        <v>23071</v>
      </c>
      <c r="X1321" s="2" t="s">
        <v>3027</v>
      </c>
      <c r="Y1321" s="2" t="s">
        <v>23072</v>
      </c>
      <c r="Z1321" s="2" t="s">
        <v>23073</v>
      </c>
      <c r="AA1321" s="2" t="s">
        <v>16648</v>
      </c>
      <c r="AB1321" s="2" t="s">
        <v>23074</v>
      </c>
      <c r="AC1321" s="2" t="s">
        <v>23075</v>
      </c>
      <c r="AD1321" s="2" t="s">
        <v>23076</v>
      </c>
      <c r="AE1321" s="2" t="s">
        <v>23077</v>
      </c>
      <c r="AF1321" s="2"/>
      <c r="AG1321" s="2" t="n">
        <v>29</v>
      </c>
      <c r="AH1321" s="2" t="n">
        <v>141</v>
      </c>
      <c r="AI1321" s="2" t="n">
        <v>154</v>
      </c>
      <c r="AJ1321" s="2" t="n">
        <v>0</v>
      </c>
      <c r="AK1321" s="2" t="n">
        <v>5</v>
      </c>
      <c r="AL1321" s="2" t="s">
        <v>154</v>
      </c>
      <c r="AM1321" s="2" t="s">
        <v>155</v>
      </c>
      <c r="AN1321" s="2" t="s">
        <v>156</v>
      </c>
      <c r="AO1321" s="2" t="s">
        <v>11983</v>
      </c>
      <c r="AP1321" s="2" t="s">
        <v>11984</v>
      </c>
      <c r="AQ1321" s="2"/>
      <c r="AR1321" s="2" t="s">
        <v>11985</v>
      </c>
      <c r="AS1321" s="2" t="s">
        <v>11986</v>
      </c>
      <c r="AT1321" s="2" t="s">
        <v>486</v>
      </c>
      <c r="AU1321" s="2" t="n">
        <v>2010</v>
      </c>
      <c r="AV1321" s="2" t="n">
        <v>99</v>
      </c>
      <c r="AW1321" s="2" t="n">
        <v>6</v>
      </c>
      <c r="AX1321" s="2"/>
      <c r="AY1321" s="2"/>
      <c r="AZ1321" s="2"/>
      <c r="BA1321" s="2"/>
      <c r="BB1321" s="2" t="n">
        <v>883</v>
      </c>
      <c r="BC1321" s="2" t="n">
        <v>887</v>
      </c>
      <c r="BD1321" s="2"/>
      <c r="BE1321" s="2" t="s">
        <v>23078</v>
      </c>
      <c r="BF1321" s="2" t="str">
        <f aca="false">HYPERLINK("http://dx.doi.org/10.1111/j.1651-2227.2010.01714.x","http://dx.doi.org/10.1111/j.1651-2227.2010.01714.x")</f>
        <v>http://dx.doi.org/10.1111/j.1651-2227.2010.01714.x</v>
      </c>
      <c r="BG1321" s="2"/>
      <c r="BH1321" s="2"/>
      <c r="BI1321" s="2" t="n">
        <v>5</v>
      </c>
      <c r="BJ1321" s="2" t="s">
        <v>601</v>
      </c>
      <c r="BK1321" s="2" t="s">
        <v>100</v>
      </c>
      <c r="BL1321" s="2" t="s">
        <v>601</v>
      </c>
      <c r="BM1321" s="2" t="s">
        <v>23079</v>
      </c>
      <c r="BN1321" s="2" t="n">
        <v>20163373</v>
      </c>
      <c r="BO1321" s="2" t="s">
        <v>165</v>
      </c>
      <c r="BP1321" s="2"/>
      <c r="BQ1321" s="2"/>
      <c r="BR1321" s="2" t="s">
        <v>104</v>
      </c>
      <c r="BS1321" s="2" t="s">
        <v>23080</v>
      </c>
      <c r="BT1321" s="2" t="str">
        <f aca="false">HYPERLINK("https%3A%2F%2Fwww.webofscience.com%2Fwos%2Fwoscc%2Ffull-record%2FWOS:000277320300020","View Full Record in Web of Science")</f>
        <v>View Full Record in Web of Science</v>
      </c>
    </row>
    <row r="1322" customFormat="false" ht="12.75" hidden="false" customHeight="false" outlineLevel="0" collapsed="false">
      <c r="A1322" s="2" t="s">
        <v>72</v>
      </c>
      <c r="B1322" s="2" t="s">
        <v>23081</v>
      </c>
      <c r="C1322" s="2"/>
      <c r="D1322" s="2"/>
      <c r="E1322" s="2"/>
      <c r="F1322" s="2" t="s">
        <v>23082</v>
      </c>
      <c r="G1322" s="2"/>
      <c r="H1322" s="2"/>
      <c r="I1322" s="2" t="s">
        <v>23083</v>
      </c>
      <c r="J1322" s="2" t="s">
        <v>1290</v>
      </c>
      <c r="K1322" s="2"/>
      <c r="L1322" s="2"/>
      <c r="M1322" s="2" t="s">
        <v>77</v>
      </c>
      <c r="N1322" s="2" t="s">
        <v>78</v>
      </c>
      <c r="O1322" s="2"/>
      <c r="P1322" s="2"/>
      <c r="Q1322" s="2"/>
      <c r="R1322" s="2"/>
      <c r="S1322" s="2"/>
      <c r="T1322" s="2" t="s">
        <v>23084</v>
      </c>
      <c r="U1322" s="2" t="s">
        <v>23085</v>
      </c>
      <c r="V1322" s="2" t="s">
        <v>23086</v>
      </c>
      <c r="W1322" s="2" t="s">
        <v>23087</v>
      </c>
      <c r="X1322" s="2" t="s">
        <v>23088</v>
      </c>
      <c r="Y1322" s="2" t="s">
        <v>23089</v>
      </c>
      <c r="Z1322" s="2" t="s">
        <v>23090</v>
      </c>
      <c r="AA1322" s="2"/>
      <c r="AB1322" s="2" t="s">
        <v>23091</v>
      </c>
      <c r="AC1322" s="2" t="s">
        <v>23092</v>
      </c>
      <c r="AD1322" s="2" t="s">
        <v>23093</v>
      </c>
      <c r="AE1322" s="2" t="s">
        <v>23094</v>
      </c>
      <c r="AF1322" s="2"/>
      <c r="AG1322" s="2" t="n">
        <v>41</v>
      </c>
      <c r="AH1322" s="2" t="n">
        <v>0</v>
      </c>
      <c r="AI1322" s="2" t="n">
        <v>0</v>
      </c>
      <c r="AJ1322" s="2" t="n">
        <v>0</v>
      </c>
      <c r="AK1322" s="2" t="n">
        <v>3</v>
      </c>
      <c r="AL1322" s="2" t="s">
        <v>154</v>
      </c>
      <c r="AM1322" s="2" t="s">
        <v>155</v>
      </c>
      <c r="AN1322" s="2" t="s">
        <v>156</v>
      </c>
      <c r="AO1322" s="2" t="s">
        <v>1302</v>
      </c>
      <c r="AP1322" s="2" t="s">
        <v>1303</v>
      </c>
      <c r="AQ1322" s="2"/>
      <c r="AR1322" s="2" t="s">
        <v>1304</v>
      </c>
      <c r="AS1322" s="2" t="s">
        <v>1305</v>
      </c>
      <c r="AT1322" s="2" t="s">
        <v>486</v>
      </c>
      <c r="AU1322" s="2" t="n">
        <v>2023</v>
      </c>
      <c r="AV1322" s="2" t="n">
        <v>58</v>
      </c>
      <c r="AW1322" s="2" t="n">
        <v>6</v>
      </c>
      <c r="AX1322" s="2"/>
      <c r="AY1322" s="2"/>
      <c r="AZ1322" s="2"/>
      <c r="BA1322" s="2"/>
      <c r="BB1322" s="2" t="n">
        <v>1738</v>
      </c>
      <c r="BC1322" s="2" t="n">
        <v>1745</v>
      </c>
      <c r="BD1322" s="2"/>
      <c r="BE1322" s="2" t="s">
        <v>23095</v>
      </c>
      <c r="BF1322" s="2" t="str">
        <f aca="false">HYPERLINK("http://dx.doi.org/10.1002/ppul.26394","http://dx.doi.org/10.1002/ppul.26394")</f>
        <v>http://dx.doi.org/10.1002/ppul.26394</v>
      </c>
      <c r="BG1322" s="2"/>
      <c r="BH1322" s="2" t="s">
        <v>6219</v>
      </c>
      <c r="BI1322" s="2" t="n">
        <v>8</v>
      </c>
      <c r="BJ1322" s="2" t="s">
        <v>1307</v>
      </c>
      <c r="BK1322" s="2" t="s">
        <v>100</v>
      </c>
      <c r="BL1322" s="2" t="s">
        <v>1307</v>
      </c>
      <c r="BM1322" s="2" t="s">
        <v>23096</v>
      </c>
      <c r="BN1322" s="2" t="n">
        <v>37014143</v>
      </c>
      <c r="BO1322" s="2"/>
      <c r="BP1322" s="2"/>
      <c r="BQ1322" s="2"/>
      <c r="BR1322" s="2" t="s">
        <v>104</v>
      </c>
      <c r="BS1322" s="2" t="s">
        <v>23097</v>
      </c>
      <c r="BT1322" s="2" t="str">
        <f aca="false">HYPERLINK("https%3A%2F%2Fwww.webofscience.com%2Fwos%2Fwoscc%2Ffull-record%2FWOS:000962111400001","View Full Record in Web of Science")</f>
        <v>View Full Record in Web of Science</v>
      </c>
    </row>
    <row r="1323" customFormat="false" ht="12.75" hidden="false" customHeight="false" outlineLevel="0" collapsed="false">
      <c r="A1323" s="2" t="s">
        <v>72</v>
      </c>
      <c r="B1323" s="2" t="s">
        <v>23098</v>
      </c>
      <c r="C1323" s="2"/>
      <c r="D1323" s="2"/>
      <c r="E1323" s="2"/>
      <c r="F1323" s="2" t="s">
        <v>23099</v>
      </c>
      <c r="G1323" s="2"/>
      <c r="H1323" s="2"/>
      <c r="I1323" s="2" t="s">
        <v>23100</v>
      </c>
      <c r="J1323" s="2" t="s">
        <v>370</v>
      </c>
      <c r="K1323" s="2"/>
      <c r="L1323" s="2"/>
      <c r="M1323" s="2" t="s">
        <v>77</v>
      </c>
      <c r="N1323" s="2" t="s">
        <v>78</v>
      </c>
      <c r="O1323" s="2"/>
      <c r="P1323" s="2"/>
      <c r="Q1323" s="2"/>
      <c r="R1323" s="2"/>
      <c r="S1323" s="2"/>
      <c r="T1323" s="2" t="s">
        <v>23101</v>
      </c>
      <c r="U1323" s="2" t="s">
        <v>23102</v>
      </c>
      <c r="V1323" s="2" t="s">
        <v>23103</v>
      </c>
      <c r="W1323" s="2" t="s">
        <v>23104</v>
      </c>
      <c r="X1323" s="2" t="s">
        <v>23105</v>
      </c>
      <c r="Y1323" s="2" t="s">
        <v>23106</v>
      </c>
      <c r="Z1323" s="2" t="s">
        <v>23107</v>
      </c>
      <c r="AA1323" s="2" t="s">
        <v>23108</v>
      </c>
      <c r="AB1323" s="2" t="s">
        <v>23109</v>
      </c>
      <c r="AC1323" s="2"/>
      <c r="AD1323" s="2"/>
      <c r="AE1323" s="2"/>
      <c r="AF1323" s="2"/>
      <c r="AG1323" s="2" t="n">
        <v>12</v>
      </c>
      <c r="AH1323" s="2" t="n">
        <v>33</v>
      </c>
      <c r="AI1323" s="2" t="n">
        <v>39</v>
      </c>
      <c r="AJ1323" s="2" t="n">
        <v>0</v>
      </c>
      <c r="AK1323" s="2" t="n">
        <v>3</v>
      </c>
      <c r="AL1323" s="2" t="s">
        <v>549</v>
      </c>
      <c r="AM1323" s="2" t="s">
        <v>384</v>
      </c>
      <c r="AN1323" s="2" t="s">
        <v>550</v>
      </c>
      <c r="AO1323" s="2" t="s">
        <v>386</v>
      </c>
      <c r="AP1323" s="2"/>
      <c r="AQ1323" s="2"/>
      <c r="AR1323" s="2" t="s">
        <v>388</v>
      </c>
      <c r="AS1323" s="2" t="s">
        <v>389</v>
      </c>
      <c r="AT1323" s="2" t="s">
        <v>486</v>
      </c>
      <c r="AU1323" s="2" t="n">
        <v>2010</v>
      </c>
      <c r="AV1323" s="2" t="n">
        <v>48</v>
      </c>
      <c r="AW1323" s="2" t="n">
        <v>2</v>
      </c>
      <c r="AX1323" s="2"/>
      <c r="AY1323" s="2"/>
      <c r="AZ1323" s="2"/>
      <c r="BA1323" s="2"/>
      <c r="BB1323" s="2" t="n">
        <v>134</v>
      </c>
      <c r="BC1323" s="2" t="n">
        <v>136</v>
      </c>
      <c r="BD1323" s="2"/>
      <c r="BE1323" s="2" t="s">
        <v>23110</v>
      </c>
      <c r="BF1323" s="2" t="str">
        <f aca="false">HYPERLINK("http://dx.doi.org/10.1016/j.jcv.2010.03.002","http://dx.doi.org/10.1016/j.jcv.2010.03.002")</f>
        <v>http://dx.doi.org/10.1016/j.jcv.2010.03.002</v>
      </c>
      <c r="BG1323" s="2"/>
      <c r="BH1323" s="2"/>
      <c r="BI1323" s="2" t="n">
        <v>3</v>
      </c>
      <c r="BJ1323" s="2" t="s">
        <v>163</v>
      </c>
      <c r="BK1323" s="2" t="s">
        <v>100</v>
      </c>
      <c r="BL1323" s="2" t="s">
        <v>163</v>
      </c>
      <c r="BM1323" s="2" t="s">
        <v>23111</v>
      </c>
      <c r="BN1323" s="2" t="n">
        <v>20362492</v>
      </c>
      <c r="BO1323" s="2" t="s">
        <v>1089</v>
      </c>
      <c r="BP1323" s="2"/>
      <c r="BQ1323" s="2"/>
      <c r="BR1323" s="2" t="s">
        <v>104</v>
      </c>
      <c r="BS1323" s="2" t="s">
        <v>23112</v>
      </c>
      <c r="BT1323" s="2" t="str">
        <f aca="false">HYPERLINK("https%3A%2F%2Fwww.webofscience.com%2Fwos%2Fwoscc%2Ffull-record%2FWOS:000277264300013","View Full Record in Web of Science")</f>
        <v>View Full Record in Web of Science</v>
      </c>
    </row>
    <row r="1324" customFormat="false" ht="12.75" hidden="false" customHeight="false" outlineLevel="0" collapsed="false">
      <c r="A1324" s="2" t="s">
        <v>72</v>
      </c>
      <c r="B1324" s="2" t="s">
        <v>23113</v>
      </c>
      <c r="C1324" s="2"/>
      <c r="D1324" s="2"/>
      <c r="E1324" s="2"/>
      <c r="F1324" s="2" t="s">
        <v>23114</v>
      </c>
      <c r="G1324" s="2"/>
      <c r="H1324" s="2"/>
      <c r="I1324" s="2" t="s">
        <v>23115</v>
      </c>
      <c r="J1324" s="2" t="s">
        <v>10894</v>
      </c>
      <c r="K1324" s="2"/>
      <c r="L1324" s="2"/>
      <c r="M1324" s="2" t="s">
        <v>77</v>
      </c>
      <c r="N1324" s="2" t="s">
        <v>78</v>
      </c>
      <c r="O1324" s="2"/>
      <c r="P1324" s="2"/>
      <c r="Q1324" s="2"/>
      <c r="R1324" s="2"/>
      <c r="S1324" s="2"/>
      <c r="T1324" s="2" t="s">
        <v>23116</v>
      </c>
      <c r="U1324" s="2" t="s">
        <v>23117</v>
      </c>
      <c r="V1324" s="2" t="s">
        <v>23118</v>
      </c>
      <c r="W1324" s="2" t="s">
        <v>23119</v>
      </c>
      <c r="X1324" s="2" t="s">
        <v>23120</v>
      </c>
      <c r="Y1324" s="2" t="s">
        <v>23121</v>
      </c>
      <c r="Z1324" s="2" t="s">
        <v>23122</v>
      </c>
      <c r="AA1324" s="2" t="s">
        <v>23123</v>
      </c>
      <c r="AB1324" s="2"/>
      <c r="AC1324" s="2"/>
      <c r="AD1324" s="2"/>
      <c r="AE1324" s="2"/>
      <c r="AF1324" s="2"/>
      <c r="AG1324" s="2" t="n">
        <v>265</v>
      </c>
      <c r="AH1324" s="2" t="n">
        <v>12</v>
      </c>
      <c r="AI1324" s="2" t="n">
        <v>14</v>
      </c>
      <c r="AJ1324" s="2" t="n">
        <v>0</v>
      </c>
      <c r="AK1324" s="2" t="n">
        <v>8</v>
      </c>
      <c r="AL1324" s="2" t="s">
        <v>2788</v>
      </c>
      <c r="AM1324" s="2" t="s">
        <v>2789</v>
      </c>
      <c r="AN1324" s="2" t="s">
        <v>2790</v>
      </c>
      <c r="AO1324" s="2" t="s">
        <v>10901</v>
      </c>
      <c r="AP1324" s="2" t="s">
        <v>10902</v>
      </c>
      <c r="AQ1324" s="2"/>
      <c r="AR1324" s="2" t="s">
        <v>10903</v>
      </c>
      <c r="AS1324" s="2" t="s">
        <v>10904</v>
      </c>
      <c r="AT1324" s="2" t="s">
        <v>9432</v>
      </c>
      <c r="AU1324" s="2" t="n">
        <v>2021</v>
      </c>
      <c r="AV1324" s="2" t="n">
        <v>19</v>
      </c>
      <c r="AW1324" s="2" t="n">
        <v>4</v>
      </c>
      <c r="AX1324" s="2"/>
      <c r="AY1324" s="2"/>
      <c r="AZ1324" s="2"/>
      <c r="BA1324" s="2"/>
      <c r="BB1324" s="2" t="n">
        <v>419</v>
      </c>
      <c r="BC1324" s="2" t="n">
        <v>441</v>
      </c>
      <c r="BD1324" s="2"/>
      <c r="BE1324" s="2" t="s">
        <v>23124</v>
      </c>
      <c r="BF1324" s="2" t="str">
        <f aca="false">HYPERLINK("http://dx.doi.org/10.1080/14787210.2021.1828866","http://dx.doi.org/10.1080/14787210.2021.1828866")</f>
        <v>http://dx.doi.org/10.1080/14787210.2021.1828866</v>
      </c>
      <c r="BG1324" s="2"/>
      <c r="BH1324" s="2" t="s">
        <v>8448</v>
      </c>
      <c r="BI1324" s="2" t="n">
        <v>23</v>
      </c>
      <c r="BJ1324" s="2" t="s">
        <v>10908</v>
      </c>
      <c r="BK1324" s="2" t="s">
        <v>100</v>
      </c>
      <c r="BL1324" s="2" t="s">
        <v>10908</v>
      </c>
      <c r="BM1324" s="2" t="s">
        <v>23125</v>
      </c>
      <c r="BN1324" s="2" t="n">
        <v>32972198</v>
      </c>
      <c r="BO1324" s="2"/>
      <c r="BP1324" s="2"/>
      <c r="BQ1324" s="2"/>
      <c r="BR1324" s="2" t="s">
        <v>104</v>
      </c>
      <c r="BS1324" s="2" t="s">
        <v>23126</v>
      </c>
      <c r="BT1324" s="2" t="str">
        <f aca="false">HYPERLINK("https%3A%2F%2Fwww.webofscience.com%2Fwos%2Fwoscc%2Ffull-record%2FWOS:000597830600001","View Full Record in Web of Science")</f>
        <v>View Full Record in Web of Science</v>
      </c>
    </row>
    <row r="1325" customFormat="false" ht="12.75" hidden="false" customHeight="false" outlineLevel="0" collapsed="false">
      <c r="A1325" s="2" t="s">
        <v>72</v>
      </c>
      <c r="B1325" s="2" t="s">
        <v>23127</v>
      </c>
      <c r="C1325" s="2"/>
      <c r="D1325" s="2"/>
      <c r="E1325" s="2"/>
      <c r="F1325" s="2" t="s">
        <v>23128</v>
      </c>
      <c r="G1325" s="2"/>
      <c r="H1325" s="2"/>
      <c r="I1325" s="2" t="s">
        <v>23129</v>
      </c>
      <c r="J1325" s="2" t="s">
        <v>109</v>
      </c>
      <c r="K1325" s="2"/>
      <c r="L1325" s="2"/>
      <c r="M1325" s="2" t="s">
        <v>77</v>
      </c>
      <c r="N1325" s="2" t="s">
        <v>78</v>
      </c>
      <c r="O1325" s="2"/>
      <c r="P1325" s="2"/>
      <c r="Q1325" s="2"/>
      <c r="R1325" s="2"/>
      <c r="S1325" s="2"/>
      <c r="T1325" s="2" t="s">
        <v>23130</v>
      </c>
      <c r="U1325" s="2" t="s">
        <v>23131</v>
      </c>
      <c r="V1325" s="2" t="s">
        <v>23132</v>
      </c>
      <c r="W1325" s="2" t="s">
        <v>23133</v>
      </c>
      <c r="X1325" s="2" t="s">
        <v>2825</v>
      </c>
      <c r="Y1325" s="2" t="s">
        <v>23134</v>
      </c>
      <c r="Z1325" s="2" t="s">
        <v>23135</v>
      </c>
      <c r="AA1325" s="2" t="s">
        <v>23136</v>
      </c>
      <c r="AB1325" s="2" t="s">
        <v>23137</v>
      </c>
      <c r="AC1325" s="2" t="s">
        <v>23138</v>
      </c>
      <c r="AD1325" s="2" t="s">
        <v>23139</v>
      </c>
      <c r="AE1325" s="2" t="s">
        <v>23140</v>
      </c>
      <c r="AF1325" s="2"/>
      <c r="AG1325" s="2" t="n">
        <v>28</v>
      </c>
      <c r="AH1325" s="2" t="n">
        <v>127</v>
      </c>
      <c r="AI1325" s="2" t="n">
        <v>140</v>
      </c>
      <c r="AJ1325" s="2" t="n">
        <v>0</v>
      </c>
      <c r="AK1325" s="2" t="n">
        <v>10</v>
      </c>
      <c r="AL1325" s="2" t="s">
        <v>122</v>
      </c>
      <c r="AM1325" s="2" t="s">
        <v>123</v>
      </c>
      <c r="AN1325" s="2" t="s">
        <v>839</v>
      </c>
      <c r="AO1325" s="2" t="s">
        <v>125</v>
      </c>
      <c r="AP1325" s="2" t="s">
        <v>126</v>
      </c>
      <c r="AQ1325" s="2"/>
      <c r="AR1325" s="2" t="s">
        <v>127</v>
      </c>
      <c r="AS1325" s="2" t="s">
        <v>128</v>
      </c>
      <c r="AT1325" s="2" t="s">
        <v>129</v>
      </c>
      <c r="AU1325" s="2" t="n">
        <v>2013</v>
      </c>
      <c r="AV1325" s="2" t="n">
        <v>32</v>
      </c>
      <c r="AW1325" s="2" t="n">
        <v>9</v>
      </c>
      <c r="AX1325" s="2"/>
      <c r="AY1325" s="2"/>
      <c r="AZ1325" s="2"/>
      <c r="BA1325" s="2"/>
      <c r="BB1325" s="2" t="n">
        <v>950</v>
      </c>
      <c r="BC1325" s="2" t="n">
        <v>955</v>
      </c>
      <c r="BD1325" s="2"/>
      <c r="BE1325" s="2" t="s">
        <v>23141</v>
      </c>
      <c r="BF1325" s="2" t="str">
        <f aca="false">HYPERLINK("http://dx.doi.org/10.1097/INF.0b013e31829b7e43","http://dx.doi.org/10.1097/INF.0b013e31829b7e43")</f>
        <v>http://dx.doi.org/10.1097/INF.0b013e31829b7e43</v>
      </c>
      <c r="BG1325" s="2"/>
      <c r="BH1325" s="2"/>
      <c r="BI1325" s="2" t="n">
        <v>6</v>
      </c>
      <c r="BJ1325" s="2" t="s">
        <v>134</v>
      </c>
      <c r="BK1325" s="2" t="s">
        <v>100</v>
      </c>
      <c r="BL1325" s="2" t="s">
        <v>134</v>
      </c>
      <c r="BM1325" s="2" t="s">
        <v>1285</v>
      </c>
      <c r="BN1325" s="2" t="n">
        <v>23694832</v>
      </c>
      <c r="BO1325" s="2" t="s">
        <v>695</v>
      </c>
      <c r="BP1325" s="2"/>
      <c r="BQ1325" s="2"/>
      <c r="BR1325" s="2" t="s">
        <v>104</v>
      </c>
      <c r="BS1325" s="2" t="s">
        <v>23142</v>
      </c>
      <c r="BT1325" s="2" t="str">
        <f aca="false">HYPERLINK("https%3A%2F%2Fwww.webofscience.com%2Fwos%2Fwoscc%2Ffull-record%2FWOS:000330525500013","View Full Record in Web of Science")</f>
        <v>View Full Record in Web of Science</v>
      </c>
    </row>
    <row r="1326" customFormat="false" ht="12.75" hidden="false" customHeight="false" outlineLevel="0" collapsed="false">
      <c r="A1326" s="2" t="s">
        <v>72</v>
      </c>
      <c r="B1326" s="2" t="s">
        <v>23143</v>
      </c>
      <c r="C1326" s="2"/>
      <c r="D1326" s="2"/>
      <c r="E1326" s="2"/>
      <c r="F1326" s="2" t="s">
        <v>23144</v>
      </c>
      <c r="G1326" s="2"/>
      <c r="H1326" s="2"/>
      <c r="I1326" s="2" t="s">
        <v>23145</v>
      </c>
      <c r="J1326" s="2" t="s">
        <v>109</v>
      </c>
      <c r="K1326" s="2"/>
      <c r="L1326" s="2"/>
      <c r="M1326" s="2" t="s">
        <v>77</v>
      </c>
      <c r="N1326" s="2" t="s">
        <v>78</v>
      </c>
      <c r="O1326" s="2"/>
      <c r="P1326" s="2"/>
      <c r="Q1326" s="2"/>
      <c r="R1326" s="2"/>
      <c r="S1326" s="2"/>
      <c r="T1326" s="2" t="s">
        <v>23146</v>
      </c>
      <c r="U1326" s="2"/>
      <c r="V1326" s="2" t="s">
        <v>23147</v>
      </c>
      <c r="W1326" s="2" t="s">
        <v>23148</v>
      </c>
      <c r="X1326" s="2" t="s">
        <v>23149</v>
      </c>
      <c r="Y1326" s="2" t="s">
        <v>23150</v>
      </c>
      <c r="Z1326" s="2" t="s">
        <v>23151</v>
      </c>
      <c r="AA1326" s="2" t="s">
        <v>23152</v>
      </c>
      <c r="AB1326" s="2" t="s">
        <v>23153</v>
      </c>
      <c r="AC1326" s="2"/>
      <c r="AD1326" s="2"/>
      <c r="AE1326" s="2"/>
      <c r="AF1326" s="2"/>
      <c r="AG1326" s="2" t="n">
        <v>15</v>
      </c>
      <c r="AH1326" s="2" t="n">
        <v>0</v>
      </c>
      <c r="AI1326" s="2" t="n">
        <v>0</v>
      </c>
      <c r="AJ1326" s="2" t="n">
        <v>0</v>
      </c>
      <c r="AK1326" s="2" t="n">
        <v>2</v>
      </c>
      <c r="AL1326" s="2" t="s">
        <v>122</v>
      </c>
      <c r="AM1326" s="2" t="s">
        <v>123</v>
      </c>
      <c r="AN1326" s="2" t="s">
        <v>124</v>
      </c>
      <c r="AO1326" s="2" t="s">
        <v>125</v>
      </c>
      <c r="AP1326" s="2" t="s">
        <v>126</v>
      </c>
      <c r="AQ1326" s="2"/>
      <c r="AR1326" s="2" t="s">
        <v>127</v>
      </c>
      <c r="AS1326" s="2" t="s">
        <v>128</v>
      </c>
      <c r="AT1326" s="2" t="s">
        <v>692</v>
      </c>
      <c r="AU1326" s="2" t="n">
        <v>2024</v>
      </c>
      <c r="AV1326" s="2" t="n">
        <v>43</v>
      </c>
      <c r="AW1326" s="2" t="n">
        <v>4</v>
      </c>
      <c r="AX1326" s="2"/>
      <c r="AY1326" s="2"/>
      <c r="AZ1326" s="2"/>
      <c r="BA1326" s="2"/>
      <c r="BB1326" s="2" t="s">
        <v>23154</v>
      </c>
      <c r="BC1326" s="2" t="s">
        <v>17511</v>
      </c>
      <c r="BD1326" s="2"/>
      <c r="BE1326" s="2" t="s">
        <v>23155</v>
      </c>
      <c r="BF1326" s="2" t="str">
        <f aca="false">HYPERLINK("http://dx.doi.org/10.1097/INF.0000000000004217","http://dx.doi.org/10.1097/INF.0000000000004217")</f>
        <v>http://dx.doi.org/10.1097/INF.0000000000004217</v>
      </c>
      <c r="BG1326" s="2"/>
      <c r="BH1326" s="2"/>
      <c r="BI1326" s="2" t="n">
        <v>3</v>
      </c>
      <c r="BJ1326" s="2" t="s">
        <v>134</v>
      </c>
      <c r="BK1326" s="2" t="s">
        <v>100</v>
      </c>
      <c r="BL1326" s="2" t="s">
        <v>134</v>
      </c>
      <c r="BM1326" s="2" t="s">
        <v>17514</v>
      </c>
      <c r="BN1326" s="2" t="n">
        <v>38100724</v>
      </c>
      <c r="BO1326" s="2" t="s">
        <v>656</v>
      </c>
      <c r="BP1326" s="2"/>
      <c r="BQ1326" s="2"/>
      <c r="BR1326" s="2" t="s">
        <v>104</v>
      </c>
      <c r="BS1326" s="2" t="s">
        <v>23156</v>
      </c>
      <c r="BT1326" s="2" t="str">
        <f aca="false">HYPERLINK("https%3A%2F%2Fwww.webofscience.com%2Fwos%2Fwoscc%2Ffull-record%2FWOS:001235391600014","View Full Record in Web of Science")</f>
        <v>View Full Record in Web of Science</v>
      </c>
    </row>
    <row r="1327" customFormat="false" ht="12.75" hidden="false" customHeight="false" outlineLevel="0" collapsed="false">
      <c r="A1327" s="2" t="s">
        <v>72</v>
      </c>
      <c r="B1327" s="2" t="s">
        <v>23157</v>
      </c>
      <c r="C1327" s="2"/>
      <c r="D1327" s="2"/>
      <c r="E1327" s="2"/>
      <c r="F1327" s="2" t="s">
        <v>23158</v>
      </c>
      <c r="G1327" s="2"/>
      <c r="H1327" s="2"/>
      <c r="I1327" s="2" t="s">
        <v>23159</v>
      </c>
      <c r="J1327" s="2" t="s">
        <v>23160</v>
      </c>
      <c r="K1327" s="2"/>
      <c r="L1327" s="2"/>
      <c r="M1327" s="2" t="s">
        <v>77</v>
      </c>
      <c r="N1327" s="2" t="s">
        <v>78</v>
      </c>
      <c r="O1327" s="2"/>
      <c r="P1327" s="2"/>
      <c r="Q1327" s="2"/>
      <c r="R1327" s="2"/>
      <c r="S1327" s="2"/>
      <c r="T1327" s="2" t="s">
        <v>23161</v>
      </c>
      <c r="U1327" s="2" t="s">
        <v>23162</v>
      </c>
      <c r="V1327" s="2" t="s">
        <v>23163</v>
      </c>
      <c r="W1327" s="2" t="s">
        <v>23164</v>
      </c>
      <c r="X1327" s="2"/>
      <c r="Y1327" s="2" t="s">
        <v>23165</v>
      </c>
      <c r="Z1327" s="2" t="s">
        <v>23166</v>
      </c>
      <c r="AA1327" s="2"/>
      <c r="AB1327" s="2" t="s">
        <v>23167</v>
      </c>
      <c r="AC1327" s="2"/>
      <c r="AD1327" s="2"/>
      <c r="AE1327" s="2"/>
      <c r="AF1327" s="2"/>
      <c r="AG1327" s="2" t="n">
        <v>45</v>
      </c>
      <c r="AH1327" s="2" t="n">
        <v>1</v>
      </c>
      <c r="AI1327" s="2" t="n">
        <v>1</v>
      </c>
      <c r="AJ1327" s="2" t="n">
        <v>0</v>
      </c>
      <c r="AK1327" s="2" t="n">
        <v>0</v>
      </c>
      <c r="AL1327" s="2" t="s">
        <v>91</v>
      </c>
      <c r="AM1327" s="2" t="s">
        <v>92</v>
      </c>
      <c r="AN1327" s="2" t="s">
        <v>93</v>
      </c>
      <c r="AO1327" s="2"/>
      <c r="AP1327" s="2" t="s">
        <v>23168</v>
      </c>
      <c r="AQ1327" s="2"/>
      <c r="AR1327" s="2" t="s">
        <v>23169</v>
      </c>
      <c r="AS1327" s="2" t="s">
        <v>23170</v>
      </c>
      <c r="AT1327" s="2" t="s">
        <v>161</v>
      </c>
      <c r="AU1327" s="2" t="n">
        <v>2024</v>
      </c>
      <c r="AV1327" s="2" t="n">
        <v>12</v>
      </c>
      <c r="AW1327" s="2" t="n">
        <v>1</v>
      </c>
      <c r="AX1327" s="2"/>
      <c r="AY1327" s="2"/>
      <c r="AZ1327" s="2"/>
      <c r="BA1327" s="2"/>
      <c r="BB1327" s="2"/>
      <c r="BC1327" s="2"/>
      <c r="BD1327" s="2" t="n">
        <v>25</v>
      </c>
      <c r="BE1327" s="2" t="s">
        <v>23171</v>
      </c>
      <c r="BF1327" s="2" t="str">
        <f aca="false">HYPERLINK("http://dx.doi.org/10.3390/diseases12010025","http://dx.doi.org/10.3390/diseases12010025")</f>
        <v>http://dx.doi.org/10.3390/diseases12010025</v>
      </c>
      <c r="BG1327" s="2"/>
      <c r="BH1327" s="2"/>
      <c r="BI1327" s="2" t="n">
        <v>13</v>
      </c>
      <c r="BJ1327" s="2" t="s">
        <v>5761</v>
      </c>
      <c r="BK1327" s="2" t="s">
        <v>339</v>
      </c>
      <c r="BL1327" s="2" t="s">
        <v>5762</v>
      </c>
      <c r="BM1327" s="2" t="s">
        <v>23172</v>
      </c>
      <c r="BN1327" s="2" t="n">
        <v>38248376</v>
      </c>
      <c r="BO1327" s="2" t="s">
        <v>190</v>
      </c>
      <c r="BP1327" s="2"/>
      <c r="BQ1327" s="2"/>
      <c r="BR1327" s="2" t="s">
        <v>104</v>
      </c>
      <c r="BS1327" s="2" t="s">
        <v>23173</v>
      </c>
      <c r="BT1327" s="2" t="str">
        <f aca="false">HYPERLINK("https%3A%2F%2Fwww.webofscience.com%2Fwos%2Fwoscc%2Ffull-record%2FWOS:001151782400001","View Full Record in Web of Science")</f>
        <v>View Full Record in Web of Science</v>
      </c>
    </row>
    <row r="1328" customFormat="false" ht="12.75" hidden="false" customHeight="false" outlineLevel="0" collapsed="false">
      <c r="A1328" s="2" t="s">
        <v>72</v>
      </c>
      <c r="B1328" s="2" t="s">
        <v>23174</v>
      </c>
      <c r="C1328" s="2"/>
      <c r="D1328" s="2"/>
      <c r="E1328" s="2"/>
      <c r="F1328" s="2" t="s">
        <v>23174</v>
      </c>
      <c r="G1328" s="2"/>
      <c r="H1328" s="2"/>
      <c r="I1328" s="2" t="s">
        <v>23175</v>
      </c>
      <c r="J1328" s="2" t="s">
        <v>8049</v>
      </c>
      <c r="K1328" s="2"/>
      <c r="L1328" s="2"/>
      <c r="M1328" s="2" t="s">
        <v>77</v>
      </c>
      <c r="N1328" s="2" t="s">
        <v>78</v>
      </c>
      <c r="O1328" s="2"/>
      <c r="P1328" s="2"/>
      <c r="Q1328" s="2"/>
      <c r="R1328" s="2"/>
      <c r="S1328" s="2"/>
      <c r="T1328" s="2" t="s">
        <v>23176</v>
      </c>
      <c r="U1328" s="2" t="s">
        <v>23177</v>
      </c>
      <c r="V1328" s="2" t="s">
        <v>23178</v>
      </c>
      <c r="W1328" s="2" t="s">
        <v>23179</v>
      </c>
      <c r="X1328" s="2" t="s">
        <v>23180</v>
      </c>
      <c r="Y1328" s="2" t="s">
        <v>23181</v>
      </c>
      <c r="Z1328" s="2" t="s">
        <v>23182</v>
      </c>
      <c r="AA1328" s="2"/>
      <c r="AB1328" s="2"/>
      <c r="AC1328" s="2"/>
      <c r="AD1328" s="2"/>
      <c r="AE1328" s="2"/>
      <c r="AF1328" s="2"/>
      <c r="AG1328" s="2" t="n">
        <v>18</v>
      </c>
      <c r="AH1328" s="2" t="n">
        <v>43</v>
      </c>
      <c r="AI1328" s="2" t="n">
        <v>50</v>
      </c>
      <c r="AJ1328" s="2" t="n">
        <v>0</v>
      </c>
      <c r="AK1328" s="2" t="n">
        <v>3</v>
      </c>
      <c r="AL1328" s="2" t="s">
        <v>1565</v>
      </c>
      <c r="AM1328" s="2" t="s">
        <v>1566</v>
      </c>
      <c r="AN1328" s="2" t="s">
        <v>1567</v>
      </c>
      <c r="AO1328" s="2" t="s">
        <v>8057</v>
      </c>
      <c r="AP1328" s="2" t="s">
        <v>8058</v>
      </c>
      <c r="AQ1328" s="2"/>
      <c r="AR1328" s="2" t="s">
        <v>8059</v>
      </c>
      <c r="AS1328" s="2" t="s">
        <v>8060</v>
      </c>
      <c r="AT1328" s="2" t="s">
        <v>252</v>
      </c>
      <c r="AU1328" s="2" t="n">
        <v>2004</v>
      </c>
      <c r="AV1328" s="2" t="n">
        <v>7</v>
      </c>
      <c r="AW1328" s="2" t="n">
        <v>5</v>
      </c>
      <c r="AX1328" s="2"/>
      <c r="AY1328" s="2"/>
      <c r="AZ1328" s="2"/>
      <c r="BA1328" s="2"/>
      <c r="BB1328" s="2" t="n">
        <v>478</v>
      </c>
      <c r="BC1328" s="2" t="n">
        <v>486</v>
      </c>
      <c r="BD1328" s="2"/>
      <c r="BE1328" s="2" t="s">
        <v>23183</v>
      </c>
      <c r="BF1328" s="2" t="str">
        <f aca="false">HYPERLINK("http://dx.doi.org/10.1007/s10024-004-1011-2","http://dx.doi.org/10.1007/s10024-004-1011-2")</f>
        <v>http://dx.doi.org/10.1007/s10024-004-1011-2</v>
      </c>
      <c r="BG1328" s="2"/>
      <c r="BH1328" s="2"/>
      <c r="BI1328" s="2" t="n">
        <v>9</v>
      </c>
      <c r="BJ1328" s="2" t="s">
        <v>8062</v>
      </c>
      <c r="BK1328" s="2" t="s">
        <v>100</v>
      </c>
      <c r="BL1328" s="2" t="s">
        <v>8062</v>
      </c>
      <c r="BM1328" s="2" t="s">
        <v>23184</v>
      </c>
      <c r="BN1328" s="2" t="n">
        <v>15547771</v>
      </c>
      <c r="BO1328" s="2"/>
      <c r="BP1328" s="2"/>
      <c r="BQ1328" s="2"/>
      <c r="BR1328" s="2" t="s">
        <v>104</v>
      </c>
      <c r="BS1328" s="2" t="s">
        <v>23185</v>
      </c>
      <c r="BT1328" s="2" t="str">
        <f aca="false">HYPERLINK("https%3A%2F%2Fwww.webofscience.com%2Fwos%2Fwoscc%2Ffull-record%2FWOS:000225134400011","View Full Record in Web of Science")</f>
        <v>View Full Record in Web of Science</v>
      </c>
    </row>
    <row r="1329" customFormat="false" ht="12.75" hidden="false" customHeight="false" outlineLevel="0" collapsed="false">
      <c r="A1329" s="2" t="s">
        <v>72</v>
      </c>
      <c r="B1329" s="2" t="s">
        <v>23186</v>
      </c>
      <c r="C1329" s="2"/>
      <c r="D1329" s="2"/>
      <c r="E1329" s="2"/>
      <c r="F1329" s="2" t="s">
        <v>23187</v>
      </c>
      <c r="G1329" s="2"/>
      <c r="H1329" s="2"/>
      <c r="I1329" s="2" t="s">
        <v>23188</v>
      </c>
      <c r="J1329" s="2" t="s">
        <v>13700</v>
      </c>
      <c r="K1329" s="2"/>
      <c r="L1329" s="2"/>
      <c r="M1329" s="2" t="s">
        <v>77</v>
      </c>
      <c r="N1329" s="2" t="s">
        <v>78</v>
      </c>
      <c r="O1329" s="2"/>
      <c r="P1329" s="2"/>
      <c r="Q1329" s="2"/>
      <c r="R1329" s="2"/>
      <c r="S1329" s="2"/>
      <c r="T1329" s="2" t="s">
        <v>23189</v>
      </c>
      <c r="U1329" s="2" t="s">
        <v>23190</v>
      </c>
      <c r="V1329" s="2" t="s">
        <v>23191</v>
      </c>
      <c r="W1329" s="2" t="s">
        <v>23192</v>
      </c>
      <c r="X1329" s="2" t="s">
        <v>23193</v>
      </c>
      <c r="Y1329" s="2" t="s">
        <v>23194</v>
      </c>
      <c r="Z1329" s="2" t="s">
        <v>23195</v>
      </c>
      <c r="AA1329" s="2" t="s">
        <v>23196</v>
      </c>
      <c r="AB1329" s="2" t="s">
        <v>23197</v>
      </c>
      <c r="AC1329" s="2" t="s">
        <v>23198</v>
      </c>
      <c r="AD1329" s="2" t="s">
        <v>23199</v>
      </c>
      <c r="AE1329" s="2" t="s">
        <v>23200</v>
      </c>
      <c r="AF1329" s="2"/>
      <c r="AG1329" s="2" t="n">
        <v>34</v>
      </c>
      <c r="AH1329" s="2" t="n">
        <v>7</v>
      </c>
      <c r="AI1329" s="2" t="n">
        <v>7</v>
      </c>
      <c r="AJ1329" s="2" t="n">
        <v>0</v>
      </c>
      <c r="AK1329" s="2" t="n">
        <v>1</v>
      </c>
      <c r="AL1329" s="2" t="s">
        <v>13712</v>
      </c>
      <c r="AM1329" s="2" t="s">
        <v>303</v>
      </c>
      <c r="AN1329" s="2" t="s">
        <v>13713</v>
      </c>
      <c r="AO1329" s="2" t="s">
        <v>13714</v>
      </c>
      <c r="AP1329" s="2" t="s">
        <v>13715</v>
      </c>
      <c r="AQ1329" s="2"/>
      <c r="AR1329" s="2" t="s">
        <v>13716</v>
      </c>
      <c r="AS1329" s="2" t="s">
        <v>13717</v>
      </c>
      <c r="AT1329" s="2" t="s">
        <v>390</v>
      </c>
      <c r="AU1329" s="2" t="n">
        <v>2010</v>
      </c>
      <c r="AV1329" s="2" t="n">
        <v>5</v>
      </c>
      <c r="AW1329" s="2" t="n">
        <v>3</v>
      </c>
      <c r="AX1329" s="2"/>
      <c r="AY1329" s="2"/>
      <c r="AZ1329" s="2"/>
      <c r="BA1329" s="2"/>
      <c r="BB1329" s="2" t="n">
        <v>355</v>
      </c>
      <c r="BC1329" s="2" t="n">
        <v>360</v>
      </c>
      <c r="BD1329" s="2"/>
      <c r="BE1329" s="2" t="s">
        <v>23201</v>
      </c>
      <c r="BF1329" s="2" t="str">
        <f aca="false">HYPERLINK("http://dx.doi.org/10.2217/FVL.10.13","http://dx.doi.org/10.2217/FVL.10.13")</f>
        <v>http://dx.doi.org/10.2217/FVL.10.13</v>
      </c>
      <c r="BG1329" s="2"/>
      <c r="BH1329" s="2"/>
      <c r="BI1329" s="2" t="n">
        <v>6</v>
      </c>
      <c r="BJ1329" s="2" t="s">
        <v>163</v>
      </c>
      <c r="BK1329" s="2" t="s">
        <v>100</v>
      </c>
      <c r="BL1329" s="2" t="s">
        <v>163</v>
      </c>
      <c r="BM1329" s="2" t="s">
        <v>23202</v>
      </c>
      <c r="BN1329" s="2"/>
      <c r="BO1329" s="2" t="s">
        <v>165</v>
      </c>
      <c r="BP1329" s="2"/>
      <c r="BQ1329" s="2"/>
      <c r="BR1329" s="2" t="s">
        <v>104</v>
      </c>
      <c r="BS1329" s="2" t="s">
        <v>23203</v>
      </c>
      <c r="BT1329" s="2" t="str">
        <f aca="false">HYPERLINK("https%3A%2F%2Fwww.webofscience.com%2Fwos%2Fwoscc%2Ffull-record%2FWOS:000277545400016","View Full Record in Web of Science")</f>
        <v>View Full Record in Web of Science</v>
      </c>
    </row>
    <row r="1330" customFormat="false" ht="12.75" hidden="false" customHeight="false" outlineLevel="0" collapsed="false">
      <c r="A1330" s="2" t="s">
        <v>72</v>
      </c>
      <c r="B1330" s="2" t="s">
        <v>23204</v>
      </c>
      <c r="C1330" s="2"/>
      <c r="D1330" s="2"/>
      <c r="E1330" s="2"/>
      <c r="F1330" s="2" t="s">
        <v>23205</v>
      </c>
      <c r="G1330" s="2"/>
      <c r="H1330" s="2"/>
      <c r="I1330" s="2" t="s">
        <v>23206</v>
      </c>
      <c r="J1330" s="2" t="s">
        <v>7244</v>
      </c>
      <c r="K1330" s="2"/>
      <c r="L1330" s="2"/>
      <c r="M1330" s="2" t="s">
        <v>77</v>
      </c>
      <c r="N1330" s="2" t="s">
        <v>78</v>
      </c>
      <c r="O1330" s="2"/>
      <c r="P1330" s="2"/>
      <c r="Q1330" s="2"/>
      <c r="R1330" s="2"/>
      <c r="S1330" s="2"/>
      <c r="T1330" s="2" t="s">
        <v>23207</v>
      </c>
      <c r="U1330" s="2" t="s">
        <v>23208</v>
      </c>
      <c r="V1330" s="2" t="s">
        <v>23209</v>
      </c>
      <c r="W1330" s="2" t="s">
        <v>23210</v>
      </c>
      <c r="X1330" s="2" t="s">
        <v>6739</v>
      </c>
      <c r="Y1330" s="2" t="s">
        <v>23211</v>
      </c>
      <c r="Z1330" s="2" t="s">
        <v>23212</v>
      </c>
      <c r="AA1330" s="2" t="s">
        <v>23213</v>
      </c>
      <c r="AB1330" s="2"/>
      <c r="AC1330" s="2"/>
      <c r="AD1330" s="2"/>
      <c r="AE1330" s="2"/>
      <c r="AF1330" s="2"/>
      <c r="AG1330" s="2" t="n">
        <v>39</v>
      </c>
      <c r="AH1330" s="2" t="n">
        <v>46</v>
      </c>
      <c r="AI1330" s="2" t="n">
        <v>51</v>
      </c>
      <c r="AJ1330" s="2" t="n">
        <v>0</v>
      </c>
      <c r="AK1330" s="2" t="n">
        <v>3</v>
      </c>
      <c r="AL1330" s="2" t="s">
        <v>22630</v>
      </c>
      <c r="AM1330" s="2" t="s">
        <v>783</v>
      </c>
      <c r="AN1330" s="2" t="s">
        <v>22631</v>
      </c>
      <c r="AO1330" s="2" t="s">
        <v>7252</v>
      </c>
      <c r="AP1330" s="2"/>
      <c r="AQ1330" s="2"/>
      <c r="AR1330" s="2" t="s">
        <v>7254</v>
      </c>
      <c r="AS1330" s="2" t="s">
        <v>7255</v>
      </c>
      <c r="AT1330" s="2" t="s">
        <v>804</v>
      </c>
      <c r="AU1330" s="2" t="n">
        <v>2006</v>
      </c>
      <c r="AV1330" s="2" t="n">
        <v>12</v>
      </c>
      <c r="AW1330" s="2" t="n">
        <v>11</v>
      </c>
      <c r="AX1330" s="2"/>
      <c r="AY1330" s="2"/>
      <c r="AZ1330" s="2"/>
      <c r="BA1330" s="2"/>
      <c r="BB1330" s="2" t="n">
        <v>1089</v>
      </c>
      <c r="BC1330" s="2" t="n">
        <v>1096</v>
      </c>
      <c r="BD1330" s="2"/>
      <c r="BE1330" s="2" t="s">
        <v>23214</v>
      </c>
      <c r="BF1330" s="2" t="str">
        <f aca="false">HYPERLINK("http://dx.doi.org/10.1111/j.1469-0691.2006.01506.x","http://dx.doi.org/10.1111/j.1469-0691.2006.01506.x")</f>
        <v>http://dx.doi.org/10.1111/j.1469-0691.2006.01506.x</v>
      </c>
      <c r="BG1330" s="2"/>
      <c r="BH1330" s="2"/>
      <c r="BI1330" s="2" t="n">
        <v>8</v>
      </c>
      <c r="BJ1330" s="2" t="s">
        <v>1467</v>
      </c>
      <c r="BK1330" s="2" t="s">
        <v>100</v>
      </c>
      <c r="BL1330" s="2" t="s">
        <v>1467</v>
      </c>
      <c r="BM1330" s="2" t="s">
        <v>23215</v>
      </c>
      <c r="BN1330" s="2" t="n">
        <v>17002608</v>
      </c>
      <c r="BO1330" s="2" t="s">
        <v>165</v>
      </c>
      <c r="BP1330" s="2"/>
      <c r="BQ1330" s="2"/>
      <c r="BR1330" s="2" t="s">
        <v>104</v>
      </c>
      <c r="BS1330" s="2" t="s">
        <v>23216</v>
      </c>
      <c r="BT1330" s="2" t="str">
        <f aca="false">HYPERLINK("https%3A%2F%2Fwww.webofscience.com%2Fwos%2Fwoscc%2Ffull-record%2FWOS:000240774000006","View Full Record in Web of Science")</f>
        <v>View Full Record in Web of Science</v>
      </c>
    </row>
    <row r="1331" customFormat="false" ht="12.75" hidden="false" customHeight="false" outlineLevel="0" collapsed="false">
      <c r="A1331" s="2" t="s">
        <v>72</v>
      </c>
      <c r="B1331" s="2" t="s">
        <v>23217</v>
      </c>
      <c r="C1331" s="2"/>
      <c r="D1331" s="2"/>
      <c r="E1331" s="2"/>
      <c r="F1331" s="2" t="s">
        <v>23218</v>
      </c>
      <c r="G1331" s="2"/>
      <c r="H1331" s="2"/>
      <c r="I1331" s="2" t="s">
        <v>23219</v>
      </c>
      <c r="J1331" s="2" t="s">
        <v>581</v>
      </c>
      <c r="K1331" s="2"/>
      <c r="L1331" s="2"/>
      <c r="M1331" s="2" t="s">
        <v>77</v>
      </c>
      <c r="N1331" s="2" t="s">
        <v>78</v>
      </c>
      <c r="O1331" s="2"/>
      <c r="P1331" s="2"/>
      <c r="Q1331" s="2"/>
      <c r="R1331" s="2"/>
      <c r="S1331" s="2"/>
      <c r="T1331" s="2" t="s">
        <v>23220</v>
      </c>
      <c r="U1331" s="2" t="s">
        <v>23221</v>
      </c>
      <c r="V1331" s="2" t="s">
        <v>23222</v>
      </c>
      <c r="W1331" s="2" t="s">
        <v>23223</v>
      </c>
      <c r="X1331" s="2" t="s">
        <v>23224</v>
      </c>
      <c r="Y1331" s="2" t="s">
        <v>23225</v>
      </c>
      <c r="Z1331" s="2" t="s">
        <v>23226</v>
      </c>
      <c r="AA1331" s="2" t="s">
        <v>23227</v>
      </c>
      <c r="AB1331" s="2" t="s">
        <v>23228</v>
      </c>
      <c r="AC1331" s="2" t="s">
        <v>23229</v>
      </c>
      <c r="AD1331" s="2" t="s">
        <v>23230</v>
      </c>
      <c r="AE1331" s="2" t="s">
        <v>23231</v>
      </c>
      <c r="AF1331" s="2"/>
      <c r="AG1331" s="2" t="n">
        <v>20</v>
      </c>
      <c r="AH1331" s="2" t="n">
        <v>11</v>
      </c>
      <c r="AI1331" s="2" t="n">
        <v>12</v>
      </c>
      <c r="AJ1331" s="2" t="n">
        <v>0</v>
      </c>
      <c r="AK1331" s="2" t="n">
        <v>3</v>
      </c>
      <c r="AL1331" s="2" t="s">
        <v>592</v>
      </c>
      <c r="AM1331" s="2" t="s">
        <v>593</v>
      </c>
      <c r="AN1331" s="2" t="s">
        <v>859</v>
      </c>
      <c r="AO1331" s="2" t="s">
        <v>595</v>
      </c>
      <c r="AP1331" s="2" t="s">
        <v>596</v>
      </c>
      <c r="AQ1331" s="2"/>
      <c r="AR1331" s="2" t="s">
        <v>597</v>
      </c>
      <c r="AS1331" s="2" t="s">
        <v>598</v>
      </c>
      <c r="AT1331" s="2" t="s">
        <v>692</v>
      </c>
      <c r="AU1331" s="2" t="n">
        <v>2021</v>
      </c>
      <c r="AV1331" s="2" t="n">
        <v>180</v>
      </c>
      <c r="AW1331" s="2" t="n">
        <v>4</v>
      </c>
      <c r="AX1331" s="2"/>
      <c r="AY1331" s="2"/>
      <c r="AZ1331" s="2"/>
      <c r="BA1331" s="2"/>
      <c r="BB1331" s="2" t="n">
        <v>1229</v>
      </c>
      <c r="BC1331" s="2" t="n">
        <v>1234</v>
      </c>
      <c r="BD1331" s="2"/>
      <c r="BE1331" s="2" t="s">
        <v>23232</v>
      </c>
      <c r="BF1331" s="2" t="str">
        <f aca="false">HYPERLINK("http://dx.doi.org/10.1007/s00431-020-03852-9","http://dx.doi.org/10.1007/s00431-020-03852-9")</f>
        <v>http://dx.doi.org/10.1007/s00431-020-03852-9</v>
      </c>
      <c r="BG1331" s="2"/>
      <c r="BH1331" s="2" t="s">
        <v>10907</v>
      </c>
      <c r="BI1331" s="2" t="n">
        <v>6</v>
      </c>
      <c r="BJ1331" s="2" t="s">
        <v>601</v>
      </c>
      <c r="BK1331" s="2" t="s">
        <v>100</v>
      </c>
      <c r="BL1331" s="2" t="s">
        <v>601</v>
      </c>
      <c r="BM1331" s="2" t="s">
        <v>23233</v>
      </c>
      <c r="BN1331" s="2" t="n">
        <v>33161501</v>
      </c>
      <c r="BO1331" s="2" t="s">
        <v>136</v>
      </c>
      <c r="BP1331" s="2"/>
      <c r="BQ1331" s="2"/>
      <c r="BR1331" s="2" t="s">
        <v>104</v>
      </c>
      <c r="BS1331" s="2" t="s">
        <v>23234</v>
      </c>
      <c r="BT1331" s="2" t="str">
        <f aca="false">HYPERLINK("https%3A%2F%2Fwww.webofscience.com%2Fwos%2Fwoscc%2Ffull-record%2FWOS:000587277000001","View Full Record in Web of Science")</f>
        <v>View Full Record in Web of Science</v>
      </c>
    </row>
    <row r="1332" customFormat="false" ht="12.75" hidden="false" customHeight="false" outlineLevel="0" collapsed="false">
      <c r="A1332" s="2" t="s">
        <v>72</v>
      </c>
      <c r="B1332" s="2" t="s">
        <v>23235</v>
      </c>
      <c r="C1332" s="2"/>
      <c r="D1332" s="2"/>
      <c r="E1332" s="2"/>
      <c r="F1332" s="2" t="s">
        <v>23236</v>
      </c>
      <c r="G1332" s="2"/>
      <c r="H1332" s="2"/>
      <c r="I1332" s="2" t="s">
        <v>23237</v>
      </c>
      <c r="J1332" s="2" t="s">
        <v>23238</v>
      </c>
      <c r="K1332" s="2"/>
      <c r="L1332" s="2"/>
      <c r="M1332" s="2" t="s">
        <v>77</v>
      </c>
      <c r="N1332" s="2" t="s">
        <v>78</v>
      </c>
      <c r="O1332" s="2"/>
      <c r="P1332" s="2"/>
      <c r="Q1332" s="2"/>
      <c r="R1332" s="2"/>
      <c r="S1332" s="2"/>
      <c r="T1332" s="2" t="s">
        <v>23239</v>
      </c>
      <c r="U1332" s="2" t="s">
        <v>23240</v>
      </c>
      <c r="V1332" s="2" t="s">
        <v>23241</v>
      </c>
      <c r="W1332" s="2" t="s">
        <v>23242</v>
      </c>
      <c r="X1332" s="2" t="s">
        <v>23243</v>
      </c>
      <c r="Y1332" s="2" t="s">
        <v>23244</v>
      </c>
      <c r="Z1332" s="2" t="s">
        <v>749</v>
      </c>
      <c r="AA1332" s="2" t="s">
        <v>4709</v>
      </c>
      <c r="AB1332" s="2" t="s">
        <v>23245</v>
      </c>
      <c r="AC1332" s="2" t="s">
        <v>23246</v>
      </c>
      <c r="AD1332" s="2" t="s">
        <v>22540</v>
      </c>
      <c r="AE1332" s="2" t="s">
        <v>23247</v>
      </c>
      <c r="AF1332" s="2"/>
      <c r="AG1332" s="2" t="n">
        <v>36</v>
      </c>
      <c r="AH1332" s="2" t="n">
        <v>5</v>
      </c>
      <c r="AI1332" s="2" t="n">
        <v>7</v>
      </c>
      <c r="AJ1332" s="2" t="n">
        <v>0</v>
      </c>
      <c r="AK1332" s="2" t="n">
        <v>5</v>
      </c>
      <c r="AL1332" s="2" t="s">
        <v>592</v>
      </c>
      <c r="AM1332" s="2" t="s">
        <v>593</v>
      </c>
      <c r="AN1332" s="2" t="s">
        <v>859</v>
      </c>
      <c r="AO1332" s="2" t="s">
        <v>23248</v>
      </c>
      <c r="AP1332" s="2" t="s">
        <v>23249</v>
      </c>
      <c r="AQ1332" s="2"/>
      <c r="AR1332" s="2" t="s">
        <v>23250</v>
      </c>
      <c r="AS1332" s="2" t="s">
        <v>23251</v>
      </c>
      <c r="AT1332" s="2" t="s">
        <v>446</v>
      </c>
      <c r="AU1332" s="2" t="n">
        <v>2017</v>
      </c>
      <c r="AV1332" s="2" t="n">
        <v>47</v>
      </c>
      <c r="AW1332" s="2" t="n">
        <v>13</v>
      </c>
      <c r="AX1332" s="2"/>
      <c r="AY1332" s="2"/>
      <c r="AZ1332" s="2"/>
      <c r="BA1332" s="2"/>
      <c r="BB1332" s="2" t="n">
        <v>1745</v>
      </c>
      <c r="BC1332" s="2" t="n">
        <v>1750</v>
      </c>
      <c r="BD1332" s="2"/>
      <c r="BE1332" s="2" t="s">
        <v>23252</v>
      </c>
      <c r="BF1332" s="2" t="str">
        <f aca="false">HYPERLINK("http://dx.doi.org/10.1007/s00247-017-3943-5","http://dx.doi.org/10.1007/s00247-017-3943-5")</f>
        <v>http://dx.doi.org/10.1007/s00247-017-3943-5</v>
      </c>
      <c r="BG1332" s="2"/>
      <c r="BH1332" s="2"/>
      <c r="BI1332" s="2" t="n">
        <v>6</v>
      </c>
      <c r="BJ1332" s="2" t="s">
        <v>23253</v>
      </c>
      <c r="BK1332" s="2" t="s">
        <v>100</v>
      </c>
      <c r="BL1332" s="2" t="s">
        <v>23253</v>
      </c>
      <c r="BM1332" s="2" t="s">
        <v>23254</v>
      </c>
      <c r="BN1332" s="2" t="n">
        <v>28831577</v>
      </c>
      <c r="BO1332" s="2" t="s">
        <v>695</v>
      </c>
      <c r="BP1332" s="2"/>
      <c r="BQ1332" s="2"/>
      <c r="BR1332" s="2" t="s">
        <v>104</v>
      </c>
      <c r="BS1332" s="2" t="s">
        <v>23255</v>
      </c>
      <c r="BT1332" s="2" t="str">
        <f aca="false">HYPERLINK("https%3A%2F%2Fwww.webofscience.com%2Fwos%2Fwoscc%2Ffull-record%2FWOS:000415831000006","View Full Record in Web of Science")</f>
        <v>View Full Record in Web of Science</v>
      </c>
    </row>
    <row r="1333" customFormat="false" ht="12.75" hidden="false" customHeight="false" outlineLevel="0" collapsed="false">
      <c r="A1333" s="2" t="s">
        <v>72</v>
      </c>
      <c r="B1333" s="2" t="s">
        <v>23256</v>
      </c>
      <c r="C1333" s="2"/>
      <c r="D1333" s="2"/>
      <c r="E1333" s="2"/>
      <c r="F1333" s="2" t="s">
        <v>23257</v>
      </c>
      <c r="G1333" s="2"/>
      <c r="H1333" s="2"/>
      <c r="I1333" s="2" t="s">
        <v>23258</v>
      </c>
      <c r="J1333" s="2" t="s">
        <v>1290</v>
      </c>
      <c r="K1333" s="2"/>
      <c r="L1333" s="2"/>
      <c r="M1333" s="2" t="s">
        <v>77</v>
      </c>
      <c r="N1333" s="2" t="s">
        <v>78</v>
      </c>
      <c r="O1333" s="2"/>
      <c r="P1333" s="2"/>
      <c r="Q1333" s="2"/>
      <c r="R1333" s="2"/>
      <c r="S1333" s="2"/>
      <c r="T1333" s="2" t="s">
        <v>23259</v>
      </c>
      <c r="U1333" s="2" t="s">
        <v>23260</v>
      </c>
      <c r="V1333" s="2" t="s">
        <v>23261</v>
      </c>
      <c r="W1333" s="2" t="s">
        <v>23262</v>
      </c>
      <c r="X1333" s="2" t="s">
        <v>23263</v>
      </c>
      <c r="Y1333" s="2" t="s">
        <v>23264</v>
      </c>
      <c r="Z1333" s="2" t="s">
        <v>23265</v>
      </c>
      <c r="AA1333" s="2"/>
      <c r="AB1333" s="2" t="s">
        <v>23266</v>
      </c>
      <c r="AC1333" s="2" t="s">
        <v>23267</v>
      </c>
      <c r="AD1333" s="2" t="s">
        <v>23267</v>
      </c>
      <c r="AE1333" s="2" t="s">
        <v>23268</v>
      </c>
      <c r="AF1333" s="2"/>
      <c r="AG1333" s="2" t="n">
        <v>38</v>
      </c>
      <c r="AH1333" s="2" t="n">
        <v>21</v>
      </c>
      <c r="AI1333" s="2" t="n">
        <v>24</v>
      </c>
      <c r="AJ1333" s="2" t="n">
        <v>0</v>
      </c>
      <c r="AK1333" s="2" t="n">
        <v>2</v>
      </c>
      <c r="AL1333" s="2" t="s">
        <v>154</v>
      </c>
      <c r="AM1333" s="2" t="s">
        <v>155</v>
      </c>
      <c r="AN1333" s="2" t="s">
        <v>156</v>
      </c>
      <c r="AO1333" s="2" t="s">
        <v>1302</v>
      </c>
      <c r="AP1333" s="2" t="s">
        <v>1303</v>
      </c>
      <c r="AQ1333" s="2"/>
      <c r="AR1333" s="2" t="s">
        <v>1304</v>
      </c>
      <c r="AS1333" s="2" t="s">
        <v>1305</v>
      </c>
      <c r="AT1333" s="2" t="s">
        <v>1041</v>
      </c>
      <c r="AU1333" s="2" t="n">
        <v>2017</v>
      </c>
      <c r="AV1333" s="2" t="n">
        <v>52</v>
      </c>
      <c r="AW1333" s="2" t="n">
        <v>2</v>
      </c>
      <c r="AX1333" s="2"/>
      <c r="AY1333" s="2"/>
      <c r="AZ1333" s="2"/>
      <c r="BA1333" s="2"/>
      <c r="BB1333" s="2" t="n">
        <v>238</v>
      </c>
      <c r="BC1333" s="2" t="n">
        <v>246</v>
      </c>
      <c r="BD1333" s="2"/>
      <c r="BE1333" s="2" t="s">
        <v>23269</v>
      </c>
      <c r="BF1333" s="2" t="str">
        <f aca="false">HYPERLINK("http://dx.doi.org/10.1002/ppul.23514","http://dx.doi.org/10.1002/ppul.23514")</f>
        <v>http://dx.doi.org/10.1002/ppul.23514</v>
      </c>
      <c r="BG1333" s="2"/>
      <c r="BH1333" s="2"/>
      <c r="BI1333" s="2" t="n">
        <v>9</v>
      </c>
      <c r="BJ1333" s="2" t="s">
        <v>1307</v>
      </c>
      <c r="BK1333" s="2" t="s">
        <v>100</v>
      </c>
      <c r="BL1333" s="2" t="s">
        <v>1307</v>
      </c>
      <c r="BM1333" s="2" t="s">
        <v>23270</v>
      </c>
      <c r="BN1333" s="2" t="n">
        <v>27410761</v>
      </c>
      <c r="BO1333" s="2"/>
      <c r="BP1333" s="2"/>
      <c r="BQ1333" s="2"/>
      <c r="BR1333" s="2" t="s">
        <v>104</v>
      </c>
      <c r="BS1333" s="2" t="s">
        <v>23271</v>
      </c>
      <c r="BT1333" s="2" t="str">
        <f aca="false">HYPERLINK("https%3A%2F%2Fwww.webofscience.com%2Fwos%2Fwoscc%2Ffull-record%2FWOS:000394716800016","View Full Record in Web of Science")</f>
        <v>View Full Record in Web of Science</v>
      </c>
    </row>
    <row r="1334" customFormat="false" ht="12.75" hidden="false" customHeight="false" outlineLevel="0" collapsed="false">
      <c r="A1334" s="2" t="s">
        <v>72</v>
      </c>
      <c r="B1334" s="2" t="s">
        <v>23272</v>
      </c>
      <c r="C1334" s="2"/>
      <c r="D1334" s="2"/>
      <c r="E1334" s="2"/>
      <c r="F1334" s="2" t="s">
        <v>23273</v>
      </c>
      <c r="G1334" s="2"/>
      <c r="H1334" s="2"/>
      <c r="I1334" s="2" t="s">
        <v>23274</v>
      </c>
      <c r="J1334" s="2" t="s">
        <v>23275</v>
      </c>
      <c r="K1334" s="2"/>
      <c r="L1334" s="2"/>
      <c r="M1334" s="2" t="s">
        <v>77</v>
      </c>
      <c r="N1334" s="2" t="s">
        <v>78</v>
      </c>
      <c r="O1334" s="2"/>
      <c r="P1334" s="2"/>
      <c r="Q1334" s="2"/>
      <c r="R1334" s="2"/>
      <c r="S1334" s="2"/>
      <c r="T1334" s="2" t="s">
        <v>23276</v>
      </c>
      <c r="U1334" s="2" t="s">
        <v>23277</v>
      </c>
      <c r="V1334" s="2" t="s">
        <v>23278</v>
      </c>
      <c r="W1334" s="2" t="s">
        <v>23279</v>
      </c>
      <c r="X1334" s="2" t="s">
        <v>23280</v>
      </c>
      <c r="Y1334" s="2" t="s">
        <v>23281</v>
      </c>
      <c r="Z1334" s="2" t="s">
        <v>16590</v>
      </c>
      <c r="AA1334" s="2" t="s">
        <v>23282</v>
      </c>
      <c r="AB1334" s="2" t="s">
        <v>23283</v>
      </c>
      <c r="AC1334" s="2"/>
      <c r="AD1334" s="2"/>
      <c r="AE1334" s="2"/>
      <c r="AF1334" s="2"/>
      <c r="AG1334" s="2" t="n">
        <v>32</v>
      </c>
      <c r="AH1334" s="2" t="n">
        <v>80</v>
      </c>
      <c r="AI1334" s="2" t="n">
        <v>85</v>
      </c>
      <c r="AJ1334" s="2" t="n">
        <v>1</v>
      </c>
      <c r="AK1334" s="2" t="n">
        <v>22</v>
      </c>
      <c r="AL1334" s="2" t="s">
        <v>5588</v>
      </c>
      <c r="AM1334" s="2" t="s">
        <v>5589</v>
      </c>
      <c r="AN1334" s="2" t="s">
        <v>5590</v>
      </c>
      <c r="AO1334" s="2" t="s">
        <v>23284</v>
      </c>
      <c r="AP1334" s="2" t="s">
        <v>23285</v>
      </c>
      <c r="AQ1334" s="2"/>
      <c r="AR1334" s="2" t="s">
        <v>23286</v>
      </c>
      <c r="AS1334" s="2" t="s">
        <v>23287</v>
      </c>
      <c r="AT1334" s="2" t="s">
        <v>336</v>
      </c>
      <c r="AU1334" s="2" t="n">
        <v>2017</v>
      </c>
      <c r="AV1334" s="2" t="n">
        <v>158</v>
      </c>
      <c r="AW1334" s="2"/>
      <c r="AX1334" s="2"/>
      <c r="AY1334" s="2"/>
      <c r="AZ1334" s="2"/>
      <c r="BA1334" s="2"/>
      <c r="BB1334" s="2" t="n">
        <v>188</v>
      </c>
      <c r="BC1334" s="2" t="n">
        <v>193</v>
      </c>
      <c r="BD1334" s="2"/>
      <c r="BE1334" s="2" t="s">
        <v>23288</v>
      </c>
      <c r="BF1334" s="2" t="str">
        <f aca="false">HYPERLINK("http://dx.doi.org/10.1016/j.envres.2017.06.014","http://dx.doi.org/10.1016/j.envres.2017.06.014")</f>
        <v>http://dx.doi.org/10.1016/j.envres.2017.06.014</v>
      </c>
      <c r="BG1334" s="2"/>
      <c r="BH1334" s="2"/>
      <c r="BI1334" s="2" t="n">
        <v>6</v>
      </c>
      <c r="BJ1334" s="2" t="s">
        <v>3921</v>
      </c>
      <c r="BK1334" s="2" t="s">
        <v>100</v>
      </c>
      <c r="BL1334" s="2" t="s">
        <v>3922</v>
      </c>
      <c r="BM1334" s="2" t="s">
        <v>23289</v>
      </c>
      <c r="BN1334" s="2" t="n">
        <v>28647513</v>
      </c>
      <c r="BO1334" s="2" t="s">
        <v>165</v>
      </c>
      <c r="BP1334" s="2"/>
      <c r="BQ1334" s="2"/>
      <c r="BR1334" s="2" t="s">
        <v>104</v>
      </c>
      <c r="BS1334" s="2" t="s">
        <v>23290</v>
      </c>
      <c r="BT1334" s="2" t="str">
        <f aca="false">HYPERLINK("https%3A%2F%2Fwww.webofscience.com%2Fwos%2Fwoscc%2Ffull-record%2FWOS:000408184700021","View Full Record in Web of Science")</f>
        <v>View Full Record in Web of Science</v>
      </c>
    </row>
    <row r="1335" customFormat="false" ht="12.75" hidden="false" customHeight="false" outlineLevel="0" collapsed="false">
      <c r="A1335" s="2" t="s">
        <v>72</v>
      </c>
      <c r="B1335" s="2" t="s">
        <v>23291</v>
      </c>
      <c r="C1335" s="2"/>
      <c r="D1335" s="2"/>
      <c r="E1335" s="2"/>
      <c r="F1335" s="2" t="s">
        <v>23291</v>
      </c>
      <c r="G1335" s="2"/>
      <c r="H1335" s="2"/>
      <c r="I1335" s="2" t="s">
        <v>23292</v>
      </c>
      <c r="J1335" s="2" t="s">
        <v>7379</v>
      </c>
      <c r="K1335" s="2"/>
      <c r="L1335" s="2"/>
      <c r="M1335" s="2" t="s">
        <v>77</v>
      </c>
      <c r="N1335" s="2" t="s">
        <v>78</v>
      </c>
      <c r="O1335" s="2"/>
      <c r="P1335" s="2"/>
      <c r="Q1335" s="2"/>
      <c r="R1335" s="2"/>
      <c r="S1335" s="2"/>
      <c r="T1335" s="2" t="s">
        <v>23293</v>
      </c>
      <c r="U1335" s="2"/>
      <c r="V1335" s="2" t="s">
        <v>23294</v>
      </c>
      <c r="W1335" s="2" t="s">
        <v>23295</v>
      </c>
      <c r="X1335" s="2" t="s">
        <v>23296</v>
      </c>
      <c r="Y1335" s="2" t="s">
        <v>23297</v>
      </c>
      <c r="Z1335" s="2" t="s">
        <v>23298</v>
      </c>
      <c r="AA1335" s="2"/>
      <c r="AB1335" s="2" t="s">
        <v>23299</v>
      </c>
      <c r="AC1335" s="2"/>
      <c r="AD1335" s="2"/>
      <c r="AE1335" s="2"/>
      <c r="AF1335" s="2"/>
      <c r="AG1335" s="2" t="n">
        <v>28</v>
      </c>
      <c r="AH1335" s="2" t="n">
        <v>199</v>
      </c>
      <c r="AI1335" s="2" t="n">
        <v>206</v>
      </c>
      <c r="AJ1335" s="2" t="n">
        <v>0</v>
      </c>
      <c r="AK1335" s="2" t="n">
        <v>2</v>
      </c>
      <c r="AL1335" s="2" t="s">
        <v>3813</v>
      </c>
      <c r="AM1335" s="2" t="s">
        <v>4498</v>
      </c>
      <c r="AN1335" s="2" t="s">
        <v>4499</v>
      </c>
      <c r="AO1335" s="2" t="s">
        <v>7389</v>
      </c>
      <c r="AP1335" s="2"/>
      <c r="AQ1335" s="2"/>
      <c r="AR1335" s="2" t="s">
        <v>7391</v>
      </c>
      <c r="AS1335" s="2" t="s">
        <v>7392</v>
      </c>
      <c r="AT1335" s="2" t="s">
        <v>185</v>
      </c>
      <c r="AU1335" s="2" t="n">
        <v>2005</v>
      </c>
      <c r="AV1335" s="2" t="n">
        <v>5</v>
      </c>
      <c r="AW1335" s="2" t="n">
        <v>8</v>
      </c>
      <c r="AX1335" s="2"/>
      <c r="AY1335" s="2"/>
      <c r="AZ1335" s="2"/>
      <c r="BA1335" s="2"/>
      <c r="BB1335" s="2" t="n">
        <v>2031</v>
      </c>
      <c r="BC1335" s="2" t="n">
        <v>2036</v>
      </c>
      <c r="BD1335" s="2"/>
      <c r="BE1335" s="2" t="s">
        <v>23300</v>
      </c>
      <c r="BF1335" s="2" t="str">
        <f aca="false">HYPERLINK("http://dx.doi.org/10.1111/j.1600-6143.2005.00971.x","http://dx.doi.org/10.1111/j.1600-6143.2005.00971.x")</f>
        <v>http://dx.doi.org/10.1111/j.1600-6143.2005.00971.x</v>
      </c>
      <c r="BG1335" s="2"/>
      <c r="BH1335" s="2"/>
      <c r="BI1335" s="2" t="n">
        <v>6</v>
      </c>
      <c r="BJ1335" s="2" t="s">
        <v>7394</v>
      </c>
      <c r="BK1335" s="2" t="s">
        <v>100</v>
      </c>
      <c r="BL1335" s="2" t="s">
        <v>7394</v>
      </c>
      <c r="BM1335" s="2" t="s">
        <v>23301</v>
      </c>
      <c r="BN1335" s="2" t="n">
        <v>15996256</v>
      </c>
      <c r="BO1335" s="2" t="s">
        <v>165</v>
      </c>
      <c r="BP1335" s="2"/>
      <c r="BQ1335" s="2"/>
      <c r="BR1335" s="2" t="s">
        <v>104</v>
      </c>
      <c r="BS1335" s="2" t="s">
        <v>23302</v>
      </c>
      <c r="BT1335" s="2" t="str">
        <f aca="false">HYPERLINK("https%3A%2F%2Fwww.webofscience.com%2Fwos%2Fwoscc%2Ffull-record%2FWOS:000230291500035","View Full Record in Web of Science")</f>
        <v>View Full Record in Web of Science</v>
      </c>
    </row>
    <row r="1336" customFormat="false" ht="12.75" hidden="false" customHeight="false" outlineLevel="0" collapsed="false">
      <c r="A1336" s="2" t="s">
        <v>72</v>
      </c>
      <c r="B1336" s="2" t="s">
        <v>23303</v>
      </c>
      <c r="C1336" s="2"/>
      <c r="D1336" s="2"/>
      <c r="E1336" s="2"/>
      <c r="F1336" s="2" t="s">
        <v>23304</v>
      </c>
      <c r="G1336" s="2"/>
      <c r="H1336" s="2"/>
      <c r="I1336" s="2" t="s">
        <v>23305</v>
      </c>
      <c r="J1336" s="2" t="s">
        <v>23306</v>
      </c>
      <c r="K1336" s="2"/>
      <c r="L1336" s="2"/>
      <c r="M1336" s="2" t="s">
        <v>77</v>
      </c>
      <c r="N1336" s="2" t="s">
        <v>78</v>
      </c>
      <c r="O1336" s="2"/>
      <c r="P1336" s="2"/>
      <c r="Q1336" s="2"/>
      <c r="R1336" s="2"/>
      <c r="S1336" s="2"/>
      <c r="T1336" s="2" t="s">
        <v>23307</v>
      </c>
      <c r="U1336" s="2" t="s">
        <v>23308</v>
      </c>
      <c r="V1336" s="2" t="s">
        <v>23309</v>
      </c>
      <c r="W1336" s="2" t="s">
        <v>23310</v>
      </c>
      <c r="X1336" s="2" t="s">
        <v>23311</v>
      </c>
      <c r="Y1336" s="2" t="s">
        <v>23312</v>
      </c>
      <c r="Z1336" s="2" t="s">
        <v>23313</v>
      </c>
      <c r="AA1336" s="2"/>
      <c r="AB1336" s="2" t="s">
        <v>23314</v>
      </c>
      <c r="AC1336" s="2"/>
      <c r="AD1336" s="2"/>
      <c r="AE1336" s="2"/>
      <c r="AF1336" s="2"/>
      <c r="AG1336" s="2" t="n">
        <v>20</v>
      </c>
      <c r="AH1336" s="2" t="n">
        <v>5</v>
      </c>
      <c r="AI1336" s="2" t="n">
        <v>5</v>
      </c>
      <c r="AJ1336" s="2" t="n">
        <v>0</v>
      </c>
      <c r="AK1336" s="2" t="n">
        <v>2</v>
      </c>
      <c r="AL1336" s="2" t="s">
        <v>23315</v>
      </c>
      <c r="AM1336" s="2" t="s">
        <v>3668</v>
      </c>
      <c r="AN1336" s="2" t="s">
        <v>23316</v>
      </c>
      <c r="AO1336" s="2" t="s">
        <v>23317</v>
      </c>
      <c r="AP1336" s="2"/>
      <c r="AQ1336" s="2"/>
      <c r="AR1336" s="2" t="s">
        <v>23318</v>
      </c>
      <c r="AS1336" s="2" t="s">
        <v>23319</v>
      </c>
      <c r="AT1336" s="2" t="s">
        <v>486</v>
      </c>
      <c r="AU1336" s="2" t="n">
        <v>2019</v>
      </c>
      <c r="AV1336" s="2" t="n">
        <v>17</v>
      </c>
      <c r="AW1336" s="2" t="n">
        <v>3</v>
      </c>
      <c r="AX1336" s="2"/>
      <c r="AY1336" s="2"/>
      <c r="AZ1336" s="2"/>
      <c r="BA1336" s="2"/>
      <c r="BB1336" s="2" t="n">
        <v>393</v>
      </c>
      <c r="BC1336" s="2" t="n">
        <v>397</v>
      </c>
      <c r="BD1336" s="2"/>
      <c r="BE1336" s="2" t="s">
        <v>23320</v>
      </c>
      <c r="BF1336" s="2" t="str">
        <f aca="false">HYPERLINK("http://dx.doi.org/10.6002/ect.2017.0133","http://dx.doi.org/10.6002/ect.2017.0133")</f>
        <v>http://dx.doi.org/10.6002/ect.2017.0133</v>
      </c>
      <c r="BG1336" s="2"/>
      <c r="BH1336" s="2"/>
      <c r="BI1336" s="2" t="n">
        <v>5</v>
      </c>
      <c r="BJ1336" s="2" t="s">
        <v>10098</v>
      </c>
      <c r="BK1336" s="2" t="s">
        <v>100</v>
      </c>
      <c r="BL1336" s="2" t="s">
        <v>10098</v>
      </c>
      <c r="BM1336" s="2" t="s">
        <v>23321</v>
      </c>
      <c r="BN1336" s="2" t="n">
        <v>29108516</v>
      </c>
      <c r="BO1336" s="2"/>
      <c r="BP1336" s="2"/>
      <c r="BQ1336" s="2"/>
      <c r="BR1336" s="2" t="s">
        <v>104</v>
      </c>
      <c r="BS1336" s="2" t="s">
        <v>23322</v>
      </c>
      <c r="BT1336" s="2" t="str">
        <f aca="false">HYPERLINK("https%3A%2F%2Fwww.webofscience.com%2Fwos%2Fwoscc%2Ffull-record%2FWOS:000504883700016","View Full Record in Web of Science")</f>
        <v>View Full Record in Web of Science</v>
      </c>
    </row>
    <row r="1337" customFormat="false" ht="12.75" hidden="false" customHeight="false" outlineLevel="0" collapsed="false">
      <c r="A1337" s="2" t="s">
        <v>72</v>
      </c>
      <c r="B1337" s="2" t="s">
        <v>23323</v>
      </c>
      <c r="C1337" s="2"/>
      <c r="D1337" s="2"/>
      <c r="E1337" s="2"/>
      <c r="F1337" s="2" t="s">
        <v>23324</v>
      </c>
      <c r="G1337" s="2"/>
      <c r="H1337" s="2"/>
      <c r="I1337" s="2" t="s">
        <v>23325</v>
      </c>
      <c r="J1337" s="2" t="s">
        <v>7379</v>
      </c>
      <c r="K1337" s="2"/>
      <c r="L1337" s="2"/>
      <c r="M1337" s="2" t="s">
        <v>77</v>
      </c>
      <c r="N1337" s="2" t="s">
        <v>78</v>
      </c>
      <c r="O1337" s="2"/>
      <c r="P1337" s="2"/>
      <c r="Q1337" s="2"/>
      <c r="R1337" s="2"/>
      <c r="S1337" s="2"/>
      <c r="T1337" s="2" t="s">
        <v>23326</v>
      </c>
      <c r="U1337" s="2" t="s">
        <v>23327</v>
      </c>
      <c r="V1337" s="2" t="s">
        <v>23328</v>
      </c>
      <c r="W1337" s="2" t="s">
        <v>23329</v>
      </c>
      <c r="X1337" s="2" t="s">
        <v>23330</v>
      </c>
      <c r="Y1337" s="2" t="s">
        <v>23331</v>
      </c>
      <c r="Z1337" s="2" t="s">
        <v>23332</v>
      </c>
      <c r="AA1337" s="2" t="s">
        <v>23333</v>
      </c>
      <c r="AB1337" s="2" t="s">
        <v>23334</v>
      </c>
      <c r="AC1337" s="2" t="s">
        <v>23335</v>
      </c>
      <c r="AD1337" s="2" t="s">
        <v>23336</v>
      </c>
      <c r="AE1337" s="2" t="s">
        <v>23337</v>
      </c>
      <c r="AF1337" s="2"/>
      <c r="AG1337" s="2" t="n">
        <v>37</v>
      </c>
      <c r="AH1337" s="2" t="n">
        <v>16</v>
      </c>
      <c r="AI1337" s="2" t="n">
        <v>16</v>
      </c>
      <c r="AJ1337" s="2" t="n">
        <v>1</v>
      </c>
      <c r="AK1337" s="2" t="n">
        <v>4</v>
      </c>
      <c r="AL1337" s="2" t="s">
        <v>1460</v>
      </c>
      <c r="AM1337" s="2" t="s">
        <v>593</v>
      </c>
      <c r="AN1337" s="2" t="s">
        <v>2088</v>
      </c>
      <c r="AO1337" s="2" t="s">
        <v>7389</v>
      </c>
      <c r="AP1337" s="2" t="s">
        <v>7390</v>
      </c>
      <c r="AQ1337" s="2"/>
      <c r="AR1337" s="2" t="s">
        <v>7391</v>
      </c>
      <c r="AS1337" s="2" t="s">
        <v>7392</v>
      </c>
      <c r="AT1337" s="2" t="s">
        <v>804</v>
      </c>
      <c r="AU1337" s="2" t="n">
        <v>2022</v>
      </c>
      <c r="AV1337" s="2" t="n">
        <v>22</v>
      </c>
      <c r="AW1337" s="2" t="n">
        <v>11</v>
      </c>
      <c r="AX1337" s="2"/>
      <c r="AY1337" s="2"/>
      <c r="AZ1337" s="2"/>
      <c r="BA1337" s="2"/>
      <c r="BB1337" s="2" t="n">
        <v>2560</v>
      </c>
      <c r="BC1337" s="2" t="n">
        <v>2570</v>
      </c>
      <c r="BD1337" s="2"/>
      <c r="BE1337" s="2" t="s">
        <v>23338</v>
      </c>
      <c r="BF1337" s="2" t="str">
        <f aca="false">HYPERLINK("http://dx.doi.org/10.1111/ajt.17125","http://dx.doi.org/10.1111/ajt.17125")</f>
        <v>http://dx.doi.org/10.1111/ajt.17125</v>
      </c>
      <c r="BG1337" s="2"/>
      <c r="BH1337" s="2" t="s">
        <v>2216</v>
      </c>
      <c r="BI1337" s="2" t="n">
        <v>11</v>
      </c>
      <c r="BJ1337" s="2" t="s">
        <v>7394</v>
      </c>
      <c r="BK1337" s="2" t="s">
        <v>100</v>
      </c>
      <c r="BL1337" s="2" t="s">
        <v>7394</v>
      </c>
      <c r="BM1337" s="2" t="s">
        <v>23339</v>
      </c>
      <c r="BN1337" s="2" t="n">
        <v>35729715</v>
      </c>
      <c r="BO1337" s="2" t="s">
        <v>2278</v>
      </c>
      <c r="BP1337" s="2"/>
      <c r="BQ1337" s="2"/>
      <c r="BR1337" s="2" t="s">
        <v>104</v>
      </c>
      <c r="BS1337" s="2" t="s">
        <v>23340</v>
      </c>
      <c r="BT1337" s="2" t="str">
        <f aca="false">HYPERLINK("https%3A%2F%2Fwww.webofscience.com%2Fwos%2Fwoscc%2Ffull-record%2FWOS:000836285300001","View Full Record in Web of Science")</f>
        <v>View Full Record in Web of Science</v>
      </c>
    </row>
    <row r="1338" customFormat="false" ht="12.75" hidden="false" customHeight="false" outlineLevel="0" collapsed="false">
      <c r="A1338" s="2" t="s">
        <v>72</v>
      </c>
      <c r="B1338" s="2" t="s">
        <v>23341</v>
      </c>
      <c r="C1338" s="2"/>
      <c r="D1338" s="2"/>
      <c r="E1338" s="2"/>
      <c r="F1338" s="2" t="s">
        <v>23342</v>
      </c>
      <c r="G1338" s="2"/>
      <c r="H1338" s="2"/>
      <c r="I1338" s="2" t="s">
        <v>23343</v>
      </c>
      <c r="J1338" s="2" t="s">
        <v>3545</v>
      </c>
      <c r="K1338" s="2"/>
      <c r="L1338" s="2"/>
      <c r="M1338" s="2" t="s">
        <v>77</v>
      </c>
      <c r="N1338" s="2" t="s">
        <v>78</v>
      </c>
      <c r="O1338" s="2"/>
      <c r="P1338" s="2"/>
      <c r="Q1338" s="2"/>
      <c r="R1338" s="2"/>
      <c r="S1338" s="2"/>
      <c r="T1338" s="2" t="s">
        <v>23344</v>
      </c>
      <c r="U1338" s="2" t="s">
        <v>23345</v>
      </c>
      <c r="V1338" s="2" t="s">
        <v>23346</v>
      </c>
      <c r="W1338" s="2" t="s">
        <v>23347</v>
      </c>
      <c r="X1338" s="2" t="s">
        <v>23348</v>
      </c>
      <c r="Y1338" s="2" t="s">
        <v>23349</v>
      </c>
      <c r="Z1338" s="2" t="s">
        <v>23350</v>
      </c>
      <c r="AA1338" s="2"/>
      <c r="AB1338" s="2" t="s">
        <v>23351</v>
      </c>
      <c r="AC1338" s="2"/>
      <c r="AD1338" s="2"/>
      <c r="AE1338" s="2"/>
      <c r="AF1338" s="2"/>
      <c r="AG1338" s="2" t="n">
        <v>24</v>
      </c>
      <c r="AH1338" s="2" t="n">
        <v>8</v>
      </c>
      <c r="AI1338" s="2" t="n">
        <v>8</v>
      </c>
      <c r="AJ1338" s="2" t="n">
        <v>1</v>
      </c>
      <c r="AK1338" s="2" t="n">
        <v>4</v>
      </c>
      <c r="AL1338" s="2" t="s">
        <v>3557</v>
      </c>
      <c r="AM1338" s="2" t="s">
        <v>330</v>
      </c>
      <c r="AN1338" s="2" t="s">
        <v>9451</v>
      </c>
      <c r="AO1338" s="2" t="s">
        <v>3559</v>
      </c>
      <c r="AP1338" s="2" t="s">
        <v>3560</v>
      </c>
      <c r="AQ1338" s="2"/>
      <c r="AR1338" s="2" t="s">
        <v>3561</v>
      </c>
      <c r="AS1338" s="2" t="s">
        <v>3562</v>
      </c>
      <c r="AT1338" s="2" t="s">
        <v>6153</v>
      </c>
      <c r="AU1338" s="2" t="n">
        <v>2021</v>
      </c>
      <c r="AV1338" s="2" t="n">
        <v>36</v>
      </c>
      <c r="AW1338" s="2" t="n">
        <v>34</v>
      </c>
      <c r="AX1338" s="2"/>
      <c r="AY1338" s="2"/>
      <c r="AZ1338" s="2"/>
      <c r="BA1338" s="2"/>
      <c r="BB1338" s="2"/>
      <c r="BC1338" s="2"/>
      <c r="BD1338" s="2" t="s">
        <v>23352</v>
      </c>
      <c r="BE1338" s="2" t="s">
        <v>23353</v>
      </c>
      <c r="BF1338" s="2" t="str">
        <f aca="false">HYPERLINK("http://dx.doi.org/10.3346/jkms.2021.36.e217","http://dx.doi.org/10.3346/jkms.2021.36.e217")</f>
        <v>http://dx.doi.org/10.3346/jkms.2021.36.e217</v>
      </c>
      <c r="BG1338" s="2"/>
      <c r="BH1338" s="2"/>
      <c r="BI1338" s="2" t="n">
        <v>10</v>
      </c>
      <c r="BJ1338" s="2" t="s">
        <v>363</v>
      </c>
      <c r="BK1338" s="2" t="s">
        <v>100</v>
      </c>
      <c r="BL1338" s="2" t="s">
        <v>364</v>
      </c>
      <c r="BM1338" s="2" t="s">
        <v>23354</v>
      </c>
      <c r="BN1338" s="2" t="n">
        <v>34463061</v>
      </c>
      <c r="BO1338" s="2" t="s">
        <v>103</v>
      </c>
      <c r="BP1338" s="2"/>
      <c r="BQ1338" s="2"/>
      <c r="BR1338" s="2" t="s">
        <v>104</v>
      </c>
      <c r="BS1338" s="2" t="s">
        <v>23355</v>
      </c>
      <c r="BT1338" s="2" t="str">
        <f aca="false">HYPERLINK("https%3A%2F%2Fwww.webofscience.com%2Fwos%2Fwoscc%2Ffull-record%2FWOS:000692580400002","View Full Record in Web of Science")</f>
        <v>View Full Record in Web of Science</v>
      </c>
    </row>
    <row r="1339" customFormat="false" ht="12.75" hidden="false" customHeight="false" outlineLevel="0" collapsed="false">
      <c r="A1339" s="2" t="s">
        <v>72</v>
      </c>
      <c r="B1339" s="2" t="s">
        <v>23356</v>
      </c>
      <c r="C1339" s="2"/>
      <c r="D1339" s="2"/>
      <c r="E1339" s="2"/>
      <c r="F1339" s="2" t="s">
        <v>23357</v>
      </c>
      <c r="G1339" s="2"/>
      <c r="H1339" s="2"/>
      <c r="I1339" s="2" t="s">
        <v>23358</v>
      </c>
      <c r="J1339" s="2" t="s">
        <v>514</v>
      </c>
      <c r="K1339" s="2"/>
      <c r="L1339" s="2"/>
      <c r="M1339" s="2" t="s">
        <v>77</v>
      </c>
      <c r="N1339" s="2" t="s">
        <v>78</v>
      </c>
      <c r="O1339" s="2"/>
      <c r="P1339" s="2"/>
      <c r="Q1339" s="2"/>
      <c r="R1339" s="2"/>
      <c r="S1339" s="2"/>
      <c r="T1339" s="2" t="s">
        <v>23359</v>
      </c>
      <c r="U1339" s="2" t="s">
        <v>23360</v>
      </c>
      <c r="V1339" s="2" t="s">
        <v>23361</v>
      </c>
      <c r="W1339" s="2" t="s">
        <v>23362</v>
      </c>
      <c r="X1339" s="2" t="s">
        <v>23363</v>
      </c>
      <c r="Y1339" s="2" t="s">
        <v>23364</v>
      </c>
      <c r="Z1339" s="2" t="s">
        <v>23365</v>
      </c>
      <c r="AA1339" s="2" t="s">
        <v>14909</v>
      </c>
      <c r="AB1339" s="2" t="s">
        <v>23366</v>
      </c>
      <c r="AC1339" s="2" t="s">
        <v>23367</v>
      </c>
      <c r="AD1339" s="2" t="s">
        <v>23367</v>
      </c>
      <c r="AE1339" s="2" t="s">
        <v>23368</v>
      </c>
      <c r="AF1339" s="2"/>
      <c r="AG1339" s="2" t="n">
        <v>30</v>
      </c>
      <c r="AH1339" s="2" t="n">
        <v>6</v>
      </c>
      <c r="AI1339" s="2" t="n">
        <v>6</v>
      </c>
      <c r="AJ1339" s="2" t="n">
        <v>0</v>
      </c>
      <c r="AK1339" s="2" t="n">
        <v>2</v>
      </c>
      <c r="AL1339" s="2" t="s">
        <v>527</v>
      </c>
      <c r="AM1339" s="2" t="s">
        <v>528</v>
      </c>
      <c r="AN1339" s="2" t="s">
        <v>529</v>
      </c>
      <c r="AO1339" s="2" t="s">
        <v>530</v>
      </c>
      <c r="AP1339" s="2" t="s">
        <v>531</v>
      </c>
      <c r="AQ1339" s="2"/>
      <c r="AR1339" s="2" t="s">
        <v>532</v>
      </c>
      <c r="AS1339" s="2" t="s">
        <v>533</v>
      </c>
      <c r="AT1339" s="2" t="s">
        <v>5247</v>
      </c>
      <c r="AU1339" s="2" t="n">
        <v>2018</v>
      </c>
      <c r="AV1339" s="2" t="n">
        <v>218</v>
      </c>
      <c r="AW1339" s="2" t="n">
        <v>6</v>
      </c>
      <c r="AX1339" s="2"/>
      <c r="AY1339" s="2"/>
      <c r="AZ1339" s="2"/>
      <c r="BA1339" s="2"/>
      <c r="BB1339" s="2" t="n">
        <v>868</v>
      </c>
      <c r="BC1339" s="2" t="n">
        <v>875</v>
      </c>
      <c r="BD1339" s="2"/>
      <c r="BE1339" s="2" t="s">
        <v>23369</v>
      </c>
      <c r="BF1339" s="2" t="str">
        <f aca="false">HYPERLINK("http://dx.doi.org/10.1093/infdis/jiy261","http://dx.doi.org/10.1093/infdis/jiy261")</f>
        <v>http://dx.doi.org/10.1093/infdis/jiy261</v>
      </c>
      <c r="BG1339" s="2"/>
      <c r="BH1339" s="2"/>
      <c r="BI1339" s="2" t="n">
        <v>8</v>
      </c>
      <c r="BJ1339" s="2" t="s">
        <v>536</v>
      </c>
      <c r="BK1339" s="2" t="s">
        <v>100</v>
      </c>
      <c r="BL1339" s="2" t="s">
        <v>536</v>
      </c>
      <c r="BM1339" s="2" t="s">
        <v>23370</v>
      </c>
      <c r="BN1339" s="2" t="n">
        <v>29733351</v>
      </c>
      <c r="BO1339" s="2" t="s">
        <v>1267</v>
      </c>
      <c r="BP1339" s="2"/>
      <c r="BQ1339" s="2"/>
      <c r="BR1339" s="2" t="s">
        <v>104</v>
      </c>
      <c r="BS1339" s="2" t="s">
        <v>23371</v>
      </c>
      <c r="BT1339" s="2" t="str">
        <f aca="false">HYPERLINK("https%3A%2F%2Fwww.webofscience.com%2Fwos%2Fwoscc%2Ffull-record%2FWOS:000441792600004","View Full Record in Web of Science")</f>
        <v>View Full Record in Web of Science</v>
      </c>
    </row>
    <row r="1340" customFormat="false" ht="12.75" hidden="false" customHeight="false" outlineLevel="0" collapsed="false">
      <c r="A1340" s="2" t="s">
        <v>72</v>
      </c>
      <c r="B1340" s="2" t="s">
        <v>23372</v>
      </c>
      <c r="C1340" s="2"/>
      <c r="D1340" s="2"/>
      <c r="E1340" s="2"/>
      <c r="F1340" s="2" t="s">
        <v>23373</v>
      </c>
      <c r="G1340" s="2"/>
      <c r="H1340" s="2"/>
      <c r="I1340" s="2" t="s">
        <v>23374</v>
      </c>
      <c r="J1340" s="2" t="s">
        <v>23375</v>
      </c>
      <c r="K1340" s="2"/>
      <c r="L1340" s="2"/>
      <c r="M1340" s="2" t="s">
        <v>77</v>
      </c>
      <c r="N1340" s="2" t="s">
        <v>78</v>
      </c>
      <c r="O1340" s="2"/>
      <c r="P1340" s="2"/>
      <c r="Q1340" s="2"/>
      <c r="R1340" s="2"/>
      <c r="S1340" s="2"/>
      <c r="T1340" s="2" t="s">
        <v>23376</v>
      </c>
      <c r="U1340" s="2" t="s">
        <v>23377</v>
      </c>
      <c r="V1340" s="2" t="s">
        <v>23378</v>
      </c>
      <c r="W1340" s="2" t="s">
        <v>23379</v>
      </c>
      <c r="X1340" s="2"/>
      <c r="Y1340" s="2" t="s">
        <v>23380</v>
      </c>
      <c r="Z1340" s="2" t="s">
        <v>23381</v>
      </c>
      <c r="AA1340" s="2"/>
      <c r="AB1340" s="2" t="s">
        <v>23382</v>
      </c>
      <c r="AC1340" s="2"/>
      <c r="AD1340" s="2"/>
      <c r="AE1340" s="2"/>
      <c r="AF1340" s="2"/>
      <c r="AG1340" s="2" t="n">
        <v>25</v>
      </c>
      <c r="AH1340" s="2" t="n">
        <v>0</v>
      </c>
      <c r="AI1340" s="2" t="n">
        <v>0</v>
      </c>
      <c r="AJ1340" s="2" t="n">
        <v>0</v>
      </c>
      <c r="AK1340" s="2" t="n">
        <v>2</v>
      </c>
      <c r="AL1340" s="2" t="s">
        <v>91</v>
      </c>
      <c r="AM1340" s="2" t="s">
        <v>92</v>
      </c>
      <c r="AN1340" s="2" t="s">
        <v>93</v>
      </c>
      <c r="AO1340" s="2" t="s">
        <v>23383</v>
      </c>
      <c r="AP1340" s="2" t="s">
        <v>23384</v>
      </c>
      <c r="AQ1340" s="2"/>
      <c r="AR1340" s="2" t="s">
        <v>23385</v>
      </c>
      <c r="AS1340" s="2" t="s">
        <v>23386</v>
      </c>
      <c r="AT1340" s="2" t="s">
        <v>185</v>
      </c>
      <c r="AU1340" s="2" t="n">
        <v>2022</v>
      </c>
      <c r="AV1340" s="2" t="n">
        <v>90</v>
      </c>
      <c r="AW1340" s="2" t="n">
        <v>4</v>
      </c>
      <c r="AX1340" s="2"/>
      <c r="AY1340" s="2"/>
      <c r="AZ1340" s="2"/>
      <c r="BA1340" s="2"/>
      <c r="BB1340" s="2" t="n">
        <v>246</v>
      </c>
      <c r="BC1340" s="2" t="n">
        <v>253</v>
      </c>
      <c r="BD1340" s="2"/>
      <c r="BE1340" s="2" t="s">
        <v>23387</v>
      </c>
      <c r="BF1340" s="2" t="str">
        <f aca="false">HYPERLINK("http://dx.doi.org/10.3390/arm90040034","http://dx.doi.org/10.3390/arm90040034")</f>
        <v>http://dx.doi.org/10.3390/arm90040034</v>
      </c>
      <c r="BG1340" s="2"/>
      <c r="BH1340" s="2"/>
      <c r="BI1340" s="2" t="n">
        <v>8</v>
      </c>
      <c r="BJ1340" s="2" t="s">
        <v>338</v>
      </c>
      <c r="BK1340" s="2" t="s">
        <v>339</v>
      </c>
      <c r="BL1340" s="2" t="s">
        <v>338</v>
      </c>
      <c r="BM1340" s="2" t="s">
        <v>23388</v>
      </c>
      <c r="BN1340" s="2" t="n">
        <v>35892745</v>
      </c>
      <c r="BO1340" s="2" t="s">
        <v>190</v>
      </c>
      <c r="BP1340" s="2"/>
      <c r="BQ1340" s="2"/>
      <c r="BR1340" s="2" t="s">
        <v>104</v>
      </c>
      <c r="BS1340" s="2" t="s">
        <v>23389</v>
      </c>
      <c r="BT1340" s="2" t="str">
        <f aca="false">HYPERLINK("https%3A%2F%2Fwww.webofscience.com%2Fwos%2Fwoscc%2Ffull-record%2FWOS:000854098500001","View Full Record in Web of Science")</f>
        <v>View Full Record in Web of Science</v>
      </c>
    </row>
    <row r="1341" customFormat="false" ht="12.75" hidden="false" customHeight="false" outlineLevel="0" collapsed="false">
      <c r="A1341" s="2" t="s">
        <v>72</v>
      </c>
      <c r="B1341" s="2" t="s">
        <v>23390</v>
      </c>
      <c r="C1341" s="2"/>
      <c r="D1341" s="2"/>
      <c r="E1341" s="2"/>
      <c r="F1341" s="2" t="s">
        <v>23391</v>
      </c>
      <c r="G1341" s="2"/>
      <c r="H1341" s="2"/>
      <c r="I1341" s="2" t="s">
        <v>23392</v>
      </c>
      <c r="J1341" s="2" t="s">
        <v>23393</v>
      </c>
      <c r="K1341" s="2"/>
      <c r="L1341" s="2"/>
      <c r="M1341" s="2" t="s">
        <v>77</v>
      </c>
      <c r="N1341" s="2" t="s">
        <v>78</v>
      </c>
      <c r="O1341" s="2"/>
      <c r="P1341" s="2"/>
      <c r="Q1341" s="2"/>
      <c r="R1341" s="2"/>
      <c r="S1341" s="2"/>
      <c r="T1341" s="2" t="s">
        <v>23394</v>
      </c>
      <c r="U1341" s="2"/>
      <c r="V1341" s="2" t="s">
        <v>23395</v>
      </c>
      <c r="W1341" s="2" t="s">
        <v>23396</v>
      </c>
      <c r="X1341" s="2" t="s">
        <v>23397</v>
      </c>
      <c r="Y1341" s="2" t="s">
        <v>23398</v>
      </c>
      <c r="Z1341" s="2" t="s">
        <v>23399</v>
      </c>
      <c r="AA1341" s="2" t="s">
        <v>23400</v>
      </c>
      <c r="AB1341" s="2" t="s">
        <v>23401</v>
      </c>
      <c r="AC1341" s="2" t="s">
        <v>23402</v>
      </c>
      <c r="AD1341" s="2" t="s">
        <v>23403</v>
      </c>
      <c r="AE1341" s="2" t="s">
        <v>23404</v>
      </c>
      <c r="AF1341" s="2"/>
      <c r="AG1341" s="2" t="n">
        <v>23</v>
      </c>
      <c r="AH1341" s="2" t="n">
        <v>0</v>
      </c>
      <c r="AI1341" s="2" t="n">
        <v>0</v>
      </c>
      <c r="AJ1341" s="2" t="n">
        <v>0</v>
      </c>
      <c r="AK1341" s="2" t="n">
        <v>0</v>
      </c>
      <c r="AL1341" s="2" t="s">
        <v>154</v>
      </c>
      <c r="AM1341" s="2" t="s">
        <v>155</v>
      </c>
      <c r="AN1341" s="2" t="s">
        <v>156</v>
      </c>
      <c r="AO1341" s="2"/>
      <c r="AP1341" s="2" t="s">
        <v>23405</v>
      </c>
      <c r="AQ1341" s="2"/>
      <c r="AR1341" s="2" t="s">
        <v>23406</v>
      </c>
      <c r="AS1341" s="2" t="s">
        <v>23407</v>
      </c>
      <c r="AT1341" s="2" t="s">
        <v>161</v>
      </c>
      <c r="AU1341" s="2" t="n">
        <v>2024</v>
      </c>
      <c r="AV1341" s="2" t="n">
        <v>14</v>
      </c>
      <c r="AW1341" s="2" t="n">
        <v>1</v>
      </c>
      <c r="AX1341" s="2"/>
      <c r="AY1341" s="2"/>
      <c r="AZ1341" s="2"/>
      <c r="BA1341" s="2"/>
      <c r="BB1341" s="2"/>
      <c r="BC1341" s="2"/>
      <c r="BD1341" s="2" t="s">
        <v>23408</v>
      </c>
      <c r="BE1341" s="2" t="s">
        <v>23409</v>
      </c>
      <c r="BF1341" s="2" t="str">
        <f aca="false">HYPERLINK("http://dx.doi.org/10.1002/clt2.12330","http://dx.doi.org/10.1002/clt2.12330")</f>
        <v>http://dx.doi.org/10.1002/clt2.12330</v>
      </c>
      <c r="BG1341" s="2"/>
      <c r="BH1341" s="2"/>
      <c r="BI1341" s="2" t="n">
        <v>10</v>
      </c>
      <c r="BJ1341" s="2" t="s">
        <v>15678</v>
      </c>
      <c r="BK1341" s="2" t="s">
        <v>100</v>
      </c>
      <c r="BL1341" s="2" t="s">
        <v>15678</v>
      </c>
      <c r="BM1341" s="2" t="s">
        <v>23410</v>
      </c>
      <c r="BN1341" s="2" t="n">
        <v>38282201</v>
      </c>
      <c r="BO1341" s="2" t="s">
        <v>103</v>
      </c>
      <c r="BP1341" s="2"/>
      <c r="BQ1341" s="2"/>
      <c r="BR1341" s="2" t="s">
        <v>104</v>
      </c>
      <c r="BS1341" s="2" t="s">
        <v>23411</v>
      </c>
      <c r="BT1341" s="2" t="str">
        <f aca="false">HYPERLINK("https%3A%2F%2Fwww.webofscience.com%2Fwos%2Fwoscc%2Ffull-record%2FWOS:001144172000001","View Full Record in Web of Science")</f>
        <v>View Full Record in Web of Science</v>
      </c>
    </row>
    <row r="1342" customFormat="false" ht="12.75" hidden="false" customHeight="false" outlineLevel="0" collapsed="false">
      <c r="A1342" s="2" t="s">
        <v>72</v>
      </c>
      <c r="B1342" s="2" t="s">
        <v>23412</v>
      </c>
      <c r="C1342" s="2"/>
      <c r="D1342" s="2"/>
      <c r="E1342" s="2"/>
      <c r="F1342" s="2" t="s">
        <v>23413</v>
      </c>
      <c r="G1342" s="2"/>
      <c r="H1342" s="2"/>
      <c r="I1342" s="2" t="s">
        <v>23414</v>
      </c>
      <c r="J1342" s="2" t="s">
        <v>109</v>
      </c>
      <c r="K1342" s="2"/>
      <c r="L1342" s="2"/>
      <c r="M1342" s="2" t="s">
        <v>77</v>
      </c>
      <c r="N1342" s="2" t="s">
        <v>78</v>
      </c>
      <c r="O1342" s="2"/>
      <c r="P1342" s="2"/>
      <c r="Q1342" s="2"/>
      <c r="R1342" s="2"/>
      <c r="S1342" s="2"/>
      <c r="T1342" s="2" t="s">
        <v>23415</v>
      </c>
      <c r="U1342" s="2" t="s">
        <v>23416</v>
      </c>
      <c r="V1342" s="2" t="s">
        <v>23417</v>
      </c>
      <c r="W1342" s="2" t="s">
        <v>23418</v>
      </c>
      <c r="X1342" s="2" t="s">
        <v>23419</v>
      </c>
      <c r="Y1342" s="2" t="s">
        <v>23420</v>
      </c>
      <c r="Z1342" s="2" t="s">
        <v>23421</v>
      </c>
      <c r="AA1342" s="2"/>
      <c r="AB1342" s="2"/>
      <c r="AC1342" s="2" t="s">
        <v>23422</v>
      </c>
      <c r="AD1342" s="2" t="s">
        <v>23423</v>
      </c>
      <c r="AE1342" s="2" t="s">
        <v>23424</v>
      </c>
      <c r="AF1342" s="2"/>
      <c r="AG1342" s="2" t="n">
        <v>17</v>
      </c>
      <c r="AH1342" s="2" t="n">
        <v>28</v>
      </c>
      <c r="AI1342" s="2" t="n">
        <v>36</v>
      </c>
      <c r="AJ1342" s="2" t="n">
        <v>0</v>
      </c>
      <c r="AK1342" s="2" t="n">
        <v>3</v>
      </c>
      <c r="AL1342" s="2" t="s">
        <v>122</v>
      </c>
      <c r="AM1342" s="2" t="s">
        <v>123</v>
      </c>
      <c r="AN1342" s="2" t="s">
        <v>124</v>
      </c>
      <c r="AO1342" s="2" t="s">
        <v>125</v>
      </c>
      <c r="AP1342" s="2" t="s">
        <v>126</v>
      </c>
      <c r="AQ1342" s="2"/>
      <c r="AR1342" s="2" t="s">
        <v>127</v>
      </c>
      <c r="AS1342" s="2" t="s">
        <v>128</v>
      </c>
      <c r="AT1342" s="2" t="s">
        <v>1041</v>
      </c>
      <c r="AU1342" s="2" t="n">
        <v>2009</v>
      </c>
      <c r="AV1342" s="2" t="n">
        <v>28</v>
      </c>
      <c r="AW1342" s="2" t="n">
        <v>2</v>
      </c>
      <c r="AX1342" s="2"/>
      <c r="AY1342" s="2"/>
      <c r="AZ1342" s="2"/>
      <c r="BA1342" s="2"/>
      <c r="BB1342" s="2" t="n">
        <v>131</v>
      </c>
      <c r="BC1342" s="2" t="n">
        <v>134</v>
      </c>
      <c r="BD1342" s="2"/>
      <c r="BE1342" s="2" t="s">
        <v>23425</v>
      </c>
      <c r="BF1342" s="2" t="str">
        <f aca="false">HYPERLINK("http://dx.doi.org/10.1097/INF.0b013e31818a8a82","http://dx.doi.org/10.1097/INF.0b013e31818a8a82")</f>
        <v>http://dx.doi.org/10.1097/INF.0b013e31818a8a82</v>
      </c>
      <c r="BG1342" s="2"/>
      <c r="BH1342" s="2"/>
      <c r="BI1342" s="2" t="n">
        <v>4</v>
      </c>
      <c r="BJ1342" s="2" t="s">
        <v>134</v>
      </c>
      <c r="BK1342" s="2" t="s">
        <v>100</v>
      </c>
      <c r="BL1342" s="2" t="s">
        <v>134</v>
      </c>
      <c r="BM1342" s="2" t="s">
        <v>23426</v>
      </c>
      <c r="BN1342" s="2" t="n">
        <v>19131900</v>
      </c>
      <c r="BO1342" s="2"/>
      <c r="BP1342" s="2"/>
      <c r="BQ1342" s="2"/>
      <c r="BR1342" s="2" t="s">
        <v>104</v>
      </c>
      <c r="BS1342" s="2" t="s">
        <v>23427</v>
      </c>
      <c r="BT1342" s="2" t="str">
        <f aca="false">HYPERLINK("https%3A%2F%2Fwww.webofscience.com%2Fwos%2Fwoscc%2Ffull-record%2FWOS:000262952100011","View Full Record in Web of Science")</f>
        <v>View Full Record in Web of Science</v>
      </c>
    </row>
    <row r="1343" customFormat="false" ht="12.75" hidden="false" customHeight="false" outlineLevel="0" collapsed="false">
      <c r="A1343" s="2" t="s">
        <v>72</v>
      </c>
      <c r="B1343" s="2" t="s">
        <v>23428</v>
      </c>
      <c r="C1343" s="2"/>
      <c r="D1343" s="2"/>
      <c r="E1343" s="2"/>
      <c r="F1343" s="2" t="s">
        <v>23429</v>
      </c>
      <c r="G1343" s="2"/>
      <c r="H1343" s="2"/>
      <c r="I1343" s="2" t="s">
        <v>23430</v>
      </c>
      <c r="J1343" s="2" t="s">
        <v>11975</v>
      </c>
      <c r="K1343" s="2"/>
      <c r="L1343" s="2"/>
      <c r="M1343" s="2" t="s">
        <v>77</v>
      </c>
      <c r="N1343" s="2" t="s">
        <v>78</v>
      </c>
      <c r="O1343" s="2"/>
      <c r="P1343" s="2"/>
      <c r="Q1343" s="2"/>
      <c r="R1343" s="2"/>
      <c r="S1343" s="2"/>
      <c r="T1343" s="2" t="s">
        <v>23431</v>
      </c>
      <c r="U1343" s="2" t="s">
        <v>23432</v>
      </c>
      <c r="V1343" s="2" t="s">
        <v>23433</v>
      </c>
      <c r="W1343" s="2" t="s">
        <v>23434</v>
      </c>
      <c r="X1343" s="2" t="s">
        <v>23435</v>
      </c>
      <c r="Y1343" s="2" t="s">
        <v>23436</v>
      </c>
      <c r="Z1343" s="2" t="s">
        <v>7067</v>
      </c>
      <c r="AA1343" s="2"/>
      <c r="AB1343" s="2"/>
      <c r="AC1343" s="2" t="s">
        <v>23437</v>
      </c>
      <c r="AD1343" s="2" t="s">
        <v>23438</v>
      </c>
      <c r="AE1343" s="2" t="s">
        <v>23439</v>
      </c>
      <c r="AF1343" s="2"/>
      <c r="AG1343" s="2" t="n">
        <v>25</v>
      </c>
      <c r="AH1343" s="2" t="n">
        <v>28</v>
      </c>
      <c r="AI1343" s="2" t="n">
        <v>30</v>
      </c>
      <c r="AJ1343" s="2" t="n">
        <v>0</v>
      </c>
      <c r="AK1343" s="2" t="n">
        <v>0</v>
      </c>
      <c r="AL1343" s="2" t="s">
        <v>154</v>
      </c>
      <c r="AM1343" s="2" t="s">
        <v>155</v>
      </c>
      <c r="AN1343" s="2" t="s">
        <v>156</v>
      </c>
      <c r="AO1343" s="2" t="s">
        <v>11983</v>
      </c>
      <c r="AP1343" s="2" t="s">
        <v>11984</v>
      </c>
      <c r="AQ1343" s="2"/>
      <c r="AR1343" s="2" t="s">
        <v>11985</v>
      </c>
      <c r="AS1343" s="2" t="s">
        <v>11986</v>
      </c>
      <c r="AT1343" s="2" t="s">
        <v>336</v>
      </c>
      <c r="AU1343" s="2" t="n">
        <v>2010</v>
      </c>
      <c r="AV1343" s="2" t="n">
        <v>99</v>
      </c>
      <c r="AW1343" s="2" t="n">
        <v>10</v>
      </c>
      <c r="AX1343" s="2"/>
      <c r="AY1343" s="2"/>
      <c r="AZ1343" s="2"/>
      <c r="BA1343" s="2"/>
      <c r="BB1343" s="2" t="n">
        <v>1517</v>
      </c>
      <c r="BC1343" s="2" t="n">
        <v>1521</v>
      </c>
      <c r="BD1343" s="2"/>
      <c r="BE1343" s="2" t="s">
        <v>23440</v>
      </c>
      <c r="BF1343" s="2" t="str">
        <f aca="false">HYPERLINK("http://dx.doi.org/10.1111/j.1651-2227.2010.01862.x","http://dx.doi.org/10.1111/j.1651-2227.2010.01862.x")</f>
        <v>http://dx.doi.org/10.1111/j.1651-2227.2010.01862.x</v>
      </c>
      <c r="BG1343" s="2"/>
      <c r="BH1343" s="2"/>
      <c r="BI1343" s="2" t="n">
        <v>5</v>
      </c>
      <c r="BJ1343" s="2" t="s">
        <v>601</v>
      </c>
      <c r="BK1343" s="2" t="s">
        <v>100</v>
      </c>
      <c r="BL1343" s="2" t="s">
        <v>601</v>
      </c>
      <c r="BM1343" s="2" t="s">
        <v>23441</v>
      </c>
      <c r="BN1343" s="2" t="n">
        <v>20456265</v>
      </c>
      <c r="BO1343" s="2" t="s">
        <v>695</v>
      </c>
      <c r="BP1343" s="2"/>
      <c r="BQ1343" s="2"/>
      <c r="BR1343" s="2" t="s">
        <v>104</v>
      </c>
      <c r="BS1343" s="2" t="s">
        <v>23442</v>
      </c>
      <c r="BT1343" s="2" t="str">
        <f aca="false">HYPERLINK("https%3A%2F%2Fwww.webofscience.com%2Fwos%2Fwoscc%2Ffull-record%2FWOS:000281556700020","View Full Record in Web of Science")</f>
        <v>View Full Record in Web of Science</v>
      </c>
    </row>
    <row r="1344" customFormat="false" ht="12.75" hidden="false" customHeight="false" outlineLevel="0" collapsed="false">
      <c r="A1344" s="2" t="s">
        <v>72</v>
      </c>
      <c r="B1344" s="2" t="s">
        <v>23443</v>
      </c>
      <c r="C1344" s="2"/>
      <c r="D1344" s="2"/>
      <c r="E1344" s="2"/>
      <c r="F1344" s="2" t="s">
        <v>23444</v>
      </c>
      <c r="G1344" s="2"/>
      <c r="H1344" s="2"/>
      <c r="I1344" s="2" t="s">
        <v>23445</v>
      </c>
      <c r="J1344" s="2" t="s">
        <v>109</v>
      </c>
      <c r="K1344" s="2"/>
      <c r="L1344" s="2"/>
      <c r="M1344" s="2" t="s">
        <v>77</v>
      </c>
      <c r="N1344" s="2" t="s">
        <v>78</v>
      </c>
      <c r="O1344" s="2"/>
      <c r="P1344" s="2"/>
      <c r="Q1344" s="2"/>
      <c r="R1344" s="2"/>
      <c r="S1344" s="2"/>
      <c r="T1344" s="2" t="s">
        <v>23446</v>
      </c>
      <c r="U1344" s="2" t="s">
        <v>23447</v>
      </c>
      <c r="V1344" s="2" t="s">
        <v>23448</v>
      </c>
      <c r="W1344" s="2" t="s">
        <v>23449</v>
      </c>
      <c r="X1344" s="2" t="s">
        <v>23450</v>
      </c>
      <c r="Y1344" s="2" t="s">
        <v>23451</v>
      </c>
      <c r="Z1344" s="2" t="s">
        <v>23452</v>
      </c>
      <c r="AA1344" s="2" t="s">
        <v>23453</v>
      </c>
      <c r="AB1344" s="2" t="s">
        <v>23454</v>
      </c>
      <c r="AC1344" s="2"/>
      <c r="AD1344" s="2"/>
      <c r="AE1344" s="2"/>
      <c r="AF1344" s="2"/>
      <c r="AG1344" s="2" t="n">
        <v>28</v>
      </c>
      <c r="AH1344" s="2" t="n">
        <v>15</v>
      </c>
      <c r="AI1344" s="2" t="n">
        <v>18</v>
      </c>
      <c r="AJ1344" s="2" t="n">
        <v>0</v>
      </c>
      <c r="AK1344" s="2" t="n">
        <v>3</v>
      </c>
      <c r="AL1344" s="2" t="s">
        <v>122</v>
      </c>
      <c r="AM1344" s="2" t="s">
        <v>123</v>
      </c>
      <c r="AN1344" s="2" t="s">
        <v>839</v>
      </c>
      <c r="AO1344" s="2" t="s">
        <v>125</v>
      </c>
      <c r="AP1344" s="2"/>
      <c r="AQ1344" s="2"/>
      <c r="AR1344" s="2" t="s">
        <v>127</v>
      </c>
      <c r="AS1344" s="2" t="s">
        <v>128</v>
      </c>
      <c r="AT1344" s="2" t="s">
        <v>8493</v>
      </c>
      <c r="AU1344" s="2" t="n">
        <v>2011</v>
      </c>
      <c r="AV1344" s="2" t="n">
        <v>30</v>
      </c>
      <c r="AW1344" s="2" t="n">
        <v>8</v>
      </c>
      <c r="AX1344" s="2"/>
      <c r="AY1344" s="2"/>
      <c r="AZ1344" s="2"/>
      <c r="BA1344" s="2"/>
      <c r="BB1344" s="2" t="n">
        <v>640</v>
      </c>
      <c r="BC1344" s="2" t="n">
        <v>644</v>
      </c>
      <c r="BD1344" s="2"/>
      <c r="BE1344" s="2" t="s">
        <v>23455</v>
      </c>
      <c r="BF1344" s="2" t="str">
        <f aca="false">HYPERLINK("http://dx.doi.org/10.1097/INF.0b013e3182152d28","http://dx.doi.org/10.1097/INF.0b013e3182152d28")</f>
        <v>http://dx.doi.org/10.1097/INF.0b013e3182152d28</v>
      </c>
      <c r="BG1344" s="2"/>
      <c r="BH1344" s="2"/>
      <c r="BI1344" s="2" t="n">
        <v>5</v>
      </c>
      <c r="BJ1344" s="2" t="s">
        <v>134</v>
      </c>
      <c r="BK1344" s="2" t="s">
        <v>100</v>
      </c>
      <c r="BL1344" s="2" t="s">
        <v>134</v>
      </c>
      <c r="BM1344" s="2" t="s">
        <v>23456</v>
      </c>
      <c r="BN1344" s="2" t="n">
        <v>21407144</v>
      </c>
      <c r="BO1344" s="2"/>
      <c r="BP1344" s="2"/>
      <c r="BQ1344" s="2"/>
      <c r="BR1344" s="2" t="s">
        <v>104</v>
      </c>
      <c r="BS1344" s="2" t="s">
        <v>23457</v>
      </c>
      <c r="BT1344" s="2" t="str">
        <f aca="false">HYPERLINK("https%3A%2F%2Fwww.webofscience.com%2Fwos%2Fwoscc%2Ffull-record%2FWOS:000293064200005","View Full Record in Web of Science")</f>
        <v>View Full Record in Web of Science</v>
      </c>
    </row>
    <row r="1345" customFormat="false" ht="12.75" hidden="false" customHeight="false" outlineLevel="0" collapsed="false">
      <c r="A1345" s="2" t="s">
        <v>72</v>
      </c>
      <c r="B1345" s="2" t="s">
        <v>23458</v>
      </c>
      <c r="C1345" s="2"/>
      <c r="D1345" s="2"/>
      <c r="E1345" s="2"/>
      <c r="F1345" s="2" t="s">
        <v>23459</v>
      </c>
      <c r="G1345" s="2"/>
      <c r="H1345" s="2"/>
      <c r="I1345" s="2" t="s">
        <v>23460</v>
      </c>
      <c r="J1345" s="2" t="s">
        <v>1232</v>
      </c>
      <c r="K1345" s="2"/>
      <c r="L1345" s="2"/>
      <c r="M1345" s="2" t="s">
        <v>77</v>
      </c>
      <c r="N1345" s="2" t="s">
        <v>78</v>
      </c>
      <c r="O1345" s="2"/>
      <c r="P1345" s="2"/>
      <c r="Q1345" s="2"/>
      <c r="R1345" s="2"/>
      <c r="S1345" s="2"/>
      <c r="T1345" s="2" t="s">
        <v>23461</v>
      </c>
      <c r="U1345" s="2" t="s">
        <v>23462</v>
      </c>
      <c r="V1345" s="2" t="s">
        <v>23463</v>
      </c>
      <c r="W1345" s="2" t="s">
        <v>23464</v>
      </c>
      <c r="X1345" s="2" t="s">
        <v>23465</v>
      </c>
      <c r="Y1345" s="2" t="s">
        <v>23466</v>
      </c>
      <c r="Z1345" s="2" t="s">
        <v>23467</v>
      </c>
      <c r="AA1345" s="2" t="s">
        <v>23468</v>
      </c>
      <c r="AB1345" s="2" t="s">
        <v>23469</v>
      </c>
      <c r="AC1345" s="2"/>
      <c r="AD1345" s="2"/>
      <c r="AE1345" s="2"/>
      <c r="AF1345" s="2"/>
      <c r="AG1345" s="2" t="n">
        <v>30</v>
      </c>
      <c r="AH1345" s="2" t="n">
        <v>8</v>
      </c>
      <c r="AI1345" s="2" t="n">
        <v>8</v>
      </c>
      <c r="AJ1345" s="2" t="n">
        <v>0</v>
      </c>
      <c r="AK1345" s="2" t="n">
        <v>5</v>
      </c>
      <c r="AL1345" s="2" t="s">
        <v>1242</v>
      </c>
      <c r="AM1345" s="2" t="s">
        <v>303</v>
      </c>
      <c r="AN1345" s="2" t="s">
        <v>467</v>
      </c>
      <c r="AO1345" s="2"/>
      <c r="AP1345" s="2" t="s">
        <v>1243</v>
      </c>
      <c r="AQ1345" s="2"/>
      <c r="AR1345" s="2" t="s">
        <v>1244</v>
      </c>
      <c r="AS1345" s="2" t="s">
        <v>1245</v>
      </c>
      <c r="AT1345" s="2" t="s">
        <v>6968</v>
      </c>
      <c r="AU1345" s="2" t="n">
        <v>2022</v>
      </c>
      <c r="AV1345" s="2" t="n">
        <v>14</v>
      </c>
      <c r="AW1345" s="2" t="n">
        <v>2</v>
      </c>
      <c r="AX1345" s="2"/>
      <c r="AY1345" s="2"/>
      <c r="AZ1345" s="2"/>
      <c r="BA1345" s="2"/>
      <c r="BB1345" s="2"/>
      <c r="BC1345" s="2"/>
      <c r="BD1345" s="2" t="s">
        <v>23470</v>
      </c>
      <c r="BE1345" s="2" t="s">
        <v>23471</v>
      </c>
      <c r="BF1345" s="2" t="str">
        <f aca="false">HYPERLINK("http://dx.doi.org/10.7759/cureus.22127","http://dx.doi.org/10.7759/cureus.22127")</f>
        <v>http://dx.doi.org/10.7759/cureus.22127</v>
      </c>
      <c r="BG1345" s="2"/>
      <c r="BH1345" s="2"/>
      <c r="BI1345" s="2" t="n">
        <v>9</v>
      </c>
      <c r="BJ1345" s="2" t="s">
        <v>363</v>
      </c>
      <c r="BK1345" s="2" t="s">
        <v>339</v>
      </c>
      <c r="BL1345" s="2" t="s">
        <v>364</v>
      </c>
      <c r="BM1345" s="2" t="s">
        <v>23472</v>
      </c>
      <c r="BN1345" s="2" t="n">
        <v>35308707</v>
      </c>
      <c r="BO1345" s="2" t="s">
        <v>190</v>
      </c>
      <c r="BP1345" s="2"/>
      <c r="BQ1345" s="2"/>
      <c r="BR1345" s="2" t="s">
        <v>104</v>
      </c>
      <c r="BS1345" s="2" t="s">
        <v>23473</v>
      </c>
      <c r="BT1345" s="2" t="str">
        <f aca="false">HYPERLINK("https%3A%2F%2Fwww.webofscience.com%2Fwos%2Fwoscc%2Ffull-record%2FWOS:000755197000019","View Full Record in Web of Science")</f>
        <v>View Full Record in Web of Science</v>
      </c>
    </row>
    <row r="1346" customFormat="false" ht="12.75" hidden="false" customHeight="false" outlineLevel="0" collapsed="false">
      <c r="A1346" s="2" t="s">
        <v>72</v>
      </c>
      <c r="B1346" s="2" t="s">
        <v>23474</v>
      </c>
      <c r="C1346" s="2"/>
      <c r="D1346" s="2"/>
      <c r="E1346" s="2"/>
      <c r="F1346" s="2" t="s">
        <v>23475</v>
      </c>
      <c r="G1346" s="2"/>
      <c r="H1346" s="2"/>
      <c r="I1346" s="2" t="s">
        <v>23476</v>
      </c>
      <c r="J1346" s="2" t="s">
        <v>3415</v>
      </c>
      <c r="K1346" s="2"/>
      <c r="L1346" s="2"/>
      <c r="M1346" s="2" t="s">
        <v>77</v>
      </c>
      <c r="N1346" s="2" t="s">
        <v>78</v>
      </c>
      <c r="O1346" s="2"/>
      <c r="P1346" s="2"/>
      <c r="Q1346" s="2"/>
      <c r="R1346" s="2"/>
      <c r="S1346" s="2"/>
      <c r="T1346" s="2" t="s">
        <v>23477</v>
      </c>
      <c r="U1346" s="2" t="s">
        <v>23478</v>
      </c>
      <c r="V1346" s="2" t="s">
        <v>23479</v>
      </c>
      <c r="W1346" s="2" t="s">
        <v>23480</v>
      </c>
      <c r="X1346" s="2" t="s">
        <v>1697</v>
      </c>
      <c r="Y1346" s="2" t="s">
        <v>23481</v>
      </c>
      <c r="Z1346" s="2" t="s">
        <v>14390</v>
      </c>
      <c r="AA1346" s="2"/>
      <c r="AB1346" s="2" t="s">
        <v>23482</v>
      </c>
      <c r="AC1346" s="2"/>
      <c r="AD1346" s="2"/>
      <c r="AE1346" s="2"/>
      <c r="AF1346" s="2"/>
      <c r="AG1346" s="2" t="n">
        <v>45</v>
      </c>
      <c r="AH1346" s="2" t="n">
        <v>15</v>
      </c>
      <c r="AI1346" s="2" t="n">
        <v>16</v>
      </c>
      <c r="AJ1346" s="2" t="n">
        <v>0</v>
      </c>
      <c r="AK1346" s="2" t="n">
        <v>4</v>
      </c>
      <c r="AL1346" s="2" t="s">
        <v>3426</v>
      </c>
      <c r="AM1346" s="2" t="s">
        <v>303</v>
      </c>
      <c r="AN1346" s="2" t="s">
        <v>10620</v>
      </c>
      <c r="AO1346" s="2" t="s">
        <v>3428</v>
      </c>
      <c r="AP1346" s="2" t="s">
        <v>3429</v>
      </c>
      <c r="AQ1346" s="2"/>
      <c r="AR1346" s="2" t="s">
        <v>3430</v>
      </c>
      <c r="AS1346" s="2" t="s">
        <v>3431</v>
      </c>
      <c r="AT1346" s="2"/>
      <c r="AU1346" s="2" t="n">
        <v>2020</v>
      </c>
      <c r="AV1346" s="2" t="n">
        <v>69</v>
      </c>
      <c r="AW1346" s="2" t="n">
        <v>7</v>
      </c>
      <c r="AX1346" s="2"/>
      <c r="AY1346" s="2"/>
      <c r="AZ1346" s="2"/>
      <c r="BA1346" s="2"/>
      <c r="BB1346" s="2" t="n">
        <v>1005</v>
      </c>
      <c r="BC1346" s="2" t="n">
        <v>1012</v>
      </c>
      <c r="BD1346" s="2"/>
      <c r="BE1346" s="2" t="s">
        <v>23483</v>
      </c>
      <c r="BF1346" s="2" t="str">
        <f aca="false">HYPERLINK("http://dx.doi.org/10.1099/jmm.0.001219","http://dx.doi.org/10.1099/jmm.0.001219")</f>
        <v>http://dx.doi.org/10.1099/jmm.0.001219</v>
      </c>
      <c r="BG1346" s="2"/>
      <c r="BH1346" s="2"/>
      <c r="BI1346" s="2" t="n">
        <v>8</v>
      </c>
      <c r="BJ1346" s="2" t="s">
        <v>211</v>
      </c>
      <c r="BK1346" s="2" t="s">
        <v>100</v>
      </c>
      <c r="BL1346" s="2" t="s">
        <v>211</v>
      </c>
      <c r="BM1346" s="2" t="s">
        <v>23484</v>
      </c>
      <c r="BN1346" s="2" t="n">
        <v>32579103</v>
      </c>
      <c r="BO1346" s="2" t="s">
        <v>538</v>
      </c>
      <c r="BP1346" s="2"/>
      <c r="BQ1346" s="2"/>
      <c r="BR1346" s="2" t="s">
        <v>104</v>
      </c>
      <c r="BS1346" s="2" t="s">
        <v>23485</v>
      </c>
      <c r="BT1346" s="2" t="str">
        <f aca="false">HYPERLINK("https%3A%2F%2Fwww.webofscience.com%2Fwos%2Fwoscc%2Ffull-record%2FWOS:000560642600012","View Full Record in Web of Science")</f>
        <v>View Full Record in Web of Science</v>
      </c>
    </row>
    <row r="1347" customFormat="false" ht="12.75" hidden="false" customHeight="false" outlineLevel="0" collapsed="false">
      <c r="A1347" s="2" t="s">
        <v>72</v>
      </c>
      <c r="B1347" s="2" t="s">
        <v>23486</v>
      </c>
      <c r="C1347" s="2"/>
      <c r="D1347" s="2"/>
      <c r="E1347" s="2"/>
      <c r="F1347" s="2" t="s">
        <v>23487</v>
      </c>
      <c r="G1347" s="2"/>
      <c r="H1347" s="2"/>
      <c r="I1347" s="2" t="s">
        <v>23488</v>
      </c>
      <c r="J1347" s="2" t="s">
        <v>141</v>
      </c>
      <c r="K1347" s="2"/>
      <c r="L1347" s="2"/>
      <c r="M1347" s="2" t="s">
        <v>77</v>
      </c>
      <c r="N1347" s="2" t="s">
        <v>78</v>
      </c>
      <c r="O1347" s="2"/>
      <c r="P1347" s="2"/>
      <c r="Q1347" s="2"/>
      <c r="R1347" s="2"/>
      <c r="S1347" s="2"/>
      <c r="T1347" s="2" t="s">
        <v>23489</v>
      </c>
      <c r="U1347" s="2" t="s">
        <v>23490</v>
      </c>
      <c r="V1347" s="2" t="s">
        <v>23491</v>
      </c>
      <c r="W1347" s="2" t="s">
        <v>23492</v>
      </c>
      <c r="X1347" s="2" t="s">
        <v>23493</v>
      </c>
      <c r="Y1347" s="2" t="s">
        <v>23494</v>
      </c>
      <c r="Z1347" s="2" t="s">
        <v>23495</v>
      </c>
      <c r="AA1347" s="2" t="s">
        <v>23496</v>
      </c>
      <c r="AB1347" s="2" t="s">
        <v>23497</v>
      </c>
      <c r="AC1347" s="2" t="s">
        <v>23498</v>
      </c>
      <c r="AD1347" s="2" t="s">
        <v>23499</v>
      </c>
      <c r="AE1347" s="2" t="s">
        <v>23500</v>
      </c>
      <c r="AF1347" s="2"/>
      <c r="AG1347" s="2" t="n">
        <v>44</v>
      </c>
      <c r="AH1347" s="2" t="n">
        <v>18</v>
      </c>
      <c r="AI1347" s="2" t="n">
        <v>21</v>
      </c>
      <c r="AJ1347" s="2" t="n">
        <v>0</v>
      </c>
      <c r="AK1347" s="2" t="n">
        <v>1</v>
      </c>
      <c r="AL1347" s="2" t="s">
        <v>154</v>
      </c>
      <c r="AM1347" s="2" t="s">
        <v>155</v>
      </c>
      <c r="AN1347" s="2" t="s">
        <v>156</v>
      </c>
      <c r="AO1347" s="2" t="s">
        <v>157</v>
      </c>
      <c r="AP1347" s="2" t="s">
        <v>158</v>
      </c>
      <c r="AQ1347" s="2"/>
      <c r="AR1347" s="2" t="s">
        <v>159</v>
      </c>
      <c r="AS1347" s="2" t="s">
        <v>160</v>
      </c>
      <c r="AT1347" s="2" t="s">
        <v>161</v>
      </c>
      <c r="AU1347" s="2" t="n">
        <v>2009</v>
      </c>
      <c r="AV1347" s="2" t="n">
        <v>81</v>
      </c>
      <c r="AW1347" s="2" t="n">
        <v>1</v>
      </c>
      <c r="AX1347" s="2"/>
      <c r="AY1347" s="2"/>
      <c r="AZ1347" s="2"/>
      <c r="BA1347" s="2"/>
      <c r="BB1347" s="2" t="n">
        <v>82</v>
      </c>
      <c r="BC1347" s="2" t="n">
        <v>89</v>
      </c>
      <c r="BD1347" s="2"/>
      <c r="BE1347" s="2" t="s">
        <v>23501</v>
      </c>
      <c r="BF1347" s="2" t="str">
        <f aca="false">HYPERLINK("http://dx.doi.org/10.1002/jmv.21361","http://dx.doi.org/10.1002/jmv.21361")</f>
        <v>http://dx.doi.org/10.1002/jmv.21361</v>
      </c>
      <c r="BG1347" s="2"/>
      <c r="BH1347" s="2"/>
      <c r="BI1347" s="2" t="n">
        <v>8</v>
      </c>
      <c r="BJ1347" s="2" t="s">
        <v>163</v>
      </c>
      <c r="BK1347" s="2" t="s">
        <v>100</v>
      </c>
      <c r="BL1347" s="2" t="s">
        <v>163</v>
      </c>
      <c r="BM1347" s="2" t="s">
        <v>23502</v>
      </c>
      <c r="BN1347" s="2" t="n">
        <v>19031441</v>
      </c>
      <c r="BO1347" s="2" t="s">
        <v>165</v>
      </c>
      <c r="BP1347" s="2"/>
      <c r="BQ1347" s="2"/>
      <c r="BR1347" s="2" t="s">
        <v>104</v>
      </c>
      <c r="BS1347" s="2" t="s">
        <v>23503</v>
      </c>
      <c r="BT1347" s="2" t="str">
        <f aca="false">HYPERLINK("https%3A%2F%2Fwww.webofscience.com%2Fwos%2Fwoscc%2Ffull-record%2FWOS:000261266500011","View Full Record in Web of Science")</f>
        <v>View Full Record in Web of Science</v>
      </c>
    </row>
    <row r="1348" customFormat="false" ht="12.75" hidden="false" customHeight="false" outlineLevel="0" collapsed="false">
      <c r="A1348" s="2" t="s">
        <v>72</v>
      </c>
      <c r="B1348" s="2" t="s">
        <v>23504</v>
      </c>
      <c r="C1348" s="2"/>
      <c r="D1348" s="2"/>
      <c r="E1348" s="2"/>
      <c r="F1348" s="2" t="s">
        <v>23505</v>
      </c>
      <c r="G1348" s="2"/>
      <c r="H1348" s="2"/>
      <c r="I1348" s="2" t="s">
        <v>23506</v>
      </c>
      <c r="J1348" s="2" t="s">
        <v>11019</v>
      </c>
      <c r="K1348" s="2"/>
      <c r="L1348" s="2"/>
      <c r="M1348" s="2" t="s">
        <v>77</v>
      </c>
      <c r="N1348" s="2" t="s">
        <v>78</v>
      </c>
      <c r="O1348" s="2"/>
      <c r="P1348" s="2"/>
      <c r="Q1348" s="2"/>
      <c r="R1348" s="2"/>
      <c r="S1348" s="2"/>
      <c r="T1348" s="2" t="s">
        <v>23507</v>
      </c>
      <c r="U1348" s="2" t="s">
        <v>23508</v>
      </c>
      <c r="V1348" s="2" t="s">
        <v>23509</v>
      </c>
      <c r="W1348" s="2" t="s">
        <v>23510</v>
      </c>
      <c r="X1348" s="2" t="s">
        <v>23511</v>
      </c>
      <c r="Y1348" s="2" t="s">
        <v>23512</v>
      </c>
      <c r="Z1348" s="2" t="s">
        <v>18781</v>
      </c>
      <c r="AA1348" s="2" t="s">
        <v>23513</v>
      </c>
      <c r="AB1348" s="2" t="s">
        <v>23514</v>
      </c>
      <c r="AC1348" s="2"/>
      <c r="AD1348" s="2"/>
      <c r="AE1348" s="2"/>
      <c r="AF1348" s="2"/>
      <c r="AG1348" s="2" t="n">
        <v>43</v>
      </c>
      <c r="AH1348" s="2" t="n">
        <v>9</v>
      </c>
      <c r="AI1348" s="2" t="n">
        <v>10</v>
      </c>
      <c r="AJ1348" s="2" t="n">
        <v>1</v>
      </c>
      <c r="AK1348" s="2" t="n">
        <v>6</v>
      </c>
      <c r="AL1348" s="2" t="s">
        <v>154</v>
      </c>
      <c r="AM1348" s="2" t="s">
        <v>155</v>
      </c>
      <c r="AN1348" s="2" t="s">
        <v>156</v>
      </c>
      <c r="AO1348" s="2" t="s">
        <v>11028</v>
      </c>
      <c r="AP1348" s="2" t="s">
        <v>11029</v>
      </c>
      <c r="AQ1348" s="2"/>
      <c r="AR1348" s="2" t="s">
        <v>11030</v>
      </c>
      <c r="AS1348" s="2" t="s">
        <v>11031</v>
      </c>
      <c r="AT1348" s="2" t="s">
        <v>161</v>
      </c>
      <c r="AU1348" s="2" t="n">
        <v>2014</v>
      </c>
      <c r="AV1348" s="2" t="n">
        <v>8</v>
      </c>
      <c r="AW1348" s="2" t="n">
        <v>1</v>
      </c>
      <c r="AX1348" s="2"/>
      <c r="AY1348" s="2"/>
      <c r="AZ1348" s="2"/>
      <c r="BA1348" s="2"/>
      <c r="BB1348" s="2" t="n">
        <v>107</v>
      </c>
      <c r="BC1348" s="2" t="n">
        <v>115</v>
      </c>
      <c r="BD1348" s="2"/>
      <c r="BE1348" s="2" t="s">
        <v>23515</v>
      </c>
      <c r="BF1348" s="2" t="str">
        <f aca="false">HYPERLINK("http://dx.doi.org/10.1111/irv.12185","http://dx.doi.org/10.1111/irv.12185")</f>
        <v>http://dx.doi.org/10.1111/irv.12185</v>
      </c>
      <c r="BG1348" s="2"/>
      <c r="BH1348" s="2"/>
      <c r="BI1348" s="2" t="n">
        <v>9</v>
      </c>
      <c r="BJ1348" s="2" t="s">
        <v>8287</v>
      </c>
      <c r="BK1348" s="2" t="s">
        <v>100</v>
      </c>
      <c r="BL1348" s="2" t="s">
        <v>8287</v>
      </c>
      <c r="BM1348" s="2" t="s">
        <v>23516</v>
      </c>
      <c r="BN1348" s="2" t="n">
        <v>24373295</v>
      </c>
      <c r="BO1348" s="2" t="s">
        <v>136</v>
      </c>
      <c r="BP1348" s="2"/>
      <c r="BQ1348" s="2"/>
      <c r="BR1348" s="2" t="s">
        <v>104</v>
      </c>
      <c r="BS1348" s="2" t="s">
        <v>23517</v>
      </c>
      <c r="BT1348" s="2" t="str">
        <f aca="false">HYPERLINK("https%3A%2F%2Fwww.webofscience.com%2Fwos%2Fwoscc%2Ffull-record%2FWOS:000328704900015","View Full Record in Web of Science")</f>
        <v>View Full Record in Web of Science</v>
      </c>
    </row>
    <row r="1349" customFormat="false" ht="12.75" hidden="false" customHeight="false" outlineLevel="0" collapsed="false">
      <c r="A1349" s="2" t="s">
        <v>72</v>
      </c>
      <c r="B1349" s="2" t="s">
        <v>23518</v>
      </c>
      <c r="C1349" s="2"/>
      <c r="D1349" s="2"/>
      <c r="E1349" s="2"/>
      <c r="F1349" s="2" t="s">
        <v>23519</v>
      </c>
      <c r="G1349" s="2"/>
      <c r="H1349" s="2"/>
      <c r="I1349" s="2" t="s">
        <v>23520</v>
      </c>
      <c r="J1349" s="2" t="s">
        <v>3141</v>
      </c>
      <c r="K1349" s="2"/>
      <c r="L1349" s="2"/>
      <c r="M1349" s="2" t="s">
        <v>77</v>
      </c>
      <c r="N1349" s="2" t="s">
        <v>78</v>
      </c>
      <c r="O1349" s="2"/>
      <c r="P1349" s="2"/>
      <c r="Q1349" s="2"/>
      <c r="R1349" s="2"/>
      <c r="S1349" s="2"/>
      <c r="T1349" s="2" t="s">
        <v>23521</v>
      </c>
      <c r="U1349" s="2" t="s">
        <v>23522</v>
      </c>
      <c r="V1349" s="2" t="s">
        <v>23523</v>
      </c>
      <c r="W1349" s="2" t="s">
        <v>23524</v>
      </c>
      <c r="X1349" s="2" t="s">
        <v>23525</v>
      </c>
      <c r="Y1349" s="2" t="s">
        <v>23526</v>
      </c>
      <c r="Z1349" s="2" t="s">
        <v>23527</v>
      </c>
      <c r="AA1349" s="2" t="s">
        <v>23528</v>
      </c>
      <c r="AB1349" s="2" t="s">
        <v>23529</v>
      </c>
      <c r="AC1349" s="2" t="s">
        <v>23530</v>
      </c>
      <c r="AD1349" s="2" t="s">
        <v>23531</v>
      </c>
      <c r="AE1349" s="2" t="s">
        <v>23532</v>
      </c>
      <c r="AF1349" s="2"/>
      <c r="AG1349" s="2" t="n">
        <v>32</v>
      </c>
      <c r="AH1349" s="2" t="n">
        <v>45</v>
      </c>
      <c r="AI1349" s="2" t="n">
        <v>50</v>
      </c>
      <c r="AJ1349" s="2" t="n">
        <v>0</v>
      </c>
      <c r="AK1349" s="2" t="n">
        <v>8</v>
      </c>
      <c r="AL1349" s="2" t="s">
        <v>3150</v>
      </c>
      <c r="AM1349" s="2" t="s">
        <v>3151</v>
      </c>
      <c r="AN1349" s="2" t="s">
        <v>3152</v>
      </c>
      <c r="AO1349" s="2" t="s">
        <v>3153</v>
      </c>
      <c r="AP1349" s="2" t="s">
        <v>3154</v>
      </c>
      <c r="AQ1349" s="2"/>
      <c r="AR1349" s="2" t="s">
        <v>3155</v>
      </c>
      <c r="AS1349" s="2" t="s">
        <v>3156</v>
      </c>
      <c r="AT1349" s="2" t="s">
        <v>486</v>
      </c>
      <c r="AU1349" s="2" t="n">
        <v>2011</v>
      </c>
      <c r="AV1349" s="2" t="n">
        <v>44</v>
      </c>
      <c r="AW1349" s="2" t="n">
        <v>3</v>
      </c>
      <c r="AX1349" s="2"/>
      <c r="AY1349" s="2"/>
      <c r="AZ1349" s="2"/>
      <c r="BA1349" s="2"/>
      <c r="BB1349" s="2" t="n">
        <v>184</v>
      </c>
      <c r="BC1349" s="2" t="n">
        <v>190</v>
      </c>
      <c r="BD1349" s="2"/>
      <c r="BE1349" s="2" t="s">
        <v>23533</v>
      </c>
      <c r="BF1349" s="2" t="str">
        <f aca="false">HYPERLINK("http://dx.doi.org/10.1016/j.jmii.2011.01.025","http://dx.doi.org/10.1016/j.jmii.2011.01.025")</f>
        <v>http://dx.doi.org/10.1016/j.jmii.2011.01.025</v>
      </c>
      <c r="BG1349" s="2"/>
      <c r="BH1349" s="2"/>
      <c r="BI1349" s="2" t="n">
        <v>7</v>
      </c>
      <c r="BJ1349" s="2" t="s">
        <v>536</v>
      </c>
      <c r="BK1349" s="2" t="s">
        <v>100</v>
      </c>
      <c r="BL1349" s="2" t="s">
        <v>536</v>
      </c>
      <c r="BM1349" s="2" t="s">
        <v>23534</v>
      </c>
      <c r="BN1349" s="2" t="n">
        <v>21524612</v>
      </c>
      <c r="BO1349" s="2" t="s">
        <v>23063</v>
      </c>
      <c r="BP1349" s="2"/>
      <c r="BQ1349" s="2"/>
      <c r="BR1349" s="2" t="s">
        <v>104</v>
      </c>
      <c r="BS1349" s="2" t="s">
        <v>23535</v>
      </c>
      <c r="BT1349" s="2" t="str">
        <f aca="false">HYPERLINK("https%3A%2F%2Fwww.webofscience.com%2Fwos%2Fwoscc%2Ffull-record%2FWOS:000291081100005","View Full Record in Web of Science")</f>
        <v>View Full Record in Web of Science</v>
      </c>
    </row>
    <row r="1350" customFormat="false" ht="12.75" hidden="false" customHeight="false" outlineLevel="0" collapsed="false">
      <c r="A1350" s="2" t="s">
        <v>72</v>
      </c>
      <c r="B1350" s="2" t="s">
        <v>23536</v>
      </c>
      <c r="C1350" s="2"/>
      <c r="D1350" s="2"/>
      <c r="E1350" s="2"/>
      <c r="F1350" s="2" t="s">
        <v>23537</v>
      </c>
      <c r="G1350" s="2"/>
      <c r="H1350" s="2"/>
      <c r="I1350" s="2" t="s">
        <v>23538</v>
      </c>
      <c r="J1350" s="2" t="s">
        <v>23539</v>
      </c>
      <c r="K1350" s="2"/>
      <c r="L1350" s="2"/>
      <c r="M1350" s="2" t="s">
        <v>77</v>
      </c>
      <c r="N1350" s="2" t="s">
        <v>78</v>
      </c>
      <c r="O1350" s="2"/>
      <c r="P1350" s="2"/>
      <c r="Q1350" s="2"/>
      <c r="R1350" s="2"/>
      <c r="S1350" s="2"/>
      <c r="T1350" s="2" t="s">
        <v>23540</v>
      </c>
      <c r="U1350" s="2" t="s">
        <v>23541</v>
      </c>
      <c r="V1350" s="2" t="s">
        <v>23542</v>
      </c>
      <c r="W1350" s="2" t="s">
        <v>23543</v>
      </c>
      <c r="X1350" s="2" t="s">
        <v>23544</v>
      </c>
      <c r="Y1350" s="2" t="s">
        <v>23545</v>
      </c>
      <c r="Z1350" s="2" t="s">
        <v>23546</v>
      </c>
      <c r="AA1350" s="2" t="s">
        <v>23547</v>
      </c>
      <c r="AB1350" s="2" t="s">
        <v>23548</v>
      </c>
      <c r="AC1350" s="2" t="s">
        <v>23549</v>
      </c>
      <c r="AD1350" s="2" t="s">
        <v>23549</v>
      </c>
      <c r="AE1350" s="2" t="s">
        <v>23550</v>
      </c>
      <c r="AF1350" s="2"/>
      <c r="AG1350" s="2" t="n">
        <v>82</v>
      </c>
      <c r="AH1350" s="2" t="n">
        <v>2</v>
      </c>
      <c r="AI1350" s="2" t="n">
        <v>2</v>
      </c>
      <c r="AJ1350" s="2" t="n">
        <v>0</v>
      </c>
      <c r="AK1350" s="2" t="n">
        <v>5</v>
      </c>
      <c r="AL1350" s="2" t="s">
        <v>1242</v>
      </c>
      <c r="AM1350" s="2" t="s">
        <v>303</v>
      </c>
      <c r="AN1350" s="2" t="s">
        <v>467</v>
      </c>
      <c r="AO1350" s="2"/>
      <c r="AP1350" s="2" t="s">
        <v>23551</v>
      </c>
      <c r="AQ1350" s="2"/>
      <c r="AR1350" s="2" t="s">
        <v>23552</v>
      </c>
      <c r="AS1350" s="2" t="s">
        <v>23553</v>
      </c>
      <c r="AT1350" s="2" t="s">
        <v>23554</v>
      </c>
      <c r="AU1350" s="2" t="n">
        <v>2022</v>
      </c>
      <c r="AV1350" s="2" t="n">
        <v>2</v>
      </c>
      <c r="AW1350" s="2" t="n">
        <v>1</v>
      </c>
      <c r="AX1350" s="2"/>
      <c r="AY1350" s="2"/>
      <c r="AZ1350" s="2"/>
      <c r="BA1350" s="2"/>
      <c r="BB1350" s="2"/>
      <c r="BC1350" s="2"/>
      <c r="BD1350" s="2" t="n">
        <v>25</v>
      </c>
      <c r="BE1350" s="2" t="s">
        <v>23555</v>
      </c>
      <c r="BF1350" s="2" t="str">
        <f aca="false">HYPERLINK("http://dx.doi.org/10.1186/s44149-022-00053-9","http://dx.doi.org/10.1186/s44149-022-00053-9")</f>
        <v>http://dx.doi.org/10.1186/s44149-022-00053-9</v>
      </c>
      <c r="BG1350" s="2"/>
      <c r="BH1350" s="2"/>
      <c r="BI1350" s="2" t="n">
        <v>20</v>
      </c>
      <c r="BJ1350" s="2" t="s">
        <v>23556</v>
      </c>
      <c r="BK1350" s="2" t="s">
        <v>339</v>
      </c>
      <c r="BL1350" s="2" t="s">
        <v>23556</v>
      </c>
      <c r="BM1350" s="2" t="s">
        <v>23557</v>
      </c>
      <c r="BN1350" s="2" t="n">
        <v>36345345</v>
      </c>
      <c r="BO1350" s="2" t="s">
        <v>190</v>
      </c>
      <c r="BP1350" s="2"/>
      <c r="BQ1350" s="2"/>
      <c r="BR1350" s="2" t="s">
        <v>104</v>
      </c>
      <c r="BS1350" s="2" t="s">
        <v>23558</v>
      </c>
      <c r="BT1350" s="2" t="str">
        <f aca="false">HYPERLINK("https%3A%2F%2Fwww.webofscience.com%2Fwos%2Fwoscc%2Ffull-record%2FWOS:001191346600001","View Full Record in Web of Science")</f>
        <v>View Full Record in Web of Science</v>
      </c>
    </row>
    <row r="1351" customFormat="false" ht="12.75" hidden="false" customHeight="false" outlineLevel="0" collapsed="false">
      <c r="A1351" s="2" t="s">
        <v>72</v>
      </c>
      <c r="B1351" s="2" t="s">
        <v>23559</v>
      </c>
      <c r="C1351" s="2"/>
      <c r="D1351" s="2"/>
      <c r="E1351" s="2"/>
      <c r="F1351" s="2" t="s">
        <v>23560</v>
      </c>
      <c r="G1351" s="2"/>
      <c r="H1351" s="2"/>
      <c r="I1351" s="2" t="s">
        <v>23561</v>
      </c>
      <c r="J1351" s="2" t="s">
        <v>1048</v>
      </c>
      <c r="K1351" s="2"/>
      <c r="L1351" s="2"/>
      <c r="M1351" s="2" t="s">
        <v>77</v>
      </c>
      <c r="N1351" s="2" t="s">
        <v>78</v>
      </c>
      <c r="O1351" s="2"/>
      <c r="P1351" s="2"/>
      <c r="Q1351" s="2"/>
      <c r="R1351" s="2"/>
      <c r="S1351" s="2"/>
      <c r="T1351" s="2" t="s">
        <v>23562</v>
      </c>
      <c r="U1351" s="2" t="s">
        <v>23563</v>
      </c>
      <c r="V1351" s="2" t="s">
        <v>23564</v>
      </c>
      <c r="W1351" s="2" t="s">
        <v>23565</v>
      </c>
      <c r="X1351" s="2" t="s">
        <v>23566</v>
      </c>
      <c r="Y1351" s="2" t="s">
        <v>23567</v>
      </c>
      <c r="Z1351" s="2" t="s">
        <v>23568</v>
      </c>
      <c r="AA1351" s="2" t="s">
        <v>23569</v>
      </c>
      <c r="AB1351" s="2" t="s">
        <v>23570</v>
      </c>
      <c r="AC1351" s="2" t="s">
        <v>23571</v>
      </c>
      <c r="AD1351" s="2" t="s">
        <v>23571</v>
      </c>
      <c r="AE1351" s="2" t="s">
        <v>23572</v>
      </c>
      <c r="AF1351" s="2"/>
      <c r="AG1351" s="2" t="n">
        <v>44</v>
      </c>
      <c r="AH1351" s="2" t="n">
        <v>11</v>
      </c>
      <c r="AI1351" s="2" t="n">
        <v>11</v>
      </c>
      <c r="AJ1351" s="2" t="n">
        <v>0</v>
      </c>
      <c r="AK1351" s="2" t="n">
        <v>3</v>
      </c>
      <c r="AL1351" s="2" t="s">
        <v>91</v>
      </c>
      <c r="AM1351" s="2" t="s">
        <v>92</v>
      </c>
      <c r="AN1351" s="2" t="s">
        <v>93</v>
      </c>
      <c r="AO1351" s="2"/>
      <c r="AP1351" s="2" t="s">
        <v>1061</v>
      </c>
      <c r="AQ1351" s="2"/>
      <c r="AR1351" s="2" t="s">
        <v>1048</v>
      </c>
      <c r="AS1351" s="2" t="s">
        <v>1062</v>
      </c>
      <c r="AT1351" s="2" t="s">
        <v>161</v>
      </c>
      <c r="AU1351" s="2" t="n">
        <v>2022</v>
      </c>
      <c r="AV1351" s="2" t="n">
        <v>10</v>
      </c>
      <c r="AW1351" s="2" t="n">
        <v>1</v>
      </c>
      <c r="AX1351" s="2"/>
      <c r="AY1351" s="2"/>
      <c r="AZ1351" s="2"/>
      <c r="BA1351" s="2"/>
      <c r="BB1351" s="2"/>
      <c r="BC1351" s="2"/>
      <c r="BD1351" s="2" t="n">
        <v>111</v>
      </c>
      <c r="BE1351" s="2" t="s">
        <v>23573</v>
      </c>
      <c r="BF1351" s="2" t="str">
        <f aca="false">HYPERLINK("http://dx.doi.org/10.3390/microorganisms10010111","http://dx.doi.org/10.3390/microorganisms10010111")</f>
        <v>http://dx.doi.org/10.3390/microorganisms10010111</v>
      </c>
      <c r="BG1351" s="2"/>
      <c r="BH1351" s="2"/>
      <c r="BI1351" s="2" t="n">
        <v>12</v>
      </c>
      <c r="BJ1351" s="2" t="s">
        <v>211</v>
      </c>
      <c r="BK1351" s="2" t="s">
        <v>100</v>
      </c>
      <c r="BL1351" s="2" t="s">
        <v>211</v>
      </c>
      <c r="BM1351" s="2" t="s">
        <v>23574</v>
      </c>
      <c r="BN1351" s="2" t="n">
        <v>35056559</v>
      </c>
      <c r="BO1351" s="2" t="s">
        <v>103</v>
      </c>
      <c r="BP1351" s="2"/>
      <c r="BQ1351" s="2"/>
      <c r="BR1351" s="2" t="s">
        <v>104</v>
      </c>
      <c r="BS1351" s="2" t="s">
        <v>23575</v>
      </c>
      <c r="BT1351" s="2" t="str">
        <f aca="false">HYPERLINK("https%3A%2F%2Fwww.webofscience.com%2Fwos%2Fwoscc%2Ffull-record%2FWOS:000746946700001","View Full Record in Web of Science")</f>
        <v>View Full Record in Web of Science</v>
      </c>
    </row>
    <row r="1352" customFormat="false" ht="12.75" hidden="false" customHeight="false" outlineLevel="0" collapsed="false">
      <c r="A1352" s="2" t="s">
        <v>72</v>
      </c>
      <c r="B1352" s="2" t="s">
        <v>23576</v>
      </c>
      <c r="C1352" s="2"/>
      <c r="D1352" s="2"/>
      <c r="E1352" s="2"/>
      <c r="F1352" s="2" t="s">
        <v>23577</v>
      </c>
      <c r="G1352" s="2"/>
      <c r="H1352" s="2"/>
      <c r="I1352" s="2" t="s">
        <v>23578</v>
      </c>
      <c r="J1352" s="2" t="s">
        <v>109</v>
      </c>
      <c r="K1352" s="2"/>
      <c r="L1352" s="2"/>
      <c r="M1352" s="2" t="s">
        <v>77</v>
      </c>
      <c r="N1352" s="2" t="s">
        <v>78</v>
      </c>
      <c r="O1352" s="2"/>
      <c r="P1352" s="2"/>
      <c r="Q1352" s="2"/>
      <c r="R1352" s="2"/>
      <c r="S1352" s="2"/>
      <c r="T1352" s="2" t="s">
        <v>23579</v>
      </c>
      <c r="U1352" s="2" t="s">
        <v>23580</v>
      </c>
      <c r="V1352" s="2" t="s">
        <v>23581</v>
      </c>
      <c r="W1352" s="2" t="s">
        <v>23582</v>
      </c>
      <c r="X1352" s="2" t="s">
        <v>23583</v>
      </c>
      <c r="Y1352" s="2" t="s">
        <v>23584</v>
      </c>
      <c r="Z1352" s="2" t="s">
        <v>23585</v>
      </c>
      <c r="AA1352" s="2" t="s">
        <v>23586</v>
      </c>
      <c r="AB1352" s="2" t="s">
        <v>23587</v>
      </c>
      <c r="AC1352" s="2" t="s">
        <v>23588</v>
      </c>
      <c r="AD1352" s="2" t="s">
        <v>23589</v>
      </c>
      <c r="AE1352" s="2" t="s">
        <v>23590</v>
      </c>
      <c r="AF1352" s="2"/>
      <c r="AG1352" s="2" t="n">
        <v>36</v>
      </c>
      <c r="AH1352" s="2" t="n">
        <v>6</v>
      </c>
      <c r="AI1352" s="2" t="n">
        <v>6</v>
      </c>
      <c r="AJ1352" s="2" t="n">
        <v>0</v>
      </c>
      <c r="AK1352" s="2" t="n">
        <v>3</v>
      </c>
      <c r="AL1352" s="2" t="s">
        <v>122</v>
      </c>
      <c r="AM1352" s="2" t="s">
        <v>123</v>
      </c>
      <c r="AN1352" s="2" t="s">
        <v>124</v>
      </c>
      <c r="AO1352" s="2" t="s">
        <v>125</v>
      </c>
      <c r="AP1352" s="2" t="s">
        <v>126</v>
      </c>
      <c r="AQ1352" s="2"/>
      <c r="AR1352" s="2" t="s">
        <v>127</v>
      </c>
      <c r="AS1352" s="2" t="s">
        <v>128</v>
      </c>
      <c r="AT1352" s="2" t="s">
        <v>161</v>
      </c>
      <c r="AU1352" s="2" t="n">
        <v>2023</v>
      </c>
      <c r="AV1352" s="2" t="n">
        <v>42</v>
      </c>
      <c r="AW1352" s="2" t="n">
        <v>1</v>
      </c>
      <c r="AX1352" s="2"/>
      <c r="AY1352" s="2"/>
      <c r="AZ1352" s="2"/>
      <c r="BA1352" s="2"/>
      <c r="BB1352" s="2" t="n">
        <v>59</v>
      </c>
      <c r="BC1352" s="2" t="n">
        <v>65</v>
      </c>
      <c r="BD1352" s="2"/>
      <c r="BE1352" s="2" t="s">
        <v>23591</v>
      </c>
      <c r="BF1352" s="2" t="str">
        <f aca="false">HYPERLINK("http://dx.doi.org/10.1097/INF.0000000000003732","http://dx.doi.org/10.1097/INF.0000000000003732")</f>
        <v>http://dx.doi.org/10.1097/INF.0000000000003732</v>
      </c>
      <c r="BG1352" s="2"/>
      <c r="BH1352" s="2"/>
      <c r="BI1352" s="2" t="n">
        <v>7</v>
      </c>
      <c r="BJ1352" s="2" t="s">
        <v>134</v>
      </c>
      <c r="BK1352" s="2" t="s">
        <v>100</v>
      </c>
      <c r="BL1352" s="2" t="s">
        <v>134</v>
      </c>
      <c r="BM1352" s="2" t="s">
        <v>23592</v>
      </c>
      <c r="BN1352" s="2" t="n">
        <v>36476532</v>
      </c>
      <c r="BO1352" s="2"/>
      <c r="BP1352" s="2"/>
      <c r="BQ1352" s="2"/>
      <c r="BR1352" s="2" t="s">
        <v>104</v>
      </c>
      <c r="BS1352" s="2" t="s">
        <v>23593</v>
      </c>
      <c r="BT1352" s="2" t="str">
        <f aca="false">HYPERLINK("https%3A%2F%2Fwww.webofscience.com%2Fwos%2Fwoscc%2Ffull-record%2FWOS:000896088500024","View Full Record in Web of Science")</f>
        <v>View Full Record in Web of Science</v>
      </c>
    </row>
    <row r="1353" customFormat="false" ht="12.75" hidden="false" customHeight="false" outlineLevel="0" collapsed="false">
      <c r="A1353" s="2" t="s">
        <v>72</v>
      </c>
      <c r="B1353" s="2" t="s">
        <v>23594</v>
      </c>
      <c r="C1353" s="2"/>
      <c r="D1353" s="2"/>
      <c r="E1353" s="2"/>
      <c r="F1353" s="2" t="s">
        <v>23595</v>
      </c>
      <c r="G1353" s="2"/>
      <c r="H1353" s="2"/>
      <c r="I1353" s="2" t="s">
        <v>23596</v>
      </c>
      <c r="J1353" s="2" t="s">
        <v>10500</v>
      </c>
      <c r="K1353" s="2"/>
      <c r="L1353" s="2"/>
      <c r="M1353" s="2" t="s">
        <v>77</v>
      </c>
      <c r="N1353" s="2" t="s">
        <v>78</v>
      </c>
      <c r="O1353" s="2"/>
      <c r="P1353" s="2"/>
      <c r="Q1353" s="2"/>
      <c r="R1353" s="2"/>
      <c r="S1353" s="2"/>
      <c r="T1353" s="2" t="s">
        <v>23597</v>
      </c>
      <c r="U1353" s="2" t="s">
        <v>23598</v>
      </c>
      <c r="V1353" s="2" t="s">
        <v>23599</v>
      </c>
      <c r="W1353" s="2" t="s">
        <v>23600</v>
      </c>
      <c r="X1353" s="2" t="s">
        <v>747</v>
      </c>
      <c r="Y1353" s="2" t="s">
        <v>23601</v>
      </c>
      <c r="Z1353" s="2" t="s">
        <v>23602</v>
      </c>
      <c r="AA1353" s="2" t="s">
        <v>23603</v>
      </c>
      <c r="AB1353" s="2" t="s">
        <v>23604</v>
      </c>
      <c r="AC1353" s="2"/>
      <c r="AD1353" s="2"/>
      <c r="AE1353" s="2" t="s">
        <v>23605</v>
      </c>
      <c r="AF1353" s="2"/>
      <c r="AG1353" s="2" t="n">
        <v>44</v>
      </c>
      <c r="AH1353" s="2" t="n">
        <v>0</v>
      </c>
      <c r="AI1353" s="2" t="n">
        <v>0</v>
      </c>
      <c r="AJ1353" s="2" t="n">
        <v>1</v>
      </c>
      <c r="AK1353" s="2" t="n">
        <v>1</v>
      </c>
      <c r="AL1353" s="2" t="s">
        <v>10511</v>
      </c>
      <c r="AM1353" s="2" t="s">
        <v>10512</v>
      </c>
      <c r="AN1353" s="2" t="s">
        <v>10513</v>
      </c>
      <c r="AO1353" s="2" t="s">
        <v>10514</v>
      </c>
      <c r="AP1353" s="2"/>
      <c r="AQ1353" s="2"/>
      <c r="AR1353" s="2" t="s">
        <v>10515</v>
      </c>
      <c r="AS1353" s="2" t="s">
        <v>10516</v>
      </c>
      <c r="AT1353" s="2"/>
      <c r="AU1353" s="2" t="n">
        <v>2024</v>
      </c>
      <c r="AV1353" s="2" t="n">
        <v>10</v>
      </c>
      <c r="AW1353" s="2"/>
      <c r="AX1353" s="2"/>
      <c r="AY1353" s="2"/>
      <c r="AZ1353" s="2"/>
      <c r="BA1353" s="2"/>
      <c r="BB1353" s="2"/>
      <c r="BC1353" s="2"/>
      <c r="BD1353" s="2" t="s">
        <v>23606</v>
      </c>
      <c r="BE1353" s="2" t="s">
        <v>23607</v>
      </c>
      <c r="BF1353" s="2" t="str">
        <f aca="false">HYPERLINK("http://dx.doi.org/10.2196/57349","http://dx.doi.org/10.2196/57349")</f>
        <v>http://dx.doi.org/10.2196/57349</v>
      </c>
      <c r="BG1353" s="2"/>
      <c r="BH1353" s="2"/>
      <c r="BI1353" s="2" t="n">
        <v>15</v>
      </c>
      <c r="BJ1353" s="2" t="s">
        <v>1353</v>
      </c>
      <c r="BK1353" s="2" t="s">
        <v>1086</v>
      </c>
      <c r="BL1353" s="2" t="s">
        <v>1353</v>
      </c>
      <c r="BM1353" s="2" t="s">
        <v>23608</v>
      </c>
      <c r="BN1353" s="2" t="n">
        <v>38805611</v>
      </c>
      <c r="BO1353" s="2" t="s">
        <v>190</v>
      </c>
      <c r="BP1353" s="2"/>
      <c r="BQ1353" s="2"/>
      <c r="BR1353" s="2" t="s">
        <v>104</v>
      </c>
      <c r="BS1353" s="2" t="s">
        <v>23609</v>
      </c>
      <c r="BT1353" s="2" t="str">
        <f aca="false">HYPERLINK("https%3A%2F%2Fwww.webofscience.com%2Fwos%2Fwoscc%2Ffull-record%2FWOS:001333292200020","View Full Record in Web of Science")</f>
        <v>View Full Record in Web of Science</v>
      </c>
    </row>
    <row r="1354" customFormat="false" ht="12.75" hidden="false" customHeight="false" outlineLevel="0" collapsed="false">
      <c r="A1354" s="2" t="s">
        <v>72</v>
      </c>
      <c r="B1354" s="2" t="s">
        <v>23610</v>
      </c>
      <c r="C1354" s="2"/>
      <c r="D1354" s="2"/>
      <c r="E1354" s="2"/>
      <c r="F1354" s="2" t="s">
        <v>23611</v>
      </c>
      <c r="G1354" s="2"/>
      <c r="H1354" s="2"/>
      <c r="I1354" s="2" t="s">
        <v>23612</v>
      </c>
      <c r="J1354" s="2" t="s">
        <v>8664</v>
      </c>
      <c r="K1354" s="2"/>
      <c r="L1354" s="2"/>
      <c r="M1354" s="2" t="s">
        <v>77</v>
      </c>
      <c r="N1354" s="2" t="s">
        <v>78</v>
      </c>
      <c r="O1354" s="2"/>
      <c r="P1354" s="2"/>
      <c r="Q1354" s="2"/>
      <c r="R1354" s="2"/>
      <c r="S1354" s="2"/>
      <c r="T1354" s="2" t="s">
        <v>23613</v>
      </c>
      <c r="U1354" s="2"/>
      <c r="V1354" s="2"/>
      <c r="W1354" s="2" t="s">
        <v>23614</v>
      </c>
      <c r="X1354" s="2" t="s">
        <v>23615</v>
      </c>
      <c r="Y1354" s="2" t="s">
        <v>23616</v>
      </c>
      <c r="Z1354" s="2" t="s">
        <v>23617</v>
      </c>
      <c r="AA1354" s="2"/>
      <c r="AB1354" s="2" t="s">
        <v>23618</v>
      </c>
      <c r="AC1354" s="2"/>
      <c r="AD1354" s="2"/>
      <c r="AE1354" s="2"/>
      <c r="AF1354" s="2"/>
      <c r="AG1354" s="2" t="n">
        <v>5</v>
      </c>
      <c r="AH1354" s="2" t="n">
        <v>0</v>
      </c>
      <c r="AI1354" s="2" t="n">
        <v>0</v>
      </c>
      <c r="AJ1354" s="2" t="n">
        <v>0</v>
      </c>
      <c r="AK1354" s="2" t="n">
        <v>0</v>
      </c>
      <c r="AL1354" s="2" t="s">
        <v>154</v>
      </c>
      <c r="AM1354" s="2" t="s">
        <v>155</v>
      </c>
      <c r="AN1354" s="2" t="s">
        <v>156</v>
      </c>
      <c r="AO1354" s="2" t="s">
        <v>8673</v>
      </c>
      <c r="AP1354" s="2" t="s">
        <v>8674</v>
      </c>
      <c r="AQ1354" s="2"/>
      <c r="AR1354" s="2" t="s">
        <v>8675</v>
      </c>
      <c r="AS1354" s="2" t="s">
        <v>8676</v>
      </c>
      <c r="AT1354" s="2" t="s">
        <v>161</v>
      </c>
      <c r="AU1354" s="2" t="n">
        <v>2022</v>
      </c>
      <c r="AV1354" s="2" t="n">
        <v>64</v>
      </c>
      <c r="AW1354" s="2" t="n">
        <v>1</v>
      </c>
      <c r="AX1354" s="2"/>
      <c r="AY1354" s="2"/>
      <c r="AZ1354" s="2"/>
      <c r="BA1354" s="2"/>
      <c r="BB1354" s="2"/>
      <c r="BC1354" s="2"/>
      <c r="BD1354" s="2" t="s">
        <v>23619</v>
      </c>
      <c r="BE1354" s="2" t="s">
        <v>23620</v>
      </c>
      <c r="BF1354" s="2" t="str">
        <f aca="false">HYPERLINK("http://dx.doi.org/10.1111/ped.15125","http://dx.doi.org/10.1111/ped.15125")</f>
        <v>http://dx.doi.org/10.1111/ped.15125</v>
      </c>
      <c r="BG1354" s="2"/>
      <c r="BH1354" s="2"/>
      <c r="BI1354" s="2" t="n">
        <v>2</v>
      </c>
      <c r="BJ1354" s="2" t="s">
        <v>601</v>
      </c>
      <c r="BK1354" s="2" t="s">
        <v>100</v>
      </c>
      <c r="BL1354" s="2" t="s">
        <v>601</v>
      </c>
      <c r="BM1354" s="2" t="s">
        <v>23621</v>
      </c>
      <c r="BN1354" s="2" t="n">
        <v>35396781</v>
      </c>
      <c r="BO1354" s="2"/>
      <c r="BP1354" s="2"/>
      <c r="BQ1354" s="2"/>
      <c r="BR1354" s="2" t="s">
        <v>104</v>
      </c>
      <c r="BS1354" s="2" t="s">
        <v>23622</v>
      </c>
      <c r="BT1354" s="2" t="str">
        <f aca="false">HYPERLINK("https%3A%2F%2Fwww.webofscience.com%2Fwos%2Fwoscc%2Ffull-record%2FWOS:000779513600001","View Full Record in Web of Science")</f>
        <v>View Full Record in Web of Science</v>
      </c>
    </row>
    <row r="1355" customFormat="false" ht="12.75" hidden="false" customHeight="false" outlineLevel="0" collapsed="false">
      <c r="A1355" s="2" t="s">
        <v>72</v>
      </c>
      <c r="B1355" s="2" t="s">
        <v>23623</v>
      </c>
      <c r="C1355" s="2"/>
      <c r="D1355" s="2"/>
      <c r="E1355" s="2"/>
      <c r="F1355" s="2" t="s">
        <v>23624</v>
      </c>
      <c r="G1355" s="2"/>
      <c r="H1355" s="2"/>
      <c r="I1355" s="2" t="s">
        <v>23625</v>
      </c>
      <c r="J1355" s="2" t="s">
        <v>23626</v>
      </c>
      <c r="K1355" s="2"/>
      <c r="L1355" s="2"/>
      <c r="M1355" s="2" t="s">
        <v>77</v>
      </c>
      <c r="N1355" s="2" t="s">
        <v>78</v>
      </c>
      <c r="O1355" s="2"/>
      <c r="P1355" s="2"/>
      <c r="Q1355" s="2"/>
      <c r="R1355" s="2"/>
      <c r="S1355" s="2"/>
      <c r="T1355" s="2" t="s">
        <v>23627</v>
      </c>
      <c r="U1355" s="2" t="s">
        <v>23628</v>
      </c>
      <c r="V1355" s="2" t="s">
        <v>23629</v>
      </c>
      <c r="W1355" s="2" t="s">
        <v>23630</v>
      </c>
      <c r="X1355" s="2" t="s">
        <v>23631</v>
      </c>
      <c r="Y1355" s="2" t="s">
        <v>23632</v>
      </c>
      <c r="Z1355" s="2" t="s">
        <v>23633</v>
      </c>
      <c r="AA1355" s="2" t="s">
        <v>23634</v>
      </c>
      <c r="AB1355" s="2" t="s">
        <v>23635</v>
      </c>
      <c r="AC1355" s="2"/>
      <c r="AD1355" s="2"/>
      <c r="AE1355" s="2"/>
      <c r="AF1355" s="2"/>
      <c r="AG1355" s="2" t="n">
        <v>22</v>
      </c>
      <c r="AH1355" s="2" t="n">
        <v>0</v>
      </c>
      <c r="AI1355" s="2" t="n">
        <v>0</v>
      </c>
      <c r="AJ1355" s="2" t="n">
        <v>2</v>
      </c>
      <c r="AK1355" s="2" t="n">
        <v>2</v>
      </c>
      <c r="AL1355" s="2" t="s">
        <v>23636</v>
      </c>
      <c r="AM1355" s="2" t="s">
        <v>3690</v>
      </c>
      <c r="AN1355" s="2" t="s">
        <v>23637</v>
      </c>
      <c r="AO1355" s="2" t="s">
        <v>23638</v>
      </c>
      <c r="AP1355" s="2"/>
      <c r="AQ1355" s="2"/>
      <c r="AR1355" s="2" t="s">
        <v>23639</v>
      </c>
      <c r="AS1355" s="2" t="s">
        <v>23640</v>
      </c>
      <c r="AT1355" s="2" t="s">
        <v>446</v>
      </c>
      <c r="AU1355" s="2" t="n">
        <v>2023</v>
      </c>
      <c r="AV1355" s="2" t="n">
        <v>5</v>
      </c>
      <c r="AW1355" s="2" t="n">
        <v>4</v>
      </c>
      <c r="AX1355" s="2"/>
      <c r="AY1355" s="2"/>
      <c r="AZ1355" s="2"/>
      <c r="BA1355" s="2"/>
      <c r="BB1355" s="2" t="n">
        <v>311</v>
      </c>
      <c r="BC1355" s="2" t="n">
        <v>322</v>
      </c>
      <c r="BD1355" s="2"/>
      <c r="BE1355" s="2" t="s">
        <v>23641</v>
      </c>
      <c r="BF1355" s="2" t="str">
        <f aca="false">HYPERLINK("http://dx.doi.org/10.36519/idcm.2023.250","http://dx.doi.org/10.36519/idcm.2023.250")</f>
        <v>http://dx.doi.org/10.36519/idcm.2023.250</v>
      </c>
      <c r="BG1355" s="2"/>
      <c r="BH1355" s="2"/>
      <c r="BI1355" s="2" t="n">
        <v>12</v>
      </c>
      <c r="BJ1355" s="2" t="s">
        <v>1467</v>
      </c>
      <c r="BK1355" s="2" t="s">
        <v>339</v>
      </c>
      <c r="BL1355" s="2" t="s">
        <v>1467</v>
      </c>
      <c r="BM1355" s="2" t="s">
        <v>23642</v>
      </c>
      <c r="BN1355" s="2" t="n">
        <v>38633850</v>
      </c>
      <c r="BO1355" s="2" t="s">
        <v>136</v>
      </c>
      <c r="BP1355" s="2"/>
      <c r="BQ1355" s="2"/>
      <c r="BR1355" s="2" t="s">
        <v>104</v>
      </c>
      <c r="BS1355" s="2" t="s">
        <v>23643</v>
      </c>
      <c r="BT1355" s="2" t="str">
        <f aca="false">HYPERLINK("https%3A%2F%2Fwww.webofscience.com%2Fwos%2Fwoscc%2Ffull-record%2FWOS:001157884800010","View Full Record in Web of Science")</f>
        <v>View Full Record in Web of Science</v>
      </c>
    </row>
    <row r="1356" customFormat="false" ht="12.75" hidden="false" customHeight="false" outlineLevel="0" collapsed="false">
      <c r="A1356" s="2" t="s">
        <v>72</v>
      </c>
      <c r="B1356" s="2" t="s">
        <v>23644</v>
      </c>
      <c r="C1356" s="2"/>
      <c r="D1356" s="2"/>
      <c r="E1356" s="2"/>
      <c r="F1356" s="2" t="s">
        <v>23645</v>
      </c>
      <c r="G1356" s="2"/>
      <c r="H1356" s="2"/>
      <c r="I1356" s="2" t="s">
        <v>23646</v>
      </c>
      <c r="J1356" s="2" t="s">
        <v>557</v>
      </c>
      <c r="K1356" s="2"/>
      <c r="L1356" s="2"/>
      <c r="M1356" s="2" t="s">
        <v>77</v>
      </c>
      <c r="N1356" s="2" t="s">
        <v>78</v>
      </c>
      <c r="O1356" s="2"/>
      <c r="P1356" s="2"/>
      <c r="Q1356" s="2"/>
      <c r="R1356" s="2"/>
      <c r="S1356" s="2"/>
      <c r="T1356" s="2" t="s">
        <v>23647</v>
      </c>
      <c r="U1356" s="2" t="s">
        <v>23648</v>
      </c>
      <c r="V1356" s="2" t="s">
        <v>23649</v>
      </c>
      <c r="W1356" s="2" t="s">
        <v>23650</v>
      </c>
      <c r="X1356" s="2" t="s">
        <v>23651</v>
      </c>
      <c r="Y1356" s="2" t="s">
        <v>23652</v>
      </c>
      <c r="Z1356" s="2" t="s">
        <v>23653</v>
      </c>
      <c r="AA1356" s="2" t="s">
        <v>23654</v>
      </c>
      <c r="AB1356" s="2" t="s">
        <v>23655</v>
      </c>
      <c r="AC1356" s="2" t="s">
        <v>23656</v>
      </c>
      <c r="AD1356" s="2" t="s">
        <v>23657</v>
      </c>
      <c r="AE1356" s="2" t="s">
        <v>23658</v>
      </c>
      <c r="AF1356" s="2"/>
      <c r="AG1356" s="2" t="n">
        <v>40</v>
      </c>
      <c r="AH1356" s="2" t="n">
        <v>35</v>
      </c>
      <c r="AI1356" s="2" t="n">
        <v>42</v>
      </c>
      <c r="AJ1356" s="2" t="n">
        <v>0</v>
      </c>
      <c r="AK1356" s="2" t="n">
        <v>1</v>
      </c>
      <c r="AL1356" s="2" t="s">
        <v>302</v>
      </c>
      <c r="AM1356" s="2" t="s">
        <v>303</v>
      </c>
      <c r="AN1356" s="2" t="s">
        <v>304</v>
      </c>
      <c r="AO1356" s="2"/>
      <c r="AP1356" s="2" t="s">
        <v>570</v>
      </c>
      <c r="AQ1356" s="2"/>
      <c r="AR1356" s="2" t="s">
        <v>571</v>
      </c>
      <c r="AS1356" s="2" t="s">
        <v>572</v>
      </c>
      <c r="AT1356" s="2" t="s">
        <v>5902</v>
      </c>
      <c r="AU1356" s="2" t="n">
        <v>2019</v>
      </c>
      <c r="AV1356" s="2" t="n">
        <v>19</v>
      </c>
      <c r="AW1356" s="2" t="n">
        <v>1</v>
      </c>
      <c r="AX1356" s="2"/>
      <c r="AY1356" s="2"/>
      <c r="AZ1356" s="2"/>
      <c r="BA1356" s="2"/>
      <c r="BB1356" s="2"/>
      <c r="BC1356" s="2"/>
      <c r="BD1356" s="2" t="n">
        <v>729</v>
      </c>
      <c r="BE1356" s="2" t="s">
        <v>23659</v>
      </c>
      <c r="BF1356" s="2" t="str">
        <f aca="false">HYPERLINK("http://dx.doi.org/10.1186/s12879-019-4385-5","http://dx.doi.org/10.1186/s12879-019-4385-5")</f>
        <v>http://dx.doi.org/10.1186/s12879-019-4385-5</v>
      </c>
      <c r="BG1356" s="2"/>
      <c r="BH1356" s="2"/>
      <c r="BI1356" s="2" t="n">
        <v>8</v>
      </c>
      <c r="BJ1356" s="2" t="s">
        <v>575</v>
      </c>
      <c r="BK1356" s="2" t="s">
        <v>100</v>
      </c>
      <c r="BL1356" s="2" t="s">
        <v>575</v>
      </c>
      <c r="BM1356" s="2" t="s">
        <v>23660</v>
      </c>
      <c r="BN1356" s="2" t="n">
        <v>31429710</v>
      </c>
      <c r="BO1356" s="2" t="s">
        <v>103</v>
      </c>
      <c r="BP1356" s="2"/>
      <c r="BQ1356" s="2"/>
      <c r="BR1356" s="2" t="s">
        <v>104</v>
      </c>
      <c r="BS1356" s="2" t="s">
        <v>23661</v>
      </c>
      <c r="BT1356" s="2" t="str">
        <f aca="false">HYPERLINK("https%3A%2F%2Fwww.webofscience.com%2Fwos%2Fwoscc%2Ffull-record%2FWOS:000482932100004","View Full Record in Web of Science")</f>
        <v>View Full Record in Web of Science</v>
      </c>
    </row>
    <row r="1357" customFormat="false" ht="12.75" hidden="false" customHeight="false" outlineLevel="0" collapsed="false">
      <c r="A1357" s="2" t="s">
        <v>72</v>
      </c>
      <c r="B1357" s="2" t="s">
        <v>23662</v>
      </c>
      <c r="C1357" s="2"/>
      <c r="D1357" s="2"/>
      <c r="E1357" s="2"/>
      <c r="F1357" s="2" t="s">
        <v>23663</v>
      </c>
      <c r="G1357" s="2"/>
      <c r="H1357" s="2"/>
      <c r="I1357" s="2" t="s">
        <v>23664</v>
      </c>
      <c r="J1357" s="2" t="s">
        <v>11019</v>
      </c>
      <c r="K1357" s="2"/>
      <c r="L1357" s="2"/>
      <c r="M1357" s="2" t="s">
        <v>77</v>
      </c>
      <c r="N1357" s="2" t="s">
        <v>78</v>
      </c>
      <c r="O1357" s="2"/>
      <c r="P1357" s="2"/>
      <c r="Q1357" s="2"/>
      <c r="R1357" s="2"/>
      <c r="S1357" s="2"/>
      <c r="T1357" s="2" t="s">
        <v>23665</v>
      </c>
      <c r="U1357" s="2" t="s">
        <v>23666</v>
      </c>
      <c r="V1357" s="2" t="s">
        <v>23667</v>
      </c>
      <c r="W1357" s="2" t="s">
        <v>23668</v>
      </c>
      <c r="X1357" s="2" t="s">
        <v>23669</v>
      </c>
      <c r="Y1357" s="2" t="s">
        <v>23670</v>
      </c>
      <c r="Z1357" s="2" t="s">
        <v>23671</v>
      </c>
      <c r="AA1357" s="2" t="s">
        <v>23672</v>
      </c>
      <c r="AB1357" s="2" t="s">
        <v>23673</v>
      </c>
      <c r="AC1357" s="2" t="s">
        <v>23674</v>
      </c>
      <c r="AD1357" s="2" t="s">
        <v>23675</v>
      </c>
      <c r="AE1357" s="2" t="s">
        <v>23676</v>
      </c>
      <c r="AF1357" s="2"/>
      <c r="AG1357" s="2" t="n">
        <v>41</v>
      </c>
      <c r="AH1357" s="2" t="n">
        <v>0</v>
      </c>
      <c r="AI1357" s="2" t="n">
        <v>0</v>
      </c>
      <c r="AJ1357" s="2" t="n">
        <v>1</v>
      </c>
      <c r="AK1357" s="2" t="n">
        <v>1</v>
      </c>
      <c r="AL1357" s="2" t="s">
        <v>154</v>
      </c>
      <c r="AM1357" s="2" t="s">
        <v>155</v>
      </c>
      <c r="AN1357" s="2" t="s">
        <v>156</v>
      </c>
      <c r="AO1357" s="2" t="s">
        <v>11028</v>
      </c>
      <c r="AP1357" s="2" t="s">
        <v>11029</v>
      </c>
      <c r="AQ1357" s="2"/>
      <c r="AR1357" s="2" t="s">
        <v>11030</v>
      </c>
      <c r="AS1357" s="2" t="s">
        <v>11031</v>
      </c>
      <c r="AT1357" s="2" t="s">
        <v>129</v>
      </c>
      <c r="AU1357" s="2" t="n">
        <v>2023</v>
      </c>
      <c r="AV1357" s="2" t="n">
        <v>17</v>
      </c>
      <c r="AW1357" s="2" t="n">
        <v>9</v>
      </c>
      <c r="AX1357" s="2"/>
      <c r="AY1357" s="2"/>
      <c r="AZ1357" s="2"/>
      <c r="BA1357" s="2"/>
      <c r="BB1357" s="2"/>
      <c r="BC1357" s="2"/>
      <c r="BD1357" s="2" t="s">
        <v>23677</v>
      </c>
      <c r="BE1357" s="2" t="s">
        <v>23678</v>
      </c>
      <c r="BF1357" s="2" t="str">
        <f aca="false">HYPERLINK("http://dx.doi.org/10.1111/irv.13201","http://dx.doi.org/10.1111/irv.13201")</f>
        <v>http://dx.doi.org/10.1111/irv.13201</v>
      </c>
      <c r="BG1357" s="2"/>
      <c r="BH1357" s="2"/>
      <c r="BI1357" s="2" t="n">
        <v>10</v>
      </c>
      <c r="BJ1357" s="2" t="s">
        <v>8287</v>
      </c>
      <c r="BK1357" s="2" t="s">
        <v>100</v>
      </c>
      <c r="BL1357" s="2" t="s">
        <v>8287</v>
      </c>
      <c r="BM1357" s="2" t="s">
        <v>23679</v>
      </c>
      <c r="BN1357" s="2" t="n">
        <v>37744992</v>
      </c>
      <c r="BO1357" s="2" t="s">
        <v>6349</v>
      </c>
      <c r="BP1357" s="2"/>
      <c r="BQ1357" s="2"/>
      <c r="BR1357" s="2" t="s">
        <v>104</v>
      </c>
      <c r="BS1357" s="2" t="s">
        <v>23680</v>
      </c>
      <c r="BT1357" s="2" t="str">
        <f aca="false">HYPERLINK("https%3A%2F%2Fwww.webofscience.com%2Fwos%2Fwoscc%2Ffull-record%2FWOS:001145003200001","View Full Record in Web of Science")</f>
        <v>View Full Record in Web of Science</v>
      </c>
    </row>
    <row r="1358" customFormat="false" ht="12.75" hidden="false" customHeight="false" outlineLevel="0" collapsed="false">
      <c r="A1358" s="2" t="s">
        <v>72</v>
      </c>
      <c r="B1358" s="2" t="s">
        <v>23681</v>
      </c>
      <c r="C1358" s="2"/>
      <c r="D1358" s="2"/>
      <c r="E1358" s="2"/>
      <c r="F1358" s="2" t="s">
        <v>23682</v>
      </c>
      <c r="G1358" s="2"/>
      <c r="H1358" s="2"/>
      <c r="I1358" s="2" t="s">
        <v>23683</v>
      </c>
      <c r="J1358" s="2" t="s">
        <v>1765</v>
      </c>
      <c r="K1358" s="2"/>
      <c r="L1358" s="2"/>
      <c r="M1358" s="2" t="s">
        <v>77</v>
      </c>
      <c r="N1358" s="2" t="s">
        <v>78</v>
      </c>
      <c r="O1358" s="2"/>
      <c r="P1358" s="2"/>
      <c r="Q1358" s="2"/>
      <c r="R1358" s="2"/>
      <c r="S1358" s="2"/>
      <c r="T1358" s="2" t="s">
        <v>23684</v>
      </c>
      <c r="U1358" s="2" t="s">
        <v>23685</v>
      </c>
      <c r="V1358" s="2" t="s">
        <v>23686</v>
      </c>
      <c r="W1358" s="2" t="s">
        <v>23687</v>
      </c>
      <c r="X1358" s="2" t="s">
        <v>23688</v>
      </c>
      <c r="Y1358" s="2" t="s">
        <v>23689</v>
      </c>
      <c r="Z1358" s="2" t="s">
        <v>23690</v>
      </c>
      <c r="AA1358" s="2"/>
      <c r="AB1358" s="2" t="s">
        <v>23691</v>
      </c>
      <c r="AC1358" s="2" t="s">
        <v>23692</v>
      </c>
      <c r="AD1358" s="2" t="s">
        <v>23693</v>
      </c>
      <c r="AE1358" s="2" t="s">
        <v>23694</v>
      </c>
      <c r="AF1358" s="2"/>
      <c r="AG1358" s="2" t="n">
        <v>18</v>
      </c>
      <c r="AH1358" s="2" t="n">
        <v>4</v>
      </c>
      <c r="AI1358" s="2" t="n">
        <v>4</v>
      </c>
      <c r="AJ1358" s="2" t="n">
        <v>0</v>
      </c>
      <c r="AK1358" s="2" t="n">
        <v>8</v>
      </c>
      <c r="AL1358" s="2" t="s">
        <v>620</v>
      </c>
      <c r="AM1358" s="2" t="s">
        <v>621</v>
      </c>
      <c r="AN1358" s="2" t="s">
        <v>622</v>
      </c>
      <c r="AO1358" s="2" t="s">
        <v>1778</v>
      </c>
      <c r="AP1358" s="2"/>
      <c r="AQ1358" s="2"/>
      <c r="AR1358" s="2" t="s">
        <v>1779</v>
      </c>
      <c r="AS1358" s="2" t="s">
        <v>1780</v>
      </c>
      <c r="AT1358" s="2" t="s">
        <v>23695</v>
      </c>
      <c r="AU1358" s="2" t="n">
        <v>2020</v>
      </c>
      <c r="AV1358" s="2" t="n">
        <v>8</v>
      </c>
      <c r="AW1358" s="2"/>
      <c r="AX1358" s="2"/>
      <c r="AY1358" s="2"/>
      <c r="AZ1358" s="2"/>
      <c r="BA1358" s="2"/>
      <c r="BB1358" s="2"/>
      <c r="BC1358" s="2"/>
      <c r="BD1358" s="2" t="n">
        <v>576676</v>
      </c>
      <c r="BE1358" s="2" t="s">
        <v>23696</v>
      </c>
      <c r="BF1358" s="2" t="str">
        <f aca="false">HYPERLINK("http://dx.doi.org/10.3389/fped.2020.576676","http://dx.doi.org/10.3389/fped.2020.576676")</f>
        <v>http://dx.doi.org/10.3389/fped.2020.576676</v>
      </c>
      <c r="BG1358" s="2"/>
      <c r="BH1358" s="2"/>
      <c r="BI1358" s="2" t="n">
        <v>7</v>
      </c>
      <c r="BJ1358" s="2" t="s">
        <v>601</v>
      </c>
      <c r="BK1358" s="2" t="s">
        <v>100</v>
      </c>
      <c r="BL1358" s="2" t="s">
        <v>601</v>
      </c>
      <c r="BM1358" s="2" t="s">
        <v>23697</v>
      </c>
      <c r="BN1358" s="2" t="n">
        <v>33489997</v>
      </c>
      <c r="BO1358" s="2" t="s">
        <v>103</v>
      </c>
      <c r="BP1358" s="2"/>
      <c r="BQ1358" s="2"/>
      <c r="BR1358" s="2" t="s">
        <v>104</v>
      </c>
      <c r="BS1358" s="2" t="s">
        <v>23698</v>
      </c>
      <c r="BT1358" s="2" t="str">
        <f aca="false">HYPERLINK("https%3A%2F%2Fwww.webofscience.com%2Fwos%2Fwoscc%2Ffull-record%2FWOS:000609120600001","View Full Record in Web of Science")</f>
        <v>View Full Record in Web of Science</v>
      </c>
    </row>
    <row r="1359" customFormat="false" ht="12.75" hidden="false" customHeight="false" outlineLevel="0" collapsed="false">
      <c r="A1359" s="2" t="s">
        <v>72</v>
      </c>
      <c r="B1359" s="2" t="s">
        <v>23699</v>
      </c>
      <c r="C1359" s="2"/>
      <c r="D1359" s="2"/>
      <c r="E1359" s="2"/>
      <c r="F1359" s="2" t="s">
        <v>23700</v>
      </c>
      <c r="G1359" s="2"/>
      <c r="H1359" s="2"/>
      <c r="I1359" s="2" t="s">
        <v>23701</v>
      </c>
      <c r="J1359" s="2" t="s">
        <v>2547</v>
      </c>
      <c r="K1359" s="2"/>
      <c r="L1359" s="2"/>
      <c r="M1359" s="2" t="s">
        <v>77</v>
      </c>
      <c r="N1359" s="2" t="s">
        <v>78</v>
      </c>
      <c r="O1359" s="2"/>
      <c r="P1359" s="2"/>
      <c r="Q1359" s="2"/>
      <c r="R1359" s="2"/>
      <c r="S1359" s="2"/>
      <c r="T1359" s="2" t="s">
        <v>23702</v>
      </c>
      <c r="U1359" s="2" t="s">
        <v>889</v>
      </c>
      <c r="V1359" s="2" t="s">
        <v>23703</v>
      </c>
      <c r="W1359" s="2" t="s">
        <v>23704</v>
      </c>
      <c r="X1359" s="2" t="s">
        <v>23705</v>
      </c>
      <c r="Y1359" s="2" t="s">
        <v>23706</v>
      </c>
      <c r="Z1359" s="2" t="s">
        <v>16991</v>
      </c>
      <c r="AA1359" s="2"/>
      <c r="AB1359" s="2" t="s">
        <v>23707</v>
      </c>
      <c r="AC1359" s="2" t="s">
        <v>23708</v>
      </c>
      <c r="AD1359" s="2" t="s">
        <v>23709</v>
      </c>
      <c r="AE1359" s="2" t="s">
        <v>23710</v>
      </c>
      <c r="AF1359" s="2"/>
      <c r="AG1359" s="2" t="n">
        <v>18</v>
      </c>
      <c r="AH1359" s="2" t="n">
        <v>9</v>
      </c>
      <c r="AI1359" s="2" t="n">
        <v>13</v>
      </c>
      <c r="AJ1359" s="2" t="n">
        <v>0</v>
      </c>
      <c r="AK1359" s="2" t="n">
        <v>3</v>
      </c>
      <c r="AL1359" s="2" t="s">
        <v>782</v>
      </c>
      <c r="AM1359" s="2" t="s">
        <v>783</v>
      </c>
      <c r="AN1359" s="2" t="s">
        <v>784</v>
      </c>
      <c r="AO1359" s="2" t="s">
        <v>2556</v>
      </c>
      <c r="AP1359" s="2" t="s">
        <v>2557</v>
      </c>
      <c r="AQ1359" s="2"/>
      <c r="AR1359" s="2" t="s">
        <v>2547</v>
      </c>
      <c r="AS1359" s="2" t="s">
        <v>2558</v>
      </c>
      <c r="AT1359" s="2" t="s">
        <v>820</v>
      </c>
      <c r="AU1359" s="2" t="n">
        <v>2020</v>
      </c>
      <c r="AV1359" s="2" t="n">
        <v>38</v>
      </c>
      <c r="AW1359" s="2" t="n">
        <v>9</v>
      </c>
      <c r="AX1359" s="2"/>
      <c r="AY1359" s="2"/>
      <c r="AZ1359" s="2"/>
      <c r="BA1359" s="2"/>
      <c r="BB1359" s="2" t="n">
        <v>2122</v>
      </c>
      <c r="BC1359" s="2" t="n">
        <v>2127</v>
      </c>
      <c r="BD1359" s="2"/>
      <c r="BE1359" s="2" t="s">
        <v>23711</v>
      </c>
      <c r="BF1359" s="2" t="str">
        <f aca="false">HYPERLINK("http://dx.doi.org/10.1016/j.vaccine.2020.01.047","http://dx.doi.org/10.1016/j.vaccine.2020.01.047")</f>
        <v>http://dx.doi.org/10.1016/j.vaccine.2020.01.047</v>
      </c>
      <c r="BG1359" s="2"/>
      <c r="BH1359" s="2"/>
      <c r="BI1359" s="2" t="n">
        <v>6</v>
      </c>
      <c r="BJ1359" s="2" t="s">
        <v>187</v>
      </c>
      <c r="BK1359" s="2" t="s">
        <v>100</v>
      </c>
      <c r="BL1359" s="2" t="s">
        <v>188</v>
      </c>
      <c r="BM1359" s="2" t="s">
        <v>23712</v>
      </c>
      <c r="BN1359" s="2" t="n">
        <v>32007293</v>
      </c>
      <c r="BO1359" s="2"/>
      <c r="BP1359" s="2"/>
      <c r="BQ1359" s="2"/>
      <c r="BR1359" s="2" t="s">
        <v>104</v>
      </c>
      <c r="BS1359" s="2" t="s">
        <v>23713</v>
      </c>
      <c r="BT1359" s="2" t="str">
        <f aca="false">HYPERLINK("https%3A%2F%2Fwww.webofscience.com%2Fwos%2Fwoscc%2Ffull-record%2FWOS:000518725900004","View Full Record in Web of Science")</f>
        <v>View Full Record in Web of Science</v>
      </c>
    </row>
    <row r="1360" customFormat="false" ht="12.75" hidden="false" customHeight="false" outlineLevel="0" collapsed="false">
      <c r="A1360" s="2" t="s">
        <v>72</v>
      </c>
      <c r="B1360" s="2" t="s">
        <v>23714</v>
      </c>
      <c r="C1360" s="2"/>
      <c r="D1360" s="2"/>
      <c r="E1360" s="2"/>
      <c r="F1360" s="2" t="s">
        <v>23715</v>
      </c>
      <c r="G1360" s="2"/>
      <c r="H1360" s="2"/>
      <c r="I1360" s="2" t="s">
        <v>23716</v>
      </c>
      <c r="J1360" s="2" t="s">
        <v>23717</v>
      </c>
      <c r="K1360" s="2"/>
      <c r="L1360" s="2"/>
      <c r="M1360" s="2" t="s">
        <v>77</v>
      </c>
      <c r="N1360" s="2" t="s">
        <v>78</v>
      </c>
      <c r="O1360" s="2"/>
      <c r="P1360" s="2"/>
      <c r="Q1360" s="2"/>
      <c r="R1360" s="2"/>
      <c r="S1360" s="2"/>
      <c r="T1360" s="2" t="s">
        <v>23718</v>
      </c>
      <c r="U1360" s="2" t="s">
        <v>23719</v>
      </c>
      <c r="V1360" s="2" t="s">
        <v>23720</v>
      </c>
      <c r="W1360" s="2" t="s">
        <v>23721</v>
      </c>
      <c r="X1360" s="2" t="s">
        <v>21085</v>
      </c>
      <c r="Y1360" s="2" t="s">
        <v>23722</v>
      </c>
      <c r="Z1360" s="2" t="s">
        <v>21087</v>
      </c>
      <c r="AA1360" s="2" t="s">
        <v>21088</v>
      </c>
      <c r="AB1360" s="2" t="s">
        <v>21089</v>
      </c>
      <c r="AC1360" s="2"/>
      <c r="AD1360" s="2"/>
      <c r="AE1360" s="2"/>
      <c r="AF1360" s="2"/>
      <c r="AG1360" s="2" t="n">
        <v>36</v>
      </c>
      <c r="AH1360" s="2" t="n">
        <v>2</v>
      </c>
      <c r="AI1360" s="2" t="n">
        <v>2</v>
      </c>
      <c r="AJ1360" s="2" t="n">
        <v>0</v>
      </c>
      <c r="AK1360" s="2" t="n">
        <v>2</v>
      </c>
      <c r="AL1360" s="2" t="s">
        <v>9887</v>
      </c>
      <c r="AM1360" s="2" t="s">
        <v>9888</v>
      </c>
      <c r="AN1360" s="2" t="s">
        <v>9889</v>
      </c>
      <c r="AO1360" s="2" t="s">
        <v>23723</v>
      </c>
      <c r="AP1360" s="2"/>
      <c r="AQ1360" s="2"/>
      <c r="AR1360" s="2" t="s">
        <v>23724</v>
      </c>
      <c r="AS1360" s="2" t="s">
        <v>23725</v>
      </c>
      <c r="AT1360" s="2" t="s">
        <v>864</v>
      </c>
      <c r="AU1360" s="2" t="n">
        <v>2019</v>
      </c>
      <c r="AV1360" s="2" t="n">
        <v>68</v>
      </c>
      <c r="AW1360" s="2" t="n">
        <v>1</v>
      </c>
      <c r="AX1360" s="2"/>
      <c r="AY1360" s="2"/>
      <c r="AZ1360" s="2"/>
      <c r="BA1360" s="2"/>
      <c r="BB1360" s="2" t="n">
        <v>88</v>
      </c>
      <c r="BC1360" s="2" t="n">
        <v>95</v>
      </c>
      <c r="BD1360" s="2"/>
      <c r="BE1360" s="2" t="s">
        <v>23726</v>
      </c>
      <c r="BF1360" s="2" t="str">
        <f aca="false">HYPERLINK("http://dx.doi.org/10.4103/ejcdt.ejcdt_96_18","http://dx.doi.org/10.4103/ejcdt.ejcdt_96_18")</f>
        <v>http://dx.doi.org/10.4103/ejcdt.ejcdt_96_18</v>
      </c>
      <c r="BG1360" s="2"/>
      <c r="BH1360" s="2"/>
      <c r="BI1360" s="2" t="n">
        <v>8</v>
      </c>
      <c r="BJ1360" s="2" t="s">
        <v>338</v>
      </c>
      <c r="BK1360" s="2" t="s">
        <v>339</v>
      </c>
      <c r="BL1360" s="2" t="s">
        <v>338</v>
      </c>
      <c r="BM1360" s="2" t="s">
        <v>23727</v>
      </c>
      <c r="BN1360" s="2"/>
      <c r="BO1360" s="2" t="s">
        <v>1355</v>
      </c>
      <c r="BP1360" s="2"/>
      <c r="BQ1360" s="2"/>
      <c r="BR1360" s="2" t="s">
        <v>104</v>
      </c>
      <c r="BS1360" s="2" t="s">
        <v>23728</v>
      </c>
      <c r="BT1360" s="2" t="str">
        <f aca="false">HYPERLINK("https%3A%2F%2Fwww.webofscience.com%2Fwos%2Fwoscc%2Ffull-record%2FWOS:000461542100016","View Full Record in Web of Science")</f>
        <v>View Full Record in Web of Science</v>
      </c>
    </row>
    <row r="1361" customFormat="false" ht="12.75" hidden="false" customHeight="false" outlineLevel="0" collapsed="false">
      <c r="A1361" s="2" t="s">
        <v>72</v>
      </c>
      <c r="B1361" s="2" t="s">
        <v>23729</v>
      </c>
      <c r="C1361" s="2"/>
      <c r="D1361" s="2"/>
      <c r="E1361" s="2"/>
      <c r="F1361" s="2" t="s">
        <v>23730</v>
      </c>
      <c r="G1361" s="2"/>
      <c r="H1361" s="2" t="s">
        <v>23731</v>
      </c>
      <c r="I1361" s="2" t="s">
        <v>23732</v>
      </c>
      <c r="J1361" s="2" t="s">
        <v>11019</v>
      </c>
      <c r="K1361" s="2"/>
      <c r="L1361" s="2"/>
      <c r="M1361" s="2" t="s">
        <v>77</v>
      </c>
      <c r="N1361" s="2" t="s">
        <v>78</v>
      </c>
      <c r="O1361" s="2"/>
      <c r="P1361" s="2"/>
      <c r="Q1361" s="2"/>
      <c r="R1361" s="2"/>
      <c r="S1361" s="2"/>
      <c r="T1361" s="2" t="s">
        <v>23733</v>
      </c>
      <c r="U1361" s="2" t="s">
        <v>23734</v>
      </c>
      <c r="V1361" s="2" t="s">
        <v>23735</v>
      </c>
      <c r="W1361" s="2" t="s">
        <v>23736</v>
      </c>
      <c r="X1361" s="2" t="s">
        <v>23737</v>
      </c>
      <c r="Y1361" s="2" t="s">
        <v>23738</v>
      </c>
      <c r="Z1361" s="2" t="s">
        <v>23739</v>
      </c>
      <c r="AA1361" s="2" t="s">
        <v>5227</v>
      </c>
      <c r="AB1361" s="2" t="s">
        <v>23740</v>
      </c>
      <c r="AC1361" s="2" t="s">
        <v>23741</v>
      </c>
      <c r="AD1361" s="2" t="s">
        <v>23742</v>
      </c>
      <c r="AE1361" s="2" t="s">
        <v>23743</v>
      </c>
      <c r="AF1361" s="2"/>
      <c r="AG1361" s="2" t="n">
        <v>17</v>
      </c>
      <c r="AH1361" s="2" t="n">
        <v>14</v>
      </c>
      <c r="AI1361" s="2" t="n">
        <v>14</v>
      </c>
      <c r="AJ1361" s="2" t="n">
        <v>0</v>
      </c>
      <c r="AK1361" s="2" t="n">
        <v>3</v>
      </c>
      <c r="AL1361" s="2" t="s">
        <v>154</v>
      </c>
      <c r="AM1361" s="2" t="s">
        <v>155</v>
      </c>
      <c r="AN1361" s="2" t="s">
        <v>156</v>
      </c>
      <c r="AO1361" s="2" t="s">
        <v>11028</v>
      </c>
      <c r="AP1361" s="2" t="s">
        <v>11029</v>
      </c>
      <c r="AQ1361" s="2"/>
      <c r="AR1361" s="2" t="s">
        <v>11030</v>
      </c>
      <c r="AS1361" s="2" t="s">
        <v>11031</v>
      </c>
      <c r="AT1361" s="2" t="s">
        <v>97</v>
      </c>
      <c r="AU1361" s="2" t="n">
        <v>2023</v>
      </c>
      <c r="AV1361" s="2" t="n">
        <v>17</v>
      </c>
      <c r="AW1361" s="2" t="n">
        <v>3</v>
      </c>
      <c r="AX1361" s="2"/>
      <c r="AY1361" s="2"/>
      <c r="AZ1361" s="2"/>
      <c r="BA1361" s="2"/>
      <c r="BB1361" s="2"/>
      <c r="BC1361" s="2"/>
      <c r="BD1361" s="2" t="s">
        <v>23744</v>
      </c>
      <c r="BE1361" s="2" t="s">
        <v>23745</v>
      </c>
      <c r="BF1361" s="2" t="str">
        <f aca="false">HYPERLINK("http://dx.doi.org/10.1111/irv.13107","http://dx.doi.org/10.1111/irv.13107")</f>
        <v>http://dx.doi.org/10.1111/irv.13107</v>
      </c>
      <c r="BG1361" s="2"/>
      <c r="BH1361" s="2"/>
      <c r="BI1361" s="2" t="n">
        <v>10</v>
      </c>
      <c r="BJ1361" s="2" t="s">
        <v>8287</v>
      </c>
      <c r="BK1361" s="2" t="s">
        <v>100</v>
      </c>
      <c r="BL1361" s="2" t="s">
        <v>8287</v>
      </c>
      <c r="BM1361" s="2" t="s">
        <v>23746</v>
      </c>
      <c r="BN1361" s="2" t="n">
        <v>36875205</v>
      </c>
      <c r="BO1361" s="2" t="s">
        <v>103</v>
      </c>
      <c r="BP1361" s="2"/>
      <c r="BQ1361" s="2"/>
      <c r="BR1361" s="2" t="s">
        <v>104</v>
      </c>
      <c r="BS1361" s="2" t="s">
        <v>23747</v>
      </c>
      <c r="BT1361" s="2" t="str">
        <f aca="false">HYPERLINK("https%3A%2F%2Fwww.webofscience.com%2Fwos%2Fwoscc%2Ffull-record%2FWOS:000942671900001","View Full Record in Web of Science")</f>
        <v>View Full Record in Web of Science</v>
      </c>
    </row>
    <row r="1362" customFormat="false" ht="12.75" hidden="false" customHeight="false" outlineLevel="0" collapsed="false">
      <c r="A1362" s="2" t="s">
        <v>72</v>
      </c>
      <c r="B1362" s="2" t="s">
        <v>23748</v>
      </c>
      <c r="C1362" s="2"/>
      <c r="D1362" s="2"/>
      <c r="E1362" s="2"/>
      <c r="F1362" s="2" t="s">
        <v>23749</v>
      </c>
      <c r="G1362" s="2"/>
      <c r="H1362" s="2"/>
      <c r="I1362" s="2" t="s">
        <v>23750</v>
      </c>
      <c r="J1362" s="2" t="s">
        <v>7244</v>
      </c>
      <c r="K1362" s="2"/>
      <c r="L1362" s="2"/>
      <c r="M1362" s="2" t="s">
        <v>77</v>
      </c>
      <c r="N1362" s="2" t="s">
        <v>78</v>
      </c>
      <c r="O1362" s="2"/>
      <c r="P1362" s="2"/>
      <c r="Q1362" s="2"/>
      <c r="R1362" s="2"/>
      <c r="S1362" s="2"/>
      <c r="T1362" s="2" t="s">
        <v>23751</v>
      </c>
      <c r="U1362" s="2"/>
      <c r="V1362" s="2" t="s">
        <v>23752</v>
      </c>
      <c r="W1362" s="2" t="s">
        <v>23753</v>
      </c>
      <c r="X1362" s="2" t="s">
        <v>23754</v>
      </c>
      <c r="Y1362" s="2" t="s">
        <v>23755</v>
      </c>
      <c r="Z1362" s="2" t="s">
        <v>10129</v>
      </c>
      <c r="AA1362" s="2" t="s">
        <v>23756</v>
      </c>
      <c r="AB1362" s="2" t="s">
        <v>23757</v>
      </c>
      <c r="AC1362" s="2" t="s">
        <v>23758</v>
      </c>
      <c r="AD1362" s="2" t="s">
        <v>23759</v>
      </c>
      <c r="AE1362" s="2" t="s">
        <v>23760</v>
      </c>
      <c r="AF1362" s="2"/>
      <c r="AG1362" s="2" t="n">
        <v>0</v>
      </c>
      <c r="AH1362" s="2" t="n">
        <v>45</v>
      </c>
      <c r="AI1362" s="2" t="n">
        <v>49</v>
      </c>
      <c r="AJ1362" s="2" t="n">
        <v>0</v>
      </c>
      <c r="AK1362" s="2" t="n">
        <v>3</v>
      </c>
      <c r="AL1362" s="2" t="s">
        <v>3813</v>
      </c>
      <c r="AM1362" s="2" t="s">
        <v>4498</v>
      </c>
      <c r="AN1362" s="2" t="s">
        <v>4499</v>
      </c>
      <c r="AO1362" s="2" t="s">
        <v>7252</v>
      </c>
      <c r="AP1362" s="2"/>
      <c r="AQ1362" s="2"/>
      <c r="AR1362" s="2" t="s">
        <v>7254</v>
      </c>
      <c r="AS1362" s="2" t="s">
        <v>7255</v>
      </c>
      <c r="AT1362" s="2" t="s">
        <v>446</v>
      </c>
      <c r="AU1362" s="2" t="n">
        <v>2011</v>
      </c>
      <c r="AV1362" s="2" t="n">
        <v>17</v>
      </c>
      <c r="AW1362" s="2" t="n">
        <v>12</v>
      </c>
      <c r="AX1362" s="2"/>
      <c r="AY1362" s="2"/>
      <c r="AZ1362" s="2"/>
      <c r="BA1362" s="2"/>
      <c r="BB1362" s="2" t="n">
        <v>1840</v>
      </c>
      <c r="BC1362" s="2" t="n">
        <v>1844</v>
      </c>
      <c r="BD1362" s="2"/>
      <c r="BE1362" s="2" t="s">
        <v>23761</v>
      </c>
      <c r="BF1362" s="2" t="str">
        <f aca="false">HYPERLINK("http://dx.doi.org/10.1111/j.1469-0691.2011.03480.x","http://dx.doi.org/10.1111/j.1469-0691.2011.03480.x")</f>
        <v>http://dx.doi.org/10.1111/j.1469-0691.2011.03480.x</v>
      </c>
      <c r="BG1362" s="2"/>
      <c r="BH1362" s="2"/>
      <c r="BI1362" s="2" t="n">
        <v>5</v>
      </c>
      <c r="BJ1362" s="2" t="s">
        <v>1467</v>
      </c>
      <c r="BK1362" s="2" t="s">
        <v>100</v>
      </c>
      <c r="BL1362" s="2" t="s">
        <v>1467</v>
      </c>
      <c r="BM1362" s="2" t="s">
        <v>23762</v>
      </c>
      <c r="BN1362" s="2" t="n">
        <v>21883660</v>
      </c>
      <c r="BO1362" s="2" t="s">
        <v>656</v>
      </c>
      <c r="BP1362" s="2"/>
      <c r="BQ1362" s="2"/>
      <c r="BR1362" s="2" t="s">
        <v>104</v>
      </c>
      <c r="BS1362" s="2" t="s">
        <v>23763</v>
      </c>
      <c r="BT1362" s="2" t="str">
        <f aca="false">HYPERLINK("https%3A%2F%2Fwww.webofscience.com%2Fwos%2Fwoscc%2Ffull-record%2FWOS:000297012200020","View Full Record in Web of Science")</f>
        <v>View Full Record in Web of Science</v>
      </c>
    </row>
    <row r="1363" customFormat="false" ht="12.75" hidden="false" customHeight="false" outlineLevel="0" collapsed="false">
      <c r="A1363" s="2" t="s">
        <v>72</v>
      </c>
      <c r="B1363" s="2" t="s">
        <v>23764</v>
      </c>
      <c r="C1363" s="2"/>
      <c r="D1363" s="2"/>
      <c r="E1363" s="2"/>
      <c r="F1363" s="2" t="s">
        <v>23765</v>
      </c>
      <c r="G1363" s="2"/>
      <c r="H1363" s="2"/>
      <c r="I1363" s="2" t="s">
        <v>23766</v>
      </c>
      <c r="J1363" s="2" t="s">
        <v>514</v>
      </c>
      <c r="K1363" s="2"/>
      <c r="L1363" s="2"/>
      <c r="M1363" s="2" t="s">
        <v>77</v>
      </c>
      <c r="N1363" s="2" t="s">
        <v>78</v>
      </c>
      <c r="O1363" s="2"/>
      <c r="P1363" s="2"/>
      <c r="Q1363" s="2"/>
      <c r="R1363" s="2"/>
      <c r="S1363" s="2"/>
      <c r="T1363" s="2" t="s">
        <v>23767</v>
      </c>
      <c r="U1363" s="2" t="s">
        <v>23768</v>
      </c>
      <c r="V1363" s="2" t="s">
        <v>23769</v>
      </c>
      <c r="W1363" s="2" t="s">
        <v>23770</v>
      </c>
      <c r="X1363" s="2" t="s">
        <v>23771</v>
      </c>
      <c r="Y1363" s="2" t="s">
        <v>23772</v>
      </c>
      <c r="Z1363" s="2" t="s">
        <v>23773</v>
      </c>
      <c r="AA1363" s="2"/>
      <c r="AB1363" s="2"/>
      <c r="AC1363" s="2"/>
      <c r="AD1363" s="2"/>
      <c r="AE1363" s="2"/>
      <c r="AF1363" s="2"/>
      <c r="AG1363" s="2" t="n">
        <v>29</v>
      </c>
      <c r="AH1363" s="2" t="n">
        <v>3</v>
      </c>
      <c r="AI1363" s="2" t="n">
        <v>3</v>
      </c>
      <c r="AJ1363" s="2" t="n">
        <v>0</v>
      </c>
      <c r="AK1363" s="2" t="n">
        <v>1</v>
      </c>
      <c r="AL1363" s="2" t="s">
        <v>527</v>
      </c>
      <c r="AM1363" s="2" t="s">
        <v>528</v>
      </c>
      <c r="AN1363" s="2" t="s">
        <v>529</v>
      </c>
      <c r="AO1363" s="2" t="s">
        <v>530</v>
      </c>
      <c r="AP1363" s="2" t="s">
        <v>531</v>
      </c>
      <c r="AQ1363" s="2"/>
      <c r="AR1363" s="2" t="s">
        <v>532</v>
      </c>
      <c r="AS1363" s="2" t="s">
        <v>533</v>
      </c>
      <c r="AT1363" s="2" t="s">
        <v>23774</v>
      </c>
      <c r="AU1363" s="2" t="n">
        <v>2022</v>
      </c>
      <c r="AV1363" s="2" t="n">
        <v>226</v>
      </c>
      <c r="AW1363" s="2" t="n">
        <v>6</v>
      </c>
      <c r="AX1363" s="2"/>
      <c r="AY1363" s="2"/>
      <c r="AZ1363" s="2"/>
      <c r="BA1363" s="2"/>
      <c r="BB1363" s="2" t="n">
        <v>1027</v>
      </c>
      <c r="BC1363" s="2" t="n">
        <v>1035</v>
      </c>
      <c r="BD1363" s="2"/>
      <c r="BE1363" s="2" t="s">
        <v>23775</v>
      </c>
      <c r="BF1363" s="2" t="str">
        <f aca="false">HYPERLINK("http://dx.doi.org/10.1093/infdis/jiab525","http://dx.doi.org/10.1093/infdis/jiab525")</f>
        <v>http://dx.doi.org/10.1093/infdis/jiab525</v>
      </c>
      <c r="BG1363" s="2"/>
      <c r="BH1363" s="2" t="s">
        <v>3879</v>
      </c>
      <c r="BI1363" s="2" t="n">
        <v>9</v>
      </c>
      <c r="BJ1363" s="2" t="s">
        <v>536</v>
      </c>
      <c r="BK1363" s="2" t="s">
        <v>100</v>
      </c>
      <c r="BL1363" s="2" t="s">
        <v>536</v>
      </c>
      <c r="BM1363" s="2" t="s">
        <v>23776</v>
      </c>
      <c r="BN1363" s="2" t="n">
        <v>34636898</v>
      </c>
      <c r="BO1363" s="2"/>
      <c r="BP1363" s="2"/>
      <c r="BQ1363" s="2"/>
      <c r="BR1363" s="2" t="s">
        <v>104</v>
      </c>
      <c r="BS1363" s="2" t="s">
        <v>23777</v>
      </c>
      <c r="BT1363" s="2" t="str">
        <f aca="false">HYPERLINK("https%3A%2F%2Fwww.webofscience.com%2Fwos%2Fwoscc%2Ffull-record%2FWOS:000790066900001","View Full Record in Web of Science")</f>
        <v>View Full Record in Web of Science</v>
      </c>
    </row>
    <row r="1364" customFormat="false" ht="12.75" hidden="false" customHeight="false" outlineLevel="0" collapsed="false">
      <c r="A1364" s="2" t="s">
        <v>72</v>
      </c>
      <c r="B1364" s="2" t="s">
        <v>23778</v>
      </c>
      <c r="C1364" s="2"/>
      <c r="D1364" s="2"/>
      <c r="E1364" s="2"/>
      <c r="F1364" s="2" t="s">
        <v>23779</v>
      </c>
      <c r="G1364" s="2"/>
      <c r="H1364" s="2"/>
      <c r="I1364" s="2" t="s">
        <v>23780</v>
      </c>
      <c r="J1364" s="2" t="s">
        <v>21216</v>
      </c>
      <c r="K1364" s="2"/>
      <c r="L1364" s="2"/>
      <c r="M1364" s="2" t="s">
        <v>77</v>
      </c>
      <c r="N1364" s="2" t="s">
        <v>78</v>
      </c>
      <c r="O1364" s="2"/>
      <c r="P1364" s="2"/>
      <c r="Q1364" s="2"/>
      <c r="R1364" s="2"/>
      <c r="S1364" s="2"/>
      <c r="T1364" s="2" t="s">
        <v>23781</v>
      </c>
      <c r="U1364" s="2" t="s">
        <v>23782</v>
      </c>
      <c r="V1364" s="2" t="s">
        <v>23783</v>
      </c>
      <c r="W1364" s="2" t="s">
        <v>23784</v>
      </c>
      <c r="X1364" s="2"/>
      <c r="Y1364" s="2" t="s">
        <v>23785</v>
      </c>
      <c r="Z1364" s="2" t="s">
        <v>23786</v>
      </c>
      <c r="AA1364" s="2" t="s">
        <v>23787</v>
      </c>
      <c r="AB1364" s="2" t="s">
        <v>23788</v>
      </c>
      <c r="AC1364" s="2"/>
      <c r="AD1364" s="2"/>
      <c r="AE1364" s="2"/>
      <c r="AF1364" s="2"/>
      <c r="AG1364" s="2" t="n">
        <v>64</v>
      </c>
      <c r="AH1364" s="2" t="n">
        <v>5</v>
      </c>
      <c r="AI1364" s="2" t="n">
        <v>10</v>
      </c>
      <c r="AJ1364" s="2" t="n">
        <v>0</v>
      </c>
      <c r="AK1364" s="2" t="n">
        <v>6</v>
      </c>
      <c r="AL1364" s="2" t="s">
        <v>122</v>
      </c>
      <c r="AM1364" s="2" t="s">
        <v>123</v>
      </c>
      <c r="AN1364" s="2" t="s">
        <v>124</v>
      </c>
      <c r="AO1364" s="2" t="s">
        <v>21224</v>
      </c>
      <c r="AP1364" s="2" t="s">
        <v>21225</v>
      </c>
      <c r="AQ1364" s="2"/>
      <c r="AR1364" s="2" t="s">
        <v>21226</v>
      </c>
      <c r="AS1364" s="2" t="s">
        <v>21227</v>
      </c>
      <c r="AT1364" s="2" t="s">
        <v>390</v>
      </c>
      <c r="AU1364" s="2" t="n">
        <v>2006</v>
      </c>
      <c r="AV1364" s="2" t="n">
        <v>12</v>
      </c>
      <c r="AW1364" s="2" t="n">
        <v>3</v>
      </c>
      <c r="AX1364" s="2"/>
      <c r="AY1364" s="2"/>
      <c r="AZ1364" s="2"/>
      <c r="BA1364" s="2"/>
      <c r="BB1364" s="2" t="n">
        <v>235</v>
      </c>
      <c r="BC1364" s="2" t="n">
        <v>239</v>
      </c>
      <c r="BD1364" s="2"/>
      <c r="BE1364" s="2" t="s">
        <v>23789</v>
      </c>
      <c r="BF1364" s="2" t="str">
        <f aca="false">HYPERLINK("http://dx.doi.org/10.1097/01.mcp.0000219274.65557.dc","http://dx.doi.org/10.1097/01.mcp.0000219274.65557.dc")</f>
        <v>http://dx.doi.org/10.1097/01.mcp.0000219274.65557.dc</v>
      </c>
      <c r="BG1364" s="2"/>
      <c r="BH1364" s="2"/>
      <c r="BI1364" s="2" t="n">
        <v>5</v>
      </c>
      <c r="BJ1364" s="2" t="s">
        <v>338</v>
      </c>
      <c r="BK1364" s="2" t="s">
        <v>100</v>
      </c>
      <c r="BL1364" s="2" t="s">
        <v>338</v>
      </c>
      <c r="BM1364" s="2" t="s">
        <v>23790</v>
      </c>
      <c r="BN1364" s="2" t="n">
        <v>16582680</v>
      </c>
      <c r="BO1364" s="2"/>
      <c r="BP1364" s="2"/>
      <c r="BQ1364" s="2"/>
      <c r="BR1364" s="2" t="s">
        <v>104</v>
      </c>
      <c r="BS1364" s="2" t="s">
        <v>23791</v>
      </c>
      <c r="BT1364" s="2" t="str">
        <f aca="false">HYPERLINK("https%3A%2F%2Fwww.webofscience.com%2Fwos%2Fwoscc%2Ffull-record%2FWOS:000243918300012","View Full Record in Web of Science")</f>
        <v>View Full Record in Web of Science</v>
      </c>
    </row>
    <row r="1365" customFormat="false" ht="12.75" hidden="false" customHeight="false" outlineLevel="0" collapsed="false">
      <c r="A1365" s="2" t="s">
        <v>72</v>
      </c>
      <c r="B1365" s="2" t="s">
        <v>23792</v>
      </c>
      <c r="C1365" s="2"/>
      <c r="D1365" s="2"/>
      <c r="E1365" s="2"/>
      <c r="F1365" s="2" t="s">
        <v>23793</v>
      </c>
      <c r="G1365" s="2"/>
      <c r="H1365" s="2"/>
      <c r="I1365" s="2" t="s">
        <v>23794</v>
      </c>
      <c r="J1365" s="2" t="s">
        <v>23795</v>
      </c>
      <c r="K1365" s="2"/>
      <c r="L1365" s="2"/>
      <c r="M1365" s="2" t="s">
        <v>77</v>
      </c>
      <c r="N1365" s="2" t="s">
        <v>78</v>
      </c>
      <c r="O1365" s="2"/>
      <c r="P1365" s="2"/>
      <c r="Q1365" s="2"/>
      <c r="R1365" s="2"/>
      <c r="S1365" s="2"/>
      <c r="T1365" s="2" t="s">
        <v>23796</v>
      </c>
      <c r="U1365" s="2"/>
      <c r="V1365" s="2" t="s">
        <v>23797</v>
      </c>
      <c r="W1365" s="2" t="s">
        <v>23798</v>
      </c>
      <c r="X1365" s="2" t="s">
        <v>23799</v>
      </c>
      <c r="Y1365" s="2" t="s">
        <v>23800</v>
      </c>
      <c r="Z1365" s="2" t="s">
        <v>23801</v>
      </c>
      <c r="AA1365" s="2" t="s">
        <v>23802</v>
      </c>
      <c r="AB1365" s="2" t="s">
        <v>23803</v>
      </c>
      <c r="AC1365" s="2" t="s">
        <v>23804</v>
      </c>
      <c r="AD1365" s="2" t="s">
        <v>23804</v>
      </c>
      <c r="AE1365" s="2" t="s">
        <v>23805</v>
      </c>
      <c r="AF1365" s="2"/>
      <c r="AG1365" s="2" t="n">
        <v>17</v>
      </c>
      <c r="AH1365" s="2" t="n">
        <v>4</v>
      </c>
      <c r="AI1365" s="2" t="n">
        <v>4</v>
      </c>
      <c r="AJ1365" s="2" t="n">
        <v>0</v>
      </c>
      <c r="AK1365" s="2" t="n">
        <v>0</v>
      </c>
      <c r="AL1365" s="2" t="s">
        <v>154</v>
      </c>
      <c r="AM1365" s="2" t="s">
        <v>155</v>
      </c>
      <c r="AN1365" s="2" t="s">
        <v>156</v>
      </c>
      <c r="AO1365" s="2" t="s">
        <v>23806</v>
      </c>
      <c r="AP1365" s="2" t="s">
        <v>23807</v>
      </c>
      <c r="AQ1365" s="2"/>
      <c r="AR1365" s="2" t="s">
        <v>23808</v>
      </c>
      <c r="AS1365" s="2" t="s">
        <v>23809</v>
      </c>
      <c r="AT1365" s="2" t="s">
        <v>185</v>
      </c>
      <c r="AU1365" s="2" t="n">
        <v>2023</v>
      </c>
      <c r="AV1365" s="2" t="n">
        <v>13</v>
      </c>
      <c r="AW1365" s="2" t="n">
        <v>8</v>
      </c>
      <c r="AX1365" s="2"/>
      <c r="AY1365" s="2"/>
      <c r="AZ1365" s="2"/>
      <c r="BA1365" s="2"/>
      <c r="BB1365" s="2" t="n">
        <v>1503</v>
      </c>
      <c r="BC1365" s="2" t="n">
        <v>1510</v>
      </c>
      <c r="BD1365" s="2"/>
      <c r="BE1365" s="2" t="s">
        <v>23810</v>
      </c>
      <c r="BF1365" s="2" t="str">
        <f aca="false">HYPERLINK("http://dx.doi.org/10.1002/alr.23107","http://dx.doi.org/10.1002/alr.23107")</f>
        <v>http://dx.doi.org/10.1002/alr.23107</v>
      </c>
      <c r="BG1365" s="2"/>
      <c r="BH1365" s="2" t="s">
        <v>416</v>
      </c>
      <c r="BI1365" s="2" t="n">
        <v>8</v>
      </c>
      <c r="BJ1365" s="2" t="s">
        <v>23811</v>
      </c>
      <c r="BK1365" s="2" t="s">
        <v>100</v>
      </c>
      <c r="BL1365" s="2" t="s">
        <v>23811</v>
      </c>
      <c r="BM1365" s="2" t="s">
        <v>23812</v>
      </c>
      <c r="BN1365" s="2" t="n">
        <v>36504343</v>
      </c>
      <c r="BO1365" s="2"/>
      <c r="BP1365" s="2"/>
      <c r="BQ1365" s="2"/>
      <c r="BR1365" s="2" t="s">
        <v>104</v>
      </c>
      <c r="BS1365" s="2" t="s">
        <v>23813</v>
      </c>
      <c r="BT1365" s="2" t="str">
        <f aca="false">HYPERLINK("https%3A%2F%2Fwww.webofscience.com%2Fwos%2Fwoscc%2Ffull-record%2FWOS:000908006300001","View Full Record in Web of Science")</f>
        <v>View Full Record in Web of Science</v>
      </c>
    </row>
    <row r="1366" customFormat="false" ht="12.75" hidden="false" customHeight="false" outlineLevel="0" collapsed="false">
      <c r="A1366" s="2" t="s">
        <v>72</v>
      </c>
      <c r="B1366" s="2" t="s">
        <v>23814</v>
      </c>
      <c r="C1366" s="2"/>
      <c r="D1366" s="2"/>
      <c r="E1366" s="2"/>
      <c r="F1366" s="2" t="s">
        <v>23815</v>
      </c>
      <c r="G1366" s="2"/>
      <c r="H1366" s="2"/>
      <c r="I1366" s="2" t="s">
        <v>23816</v>
      </c>
      <c r="J1366" s="2" t="s">
        <v>7244</v>
      </c>
      <c r="K1366" s="2"/>
      <c r="L1366" s="2"/>
      <c r="M1366" s="2" t="s">
        <v>77</v>
      </c>
      <c r="N1366" s="2" t="s">
        <v>78</v>
      </c>
      <c r="O1366" s="2"/>
      <c r="P1366" s="2"/>
      <c r="Q1366" s="2"/>
      <c r="R1366" s="2"/>
      <c r="S1366" s="2"/>
      <c r="T1366" s="2" t="s">
        <v>23817</v>
      </c>
      <c r="U1366" s="2" t="s">
        <v>23818</v>
      </c>
      <c r="V1366" s="2" t="s">
        <v>23819</v>
      </c>
      <c r="W1366" s="2" t="s">
        <v>23820</v>
      </c>
      <c r="X1366" s="2" t="s">
        <v>23821</v>
      </c>
      <c r="Y1366" s="2" t="s">
        <v>23822</v>
      </c>
      <c r="Z1366" s="2" t="s">
        <v>23823</v>
      </c>
      <c r="AA1366" s="2" t="s">
        <v>23824</v>
      </c>
      <c r="AB1366" s="2" t="s">
        <v>23825</v>
      </c>
      <c r="AC1366" s="2" t="s">
        <v>23826</v>
      </c>
      <c r="AD1366" s="2" t="s">
        <v>23827</v>
      </c>
      <c r="AE1366" s="2" t="s">
        <v>23828</v>
      </c>
      <c r="AF1366" s="2"/>
      <c r="AG1366" s="2" t="n">
        <v>15</v>
      </c>
      <c r="AH1366" s="2" t="n">
        <v>13</v>
      </c>
      <c r="AI1366" s="2" t="n">
        <v>14</v>
      </c>
      <c r="AJ1366" s="2" t="n">
        <v>0</v>
      </c>
      <c r="AK1366" s="2" t="n">
        <v>3</v>
      </c>
      <c r="AL1366" s="2" t="s">
        <v>782</v>
      </c>
      <c r="AM1366" s="2" t="s">
        <v>783</v>
      </c>
      <c r="AN1366" s="2" t="s">
        <v>784</v>
      </c>
      <c r="AO1366" s="2" t="s">
        <v>7252</v>
      </c>
      <c r="AP1366" s="2" t="s">
        <v>7253</v>
      </c>
      <c r="AQ1366" s="2"/>
      <c r="AR1366" s="2" t="s">
        <v>7254</v>
      </c>
      <c r="AS1366" s="2" t="s">
        <v>7255</v>
      </c>
      <c r="AT1366" s="2" t="s">
        <v>446</v>
      </c>
      <c r="AU1366" s="2" t="n">
        <v>2020</v>
      </c>
      <c r="AV1366" s="2" t="n">
        <v>26</v>
      </c>
      <c r="AW1366" s="2" t="n">
        <v>12</v>
      </c>
      <c r="AX1366" s="2"/>
      <c r="AY1366" s="2"/>
      <c r="AZ1366" s="2"/>
      <c r="BA1366" s="2"/>
      <c r="BB1366" s="2"/>
      <c r="BC1366" s="2"/>
      <c r="BD1366" s="2"/>
      <c r="BE1366" s="2" t="s">
        <v>23829</v>
      </c>
      <c r="BF1366" s="2" t="str">
        <f aca="false">HYPERLINK("http://dx.doi.org/10.1016/j.cmi.2020.09.006","http://dx.doi.org/10.1016/j.cmi.2020.09.006")</f>
        <v>http://dx.doi.org/10.1016/j.cmi.2020.09.006</v>
      </c>
      <c r="BG1366" s="2"/>
      <c r="BH1366" s="2"/>
      <c r="BI1366" s="2" t="n">
        <v>4</v>
      </c>
      <c r="BJ1366" s="2" t="s">
        <v>1467</v>
      </c>
      <c r="BK1366" s="2" t="s">
        <v>1086</v>
      </c>
      <c r="BL1366" s="2" t="s">
        <v>1467</v>
      </c>
      <c r="BM1366" s="2" t="s">
        <v>23830</v>
      </c>
      <c r="BN1366" s="2" t="n">
        <v>32919073</v>
      </c>
      <c r="BO1366" s="2" t="s">
        <v>538</v>
      </c>
      <c r="BP1366" s="2"/>
      <c r="BQ1366" s="2"/>
      <c r="BR1366" s="2" t="s">
        <v>104</v>
      </c>
      <c r="BS1366" s="2" t="s">
        <v>23831</v>
      </c>
      <c r="BT1366" s="2" t="str">
        <f aca="false">HYPERLINK("https%3A%2F%2Fwww.webofscience.com%2Fwos%2Fwoscc%2Ffull-record%2FWOS:000600573300028","View Full Record in Web of Science")</f>
        <v>View Full Record in Web of Science</v>
      </c>
    </row>
    <row r="1367" customFormat="false" ht="12.75" hidden="false" customHeight="false" outlineLevel="0" collapsed="false">
      <c r="A1367" s="2" t="s">
        <v>72</v>
      </c>
      <c r="B1367" s="2" t="s">
        <v>23832</v>
      </c>
      <c r="C1367" s="2"/>
      <c r="D1367" s="2"/>
      <c r="E1367" s="2"/>
      <c r="F1367" s="2" t="s">
        <v>23833</v>
      </c>
      <c r="G1367" s="2"/>
      <c r="H1367" s="2"/>
      <c r="I1367" s="2" t="s">
        <v>23834</v>
      </c>
      <c r="J1367" s="2" t="s">
        <v>23835</v>
      </c>
      <c r="K1367" s="2"/>
      <c r="L1367" s="2"/>
      <c r="M1367" s="2" t="s">
        <v>77</v>
      </c>
      <c r="N1367" s="2" t="s">
        <v>78</v>
      </c>
      <c r="O1367" s="2"/>
      <c r="P1367" s="2"/>
      <c r="Q1367" s="2"/>
      <c r="R1367" s="2"/>
      <c r="S1367" s="2"/>
      <c r="T1367" s="2" t="s">
        <v>23836</v>
      </c>
      <c r="U1367" s="2" t="s">
        <v>23837</v>
      </c>
      <c r="V1367" s="2" t="s">
        <v>23838</v>
      </c>
      <c r="W1367" s="2" t="s">
        <v>23839</v>
      </c>
      <c r="X1367" s="2" t="s">
        <v>23840</v>
      </c>
      <c r="Y1367" s="2" t="s">
        <v>23841</v>
      </c>
      <c r="Z1367" s="2" t="s">
        <v>23842</v>
      </c>
      <c r="AA1367" s="2"/>
      <c r="AB1367" s="2"/>
      <c r="AC1367" s="2" t="s">
        <v>23843</v>
      </c>
      <c r="AD1367" s="2" t="s">
        <v>23843</v>
      </c>
      <c r="AE1367" s="2" t="s">
        <v>23844</v>
      </c>
      <c r="AF1367" s="2"/>
      <c r="AG1367" s="2" t="n">
        <v>40</v>
      </c>
      <c r="AH1367" s="2" t="n">
        <v>6</v>
      </c>
      <c r="AI1367" s="2" t="n">
        <v>7</v>
      </c>
      <c r="AJ1367" s="2" t="n">
        <v>0</v>
      </c>
      <c r="AK1367" s="2" t="n">
        <v>5</v>
      </c>
      <c r="AL1367" s="2" t="s">
        <v>10079</v>
      </c>
      <c r="AM1367" s="2" t="s">
        <v>4498</v>
      </c>
      <c r="AN1367" s="2" t="s">
        <v>4499</v>
      </c>
      <c r="AO1367" s="2" t="s">
        <v>23845</v>
      </c>
      <c r="AP1367" s="2"/>
      <c r="AQ1367" s="2"/>
      <c r="AR1367" s="2" t="s">
        <v>23846</v>
      </c>
      <c r="AS1367" s="2" t="s">
        <v>23847</v>
      </c>
      <c r="AT1367" s="2" t="s">
        <v>336</v>
      </c>
      <c r="AU1367" s="2" t="n">
        <v>2009</v>
      </c>
      <c r="AV1367" s="2" t="n">
        <v>56</v>
      </c>
      <c r="AW1367" s="2" t="n">
        <v>8</v>
      </c>
      <c r="AX1367" s="2"/>
      <c r="AY1367" s="2"/>
      <c r="AZ1367" s="2"/>
      <c r="BA1367" s="2"/>
      <c r="BB1367" s="2" t="n">
        <v>303</v>
      </c>
      <c r="BC1367" s="2" t="n">
        <v>310</v>
      </c>
      <c r="BD1367" s="2"/>
      <c r="BE1367" s="2" t="s">
        <v>23848</v>
      </c>
      <c r="BF1367" s="2" t="str">
        <f aca="false">HYPERLINK("http://dx.doi.org/10.1111/j.1865-1682.2009.01085.x","http://dx.doi.org/10.1111/j.1865-1682.2009.01085.x")</f>
        <v>http://dx.doi.org/10.1111/j.1865-1682.2009.01085.x</v>
      </c>
      <c r="BG1367" s="2"/>
      <c r="BH1367" s="2"/>
      <c r="BI1367" s="2" t="n">
        <v>8</v>
      </c>
      <c r="BJ1367" s="2" t="s">
        <v>23849</v>
      </c>
      <c r="BK1367" s="2" t="s">
        <v>100</v>
      </c>
      <c r="BL1367" s="2" t="s">
        <v>23849</v>
      </c>
      <c r="BM1367" s="2" t="s">
        <v>23850</v>
      </c>
      <c r="BN1367" s="2" t="n">
        <v>19548897</v>
      </c>
      <c r="BO1367" s="2" t="s">
        <v>1355</v>
      </c>
      <c r="BP1367" s="2"/>
      <c r="BQ1367" s="2"/>
      <c r="BR1367" s="2" t="s">
        <v>104</v>
      </c>
      <c r="BS1367" s="2" t="s">
        <v>23851</v>
      </c>
      <c r="BT1367" s="2" t="str">
        <f aca="false">HYPERLINK("https%3A%2F%2Fwww.webofscience.com%2Fwos%2Fwoscc%2Ffull-record%2FWOS:000270358200003","View Full Record in Web of Science")</f>
        <v>View Full Record in Web of Science</v>
      </c>
    </row>
    <row r="1368" customFormat="false" ht="12.75" hidden="false" customHeight="false" outlineLevel="0" collapsed="false">
      <c r="A1368" s="2" t="s">
        <v>72</v>
      </c>
      <c r="B1368" s="2" t="s">
        <v>23852</v>
      </c>
      <c r="C1368" s="2"/>
      <c r="D1368" s="2"/>
      <c r="E1368" s="2"/>
      <c r="F1368" s="2" t="s">
        <v>23853</v>
      </c>
      <c r="G1368" s="2"/>
      <c r="H1368" s="2"/>
      <c r="I1368" s="2" t="s">
        <v>23854</v>
      </c>
      <c r="J1368" s="2" t="s">
        <v>717</v>
      </c>
      <c r="K1368" s="2"/>
      <c r="L1368" s="2"/>
      <c r="M1368" s="2" t="s">
        <v>77</v>
      </c>
      <c r="N1368" s="2" t="s">
        <v>78</v>
      </c>
      <c r="O1368" s="2"/>
      <c r="P1368" s="2"/>
      <c r="Q1368" s="2"/>
      <c r="R1368" s="2"/>
      <c r="S1368" s="2"/>
      <c r="T1368" s="2" t="s">
        <v>23855</v>
      </c>
      <c r="U1368" s="2" t="s">
        <v>23856</v>
      </c>
      <c r="V1368" s="2" t="s">
        <v>23857</v>
      </c>
      <c r="W1368" s="2" t="s">
        <v>23858</v>
      </c>
      <c r="X1368" s="2" t="s">
        <v>23859</v>
      </c>
      <c r="Y1368" s="2" t="s">
        <v>23860</v>
      </c>
      <c r="Z1368" s="2" t="s">
        <v>23861</v>
      </c>
      <c r="AA1368" s="2" t="s">
        <v>23862</v>
      </c>
      <c r="AB1368" s="2" t="s">
        <v>8871</v>
      </c>
      <c r="AC1368" s="2" t="s">
        <v>23863</v>
      </c>
      <c r="AD1368" s="2" t="s">
        <v>23863</v>
      </c>
      <c r="AE1368" s="2" t="s">
        <v>23864</v>
      </c>
      <c r="AF1368" s="2"/>
      <c r="AG1368" s="2" t="n">
        <v>40</v>
      </c>
      <c r="AH1368" s="2" t="n">
        <v>9</v>
      </c>
      <c r="AI1368" s="2" t="n">
        <v>10</v>
      </c>
      <c r="AJ1368" s="2" t="n">
        <v>0</v>
      </c>
      <c r="AK1368" s="2" t="n">
        <v>7</v>
      </c>
      <c r="AL1368" s="2" t="s">
        <v>549</v>
      </c>
      <c r="AM1368" s="2" t="s">
        <v>384</v>
      </c>
      <c r="AN1368" s="2" t="s">
        <v>550</v>
      </c>
      <c r="AO1368" s="2" t="s">
        <v>729</v>
      </c>
      <c r="AP1368" s="2" t="s">
        <v>730</v>
      </c>
      <c r="AQ1368" s="2"/>
      <c r="AR1368" s="2" t="s">
        <v>731</v>
      </c>
      <c r="AS1368" s="2" t="s">
        <v>732</v>
      </c>
      <c r="AT1368" s="2" t="s">
        <v>161</v>
      </c>
      <c r="AU1368" s="2" t="n">
        <v>2018</v>
      </c>
      <c r="AV1368" s="2" t="n">
        <v>251</v>
      </c>
      <c r="AW1368" s="2"/>
      <c r="AX1368" s="2"/>
      <c r="AY1368" s="2"/>
      <c r="AZ1368" s="2"/>
      <c r="BA1368" s="2"/>
      <c r="BB1368" s="2" t="n">
        <v>61</v>
      </c>
      <c r="BC1368" s="2" t="n">
        <v>68</v>
      </c>
      <c r="BD1368" s="2"/>
      <c r="BE1368" s="2" t="s">
        <v>23865</v>
      </c>
      <c r="BF1368" s="2" t="str">
        <f aca="false">HYPERLINK("http://dx.doi.org/10.1016/j.jviromet.2017.10.010","http://dx.doi.org/10.1016/j.jviromet.2017.10.010")</f>
        <v>http://dx.doi.org/10.1016/j.jviromet.2017.10.010</v>
      </c>
      <c r="BG1368" s="2"/>
      <c r="BH1368" s="2"/>
      <c r="BI1368" s="2" t="n">
        <v>8</v>
      </c>
      <c r="BJ1368" s="2" t="s">
        <v>735</v>
      </c>
      <c r="BK1368" s="2" t="s">
        <v>100</v>
      </c>
      <c r="BL1368" s="2" t="s">
        <v>736</v>
      </c>
      <c r="BM1368" s="2" t="s">
        <v>23866</v>
      </c>
      <c r="BN1368" s="2" t="n">
        <v>29030071</v>
      </c>
      <c r="BO1368" s="2" t="s">
        <v>165</v>
      </c>
      <c r="BP1368" s="2"/>
      <c r="BQ1368" s="2"/>
      <c r="BR1368" s="2" t="s">
        <v>104</v>
      </c>
      <c r="BS1368" s="2" t="s">
        <v>23867</v>
      </c>
      <c r="BT1368" s="2" t="str">
        <f aca="false">HYPERLINK("https%3A%2F%2Fwww.webofscience.com%2Fwos%2Fwoscc%2Ffull-record%2FWOS:000416617100010","View Full Record in Web of Science")</f>
        <v>View Full Record in Web of Science</v>
      </c>
    </row>
    <row r="1369" customFormat="false" ht="12.75" hidden="false" customHeight="false" outlineLevel="0" collapsed="false">
      <c r="A1369" s="2" t="s">
        <v>72</v>
      </c>
      <c r="B1369" s="2" t="s">
        <v>23868</v>
      </c>
      <c r="C1369" s="2"/>
      <c r="D1369" s="2"/>
      <c r="E1369" s="2"/>
      <c r="F1369" s="2" t="s">
        <v>23869</v>
      </c>
      <c r="G1369" s="2"/>
      <c r="H1369" s="2"/>
      <c r="I1369" s="2" t="s">
        <v>23870</v>
      </c>
      <c r="J1369" s="2" t="s">
        <v>1413</v>
      </c>
      <c r="K1369" s="2"/>
      <c r="L1369" s="2"/>
      <c r="M1369" s="2" t="s">
        <v>77</v>
      </c>
      <c r="N1369" s="2" t="s">
        <v>78</v>
      </c>
      <c r="O1369" s="2"/>
      <c r="P1369" s="2"/>
      <c r="Q1369" s="2"/>
      <c r="R1369" s="2"/>
      <c r="S1369" s="2"/>
      <c r="T1369" s="2" t="s">
        <v>23871</v>
      </c>
      <c r="U1369" s="2" t="s">
        <v>23872</v>
      </c>
      <c r="V1369" s="2" t="s">
        <v>23873</v>
      </c>
      <c r="W1369" s="2" t="s">
        <v>23874</v>
      </c>
      <c r="X1369" s="2" t="s">
        <v>23875</v>
      </c>
      <c r="Y1369" s="2" t="s">
        <v>23876</v>
      </c>
      <c r="Z1369" s="2" t="s">
        <v>23877</v>
      </c>
      <c r="AA1369" s="2" t="s">
        <v>23878</v>
      </c>
      <c r="AB1369" s="2" t="s">
        <v>23879</v>
      </c>
      <c r="AC1369" s="2"/>
      <c r="AD1369" s="2"/>
      <c r="AE1369" s="2"/>
      <c r="AF1369" s="2"/>
      <c r="AG1369" s="2" t="n">
        <v>39</v>
      </c>
      <c r="AH1369" s="2" t="n">
        <v>64</v>
      </c>
      <c r="AI1369" s="2" t="n">
        <v>69</v>
      </c>
      <c r="AJ1369" s="2" t="n">
        <v>0</v>
      </c>
      <c r="AK1369" s="2" t="n">
        <v>2</v>
      </c>
      <c r="AL1369" s="2" t="s">
        <v>383</v>
      </c>
      <c r="AM1369" s="2" t="s">
        <v>384</v>
      </c>
      <c r="AN1369" s="2" t="s">
        <v>385</v>
      </c>
      <c r="AO1369" s="2" t="s">
        <v>1421</v>
      </c>
      <c r="AP1369" s="2" t="s">
        <v>1422</v>
      </c>
      <c r="AQ1369" s="2"/>
      <c r="AR1369" s="2" t="s">
        <v>1423</v>
      </c>
      <c r="AS1369" s="2" t="s">
        <v>1424</v>
      </c>
      <c r="AT1369" s="2" t="s">
        <v>129</v>
      </c>
      <c r="AU1369" s="2" t="n">
        <v>2007</v>
      </c>
      <c r="AV1369" s="2" t="n">
        <v>128</v>
      </c>
      <c r="AW1369" s="2" t="s">
        <v>1407</v>
      </c>
      <c r="AX1369" s="2"/>
      <c r="AY1369" s="2"/>
      <c r="AZ1369" s="2"/>
      <c r="BA1369" s="2"/>
      <c r="BB1369" s="2" t="n">
        <v>18</v>
      </c>
      <c r="BC1369" s="2" t="n">
        <v>25</v>
      </c>
      <c r="BD1369" s="2"/>
      <c r="BE1369" s="2" t="s">
        <v>23880</v>
      </c>
      <c r="BF1369" s="2" t="str">
        <f aca="false">HYPERLINK("http://dx.doi.org/10.1016/j.virusres.2007.03.029","http://dx.doi.org/10.1016/j.virusres.2007.03.029")</f>
        <v>http://dx.doi.org/10.1016/j.virusres.2007.03.029</v>
      </c>
      <c r="BG1369" s="2"/>
      <c r="BH1369" s="2"/>
      <c r="BI1369" s="2" t="n">
        <v>8</v>
      </c>
      <c r="BJ1369" s="2" t="s">
        <v>163</v>
      </c>
      <c r="BK1369" s="2" t="s">
        <v>100</v>
      </c>
      <c r="BL1369" s="2" t="s">
        <v>163</v>
      </c>
      <c r="BM1369" s="2" t="s">
        <v>23881</v>
      </c>
      <c r="BN1369" s="2" t="n">
        <v>17485129</v>
      </c>
      <c r="BO1369" s="2"/>
      <c r="BP1369" s="2"/>
      <c r="BQ1369" s="2"/>
      <c r="BR1369" s="2" t="s">
        <v>104</v>
      </c>
      <c r="BS1369" s="2" t="s">
        <v>23882</v>
      </c>
      <c r="BT1369" s="2" t="str">
        <f aca="false">HYPERLINK("https%3A%2F%2Fwww.webofscience.com%2Fwos%2Fwoscc%2Ffull-record%2FWOS:000249310700003","View Full Record in Web of Science")</f>
        <v>View Full Record in Web of Science</v>
      </c>
    </row>
    <row r="1370" customFormat="false" ht="12.75" hidden="false" customHeight="false" outlineLevel="0" collapsed="false">
      <c r="A1370" s="2" t="s">
        <v>72</v>
      </c>
      <c r="B1370" s="2" t="s">
        <v>23883</v>
      </c>
      <c r="C1370" s="2"/>
      <c r="D1370" s="2"/>
      <c r="E1370" s="2"/>
      <c r="F1370" s="2" t="s">
        <v>23884</v>
      </c>
      <c r="G1370" s="2"/>
      <c r="H1370" s="2"/>
      <c r="I1370" s="2" t="s">
        <v>23885</v>
      </c>
      <c r="J1370" s="2" t="s">
        <v>7927</v>
      </c>
      <c r="K1370" s="2"/>
      <c r="L1370" s="2"/>
      <c r="M1370" s="2" t="s">
        <v>77</v>
      </c>
      <c r="N1370" s="2" t="s">
        <v>78</v>
      </c>
      <c r="O1370" s="2"/>
      <c r="P1370" s="2"/>
      <c r="Q1370" s="2"/>
      <c r="R1370" s="2"/>
      <c r="S1370" s="2"/>
      <c r="T1370" s="2" t="s">
        <v>23886</v>
      </c>
      <c r="U1370" s="2" t="s">
        <v>23887</v>
      </c>
      <c r="V1370" s="2" t="s">
        <v>23888</v>
      </c>
      <c r="W1370" s="2" t="s">
        <v>23889</v>
      </c>
      <c r="X1370" s="2" t="s">
        <v>23890</v>
      </c>
      <c r="Y1370" s="2" t="s">
        <v>23891</v>
      </c>
      <c r="Z1370" s="2" t="s">
        <v>23892</v>
      </c>
      <c r="AA1370" s="2"/>
      <c r="AB1370" s="2" t="s">
        <v>23893</v>
      </c>
      <c r="AC1370" s="2" t="s">
        <v>22189</v>
      </c>
      <c r="AD1370" s="2" t="s">
        <v>9467</v>
      </c>
      <c r="AE1370" s="2" t="s">
        <v>23894</v>
      </c>
      <c r="AF1370" s="2"/>
      <c r="AG1370" s="2" t="n">
        <v>55</v>
      </c>
      <c r="AH1370" s="2" t="n">
        <v>1</v>
      </c>
      <c r="AI1370" s="2" t="n">
        <v>1</v>
      </c>
      <c r="AJ1370" s="2" t="n">
        <v>4</v>
      </c>
      <c r="AK1370" s="2" t="n">
        <v>5</v>
      </c>
      <c r="AL1370" s="2" t="s">
        <v>91</v>
      </c>
      <c r="AM1370" s="2" t="s">
        <v>92</v>
      </c>
      <c r="AN1370" s="2" t="s">
        <v>93</v>
      </c>
      <c r="AO1370" s="2" t="s">
        <v>7936</v>
      </c>
      <c r="AP1370" s="2" t="s">
        <v>7937</v>
      </c>
      <c r="AQ1370" s="2"/>
      <c r="AR1370" s="2" t="s">
        <v>7938</v>
      </c>
      <c r="AS1370" s="2" t="s">
        <v>7939</v>
      </c>
      <c r="AT1370" s="2" t="s">
        <v>161</v>
      </c>
      <c r="AU1370" s="2" t="n">
        <v>2024</v>
      </c>
      <c r="AV1370" s="2" t="n">
        <v>25</v>
      </c>
      <c r="AW1370" s="2" t="n">
        <v>2</v>
      </c>
      <c r="AX1370" s="2"/>
      <c r="AY1370" s="2"/>
      <c r="AZ1370" s="2"/>
      <c r="BA1370" s="2"/>
      <c r="BB1370" s="2"/>
      <c r="BC1370" s="2"/>
      <c r="BD1370" s="2" t="n">
        <v>829</v>
      </c>
      <c r="BE1370" s="2" t="s">
        <v>23895</v>
      </c>
      <c r="BF1370" s="2" t="str">
        <f aca="false">HYPERLINK("http://dx.doi.org/10.3390/ijms25020829","http://dx.doi.org/10.3390/ijms25020829")</f>
        <v>http://dx.doi.org/10.3390/ijms25020829</v>
      </c>
      <c r="BG1370" s="2"/>
      <c r="BH1370" s="2"/>
      <c r="BI1370" s="2" t="n">
        <v>18</v>
      </c>
      <c r="BJ1370" s="2" t="s">
        <v>7942</v>
      </c>
      <c r="BK1370" s="2" t="s">
        <v>100</v>
      </c>
      <c r="BL1370" s="2" t="s">
        <v>7943</v>
      </c>
      <c r="BM1370" s="2" t="s">
        <v>23896</v>
      </c>
      <c r="BN1370" s="2" t="n">
        <v>38255903</v>
      </c>
      <c r="BO1370" s="2" t="s">
        <v>103</v>
      </c>
      <c r="BP1370" s="2"/>
      <c r="BQ1370" s="2"/>
      <c r="BR1370" s="2" t="s">
        <v>104</v>
      </c>
      <c r="BS1370" s="2" t="s">
        <v>23897</v>
      </c>
      <c r="BT1370" s="2" t="str">
        <f aca="false">HYPERLINK("https%3A%2F%2Fwww.webofscience.com%2Fwos%2Fwoscc%2Ffull-record%2FWOS:001153022600001","View Full Record in Web of Science")</f>
        <v>View Full Record in Web of Science</v>
      </c>
    </row>
    <row r="1371" customFormat="false" ht="12.75" hidden="false" customHeight="false" outlineLevel="0" collapsed="false">
      <c r="A1371" s="2" t="s">
        <v>72</v>
      </c>
      <c r="B1371" s="2" t="s">
        <v>23898</v>
      </c>
      <c r="C1371" s="2"/>
      <c r="D1371" s="2"/>
      <c r="E1371" s="2"/>
      <c r="F1371" s="2" t="s">
        <v>23899</v>
      </c>
      <c r="G1371" s="2"/>
      <c r="H1371" s="2"/>
      <c r="I1371" s="2" t="s">
        <v>23900</v>
      </c>
      <c r="J1371" s="2" t="s">
        <v>23901</v>
      </c>
      <c r="K1371" s="2"/>
      <c r="L1371" s="2"/>
      <c r="M1371" s="2" t="s">
        <v>77</v>
      </c>
      <c r="N1371" s="2" t="s">
        <v>78</v>
      </c>
      <c r="O1371" s="2"/>
      <c r="P1371" s="2"/>
      <c r="Q1371" s="2"/>
      <c r="R1371" s="2"/>
      <c r="S1371" s="2"/>
      <c r="T1371" s="2" t="s">
        <v>23902</v>
      </c>
      <c r="U1371" s="2" t="s">
        <v>23903</v>
      </c>
      <c r="V1371" s="2" t="s">
        <v>23904</v>
      </c>
      <c r="W1371" s="2" t="s">
        <v>23905</v>
      </c>
      <c r="X1371" s="2" t="s">
        <v>23906</v>
      </c>
      <c r="Y1371" s="2" t="s">
        <v>23907</v>
      </c>
      <c r="Z1371" s="2" t="s">
        <v>23908</v>
      </c>
      <c r="AA1371" s="2" t="s">
        <v>23909</v>
      </c>
      <c r="AB1371" s="2" t="s">
        <v>23910</v>
      </c>
      <c r="AC1371" s="2"/>
      <c r="AD1371" s="2"/>
      <c r="AE1371" s="2"/>
      <c r="AF1371" s="2"/>
      <c r="AG1371" s="2" t="n">
        <v>35</v>
      </c>
      <c r="AH1371" s="2" t="n">
        <v>2</v>
      </c>
      <c r="AI1371" s="2" t="n">
        <v>3</v>
      </c>
      <c r="AJ1371" s="2" t="n">
        <v>0</v>
      </c>
      <c r="AK1371" s="2" t="n">
        <v>5</v>
      </c>
      <c r="AL1371" s="2" t="s">
        <v>122</v>
      </c>
      <c r="AM1371" s="2" t="s">
        <v>123</v>
      </c>
      <c r="AN1371" s="2" t="s">
        <v>124</v>
      </c>
      <c r="AO1371" s="2" t="s">
        <v>23911</v>
      </c>
      <c r="AP1371" s="2" t="s">
        <v>23912</v>
      </c>
      <c r="AQ1371" s="2"/>
      <c r="AR1371" s="2" t="s">
        <v>23913</v>
      </c>
      <c r="AS1371" s="2" t="s">
        <v>23914</v>
      </c>
      <c r="AT1371" s="2" t="s">
        <v>446</v>
      </c>
      <c r="AU1371" s="2" t="n">
        <v>2016</v>
      </c>
      <c r="AV1371" s="2" t="n">
        <v>37</v>
      </c>
      <c r="AW1371" s="2" t="n">
        <v>4</v>
      </c>
      <c r="AX1371" s="2"/>
      <c r="AY1371" s="2"/>
      <c r="AZ1371" s="2"/>
      <c r="BA1371" s="2"/>
      <c r="BB1371" s="2" t="n">
        <v>255</v>
      </c>
      <c r="BC1371" s="2" t="n">
        <v>263</v>
      </c>
      <c r="BD1371" s="2"/>
      <c r="BE1371" s="2" t="s">
        <v>23915</v>
      </c>
      <c r="BF1371" s="2" t="str">
        <f aca="false">HYPERLINK("http://dx.doi.org/10.1097/PAF.0000000000000261","http://dx.doi.org/10.1097/PAF.0000000000000261")</f>
        <v>http://dx.doi.org/10.1097/PAF.0000000000000261</v>
      </c>
      <c r="BG1371" s="2"/>
      <c r="BH1371" s="2"/>
      <c r="BI1371" s="2" t="n">
        <v>9</v>
      </c>
      <c r="BJ1371" s="2" t="s">
        <v>23916</v>
      </c>
      <c r="BK1371" s="2" t="s">
        <v>100</v>
      </c>
      <c r="BL1371" s="2" t="s">
        <v>23917</v>
      </c>
      <c r="BM1371" s="2" t="s">
        <v>23918</v>
      </c>
      <c r="BN1371" s="2" t="n">
        <v>27753645</v>
      </c>
      <c r="BO1371" s="2"/>
      <c r="BP1371" s="2"/>
      <c r="BQ1371" s="2"/>
      <c r="BR1371" s="2" t="s">
        <v>104</v>
      </c>
      <c r="BS1371" s="2" t="s">
        <v>23919</v>
      </c>
      <c r="BT1371" s="2" t="str">
        <f aca="false">HYPERLINK("https%3A%2F%2Fwww.webofscience.com%2Fwos%2Fwoscc%2Ffull-record%2FWOS:000389115700009","View Full Record in Web of Science")</f>
        <v>View Full Record in Web of Science</v>
      </c>
    </row>
    <row r="1372" customFormat="false" ht="12.75" hidden="false" customHeight="false" outlineLevel="0" collapsed="false">
      <c r="A1372" s="2" t="s">
        <v>72</v>
      </c>
      <c r="B1372" s="2" t="s">
        <v>23920</v>
      </c>
      <c r="C1372" s="2"/>
      <c r="D1372" s="2"/>
      <c r="E1372" s="2"/>
      <c r="F1372" s="2" t="s">
        <v>23921</v>
      </c>
      <c r="G1372" s="2"/>
      <c r="H1372" s="2"/>
      <c r="I1372" s="2" t="s">
        <v>23922</v>
      </c>
      <c r="J1372" s="2" t="s">
        <v>10165</v>
      </c>
      <c r="K1372" s="2"/>
      <c r="L1372" s="2"/>
      <c r="M1372" s="2" t="s">
        <v>77</v>
      </c>
      <c r="N1372" s="2" t="s">
        <v>78</v>
      </c>
      <c r="O1372" s="2"/>
      <c r="P1372" s="2"/>
      <c r="Q1372" s="2"/>
      <c r="R1372" s="2"/>
      <c r="S1372" s="2"/>
      <c r="T1372" s="2" t="s">
        <v>23923</v>
      </c>
      <c r="U1372" s="2" t="s">
        <v>23924</v>
      </c>
      <c r="V1372" s="2" t="s">
        <v>23925</v>
      </c>
      <c r="W1372" s="2" t="s">
        <v>23926</v>
      </c>
      <c r="X1372" s="2" t="s">
        <v>23927</v>
      </c>
      <c r="Y1372" s="2" t="s">
        <v>23928</v>
      </c>
      <c r="Z1372" s="2" t="s">
        <v>23929</v>
      </c>
      <c r="AA1372" s="2" t="s">
        <v>23930</v>
      </c>
      <c r="AB1372" s="2"/>
      <c r="AC1372" s="2"/>
      <c r="AD1372" s="2"/>
      <c r="AE1372" s="2"/>
      <c r="AF1372" s="2"/>
      <c r="AG1372" s="2" t="n">
        <v>14</v>
      </c>
      <c r="AH1372" s="2" t="n">
        <v>0</v>
      </c>
      <c r="AI1372" s="2" t="n">
        <v>0</v>
      </c>
      <c r="AJ1372" s="2" t="n">
        <v>0</v>
      </c>
      <c r="AK1372" s="2" t="n">
        <v>5</v>
      </c>
      <c r="AL1372" s="2" t="s">
        <v>10177</v>
      </c>
      <c r="AM1372" s="2" t="s">
        <v>5071</v>
      </c>
      <c r="AN1372" s="2" t="s">
        <v>10178</v>
      </c>
      <c r="AO1372" s="2" t="s">
        <v>10179</v>
      </c>
      <c r="AP1372" s="2"/>
      <c r="AQ1372" s="2"/>
      <c r="AR1372" s="2" t="s">
        <v>10180</v>
      </c>
      <c r="AS1372" s="2" t="s">
        <v>10181</v>
      </c>
      <c r="AT1372" s="2"/>
      <c r="AU1372" s="2" t="n">
        <v>2021</v>
      </c>
      <c r="AV1372" s="2" t="n">
        <v>67</v>
      </c>
      <c r="AW1372" s="2" t="n">
        <v>5</v>
      </c>
      <c r="AX1372" s="2"/>
      <c r="AY1372" s="2"/>
      <c r="AZ1372" s="2"/>
      <c r="BA1372" s="2"/>
      <c r="BB1372" s="2" t="n">
        <v>1244</v>
      </c>
      <c r="BC1372" s="2" t="n">
        <v>1247</v>
      </c>
      <c r="BD1372" s="2"/>
      <c r="BE1372" s="2" t="s">
        <v>23931</v>
      </c>
      <c r="BF1372" s="2" t="str">
        <f aca="false">HYPERLINK("http://dx.doi.org/10.7754/Clin.Lab.2020.200918","http://dx.doi.org/10.7754/Clin.Lab.2020.200918")</f>
        <v>http://dx.doi.org/10.7754/Clin.Lab.2020.200918</v>
      </c>
      <c r="BG1372" s="2"/>
      <c r="BH1372" s="2"/>
      <c r="BI1372" s="2" t="n">
        <v>4</v>
      </c>
      <c r="BJ1372" s="2" t="s">
        <v>3122</v>
      </c>
      <c r="BK1372" s="2" t="s">
        <v>100</v>
      </c>
      <c r="BL1372" s="2" t="s">
        <v>3122</v>
      </c>
      <c r="BM1372" s="2" t="s">
        <v>23932</v>
      </c>
      <c r="BN1372" s="2" t="n">
        <v>33978379</v>
      </c>
      <c r="BO1372" s="2"/>
      <c r="BP1372" s="2"/>
      <c r="BQ1372" s="2"/>
      <c r="BR1372" s="2" t="s">
        <v>104</v>
      </c>
      <c r="BS1372" s="2" t="s">
        <v>23933</v>
      </c>
      <c r="BT1372" s="2" t="str">
        <f aca="false">HYPERLINK("https%3A%2F%2Fwww.webofscience.com%2Fwos%2Fwoscc%2Ffull-record%2FWOS:000652161500019","View Full Record in Web of Science")</f>
        <v>View Full Record in Web of Science</v>
      </c>
    </row>
    <row r="1373" customFormat="false" ht="12.75" hidden="false" customHeight="false" outlineLevel="0" collapsed="false">
      <c r="A1373" s="2" t="s">
        <v>72</v>
      </c>
      <c r="B1373" s="2" t="s">
        <v>23934</v>
      </c>
      <c r="C1373" s="2"/>
      <c r="D1373" s="2"/>
      <c r="E1373" s="2"/>
      <c r="F1373" s="2" t="s">
        <v>23935</v>
      </c>
      <c r="G1373" s="2"/>
      <c r="H1373" s="2"/>
      <c r="I1373" s="2" t="s">
        <v>23936</v>
      </c>
      <c r="J1373" s="2" t="s">
        <v>11019</v>
      </c>
      <c r="K1373" s="2"/>
      <c r="L1373" s="2"/>
      <c r="M1373" s="2" t="s">
        <v>77</v>
      </c>
      <c r="N1373" s="2" t="s">
        <v>78</v>
      </c>
      <c r="O1373" s="2"/>
      <c r="P1373" s="2"/>
      <c r="Q1373" s="2"/>
      <c r="R1373" s="2"/>
      <c r="S1373" s="2"/>
      <c r="T1373" s="2" t="s">
        <v>23937</v>
      </c>
      <c r="U1373" s="2" t="s">
        <v>23938</v>
      </c>
      <c r="V1373" s="2" t="s">
        <v>23939</v>
      </c>
      <c r="W1373" s="2" t="s">
        <v>23940</v>
      </c>
      <c r="X1373" s="2" t="s">
        <v>23941</v>
      </c>
      <c r="Y1373" s="2" t="s">
        <v>23942</v>
      </c>
      <c r="Z1373" s="2" t="s">
        <v>23943</v>
      </c>
      <c r="AA1373" s="2" t="s">
        <v>23944</v>
      </c>
      <c r="AB1373" s="2" t="s">
        <v>23945</v>
      </c>
      <c r="AC1373" s="2" t="s">
        <v>23946</v>
      </c>
      <c r="AD1373" s="2" t="s">
        <v>23947</v>
      </c>
      <c r="AE1373" s="2" t="s">
        <v>23948</v>
      </c>
      <c r="AF1373" s="2"/>
      <c r="AG1373" s="2" t="n">
        <v>38</v>
      </c>
      <c r="AH1373" s="2" t="n">
        <v>0</v>
      </c>
      <c r="AI1373" s="2" t="n">
        <v>0</v>
      </c>
      <c r="AJ1373" s="2" t="n">
        <v>0</v>
      </c>
      <c r="AK1373" s="2" t="n">
        <v>0</v>
      </c>
      <c r="AL1373" s="2" t="s">
        <v>154</v>
      </c>
      <c r="AM1373" s="2" t="s">
        <v>155</v>
      </c>
      <c r="AN1373" s="2" t="s">
        <v>156</v>
      </c>
      <c r="AO1373" s="2" t="s">
        <v>11028</v>
      </c>
      <c r="AP1373" s="2" t="s">
        <v>11029</v>
      </c>
      <c r="AQ1373" s="2"/>
      <c r="AR1373" s="2" t="s">
        <v>11030</v>
      </c>
      <c r="AS1373" s="2" t="s">
        <v>11031</v>
      </c>
      <c r="AT1373" s="2" t="s">
        <v>129</v>
      </c>
      <c r="AU1373" s="2" t="n">
        <v>2024</v>
      </c>
      <c r="AV1373" s="2" t="n">
        <v>18</v>
      </c>
      <c r="AW1373" s="2" t="n">
        <v>9</v>
      </c>
      <c r="AX1373" s="2"/>
      <c r="AY1373" s="2"/>
      <c r="AZ1373" s="2"/>
      <c r="BA1373" s="2"/>
      <c r="BB1373" s="2"/>
      <c r="BC1373" s="2"/>
      <c r="BD1373" s="2" t="s">
        <v>23949</v>
      </c>
      <c r="BE1373" s="2" t="s">
        <v>23950</v>
      </c>
      <c r="BF1373" s="2" t="str">
        <f aca="false">HYPERLINK("http://dx.doi.org/10.1111/irv.70005","http://dx.doi.org/10.1111/irv.70005")</f>
        <v>http://dx.doi.org/10.1111/irv.70005</v>
      </c>
      <c r="BG1373" s="2"/>
      <c r="BH1373" s="2"/>
      <c r="BI1373" s="2" t="n">
        <v>13</v>
      </c>
      <c r="BJ1373" s="2" t="s">
        <v>8287</v>
      </c>
      <c r="BK1373" s="2" t="s">
        <v>100</v>
      </c>
      <c r="BL1373" s="2" t="s">
        <v>8287</v>
      </c>
      <c r="BM1373" s="2" t="s">
        <v>23951</v>
      </c>
      <c r="BN1373" s="2" t="n">
        <v>39225070</v>
      </c>
      <c r="BO1373" s="2" t="s">
        <v>1355</v>
      </c>
      <c r="BP1373" s="2"/>
      <c r="BQ1373" s="2"/>
      <c r="BR1373" s="2" t="s">
        <v>104</v>
      </c>
      <c r="BS1373" s="2" t="s">
        <v>23952</v>
      </c>
      <c r="BT1373" s="2" t="str">
        <f aca="false">HYPERLINK("https%3A%2F%2Fwww.webofscience.com%2Fwos%2Fwoscc%2Ffull-record%2FWOS:001304088900001","View Full Record in Web of Science")</f>
        <v>View Full Record in Web of Science</v>
      </c>
    </row>
    <row r="1374" customFormat="false" ht="12.75" hidden="false" customHeight="false" outlineLevel="0" collapsed="false">
      <c r="A1374" s="2" t="s">
        <v>72</v>
      </c>
      <c r="B1374" s="2" t="s">
        <v>23953</v>
      </c>
      <c r="C1374" s="2"/>
      <c r="D1374" s="2"/>
      <c r="E1374" s="2"/>
      <c r="F1374" s="2" t="s">
        <v>23954</v>
      </c>
      <c r="G1374" s="2"/>
      <c r="H1374" s="2"/>
      <c r="I1374" s="2" t="s">
        <v>23955</v>
      </c>
      <c r="J1374" s="2" t="s">
        <v>1448</v>
      </c>
      <c r="K1374" s="2"/>
      <c r="L1374" s="2"/>
      <c r="M1374" s="2" t="s">
        <v>77</v>
      </c>
      <c r="N1374" s="2" t="s">
        <v>78</v>
      </c>
      <c r="O1374" s="2"/>
      <c r="P1374" s="2"/>
      <c r="Q1374" s="2"/>
      <c r="R1374" s="2"/>
      <c r="S1374" s="2"/>
      <c r="T1374" s="2" t="s">
        <v>23956</v>
      </c>
      <c r="U1374" s="2" t="s">
        <v>23957</v>
      </c>
      <c r="V1374" s="2" t="s">
        <v>23958</v>
      </c>
      <c r="W1374" s="2" t="s">
        <v>23959</v>
      </c>
      <c r="X1374" s="2" t="s">
        <v>23960</v>
      </c>
      <c r="Y1374" s="2" t="s">
        <v>23961</v>
      </c>
      <c r="Z1374" s="2" t="s">
        <v>23962</v>
      </c>
      <c r="AA1374" s="2" t="s">
        <v>11129</v>
      </c>
      <c r="AB1374" s="2" t="s">
        <v>11130</v>
      </c>
      <c r="AC1374" s="2" t="s">
        <v>23963</v>
      </c>
      <c r="AD1374" s="2" t="s">
        <v>23964</v>
      </c>
      <c r="AE1374" s="2" t="s">
        <v>23965</v>
      </c>
      <c r="AF1374" s="2"/>
      <c r="AG1374" s="2" t="n">
        <v>21</v>
      </c>
      <c r="AH1374" s="2" t="n">
        <v>13</v>
      </c>
      <c r="AI1374" s="2" t="n">
        <v>13</v>
      </c>
      <c r="AJ1374" s="2" t="n">
        <v>0</v>
      </c>
      <c r="AK1374" s="2" t="n">
        <v>9</v>
      </c>
      <c r="AL1374" s="2" t="s">
        <v>1460</v>
      </c>
      <c r="AM1374" s="2" t="s">
        <v>593</v>
      </c>
      <c r="AN1374" s="2" t="s">
        <v>1461</v>
      </c>
      <c r="AO1374" s="2" t="s">
        <v>1462</v>
      </c>
      <c r="AP1374" s="2" t="s">
        <v>1463</v>
      </c>
      <c r="AQ1374" s="2"/>
      <c r="AR1374" s="2" t="s">
        <v>1464</v>
      </c>
      <c r="AS1374" s="2" t="s">
        <v>1465</v>
      </c>
      <c r="AT1374" s="2" t="s">
        <v>129</v>
      </c>
      <c r="AU1374" s="2" t="n">
        <v>2016</v>
      </c>
      <c r="AV1374" s="2" t="n">
        <v>86</v>
      </c>
      <c r="AW1374" s="2" t="n">
        <v>1</v>
      </c>
      <c r="AX1374" s="2"/>
      <c r="AY1374" s="2"/>
      <c r="AZ1374" s="2"/>
      <c r="BA1374" s="2"/>
      <c r="BB1374" s="2" t="n">
        <v>53</v>
      </c>
      <c r="BC1374" s="2" t="n">
        <v>57</v>
      </c>
      <c r="BD1374" s="2"/>
      <c r="BE1374" s="2" t="s">
        <v>23966</v>
      </c>
      <c r="BF1374" s="2" t="str">
        <f aca="false">HYPERLINK("http://dx.doi.org/10.1016/j.diagmicrobio.2016.06.018","http://dx.doi.org/10.1016/j.diagmicrobio.2016.06.018")</f>
        <v>http://dx.doi.org/10.1016/j.diagmicrobio.2016.06.018</v>
      </c>
      <c r="BG1374" s="2"/>
      <c r="BH1374" s="2"/>
      <c r="BI1374" s="2" t="n">
        <v>5</v>
      </c>
      <c r="BJ1374" s="2" t="s">
        <v>1467</v>
      </c>
      <c r="BK1374" s="2" t="s">
        <v>100</v>
      </c>
      <c r="BL1374" s="2" t="s">
        <v>1467</v>
      </c>
      <c r="BM1374" s="2" t="s">
        <v>23967</v>
      </c>
      <c r="BN1374" s="2" t="n">
        <v>27401400</v>
      </c>
      <c r="BO1374" s="2" t="s">
        <v>165</v>
      </c>
      <c r="BP1374" s="2"/>
      <c r="BQ1374" s="2"/>
      <c r="BR1374" s="2" t="s">
        <v>104</v>
      </c>
      <c r="BS1374" s="2" t="s">
        <v>23968</v>
      </c>
      <c r="BT1374" s="2" t="str">
        <f aca="false">HYPERLINK("https%3A%2F%2Fwww.webofscience.com%2Fwos%2Fwoscc%2Ffull-record%2FWOS:000382416400011","View Full Record in Web of Science")</f>
        <v>View Full Record in Web of Science</v>
      </c>
    </row>
    <row r="1375" customFormat="false" ht="12.75" hidden="false" customHeight="false" outlineLevel="0" collapsed="false">
      <c r="A1375" s="2" t="s">
        <v>72</v>
      </c>
      <c r="B1375" s="2" t="s">
        <v>23969</v>
      </c>
      <c r="C1375" s="2"/>
      <c r="D1375" s="2"/>
      <c r="E1375" s="2"/>
      <c r="F1375" s="2" t="s">
        <v>23970</v>
      </c>
      <c r="G1375" s="2"/>
      <c r="H1375" s="2"/>
      <c r="I1375" s="2" t="s">
        <v>23971</v>
      </c>
      <c r="J1375" s="2" t="s">
        <v>23972</v>
      </c>
      <c r="K1375" s="2"/>
      <c r="L1375" s="2"/>
      <c r="M1375" s="2" t="s">
        <v>77</v>
      </c>
      <c r="N1375" s="2" t="s">
        <v>78</v>
      </c>
      <c r="O1375" s="2"/>
      <c r="P1375" s="2"/>
      <c r="Q1375" s="2"/>
      <c r="R1375" s="2"/>
      <c r="S1375" s="2"/>
      <c r="T1375" s="2" t="s">
        <v>23973</v>
      </c>
      <c r="U1375" s="2" t="s">
        <v>23974</v>
      </c>
      <c r="V1375" s="2" t="s">
        <v>23975</v>
      </c>
      <c r="W1375" s="2" t="s">
        <v>23976</v>
      </c>
      <c r="X1375" s="2" t="s">
        <v>23977</v>
      </c>
      <c r="Y1375" s="2" t="s">
        <v>23978</v>
      </c>
      <c r="Z1375" s="2" t="s">
        <v>23979</v>
      </c>
      <c r="AA1375" s="2"/>
      <c r="AB1375" s="2" t="s">
        <v>23980</v>
      </c>
      <c r="AC1375" s="2" t="s">
        <v>23981</v>
      </c>
      <c r="AD1375" s="2" t="s">
        <v>23982</v>
      </c>
      <c r="AE1375" s="2" t="s">
        <v>23983</v>
      </c>
      <c r="AF1375" s="2"/>
      <c r="AG1375" s="2" t="n">
        <v>35</v>
      </c>
      <c r="AH1375" s="2" t="n">
        <v>10</v>
      </c>
      <c r="AI1375" s="2" t="n">
        <v>12</v>
      </c>
      <c r="AJ1375" s="2" t="n">
        <v>0</v>
      </c>
      <c r="AK1375" s="2" t="n">
        <v>1</v>
      </c>
      <c r="AL1375" s="2" t="s">
        <v>1896</v>
      </c>
      <c r="AM1375" s="2" t="s">
        <v>92</v>
      </c>
      <c r="AN1375" s="2" t="s">
        <v>1897</v>
      </c>
      <c r="AO1375" s="2" t="s">
        <v>23984</v>
      </c>
      <c r="AP1375" s="2" t="s">
        <v>23985</v>
      </c>
      <c r="AQ1375" s="2"/>
      <c r="AR1375" s="2" t="s">
        <v>23986</v>
      </c>
      <c r="AS1375" s="2" t="s">
        <v>23987</v>
      </c>
      <c r="AT1375" s="2"/>
      <c r="AU1375" s="2" t="n">
        <v>2016</v>
      </c>
      <c r="AV1375" s="2" t="n">
        <v>26</v>
      </c>
      <c r="AW1375" s="2" t="n">
        <v>6</v>
      </c>
      <c r="AX1375" s="2"/>
      <c r="AY1375" s="2"/>
      <c r="AZ1375" s="2"/>
      <c r="BA1375" s="2"/>
      <c r="BB1375" s="2" t="n">
        <v>414</v>
      </c>
      <c r="BC1375" s="2" t="n">
        <v>421</v>
      </c>
      <c r="BD1375" s="2"/>
      <c r="BE1375" s="2" t="s">
        <v>23988</v>
      </c>
      <c r="BF1375" s="2" t="str">
        <f aca="false">HYPERLINK("http://dx.doi.org/10.1159/000448374","http://dx.doi.org/10.1159/000448374")</f>
        <v>http://dx.doi.org/10.1159/000448374</v>
      </c>
      <c r="BG1375" s="2"/>
      <c r="BH1375" s="2"/>
      <c r="BI1375" s="2" t="n">
        <v>8</v>
      </c>
      <c r="BJ1375" s="2" t="s">
        <v>654</v>
      </c>
      <c r="BK1375" s="2" t="s">
        <v>100</v>
      </c>
      <c r="BL1375" s="2" t="s">
        <v>654</v>
      </c>
      <c r="BM1375" s="2" t="s">
        <v>23989</v>
      </c>
      <c r="BN1375" s="2" t="n">
        <v>27694746</v>
      </c>
      <c r="BO1375" s="2"/>
      <c r="BP1375" s="2"/>
      <c r="BQ1375" s="2"/>
      <c r="BR1375" s="2" t="s">
        <v>104</v>
      </c>
      <c r="BS1375" s="2" t="s">
        <v>23990</v>
      </c>
      <c r="BT1375" s="2" t="str">
        <f aca="false">HYPERLINK("https%3A%2F%2Fwww.webofscience.com%2Fwos%2Fwoscc%2Ffull-record%2FWOS:000386866200007","View Full Record in Web of Science")</f>
        <v>View Full Record in Web of Science</v>
      </c>
    </row>
    <row r="1376" customFormat="false" ht="12.75" hidden="false" customHeight="false" outlineLevel="0" collapsed="false">
      <c r="A1376" s="2" t="s">
        <v>72</v>
      </c>
      <c r="B1376" s="2" t="s">
        <v>23991</v>
      </c>
      <c r="C1376" s="2"/>
      <c r="D1376" s="2"/>
      <c r="E1376" s="2"/>
      <c r="F1376" s="2" t="s">
        <v>23992</v>
      </c>
      <c r="G1376" s="2"/>
      <c r="H1376" s="2"/>
      <c r="I1376" s="2" t="s">
        <v>23993</v>
      </c>
      <c r="J1376" s="2" t="s">
        <v>232</v>
      </c>
      <c r="K1376" s="2"/>
      <c r="L1376" s="2"/>
      <c r="M1376" s="2" t="s">
        <v>77</v>
      </c>
      <c r="N1376" s="2" t="s">
        <v>78</v>
      </c>
      <c r="O1376" s="2"/>
      <c r="P1376" s="2"/>
      <c r="Q1376" s="2"/>
      <c r="R1376" s="2"/>
      <c r="S1376" s="2"/>
      <c r="T1376" s="2" t="s">
        <v>23994</v>
      </c>
      <c r="U1376" s="2" t="s">
        <v>23995</v>
      </c>
      <c r="V1376" s="2" t="s">
        <v>23996</v>
      </c>
      <c r="W1376" s="2" t="s">
        <v>23997</v>
      </c>
      <c r="X1376" s="2" t="s">
        <v>23998</v>
      </c>
      <c r="Y1376" s="2" t="s">
        <v>23999</v>
      </c>
      <c r="Z1376" s="2" t="s">
        <v>24000</v>
      </c>
      <c r="AA1376" s="2" t="s">
        <v>24001</v>
      </c>
      <c r="AB1376" s="2" t="s">
        <v>24002</v>
      </c>
      <c r="AC1376" s="2"/>
      <c r="AD1376" s="2"/>
      <c r="AE1376" s="2"/>
      <c r="AF1376" s="2"/>
      <c r="AG1376" s="2" t="n">
        <v>40</v>
      </c>
      <c r="AH1376" s="2" t="n">
        <v>5</v>
      </c>
      <c r="AI1376" s="2" t="n">
        <v>6</v>
      </c>
      <c r="AJ1376" s="2" t="n">
        <v>1</v>
      </c>
      <c r="AK1376" s="2" t="n">
        <v>7</v>
      </c>
      <c r="AL1376" s="2" t="s">
        <v>22965</v>
      </c>
      <c r="AM1376" s="2" t="s">
        <v>246</v>
      </c>
      <c r="AN1376" s="2" t="s">
        <v>22966</v>
      </c>
      <c r="AO1376" s="2" t="s">
        <v>248</v>
      </c>
      <c r="AP1376" s="2" t="s">
        <v>249</v>
      </c>
      <c r="AQ1376" s="2"/>
      <c r="AR1376" s="2" t="s">
        <v>250</v>
      </c>
      <c r="AS1376" s="2" t="s">
        <v>251</v>
      </c>
      <c r="AT1376" s="2" t="s">
        <v>2770</v>
      </c>
      <c r="AU1376" s="2" t="n">
        <v>2018</v>
      </c>
      <c r="AV1376" s="2" t="n">
        <v>46</v>
      </c>
      <c r="AW1376" s="2" t="n">
        <v>2</v>
      </c>
      <c r="AX1376" s="2"/>
      <c r="AY1376" s="2"/>
      <c r="AZ1376" s="2"/>
      <c r="BA1376" s="2"/>
      <c r="BB1376" s="2" t="n">
        <v>119</v>
      </c>
      <c r="BC1376" s="2" t="n">
        <v>126</v>
      </c>
      <c r="BD1376" s="2"/>
      <c r="BE1376" s="2" t="s">
        <v>24003</v>
      </c>
      <c r="BF1376" s="2" t="str">
        <f aca="false">HYPERLINK("http://dx.doi.org/10.1016/j.aller.2017.04.003","http://dx.doi.org/10.1016/j.aller.2017.04.003")</f>
        <v>http://dx.doi.org/10.1016/j.aller.2017.04.003</v>
      </c>
      <c r="BG1376" s="2"/>
      <c r="BH1376" s="2"/>
      <c r="BI1376" s="2" t="n">
        <v>8</v>
      </c>
      <c r="BJ1376" s="2" t="s">
        <v>254</v>
      </c>
      <c r="BK1376" s="2" t="s">
        <v>100</v>
      </c>
      <c r="BL1376" s="2" t="s">
        <v>254</v>
      </c>
      <c r="BM1376" s="2" t="s">
        <v>24004</v>
      </c>
      <c r="BN1376" s="2" t="n">
        <v>28634031</v>
      </c>
      <c r="BO1376" s="2" t="s">
        <v>165</v>
      </c>
      <c r="BP1376" s="2"/>
      <c r="BQ1376" s="2"/>
      <c r="BR1376" s="2" t="s">
        <v>104</v>
      </c>
      <c r="BS1376" s="2" t="s">
        <v>24005</v>
      </c>
      <c r="BT1376" s="2" t="str">
        <f aca="false">HYPERLINK("https%3A%2F%2Fwww.webofscience.com%2Fwos%2Fwoscc%2Ffull-record%2FWOS:000426799400004","View Full Record in Web of Science")</f>
        <v>View Full Record in Web of Science</v>
      </c>
    </row>
    <row r="1377" customFormat="false" ht="12.75" hidden="false" customHeight="false" outlineLevel="0" collapsed="false">
      <c r="A1377" s="2" t="s">
        <v>72</v>
      </c>
      <c r="B1377" s="2" t="s">
        <v>24006</v>
      </c>
      <c r="C1377" s="2"/>
      <c r="D1377" s="2"/>
      <c r="E1377" s="2"/>
      <c r="F1377" s="2" t="s">
        <v>24007</v>
      </c>
      <c r="G1377" s="2"/>
      <c r="H1377" s="2"/>
      <c r="I1377" s="2" t="s">
        <v>24008</v>
      </c>
      <c r="J1377" s="2" t="s">
        <v>6549</v>
      </c>
      <c r="K1377" s="2"/>
      <c r="L1377" s="2"/>
      <c r="M1377" s="2" t="s">
        <v>77</v>
      </c>
      <c r="N1377" s="2" t="s">
        <v>78</v>
      </c>
      <c r="O1377" s="2"/>
      <c r="P1377" s="2"/>
      <c r="Q1377" s="2"/>
      <c r="R1377" s="2"/>
      <c r="S1377" s="2"/>
      <c r="T1377" s="2" t="s">
        <v>24009</v>
      </c>
      <c r="U1377" s="2" t="s">
        <v>24010</v>
      </c>
      <c r="V1377" s="2" t="s">
        <v>24011</v>
      </c>
      <c r="W1377" s="2" t="s">
        <v>24012</v>
      </c>
      <c r="X1377" s="2" t="s">
        <v>24013</v>
      </c>
      <c r="Y1377" s="2" t="s">
        <v>24014</v>
      </c>
      <c r="Z1377" s="2" t="s">
        <v>24015</v>
      </c>
      <c r="AA1377" s="2" t="s">
        <v>24016</v>
      </c>
      <c r="AB1377" s="2" t="s">
        <v>24017</v>
      </c>
      <c r="AC1377" s="2" t="s">
        <v>24018</v>
      </c>
      <c r="AD1377" s="2" t="s">
        <v>24019</v>
      </c>
      <c r="AE1377" s="2" t="s">
        <v>24020</v>
      </c>
      <c r="AF1377" s="2"/>
      <c r="AG1377" s="2" t="n">
        <v>22</v>
      </c>
      <c r="AH1377" s="2" t="n">
        <v>49</v>
      </c>
      <c r="AI1377" s="2" t="n">
        <v>52</v>
      </c>
      <c r="AJ1377" s="2" t="n">
        <v>0</v>
      </c>
      <c r="AK1377" s="2" t="n">
        <v>5</v>
      </c>
      <c r="AL1377" s="2" t="s">
        <v>755</v>
      </c>
      <c r="AM1377" s="2" t="s">
        <v>273</v>
      </c>
      <c r="AN1377" s="2" t="s">
        <v>756</v>
      </c>
      <c r="AO1377" s="2" t="s">
        <v>6561</v>
      </c>
      <c r="AP1377" s="2"/>
      <c r="AQ1377" s="2"/>
      <c r="AR1377" s="2" t="s">
        <v>6549</v>
      </c>
      <c r="AS1377" s="2" t="s">
        <v>6562</v>
      </c>
      <c r="AT1377" s="2" t="s">
        <v>3673</v>
      </c>
      <c r="AU1377" s="2" t="n">
        <v>2018</v>
      </c>
      <c r="AV1377" s="2" t="n">
        <v>3</v>
      </c>
      <c r="AW1377" s="2" t="n">
        <v>4</v>
      </c>
      <c r="AX1377" s="2"/>
      <c r="AY1377" s="2"/>
      <c r="AZ1377" s="2"/>
      <c r="BA1377" s="2"/>
      <c r="BB1377" s="2"/>
      <c r="BC1377" s="2"/>
      <c r="BD1377" s="2" t="s">
        <v>24021</v>
      </c>
      <c r="BE1377" s="2" t="s">
        <v>24022</v>
      </c>
      <c r="BF1377" s="2" t="str">
        <f aca="false">HYPERLINK("http://dx.doi.org/10.1128/mSphere.00249-18","http://dx.doi.org/10.1128/mSphere.00249-18")</f>
        <v>http://dx.doi.org/10.1128/mSphere.00249-18</v>
      </c>
      <c r="BG1377" s="2"/>
      <c r="BH1377" s="2"/>
      <c r="BI1377" s="2" t="n">
        <v>11</v>
      </c>
      <c r="BJ1377" s="2" t="s">
        <v>211</v>
      </c>
      <c r="BK1377" s="2" t="s">
        <v>100</v>
      </c>
      <c r="BL1377" s="2" t="s">
        <v>211</v>
      </c>
      <c r="BM1377" s="2" t="s">
        <v>24023</v>
      </c>
      <c r="BN1377" s="2" t="n">
        <v>29997120</v>
      </c>
      <c r="BO1377" s="2" t="s">
        <v>103</v>
      </c>
      <c r="BP1377" s="2"/>
      <c r="BQ1377" s="2"/>
      <c r="BR1377" s="2" t="s">
        <v>104</v>
      </c>
      <c r="BS1377" s="2" t="s">
        <v>24024</v>
      </c>
      <c r="BT1377" s="2" t="str">
        <f aca="false">HYPERLINK("https%3A%2F%2Fwww.webofscience.com%2Fwos%2Fwoscc%2Ffull-record%2FWOS:000441058200019","View Full Record in Web of Science")</f>
        <v>View Full Record in Web of Science</v>
      </c>
    </row>
    <row r="1378" customFormat="false" ht="12.75" hidden="false" customHeight="false" outlineLevel="0" collapsed="false">
      <c r="A1378" s="2" t="s">
        <v>72</v>
      </c>
      <c r="B1378" s="2" t="s">
        <v>24025</v>
      </c>
      <c r="C1378" s="2"/>
      <c r="D1378" s="2"/>
      <c r="E1378" s="2"/>
      <c r="F1378" s="2" t="s">
        <v>24026</v>
      </c>
      <c r="G1378" s="2"/>
      <c r="H1378" s="2"/>
      <c r="I1378" s="2" t="s">
        <v>24027</v>
      </c>
      <c r="J1378" s="2" t="s">
        <v>141</v>
      </c>
      <c r="K1378" s="2"/>
      <c r="L1378" s="2"/>
      <c r="M1378" s="2" t="s">
        <v>77</v>
      </c>
      <c r="N1378" s="2" t="s">
        <v>78</v>
      </c>
      <c r="O1378" s="2"/>
      <c r="P1378" s="2"/>
      <c r="Q1378" s="2"/>
      <c r="R1378" s="2"/>
      <c r="S1378" s="2"/>
      <c r="T1378" s="2" t="s">
        <v>24028</v>
      </c>
      <c r="U1378" s="2" t="s">
        <v>24029</v>
      </c>
      <c r="V1378" s="2" t="s">
        <v>24030</v>
      </c>
      <c r="W1378" s="2" t="s">
        <v>24031</v>
      </c>
      <c r="X1378" s="2" t="s">
        <v>24032</v>
      </c>
      <c r="Y1378" s="2" t="s">
        <v>24033</v>
      </c>
      <c r="Z1378" s="2" t="s">
        <v>24034</v>
      </c>
      <c r="AA1378" s="2" t="s">
        <v>24035</v>
      </c>
      <c r="AB1378" s="2" t="s">
        <v>24036</v>
      </c>
      <c r="AC1378" s="2"/>
      <c r="AD1378" s="2"/>
      <c r="AE1378" s="2"/>
      <c r="AF1378" s="2"/>
      <c r="AG1378" s="2" t="n">
        <v>37</v>
      </c>
      <c r="AH1378" s="2" t="n">
        <v>14</v>
      </c>
      <c r="AI1378" s="2" t="n">
        <v>14</v>
      </c>
      <c r="AJ1378" s="2" t="n">
        <v>0</v>
      </c>
      <c r="AK1378" s="2" t="n">
        <v>10</v>
      </c>
      <c r="AL1378" s="2" t="s">
        <v>154</v>
      </c>
      <c r="AM1378" s="2" t="s">
        <v>155</v>
      </c>
      <c r="AN1378" s="2" t="s">
        <v>156</v>
      </c>
      <c r="AO1378" s="2" t="s">
        <v>157</v>
      </c>
      <c r="AP1378" s="2" t="s">
        <v>158</v>
      </c>
      <c r="AQ1378" s="2"/>
      <c r="AR1378" s="2" t="s">
        <v>159</v>
      </c>
      <c r="AS1378" s="2" t="s">
        <v>160</v>
      </c>
      <c r="AT1378" s="2" t="s">
        <v>1041</v>
      </c>
      <c r="AU1378" s="2" t="n">
        <v>2022</v>
      </c>
      <c r="AV1378" s="2" t="n">
        <v>94</v>
      </c>
      <c r="AW1378" s="2" t="n">
        <v>2</v>
      </c>
      <c r="AX1378" s="2"/>
      <c r="AY1378" s="2"/>
      <c r="AZ1378" s="2"/>
      <c r="BA1378" s="2"/>
      <c r="BB1378" s="2" t="n">
        <v>454</v>
      </c>
      <c r="BC1378" s="2" t="n">
        <v>460</v>
      </c>
      <c r="BD1378" s="2"/>
      <c r="BE1378" s="2" t="s">
        <v>24037</v>
      </c>
      <c r="BF1378" s="2" t="str">
        <f aca="false">HYPERLINK("http://dx.doi.org/10.1002/jmv.25493","http://dx.doi.org/10.1002/jmv.25493")</f>
        <v>http://dx.doi.org/10.1002/jmv.25493</v>
      </c>
      <c r="BG1378" s="2"/>
      <c r="BH1378" s="2"/>
      <c r="BI1378" s="2" t="n">
        <v>7</v>
      </c>
      <c r="BJ1378" s="2" t="s">
        <v>163</v>
      </c>
      <c r="BK1378" s="2" t="s">
        <v>100</v>
      </c>
      <c r="BL1378" s="2" t="s">
        <v>163</v>
      </c>
      <c r="BM1378" s="2" t="s">
        <v>24038</v>
      </c>
      <c r="BN1378" s="2" t="n">
        <v>31017663</v>
      </c>
      <c r="BO1378" s="2" t="s">
        <v>538</v>
      </c>
      <c r="BP1378" s="2"/>
      <c r="BQ1378" s="2"/>
      <c r="BR1378" s="2" t="s">
        <v>104</v>
      </c>
      <c r="BS1378" s="2" t="s">
        <v>24039</v>
      </c>
      <c r="BT1378" s="2" t="str">
        <f aca="false">HYPERLINK("https%3A%2F%2Fwww.webofscience.com%2Fwos%2Fwoscc%2Ffull-record%2FWOS:000728193300006","View Full Record in Web of Science")</f>
        <v>View Full Record in Web of Science</v>
      </c>
    </row>
    <row r="1379" customFormat="false" ht="12.75" hidden="false" customHeight="false" outlineLevel="0" collapsed="false">
      <c r="A1379" s="2" t="s">
        <v>72</v>
      </c>
      <c r="B1379" s="2" t="s">
        <v>24040</v>
      </c>
      <c r="C1379" s="2"/>
      <c r="D1379" s="2"/>
      <c r="E1379" s="2"/>
      <c r="F1379" s="2" t="s">
        <v>24041</v>
      </c>
      <c r="G1379" s="2"/>
      <c r="H1379" s="2"/>
      <c r="I1379" s="2" t="s">
        <v>24042</v>
      </c>
      <c r="J1379" s="2" t="s">
        <v>24043</v>
      </c>
      <c r="K1379" s="2"/>
      <c r="L1379" s="2"/>
      <c r="M1379" s="2" t="s">
        <v>77</v>
      </c>
      <c r="N1379" s="2" t="s">
        <v>78</v>
      </c>
      <c r="O1379" s="2"/>
      <c r="P1379" s="2"/>
      <c r="Q1379" s="2"/>
      <c r="R1379" s="2"/>
      <c r="S1379" s="2"/>
      <c r="T1379" s="2" t="s">
        <v>24044</v>
      </c>
      <c r="U1379" s="2" t="s">
        <v>24045</v>
      </c>
      <c r="V1379" s="2" t="s">
        <v>24046</v>
      </c>
      <c r="W1379" s="2" t="s">
        <v>24047</v>
      </c>
      <c r="X1379" s="2" t="s">
        <v>24048</v>
      </c>
      <c r="Y1379" s="2" t="s">
        <v>24049</v>
      </c>
      <c r="Z1379" s="2" t="s">
        <v>24050</v>
      </c>
      <c r="AA1379" s="2" t="s">
        <v>24051</v>
      </c>
      <c r="AB1379" s="2"/>
      <c r="AC1379" s="2"/>
      <c r="AD1379" s="2"/>
      <c r="AE1379" s="2"/>
      <c r="AF1379" s="2"/>
      <c r="AG1379" s="2" t="n">
        <v>53</v>
      </c>
      <c r="AH1379" s="2" t="n">
        <v>0</v>
      </c>
      <c r="AI1379" s="2" t="n">
        <v>0</v>
      </c>
      <c r="AJ1379" s="2" t="n">
        <v>0</v>
      </c>
      <c r="AK1379" s="2" t="n">
        <v>1</v>
      </c>
      <c r="AL1379" s="2" t="s">
        <v>24052</v>
      </c>
      <c r="AM1379" s="2" t="s">
        <v>24053</v>
      </c>
      <c r="AN1379" s="2" t="s">
        <v>24054</v>
      </c>
      <c r="AO1379" s="2" t="s">
        <v>24055</v>
      </c>
      <c r="AP1379" s="2"/>
      <c r="AQ1379" s="2"/>
      <c r="AR1379" s="2" t="s">
        <v>24056</v>
      </c>
      <c r="AS1379" s="2" t="s">
        <v>24057</v>
      </c>
      <c r="AT1379" s="2" t="s">
        <v>252</v>
      </c>
      <c r="AU1379" s="2" t="n">
        <v>2007</v>
      </c>
      <c r="AV1379" s="2" t="n">
        <v>19</v>
      </c>
      <c r="AW1379" s="2" t="n">
        <v>5</v>
      </c>
      <c r="AX1379" s="2"/>
      <c r="AY1379" s="2"/>
      <c r="AZ1379" s="2"/>
      <c r="BA1379" s="2"/>
      <c r="BB1379" s="2" t="n">
        <v>185</v>
      </c>
      <c r="BC1379" s="2" t="n">
        <v>191</v>
      </c>
      <c r="BD1379" s="2"/>
      <c r="BE1379" s="2" t="s">
        <v>24058</v>
      </c>
      <c r="BF1379" s="2" t="str">
        <f aca="false">HYPERLINK("http://dx.doi.org/10.1027/0838-1925.19.5.185","http://dx.doi.org/10.1027/0838-1925.19.5.185")</f>
        <v>http://dx.doi.org/10.1027/0838-1925.19.5.185</v>
      </c>
      <c r="BG1379" s="2"/>
      <c r="BH1379" s="2"/>
      <c r="BI1379" s="2" t="n">
        <v>7</v>
      </c>
      <c r="BJ1379" s="2" t="s">
        <v>15678</v>
      </c>
      <c r="BK1379" s="2" t="s">
        <v>100</v>
      </c>
      <c r="BL1379" s="2" t="s">
        <v>15678</v>
      </c>
      <c r="BM1379" s="2" t="s">
        <v>24059</v>
      </c>
      <c r="BN1379" s="2"/>
      <c r="BO1379" s="2"/>
      <c r="BP1379" s="2"/>
      <c r="BQ1379" s="2"/>
      <c r="BR1379" s="2" t="s">
        <v>104</v>
      </c>
      <c r="BS1379" s="2" t="s">
        <v>24060</v>
      </c>
      <c r="BT1379" s="2" t="str">
        <f aca="false">HYPERLINK("https%3A%2F%2Fwww.webofscience.com%2Fwos%2Fwoscc%2Ffull-record%2FWOS:000254255000003","View Full Record in Web of Science")</f>
        <v>View Full Record in Web of Science</v>
      </c>
    </row>
    <row r="1380" customFormat="false" ht="12.75" hidden="false" customHeight="false" outlineLevel="0" collapsed="false">
      <c r="A1380" s="2" t="s">
        <v>72</v>
      </c>
      <c r="B1380" s="2" t="s">
        <v>24061</v>
      </c>
      <c r="C1380" s="2"/>
      <c r="D1380" s="2"/>
      <c r="E1380" s="2"/>
      <c r="F1380" s="2" t="s">
        <v>24062</v>
      </c>
      <c r="G1380" s="2"/>
      <c r="H1380" s="2"/>
      <c r="I1380" s="2" t="s">
        <v>24063</v>
      </c>
      <c r="J1380" s="2" t="s">
        <v>109</v>
      </c>
      <c r="K1380" s="2"/>
      <c r="L1380" s="2"/>
      <c r="M1380" s="2" t="s">
        <v>77</v>
      </c>
      <c r="N1380" s="2" t="s">
        <v>78</v>
      </c>
      <c r="O1380" s="2"/>
      <c r="P1380" s="2"/>
      <c r="Q1380" s="2"/>
      <c r="R1380" s="2"/>
      <c r="S1380" s="2"/>
      <c r="T1380" s="2" t="s">
        <v>24064</v>
      </c>
      <c r="U1380" s="2" t="s">
        <v>24065</v>
      </c>
      <c r="V1380" s="2" t="s">
        <v>24066</v>
      </c>
      <c r="W1380" s="2" t="s">
        <v>24067</v>
      </c>
      <c r="X1380" s="2" t="s">
        <v>24068</v>
      </c>
      <c r="Y1380" s="2" t="s">
        <v>24069</v>
      </c>
      <c r="Z1380" s="2" t="s">
        <v>24070</v>
      </c>
      <c r="AA1380" s="2" t="s">
        <v>24071</v>
      </c>
      <c r="AB1380" s="2" t="s">
        <v>24072</v>
      </c>
      <c r="AC1380" s="2" t="s">
        <v>24073</v>
      </c>
      <c r="AD1380" s="2" t="s">
        <v>24074</v>
      </c>
      <c r="AE1380" s="2" t="s">
        <v>24075</v>
      </c>
      <c r="AF1380" s="2"/>
      <c r="AG1380" s="2" t="n">
        <v>34</v>
      </c>
      <c r="AH1380" s="2" t="n">
        <v>26</v>
      </c>
      <c r="AI1380" s="2" t="n">
        <v>31</v>
      </c>
      <c r="AJ1380" s="2" t="n">
        <v>0</v>
      </c>
      <c r="AK1380" s="2" t="n">
        <v>4</v>
      </c>
      <c r="AL1380" s="2" t="s">
        <v>122</v>
      </c>
      <c r="AM1380" s="2" t="s">
        <v>123</v>
      </c>
      <c r="AN1380" s="2" t="s">
        <v>124</v>
      </c>
      <c r="AO1380" s="2" t="s">
        <v>125</v>
      </c>
      <c r="AP1380" s="2" t="s">
        <v>126</v>
      </c>
      <c r="AQ1380" s="2"/>
      <c r="AR1380" s="2" t="s">
        <v>127</v>
      </c>
      <c r="AS1380" s="2" t="s">
        <v>128</v>
      </c>
      <c r="AT1380" s="2" t="s">
        <v>692</v>
      </c>
      <c r="AU1380" s="2" t="n">
        <v>2009</v>
      </c>
      <c r="AV1380" s="2" t="n">
        <v>28</v>
      </c>
      <c r="AW1380" s="2" t="n">
        <v>4</v>
      </c>
      <c r="AX1380" s="2"/>
      <c r="AY1380" s="2"/>
      <c r="AZ1380" s="2"/>
      <c r="BA1380" s="2"/>
      <c r="BB1380" s="2" t="n">
        <v>290</v>
      </c>
      <c r="BC1380" s="2" t="n">
        <v>294</v>
      </c>
      <c r="BD1380" s="2"/>
      <c r="BE1380" s="2" t="s">
        <v>24076</v>
      </c>
      <c r="BF1380" s="2" t="str">
        <f aca="false">HYPERLINK("http://dx.doi.org/10.1097/INF.0b013e31819067b1","http://dx.doi.org/10.1097/INF.0b013e31819067b1")</f>
        <v>http://dx.doi.org/10.1097/INF.0b013e31819067b1</v>
      </c>
      <c r="BG1380" s="2"/>
      <c r="BH1380" s="2"/>
      <c r="BI1380" s="2" t="n">
        <v>5</v>
      </c>
      <c r="BJ1380" s="2" t="s">
        <v>134</v>
      </c>
      <c r="BK1380" s="2" t="s">
        <v>100</v>
      </c>
      <c r="BL1380" s="2" t="s">
        <v>134</v>
      </c>
      <c r="BM1380" s="2" t="s">
        <v>24077</v>
      </c>
      <c r="BN1380" s="2" t="n">
        <v>19258918</v>
      </c>
      <c r="BO1380" s="2"/>
      <c r="BP1380" s="2"/>
      <c r="BQ1380" s="2"/>
      <c r="BR1380" s="2" t="s">
        <v>104</v>
      </c>
      <c r="BS1380" s="2" t="s">
        <v>24078</v>
      </c>
      <c r="BT1380" s="2" t="str">
        <f aca="false">HYPERLINK("https%3A%2F%2Fwww.webofscience.com%2Fwos%2Fwoscc%2Ffull-record%2FWOS:000264603600007","View Full Record in Web of Science")</f>
        <v>View Full Record in Web of Science</v>
      </c>
    </row>
    <row r="1381" customFormat="false" ht="12.75" hidden="false" customHeight="false" outlineLevel="0" collapsed="false">
      <c r="A1381" s="2" t="s">
        <v>72</v>
      </c>
      <c r="B1381" s="2" t="s">
        <v>24079</v>
      </c>
      <c r="C1381" s="2"/>
      <c r="D1381" s="2"/>
      <c r="E1381" s="2"/>
      <c r="F1381" s="2" t="s">
        <v>24080</v>
      </c>
      <c r="G1381" s="2"/>
      <c r="H1381" s="2"/>
      <c r="I1381" s="2" t="s">
        <v>24081</v>
      </c>
      <c r="J1381" s="2" t="s">
        <v>24082</v>
      </c>
      <c r="K1381" s="2"/>
      <c r="L1381" s="2"/>
      <c r="M1381" s="2" t="s">
        <v>77</v>
      </c>
      <c r="N1381" s="2" t="s">
        <v>78</v>
      </c>
      <c r="O1381" s="2"/>
      <c r="P1381" s="2"/>
      <c r="Q1381" s="2"/>
      <c r="R1381" s="2"/>
      <c r="S1381" s="2"/>
      <c r="T1381" s="2" t="s">
        <v>24083</v>
      </c>
      <c r="U1381" s="2" t="s">
        <v>24084</v>
      </c>
      <c r="V1381" s="2" t="s">
        <v>24085</v>
      </c>
      <c r="W1381" s="2" t="s">
        <v>24086</v>
      </c>
      <c r="X1381" s="2" t="s">
        <v>24087</v>
      </c>
      <c r="Y1381" s="2" t="s">
        <v>24088</v>
      </c>
      <c r="Z1381" s="2" t="s">
        <v>24089</v>
      </c>
      <c r="AA1381" s="2" t="s">
        <v>24090</v>
      </c>
      <c r="AB1381" s="2" t="s">
        <v>24091</v>
      </c>
      <c r="AC1381" s="2" t="s">
        <v>24092</v>
      </c>
      <c r="AD1381" s="2" t="s">
        <v>24093</v>
      </c>
      <c r="AE1381" s="2" t="s">
        <v>24094</v>
      </c>
      <c r="AF1381" s="2"/>
      <c r="AG1381" s="2" t="n">
        <v>40</v>
      </c>
      <c r="AH1381" s="2" t="n">
        <v>18</v>
      </c>
      <c r="AI1381" s="2" t="n">
        <v>19</v>
      </c>
      <c r="AJ1381" s="2" t="n">
        <v>0</v>
      </c>
      <c r="AK1381" s="2" t="n">
        <v>4</v>
      </c>
      <c r="AL1381" s="2" t="s">
        <v>1896</v>
      </c>
      <c r="AM1381" s="2" t="s">
        <v>92</v>
      </c>
      <c r="AN1381" s="2" t="s">
        <v>1897</v>
      </c>
      <c r="AO1381" s="2" t="s">
        <v>24095</v>
      </c>
      <c r="AP1381" s="2" t="s">
        <v>24096</v>
      </c>
      <c r="AQ1381" s="2"/>
      <c r="AR1381" s="2" t="s">
        <v>24097</v>
      </c>
      <c r="AS1381" s="2" t="s">
        <v>24098</v>
      </c>
      <c r="AT1381" s="2"/>
      <c r="AU1381" s="2" t="n">
        <v>2017</v>
      </c>
      <c r="AV1381" s="2" t="n">
        <v>9</v>
      </c>
      <c r="AW1381" s="2" t="n">
        <v>1</v>
      </c>
      <c r="AX1381" s="2"/>
      <c r="AY1381" s="2"/>
      <c r="AZ1381" s="2"/>
      <c r="BA1381" s="2"/>
      <c r="BB1381" s="2" t="n">
        <v>52</v>
      </c>
      <c r="BC1381" s="2" t="n">
        <v>64</v>
      </c>
      <c r="BD1381" s="2"/>
      <c r="BE1381" s="2" t="s">
        <v>24099</v>
      </c>
      <c r="BF1381" s="2" t="str">
        <f aca="false">HYPERLINK("http://dx.doi.org/10.1159/000449101","http://dx.doi.org/10.1159/000449101")</f>
        <v>http://dx.doi.org/10.1159/000449101</v>
      </c>
      <c r="BG1381" s="2"/>
      <c r="BH1381" s="2"/>
      <c r="BI1381" s="2" t="n">
        <v>13</v>
      </c>
      <c r="BJ1381" s="2" t="s">
        <v>628</v>
      </c>
      <c r="BK1381" s="2" t="s">
        <v>100</v>
      </c>
      <c r="BL1381" s="2" t="s">
        <v>628</v>
      </c>
      <c r="BM1381" s="2" t="s">
        <v>24100</v>
      </c>
      <c r="BN1381" s="2" t="n">
        <v>27723652</v>
      </c>
      <c r="BO1381" s="2" t="s">
        <v>103</v>
      </c>
      <c r="BP1381" s="2"/>
      <c r="BQ1381" s="2"/>
      <c r="BR1381" s="2" t="s">
        <v>104</v>
      </c>
      <c r="BS1381" s="2" t="s">
        <v>24101</v>
      </c>
      <c r="BT1381" s="2" t="str">
        <f aca="false">HYPERLINK("https%3A%2F%2Fwww.webofscience.com%2Fwos%2Fwoscc%2Ffull-record%2FWOS:000392166700006","View Full Record in Web of Science")</f>
        <v>View Full Record in Web of Science</v>
      </c>
    </row>
    <row r="1382" customFormat="false" ht="12.75" hidden="false" customHeight="false" outlineLevel="0" collapsed="false">
      <c r="A1382" s="2" t="s">
        <v>72</v>
      </c>
      <c r="B1382" s="2" t="s">
        <v>24102</v>
      </c>
      <c r="C1382" s="2"/>
      <c r="D1382" s="2"/>
      <c r="E1382" s="2"/>
      <c r="F1382" s="2" t="s">
        <v>24103</v>
      </c>
      <c r="G1382" s="2"/>
      <c r="H1382" s="2"/>
      <c r="I1382" s="2" t="s">
        <v>24104</v>
      </c>
      <c r="J1382" s="2" t="s">
        <v>24105</v>
      </c>
      <c r="K1382" s="2"/>
      <c r="L1382" s="2"/>
      <c r="M1382" s="2" t="s">
        <v>77</v>
      </c>
      <c r="N1382" s="2" t="s">
        <v>78</v>
      </c>
      <c r="O1382" s="2"/>
      <c r="P1382" s="2"/>
      <c r="Q1382" s="2"/>
      <c r="R1382" s="2"/>
      <c r="S1382" s="2"/>
      <c r="T1382" s="2" t="s">
        <v>24106</v>
      </c>
      <c r="U1382" s="2"/>
      <c r="V1382" s="2" t="s">
        <v>24107</v>
      </c>
      <c r="W1382" s="2" t="s">
        <v>24108</v>
      </c>
      <c r="X1382" s="2" t="s">
        <v>24109</v>
      </c>
      <c r="Y1382" s="2" t="s">
        <v>24110</v>
      </c>
      <c r="Z1382" s="2" t="s">
        <v>5860</v>
      </c>
      <c r="AA1382" s="2" t="s">
        <v>24111</v>
      </c>
      <c r="AB1382" s="2" t="s">
        <v>24112</v>
      </c>
      <c r="AC1382" s="2" t="s">
        <v>24113</v>
      </c>
      <c r="AD1382" s="2" t="s">
        <v>5864</v>
      </c>
      <c r="AE1382" s="2" t="s">
        <v>24114</v>
      </c>
      <c r="AF1382" s="2"/>
      <c r="AG1382" s="2" t="n">
        <v>20</v>
      </c>
      <c r="AH1382" s="2" t="n">
        <v>15</v>
      </c>
      <c r="AI1382" s="2" t="n">
        <v>15</v>
      </c>
      <c r="AJ1382" s="2" t="n">
        <v>0</v>
      </c>
      <c r="AK1382" s="2" t="n">
        <v>5</v>
      </c>
      <c r="AL1382" s="2" t="s">
        <v>2437</v>
      </c>
      <c r="AM1382" s="2" t="s">
        <v>2438</v>
      </c>
      <c r="AN1382" s="2" t="s">
        <v>2439</v>
      </c>
      <c r="AO1382" s="2" t="s">
        <v>24115</v>
      </c>
      <c r="AP1382" s="2"/>
      <c r="AQ1382" s="2"/>
      <c r="AR1382" s="2" t="s">
        <v>24116</v>
      </c>
      <c r="AS1382" s="2" t="s">
        <v>24117</v>
      </c>
      <c r="AT1382" s="2" t="s">
        <v>446</v>
      </c>
      <c r="AU1382" s="2" t="n">
        <v>2010</v>
      </c>
      <c r="AV1382" s="2" t="n">
        <v>9</v>
      </c>
      <c r="AW1382" s="2" t="n">
        <v>4</v>
      </c>
      <c r="AX1382" s="2"/>
      <c r="AY1382" s="2"/>
      <c r="AZ1382" s="2"/>
      <c r="BA1382" s="2"/>
      <c r="BB1382" s="2" t="n">
        <v>251</v>
      </c>
      <c r="BC1382" s="2" t="n">
        <v>254</v>
      </c>
      <c r="BD1382" s="2"/>
      <c r="BE1382" s="2"/>
      <c r="BF1382" s="2"/>
      <c r="BG1382" s="2"/>
      <c r="BH1382" s="2"/>
      <c r="BI1382" s="2" t="n">
        <v>4</v>
      </c>
      <c r="BJ1382" s="2" t="s">
        <v>254</v>
      </c>
      <c r="BK1382" s="2" t="s">
        <v>100</v>
      </c>
      <c r="BL1382" s="2" t="s">
        <v>254</v>
      </c>
      <c r="BM1382" s="2" t="s">
        <v>24118</v>
      </c>
      <c r="BN1382" s="2" t="n">
        <v>21131706</v>
      </c>
      <c r="BO1382" s="2"/>
      <c r="BP1382" s="2"/>
      <c r="BQ1382" s="2"/>
      <c r="BR1382" s="2" t="s">
        <v>104</v>
      </c>
      <c r="BS1382" s="2" t="s">
        <v>24119</v>
      </c>
      <c r="BT1382" s="2" t="str">
        <f aca="false">HYPERLINK("https%3A%2F%2Fwww.webofscience.com%2Fwos%2Fwoscc%2Ffull-record%2FWOS:000208229500008","View Full Record in Web of Science")</f>
        <v>View Full Record in Web of Science</v>
      </c>
    </row>
    <row r="1383" customFormat="false" ht="12.75" hidden="false" customHeight="false" outlineLevel="0" collapsed="false">
      <c r="A1383" s="2" t="s">
        <v>72</v>
      </c>
      <c r="B1383" s="2" t="s">
        <v>24120</v>
      </c>
      <c r="C1383" s="2"/>
      <c r="D1383" s="2"/>
      <c r="E1383" s="2"/>
      <c r="F1383" s="2" t="s">
        <v>24121</v>
      </c>
      <c r="G1383" s="2"/>
      <c r="H1383" s="2"/>
      <c r="I1383" s="2" t="s">
        <v>24122</v>
      </c>
      <c r="J1383" s="2" t="s">
        <v>24123</v>
      </c>
      <c r="K1383" s="2"/>
      <c r="L1383" s="2"/>
      <c r="M1383" s="2" t="s">
        <v>77</v>
      </c>
      <c r="N1383" s="2" t="s">
        <v>78</v>
      </c>
      <c r="O1383" s="2"/>
      <c r="P1383" s="2"/>
      <c r="Q1383" s="2"/>
      <c r="R1383" s="2"/>
      <c r="S1383" s="2"/>
      <c r="T1383" s="2" t="s">
        <v>24124</v>
      </c>
      <c r="U1383" s="2" t="s">
        <v>24125</v>
      </c>
      <c r="V1383" s="2" t="s">
        <v>24126</v>
      </c>
      <c r="W1383" s="2" t="s">
        <v>24127</v>
      </c>
      <c r="X1383" s="2" t="s">
        <v>24128</v>
      </c>
      <c r="Y1383" s="2" t="s">
        <v>24129</v>
      </c>
      <c r="Z1383" s="2" t="s">
        <v>24130</v>
      </c>
      <c r="AA1383" s="2" t="s">
        <v>7034</v>
      </c>
      <c r="AB1383" s="2" t="s">
        <v>7035</v>
      </c>
      <c r="AC1383" s="2" t="s">
        <v>24131</v>
      </c>
      <c r="AD1383" s="2" t="s">
        <v>24132</v>
      </c>
      <c r="AE1383" s="2" t="s">
        <v>24133</v>
      </c>
      <c r="AF1383" s="2"/>
      <c r="AG1383" s="2" t="n">
        <v>40</v>
      </c>
      <c r="AH1383" s="2" t="n">
        <v>14</v>
      </c>
      <c r="AI1383" s="2" t="n">
        <v>16</v>
      </c>
      <c r="AJ1383" s="2" t="n">
        <v>0</v>
      </c>
      <c r="AK1383" s="2" t="n">
        <v>3</v>
      </c>
      <c r="AL1383" s="2" t="s">
        <v>3150</v>
      </c>
      <c r="AM1383" s="2" t="s">
        <v>3151</v>
      </c>
      <c r="AN1383" s="2" t="s">
        <v>3152</v>
      </c>
      <c r="AO1383" s="2" t="s">
        <v>24134</v>
      </c>
      <c r="AP1383" s="2" t="s">
        <v>24135</v>
      </c>
      <c r="AQ1383" s="2"/>
      <c r="AR1383" s="2" t="s">
        <v>24136</v>
      </c>
      <c r="AS1383" s="2" t="s">
        <v>24137</v>
      </c>
      <c r="AT1383" s="2" t="s">
        <v>1041</v>
      </c>
      <c r="AU1383" s="2" t="n">
        <v>2016</v>
      </c>
      <c r="AV1383" s="2" t="n">
        <v>57</v>
      </c>
      <c r="AW1383" s="2" t="n">
        <v>1</v>
      </c>
      <c r="AX1383" s="2"/>
      <c r="AY1383" s="2"/>
      <c r="AZ1383" s="2"/>
      <c r="BA1383" s="2"/>
      <c r="BB1383" s="2" t="n">
        <v>27</v>
      </c>
      <c r="BC1383" s="2" t="n">
        <v>34</v>
      </c>
      <c r="BD1383" s="2"/>
      <c r="BE1383" s="2" t="s">
        <v>24138</v>
      </c>
      <c r="BF1383" s="2" t="str">
        <f aca="false">HYPERLINK("http://dx.doi.org/10.1016/j.pedneo.2015.03.008","http://dx.doi.org/10.1016/j.pedneo.2015.03.008")</f>
        <v>http://dx.doi.org/10.1016/j.pedneo.2015.03.008</v>
      </c>
      <c r="BG1383" s="2"/>
      <c r="BH1383" s="2"/>
      <c r="BI1383" s="2" t="n">
        <v>8</v>
      </c>
      <c r="BJ1383" s="2" t="s">
        <v>601</v>
      </c>
      <c r="BK1383" s="2" t="s">
        <v>100</v>
      </c>
      <c r="BL1383" s="2" t="s">
        <v>601</v>
      </c>
      <c r="BM1383" s="2" t="s">
        <v>24139</v>
      </c>
      <c r="BN1383" s="2" t="n">
        <v>26117550</v>
      </c>
      <c r="BO1383" s="2" t="s">
        <v>1089</v>
      </c>
      <c r="BP1383" s="2"/>
      <c r="BQ1383" s="2"/>
      <c r="BR1383" s="2" t="s">
        <v>104</v>
      </c>
      <c r="BS1383" s="2" t="s">
        <v>24140</v>
      </c>
      <c r="BT1383" s="2" t="str">
        <f aca="false">HYPERLINK("https%3A%2F%2Fwww.webofscience.com%2Fwos%2Fwoscc%2Ffull-record%2FWOS:000372137000006","View Full Record in Web of Science")</f>
        <v>View Full Record in Web of Science</v>
      </c>
    </row>
    <row r="1384" customFormat="false" ht="12.75" hidden="false" customHeight="false" outlineLevel="0" collapsed="false">
      <c r="A1384" s="2" t="s">
        <v>72</v>
      </c>
      <c r="B1384" s="2" t="s">
        <v>24141</v>
      </c>
      <c r="C1384" s="2"/>
      <c r="D1384" s="2"/>
      <c r="E1384" s="2"/>
      <c r="F1384" s="2" t="s">
        <v>24142</v>
      </c>
      <c r="G1384" s="2"/>
      <c r="H1384" s="2"/>
      <c r="I1384" s="2" t="s">
        <v>24143</v>
      </c>
      <c r="J1384" s="2" t="s">
        <v>3141</v>
      </c>
      <c r="K1384" s="2"/>
      <c r="L1384" s="2"/>
      <c r="M1384" s="2" t="s">
        <v>77</v>
      </c>
      <c r="N1384" s="2" t="s">
        <v>78</v>
      </c>
      <c r="O1384" s="2"/>
      <c r="P1384" s="2"/>
      <c r="Q1384" s="2"/>
      <c r="R1384" s="2"/>
      <c r="S1384" s="2"/>
      <c r="T1384" s="2" t="s">
        <v>24144</v>
      </c>
      <c r="U1384" s="2" t="s">
        <v>24145</v>
      </c>
      <c r="V1384" s="2" t="s">
        <v>24146</v>
      </c>
      <c r="W1384" s="2" t="s">
        <v>24147</v>
      </c>
      <c r="X1384" s="2" t="s">
        <v>21435</v>
      </c>
      <c r="Y1384" s="2" t="s">
        <v>24148</v>
      </c>
      <c r="Z1384" s="2" t="s">
        <v>24149</v>
      </c>
      <c r="AA1384" s="2"/>
      <c r="AB1384" s="2"/>
      <c r="AC1384" s="2" t="s">
        <v>24150</v>
      </c>
      <c r="AD1384" s="2" t="s">
        <v>24151</v>
      </c>
      <c r="AE1384" s="2" t="s">
        <v>24152</v>
      </c>
      <c r="AF1384" s="2"/>
      <c r="AG1384" s="2" t="n">
        <v>29</v>
      </c>
      <c r="AH1384" s="2" t="n">
        <v>4</v>
      </c>
      <c r="AI1384" s="2" t="n">
        <v>5</v>
      </c>
      <c r="AJ1384" s="2" t="n">
        <v>1</v>
      </c>
      <c r="AK1384" s="2" t="n">
        <v>3</v>
      </c>
      <c r="AL1384" s="2" t="s">
        <v>3150</v>
      </c>
      <c r="AM1384" s="2" t="s">
        <v>3151</v>
      </c>
      <c r="AN1384" s="2" t="s">
        <v>3152</v>
      </c>
      <c r="AO1384" s="2" t="s">
        <v>3153</v>
      </c>
      <c r="AP1384" s="2" t="s">
        <v>3154</v>
      </c>
      <c r="AQ1384" s="2"/>
      <c r="AR1384" s="2" t="s">
        <v>3155</v>
      </c>
      <c r="AS1384" s="2" t="s">
        <v>3156</v>
      </c>
      <c r="AT1384" s="2" t="s">
        <v>1041</v>
      </c>
      <c r="AU1384" s="2" t="n">
        <v>2017</v>
      </c>
      <c r="AV1384" s="2" t="n">
        <v>50</v>
      </c>
      <c r="AW1384" s="2" t="n">
        <v>1</v>
      </c>
      <c r="AX1384" s="2"/>
      <c r="AY1384" s="2"/>
      <c r="AZ1384" s="2"/>
      <c r="BA1384" s="2"/>
      <c r="BB1384" s="2" t="n">
        <v>17</v>
      </c>
      <c r="BC1384" s="2" t="n">
        <v>25</v>
      </c>
      <c r="BD1384" s="2"/>
      <c r="BE1384" s="2" t="s">
        <v>24153</v>
      </c>
      <c r="BF1384" s="2" t="str">
        <f aca="false">HYPERLINK("http://dx.doi.org/10.1016/j.jmii.2014.09.001","http://dx.doi.org/10.1016/j.jmii.2014.09.001")</f>
        <v>http://dx.doi.org/10.1016/j.jmii.2014.09.001</v>
      </c>
      <c r="BG1384" s="2"/>
      <c r="BH1384" s="2"/>
      <c r="BI1384" s="2" t="n">
        <v>9</v>
      </c>
      <c r="BJ1384" s="2" t="s">
        <v>536</v>
      </c>
      <c r="BK1384" s="2" t="s">
        <v>100</v>
      </c>
      <c r="BL1384" s="2" t="s">
        <v>536</v>
      </c>
      <c r="BM1384" s="2" t="s">
        <v>24154</v>
      </c>
      <c r="BN1384" s="2" t="n">
        <v>25708602</v>
      </c>
      <c r="BO1384" s="2" t="s">
        <v>1355</v>
      </c>
      <c r="BP1384" s="2"/>
      <c r="BQ1384" s="2"/>
      <c r="BR1384" s="2" t="s">
        <v>104</v>
      </c>
      <c r="BS1384" s="2" t="s">
        <v>24155</v>
      </c>
      <c r="BT1384" s="2" t="str">
        <f aca="false">HYPERLINK("https%3A%2F%2Fwww.webofscience.com%2Fwos%2Fwoscc%2Ffull-record%2FWOS:000396932000004","View Full Record in Web of Science")</f>
        <v>View Full Record in Web of Science</v>
      </c>
    </row>
    <row r="1385" customFormat="false" ht="12.75" hidden="false" customHeight="false" outlineLevel="0" collapsed="false">
      <c r="A1385" s="2" t="s">
        <v>72</v>
      </c>
      <c r="B1385" s="2" t="s">
        <v>24156</v>
      </c>
      <c r="C1385" s="2"/>
      <c r="D1385" s="2"/>
      <c r="E1385" s="2"/>
      <c r="F1385" s="2" t="s">
        <v>24157</v>
      </c>
      <c r="G1385" s="2"/>
      <c r="H1385" s="2"/>
      <c r="I1385" s="2" t="s">
        <v>24158</v>
      </c>
      <c r="J1385" s="2" t="s">
        <v>15759</v>
      </c>
      <c r="K1385" s="2"/>
      <c r="L1385" s="2"/>
      <c r="M1385" s="2" t="s">
        <v>77</v>
      </c>
      <c r="N1385" s="2" t="s">
        <v>78</v>
      </c>
      <c r="O1385" s="2"/>
      <c r="P1385" s="2"/>
      <c r="Q1385" s="2"/>
      <c r="R1385" s="2"/>
      <c r="S1385" s="2"/>
      <c r="T1385" s="2" t="s">
        <v>24159</v>
      </c>
      <c r="U1385" s="2" t="s">
        <v>24160</v>
      </c>
      <c r="V1385" s="2" t="s">
        <v>24161</v>
      </c>
      <c r="W1385" s="2" t="s">
        <v>24162</v>
      </c>
      <c r="X1385" s="2" t="s">
        <v>1016</v>
      </c>
      <c r="Y1385" s="2" t="s">
        <v>24163</v>
      </c>
      <c r="Z1385" s="2" t="s">
        <v>24164</v>
      </c>
      <c r="AA1385" s="2" t="s">
        <v>24165</v>
      </c>
      <c r="AB1385" s="2"/>
      <c r="AC1385" s="2" t="s">
        <v>24166</v>
      </c>
      <c r="AD1385" s="2" t="s">
        <v>24167</v>
      </c>
      <c r="AE1385" s="2" t="s">
        <v>24168</v>
      </c>
      <c r="AF1385" s="2"/>
      <c r="AG1385" s="2" t="n">
        <v>100</v>
      </c>
      <c r="AH1385" s="2" t="n">
        <v>6</v>
      </c>
      <c r="AI1385" s="2" t="n">
        <v>6</v>
      </c>
      <c r="AJ1385" s="2" t="n">
        <v>0</v>
      </c>
      <c r="AK1385" s="2" t="n">
        <v>2</v>
      </c>
      <c r="AL1385" s="2" t="s">
        <v>957</v>
      </c>
      <c r="AM1385" s="2" t="s">
        <v>123</v>
      </c>
      <c r="AN1385" s="2" t="s">
        <v>958</v>
      </c>
      <c r="AO1385" s="2" t="s">
        <v>15769</v>
      </c>
      <c r="AP1385" s="2" t="s">
        <v>15770</v>
      </c>
      <c r="AQ1385" s="2"/>
      <c r="AR1385" s="2" t="s">
        <v>15771</v>
      </c>
      <c r="AS1385" s="2" t="s">
        <v>15772</v>
      </c>
      <c r="AT1385" s="2" t="s">
        <v>804</v>
      </c>
      <c r="AU1385" s="2" t="n">
        <v>2010</v>
      </c>
      <c r="AV1385" s="2" t="n">
        <v>30</v>
      </c>
      <c r="AW1385" s="2" t="n">
        <v>4</v>
      </c>
      <c r="AX1385" s="2"/>
      <c r="AY1385" s="2"/>
      <c r="AZ1385" s="2"/>
      <c r="BA1385" s="2"/>
      <c r="BB1385" s="2" t="n">
        <v>481</v>
      </c>
      <c r="BC1385" s="2" t="s">
        <v>986</v>
      </c>
      <c r="BD1385" s="2"/>
      <c r="BE1385" s="2" t="s">
        <v>24169</v>
      </c>
      <c r="BF1385" s="2" t="str">
        <f aca="false">HYPERLINK("http://dx.doi.org/10.1016/j.iac.2010.08.001","http://dx.doi.org/10.1016/j.iac.2010.08.001")</f>
        <v>http://dx.doi.org/10.1016/j.iac.2010.08.001</v>
      </c>
      <c r="BG1385" s="2"/>
      <c r="BH1385" s="2"/>
      <c r="BI1385" s="2" t="n">
        <v>16</v>
      </c>
      <c r="BJ1385" s="2" t="s">
        <v>254</v>
      </c>
      <c r="BK1385" s="2" t="s">
        <v>100</v>
      </c>
      <c r="BL1385" s="2" t="s">
        <v>254</v>
      </c>
      <c r="BM1385" s="2" t="s">
        <v>24170</v>
      </c>
      <c r="BN1385" s="2" t="n">
        <v>21029933</v>
      </c>
      <c r="BO1385" s="2" t="s">
        <v>1089</v>
      </c>
      <c r="BP1385" s="2"/>
      <c r="BQ1385" s="2"/>
      <c r="BR1385" s="2" t="s">
        <v>104</v>
      </c>
      <c r="BS1385" s="2" t="s">
        <v>24171</v>
      </c>
      <c r="BT1385" s="2" t="str">
        <f aca="false">HYPERLINK("https%3A%2F%2Fwww.webofscience.com%2Fwos%2Fwoscc%2Ffull-record%2FWOS:000284446300004","View Full Record in Web of Science")</f>
        <v>View Full Record in Web of Science</v>
      </c>
    </row>
    <row r="1386" customFormat="false" ht="12.75" hidden="false" customHeight="false" outlineLevel="0" collapsed="false">
      <c r="A1386" s="2" t="s">
        <v>72</v>
      </c>
      <c r="B1386" s="2" t="s">
        <v>24172</v>
      </c>
      <c r="C1386" s="2"/>
      <c r="D1386" s="2"/>
      <c r="E1386" s="2"/>
      <c r="F1386" s="2" t="s">
        <v>24173</v>
      </c>
      <c r="G1386" s="2"/>
      <c r="H1386" s="2"/>
      <c r="I1386" s="2" t="s">
        <v>24174</v>
      </c>
      <c r="J1386" s="2" t="s">
        <v>109</v>
      </c>
      <c r="K1386" s="2"/>
      <c r="L1386" s="2"/>
      <c r="M1386" s="2" t="s">
        <v>77</v>
      </c>
      <c r="N1386" s="2" t="s">
        <v>78</v>
      </c>
      <c r="O1386" s="2"/>
      <c r="P1386" s="2"/>
      <c r="Q1386" s="2"/>
      <c r="R1386" s="2"/>
      <c r="S1386" s="2"/>
      <c r="T1386" s="2" t="s">
        <v>24175</v>
      </c>
      <c r="U1386" s="2" t="s">
        <v>24176</v>
      </c>
      <c r="V1386" s="2" t="s">
        <v>24177</v>
      </c>
      <c r="W1386" s="2" t="s">
        <v>24178</v>
      </c>
      <c r="X1386" s="2" t="s">
        <v>24179</v>
      </c>
      <c r="Y1386" s="2" t="s">
        <v>24180</v>
      </c>
      <c r="Z1386" s="2" t="s">
        <v>24181</v>
      </c>
      <c r="AA1386" s="2"/>
      <c r="AB1386" s="2"/>
      <c r="AC1386" s="2"/>
      <c r="AD1386" s="2"/>
      <c r="AE1386" s="2"/>
      <c r="AF1386" s="2"/>
      <c r="AG1386" s="2" t="n">
        <v>20</v>
      </c>
      <c r="AH1386" s="2" t="n">
        <v>12</v>
      </c>
      <c r="AI1386" s="2" t="n">
        <v>13</v>
      </c>
      <c r="AJ1386" s="2" t="n">
        <v>0</v>
      </c>
      <c r="AK1386" s="2" t="n">
        <v>6</v>
      </c>
      <c r="AL1386" s="2" t="s">
        <v>122</v>
      </c>
      <c r="AM1386" s="2" t="s">
        <v>123</v>
      </c>
      <c r="AN1386" s="2" t="s">
        <v>124</v>
      </c>
      <c r="AO1386" s="2" t="s">
        <v>125</v>
      </c>
      <c r="AP1386" s="2" t="s">
        <v>126</v>
      </c>
      <c r="AQ1386" s="2"/>
      <c r="AR1386" s="2" t="s">
        <v>127</v>
      </c>
      <c r="AS1386" s="2" t="s">
        <v>128</v>
      </c>
      <c r="AT1386" s="2" t="s">
        <v>804</v>
      </c>
      <c r="AU1386" s="2" t="n">
        <v>2018</v>
      </c>
      <c r="AV1386" s="2" t="n">
        <v>37</v>
      </c>
      <c r="AW1386" s="2" t="n">
        <v>11</v>
      </c>
      <c r="AX1386" s="2"/>
      <c r="AY1386" s="2"/>
      <c r="AZ1386" s="2"/>
      <c r="BA1386" s="2"/>
      <c r="BB1386" s="2" t="n">
        <v>1107</v>
      </c>
      <c r="BC1386" s="2" t="n">
        <v>1111</v>
      </c>
      <c r="BD1386" s="2"/>
      <c r="BE1386" s="2" t="s">
        <v>24182</v>
      </c>
      <c r="BF1386" s="2" t="str">
        <f aca="false">HYPERLINK("http://dx.doi.org/10.1097/INF.0000000000002038","http://dx.doi.org/10.1097/INF.0000000000002038")</f>
        <v>http://dx.doi.org/10.1097/INF.0000000000002038</v>
      </c>
      <c r="BG1386" s="2"/>
      <c r="BH1386" s="2"/>
      <c r="BI1386" s="2" t="n">
        <v>5</v>
      </c>
      <c r="BJ1386" s="2" t="s">
        <v>134</v>
      </c>
      <c r="BK1386" s="2" t="s">
        <v>100</v>
      </c>
      <c r="BL1386" s="2" t="s">
        <v>134</v>
      </c>
      <c r="BM1386" s="2" t="s">
        <v>24183</v>
      </c>
      <c r="BN1386" s="2" t="n">
        <v>29742646</v>
      </c>
      <c r="BO1386" s="2"/>
      <c r="BP1386" s="2"/>
      <c r="BQ1386" s="2"/>
      <c r="BR1386" s="2" t="s">
        <v>104</v>
      </c>
      <c r="BS1386" s="2" t="s">
        <v>24184</v>
      </c>
      <c r="BT1386" s="2" t="str">
        <f aca="false">HYPERLINK("https%3A%2F%2Fwww.webofscience.com%2Fwos%2Fwoscc%2Ffull-record%2FWOS:000447975400018","View Full Record in Web of Science")</f>
        <v>View Full Record in Web of Science</v>
      </c>
    </row>
    <row r="1387" customFormat="false" ht="12.75" hidden="false" customHeight="false" outlineLevel="0" collapsed="false">
      <c r="A1387" s="2" t="s">
        <v>72</v>
      </c>
      <c r="B1387" s="2" t="s">
        <v>24185</v>
      </c>
      <c r="C1387" s="2"/>
      <c r="D1387" s="2"/>
      <c r="E1387" s="2"/>
      <c r="F1387" s="2" t="s">
        <v>24186</v>
      </c>
      <c r="G1387" s="2"/>
      <c r="H1387" s="2"/>
      <c r="I1387" s="2" t="s">
        <v>24187</v>
      </c>
      <c r="J1387" s="2" t="s">
        <v>24188</v>
      </c>
      <c r="K1387" s="2"/>
      <c r="L1387" s="2"/>
      <c r="M1387" s="2" t="s">
        <v>77</v>
      </c>
      <c r="N1387" s="2" t="s">
        <v>78</v>
      </c>
      <c r="O1387" s="2"/>
      <c r="P1387" s="2"/>
      <c r="Q1387" s="2"/>
      <c r="R1387" s="2"/>
      <c r="S1387" s="2"/>
      <c r="T1387" s="2" t="s">
        <v>24189</v>
      </c>
      <c r="U1387" s="2" t="s">
        <v>24190</v>
      </c>
      <c r="V1387" s="2" t="s">
        <v>24191</v>
      </c>
      <c r="W1387" s="2" t="s">
        <v>24192</v>
      </c>
      <c r="X1387" s="2" t="s">
        <v>24193</v>
      </c>
      <c r="Y1387" s="2" t="s">
        <v>24194</v>
      </c>
      <c r="Z1387" s="2" t="s">
        <v>24195</v>
      </c>
      <c r="AA1387" s="2"/>
      <c r="AB1387" s="2" t="s">
        <v>24196</v>
      </c>
      <c r="AC1387" s="2" t="s">
        <v>24197</v>
      </c>
      <c r="AD1387" s="2" t="s">
        <v>24197</v>
      </c>
      <c r="AE1387" s="2" t="s">
        <v>24198</v>
      </c>
      <c r="AF1387" s="2"/>
      <c r="AG1387" s="2" t="n">
        <v>182</v>
      </c>
      <c r="AH1387" s="2" t="n">
        <v>1</v>
      </c>
      <c r="AI1387" s="2" t="n">
        <v>1</v>
      </c>
      <c r="AJ1387" s="2" t="n">
        <v>0</v>
      </c>
      <c r="AK1387" s="2" t="n">
        <v>0</v>
      </c>
      <c r="AL1387" s="2" t="s">
        <v>4598</v>
      </c>
      <c r="AM1387" s="2" t="s">
        <v>4599</v>
      </c>
      <c r="AN1387" s="2" t="s">
        <v>4600</v>
      </c>
      <c r="AO1387" s="2" t="s">
        <v>24199</v>
      </c>
      <c r="AP1387" s="2" t="s">
        <v>24200</v>
      </c>
      <c r="AQ1387" s="2"/>
      <c r="AR1387" s="2" t="s">
        <v>24201</v>
      </c>
      <c r="AS1387" s="2" t="s">
        <v>24202</v>
      </c>
      <c r="AT1387" s="2"/>
      <c r="AU1387" s="2" t="n">
        <v>2007</v>
      </c>
      <c r="AV1387" s="2" t="n">
        <v>3</v>
      </c>
      <c r="AW1387" s="2" t="n">
        <v>2</v>
      </c>
      <c r="AX1387" s="2"/>
      <c r="AY1387" s="2"/>
      <c r="AZ1387" s="2"/>
      <c r="BA1387" s="2"/>
      <c r="BB1387" s="2" t="n">
        <v>115</v>
      </c>
      <c r="BC1387" s="2" t="n">
        <v>127</v>
      </c>
      <c r="BD1387" s="2"/>
      <c r="BE1387" s="2" t="s">
        <v>24203</v>
      </c>
      <c r="BF1387" s="2" t="str">
        <f aca="false">HYPERLINK("http://dx.doi.org/10.2174/157339607780599047","http://dx.doi.org/10.2174/157339607780599047")</f>
        <v>http://dx.doi.org/10.2174/157339607780599047</v>
      </c>
      <c r="BG1387" s="2"/>
      <c r="BH1387" s="2"/>
      <c r="BI1387" s="2" t="n">
        <v>13</v>
      </c>
      <c r="BJ1387" s="2" t="s">
        <v>601</v>
      </c>
      <c r="BK1387" s="2" t="s">
        <v>339</v>
      </c>
      <c r="BL1387" s="2" t="s">
        <v>601</v>
      </c>
      <c r="BM1387" s="2" t="s">
        <v>24204</v>
      </c>
      <c r="BN1387" s="2"/>
      <c r="BO1387" s="2"/>
      <c r="BP1387" s="2"/>
      <c r="BQ1387" s="2"/>
      <c r="BR1387" s="2" t="s">
        <v>104</v>
      </c>
      <c r="BS1387" s="2" t="s">
        <v>24205</v>
      </c>
      <c r="BT1387" s="2" t="str">
        <f aca="false">HYPERLINK("https%3A%2F%2Fwww.webofscience.com%2Fwos%2Fwoscc%2Ffull-record%2FWOS:000433872400003","View Full Record in Web of Science")</f>
        <v>View Full Record in Web of Science</v>
      </c>
    </row>
    <row r="1388" customFormat="false" ht="12.75" hidden="false" customHeight="false" outlineLevel="0" collapsed="false">
      <c r="A1388" s="2" t="s">
        <v>72</v>
      </c>
      <c r="B1388" s="2" t="s">
        <v>24206</v>
      </c>
      <c r="C1388" s="2"/>
      <c r="D1388" s="2"/>
      <c r="E1388" s="2"/>
      <c r="F1388" s="2" t="s">
        <v>24207</v>
      </c>
      <c r="G1388" s="2"/>
      <c r="H1388" s="2"/>
      <c r="I1388" s="2" t="s">
        <v>24208</v>
      </c>
      <c r="J1388" s="2" t="s">
        <v>24209</v>
      </c>
      <c r="K1388" s="2"/>
      <c r="L1388" s="2"/>
      <c r="M1388" s="2" t="s">
        <v>77</v>
      </c>
      <c r="N1388" s="2" t="s">
        <v>78</v>
      </c>
      <c r="O1388" s="2"/>
      <c r="P1388" s="2"/>
      <c r="Q1388" s="2"/>
      <c r="R1388" s="2"/>
      <c r="S1388" s="2"/>
      <c r="T1388" s="2" t="s">
        <v>24210</v>
      </c>
      <c r="U1388" s="2" t="s">
        <v>24211</v>
      </c>
      <c r="V1388" s="2" t="s">
        <v>24212</v>
      </c>
      <c r="W1388" s="2" t="s">
        <v>24213</v>
      </c>
      <c r="X1388" s="2" t="s">
        <v>24214</v>
      </c>
      <c r="Y1388" s="2" t="s">
        <v>24215</v>
      </c>
      <c r="Z1388" s="2" t="s">
        <v>7015</v>
      </c>
      <c r="AA1388" s="2" t="s">
        <v>24216</v>
      </c>
      <c r="AB1388" s="2" t="s">
        <v>24217</v>
      </c>
      <c r="AC1388" s="2" t="s">
        <v>24218</v>
      </c>
      <c r="AD1388" s="2" t="s">
        <v>24219</v>
      </c>
      <c r="AE1388" s="2" t="s">
        <v>24220</v>
      </c>
      <c r="AF1388" s="2"/>
      <c r="AG1388" s="2" t="n">
        <v>50</v>
      </c>
      <c r="AH1388" s="2" t="n">
        <v>45</v>
      </c>
      <c r="AI1388" s="2" t="n">
        <v>45</v>
      </c>
      <c r="AJ1388" s="2" t="n">
        <v>0</v>
      </c>
      <c r="AK1388" s="2" t="n">
        <v>9</v>
      </c>
      <c r="AL1388" s="2" t="s">
        <v>122</v>
      </c>
      <c r="AM1388" s="2" t="s">
        <v>123</v>
      </c>
      <c r="AN1388" s="2" t="s">
        <v>124</v>
      </c>
      <c r="AO1388" s="2" t="s">
        <v>24221</v>
      </c>
      <c r="AP1388" s="2" t="s">
        <v>24222</v>
      </c>
      <c r="AQ1388" s="2"/>
      <c r="AR1388" s="2" t="s">
        <v>24209</v>
      </c>
      <c r="AS1388" s="2" t="s">
        <v>24223</v>
      </c>
      <c r="AT1388" s="2" t="s">
        <v>390</v>
      </c>
      <c r="AU1388" s="2" t="n">
        <v>2017</v>
      </c>
      <c r="AV1388" s="2" t="n">
        <v>96</v>
      </c>
      <c r="AW1388" s="2" t="n">
        <v>18</v>
      </c>
      <c r="AX1388" s="2"/>
      <c r="AY1388" s="2"/>
      <c r="AZ1388" s="2"/>
      <c r="BA1388" s="2"/>
      <c r="BB1388" s="2"/>
      <c r="BC1388" s="2"/>
      <c r="BD1388" s="2" t="s">
        <v>24224</v>
      </c>
      <c r="BE1388" s="2" t="s">
        <v>24225</v>
      </c>
      <c r="BF1388" s="2" t="str">
        <f aca="false">HYPERLINK("http://dx.doi.org/10.1097/MD.0000000000006787","http://dx.doi.org/10.1097/MD.0000000000006787")</f>
        <v>http://dx.doi.org/10.1097/MD.0000000000006787</v>
      </c>
      <c r="BG1388" s="2"/>
      <c r="BH1388" s="2"/>
      <c r="BI1388" s="2" t="n">
        <v>7</v>
      </c>
      <c r="BJ1388" s="2" t="s">
        <v>363</v>
      </c>
      <c r="BK1388" s="2" t="s">
        <v>100</v>
      </c>
      <c r="BL1388" s="2" t="s">
        <v>364</v>
      </c>
      <c r="BM1388" s="2" t="s">
        <v>24226</v>
      </c>
      <c r="BN1388" s="2" t="n">
        <v>28471975</v>
      </c>
      <c r="BO1388" s="2" t="s">
        <v>103</v>
      </c>
      <c r="BP1388" s="2"/>
      <c r="BQ1388" s="2"/>
      <c r="BR1388" s="2" t="s">
        <v>104</v>
      </c>
      <c r="BS1388" s="2" t="s">
        <v>24227</v>
      </c>
      <c r="BT1388" s="2" t="str">
        <f aca="false">HYPERLINK("https%3A%2F%2Fwww.webofscience.com%2Fwos%2Fwoscc%2Ffull-record%2FWOS:000400842700025","View Full Record in Web of Science")</f>
        <v>View Full Record in Web of Science</v>
      </c>
    </row>
    <row r="1389" customFormat="false" ht="12.75" hidden="false" customHeight="false" outlineLevel="0" collapsed="false">
      <c r="A1389" s="2" t="s">
        <v>72</v>
      </c>
      <c r="B1389" s="2" t="s">
        <v>24228</v>
      </c>
      <c r="C1389" s="2"/>
      <c r="D1389" s="2"/>
      <c r="E1389" s="2"/>
      <c r="F1389" s="2" t="s">
        <v>24229</v>
      </c>
      <c r="G1389" s="2"/>
      <c r="H1389" s="2"/>
      <c r="I1389" s="2" t="s">
        <v>24230</v>
      </c>
      <c r="J1389" s="2" t="s">
        <v>6822</v>
      </c>
      <c r="K1389" s="2"/>
      <c r="L1389" s="2"/>
      <c r="M1389" s="2" t="s">
        <v>77</v>
      </c>
      <c r="N1389" s="2" t="s">
        <v>78</v>
      </c>
      <c r="O1389" s="2"/>
      <c r="P1389" s="2"/>
      <c r="Q1389" s="2"/>
      <c r="R1389" s="2"/>
      <c r="S1389" s="2"/>
      <c r="T1389" s="2" t="s">
        <v>24231</v>
      </c>
      <c r="U1389" s="2" t="s">
        <v>24232</v>
      </c>
      <c r="V1389" s="2" t="s">
        <v>24233</v>
      </c>
      <c r="W1389" s="2" t="s">
        <v>24234</v>
      </c>
      <c r="X1389" s="2" t="s">
        <v>24235</v>
      </c>
      <c r="Y1389" s="2" t="s">
        <v>24236</v>
      </c>
      <c r="Z1389" s="2" t="s">
        <v>24237</v>
      </c>
      <c r="AA1389" s="2" t="s">
        <v>24238</v>
      </c>
      <c r="AB1389" s="2" t="s">
        <v>24239</v>
      </c>
      <c r="AC1389" s="2" t="s">
        <v>24240</v>
      </c>
      <c r="AD1389" s="2" t="s">
        <v>24241</v>
      </c>
      <c r="AE1389" s="2"/>
      <c r="AF1389" s="2"/>
      <c r="AG1389" s="2" t="n">
        <v>32</v>
      </c>
      <c r="AH1389" s="2" t="n">
        <v>31</v>
      </c>
      <c r="AI1389" s="2" t="n">
        <v>34</v>
      </c>
      <c r="AJ1389" s="2" t="n">
        <v>0</v>
      </c>
      <c r="AK1389" s="2" t="n">
        <v>2</v>
      </c>
      <c r="AL1389" s="2" t="s">
        <v>6833</v>
      </c>
      <c r="AM1389" s="2" t="s">
        <v>593</v>
      </c>
      <c r="AN1389" s="2" t="s">
        <v>6834</v>
      </c>
      <c r="AO1389" s="2" t="s">
        <v>6835</v>
      </c>
      <c r="AP1389" s="2"/>
      <c r="AQ1389" s="2"/>
      <c r="AR1389" s="2" t="s">
        <v>6837</v>
      </c>
      <c r="AS1389" s="2" t="s">
        <v>6838</v>
      </c>
      <c r="AT1389" s="2" t="s">
        <v>336</v>
      </c>
      <c r="AU1389" s="2" t="n">
        <v>2013</v>
      </c>
      <c r="AV1389" s="2" t="n">
        <v>141</v>
      </c>
      <c r="AW1389" s="2" t="n">
        <v>10</v>
      </c>
      <c r="AX1389" s="2"/>
      <c r="AY1389" s="2"/>
      <c r="AZ1389" s="2"/>
      <c r="BA1389" s="2"/>
      <c r="BB1389" s="2" t="n">
        <v>2213</v>
      </c>
      <c r="BC1389" s="2" t="n">
        <v>2223</v>
      </c>
      <c r="BD1389" s="2"/>
      <c r="BE1389" s="2" t="s">
        <v>24242</v>
      </c>
      <c r="BF1389" s="2" t="str">
        <f aca="false">HYPERLINK("http://dx.doi.org/10.1017/S0950268812002920","http://dx.doi.org/10.1017/S0950268812002920")</f>
        <v>http://dx.doi.org/10.1017/S0950268812002920</v>
      </c>
      <c r="BG1389" s="2"/>
      <c r="BH1389" s="2"/>
      <c r="BI1389" s="2" t="n">
        <v>11</v>
      </c>
      <c r="BJ1389" s="2" t="s">
        <v>2113</v>
      </c>
      <c r="BK1389" s="2" t="s">
        <v>100</v>
      </c>
      <c r="BL1389" s="2" t="s">
        <v>2113</v>
      </c>
      <c r="BM1389" s="2" t="s">
        <v>24243</v>
      </c>
      <c r="BN1389" s="2" t="n">
        <v>23290557</v>
      </c>
      <c r="BO1389" s="2" t="s">
        <v>23063</v>
      </c>
      <c r="BP1389" s="2"/>
      <c r="BQ1389" s="2"/>
      <c r="BR1389" s="2" t="s">
        <v>104</v>
      </c>
      <c r="BS1389" s="2" t="s">
        <v>24244</v>
      </c>
      <c r="BT1389" s="2" t="str">
        <f aca="false">HYPERLINK("https%3A%2F%2Fwww.webofscience.com%2Fwos%2Fwoscc%2Ffull-record%2FWOS:000323887200026","View Full Record in Web of Science")</f>
        <v>View Full Record in Web of Science</v>
      </c>
    </row>
    <row r="1390" customFormat="false" ht="12.75" hidden="false" customHeight="false" outlineLevel="0" collapsed="false">
      <c r="A1390" s="2" t="s">
        <v>72</v>
      </c>
      <c r="B1390" s="2" t="s">
        <v>24245</v>
      </c>
      <c r="C1390" s="2"/>
      <c r="D1390" s="2"/>
      <c r="E1390" s="2"/>
      <c r="F1390" s="2" t="s">
        <v>24246</v>
      </c>
      <c r="G1390" s="2"/>
      <c r="H1390" s="2"/>
      <c r="I1390" s="2" t="s">
        <v>24247</v>
      </c>
      <c r="J1390" s="2" t="s">
        <v>24248</v>
      </c>
      <c r="K1390" s="2"/>
      <c r="L1390" s="2"/>
      <c r="M1390" s="2" t="s">
        <v>77</v>
      </c>
      <c r="N1390" s="2" t="s">
        <v>78</v>
      </c>
      <c r="O1390" s="2"/>
      <c r="P1390" s="2"/>
      <c r="Q1390" s="2"/>
      <c r="R1390" s="2"/>
      <c r="S1390" s="2"/>
      <c r="T1390" s="2" t="s">
        <v>24249</v>
      </c>
      <c r="U1390" s="2" t="s">
        <v>24250</v>
      </c>
      <c r="V1390" s="2" t="s">
        <v>24251</v>
      </c>
      <c r="W1390" s="2" t="s">
        <v>24252</v>
      </c>
      <c r="X1390" s="2" t="s">
        <v>24253</v>
      </c>
      <c r="Y1390" s="2" t="s">
        <v>24254</v>
      </c>
      <c r="Z1390" s="2" t="s">
        <v>24255</v>
      </c>
      <c r="AA1390" s="2" t="s">
        <v>24256</v>
      </c>
      <c r="AB1390" s="2" t="s">
        <v>24257</v>
      </c>
      <c r="AC1390" s="2"/>
      <c r="AD1390" s="2"/>
      <c r="AE1390" s="2"/>
      <c r="AF1390" s="2"/>
      <c r="AG1390" s="2" t="n">
        <v>35</v>
      </c>
      <c r="AH1390" s="2" t="n">
        <v>8</v>
      </c>
      <c r="AI1390" s="2" t="n">
        <v>8</v>
      </c>
      <c r="AJ1390" s="2" t="n">
        <v>0</v>
      </c>
      <c r="AK1390" s="2" t="n">
        <v>31</v>
      </c>
      <c r="AL1390" s="2" t="s">
        <v>24258</v>
      </c>
      <c r="AM1390" s="2" t="s">
        <v>24259</v>
      </c>
      <c r="AN1390" s="2" t="s">
        <v>24260</v>
      </c>
      <c r="AO1390" s="2" t="s">
        <v>24261</v>
      </c>
      <c r="AP1390" s="2" t="s">
        <v>24262</v>
      </c>
      <c r="AQ1390" s="2"/>
      <c r="AR1390" s="2" t="s">
        <v>24263</v>
      </c>
      <c r="AS1390" s="2" t="s">
        <v>24264</v>
      </c>
      <c r="AT1390" s="2" t="s">
        <v>446</v>
      </c>
      <c r="AU1390" s="2" t="n">
        <v>2016</v>
      </c>
      <c r="AV1390" s="2" t="n">
        <v>10</v>
      </c>
      <c r="AW1390" s="2" t="n">
        <v>4</v>
      </c>
      <c r="AX1390" s="2"/>
      <c r="AY1390" s="2"/>
      <c r="AZ1390" s="2"/>
      <c r="BA1390" s="2"/>
      <c r="BB1390" s="2"/>
      <c r="BC1390" s="2"/>
      <c r="BD1390" s="2" t="n">
        <v>46002</v>
      </c>
      <c r="BE1390" s="2" t="s">
        <v>24265</v>
      </c>
      <c r="BF1390" s="2" t="str">
        <f aca="false">HYPERLINK("http://dx.doi.org/10.1088/1752-7155/10/4/046002","http://dx.doi.org/10.1088/1752-7155/10/4/046002")</f>
        <v>http://dx.doi.org/10.1088/1752-7155/10/4/046002</v>
      </c>
      <c r="BG1390" s="2"/>
      <c r="BH1390" s="2"/>
      <c r="BI1390" s="2" t="n">
        <v>9</v>
      </c>
      <c r="BJ1390" s="2" t="s">
        <v>24266</v>
      </c>
      <c r="BK1390" s="2" t="s">
        <v>100</v>
      </c>
      <c r="BL1390" s="2" t="s">
        <v>24267</v>
      </c>
      <c r="BM1390" s="2" t="s">
        <v>24268</v>
      </c>
      <c r="BN1390" s="2" t="n">
        <v>27669334</v>
      </c>
      <c r="BO1390" s="2" t="s">
        <v>765</v>
      </c>
      <c r="BP1390" s="2"/>
      <c r="BQ1390" s="2"/>
      <c r="BR1390" s="2" t="s">
        <v>104</v>
      </c>
      <c r="BS1390" s="2" t="s">
        <v>24269</v>
      </c>
      <c r="BT1390" s="2" t="str">
        <f aca="false">HYPERLINK("https%3A%2F%2Fwww.webofscience.com%2Fwos%2Fwoscc%2Ffull-record%2FWOS:000384133600002","View Full Record in Web of Science")</f>
        <v>View Full Record in Web of Science</v>
      </c>
    </row>
    <row r="1391" customFormat="false" ht="12.75" hidden="false" customHeight="false" outlineLevel="0" collapsed="false">
      <c r="A1391" s="2" t="s">
        <v>72</v>
      </c>
      <c r="B1391" s="2" t="s">
        <v>24270</v>
      </c>
      <c r="C1391" s="2"/>
      <c r="D1391" s="2"/>
      <c r="E1391" s="2"/>
      <c r="F1391" s="2" t="s">
        <v>24271</v>
      </c>
      <c r="G1391" s="2"/>
      <c r="H1391" s="2"/>
      <c r="I1391" s="2" t="s">
        <v>24272</v>
      </c>
      <c r="J1391" s="2" t="s">
        <v>12362</v>
      </c>
      <c r="K1391" s="2"/>
      <c r="L1391" s="2"/>
      <c r="M1391" s="2" t="s">
        <v>77</v>
      </c>
      <c r="N1391" s="2" t="s">
        <v>78</v>
      </c>
      <c r="O1391" s="2"/>
      <c r="P1391" s="2"/>
      <c r="Q1391" s="2"/>
      <c r="R1391" s="2"/>
      <c r="S1391" s="2"/>
      <c r="T1391" s="2" t="s">
        <v>24273</v>
      </c>
      <c r="U1391" s="2" t="s">
        <v>24274</v>
      </c>
      <c r="V1391" s="2" t="s">
        <v>24275</v>
      </c>
      <c r="W1391" s="2" t="s">
        <v>24276</v>
      </c>
      <c r="X1391" s="2" t="s">
        <v>24277</v>
      </c>
      <c r="Y1391" s="2" t="s">
        <v>24278</v>
      </c>
      <c r="Z1391" s="2" t="s">
        <v>24279</v>
      </c>
      <c r="AA1391" s="2" t="s">
        <v>24280</v>
      </c>
      <c r="AB1391" s="2"/>
      <c r="AC1391" s="2" t="s">
        <v>24281</v>
      </c>
      <c r="AD1391" s="2" t="s">
        <v>24281</v>
      </c>
      <c r="AE1391" s="2" t="s">
        <v>24282</v>
      </c>
      <c r="AF1391" s="2"/>
      <c r="AG1391" s="2" t="n">
        <v>30</v>
      </c>
      <c r="AH1391" s="2" t="n">
        <v>7</v>
      </c>
      <c r="AI1391" s="2" t="n">
        <v>8</v>
      </c>
      <c r="AJ1391" s="2" t="n">
        <v>0</v>
      </c>
      <c r="AK1391" s="2" t="n">
        <v>4</v>
      </c>
      <c r="AL1391" s="2" t="s">
        <v>154</v>
      </c>
      <c r="AM1391" s="2" t="s">
        <v>155</v>
      </c>
      <c r="AN1391" s="2" t="s">
        <v>156</v>
      </c>
      <c r="AO1391" s="2" t="s">
        <v>12374</v>
      </c>
      <c r="AP1391" s="2" t="s">
        <v>12375</v>
      </c>
      <c r="AQ1391" s="2"/>
      <c r="AR1391" s="2" t="s">
        <v>12376</v>
      </c>
      <c r="AS1391" s="2" t="s">
        <v>12377</v>
      </c>
      <c r="AT1391" s="2" t="s">
        <v>446</v>
      </c>
      <c r="AU1391" s="2" t="n">
        <v>2020</v>
      </c>
      <c r="AV1391" s="2" t="n">
        <v>14</v>
      </c>
      <c r="AW1391" s="2" t="n">
        <v>12</v>
      </c>
      <c r="AX1391" s="2"/>
      <c r="AY1391" s="2"/>
      <c r="AZ1391" s="2"/>
      <c r="BA1391" s="2"/>
      <c r="BB1391" s="2" t="n">
        <v>1201</v>
      </c>
      <c r="BC1391" s="2" t="n">
        <v>1207</v>
      </c>
      <c r="BD1391" s="2"/>
      <c r="BE1391" s="2" t="s">
        <v>24283</v>
      </c>
      <c r="BF1391" s="2" t="str">
        <f aca="false">HYPERLINK("http://dx.doi.org/10.1111/crj.13261","http://dx.doi.org/10.1111/crj.13261")</f>
        <v>http://dx.doi.org/10.1111/crj.13261</v>
      </c>
      <c r="BG1391" s="2"/>
      <c r="BH1391" s="2" t="s">
        <v>9434</v>
      </c>
      <c r="BI1391" s="2" t="n">
        <v>7</v>
      </c>
      <c r="BJ1391" s="2" t="s">
        <v>338</v>
      </c>
      <c r="BK1391" s="2" t="s">
        <v>100</v>
      </c>
      <c r="BL1391" s="2" t="s">
        <v>338</v>
      </c>
      <c r="BM1391" s="2" t="s">
        <v>24284</v>
      </c>
      <c r="BN1391" s="2" t="n">
        <v>32790902</v>
      </c>
      <c r="BO1391" s="2"/>
      <c r="BP1391" s="2"/>
      <c r="BQ1391" s="2"/>
      <c r="BR1391" s="2" t="s">
        <v>104</v>
      </c>
      <c r="BS1391" s="2" t="s">
        <v>24285</v>
      </c>
      <c r="BT1391" s="2" t="str">
        <f aca="false">HYPERLINK("https%3A%2F%2Fwww.webofscience.com%2Fwos%2Fwoscc%2Ffull-record%2FWOS:000566421600001","View Full Record in Web of Science")</f>
        <v>View Full Record in Web of Science</v>
      </c>
    </row>
    <row r="1392" customFormat="false" ht="12.75" hidden="false" customHeight="false" outlineLevel="0" collapsed="false">
      <c r="A1392" s="2" t="s">
        <v>72</v>
      </c>
      <c r="B1392" s="2" t="s">
        <v>24286</v>
      </c>
      <c r="C1392" s="2"/>
      <c r="D1392" s="2"/>
      <c r="E1392" s="2"/>
      <c r="F1392" s="2" t="s">
        <v>24287</v>
      </c>
      <c r="G1392" s="2"/>
      <c r="H1392" s="2"/>
      <c r="I1392" s="2" t="s">
        <v>24288</v>
      </c>
      <c r="J1392" s="2" t="s">
        <v>7244</v>
      </c>
      <c r="K1392" s="2"/>
      <c r="L1392" s="2"/>
      <c r="M1392" s="2" t="s">
        <v>77</v>
      </c>
      <c r="N1392" s="2" t="s">
        <v>78</v>
      </c>
      <c r="O1392" s="2"/>
      <c r="P1392" s="2"/>
      <c r="Q1392" s="2"/>
      <c r="R1392" s="2"/>
      <c r="S1392" s="2"/>
      <c r="T1392" s="2" t="s">
        <v>24289</v>
      </c>
      <c r="U1392" s="2" t="s">
        <v>24290</v>
      </c>
      <c r="V1392" s="2" t="s">
        <v>24291</v>
      </c>
      <c r="W1392" s="2" t="s">
        <v>24292</v>
      </c>
      <c r="X1392" s="2" t="s">
        <v>24293</v>
      </c>
      <c r="Y1392" s="2" t="s">
        <v>24294</v>
      </c>
      <c r="Z1392" s="2" t="s">
        <v>21575</v>
      </c>
      <c r="AA1392" s="2" t="s">
        <v>24295</v>
      </c>
      <c r="AB1392" s="2" t="s">
        <v>24296</v>
      </c>
      <c r="AC1392" s="2"/>
      <c r="AD1392" s="2"/>
      <c r="AE1392" s="2"/>
      <c r="AF1392" s="2"/>
      <c r="AG1392" s="2" t="n">
        <v>56</v>
      </c>
      <c r="AH1392" s="2" t="n">
        <v>59</v>
      </c>
      <c r="AI1392" s="2" t="n">
        <v>65</v>
      </c>
      <c r="AJ1392" s="2" t="n">
        <v>0</v>
      </c>
      <c r="AK1392" s="2" t="n">
        <v>3</v>
      </c>
      <c r="AL1392" s="2" t="s">
        <v>3813</v>
      </c>
      <c r="AM1392" s="2" t="s">
        <v>4498</v>
      </c>
      <c r="AN1392" s="2" t="s">
        <v>4499</v>
      </c>
      <c r="AO1392" s="2" t="s">
        <v>7252</v>
      </c>
      <c r="AP1392" s="2"/>
      <c r="AQ1392" s="2"/>
      <c r="AR1392" s="2" t="s">
        <v>7254</v>
      </c>
      <c r="AS1392" s="2" t="s">
        <v>7255</v>
      </c>
      <c r="AT1392" s="2" t="s">
        <v>599</v>
      </c>
      <c r="AU1392" s="2" t="n">
        <v>2008</v>
      </c>
      <c r="AV1392" s="2" t="n">
        <v>14</v>
      </c>
      <c r="AW1392" s="2" t="n">
        <v>7</v>
      </c>
      <c r="AX1392" s="2"/>
      <c r="AY1392" s="2"/>
      <c r="AZ1392" s="2"/>
      <c r="BA1392" s="2"/>
      <c r="BB1392" s="2" t="n">
        <v>677</v>
      </c>
      <c r="BC1392" s="2" t="n">
        <v>684</v>
      </c>
      <c r="BD1392" s="2"/>
      <c r="BE1392" s="2" t="s">
        <v>24297</v>
      </c>
      <c r="BF1392" s="2" t="str">
        <f aca="false">HYPERLINK("http://dx.doi.org/10.1111/j.1469-0691.2008.02016.x","http://dx.doi.org/10.1111/j.1469-0691.2008.02016.x")</f>
        <v>http://dx.doi.org/10.1111/j.1469-0691.2008.02016.x</v>
      </c>
      <c r="BG1392" s="2"/>
      <c r="BH1392" s="2"/>
      <c r="BI1392" s="2" t="n">
        <v>8</v>
      </c>
      <c r="BJ1392" s="2" t="s">
        <v>1467</v>
      </c>
      <c r="BK1392" s="2" t="s">
        <v>100</v>
      </c>
      <c r="BL1392" s="2" t="s">
        <v>1467</v>
      </c>
      <c r="BM1392" s="2" t="s">
        <v>24298</v>
      </c>
      <c r="BN1392" s="2" t="n">
        <v>18558940</v>
      </c>
      <c r="BO1392" s="2" t="s">
        <v>538</v>
      </c>
      <c r="BP1392" s="2"/>
      <c r="BQ1392" s="2"/>
      <c r="BR1392" s="2" t="s">
        <v>104</v>
      </c>
      <c r="BS1392" s="2" t="s">
        <v>24299</v>
      </c>
      <c r="BT1392" s="2" t="str">
        <f aca="false">HYPERLINK("https%3A%2F%2Fwww.webofscience.com%2Fwos%2Fwoscc%2Ffull-record%2FWOS:000256612900007","View Full Record in Web of Science")</f>
        <v>View Full Record in Web of Science</v>
      </c>
    </row>
    <row r="1393" customFormat="false" ht="12.75" hidden="false" customHeight="false" outlineLevel="0" collapsed="false">
      <c r="A1393" s="2" t="s">
        <v>72</v>
      </c>
      <c r="B1393" s="2" t="s">
        <v>24300</v>
      </c>
      <c r="C1393" s="2"/>
      <c r="D1393" s="2"/>
      <c r="E1393" s="2"/>
      <c r="F1393" s="2" t="s">
        <v>24301</v>
      </c>
      <c r="G1393" s="2"/>
      <c r="H1393" s="2"/>
      <c r="I1393" s="2" t="s">
        <v>24302</v>
      </c>
      <c r="J1393" s="2" t="s">
        <v>22710</v>
      </c>
      <c r="K1393" s="2"/>
      <c r="L1393" s="2"/>
      <c r="M1393" s="2" t="s">
        <v>77</v>
      </c>
      <c r="N1393" s="2" t="s">
        <v>78</v>
      </c>
      <c r="O1393" s="2"/>
      <c r="P1393" s="2"/>
      <c r="Q1393" s="2"/>
      <c r="R1393" s="2"/>
      <c r="S1393" s="2"/>
      <c r="T1393" s="2" t="s">
        <v>24303</v>
      </c>
      <c r="U1393" s="2"/>
      <c r="V1393" s="2" t="s">
        <v>24304</v>
      </c>
      <c r="W1393" s="2" t="s">
        <v>24305</v>
      </c>
      <c r="X1393" s="2" t="s">
        <v>7210</v>
      </c>
      <c r="Y1393" s="2" t="s">
        <v>24306</v>
      </c>
      <c r="Z1393" s="2" t="s">
        <v>22716</v>
      </c>
      <c r="AA1393" s="2" t="s">
        <v>24307</v>
      </c>
      <c r="AB1393" s="2" t="s">
        <v>24308</v>
      </c>
      <c r="AC1393" s="2" t="s">
        <v>24309</v>
      </c>
      <c r="AD1393" s="2" t="s">
        <v>24310</v>
      </c>
      <c r="AE1393" s="2" t="s">
        <v>24311</v>
      </c>
      <c r="AF1393" s="2"/>
      <c r="AG1393" s="2" t="n">
        <v>17</v>
      </c>
      <c r="AH1393" s="2" t="n">
        <v>4</v>
      </c>
      <c r="AI1393" s="2" t="n">
        <v>4</v>
      </c>
      <c r="AJ1393" s="2" t="n">
        <v>0</v>
      </c>
      <c r="AK1393" s="2" t="n">
        <v>0</v>
      </c>
      <c r="AL1393" s="2" t="s">
        <v>122</v>
      </c>
      <c r="AM1393" s="2" t="s">
        <v>123</v>
      </c>
      <c r="AN1393" s="2" t="s">
        <v>124</v>
      </c>
      <c r="AO1393" s="2" t="s">
        <v>22717</v>
      </c>
      <c r="AP1393" s="2"/>
      <c r="AQ1393" s="2"/>
      <c r="AR1393" s="2" t="s">
        <v>22718</v>
      </c>
      <c r="AS1393" s="2" t="s">
        <v>22719</v>
      </c>
      <c r="AT1393" s="2" t="s">
        <v>692</v>
      </c>
      <c r="AU1393" s="2" t="n">
        <v>2013</v>
      </c>
      <c r="AV1393" s="2" t="n">
        <v>88</v>
      </c>
      <c r="AW1393" s="2" t="n">
        <v>1</v>
      </c>
      <c r="AX1393" s="2"/>
      <c r="AY1393" s="2"/>
      <c r="AZ1393" s="2"/>
      <c r="BA1393" s="2"/>
      <c r="BB1393" s="2" t="n">
        <v>52</v>
      </c>
      <c r="BC1393" s="2" t="n">
        <v>56</v>
      </c>
      <c r="BD1393" s="2"/>
      <c r="BE1393" s="2" t="s">
        <v>24312</v>
      </c>
      <c r="BF1393" s="2" t="str">
        <f aca="false">HYPERLINK("http://dx.doi.org/10.1097/01.EPX.0000427636.90615.ad","http://dx.doi.org/10.1097/01.EPX.0000427636.90615.ad")</f>
        <v>http://dx.doi.org/10.1097/01.EPX.0000427636.90615.ad</v>
      </c>
      <c r="BG1393" s="2"/>
      <c r="BH1393" s="2"/>
      <c r="BI1393" s="2" t="n">
        <v>5</v>
      </c>
      <c r="BJ1393" s="2" t="s">
        <v>1353</v>
      </c>
      <c r="BK1393" s="2" t="s">
        <v>339</v>
      </c>
      <c r="BL1393" s="2" t="s">
        <v>1353</v>
      </c>
      <c r="BM1393" s="2" t="s">
        <v>24313</v>
      </c>
      <c r="BN1393" s="2" t="n">
        <v>23528533</v>
      </c>
      <c r="BO1393" s="2" t="s">
        <v>656</v>
      </c>
      <c r="BP1393" s="2"/>
      <c r="BQ1393" s="2"/>
      <c r="BR1393" s="2" t="s">
        <v>104</v>
      </c>
      <c r="BS1393" s="2" t="s">
        <v>24314</v>
      </c>
      <c r="BT1393" s="2" t="str">
        <f aca="false">HYPERLINK("https%3A%2F%2Fwww.webofscience.com%2Fwos%2Fwoscc%2Ffull-record%2FWOS:000218227700010","View Full Record in Web of Science")</f>
        <v>View Full Record in Web of Science</v>
      </c>
    </row>
    <row r="1394" customFormat="false" ht="12.75" hidden="false" customHeight="false" outlineLevel="0" collapsed="false">
      <c r="A1394" s="2" t="s">
        <v>72</v>
      </c>
      <c r="B1394" s="2" t="s">
        <v>24315</v>
      </c>
      <c r="C1394" s="2"/>
      <c r="D1394" s="2"/>
      <c r="E1394" s="2"/>
      <c r="F1394" s="2" t="s">
        <v>24316</v>
      </c>
      <c r="G1394" s="2"/>
      <c r="H1394" s="2"/>
      <c r="I1394" s="2" t="s">
        <v>24317</v>
      </c>
      <c r="J1394" s="2" t="s">
        <v>1290</v>
      </c>
      <c r="K1394" s="2"/>
      <c r="L1394" s="2"/>
      <c r="M1394" s="2" t="s">
        <v>77</v>
      </c>
      <c r="N1394" s="2" t="s">
        <v>78</v>
      </c>
      <c r="O1394" s="2"/>
      <c r="P1394" s="2"/>
      <c r="Q1394" s="2"/>
      <c r="R1394" s="2"/>
      <c r="S1394" s="2"/>
      <c r="T1394" s="2" t="s">
        <v>24318</v>
      </c>
      <c r="U1394" s="2" t="s">
        <v>24319</v>
      </c>
      <c r="V1394" s="2" t="s">
        <v>24320</v>
      </c>
      <c r="W1394" s="2" t="s">
        <v>24321</v>
      </c>
      <c r="X1394" s="2" t="s">
        <v>7453</v>
      </c>
      <c r="Y1394" s="2" t="s">
        <v>24322</v>
      </c>
      <c r="Z1394" s="2" t="s">
        <v>11290</v>
      </c>
      <c r="AA1394" s="2" t="s">
        <v>7456</v>
      </c>
      <c r="AB1394" s="2" t="s">
        <v>7457</v>
      </c>
      <c r="AC1394" s="2"/>
      <c r="AD1394" s="2"/>
      <c r="AE1394" s="2"/>
      <c r="AF1394" s="2"/>
      <c r="AG1394" s="2" t="n">
        <v>38</v>
      </c>
      <c r="AH1394" s="2" t="n">
        <v>7</v>
      </c>
      <c r="AI1394" s="2" t="n">
        <v>7</v>
      </c>
      <c r="AJ1394" s="2" t="n">
        <v>0</v>
      </c>
      <c r="AK1394" s="2" t="n">
        <v>1</v>
      </c>
      <c r="AL1394" s="2" t="s">
        <v>154</v>
      </c>
      <c r="AM1394" s="2" t="s">
        <v>155</v>
      </c>
      <c r="AN1394" s="2" t="s">
        <v>156</v>
      </c>
      <c r="AO1394" s="2" t="s">
        <v>1302</v>
      </c>
      <c r="AP1394" s="2" t="s">
        <v>1303</v>
      </c>
      <c r="AQ1394" s="2"/>
      <c r="AR1394" s="2" t="s">
        <v>1304</v>
      </c>
      <c r="AS1394" s="2" t="s">
        <v>1305</v>
      </c>
      <c r="AT1394" s="2" t="s">
        <v>486</v>
      </c>
      <c r="AU1394" s="2" t="n">
        <v>2016</v>
      </c>
      <c r="AV1394" s="2" t="n">
        <v>51</v>
      </c>
      <c r="AW1394" s="2" t="n">
        <v>6</v>
      </c>
      <c r="AX1394" s="2"/>
      <c r="AY1394" s="2"/>
      <c r="AZ1394" s="2"/>
      <c r="BA1394" s="2"/>
      <c r="BB1394" s="2" t="n">
        <v>588</v>
      </c>
      <c r="BC1394" s="2" t="n">
        <v>595</v>
      </c>
      <c r="BD1394" s="2"/>
      <c r="BE1394" s="2" t="s">
        <v>24323</v>
      </c>
      <c r="BF1394" s="2" t="str">
        <f aca="false">HYPERLINK("http://dx.doi.org/10.1002/ppul.23343","http://dx.doi.org/10.1002/ppul.23343")</f>
        <v>http://dx.doi.org/10.1002/ppul.23343</v>
      </c>
      <c r="BG1394" s="2"/>
      <c r="BH1394" s="2"/>
      <c r="BI1394" s="2" t="n">
        <v>8</v>
      </c>
      <c r="BJ1394" s="2" t="s">
        <v>1307</v>
      </c>
      <c r="BK1394" s="2" t="s">
        <v>100</v>
      </c>
      <c r="BL1394" s="2" t="s">
        <v>1307</v>
      </c>
      <c r="BM1394" s="2" t="s">
        <v>24324</v>
      </c>
      <c r="BN1394" s="2" t="n">
        <v>26613245</v>
      </c>
      <c r="BO1394" s="2"/>
      <c r="BP1394" s="2"/>
      <c r="BQ1394" s="2"/>
      <c r="BR1394" s="2" t="s">
        <v>104</v>
      </c>
      <c r="BS1394" s="2" t="s">
        <v>24325</v>
      </c>
      <c r="BT1394" s="2" t="str">
        <f aca="false">HYPERLINK("https%3A%2F%2Fwww.webofscience.com%2Fwos%2Fwoscc%2Ffull-record%2FWOS:000394352400008","View Full Record in Web of Science")</f>
        <v>View Full Record in Web of Science</v>
      </c>
    </row>
    <row r="1395" customFormat="false" ht="12.75" hidden="false" customHeight="false" outlineLevel="0" collapsed="false">
      <c r="A1395" s="2" t="s">
        <v>72</v>
      </c>
      <c r="B1395" s="2" t="s">
        <v>24326</v>
      </c>
      <c r="C1395" s="2"/>
      <c r="D1395" s="2"/>
      <c r="E1395" s="2"/>
      <c r="F1395" s="2" t="s">
        <v>24327</v>
      </c>
      <c r="G1395" s="2"/>
      <c r="H1395" s="2"/>
      <c r="I1395" s="2" t="s">
        <v>24328</v>
      </c>
      <c r="J1395" s="2" t="s">
        <v>1886</v>
      </c>
      <c r="K1395" s="2"/>
      <c r="L1395" s="2"/>
      <c r="M1395" s="2" t="s">
        <v>77</v>
      </c>
      <c r="N1395" s="2" t="s">
        <v>78</v>
      </c>
      <c r="O1395" s="2"/>
      <c r="P1395" s="2"/>
      <c r="Q1395" s="2"/>
      <c r="R1395" s="2"/>
      <c r="S1395" s="2"/>
      <c r="T1395" s="2" t="s">
        <v>24329</v>
      </c>
      <c r="U1395" s="2" t="s">
        <v>24330</v>
      </c>
      <c r="V1395" s="2" t="s">
        <v>24331</v>
      </c>
      <c r="W1395" s="2" t="s">
        <v>24332</v>
      </c>
      <c r="X1395" s="2" t="s">
        <v>24333</v>
      </c>
      <c r="Y1395" s="2" t="s">
        <v>24334</v>
      </c>
      <c r="Z1395" s="2"/>
      <c r="AA1395" s="2" t="s">
        <v>5160</v>
      </c>
      <c r="AB1395" s="2" t="s">
        <v>24335</v>
      </c>
      <c r="AC1395" s="2" t="s">
        <v>24336</v>
      </c>
      <c r="AD1395" s="2" t="s">
        <v>24337</v>
      </c>
      <c r="AE1395" s="2" t="s">
        <v>24338</v>
      </c>
      <c r="AF1395" s="2"/>
      <c r="AG1395" s="2" t="n">
        <v>27</v>
      </c>
      <c r="AH1395" s="2" t="n">
        <v>3</v>
      </c>
      <c r="AI1395" s="2" t="n">
        <v>4</v>
      </c>
      <c r="AJ1395" s="2" t="n">
        <v>0</v>
      </c>
      <c r="AK1395" s="2" t="n">
        <v>6</v>
      </c>
      <c r="AL1395" s="2" t="s">
        <v>1896</v>
      </c>
      <c r="AM1395" s="2" t="s">
        <v>92</v>
      </c>
      <c r="AN1395" s="2" t="s">
        <v>1897</v>
      </c>
      <c r="AO1395" s="2" t="s">
        <v>1898</v>
      </c>
      <c r="AP1395" s="2" t="s">
        <v>1899</v>
      </c>
      <c r="AQ1395" s="2"/>
      <c r="AR1395" s="2" t="s">
        <v>1886</v>
      </c>
      <c r="AS1395" s="2" t="s">
        <v>1900</v>
      </c>
      <c r="AT1395" s="2"/>
      <c r="AU1395" s="2" t="n">
        <v>2019</v>
      </c>
      <c r="AV1395" s="2" t="n">
        <v>61</v>
      </c>
      <c r="AW1395" s="2" t="n">
        <v>6</v>
      </c>
      <c r="AX1395" s="2"/>
      <c r="AY1395" s="2"/>
      <c r="AZ1395" s="2"/>
      <c r="BA1395" s="2"/>
      <c r="BB1395" s="2" t="n">
        <v>301</v>
      </c>
      <c r="BC1395" s="2" t="n">
        <v>306</v>
      </c>
      <c r="BD1395" s="2"/>
      <c r="BE1395" s="2" t="s">
        <v>24339</v>
      </c>
      <c r="BF1395" s="2" t="str">
        <f aca="false">HYPERLINK("http://dx.doi.org/10.1159/000497309","http://dx.doi.org/10.1159/000497309")</f>
        <v>http://dx.doi.org/10.1159/000497309</v>
      </c>
      <c r="BG1395" s="2"/>
      <c r="BH1395" s="2"/>
      <c r="BI1395" s="2" t="n">
        <v>6</v>
      </c>
      <c r="BJ1395" s="2" t="s">
        <v>163</v>
      </c>
      <c r="BK1395" s="2" t="s">
        <v>100</v>
      </c>
      <c r="BL1395" s="2" t="s">
        <v>163</v>
      </c>
      <c r="BM1395" s="2" t="s">
        <v>24340</v>
      </c>
      <c r="BN1395" s="2" t="n">
        <v>30917376</v>
      </c>
      <c r="BO1395" s="2"/>
      <c r="BP1395" s="2"/>
      <c r="BQ1395" s="2"/>
      <c r="BR1395" s="2" t="s">
        <v>104</v>
      </c>
      <c r="BS1395" s="2" t="s">
        <v>24341</v>
      </c>
      <c r="BT1395" s="2" t="str">
        <f aca="false">HYPERLINK("https%3A%2F%2Fwww.webofscience.com%2Fwos%2Fwoscc%2Ffull-record%2FWOS:000470856800006","View Full Record in Web of Science")</f>
        <v>View Full Record in Web of Science</v>
      </c>
    </row>
    <row r="1396" customFormat="false" ht="12.75" hidden="false" customHeight="false" outlineLevel="0" collapsed="false">
      <c r="A1396" s="2" t="s">
        <v>72</v>
      </c>
      <c r="B1396" s="2" t="s">
        <v>24342</v>
      </c>
      <c r="C1396" s="2"/>
      <c r="D1396" s="2"/>
      <c r="E1396" s="2"/>
      <c r="F1396" s="2" t="s">
        <v>24343</v>
      </c>
      <c r="G1396" s="2"/>
      <c r="H1396" s="2"/>
      <c r="I1396" s="2" t="s">
        <v>24344</v>
      </c>
      <c r="J1396" s="2" t="s">
        <v>11019</v>
      </c>
      <c r="K1396" s="2"/>
      <c r="L1396" s="2"/>
      <c r="M1396" s="2" t="s">
        <v>77</v>
      </c>
      <c r="N1396" s="2" t="s">
        <v>78</v>
      </c>
      <c r="O1396" s="2"/>
      <c r="P1396" s="2"/>
      <c r="Q1396" s="2"/>
      <c r="R1396" s="2"/>
      <c r="S1396" s="2"/>
      <c r="T1396" s="2" t="s">
        <v>24345</v>
      </c>
      <c r="U1396" s="2" t="s">
        <v>24346</v>
      </c>
      <c r="V1396" s="2" t="s">
        <v>24347</v>
      </c>
      <c r="W1396" s="2" t="s">
        <v>24348</v>
      </c>
      <c r="X1396" s="2" t="s">
        <v>24349</v>
      </c>
      <c r="Y1396" s="2" t="s">
        <v>24350</v>
      </c>
      <c r="Z1396" s="2" t="s">
        <v>24351</v>
      </c>
      <c r="AA1396" s="2" t="s">
        <v>24352</v>
      </c>
      <c r="AB1396" s="2" t="s">
        <v>24353</v>
      </c>
      <c r="AC1396" s="2" t="s">
        <v>24354</v>
      </c>
      <c r="AD1396" s="2" t="s">
        <v>24355</v>
      </c>
      <c r="AE1396" s="2" t="s">
        <v>24356</v>
      </c>
      <c r="AF1396" s="2"/>
      <c r="AG1396" s="2" t="n">
        <v>23</v>
      </c>
      <c r="AH1396" s="2" t="n">
        <v>29</v>
      </c>
      <c r="AI1396" s="2" t="n">
        <v>31</v>
      </c>
      <c r="AJ1396" s="2" t="n">
        <v>0</v>
      </c>
      <c r="AK1396" s="2" t="n">
        <v>7</v>
      </c>
      <c r="AL1396" s="2" t="s">
        <v>3813</v>
      </c>
      <c r="AM1396" s="2" t="s">
        <v>155</v>
      </c>
      <c r="AN1396" s="2" t="s">
        <v>156</v>
      </c>
      <c r="AO1396" s="2" t="s">
        <v>11028</v>
      </c>
      <c r="AP1396" s="2" t="s">
        <v>11029</v>
      </c>
      <c r="AQ1396" s="2"/>
      <c r="AR1396" s="2" t="s">
        <v>11030</v>
      </c>
      <c r="AS1396" s="2" t="s">
        <v>11031</v>
      </c>
      <c r="AT1396" s="2" t="s">
        <v>390</v>
      </c>
      <c r="AU1396" s="2" t="n">
        <v>2016</v>
      </c>
      <c r="AV1396" s="2" t="n">
        <v>10</v>
      </c>
      <c r="AW1396" s="2" t="n">
        <v>3</v>
      </c>
      <c r="AX1396" s="2"/>
      <c r="AY1396" s="2"/>
      <c r="AZ1396" s="2"/>
      <c r="BA1396" s="2"/>
      <c r="BB1396" s="2" t="n">
        <v>161</v>
      </c>
      <c r="BC1396" s="2" t="n">
        <v>169</v>
      </c>
      <c r="BD1396" s="2"/>
      <c r="BE1396" s="2" t="s">
        <v>24357</v>
      </c>
      <c r="BF1396" s="2" t="str">
        <f aca="false">HYPERLINK("http://dx.doi.org/10.1111/irv.12360","http://dx.doi.org/10.1111/irv.12360")</f>
        <v>http://dx.doi.org/10.1111/irv.12360</v>
      </c>
      <c r="BG1396" s="2"/>
      <c r="BH1396" s="2"/>
      <c r="BI1396" s="2" t="n">
        <v>9</v>
      </c>
      <c r="BJ1396" s="2" t="s">
        <v>8287</v>
      </c>
      <c r="BK1396" s="2" t="s">
        <v>100</v>
      </c>
      <c r="BL1396" s="2" t="s">
        <v>8287</v>
      </c>
      <c r="BM1396" s="2" t="s">
        <v>24358</v>
      </c>
      <c r="BN1396" s="2" t="n">
        <v>26590069</v>
      </c>
      <c r="BO1396" s="2" t="s">
        <v>190</v>
      </c>
      <c r="BP1396" s="2"/>
      <c r="BQ1396" s="2"/>
      <c r="BR1396" s="2" t="s">
        <v>104</v>
      </c>
      <c r="BS1396" s="2" t="s">
        <v>24359</v>
      </c>
      <c r="BT1396" s="2" t="str">
        <f aca="false">HYPERLINK("https%3A%2F%2Fwww.webofscience.com%2Fwos%2Fwoscc%2Ffull-record%2FWOS:000373490900003","View Full Record in Web of Science")</f>
        <v>View Full Record in Web of Science</v>
      </c>
    </row>
    <row r="1397" customFormat="false" ht="12.75" hidden="false" customHeight="false" outlineLevel="0" collapsed="false">
      <c r="A1397" s="2" t="s">
        <v>72</v>
      </c>
      <c r="B1397" s="2" t="s">
        <v>24360</v>
      </c>
      <c r="C1397" s="2"/>
      <c r="D1397" s="2"/>
      <c r="E1397" s="2"/>
      <c r="F1397" s="2" t="s">
        <v>24361</v>
      </c>
      <c r="G1397" s="2"/>
      <c r="H1397" s="2"/>
      <c r="I1397" s="2" t="s">
        <v>24362</v>
      </c>
      <c r="J1397" s="2" t="s">
        <v>370</v>
      </c>
      <c r="K1397" s="2"/>
      <c r="L1397" s="2"/>
      <c r="M1397" s="2" t="s">
        <v>77</v>
      </c>
      <c r="N1397" s="2" t="s">
        <v>78</v>
      </c>
      <c r="O1397" s="2"/>
      <c r="P1397" s="2"/>
      <c r="Q1397" s="2"/>
      <c r="R1397" s="2"/>
      <c r="S1397" s="2"/>
      <c r="T1397" s="2" t="s">
        <v>24363</v>
      </c>
      <c r="U1397" s="2" t="s">
        <v>24364</v>
      </c>
      <c r="V1397" s="2" t="s">
        <v>24365</v>
      </c>
      <c r="W1397" s="2" t="s">
        <v>24366</v>
      </c>
      <c r="X1397" s="2" t="s">
        <v>24367</v>
      </c>
      <c r="Y1397" s="2" t="s">
        <v>24368</v>
      </c>
      <c r="Z1397" s="2" t="s">
        <v>24369</v>
      </c>
      <c r="AA1397" s="2" t="s">
        <v>24370</v>
      </c>
      <c r="AB1397" s="2" t="s">
        <v>24371</v>
      </c>
      <c r="AC1397" s="2" t="s">
        <v>24372</v>
      </c>
      <c r="AD1397" s="2" t="s">
        <v>24373</v>
      </c>
      <c r="AE1397" s="2" t="s">
        <v>24374</v>
      </c>
      <c r="AF1397" s="2"/>
      <c r="AG1397" s="2" t="n">
        <v>21</v>
      </c>
      <c r="AH1397" s="2" t="n">
        <v>11</v>
      </c>
      <c r="AI1397" s="2" t="n">
        <v>15</v>
      </c>
      <c r="AJ1397" s="2" t="n">
        <v>0</v>
      </c>
      <c r="AK1397" s="2" t="n">
        <v>12</v>
      </c>
      <c r="AL1397" s="2" t="s">
        <v>549</v>
      </c>
      <c r="AM1397" s="2" t="s">
        <v>384</v>
      </c>
      <c r="AN1397" s="2" t="s">
        <v>550</v>
      </c>
      <c r="AO1397" s="2" t="s">
        <v>386</v>
      </c>
      <c r="AP1397" s="2" t="s">
        <v>387</v>
      </c>
      <c r="AQ1397" s="2"/>
      <c r="AR1397" s="2" t="s">
        <v>388</v>
      </c>
      <c r="AS1397" s="2" t="s">
        <v>389</v>
      </c>
      <c r="AT1397" s="2" t="s">
        <v>185</v>
      </c>
      <c r="AU1397" s="2" t="n">
        <v>2015</v>
      </c>
      <c r="AV1397" s="2" t="n">
        <v>69</v>
      </c>
      <c r="AW1397" s="2"/>
      <c r="AX1397" s="2"/>
      <c r="AY1397" s="2"/>
      <c r="AZ1397" s="2"/>
      <c r="BA1397" s="2"/>
      <c r="BB1397" s="2" t="n">
        <v>190</v>
      </c>
      <c r="BC1397" s="2" t="n">
        <v>196</v>
      </c>
      <c r="BD1397" s="2"/>
      <c r="BE1397" s="2" t="s">
        <v>24375</v>
      </c>
      <c r="BF1397" s="2" t="str">
        <f aca="false">HYPERLINK("http://dx.doi.org/10.1016/j.jcv.2015.06.005","http://dx.doi.org/10.1016/j.jcv.2015.06.005")</f>
        <v>http://dx.doi.org/10.1016/j.jcv.2015.06.005</v>
      </c>
      <c r="BG1397" s="2"/>
      <c r="BH1397" s="2"/>
      <c r="BI1397" s="2" t="n">
        <v>7</v>
      </c>
      <c r="BJ1397" s="2" t="s">
        <v>163</v>
      </c>
      <c r="BK1397" s="2" t="s">
        <v>100</v>
      </c>
      <c r="BL1397" s="2" t="s">
        <v>163</v>
      </c>
      <c r="BM1397" s="2" t="s">
        <v>12435</v>
      </c>
      <c r="BN1397" s="2" t="n">
        <v>26209405</v>
      </c>
      <c r="BO1397" s="2" t="s">
        <v>165</v>
      </c>
      <c r="BP1397" s="2"/>
      <c r="BQ1397" s="2"/>
      <c r="BR1397" s="2" t="s">
        <v>104</v>
      </c>
      <c r="BS1397" s="2" t="s">
        <v>24376</v>
      </c>
      <c r="BT1397" s="2" t="str">
        <f aca="false">HYPERLINK("https%3A%2F%2Fwww.webofscience.com%2Fwos%2Fwoscc%2Ffull-record%2FWOS:000358318400039","View Full Record in Web of Science")</f>
        <v>View Full Record in Web of Science</v>
      </c>
    </row>
    <row r="1398" customFormat="false" ht="12.75" hidden="false" customHeight="false" outlineLevel="0" collapsed="false">
      <c r="A1398" s="2" t="s">
        <v>72</v>
      </c>
      <c r="B1398" s="2" t="s">
        <v>24377</v>
      </c>
      <c r="C1398" s="2"/>
      <c r="D1398" s="2"/>
      <c r="E1398" s="2"/>
      <c r="F1398" s="2" t="s">
        <v>24377</v>
      </c>
      <c r="G1398" s="2"/>
      <c r="H1398" s="2"/>
      <c r="I1398" s="2" t="s">
        <v>24378</v>
      </c>
      <c r="J1398" s="2" t="s">
        <v>1413</v>
      </c>
      <c r="K1398" s="2"/>
      <c r="L1398" s="2"/>
      <c r="M1398" s="2" t="s">
        <v>77</v>
      </c>
      <c r="N1398" s="2" t="s">
        <v>78</v>
      </c>
      <c r="O1398" s="2"/>
      <c r="P1398" s="2"/>
      <c r="Q1398" s="2"/>
      <c r="R1398" s="2"/>
      <c r="S1398" s="2"/>
      <c r="T1398" s="2" t="s">
        <v>24379</v>
      </c>
      <c r="U1398" s="2" t="s">
        <v>24380</v>
      </c>
      <c r="V1398" s="2" t="s">
        <v>24381</v>
      </c>
      <c r="W1398" s="2" t="s">
        <v>24382</v>
      </c>
      <c r="X1398" s="2" t="s">
        <v>24383</v>
      </c>
      <c r="Y1398" s="2" t="s">
        <v>24384</v>
      </c>
      <c r="Z1398" s="2"/>
      <c r="AA1398" s="2"/>
      <c r="AB1398" s="2"/>
      <c r="AC1398" s="2"/>
      <c r="AD1398" s="2"/>
      <c r="AE1398" s="2"/>
      <c r="AF1398" s="2"/>
      <c r="AG1398" s="2" t="n">
        <v>36</v>
      </c>
      <c r="AH1398" s="2" t="n">
        <v>29</v>
      </c>
      <c r="AI1398" s="2" t="n">
        <v>31</v>
      </c>
      <c r="AJ1398" s="2" t="n">
        <v>5</v>
      </c>
      <c r="AK1398" s="2" t="n">
        <v>8</v>
      </c>
      <c r="AL1398" s="2" t="s">
        <v>549</v>
      </c>
      <c r="AM1398" s="2" t="s">
        <v>384</v>
      </c>
      <c r="AN1398" s="2" t="s">
        <v>550</v>
      </c>
      <c r="AO1398" s="2" t="s">
        <v>1421</v>
      </c>
      <c r="AP1398" s="2"/>
      <c r="AQ1398" s="2"/>
      <c r="AR1398" s="2" t="s">
        <v>1423</v>
      </c>
      <c r="AS1398" s="2" t="s">
        <v>1424</v>
      </c>
      <c r="AT1398" s="2" t="s">
        <v>390</v>
      </c>
      <c r="AU1398" s="2" t="n">
        <v>2003</v>
      </c>
      <c r="AV1398" s="2" t="n">
        <v>93</v>
      </c>
      <c r="AW1398" s="2" t="n">
        <v>1</v>
      </c>
      <c r="AX1398" s="2"/>
      <c r="AY1398" s="2"/>
      <c r="AZ1398" s="2"/>
      <c r="BA1398" s="2"/>
      <c r="BB1398" s="2" t="n">
        <v>91</v>
      </c>
      <c r="BC1398" s="2" t="n">
        <v>97</v>
      </c>
      <c r="BD1398" s="2"/>
      <c r="BE1398" s="2" t="s">
        <v>24385</v>
      </c>
      <c r="BF1398" s="2" t="str">
        <f aca="false">HYPERLINK("http://dx.doi.org/10.1016/S0168-1702(03)00074-1","http://dx.doi.org/10.1016/S0168-1702(03)00074-1")</f>
        <v>http://dx.doi.org/10.1016/S0168-1702(03)00074-1</v>
      </c>
      <c r="BG1398" s="2"/>
      <c r="BH1398" s="2"/>
      <c r="BI1398" s="2" t="n">
        <v>7</v>
      </c>
      <c r="BJ1398" s="2" t="s">
        <v>163</v>
      </c>
      <c r="BK1398" s="2" t="s">
        <v>100</v>
      </c>
      <c r="BL1398" s="2" t="s">
        <v>163</v>
      </c>
      <c r="BM1398" s="2" t="s">
        <v>24386</v>
      </c>
      <c r="BN1398" s="2" t="n">
        <v>12727346</v>
      </c>
      <c r="BO1398" s="2"/>
      <c r="BP1398" s="2"/>
      <c r="BQ1398" s="2"/>
      <c r="BR1398" s="2" t="s">
        <v>104</v>
      </c>
      <c r="BS1398" s="2" t="s">
        <v>24387</v>
      </c>
      <c r="BT1398" s="2" t="str">
        <f aca="false">HYPERLINK("https%3A%2F%2Fwww.webofscience.com%2Fwos%2Fwoscc%2Ffull-record%2FWOS:000182868300010","View Full Record in Web of Science")</f>
        <v>View Full Record in Web of Science</v>
      </c>
    </row>
    <row r="1399" customFormat="false" ht="12.75" hidden="false" customHeight="false" outlineLevel="0" collapsed="false">
      <c r="A1399" s="2" t="s">
        <v>72</v>
      </c>
      <c r="B1399" s="2" t="s">
        <v>24388</v>
      </c>
      <c r="C1399" s="2"/>
      <c r="D1399" s="2"/>
      <c r="E1399" s="2"/>
      <c r="F1399" s="2" t="s">
        <v>24388</v>
      </c>
      <c r="G1399" s="2"/>
      <c r="H1399" s="2"/>
      <c r="I1399" s="2" t="s">
        <v>24389</v>
      </c>
      <c r="J1399" s="2" t="s">
        <v>1413</v>
      </c>
      <c r="K1399" s="2"/>
      <c r="L1399" s="2"/>
      <c r="M1399" s="2" t="s">
        <v>77</v>
      </c>
      <c r="N1399" s="2" t="s">
        <v>78</v>
      </c>
      <c r="O1399" s="2"/>
      <c r="P1399" s="2"/>
      <c r="Q1399" s="2"/>
      <c r="R1399" s="2"/>
      <c r="S1399" s="2"/>
      <c r="T1399" s="2" t="s">
        <v>24390</v>
      </c>
      <c r="U1399" s="2" t="s">
        <v>24391</v>
      </c>
      <c r="V1399" s="2" t="s">
        <v>24392</v>
      </c>
      <c r="W1399" s="2" t="s">
        <v>24382</v>
      </c>
      <c r="X1399" s="2" t="s">
        <v>24383</v>
      </c>
      <c r="Y1399" s="2" t="s">
        <v>24393</v>
      </c>
      <c r="Z1399" s="2" t="s">
        <v>24394</v>
      </c>
      <c r="AA1399" s="2"/>
      <c r="AB1399" s="2"/>
      <c r="AC1399" s="2"/>
      <c r="AD1399" s="2"/>
      <c r="AE1399" s="2"/>
      <c r="AF1399" s="2"/>
      <c r="AG1399" s="2" t="n">
        <v>48</v>
      </c>
      <c r="AH1399" s="2" t="n">
        <v>15</v>
      </c>
      <c r="AI1399" s="2" t="n">
        <v>15</v>
      </c>
      <c r="AJ1399" s="2" t="n">
        <v>5</v>
      </c>
      <c r="AK1399" s="2" t="n">
        <v>7</v>
      </c>
      <c r="AL1399" s="2" t="s">
        <v>549</v>
      </c>
      <c r="AM1399" s="2" t="s">
        <v>384</v>
      </c>
      <c r="AN1399" s="2" t="s">
        <v>550</v>
      </c>
      <c r="AO1399" s="2" t="s">
        <v>1421</v>
      </c>
      <c r="AP1399" s="2" t="s">
        <v>1422</v>
      </c>
      <c r="AQ1399" s="2"/>
      <c r="AR1399" s="2" t="s">
        <v>1423</v>
      </c>
      <c r="AS1399" s="2" t="s">
        <v>1424</v>
      </c>
      <c r="AT1399" s="2" t="s">
        <v>5247</v>
      </c>
      <c r="AU1399" s="2" t="n">
        <v>2004</v>
      </c>
      <c r="AV1399" s="2" t="n">
        <v>105</v>
      </c>
      <c r="AW1399" s="2" t="n">
        <v>1</v>
      </c>
      <c r="AX1399" s="2"/>
      <c r="AY1399" s="2"/>
      <c r="AZ1399" s="2"/>
      <c r="BA1399" s="2"/>
      <c r="BB1399" s="2" t="n">
        <v>59</v>
      </c>
      <c r="BC1399" s="2" t="n">
        <v>66</v>
      </c>
      <c r="BD1399" s="2"/>
      <c r="BE1399" s="2" t="s">
        <v>24395</v>
      </c>
      <c r="BF1399" s="2" t="str">
        <f aca="false">HYPERLINK("http://dx.doi.org/10.1016/j.virusres.2004.04.014","http://dx.doi.org/10.1016/j.virusres.2004.04.014")</f>
        <v>http://dx.doi.org/10.1016/j.virusres.2004.04.014</v>
      </c>
      <c r="BG1399" s="2"/>
      <c r="BH1399" s="2"/>
      <c r="BI1399" s="2" t="n">
        <v>8</v>
      </c>
      <c r="BJ1399" s="2" t="s">
        <v>163</v>
      </c>
      <c r="BK1399" s="2" t="s">
        <v>100</v>
      </c>
      <c r="BL1399" s="2" t="s">
        <v>163</v>
      </c>
      <c r="BM1399" s="2" t="s">
        <v>13537</v>
      </c>
      <c r="BN1399" s="2" t="n">
        <v>15325081</v>
      </c>
      <c r="BO1399" s="2"/>
      <c r="BP1399" s="2"/>
      <c r="BQ1399" s="2"/>
      <c r="BR1399" s="2" t="s">
        <v>104</v>
      </c>
      <c r="BS1399" s="2" t="s">
        <v>24396</v>
      </c>
      <c r="BT1399" s="2" t="str">
        <f aca="false">HYPERLINK("https%3A%2F%2Fwww.webofscience.com%2Fwos%2Fwoscc%2Ffull-record%2FWOS:000223814800006","View Full Record in Web of Science")</f>
        <v>View Full Record in Web of Science</v>
      </c>
    </row>
    <row r="1400" customFormat="false" ht="12.75" hidden="false" customHeight="false" outlineLevel="0" collapsed="false">
      <c r="A1400" s="2" t="s">
        <v>72</v>
      </c>
      <c r="B1400" s="2" t="s">
        <v>24397</v>
      </c>
      <c r="C1400" s="2"/>
      <c r="D1400" s="2"/>
      <c r="E1400" s="2"/>
      <c r="F1400" s="2" t="s">
        <v>24398</v>
      </c>
      <c r="G1400" s="2"/>
      <c r="H1400" s="2"/>
      <c r="I1400" s="2" t="s">
        <v>24399</v>
      </c>
      <c r="J1400" s="2" t="s">
        <v>24400</v>
      </c>
      <c r="K1400" s="2"/>
      <c r="L1400" s="2"/>
      <c r="M1400" s="2" t="s">
        <v>77</v>
      </c>
      <c r="N1400" s="2" t="s">
        <v>78</v>
      </c>
      <c r="O1400" s="2"/>
      <c r="P1400" s="2"/>
      <c r="Q1400" s="2"/>
      <c r="R1400" s="2"/>
      <c r="S1400" s="2"/>
      <c r="T1400" s="2" t="s">
        <v>24401</v>
      </c>
      <c r="U1400" s="2" t="s">
        <v>24402</v>
      </c>
      <c r="V1400" s="2" t="s">
        <v>24403</v>
      </c>
      <c r="W1400" s="2" t="s">
        <v>24404</v>
      </c>
      <c r="X1400" s="2" t="s">
        <v>24405</v>
      </c>
      <c r="Y1400" s="2" t="s">
        <v>24406</v>
      </c>
      <c r="Z1400" s="2"/>
      <c r="AA1400" s="2" t="s">
        <v>24407</v>
      </c>
      <c r="AB1400" s="2" t="s">
        <v>24408</v>
      </c>
      <c r="AC1400" s="2" t="s">
        <v>24409</v>
      </c>
      <c r="AD1400" s="2" t="s">
        <v>24410</v>
      </c>
      <c r="AE1400" s="2" t="s">
        <v>24411</v>
      </c>
      <c r="AF1400" s="2"/>
      <c r="AG1400" s="2" t="n">
        <v>213</v>
      </c>
      <c r="AH1400" s="2" t="n">
        <v>0</v>
      </c>
      <c r="AI1400" s="2" t="n">
        <v>0</v>
      </c>
      <c r="AJ1400" s="2" t="n">
        <v>1</v>
      </c>
      <c r="AK1400" s="2" t="n">
        <v>14</v>
      </c>
      <c r="AL1400" s="2" t="s">
        <v>24412</v>
      </c>
      <c r="AM1400" s="2" t="s">
        <v>24413</v>
      </c>
      <c r="AN1400" s="2" t="s">
        <v>24414</v>
      </c>
      <c r="AO1400" s="2" t="s">
        <v>24415</v>
      </c>
      <c r="AP1400" s="2" t="s">
        <v>24416</v>
      </c>
      <c r="AQ1400" s="2"/>
      <c r="AR1400" s="2" t="s">
        <v>24417</v>
      </c>
      <c r="AS1400" s="2" t="s">
        <v>24418</v>
      </c>
      <c r="AT1400" s="2"/>
      <c r="AU1400" s="2" t="n">
        <v>2022</v>
      </c>
      <c r="AV1400" s="2" t="n">
        <v>66</v>
      </c>
      <c r="AW1400" s="2" t="n">
        <v>1</v>
      </c>
      <c r="AX1400" s="2"/>
      <c r="AY1400" s="2"/>
      <c r="AZ1400" s="2"/>
      <c r="BA1400" s="2"/>
      <c r="BB1400" s="2" t="n">
        <v>130</v>
      </c>
      <c r="BC1400" s="2" t="n">
        <v>153</v>
      </c>
      <c r="BD1400" s="2"/>
      <c r="BE1400" s="2" t="s">
        <v>24419</v>
      </c>
      <c r="BF1400" s="2" t="str">
        <f aca="false">HYPERLINK("http://dx.doi.org/10.29356/jmcs.v66i1.1657","http://dx.doi.org/10.29356/jmcs.v66i1.1657")</f>
        <v>http://dx.doi.org/10.29356/jmcs.v66i1.1657</v>
      </c>
      <c r="BG1400" s="2"/>
      <c r="BH1400" s="2"/>
      <c r="BI1400" s="2" t="n">
        <v>24</v>
      </c>
      <c r="BJ1400" s="2" t="s">
        <v>7715</v>
      </c>
      <c r="BK1400" s="2" t="s">
        <v>100</v>
      </c>
      <c r="BL1400" s="2" t="s">
        <v>7717</v>
      </c>
      <c r="BM1400" s="2" t="s">
        <v>24420</v>
      </c>
      <c r="BN1400" s="2"/>
      <c r="BO1400" s="2" t="s">
        <v>1355</v>
      </c>
      <c r="BP1400" s="2"/>
      <c r="BQ1400" s="2"/>
      <c r="BR1400" s="2" t="s">
        <v>104</v>
      </c>
      <c r="BS1400" s="2" t="s">
        <v>24421</v>
      </c>
      <c r="BT1400" s="2" t="str">
        <f aca="false">HYPERLINK("https%3A%2F%2Fwww.webofscience.com%2Fwos%2Fwoscc%2Ffull-record%2FWOS:000740028200010","View Full Record in Web of Science")</f>
        <v>View Full Record in Web of Science</v>
      </c>
    </row>
    <row r="1401" customFormat="false" ht="12.75" hidden="false" customHeight="false" outlineLevel="0" collapsed="false">
      <c r="A1401" s="2" t="s">
        <v>72</v>
      </c>
      <c r="B1401" s="2" t="s">
        <v>24422</v>
      </c>
      <c r="C1401" s="2"/>
      <c r="D1401" s="2"/>
      <c r="E1401" s="2"/>
      <c r="F1401" s="2" t="s">
        <v>24423</v>
      </c>
      <c r="G1401" s="2"/>
      <c r="H1401" s="2"/>
      <c r="I1401" s="2" t="s">
        <v>24424</v>
      </c>
      <c r="J1401" s="2" t="s">
        <v>6452</v>
      </c>
      <c r="K1401" s="2"/>
      <c r="L1401" s="2"/>
      <c r="M1401" s="2" t="s">
        <v>77</v>
      </c>
      <c r="N1401" s="2" t="s">
        <v>78</v>
      </c>
      <c r="O1401" s="2"/>
      <c r="P1401" s="2"/>
      <c r="Q1401" s="2"/>
      <c r="R1401" s="2"/>
      <c r="S1401" s="2"/>
      <c r="T1401" s="2" t="s">
        <v>24425</v>
      </c>
      <c r="U1401" s="2" t="s">
        <v>24426</v>
      </c>
      <c r="V1401" s="2" t="s">
        <v>24427</v>
      </c>
      <c r="W1401" s="2" t="s">
        <v>24428</v>
      </c>
      <c r="X1401" s="2" t="s">
        <v>24429</v>
      </c>
      <c r="Y1401" s="2" t="s">
        <v>24430</v>
      </c>
      <c r="Z1401" s="2" t="s">
        <v>17624</v>
      </c>
      <c r="AA1401" s="2" t="s">
        <v>24431</v>
      </c>
      <c r="AB1401" s="2" t="s">
        <v>24432</v>
      </c>
      <c r="AC1401" s="2" t="s">
        <v>24433</v>
      </c>
      <c r="AD1401" s="2" t="s">
        <v>6444</v>
      </c>
      <c r="AE1401" s="2" t="s">
        <v>24434</v>
      </c>
      <c r="AF1401" s="2"/>
      <c r="AG1401" s="2" t="n">
        <v>54</v>
      </c>
      <c r="AH1401" s="2" t="n">
        <v>31</v>
      </c>
      <c r="AI1401" s="2" t="n">
        <v>31</v>
      </c>
      <c r="AJ1401" s="2" t="n">
        <v>1</v>
      </c>
      <c r="AK1401" s="2" t="n">
        <v>12</v>
      </c>
      <c r="AL1401" s="2" t="s">
        <v>6465</v>
      </c>
      <c r="AM1401" s="2" t="s">
        <v>6466</v>
      </c>
      <c r="AN1401" s="2" t="s">
        <v>6467</v>
      </c>
      <c r="AO1401" s="2" t="s">
        <v>6468</v>
      </c>
      <c r="AP1401" s="2" t="s">
        <v>6469</v>
      </c>
      <c r="AQ1401" s="2"/>
      <c r="AR1401" s="2" t="s">
        <v>6470</v>
      </c>
      <c r="AS1401" s="2" t="s">
        <v>6471</v>
      </c>
      <c r="AT1401" s="2" t="s">
        <v>925</v>
      </c>
      <c r="AU1401" s="2" t="n">
        <v>2010</v>
      </c>
      <c r="AV1401" s="2" t="n">
        <v>52</v>
      </c>
      <c r="AW1401" s="2" t="n">
        <v>1</v>
      </c>
      <c r="AX1401" s="2"/>
      <c r="AY1401" s="2"/>
      <c r="AZ1401" s="2"/>
      <c r="BA1401" s="2"/>
      <c r="BB1401" s="2" t="n">
        <v>3</v>
      </c>
      <c r="BC1401" s="2" t="n">
        <v>10</v>
      </c>
      <c r="BD1401" s="2"/>
      <c r="BE1401" s="2" t="s">
        <v>24435</v>
      </c>
      <c r="BF1401" s="2" t="str">
        <f aca="false">HYPERLINK("http://dx.doi.org/10.1590/S0036-46652010000100002","http://dx.doi.org/10.1590/S0036-46652010000100002")</f>
        <v>http://dx.doi.org/10.1590/S0036-46652010000100002</v>
      </c>
      <c r="BG1401" s="2"/>
      <c r="BH1401" s="2"/>
      <c r="BI1401" s="2" t="n">
        <v>8</v>
      </c>
      <c r="BJ1401" s="2" t="s">
        <v>6473</v>
      </c>
      <c r="BK1401" s="2" t="s">
        <v>100</v>
      </c>
      <c r="BL1401" s="2" t="s">
        <v>6473</v>
      </c>
      <c r="BM1401" s="2" t="s">
        <v>24436</v>
      </c>
      <c r="BN1401" s="2" t="n">
        <v>20305948</v>
      </c>
      <c r="BO1401" s="2" t="s">
        <v>5702</v>
      </c>
      <c r="BP1401" s="2"/>
      <c r="BQ1401" s="2"/>
      <c r="BR1401" s="2" t="s">
        <v>104</v>
      </c>
      <c r="BS1401" s="2" t="s">
        <v>24437</v>
      </c>
      <c r="BT1401" s="2" t="str">
        <f aca="false">HYPERLINK("https%3A%2F%2Fwww.webofscience.com%2Fwos%2Fwoscc%2Ffull-record%2FWOS:000275610500001","View Full Record in Web of Science")</f>
        <v>View Full Record in Web of Science</v>
      </c>
    </row>
    <row r="1402" customFormat="false" ht="12.75" hidden="false" customHeight="false" outlineLevel="0" collapsed="false">
      <c r="A1402" s="2" t="s">
        <v>72</v>
      </c>
      <c r="B1402" s="2" t="s">
        <v>24438</v>
      </c>
      <c r="C1402" s="2"/>
      <c r="D1402" s="2"/>
      <c r="E1402" s="2"/>
      <c r="F1402" s="2" t="s">
        <v>24439</v>
      </c>
      <c r="G1402" s="2"/>
      <c r="H1402" s="2"/>
      <c r="I1402" s="2" t="s">
        <v>24440</v>
      </c>
      <c r="J1402" s="2" t="s">
        <v>742</v>
      </c>
      <c r="K1402" s="2"/>
      <c r="L1402" s="2"/>
      <c r="M1402" s="2" t="s">
        <v>77</v>
      </c>
      <c r="N1402" s="2" t="s">
        <v>78</v>
      </c>
      <c r="O1402" s="2"/>
      <c r="P1402" s="2"/>
      <c r="Q1402" s="2"/>
      <c r="R1402" s="2"/>
      <c r="S1402" s="2"/>
      <c r="T1402" s="2" t="s">
        <v>24441</v>
      </c>
      <c r="U1402" s="2" t="s">
        <v>24442</v>
      </c>
      <c r="V1402" s="2" t="s">
        <v>24443</v>
      </c>
      <c r="W1402" s="2" t="s">
        <v>24444</v>
      </c>
      <c r="X1402" s="2" t="s">
        <v>12027</v>
      </c>
      <c r="Y1402" s="2" t="s">
        <v>14891</v>
      </c>
      <c r="Z1402" s="2" t="s">
        <v>14892</v>
      </c>
      <c r="AA1402" s="2"/>
      <c r="AB1402" s="2"/>
      <c r="AC1402" s="2" t="s">
        <v>24445</v>
      </c>
      <c r="AD1402" s="2" t="s">
        <v>24446</v>
      </c>
      <c r="AE1402" s="2" t="s">
        <v>24447</v>
      </c>
      <c r="AF1402" s="2"/>
      <c r="AG1402" s="2" t="n">
        <v>40</v>
      </c>
      <c r="AH1402" s="2" t="n">
        <v>7</v>
      </c>
      <c r="AI1402" s="2" t="n">
        <v>7</v>
      </c>
      <c r="AJ1402" s="2" t="n">
        <v>0</v>
      </c>
      <c r="AK1402" s="2" t="n">
        <v>10</v>
      </c>
      <c r="AL1402" s="2" t="s">
        <v>755</v>
      </c>
      <c r="AM1402" s="2" t="s">
        <v>273</v>
      </c>
      <c r="AN1402" s="2" t="s">
        <v>756</v>
      </c>
      <c r="AO1402" s="2" t="s">
        <v>757</v>
      </c>
      <c r="AP1402" s="2" t="s">
        <v>758</v>
      </c>
      <c r="AQ1402" s="2"/>
      <c r="AR1402" s="2" t="s">
        <v>759</v>
      </c>
      <c r="AS1402" s="2" t="s">
        <v>760</v>
      </c>
      <c r="AT1402" s="2" t="s">
        <v>129</v>
      </c>
      <c r="AU1402" s="2" t="n">
        <v>2019</v>
      </c>
      <c r="AV1402" s="2" t="n">
        <v>93</v>
      </c>
      <c r="AW1402" s="2" t="n">
        <v>17</v>
      </c>
      <c r="AX1402" s="2"/>
      <c r="AY1402" s="2"/>
      <c r="AZ1402" s="2"/>
      <c r="BA1402" s="2"/>
      <c r="BB1402" s="2"/>
      <c r="BC1402" s="2"/>
      <c r="BD1402" s="2" t="s">
        <v>24448</v>
      </c>
      <c r="BE1402" s="2" t="s">
        <v>24449</v>
      </c>
      <c r="BF1402" s="2" t="str">
        <f aca="false">HYPERLINK("http://dx.doi.org/10.1128/JVI.00863-19","http://dx.doi.org/10.1128/JVI.00863-19")</f>
        <v>http://dx.doi.org/10.1128/JVI.00863-19</v>
      </c>
      <c r="BG1402" s="2"/>
      <c r="BH1402" s="2"/>
      <c r="BI1402" s="2" t="n">
        <v>15</v>
      </c>
      <c r="BJ1402" s="2" t="s">
        <v>163</v>
      </c>
      <c r="BK1402" s="2" t="s">
        <v>100</v>
      </c>
      <c r="BL1402" s="2" t="s">
        <v>163</v>
      </c>
      <c r="BM1402" s="2" t="s">
        <v>24450</v>
      </c>
      <c r="BN1402" s="2" t="n">
        <v>31217248</v>
      </c>
      <c r="BO1402" s="2" t="s">
        <v>538</v>
      </c>
      <c r="BP1402" s="2"/>
      <c r="BQ1402" s="2"/>
      <c r="BR1402" s="2" t="s">
        <v>104</v>
      </c>
      <c r="BS1402" s="2" t="s">
        <v>24451</v>
      </c>
      <c r="BT1402" s="2" t="str">
        <f aca="false">HYPERLINK("https%3A%2F%2Fwww.webofscience.com%2Fwos%2Fwoscc%2Ffull-record%2FWOS:000480712100022","View Full Record in Web of Science")</f>
        <v>View Full Record in Web of Science</v>
      </c>
    </row>
    <row r="1403" customFormat="false" ht="12.75" hidden="false" customHeight="false" outlineLevel="0" collapsed="false">
      <c r="A1403" s="2" t="s">
        <v>72</v>
      </c>
      <c r="B1403" s="2" t="s">
        <v>24452</v>
      </c>
      <c r="C1403" s="2"/>
      <c r="D1403" s="2"/>
      <c r="E1403" s="2"/>
      <c r="F1403" s="2" t="s">
        <v>24453</v>
      </c>
      <c r="G1403" s="2"/>
      <c r="H1403" s="2"/>
      <c r="I1403" s="2" t="s">
        <v>24454</v>
      </c>
      <c r="J1403" s="2" t="s">
        <v>24455</v>
      </c>
      <c r="K1403" s="2"/>
      <c r="L1403" s="2"/>
      <c r="M1403" s="2" t="s">
        <v>77</v>
      </c>
      <c r="N1403" s="2" t="s">
        <v>78</v>
      </c>
      <c r="O1403" s="2"/>
      <c r="P1403" s="2"/>
      <c r="Q1403" s="2"/>
      <c r="R1403" s="2"/>
      <c r="S1403" s="2"/>
      <c r="T1403" s="2" t="s">
        <v>24456</v>
      </c>
      <c r="U1403" s="2"/>
      <c r="V1403" s="2" t="s">
        <v>24457</v>
      </c>
      <c r="W1403" s="2" t="s">
        <v>24458</v>
      </c>
      <c r="X1403" s="2" t="s">
        <v>24459</v>
      </c>
      <c r="Y1403" s="2" t="s">
        <v>24460</v>
      </c>
      <c r="Z1403" s="2" t="s">
        <v>24461</v>
      </c>
      <c r="AA1403" s="2"/>
      <c r="AB1403" s="2"/>
      <c r="AC1403" s="2"/>
      <c r="AD1403" s="2"/>
      <c r="AE1403" s="2"/>
      <c r="AF1403" s="2"/>
      <c r="AG1403" s="2" t="n">
        <v>15</v>
      </c>
      <c r="AH1403" s="2" t="n">
        <v>0</v>
      </c>
      <c r="AI1403" s="2" t="n">
        <v>0</v>
      </c>
      <c r="AJ1403" s="2" t="n">
        <v>0</v>
      </c>
      <c r="AK1403" s="2" t="n">
        <v>3</v>
      </c>
      <c r="AL1403" s="2" t="s">
        <v>24462</v>
      </c>
      <c r="AM1403" s="2" t="s">
        <v>24463</v>
      </c>
      <c r="AN1403" s="2" t="s">
        <v>24464</v>
      </c>
      <c r="AO1403" s="2" t="s">
        <v>24465</v>
      </c>
      <c r="AP1403" s="2" t="s">
        <v>24466</v>
      </c>
      <c r="AQ1403" s="2"/>
      <c r="AR1403" s="2" t="s">
        <v>24467</v>
      </c>
      <c r="AS1403" s="2" t="s">
        <v>24468</v>
      </c>
      <c r="AT1403" s="2" t="s">
        <v>390</v>
      </c>
      <c r="AU1403" s="2" t="n">
        <v>2023</v>
      </c>
      <c r="AV1403" s="2" t="n">
        <v>66</v>
      </c>
      <c r="AW1403" s="2" t="n">
        <v>2</v>
      </c>
      <c r="AX1403" s="2"/>
      <c r="AY1403" s="2"/>
      <c r="AZ1403" s="2"/>
      <c r="BA1403" s="2"/>
      <c r="BB1403" s="2" t="n">
        <v>223</v>
      </c>
      <c r="BC1403" s="2" t="n">
        <v>231</v>
      </c>
      <c r="BD1403" s="2"/>
      <c r="BE1403" s="2" t="s">
        <v>24469</v>
      </c>
      <c r="BF1403" s="2" t="str">
        <f aca="false">HYPERLINK("http://dx.doi.org/10.33160/yam.2023.05.007","http://dx.doi.org/10.33160/yam.2023.05.007")</f>
        <v>http://dx.doi.org/10.33160/yam.2023.05.007</v>
      </c>
      <c r="BG1403" s="2"/>
      <c r="BH1403" s="2"/>
      <c r="BI1403" s="2" t="n">
        <v>9</v>
      </c>
      <c r="BJ1403" s="2" t="s">
        <v>5761</v>
      </c>
      <c r="BK1403" s="2" t="s">
        <v>100</v>
      </c>
      <c r="BL1403" s="2" t="s">
        <v>5762</v>
      </c>
      <c r="BM1403" s="2" t="s">
        <v>24470</v>
      </c>
      <c r="BN1403" s="2" t="n">
        <v>37229367</v>
      </c>
      <c r="BO1403" s="2" t="s">
        <v>190</v>
      </c>
      <c r="BP1403" s="2"/>
      <c r="BQ1403" s="2"/>
      <c r="BR1403" s="2" t="s">
        <v>104</v>
      </c>
      <c r="BS1403" s="2" t="s">
        <v>24471</v>
      </c>
      <c r="BT1403" s="2" t="str">
        <f aca="false">HYPERLINK("https%3A%2F%2Fwww.webofscience.com%2Fwos%2Fwoscc%2Ffull-record%2FWOS:001092594700005","View Full Record in Web of Science")</f>
        <v>View Full Record in Web of Science</v>
      </c>
    </row>
    <row r="1404" customFormat="false" ht="12.75" hidden="false" customHeight="false" outlineLevel="0" collapsed="false">
      <c r="A1404" s="2" t="s">
        <v>72</v>
      </c>
      <c r="B1404" s="2" t="s">
        <v>24472</v>
      </c>
      <c r="C1404" s="2"/>
      <c r="D1404" s="2"/>
      <c r="E1404" s="2"/>
      <c r="F1404" s="2" t="s">
        <v>24473</v>
      </c>
      <c r="G1404" s="2"/>
      <c r="H1404" s="2"/>
      <c r="I1404" s="2" t="s">
        <v>24474</v>
      </c>
      <c r="J1404" s="2" t="s">
        <v>8394</v>
      </c>
      <c r="K1404" s="2"/>
      <c r="L1404" s="2"/>
      <c r="M1404" s="2" t="s">
        <v>77</v>
      </c>
      <c r="N1404" s="2" t="s">
        <v>78</v>
      </c>
      <c r="O1404" s="2"/>
      <c r="P1404" s="2"/>
      <c r="Q1404" s="2"/>
      <c r="R1404" s="2"/>
      <c r="S1404" s="2"/>
      <c r="T1404" s="2" t="s">
        <v>24475</v>
      </c>
      <c r="U1404" s="2" t="s">
        <v>24476</v>
      </c>
      <c r="V1404" s="2" t="s">
        <v>24477</v>
      </c>
      <c r="W1404" s="2" t="s">
        <v>24478</v>
      </c>
      <c r="X1404" s="2" t="s">
        <v>24479</v>
      </c>
      <c r="Y1404" s="2" t="s">
        <v>24480</v>
      </c>
      <c r="Z1404" s="2" t="s">
        <v>24481</v>
      </c>
      <c r="AA1404" s="2" t="s">
        <v>24482</v>
      </c>
      <c r="AB1404" s="2" t="s">
        <v>24483</v>
      </c>
      <c r="AC1404" s="2" t="s">
        <v>24484</v>
      </c>
      <c r="AD1404" s="2" t="s">
        <v>24485</v>
      </c>
      <c r="AE1404" s="2" t="s">
        <v>24486</v>
      </c>
      <c r="AF1404" s="2"/>
      <c r="AG1404" s="2" t="n">
        <v>12</v>
      </c>
      <c r="AH1404" s="2" t="n">
        <v>0</v>
      </c>
      <c r="AI1404" s="2" t="n">
        <v>0</v>
      </c>
      <c r="AJ1404" s="2" t="n">
        <v>0</v>
      </c>
      <c r="AK1404" s="2" t="n">
        <v>0</v>
      </c>
      <c r="AL1404" s="2" t="s">
        <v>7639</v>
      </c>
      <c r="AM1404" s="2" t="s">
        <v>783</v>
      </c>
      <c r="AN1404" s="2" t="s">
        <v>7640</v>
      </c>
      <c r="AO1404" s="2" t="s">
        <v>8402</v>
      </c>
      <c r="AP1404" s="2" t="s">
        <v>8403</v>
      </c>
      <c r="AQ1404" s="2"/>
      <c r="AR1404" s="2" t="s">
        <v>8404</v>
      </c>
      <c r="AS1404" s="2" t="s">
        <v>8405</v>
      </c>
      <c r="AT1404" s="2" t="s">
        <v>24487</v>
      </c>
      <c r="AU1404" s="2" t="n">
        <v>2022</v>
      </c>
      <c r="AV1404" s="2" t="n">
        <v>11</v>
      </c>
      <c r="AW1404" s="2" t="n">
        <v>7</v>
      </c>
      <c r="AX1404" s="2"/>
      <c r="AY1404" s="2"/>
      <c r="AZ1404" s="2"/>
      <c r="BA1404" s="2"/>
      <c r="BB1404" s="2" t="n">
        <v>341</v>
      </c>
      <c r="BC1404" s="2" t="n">
        <v>344</v>
      </c>
      <c r="BD1404" s="2"/>
      <c r="BE1404" s="2" t="s">
        <v>24488</v>
      </c>
      <c r="BF1404" s="2" t="str">
        <f aca="false">HYPERLINK("http://dx.doi.org/10.1093/jpids/piac018","http://dx.doi.org/10.1093/jpids/piac018")</f>
        <v>http://dx.doi.org/10.1093/jpids/piac018</v>
      </c>
      <c r="BG1404" s="2"/>
      <c r="BH1404" s="2" t="s">
        <v>4060</v>
      </c>
      <c r="BI1404" s="2" t="n">
        <v>4</v>
      </c>
      <c r="BJ1404" s="2" t="s">
        <v>417</v>
      </c>
      <c r="BK1404" s="2" t="s">
        <v>100</v>
      </c>
      <c r="BL1404" s="2" t="s">
        <v>417</v>
      </c>
      <c r="BM1404" s="2" t="s">
        <v>24489</v>
      </c>
      <c r="BN1404" s="2" t="n">
        <v>35390156</v>
      </c>
      <c r="BO1404" s="2"/>
      <c r="BP1404" s="2"/>
      <c r="BQ1404" s="2"/>
      <c r="BR1404" s="2" t="s">
        <v>104</v>
      </c>
      <c r="BS1404" s="2" t="s">
        <v>24490</v>
      </c>
      <c r="BT1404" s="2" t="str">
        <f aca="false">HYPERLINK("https%3A%2F%2Fwww.webofscience.com%2Fwos%2Fwoscc%2Ffull-record%2FWOS:000785706900001","View Full Record in Web of Science")</f>
        <v>View Full Record in Web of Science</v>
      </c>
    </row>
    <row r="1405" customFormat="false" ht="12.75" hidden="false" customHeight="false" outlineLevel="0" collapsed="false">
      <c r="A1405" s="2" t="s">
        <v>72</v>
      </c>
      <c r="B1405" s="2" t="s">
        <v>24491</v>
      </c>
      <c r="C1405" s="2"/>
      <c r="D1405" s="2"/>
      <c r="E1405" s="2"/>
      <c r="F1405" s="2" t="s">
        <v>24492</v>
      </c>
      <c r="G1405" s="2"/>
      <c r="H1405" s="2"/>
      <c r="I1405" s="2" t="s">
        <v>24493</v>
      </c>
      <c r="J1405" s="2" t="s">
        <v>3545</v>
      </c>
      <c r="K1405" s="2"/>
      <c r="L1405" s="2"/>
      <c r="M1405" s="2" t="s">
        <v>77</v>
      </c>
      <c r="N1405" s="2" t="s">
        <v>78</v>
      </c>
      <c r="O1405" s="2"/>
      <c r="P1405" s="2"/>
      <c r="Q1405" s="2"/>
      <c r="R1405" s="2"/>
      <c r="S1405" s="2"/>
      <c r="T1405" s="2" t="s">
        <v>24494</v>
      </c>
      <c r="U1405" s="2" t="s">
        <v>24495</v>
      </c>
      <c r="V1405" s="2" t="s">
        <v>24496</v>
      </c>
      <c r="W1405" s="2" t="s">
        <v>24497</v>
      </c>
      <c r="X1405" s="2" t="s">
        <v>24498</v>
      </c>
      <c r="Y1405" s="2" t="s">
        <v>24499</v>
      </c>
      <c r="Z1405" s="2" t="s">
        <v>24500</v>
      </c>
      <c r="AA1405" s="2"/>
      <c r="AB1405" s="2" t="s">
        <v>24501</v>
      </c>
      <c r="AC1405" s="2" t="s">
        <v>24502</v>
      </c>
      <c r="AD1405" s="2" t="s">
        <v>24503</v>
      </c>
      <c r="AE1405" s="2" t="s">
        <v>24504</v>
      </c>
      <c r="AF1405" s="2"/>
      <c r="AG1405" s="2" t="n">
        <v>19</v>
      </c>
      <c r="AH1405" s="2" t="n">
        <v>3</v>
      </c>
      <c r="AI1405" s="2" t="n">
        <v>3</v>
      </c>
      <c r="AJ1405" s="2" t="n">
        <v>0</v>
      </c>
      <c r="AK1405" s="2" t="n">
        <v>3</v>
      </c>
      <c r="AL1405" s="2" t="s">
        <v>3557</v>
      </c>
      <c r="AM1405" s="2" t="s">
        <v>330</v>
      </c>
      <c r="AN1405" s="2" t="s">
        <v>9451</v>
      </c>
      <c r="AO1405" s="2" t="s">
        <v>3559</v>
      </c>
      <c r="AP1405" s="2" t="s">
        <v>3560</v>
      </c>
      <c r="AQ1405" s="2"/>
      <c r="AR1405" s="2" t="s">
        <v>3561</v>
      </c>
      <c r="AS1405" s="2" t="s">
        <v>3562</v>
      </c>
      <c r="AT1405" s="2" t="s">
        <v>129</v>
      </c>
      <c r="AU1405" s="2" t="n">
        <v>2014</v>
      </c>
      <c r="AV1405" s="2" t="n">
        <v>29</v>
      </c>
      <c r="AW1405" s="2" t="n">
        <v>9</v>
      </c>
      <c r="AX1405" s="2"/>
      <c r="AY1405" s="2"/>
      <c r="AZ1405" s="2"/>
      <c r="BA1405" s="2"/>
      <c r="BB1405" s="2" t="n">
        <v>1325</v>
      </c>
      <c r="BC1405" s="2" t="n">
        <v>1327</v>
      </c>
      <c r="BD1405" s="2"/>
      <c r="BE1405" s="2" t="s">
        <v>24505</v>
      </c>
      <c r="BF1405" s="2" t="str">
        <f aca="false">HYPERLINK("http://dx.doi.org/10.3346/jkms.2014.29.9.1325","http://dx.doi.org/10.3346/jkms.2014.29.9.1325")</f>
        <v>http://dx.doi.org/10.3346/jkms.2014.29.9.1325</v>
      </c>
      <c r="BG1405" s="2"/>
      <c r="BH1405" s="2"/>
      <c r="BI1405" s="2" t="n">
        <v>3</v>
      </c>
      <c r="BJ1405" s="2" t="s">
        <v>363</v>
      </c>
      <c r="BK1405" s="2" t="s">
        <v>100</v>
      </c>
      <c r="BL1405" s="2" t="s">
        <v>364</v>
      </c>
      <c r="BM1405" s="2" t="s">
        <v>24506</v>
      </c>
      <c r="BN1405" s="2" t="n">
        <v>25246755</v>
      </c>
      <c r="BO1405" s="2" t="s">
        <v>24507</v>
      </c>
      <c r="BP1405" s="2"/>
      <c r="BQ1405" s="2"/>
      <c r="BR1405" s="2" t="s">
        <v>104</v>
      </c>
      <c r="BS1405" s="2" t="s">
        <v>24508</v>
      </c>
      <c r="BT1405" s="2" t="str">
        <f aca="false">HYPERLINK("https%3A%2F%2Fwww.webofscience.com%2Fwos%2Fwoscc%2Ffull-record%2FWOS:000344321800023","View Full Record in Web of Science")</f>
        <v>View Full Record in Web of Science</v>
      </c>
    </row>
    <row r="1406" customFormat="false" ht="12.75" hidden="false" customHeight="false" outlineLevel="0" collapsed="false">
      <c r="A1406" s="2" t="s">
        <v>72</v>
      </c>
      <c r="B1406" s="2" t="s">
        <v>24509</v>
      </c>
      <c r="C1406" s="2"/>
      <c r="D1406" s="2"/>
      <c r="E1406" s="2"/>
      <c r="F1406" s="2" t="s">
        <v>24510</v>
      </c>
      <c r="G1406" s="2"/>
      <c r="H1406" s="2"/>
      <c r="I1406" s="2" t="s">
        <v>24511</v>
      </c>
      <c r="J1406" s="2" t="s">
        <v>141</v>
      </c>
      <c r="K1406" s="2"/>
      <c r="L1406" s="2"/>
      <c r="M1406" s="2" t="s">
        <v>77</v>
      </c>
      <c r="N1406" s="2" t="s">
        <v>78</v>
      </c>
      <c r="O1406" s="2"/>
      <c r="P1406" s="2"/>
      <c r="Q1406" s="2"/>
      <c r="R1406" s="2"/>
      <c r="S1406" s="2"/>
      <c r="T1406" s="2" t="s">
        <v>24512</v>
      </c>
      <c r="U1406" s="2" t="s">
        <v>24513</v>
      </c>
      <c r="V1406" s="2" t="s">
        <v>24514</v>
      </c>
      <c r="W1406" s="2" t="s">
        <v>24515</v>
      </c>
      <c r="X1406" s="2" t="s">
        <v>24516</v>
      </c>
      <c r="Y1406" s="2" t="s">
        <v>24517</v>
      </c>
      <c r="Z1406" s="2" t="s">
        <v>24518</v>
      </c>
      <c r="AA1406" s="2" t="s">
        <v>24519</v>
      </c>
      <c r="AB1406" s="2" t="s">
        <v>24520</v>
      </c>
      <c r="AC1406" s="2" t="s">
        <v>24521</v>
      </c>
      <c r="AD1406" s="2" t="s">
        <v>24522</v>
      </c>
      <c r="AE1406" s="2" t="s">
        <v>24523</v>
      </c>
      <c r="AF1406" s="2"/>
      <c r="AG1406" s="2" t="n">
        <v>39</v>
      </c>
      <c r="AH1406" s="2" t="n">
        <v>4</v>
      </c>
      <c r="AI1406" s="2" t="n">
        <v>4</v>
      </c>
      <c r="AJ1406" s="2" t="n">
        <v>1</v>
      </c>
      <c r="AK1406" s="2" t="n">
        <v>1</v>
      </c>
      <c r="AL1406" s="2" t="s">
        <v>154</v>
      </c>
      <c r="AM1406" s="2" t="s">
        <v>155</v>
      </c>
      <c r="AN1406" s="2" t="s">
        <v>156</v>
      </c>
      <c r="AO1406" s="2" t="s">
        <v>157</v>
      </c>
      <c r="AP1406" s="2" t="s">
        <v>158</v>
      </c>
      <c r="AQ1406" s="2"/>
      <c r="AR1406" s="2" t="s">
        <v>159</v>
      </c>
      <c r="AS1406" s="2" t="s">
        <v>160</v>
      </c>
      <c r="AT1406" s="2" t="s">
        <v>486</v>
      </c>
      <c r="AU1406" s="2" t="n">
        <v>2021</v>
      </c>
      <c r="AV1406" s="2" t="n">
        <v>93</v>
      </c>
      <c r="AW1406" s="2" t="n">
        <v>6</v>
      </c>
      <c r="AX1406" s="2"/>
      <c r="AY1406" s="2"/>
      <c r="AZ1406" s="2"/>
      <c r="BA1406" s="2"/>
      <c r="BB1406" s="2" t="n">
        <v>3439</v>
      </c>
      <c r="BC1406" s="2" t="n">
        <v>3445</v>
      </c>
      <c r="BD1406" s="2"/>
      <c r="BE1406" s="2" t="s">
        <v>24524</v>
      </c>
      <c r="BF1406" s="2" t="str">
        <f aca="false">HYPERLINK("http://dx.doi.org/10.1002/jmv.26736","http://dx.doi.org/10.1002/jmv.26736")</f>
        <v>http://dx.doi.org/10.1002/jmv.26736</v>
      </c>
      <c r="BG1406" s="2"/>
      <c r="BH1406" s="2" t="s">
        <v>8448</v>
      </c>
      <c r="BI1406" s="2" t="n">
        <v>7</v>
      </c>
      <c r="BJ1406" s="2" t="s">
        <v>163</v>
      </c>
      <c r="BK1406" s="2" t="s">
        <v>100</v>
      </c>
      <c r="BL1406" s="2" t="s">
        <v>163</v>
      </c>
      <c r="BM1406" s="2" t="s">
        <v>18147</v>
      </c>
      <c r="BN1406" s="2" t="n">
        <v>33325064</v>
      </c>
      <c r="BO1406" s="2" t="s">
        <v>695</v>
      </c>
      <c r="BP1406" s="2"/>
      <c r="BQ1406" s="2"/>
      <c r="BR1406" s="2" t="s">
        <v>104</v>
      </c>
      <c r="BS1406" s="2" t="s">
        <v>24525</v>
      </c>
      <c r="BT1406" s="2" t="str">
        <f aca="false">HYPERLINK("https%3A%2F%2Fwww.webofscience.com%2Fwos%2Fwoscc%2Ffull-record%2FWOS:000603134100001","View Full Record in Web of Science")</f>
        <v>View Full Record in Web of Science</v>
      </c>
    </row>
    <row r="1407" customFormat="false" ht="15.65" hidden="false" customHeight="false" outlineLevel="0" collapsed="false">
      <c r="A1407" s="2" t="s">
        <v>72</v>
      </c>
      <c r="B1407" s="2" t="s">
        <v>24526</v>
      </c>
      <c r="C1407" s="2"/>
      <c r="D1407" s="2"/>
      <c r="E1407" s="2"/>
      <c r="F1407" s="2" t="s">
        <v>24527</v>
      </c>
      <c r="G1407" s="2"/>
      <c r="H1407" s="2"/>
      <c r="I1407" s="2" t="s">
        <v>24528</v>
      </c>
      <c r="J1407" s="2" t="s">
        <v>24209</v>
      </c>
      <c r="K1407" s="2"/>
      <c r="L1407" s="2"/>
      <c r="M1407" s="2" t="s">
        <v>77</v>
      </c>
      <c r="N1407" s="2" t="s">
        <v>78</v>
      </c>
      <c r="O1407" s="2"/>
      <c r="P1407" s="2"/>
      <c r="Q1407" s="2"/>
      <c r="R1407" s="2"/>
      <c r="S1407" s="2"/>
      <c r="T1407" s="2" t="s">
        <v>24529</v>
      </c>
      <c r="U1407" s="2" t="s">
        <v>24530</v>
      </c>
      <c r="V1407" s="2" t="s">
        <v>24531</v>
      </c>
      <c r="W1407" s="2" t="s">
        <v>24532</v>
      </c>
      <c r="X1407" s="2" t="s">
        <v>24533</v>
      </c>
      <c r="Y1407" s="2" t="s">
        <v>24534</v>
      </c>
      <c r="Z1407" s="2" t="s">
        <v>24535</v>
      </c>
      <c r="AA1407" s="2" t="s">
        <v>24536</v>
      </c>
      <c r="AB1407" s="2" t="s">
        <v>24537</v>
      </c>
      <c r="AC1407" s="2" t="s">
        <v>24538</v>
      </c>
      <c r="AD1407" s="2" t="s">
        <v>24539</v>
      </c>
      <c r="AE1407" s="2" t="s">
        <v>24540</v>
      </c>
      <c r="AF1407" s="2"/>
      <c r="AG1407" s="2" t="n">
        <v>37</v>
      </c>
      <c r="AH1407" s="2" t="n">
        <v>0</v>
      </c>
      <c r="AI1407" s="2" t="n">
        <v>0</v>
      </c>
      <c r="AJ1407" s="2" t="n">
        <v>0</v>
      </c>
      <c r="AK1407" s="2" t="n">
        <v>1</v>
      </c>
      <c r="AL1407" s="2" t="s">
        <v>122</v>
      </c>
      <c r="AM1407" s="2" t="s">
        <v>123</v>
      </c>
      <c r="AN1407" s="2" t="s">
        <v>124</v>
      </c>
      <c r="AO1407" s="2" t="s">
        <v>24221</v>
      </c>
      <c r="AP1407" s="2" t="s">
        <v>24222</v>
      </c>
      <c r="AQ1407" s="2"/>
      <c r="AR1407" s="2" t="s">
        <v>24209</v>
      </c>
      <c r="AS1407" s="2" t="s">
        <v>24223</v>
      </c>
      <c r="AT1407" s="2" t="s">
        <v>24541</v>
      </c>
      <c r="AU1407" s="2" t="n">
        <v>2023</v>
      </c>
      <c r="AV1407" s="2" t="n">
        <v>102</v>
      </c>
      <c r="AW1407" s="2" t="n">
        <v>42</v>
      </c>
      <c r="AX1407" s="2"/>
      <c r="AY1407" s="2"/>
      <c r="AZ1407" s="2"/>
      <c r="BA1407" s="2"/>
      <c r="BB1407" s="2"/>
      <c r="BC1407" s="2"/>
      <c r="BD1407" s="2" t="s">
        <v>24542</v>
      </c>
      <c r="BE1407" s="2" t="s">
        <v>24543</v>
      </c>
      <c r="BF1407" s="2" t="str">
        <f aca="false">HYPERLINK("http://dx.doi.org/10.1097/MD.0000000000035565","http://dx.doi.org/10.1097/MD.0000000000035565")</f>
        <v>http://dx.doi.org/10.1097/MD.0000000000035565</v>
      </c>
      <c r="BG1407" s="2"/>
      <c r="BH1407" s="2"/>
      <c r="BI1407" s="2" t="n">
        <v>6</v>
      </c>
      <c r="BJ1407" s="2" t="s">
        <v>363</v>
      </c>
      <c r="BK1407" s="2" t="s">
        <v>100</v>
      </c>
      <c r="BL1407" s="2" t="s">
        <v>364</v>
      </c>
      <c r="BM1407" s="2" t="s">
        <v>24544</v>
      </c>
      <c r="BN1407" s="2" t="n">
        <v>37861549</v>
      </c>
      <c r="BO1407" s="2" t="s">
        <v>190</v>
      </c>
      <c r="BP1407" s="2"/>
      <c r="BQ1407" s="2"/>
      <c r="BR1407" s="2" t="s">
        <v>104</v>
      </c>
      <c r="BS1407" s="2" t="s">
        <v>24545</v>
      </c>
      <c r="BT1407" s="2" t="str">
        <f aca="false">HYPERLINK("https%3A%2F%2Fwww.webofscience.com%2Fwos%2Fwoscc%2Ffull-record%2FWOS:001140501600076","View Full Record in Web of Science")</f>
        <v>View Full Record in Web of Science</v>
      </c>
    </row>
    <row r="1408" customFormat="false" ht="12.75" hidden="false" customHeight="false" outlineLevel="0" collapsed="false">
      <c r="A1408" s="2" t="s">
        <v>72</v>
      </c>
      <c r="B1408" s="2" t="s">
        <v>24546</v>
      </c>
      <c r="C1408" s="2"/>
      <c r="D1408" s="2"/>
      <c r="E1408" s="2"/>
      <c r="F1408" s="2" t="s">
        <v>24547</v>
      </c>
      <c r="G1408" s="2"/>
      <c r="H1408" s="2"/>
      <c r="I1408" s="2" t="s">
        <v>24548</v>
      </c>
      <c r="J1408" s="2" t="s">
        <v>7379</v>
      </c>
      <c r="K1408" s="2"/>
      <c r="L1408" s="2"/>
      <c r="M1408" s="2" t="s">
        <v>77</v>
      </c>
      <c r="N1408" s="2" t="s">
        <v>78</v>
      </c>
      <c r="O1408" s="2"/>
      <c r="P1408" s="2"/>
      <c r="Q1408" s="2"/>
      <c r="R1408" s="2"/>
      <c r="S1408" s="2"/>
      <c r="T1408" s="2" t="s">
        <v>24549</v>
      </c>
      <c r="U1408" s="2" t="s">
        <v>24550</v>
      </c>
      <c r="V1408" s="2" t="s">
        <v>24551</v>
      </c>
      <c r="W1408" s="2" t="s">
        <v>24552</v>
      </c>
      <c r="X1408" s="2" t="s">
        <v>24553</v>
      </c>
      <c r="Y1408" s="2" t="s">
        <v>24554</v>
      </c>
      <c r="Z1408" s="2" t="s">
        <v>24555</v>
      </c>
      <c r="AA1408" s="2" t="s">
        <v>24556</v>
      </c>
      <c r="AB1408" s="2" t="s">
        <v>24557</v>
      </c>
      <c r="AC1408" s="2"/>
      <c r="AD1408" s="2"/>
      <c r="AE1408" s="2"/>
      <c r="AF1408" s="2"/>
      <c r="AG1408" s="2" t="n">
        <v>43</v>
      </c>
      <c r="AH1408" s="2" t="n">
        <v>18</v>
      </c>
      <c r="AI1408" s="2" t="n">
        <v>18</v>
      </c>
      <c r="AJ1408" s="2" t="n">
        <v>0</v>
      </c>
      <c r="AK1408" s="2" t="n">
        <v>2</v>
      </c>
      <c r="AL1408" s="2" t="s">
        <v>154</v>
      </c>
      <c r="AM1408" s="2" t="s">
        <v>155</v>
      </c>
      <c r="AN1408" s="2" t="s">
        <v>156</v>
      </c>
      <c r="AO1408" s="2" t="s">
        <v>7389</v>
      </c>
      <c r="AP1408" s="2" t="s">
        <v>7390</v>
      </c>
      <c r="AQ1408" s="2"/>
      <c r="AR1408" s="2" t="s">
        <v>7391</v>
      </c>
      <c r="AS1408" s="2" t="s">
        <v>7392</v>
      </c>
      <c r="AT1408" s="2" t="s">
        <v>446</v>
      </c>
      <c r="AU1408" s="2" t="n">
        <v>2020</v>
      </c>
      <c r="AV1408" s="2" t="n">
        <v>20</v>
      </c>
      <c r="AW1408" s="2" t="n">
        <v>12</v>
      </c>
      <c r="AX1408" s="2"/>
      <c r="AY1408" s="2"/>
      <c r="AZ1408" s="2"/>
      <c r="BA1408" s="2"/>
      <c r="BB1408" s="2" t="n">
        <v>3529</v>
      </c>
      <c r="BC1408" s="2" t="n">
        <v>3537</v>
      </c>
      <c r="BD1408" s="2"/>
      <c r="BE1408" s="2" t="s">
        <v>24558</v>
      </c>
      <c r="BF1408" s="2" t="str">
        <f aca="false">HYPERLINK("http://dx.doi.org/10.1111/ajt.16073","http://dx.doi.org/10.1111/ajt.16073")</f>
        <v>http://dx.doi.org/10.1111/ajt.16073</v>
      </c>
      <c r="BG1408" s="2"/>
      <c r="BH1408" s="2" t="s">
        <v>20403</v>
      </c>
      <c r="BI1408" s="2" t="n">
        <v>9</v>
      </c>
      <c r="BJ1408" s="2" t="s">
        <v>7394</v>
      </c>
      <c r="BK1408" s="2" t="s">
        <v>100</v>
      </c>
      <c r="BL1408" s="2" t="s">
        <v>7394</v>
      </c>
      <c r="BM1408" s="2" t="s">
        <v>24559</v>
      </c>
      <c r="BN1408" s="2" t="n">
        <v>32449200</v>
      </c>
      <c r="BO1408" s="2" t="s">
        <v>136</v>
      </c>
      <c r="BP1408" s="2"/>
      <c r="BQ1408" s="2"/>
      <c r="BR1408" s="2" t="s">
        <v>104</v>
      </c>
      <c r="BS1408" s="2" t="s">
        <v>24560</v>
      </c>
      <c r="BT1408" s="2" t="str">
        <f aca="false">HYPERLINK("https%3A%2F%2Fwww.webofscience.com%2Fwos%2Fwoscc%2Ffull-record%2FWOS:000544365900001","View Full Record in Web of Science")</f>
        <v>View Full Record in Web of Science</v>
      </c>
    </row>
    <row r="1409" customFormat="false" ht="12.75" hidden="false" customHeight="false" outlineLevel="0" collapsed="false">
      <c r="A1409" s="2" t="s">
        <v>72</v>
      </c>
      <c r="B1409" s="2" t="s">
        <v>24561</v>
      </c>
      <c r="C1409" s="2"/>
      <c r="D1409" s="2"/>
      <c r="E1409" s="2"/>
      <c r="F1409" s="2" t="s">
        <v>24562</v>
      </c>
      <c r="G1409" s="2"/>
      <c r="H1409" s="2"/>
      <c r="I1409" s="2" t="s">
        <v>24563</v>
      </c>
      <c r="J1409" s="2" t="s">
        <v>109</v>
      </c>
      <c r="K1409" s="2"/>
      <c r="L1409" s="2"/>
      <c r="M1409" s="2" t="s">
        <v>77</v>
      </c>
      <c r="N1409" s="2" t="s">
        <v>78</v>
      </c>
      <c r="O1409" s="2"/>
      <c r="P1409" s="2"/>
      <c r="Q1409" s="2"/>
      <c r="R1409" s="2"/>
      <c r="S1409" s="2"/>
      <c r="T1409" s="2" t="s">
        <v>24564</v>
      </c>
      <c r="U1409" s="2" t="s">
        <v>24565</v>
      </c>
      <c r="V1409" s="2" t="s">
        <v>24566</v>
      </c>
      <c r="W1409" s="2" t="s">
        <v>24567</v>
      </c>
      <c r="X1409" s="2" t="s">
        <v>24568</v>
      </c>
      <c r="Y1409" s="2" t="s">
        <v>24569</v>
      </c>
      <c r="Z1409" s="2" t="s">
        <v>24570</v>
      </c>
      <c r="AA1409" s="2" t="s">
        <v>24571</v>
      </c>
      <c r="AB1409" s="2" t="s">
        <v>24572</v>
      </c>
      <c r="AC1409" s="2"/>
      <c r="AD1409" s="2"/>
      <c r="AE1409" s="2"/>
      <c r="AF1409" s="2"/>
      <c r="AG1409" s="2" t="n">
        <v>15</v>
      </c>
      <c r="AH1409" s="2" t="n">
        <v>10</v>
      </c>
      <c r="AI1409" s="2" t="n">
        <v>10</v>
      </c>
      <c r="AJ1409" s="2" t="n">
        <v>0</v>
      </c>
      <c r="AK1409" s="2" t="n">
        <v>8</v>
      </c>
      <c r="AL1409" s="2" t="s">
        <v>122</v>
      </c>
      <c r="AM1409" s="2" t="s">
        <v>123</v>
      </c>
      <c r="AN1409" s="2" t="s">
        <v>124</v>
      </c>
      <c r="AO1409" s="2" t="s">
        <v>125</v>
      </c>
      <c r="AP1409" s="2" t="s">
        <v>126</v>
      </c>
      <c r="AQ1409" s="2"/>
      <c r="AR1409" s="2" t="s">
        <v>127</v>
      </c>
      <c r="AS1409" s="2" t="s">
        <v>128</v>
      </c>
      <c r="AT1409" s="2" t="s">
        <v>390</v>
      </c>
      <c r="AU1409" s="2" t="n">
        <v>2018</v>
      </c>
      <c r="AV1409" s="2" t="n">
        <v>37</v>
      </c>
      <c r="AW1409" s="2" t="n">
        <v>5</v>
      </c>
      <c r="AX1409" s="2"/>
      <c r="AY1409" s="2"/>
      <c r="AZ1409" s="2"/>
      <c r="BA1409" s="2"/>
      <c r="BB1409" s="2" t="n">
        <v>443</v>
      </c>
      <c r="BC1409" s="2" t="n">
        <v>446</v>
      </c>
      <c r="BD1409" s="2"/>
      <c r="BE1409" s="2" t="s">
        <v>24573</v>
      </c>
      <c r="BF1409" s="2" t="str">
        <f aca="false">HYPERLINK("http://dx.doi.org/10.1097/INF.0000000000001775","http://dx.doi.org/10.1097/INF.0000000000001775")</f>
        <v>http://dx.doi.org/10.1097/INF.0000000000001775</v>
      </c>
      <c r="BG1409" s="2"/>
      <c r="BH1409" s="2"/>
      <c r="BI1409" s="2" t="n">
        <v>4</v>
      </c>
      <c r="BJ1409" s="2" t="s">
        <v>134</v>
      </c>
      <c r="BK1409" s="2" t="s">
        <v>100</v>
      </c>
      <c r="BL1409" s="2" t="s">
        <v>134</v>
      </c>
      <c r="BM1409" s="2" t="s">
        <v>24574</v>
      </c>
      <c r="BN1409" s="2" t="n">
        <v>28877158</v>
      </c>
      <c r="BO1409" s="2"/>
      <c r="BP1409" s="2"/>
      <c r="BQ1409" s="2"/>
      <c r="BR1409" s="2" t="s">
        <v>104</v>
      </c>
      <c r="BS1409" s="2" t="s">
        <v>24575</v>
      </c>
      <c r="BT1409" s="2" t="str">
        <f aca="false">HYPERLINK("https%3A%2F%2Fwww.webofscience.com%2Fwos%2Fwoscc%2Ffull-record%2FWOS:000433233100021","View Full Record in Web of Science")</f>
        <v>View Full Record in Web of Science</v>
      </c>
    </row>
    <row r="1410" customFormat="false" ht="12.75" hidden="false" customHeight="false" outlineLevel="0" collapsed="false">
      <c r="A1410" s="2" t="s">
        <v>72</v>
      </c>
      <c r="B1410" s="2" t="s">
        <v>24576</v>
      </c>
      <c r="C1410" s="2"/>
      <c r="D1410" s="2"/>
      <c r="E1410" s="2"/>
      <c r="F1410" s="2" t="s">
        <v>24576</v>
      </c>
      <c r="G1410" s="2"/>
      <c r="H1410" s="2"/>
      <c r="I1410" s="2" t="s">
        <v>24577</v>
      </c>
      <c r="J1410" s="2" t="s">
        <v>21216</v>
      </c>
      <c r="K1410" s="2"/>
      <c r="L1410" s="2"/>
      <c r="M1410" s="2" t="s">
        <v>77</v>
      </c>
      <c r="N1410" s="2" t="s">
        <v>78</v>
      </c>
      <c r="O1410" s="2"/>
      <c r="P1410" s="2"/>
      <c r="Q1410" s="2"/>
      <c r="R1410" s="2"/>
      <c r="S1410" s="2"/>
      <c r="T1410" s="2" t="s">
        <v>24578</v>
      </c>
      <c r="U1410" s="2" t="s">
        <v>24579</v>
      </c>
      <c r="V1410" s="2" t="s">
        <v>24580</v>
      </c>
      <c r="W1410" s="2" t="s">
        <v>24581</v>
      </c>
      <c r="X1410" s="2" t="s">
        <v>24582</v>
      </c>
      <c r="Y1410" s="2" t="s">
        <v>24583</v>
      </c>
      <c r="Z1410" s="2" t="s">
        <v>24584</v>
      </c>
      <c r="AA1410" s="2"/>
      <c r="AB1410" s="2" t="s">
        <v>24585</v>
      </c>
      <c r="AC1410" s="2"/>
      <c r="AD1410" s="2"/>
      <c r="AE1410" s="2"/>
      <c r="AF1410" s="2"/>
      <c r="AG1410" s="2" t="n">
        <v>60</v>
      </c>
      <c r="AH1410" s="2" t="n">
        <v>42</v>
      </c>
      <c r="AI1410" s="2" t="n">
        <v>51</v>
      </c>
      <c r="AJ1410" s="2" t="n">
        <v>0</v>
      </c>
      <c r="AK1410" s="2" t="n">
        <v>4</v>
      </c>
      <c r="AL1410" s="2" t="s">
        <v>122</v>
      </c>
      <c r="AM1410" s="2" t="s">
        <v>123</v>
      </c>
      <c r="AN1410" s="2" t="s">
        <v>124</v>
      </c>
      <c r="AO1410" s="2" t="s">
        <v>21224</v>
      </c>
      <c r="AP1410" s="2" t="s">
        <v>21225</v>
      </c>
      <c r="AQ1410" s="2"/>
      <c r="AR1410" s="2" t="s">
        <v>21226</v>
      </c>
      <c r="AS1410" s="2" t="s">
        <v>21227</v>
      </c>
      <c r="AT1410" s="2" t="s">
        <v>390</v>
      </c>
      <c r="AU1410" s="2" t="n">
        <v>2005</v>
      </c>
      <c r="AV1410" s="2" t="n">
        <v>11</v>
      </c>
      <c r="AW1410" s="2" t="n">
        <v>3</v>
      </c>
      <c r="AX1410" s="2"/>
      <c r="AY1410" s="2"/>
      <c r="AZ1410" s="2"/>
      <c r="BA1410" s="2"/>
      <c r="BB1410" s="2" t="n">
        <v>218</v>
      </c>
      <c r="BC1410" s="2" t="n">
        <v>225</v>
      </c>
      <c r="BD1410" s="2"/>
      <c r="BE1410" s="2" t="s">
        <v>24586</v>
      </c>
      <c r="BF1410" s="2" t="str">
        <f aca="false">HYPERLINK("http://dx.doi.org/10.1097/01.mcp.0000159831.82529.85","http://dx.doi.org/10.1097/01.mcp.0000159831.82529.85")</f>
        <v>http://dx.doi.org/10.1097/01.mcp.0000159831.82529.85</v>
      </c>
      <c r="BG1410" s="2"/>
      <c r="BH1410" s="2"/>
      <c r="BI1410" s="2" t="n">
        <v>8</v>
      </c>
      <c r="BJ1410" s="2" t="s">
        <v>338</v>
      </c>
      <c r="BK1410" s="2" t="s">
        <v>100</v>
      </c>
      <c r="BL1410" s="2" t="s">
        <v>338</v>
      </c>
      <c r="BM1410" s="2" t="s">
        <v>24587</v>
      </c>
      <c r="BN1410" s="2" t="n">
        <v>15818183</v>
      </c>
      <c r="BO1410" s="2"/>
      <c r="BP1410" s="2"/>
      <c r="BQ1410" s="2"/>
      <c r="BR1410" s="2" t="s">
        <v>104</v>
      </c>
      <c r="BS1410" s="2" t="s">
        <v>24588</v>
      </c>
      <c r="BT1410" s="2" t="str">
        <f aca="false">HYPERLINK("https%3A%2F%2Fwww.webofscience.com%2Fwos%2Fwoscc%2Ffull-record%2FWOS:000228612700007","View Full Record in Web of Science")</f>
        <v>View Full Record in Web of Science</v>
      </c>
    </row>
    <row r="1411" customFormat="false" ht="12.75" hidden="false" customHeight="false" outlineLevel="0" collapsed="false">
      <c r="A1411" s="2" t="s">
        <v>72</v>
      </c>
      <c r="B1411" s="2" t="s">
        <v>24589</v>
      </c>
      <c r="C1411" s="2"/>
      <c r="D1411" s="2"/>
      <c r="E1411" s="2"/>
      <c r="F1411" s="2" t="s">
        <v>24590</v>
      </c>
      <c r="G1411" s="2"/>
      <c r="H1411" s="2" t="s">
        <v>24591</v>
      </c>
      <c r="I1411" s="2" t="s">
        <v>24592</v>
      </c>
      <c r="J1411" s="2" t="s">
        <v>24593</v>
      </c>
      <c r="K1411" s="2"/>
      <c r="L1411" s="2"/>
      <c r="M1411" s="2" t="s">
        <v>77</v>
      </c>
      <c r="N1411" s="2" t="s">
        <v>78</v>
      </c>
      <c r="O1411" s="2"/>
      <c r="P1411" s="2"/>
      <c r="Q1411" s="2"/>
      <c r="R1411" s="2"/>
      <c r="S1411" s="2"/>
      <c r="T1411" s="2" t="s">
        <v>24594</v>
      </c>
      <c r="U1411" s="2" t="s">
        <v>24595</v>
      </c>
      <c r="V1411" s="2" t="s">
        <v>24596</v>
      </c>
      <c r="W1411" s="2" t="s">
        <v>24597</v>
      </c>
      <c r="X1411" s="2" t="s">
        <v>24598</v>
      </c>
      <c r="Y1411" s="2" t="s">
        <v>24599</v>
      </c>
      <c r="Z1411" s="2" t="s">
        <v>24600</v>
      </c>
      <c r="AA1411" s="2" t="s">
        <v>24601</v>
      </c>
      <c r="AB1411" s="2"/>
      <c r="AC1411" s="2"/>
      <c r="AD1411" s="2"/>
      <c r="AE1411" s="2"/>
      <c r="AF1411" s="2"/>
      <c r="AG1411" s="2" t="n">
        <v>98</v>
      </c>
      <c r="AH1411" s="2" t="n">
        <v>115</v>
      </c>
      <c r="AI1411" s="2" t="n">
        <v>121</v>
      </c>
      <c r="AJ1411" s="2" t="n">
        <v>0</v>
      </c>
      <c r="AK1411" s="2" t="n">
        <v>9</v>
      </c>
      <c r="AL1411" s="2" t="s">
        <v>154</v>
      </c>
      <c r="AM1411" s="2" t="s">
        <v>155</v>
      </c>
      <c r="AN1411" s="2" t="s">
        <v>156</v>
      </c>
      <c r="AO1411" s="2" t="s">
        <v>24602</v>
      </c>
      <c r="AP1411" s="2" t="s">
        <v>24603</v>
      </c>
      <c r="AQ1411" s="2"/>
      <c r="AR1411" s="2" t="s">
        <v>24604</v>
      </c>
      <c r="AS1411" s="2" t="s">
        <v>24605</v>
      </c>
      <c r="AT1411" s="2" t="s">
        <v>129</v>
      </c>
      <c r="AU1411" s="2" t="n">
        <v>2019</v>
      </c>
      <c r="AV1411" s="2" t="n">
        <v>33</v>
      </c>
      <c r="AW1411" s="2" t="n">
        <v>9</v>
      </c>
      <c r="AX1411" s="2"/>
      <c r="AY1411" s="2"/>
      <c r="AZ1411" s="2" t="s">
        <v>1627</v>
      </c>
      <c r="BA1411" s="2"/>
      <c r="BB1411" s="2"/>
      <c r="BC1411" s="2"/>
      <c r="BD1411" s="2" t="s">
        <v>24606</v>
      </c>
      <c r="BE1411" s="2" t="s">
        <v>24607</v>
      </c>
      <c r="BF1411" s="2" t="str">
        <f aca="false">HYPERLINK("http://dx.doi.org/10.1111/ctr.13511","http://dx.doi.org/10.1111/ctr.13511")</f>
        <v>http://dx.doi.org/10.1111/ctr.13511</v>
      </c>
      <c r="BG1411" s="2"/>
      <c r="BH1411" s="2"/>
      <c r="BI1411" s="2" t="n">
        <v>10</v>
      </c>
      <c r="BJ1411" s="2" t="s">
        <v>7394</v>
      </c>
      <c r="BK1411" s="2" t="s">
        <v>100</v>
      </c>
      <c r="BL1411" s="2" t="s">
        <v>7394</v>
      </c>
      <c r="BM1411" s="2" t="s">
        <v>24608</v>
      </c>
      <c r="BN1411" s="2" t="n">
        <v>30817023</v>
      </c>
      <c r="BO1411" s="2" t="s">
        <v>538</v>
      </c>
      <c r="BP1411" s="2"/>
      <c r="BQ1411" s="2"/>
      <c r="BR1411" s="2" t="s">
        <v>104</v>
      </c>
      <c r="BS1411" s="2" t="s">
        <v>24609</v>
      </c>
      <c r="BT1411" s="2" t="str">
        <f aca="false">HYPERLINK("https%3A%2F%2Fwww.webofscience.com%2Fwos%2Fwoscc%2Ffull-record%2FWOS:000489762300031","View Full Record in Web of Science")</f>
        <v>View Full Record in Web of Science</v>
      </c>
    </row>
    <row r="1412" customFormat="false" ht="12.75" hidden="false" customHeight="false" outlineLevel="0" collapsed="false">
      <c r="A1412" s="2" t="s">
        <v>72</v>
      </c>
      <c r="B1412" s="2" t="s">
        <v>24610</v>
      </c>
      <c r="C1412" s="2"/>
      <c r="D1412" s="2"/>
      <c r="E1412" s="2"/>
      <c r="F1412" s="2" t="s">
        <v>24611</v>
      </c>
      <c r="G1412" s="2"/>
      <c r="H1412" s="2"/>
      <c r="I1412" s="2" t="s">
        <v>24612</v>
      </c>
      <c r="J1412" s="2" t="s">
        <v>514</v>
      </c>
      <c r="K1412" s="2"/>
      <c r="L1412" s="2"/>
      <c r="M1412" s="2" t="s">
        <v>77</v>
      </c>
      <c r="N1412" s="2" t="s">
        <v>78</v>
      </c>
      <c r="O1412" s="2"/>
      <c r="P1412" s="2"/>
      <c r="Q1412" s="2"/>
      <c r="R1412" s="2"/>
      <c r="S1412" s="2"/>
      <c r="T1412" s="2" t="s">
        <v>24613</v>
      </c>
      <c r="U1412" s="2" t="s">
        <v>24614</v>
      </c>
      <c r="V1412" s="2" t="s">
        <v>24615</v>
      </c>
      <c r="W1412" s="2" t="s">
        <v>24616</v>
      </c>
      <c r="X1412" s="2" t="s">
        <v>24617</v>
      </c>
      <c r="Y1412" s="2" t="s">
        <v>24618</v>
      </c>
      <c r="Z1412" s="2" t="s">
        <v>18733</v>
      </c>
      <c r="AA1412" s="2" t="s">
        <v>24619</v>
      </c>
      <c r="AB1412" s="2" t="s">
        <v>24620</v>
      </c>
      <c r="AC1412" s="2"/>
      <c r="AD1412" s="2"/>
      <c r="AE1412" s="2"/>
      <c r="AF1412" s="2"/>
      <c r="AG1412" s="2" t="n">
        <v>16</v>
      </c>
      <c r="AH1412" s="2" t="n">
        <v>1</v>
      </c>
      <c r="AI1412" s="2" t="n">
        <v>1</v>
      </c>
      <c r="AJ1412" s="2" t="n">
        <v>0</v>
      </c>
      <c r="AK1412" s="2" t="n">
        <v>5</v>
      </c>
      <c r="AL1412" s="2" t="s">
        <v>527</v>
      </c>
      <c r="AM1412" s="2" t="s">
        <v>528</v>
      </c>
      <c r="AN1412" s="2" t="s">
        <v>529</v>
      </c>
      <c r="AO1412" s="2" t="s">
        <v>530</v>
      </c>
      <c r="AP1412" s="2" t="s">
        <v>531</v>
      </c>
      <c r="AQ1412" s="2"/>
      <c r="AR1412" s="2" t="s">
        <v>532</v>
      </c>
      <c r="AS1412" s="2" t="s">
        <v>533</v>
      </c>
      <c r="AT1412" s="2" t="s">
        <v>2214</v>
      </c>
      <c r="AU1412" s="2" t="n">
        <v>2022</v>
      </c>
      <c r="AV1412" s="2" t="n">
        <v>226</v>
      </c>
      <c r="AW1412" s="2" t="n">
        <v>12</v>
      </c>
      <c r="AX1412" s="2"/>
      <c r="AY1412" s="2"/>
      <c r="AZ1412" s="2"/>
      <c r="BA1412" s="2"/>
      <c r="BB1412" s="2" t="n">
        <v>2105</v>
      </c>
      <c r="BC1412" s="2" t="n">
        <v>2112</v>
      </c>
      <c r="BD1412" s="2"/>
      <c r="BE1412" s="2" t="s">
        <v>24621</v>
      </c>
      <c r="BF1412" s="2" t="str">
        <f aca="false">HYPERLINK("http://dx.doi.org/10.1093/infdis/jiac412","http://dx.doi.org/10.1093/infdis/jiac412")</f>
        <v>http://dx.doi.org/10.1093/infdis/jiac412</v>
      </c>
      <c r="BG1412" s="2"/>
      <c r="BH1412" s="2" t="s">
        <v>2884</v>
      </c>
      <c r="BI1412" s="2" t="n">
        <v>8</v>
      </c>
      <c r="BJ1412" s="2" t="s">
        <v>536</v>
      </c>
      <c r="BK1412" s="2" t="s">
        <v>100</v>
      </c>
      <c r="BL1412" s="2" t="s">
        <v>536</v>
      </c>
      <c r="BM1412" s="2" t="s">
        <v>2217</v>
      </c>
      <c r="BN1412" s="2" t="n">
        <v>36214778</v>
      </c>
      <c r="BO1412" s="2" t="s">
        <v>538</v>
      </c>
      <c r="BP1412" s="2"/>
      <c r="BQ1412" s="2"/>
      <c r="BR1412" s="2" t="s">
        <v>104</v>
      </c>
      <c r="BS1412" s="2" t="s">
        <v>24622</v>
      </c>
      <c r="BT1412" s="2" t="str">
        <f aca="false">HYPERLINK("https%3A%2F%2Fwww.webofscience.com%2Fwos%2Fwoscc%2Ffull-record%2FWOS:000874786900001","View Full Record in Web of Science")</f>
        <v>View Full Record in Web of Science</v>
      </c>
    </row>
    <row r="1413" customFormat="false" ht="12.75" hidden="false" customHeight="false" outlineLevel="0" collapsed="false">
      <c r="A1413" s="2" t="s">
        <v>72</v>
      </c>
      <c r="B1413" s="2" t="s">
        <v>24623</v>
      </c>
      <c r="C1413" s="2"/>
      <c r="D1413" s="2"/>
      <c r="E1413" s="2"/>
      <c r="F1413" s="2" t="s">
        <v>24624</v>
      </c>
      <c r="G1413" s="2"/>
      <c r="H1413" s="2"/>
      <c r="I1413" s="2" t="s">
        <v>24625</v>
      </c>
      <c r="J1413" s="2" t="s">
        <v>7102</v>
      </c>
      <c r="K1413" s="2"/>
      <c r="L1413" s="2"/>
      <c r="M1413" s="2" t="s">
        <v>77</v>
      </c>
      <c r="N1413" s="2" t="s">
        <v>78</v>
      </c>
      <c r="O1413" s="2"/>
      <c r="P1413" s="2"/>
      <c r="Q1413" s="2"/>
      <c r="R1413" s="2"/>
      <c r="S1413" s="2"/>
      <c r="T1413" s="2" t="s">
        <v>24626</v>
      </c>
      <c r="U1413" s="2" t="s">
        <v>24627</v>
      </c>
      <c r="V1413" s="2" t="s">
        <v>24628</v>
      </c>
      <c r="W1413" s="2" t="s">
        <v>24629</v>
      </c>
      <c r="X1413" s="2" t="s">
        <v>24630</v>
      </c>
      <c r="Y1413" s="2" t="s">
        <v>24631</v>
      </c>
      <c r="Z1413" s="2" t="s">
        <v>24632</v>
      </c>
      <c r="AA1413" s="2" t="s">
        <v>24633</v>
      </c>
      <c r="AB1413" s="2" t="s">
        <v>24634</v>
      </c>
      <c r="AC1413" s="2" t="s">
        <v>24635</v>
      </c>
      <c r="AD1413" s="2" t="s">
        <v>24636</v>
      </c>
      <c r="AE1413" s="2" t="s">
        <v>24637</v>
      </c>
      <c r="AF1413" s="2"/>
      <c r="AG1413" s="2" t="n">
        <v>81</v>
      </c>
      <c r="AH1413" s="2" t="n">
        <v>5</v>
      </c>
      <c r="AI1413" s="2" t="n">
        <v>6</v>
      </c>
      <c r="AJ1413" s="2" t="n">
        <v>1</v>
      </c>
      <c r="AK1413" s="2" t="n">
        <v>4</v>
      </c>
      <c r="AL1413" s="2" t="s">
        <v>755</v>
      </c>
      <c r="AM1413" s="2" t="s">
        <v>273</v>
      </c>
      <c r="AN1413" s="2" t="s">
        <v>756</v>
      </c>
      <c r="AO1413" s="2" t="s">
        <v>7114</v>
      </c>
      <c r="AP1413" s="2"/>
      <c r="AQ1413" s="2"/>
      <c r="AR1413" s="2" t="s">
        <v>7102</v>
      </c>
      <c r="AS1413" s="2" t="s">
        <v>7115</v>
      </c>
      <c r="AT1413" s="2" t="s">
        <v>925</v>
      </c>
      <c r="AU1413" s="2" t="n">
        <v>2022</v>
      </c>
      <c r="AV1413" s="2" t="n">
        <v>13</v>
      </c>
      <c r="AW1413" s="2" t="n">
        <v>1</v>
      </c>
      <c r="AX1413" s="2"/>
      <c r="AY1413" s="2"/>
      <c r="AZ1413" s="2"/>
      <c r="BA1413" s="2"/>
      <c r="BB1413" s="2"/>
      <c r="BC1413" s="2"/>
      <c r="BD1413" s="2" t="s">
        <v>24638</v>
      </c>
      <c r="BE1413" s="2" t="s">
        <v>24639</v>
      </c>
      <c r="BF1413" s="2" t="str">
        <f aca="false">HYPERLINK("http://dx.doi.org/10.1128/mbio.03831-21","http://dx.doi.org/10.1128/mbio.03831-21")</f>
        <v>http://dx.doi.org/10.1128/mbio.03831-21</v>
      </c>
      <c r="BG1413" s="2"/>
      <c r="BH1413" s="2"/>
      <c r="BI1413" s="2" t="n">
        <v>13</v>
      </c>
      <c r="BJ1413" s="2" t="s">
        <v>211</v>
      </c>
      <c r="BK1413" s="2" t="s">
        <v>100</v>
      </c>
      <c r="BL1413" s="2" t="s">
        <v>211</v>
      </c>
      <c r="BM1413" s="2" t="s">
        <v>24640</v>
      </c>
      <c r="BN1413" s="2" t="n">
        <v>35164568</v>
      </c>
      <c r="BO1413" s="2" t="s">
        <v>103</v>
      </c>
      <c r="BP1413" s="2"/>
      <c r="BQ1413" s="2"/>
      <c r="BR1413" s="2" t="s">
        <v>104</v>
      </c>
      <c r="BS1413" s="2" t="s">
        <v>24641</v>
      </c>
      <c r="BT1413" s="2" t="str">
        <f aca="false">HYPERLINK("https%3A%2F%2Fwww.webofscience.com%2Fwos%2Fwoscc%2Ffull-record%2FWOS:001040888600144","View Full Record in Web of Science")</f>
        <v>View Full Record in Web of Science</v>
      </c>
    </row>
    <row r="1414" customFormat="false" ht="12.75" hidden="false" customHeight="false" outlineLevel="0" collapsed="false">
      <c r="A1414" s="2" t="s">
        <v>72</v>
      </c>
      <c r="B1414" s="2" t="s">
        <v>24642</v>
      </c>
      <c r="C1414" s="2"/>
      <c r="D1414" s="2"/>
      <c r="E1414" s="2"/>
      <c r="F1414" s="2" t="s">
        <v>24643</v>
      </c>
      <c r="G1414" s="2"/>
      <c r="H1414" s="2"/>
      <c r="I1414" s="2" t="s">
        <v>24644</v>
      </c>
      <c r="J1414" s="2" t="s">
        <v>109</v>
      </c>
      <c r="K1414" s="2"/>
      <c r="L1414" s="2"/>
      <c r="M1414" s="2" t="s">
        <v>77</v>
      </c>
      <c r="N1414" s="2" t="s">
        <v>78</v>
      </c>
      <c r="O1414" s="2"/>
      <c r="P1414" s="2"/>
      <c r="Q1414" s="2"/>
      <c r="R1414" s="2"/>
      <c r="S1414" s="2"/>
      <c r="T1414" s="2" t="s">
        <v>24645</v>
      </c>
      <c r="U1414" s="2" t="s">
        <v>24646</v>
      </c>
      <c r="V1414" s="2" t="s">
        <v>24647</v>
      </c>
      <c r="W1414" s="2" t="s">
        <v>24648</v>
      </c>
      <c r="X1414" s="2" t="s">
        <v>24649</v>
      </c>
      <c r="Y1414" s="2" t="s">
        <v>24650</v>
      </c>
      <c r="Z1414" s="2" t="s">
        <v>24651</v>
      </c>
      <c r="AA1414" s="2" t="s">
        <v>24652</v>
      </c>
      <c r="AB1414" s="2" t="s">
        <v>24653</v>
      </c>
      <c r="AC1414" s="2" t="s">
        <v>24654</v>
      </c>
      <c r="AD1414" s="2" t="s">
        <v>24655</v>
      </c>
      <c r="AE1414" s="2" t="s">
        <v>24656</v>
      </c>
      <c r="AF1414" s="2"/>
      <c r="AG1414" s="2" t="n">
        <v>53</v>
      </c>
      <c r="AH1414" s="2" t="n">
        <v>5</v>
      </c>
      <c r="AI1414" s="2" t="n">
        <v>5</v>
      </c>
      <c r="AJ1414" s="2" t="n">
        <v>0</v>
      </c>
      <c r="AK1414" s="2" t="n">
        <v>10</v>
      </c>
      <c r="AL1414" s="2" t="s">
        <v>122</v>
      </c>
      <c r="AM1414" s="2" t="s">
        <v>123</v>
      </c>
      <c r="AN1414" s="2" t="s">
        <v>124</v>
      </c>
      <c r="AO1414" s="2" t="s">
        <v>125</v>
      </c>
      <c r="AP1414" s="2" t="s">
        <v>126</v>
      </c>
      <c r="AQ1414" s="2"/>
      <c r="AR1414" s="2" t="s">
        <v>127</v>
      </c>
      <c r="AS1414" s="2" t="s">
        <v>128</v>
      </c>
      <c r="AT1414" s="2" t="s">
        <v>185</v>
      </c>
      <c r="AU1414" s="2" t="n">
        <v>2013</v>
      </c>
      <c r="AV1414" s="2" t="n">
        <v>32</v>
      </c>
      <c r="AW1414" s="2" t="n">
        <v>8</v>
      </c>
      <c r="AX1414" s="2"/>
      <c r="AY1414" s="2"/>
      <c r="AZ1414" s="2"/>
      <c r="BA1414" s="2"/>
      <c r="BB1414" s="2" t="s">
        <v>24657</v>
      </c>
      <c r="BC1414" s="2" t="s">
        <v>22074</v>
      </c>
      <c r="BD1414" s="2"/>
      <c r="BE1414" s="2" t="s">
        <v>24658</v>
      </c>
      <c r="BF1414" s="2" t="str">
        <f aca="false">HYPERLINK("http://dx.doi.org/10.1097/INF.0b013e31828ff4bc","http://dx.doi.org/10.1097/INF.0b013e31828ff4bc")</f>
        <v>http://dx.doi.org/10.1097/INF.0b013e31828ff4bc</v>
      </c>
      <c r="BG1414" s="2"/>
      <c r="BH1414" s="2"/>
      <c r="BI1414" s="2" t="n">
        <v>10</v>
      </c>
      <c r="BJ1414" s="2" t="s">
        <v>134</v>
      </c>
      <c r="BK1414" s="2" t="s">
        <v>100</v>
      </c>
      <c r="BL1414" s="2" t="s">
        <v>134</v>
      </c>
      <c r="BM1414" s="2" t="s">
        <v>6604</v>
      </c>
      <c r="BN1414" s="2" t="n">
        <v>23470677</v>
      </c>
      <c r="BO1414" s="2" t="s">
        <v>695</v>
      </c>
      <c r="BP1414" s="2"/>
      <c r="BQ1414" s="2"/>
      <c r="BR1414" s="2" t="s">
        <v>104</v>
      </c>
      <c r="BS1414" s="2" t="s">
        <v>24659</v>
      </c>
      <c r="BT1414" s="2" t="str">
        <f aca="false">HYPERLINK("https%3A%2F%2Fwww.webofscience.com%2Fwos%2Fwoscc%2Ffull-record%2FWOS:000330524100003","View Full Record in Web of Science")</f>
        <v>View Full Record in Web of Science</v>
      </c>
    </row>
    <row r="1415" customFormat="false" ht="12.75" hidden="false" customHeight="false" outlineLevel="0" collapsed="false">
      <c r="A1415" s="2" t="s">
        <v>72</v>
      </c>
      <c r="B1415" s="2" t="s">
        <v>24660</v>
      </c>
      <c r="C1415" s="2"/>
      <c r="D1415" s="2"/>
      <c r="E1415" s="2"/>
      <c r="F1415" s="2" t="s">
        <v>24661</v>
      </c>
      <c r="G1415" s="2"/>
      <c r="H1415" s="2"/>
      <c r="I1415" s="2" t="s">
        <v>24662</v>
      </c>
      <c r="J1415" s="2" t="s">
        <v>6822</v>
      </c>
      <c r="K1415" s="2"/>
      <c r="L1415" s="2"/>
      <c r="M1415" s="2" t="s">
        <v>77</v>
      </c>
      <c r="N1415" s="2" t="s">
        <v>78</v>
      </c>
      <c r="O1415" s="2"/>
      <c r="P1415" s="2"/>
      <c r="Q1415" s="2"/>
      <c r="R1415" s="2"/>
      <c r="S1415" s="2"/>
      <c r="T1415" s="2" t="s">
        <v>24663</v>
      </c>
      <c r="U1415" s="2" t="s">
        <v>24664</v>
      </c>
      <c r="V1415" s="2" t="s">
        <v>24665</v>
      </c>
      <c r="W1415" s="2" t="s">
        <v>24666</v>
      </c>
      <c r="X1415" s="2" t="s">
        <v>24667</v>
      </c>
      <c r="Y1415" s="2" t="s">
        <v>24668</v>
      </c>
      <c r="Z1415" s="2" t="s">
        <v>24669</v>
      </c>
      <c r="AA1415" s="2" t="s">
        <v>24670</v>
      </c>
      <c r="AB1415" s="2"/>
      <c r="AC1415" s="2" t="s">
        <v>24671</v>
      </c>
      <c r="AD1415" s="2" t="s">
        <v>24672</v>
      </c>
      <c r="AE1415" s="2" t="s">
        <v>24673</v>
      </c>
      <c r="AF1415" s="2"/>
      <c r="AG1415" s="2" t="n">
        <v>49</v>
      </c>
      <c r="AH1415" s="2" t="n">
        <v>10</v>
      </c>
      <c r="AI1415" s="2" t="n">
        <v>10</v>
      </c>
      <c r="AJ1415" s="2" t="n">
        <v>0</v>
      </c>
      <c r="AK1415" s="2" t="n">
        <v>27</v>
      </c>
      <c r="AL1415" s="2" t="s">
        <v>6833</v>
      </c>
      <c r="AM1415" s="2" t="s">
        <v>593</v>
      </c>
      <c r="AN1415" s="2" t="s">
        <v>6834</v>
      </c>
      <c r="AO1415" s="2" t="s">
        <v>6835</v>
      </c>
      <c r="AP1415" s="2" t="s">
        <v>6836</v>
      </c>
      <c r="AQ1415" s="2"/>
      <c r="AR1415" s="2" t="s">
        <v>6837</v>
      </c>
      <c r="AS1415" s="2" t="s">
        <v>6838</v>
      </c>
      <c r="AT1415" s="2" t="s">
        <v>692</v>
      </c>
      <c r="AU1415" s="2" t="n">
        <v>2016</v>
      </c>
      <c r="AV1415" s="2" t="n">
        <v>144</v>
      </c>
      <c r="AW1415" s="2" t="n">
        <v>5</v>
      </c>
      <c r="AX1415" s="2"/>
      <c r="AY1415" s="2"/>
      <c r="AZ1415" s="2"/>
      <c r="BA1415" s="2"/>
      <c r="BB1415" s="2" t="n">
        <v>1035</v>
      </c>
      <c r="BC1415" s="2" t="n">
        <v>1044</v>
      </c>
      <c r="BD1415" s="2"/>
      <c r="BE1415" s="2" t="s">
        <v>24674</v>
      </c>
      <c r="BF1415" s="2" t="str">
        <f aca="false">HYPERLINK("http://dx.doi.org/10.1017/S0950268815002204","http://dx.doi.org/10.1017/S0950268815002204")</f>
        <v>http://dx.doi.org/10.1017/S0950268815002204</v>
      </c>
      <c r="BG1415" s="2"/>
      <c r="BH1415" s="2"/>
      <c r="BI1415" s="2" t="n">
        <v>10</v>
      </c>
      <c r="BJ1415" s="2" t="s">
        <v>2113</v>
      </c>
      <c r="BK1415" s="2" t="s">
        <v>100</v>
      </c>
      <c r="BL1415" s="2" t="s">
        <v>2113</v>
      </c>
      <c r="BM1415" s="2" t="s">
        <v>24675</v>
      </c>
      <c r="BN1415" s="2" t="n">
        <v>26381086</v>
      </c>
      <c r="BO1415" s="2" t="s">
        <v>656</v>
      </c>
      <c r="BP1415" s="2"/>
      <c r="BQ1415" s="2"/>
      <c r="BR1415" s="2" t="s">
        <v>104</v>
      </c>
      <c r="BS1415" s="2" t="s">
        <v>24676</v>
      </c>
      <c r="BT1415" s="2" t="str">
        <f aca="false">HYPERLINK("https%3A%2F%2Fwww.webofscience.com%2Fwos%2Fwoscc%2Ffull-record%2FWOS:000371720700016","View Full Record in Web of Science")</f>
        <v>View Full Record in Web of Science</v>
      </c>
    </row>
    <row r="1416" customFormat="false" ht="12.75" hidden="false" customHeight="false" outlineLevel="0" collapsed="false">
      <c r="A1416" s="2" t="s">
        <v>72</v>
      </c>
      <c r="B1416" s="2" t="s">
        <v>24589</v>
      </c>
      <c r="C1416" s="2"/>
      <c r="D1416" s="2"/>
      <c r="E1416" s="2"/>
      <c r="F1416" s="2" t="s">
        <v>24677</v>
      </c>
      <c r="G1416" s="2"/>
      <c r="H1416" s="2" t="s">
        <v>14314</v>
      </c>
      <c r="I1416" s="2" t="s">
        <v>24678</v>
      </c>
      <c r="J1416" s="2" t="s">
        <v>7379</v>
      </c>
      <c r="K1416" s="2"/>
      <c r="L1416" s="2"/>
      <c r="M1416" s="2" t="s">
        <v>77</v>
      </c>
      <c r="N1416" s="2" t="s">
        <v>78</v>
      </c>
      <c r="O1416" s="2"/>
      <c r="P1416" s="2"/>
      <c r="Q1416" s="2"/>
      <c r="R1416" s="2"/>
      <c r="S1416" s="2"/>
      <c r="T1416" s="2" t="s">
        <v>24679</v>
      </c>
      <c r="U1416" s="2" t="s">
        <v>24680</v>
      </c>
      <c r="V1416" s="2"/>
      <c r="W1416" s="2" t="s">
        <v>24681</v>
      </c>
      <c r="X1416" s="2" t="s">
        <v>24598</v>
      </c>
      <c r="Y1416" s="2" t="s">
        <v>24682</v>
      </c>
      <c r="Z1416" s="2" t="s">
        <v>24600</v>
      </c>
      <c r="AA1416" s="2" t="s">
        <v>24683</v>
      </c>
      <c r="AB1416" s="2" t="s">
        <v>24684</v>
      </c>
      <c r="AC1416" s="2"/>
      <c r="AD1416" s="2"/>
      <c r="AE1416" s="2"/>
      <c r="AF1416" s="2"/>
      <c r="AG1416" s="2" t="n">
        <v>79</v>
      </c>
      <c r="AH1416" s="2" t="n">
        <v>34</v>
      </c>
      <c r="AI1416" s="2" t="n">
        <v>34</v>
      </c>
      <c r="AJ1416" s="2" t="n">
        <v>0</v>
      </c>
      <c r="AK1416" s="2" t="n">
        <v>9</v>
      </c>
      <c r="AL1416" s="2" t="s">
        <v>3813</v>
      </c>
      <c r="AM1416" s="2" t="s">
        <v>155</v>
      </c>
      <c r="AN1416" s="2" t="s">
        <v>156</v>
      </c>
      <c r="AO1416" s="2" t="s">
        <v>7389</v>
      </c>
      <c r="AP1416" s="2"/>
      <c r="AQ1416" s="2"/>
      <c r="AR1416" s="2" t="s">
        <v>7391</v>
      </c>
      <c r="AS1416" s="2" t="s">
        <v>7392</v>
      </c>
      <c r="AT1416" s="2" t="s">
        <v>97</v>
      </c>
      <c r="AU1416" s="2" t="n">
        <v>2013</v>
      </c>
      <c r="AV1416" s="2" t="n">
        <v>13</v>
      </c>
      <c r="AW1416" s="2"/>
      <c r="AX1416" s="2"/>
      <c r="AY1416" s="2" t="n">
        <v>4</v>
      </c>
      <c r="AZ1416" s="2" t="s">
        <v>1627</v>
      </c>
      <c r="BA1416" s="2"/>
      <c r="BB1416" s="2" t="n">
        <v>212</v>
      </c>
      <c r="BC1416" s="2" t="n">
        <v>219</v>
      </c>
      <c r="BD1416" s="2"/>
      <c r="BE1416" s="2" t="s">
        <v>24685</v>
      </c>
      <c r="BF1416" s="2" t="str">
        <f aca="false">HYPERLINK("http://dx.doi.org/10.1111/ajt.12113","http://dx.doi.org/10.1111/ajt.12113")</f>
        <v>http://dx.doi.org/10.1111/ajt.12113</v>
      </c>
      <c r="BG1416" s="2"/>
      <c r="BH1416" s="2"/>
      <c r="BI1416" s="2" t="n">
        <v>8</v>
      </c>
      <c r="BJ1416" s="2" t="s">
        <v>7394</v>
      </c>
      <c r="BK1416" s="2" t="s">
        <v>100</v>
      </c>
      <c r="BL1416" s="2" t="s">
        <v>7394</v>
      </c>
      <c r="BM1416" s="2" t="s">
        <v>24686</v>
      </c>
      <c r="BN1416" s="2" t="n">
        <v>23465014</v>
      </c>
      <c r="BO1416" s="2" t="s">
        <v>136</v>
      </c>
      <c r="BP1416" s="2"/>
      <c r="BQ1416" s="2"/>
      <c r="BR1416" s="2" t="s">
        <v>104</v>
      </c>
      <c r="BS1416" s="2" t="s">
        <v>24687</v>
      </c>
      <c r="BT1416" s="2" t="str">
        <f aca="false">HYPERLINK("https%3A%2F%2Fwww.webofscience.com%2Fwos%2Fwoscc%2Ffull-record%2FWOS:000315907900023","View Full Record in Web of Science")</f>
        <v>View Full Record in Web of Science</v>
      </c>
    </row>
    <row r="1417" customFormat="false" ht="12.75" hidden="false" customHeight="false" outlineLevel="0" collapsed="false">
      <c r="A1417" s="2" t="s">
        <v>72</v>
      </c>
      <c r="B1417" s="2" t="s">
        <v>24688</v>
      </c>
      <c r="C1417" s="2"/>
      <c r="D1417" s="2"/>
      <c r="E1417" s="2"/>
      <c r="F1417" s="2" t="s">
        <v>24689</v>
      </c>
      <c r="G1417" s="2"/>
      <c r="H1417" s="2"/>
      <c r="I1417" s="2" t="s">
        <v>24690</v>
      </c>
      <c r="J1417" s="2" t="s">
        <v>24691</v>
      </c>
      <c r="K1417" s="2"/>
      <c r="L1417" s="2"/>
      <c r="M1417" s="2" t="s">
        <v>77</v>
      </c>
      <c r="N1417" s="2" t="s">
        <v>78</v>
      </c>
      <c r="O1417" s="2"/>
      <c r="P1417" s="2"/>
      <c r="Q1417" s="2"/>
      <c r="R1417" s="2"/>
      <c r="S1417" s="2"/>
      <c r="T1417" s="2" t="s">
        <v>24692</v>
      </c>
      <c r="U1417" s="2" t="s">
        <v>24693</v>
      </c>
      <c r="V1417" s="2" t="s">
        <v>24694</v>
      </c>
      <c r="W1417" s="2" t="s">
        <v>24695</v>
      </c>
      <c r="X1417" s="2" t="s">
        <v>24696</v>
      </c>
      <c r="Y1417" s="2" t="s">
        <v>24697</v>
      </c>
      <c r="Z1417" s="2" t="s">
        <v>24698</v>
      </c>
      <c r="AA1417" s="2" t="s">
        <v>24699</v>
      </c>
      <c r="AB1417" s="2" t="s">
        <v>24700</v>
      </c>
      <c r="AC1417" s="2" t="s">
        <v>24701</v>
      </c>
      <c r="AD1417" s="2" t="s">
        <v>24702</v>
      </c>
      <c r="AE1417" s="2" t="s">
        <v>24703</v>
      </c>
      <c r="AF1417" s="2"/>
      <c r="AG1417" s="2" t="n">
        <v>52</v>
      </c>
      <c r="AH1417" s="2" t="n">
        <v>17</v>
      </c>
      <c r="AI1417" s="2" t="n">
        <v>18</v>
      </c>
      <c r="AJ1417" s="2" t="n">
        <v>0</v>
      </c>
      <c r="AK1417" s="2" t="n">
        <v>24</v>
      </c>
      <c r="AL1417" s="2" t="s">
        <v>154</v>
      </c>
      <c r="AM1417" s="2" t="s">
        <v>155</v>
      </c>
      <c r="AN1417" s="2" t="s">
        <v>156</v>
      </c>
      <c r="AO1417" s="2" t="s">
        <v>24704</v>
      </c>
      <c r="AP1417" s="2" t="s">
        <v>24705</v>
      </c>
      <c r="AQ1417" s="2"/>
      <c r="AR1417" s="2" t="s">
        <v>24706</v>
      </c>
      <c r="AS1417" s="2" t="s">
        <v>24707</v>
      </c>
      <c r="AT1417" s="2" t="s">
        <v>129</v>
      </c>
      <c r="AU1417" s="2" t="n">
        <v>2013</v>
      </c>
      <c r="AV1417" s="2" t="n">
        <v>126</v>
      </c>
      <c r="AW1417" s="2" t="n">
        <v>5</v>
      </c>
      <c r="AX1417" s="2"/>
      <c r="AY1417" s="2"/>
      <c r="AZ1417" s="2"/>
      <c r="BA1417" s="2"/>
      <c r="BB1417" s="2" t="n">
        <v>604</v>
      </c>
      <c r="BC1417" s="2" t="n">
        <v>615</v>
      </c>
      <c r="BD1417" s="2"/>
      <c r="BE1417" s="2" t="s">
        <v>24708</v>
      </c>
      <c r="BF1417" s="2" t="str">
        <f aca="false">HYPERLINK("http://dx.doi.org/10.1111/jnc.12332","http://dx.doi.org/10.1111/jnc.12332")</f>
        <v>http://dx.doi.org/10.1111/jnc.12332</v>
      </c>
      <c r="BG1417" s="2"/>
      <c r="BH1417" s="2"/>
      <c r="BI1417" s="2" t="n">
        <v>12</v>
      </c>
      <c r="BJ1417" s="2" t="s">
        <v>24709</v>
      </c>
      <c r="BK1417" s="2" t="s">
        <v>100</v>
      </c>
      <c r="BL1417" s="2" t="s">
        <v>24710</v>
      </c>
      <c r="BM1417" s="2" t="s">
        <v>24711</v>
      </c>
      <c r="BN1417" s="2" t="n">
        <v>23745639</v>
      </c>
      <c r="BO1417" s="2" t="s">
        <v>656</v>
      </c>
      <c r="BP1417" s="2"/>
      <c r="BQ1417" s="2"/>
      <c r="BR1417" s="2" t="s">
        <v>104</v>
      </c>
      <c r="BS1417" s="2" t="s">
        <v>24712</v>
      </c>
      <c r="BT1417" s="2" t="str">
        <f aca="false">HYPERLINK("https%3A%2F%2Fwww.webofscience.com%2Fwos%2Fwoscc%2Ffull-record%2FWOS:000323393400006","View Full Record in Web of Science")</f>
        <v>View Full Record in Web of Science</v>
      </c>
    </row>
    <row r="1418" customFormat="false" ht="12.75" hidden="false" customHeight="false" outlineLevel="0" collapsed="false">
      <c r="A1418" s="2" t="s">
        <v>72</v>
      </c>
      <c r="B1418" s="2" t="s">
        <v>24713</v>
      </c>
      <c r="C1418" s="2"/>
      <c r="D1418" s="2"/>
      <c r="E1418" s="2"/>
      <c r="F1418" s="2" t="s">
        <v>24714</v>
      </c>
      <c r="G1418" s="2"/>
      <c r="H1418" s="2"/>
      <c r="I1418" s="2" t="s">
        <v>24715</v>
      </c>
      <c r="J1418" s="2" t="s">
        <v>24716</v>
      </c>
      <c r="K1418" s="2"/>
      <c r="L1418" s="2"/>
      <c r="M1418" s="2" t="s">
        <v>77</v>
      </c>
      <c r="N1418" s="2" t="s">
        <v>78</v>
      </c>
      <c r="O1418" s="2"/>
      <c r="P1418" s="2"/>
      <c r="Q1418" s="2"/>
      <c r="R1418" s="2"/>
      <c r="S1418" s="2"/>
      <c r="T1418" s="2" t="s">
        <v>24717</v>
      </c>
      <c r="U1418" s="2" t="s">
        <v>24718</v>
      </c>
      <c r="V1418" s="2" t="s">
        <v>24719</v>
      </c>
      <c r="W1418" s="2" t="s">
        <v>24720</v>
      </c>
      <c r="X1418" s="2" t="s">
        <v>24721</v>
      </c>
      <c r="Y1418" s="2" t="s">
        <v>24722</v>
      </c>
      <c r="Z1418" s="2" t="s">
        <v>24723</v>
      </c>
      <c r="AA1418" s="2" t="s">
        <v>24724</v>
      </c>
      <c r="AB1418" s="2" t="s">
        <v>24725</v>
      </c>
      <c r="AC1418" s="2" t="s">
        <v>24726</v>
      </c>
      <c r="AD1418" s="2" t="s">
        <v>24727</v>
      </c>
      <c r="AE1418" s="2" t="s">
        <v>24728</v>
      </c>
      <c r="AF1418" s="2"/>
      <c r="AG1418" s="2" t="n">
        <v>50</v>
      </c>
      <c r="AH1418" s="2" t="n">
        <v>10</v>
      </c>
      <c r="AI1418" s="2" t="n">
        <v>11</v>
      </c>
      <c r="AJ1418" s="2" t="n">
        <v>0</v>
      </c>
      <c r="AK1418" s="2" t="n">
        <v>11</v>
      </c>
      <c r="AL1418" s="2" t="s">
        <v>592</v>
      </c>
      <c r="AM1418" s="2" t="s">
        <v>12602</v>
      </c>
      <c r="AN1418" s="2" t="s">
        <v>12603</v>
      </c>
      <c r="AO1418" s="2" t="s">
        <v>24729</v>
      </c>
      <c r="AP1418" s="2" t="s">
        <v>24730</v>
      </c>
      <c r="AQ1418" s="2"/>
      <c r="AR1418" s="2" t="s">
        <v>24731</v>
      </c>
      <c r="AS1418" s="2" t="s">
        <v>24732</v>
      </c>
      <c r="AT1418" s="2" t="s">
        <v>446</v>
      </c>
      <c r="AU1418" s="2" t="n">
        <v>2010</v>
      </c>
      <c r="AV1418" s="2" t="n">
        <v>25</v>
      </c>
      <c r="AW1418" s="2" t="n">
        <v>12</v>
      </c>
      <c r="AX1418" s="2"/>
      <c r="AY1418" s="2"/>
      <c r="AZ1418" s="2"/>
      <c r="BA1418" s="2"/>
      <c r="BB1418" s="2" t="n">
        <v>875</v>
      </c>
      <c r="BC1418" s="2" t="n">
        <v>883</v>
      </c>
      <c r="BD1418" s="2"/>
      <c r="BE1418" s="2" t="s">
        <v>24733</v>
      </c>
      <c r="BF1418" s="2" t="str">
        <f aca="false">HYPERLINK("http://dx.doi.org/10.1007/s10654-010-9518-5","http://dx.doi.org/10.1007/s10654-010-9518-5")</f>
        <v>http://dx.doi.org/10.1007/s10654-010-9518-5</v>
      </c>
      <c r="BG1418" s="2"/>
      <c r="BH1418" s="2"/>
      <c r="BI1418" s="2" t="n">
        <v>9</v>
      </c>
      <c r="BJ1418" s="2" t="s">
        <v>1353</v>
      </c>
      <c r="BK1418" s="2" t="s">
        <v>100</v>
      </c>
      <c r="BL1418" s="2" t="s">
        <v>1353</v>
      </c>
      <c r="BM1418" s="2" t="s">
        <v>24734</v>
      </c>
      <c r="BN1418" s="2" t="n">
        <v>20976529</v>
      </c>
      <c r="BO1418" s="2" t="s">
        <v>136</v>
      </c>
      <c r="BP1418" s="2"/>
      <c r="BQ1418" s="2"/>
      <c r="BR1418" s="2" t="s">
        <v>104</v>
      </c>
      <c r="BS1418" s="2" t="s">
        <v>24735</v>
      </c>
      <c r="BT1418" s="2" t="str">
        <f aca="false">HYPERLINK("https%3A%2F%2Fwww.webofscience.com%2Fwos%2Fwoscc%2Ffull-record%2FWOS:000285971300004","View Full Record in Web of Science")</f>
        <v>View Full Record in Web of Science</v>
      </c>
    </row>
    <row r="1419" customFormat="false" ht="12.75" hidden="false" customHeight="false" outlineLevel="0" collapsed="false">
      <c r="A1419" s="2" t="s">
        <v>72</v>
      </c>
      <c r="B1419" s="2" t="s">
        <v>24736</v>
      </c>
      <c r="C1419" s="2"/>
      <c r="D1419" s="2"/>
      <c r="E1419" s="2"/>
      <c r="F1419" s="2" t="s">
        <v>24737</v>
      </c>
      <c r="G1419" s="2"/>
      <c r="H1419" s="2"/>
      <c r="I1419" s="2" t="s">
        <v>24738</v>
      </c>
      <c r="J1419" s="2" t="s">
        <v>11019</v>
      </c>
      <c r="K1419" s="2"/>
      <c r="L1419" s="2"/>
      <c r="M1419" s="2" t="s">
        <v>77</v>
      </c>
      <c r="N1419" s="2" t="s">
        <v>78</v>
      </c>
      <c r="O1419" s="2"/>
      <c r="P1419" s="2"/>
      <c r="Q1419" s="2"/>
      <c r="R1419" s="2"/>
      <c r="S1419" s="2"/>
      <c r="T1419" s="2" t="s">
        <v>24739</v>
      </c>
      <c r="U1419" s="2" t="s">
        <v>24740</v>
      </c>
      <c r="V1419" s="2" t="s">
        <v>24741</v>
      </c>
      <c r="W1419" s="2" t="s">
        <v>24742</v>
      </c>
      <c r="X1419" s="2" t="s">
        <v>24743</v>
      </c>
      <c r="Y1419" s="2" t="s">
        <v>24744</v>
      </c>
      <c r="Z1419" s="2" t="s">
        <v>24745</v>
      </c>
      <c r="AA1419" s="2" t="s">
        <v>24746</v>
      </c>
      <c r="AB1419" s="2" t="s">
        <v>24747</v>
      </c>
      <c r="AC1419" s="2" t="s">
        <v>24748</v>
      </c>
      <c r="AD1419" s="2" t="s">
        <v>24749</v>
      </c>
      <c r="AE1419" s="2" t="s">
        <v>24750</v>
      </c>
      <c r="AF1419" s="2"/>
      <c r="AG1419" s="2" t="n">
        <v>55</v>
      </c>
      <c r="AH1419" s="2" t="n">
        <v>1</v>
      </c>
      <c r="AI1419" s="2" t="n">
        <v>2</v>
      </c>
      <c r="AJ1419" s="2" t="n">
        <v>0</v>
      </c>
      <c r="AK1419" s="2" t="n">
        <v>1</v>
      </c>
      <c r="AL1419" s="2" t="s">
        <v>154</v>
      </c>
      <c r="AM1419" s="2" t="s">
        <v>155</v>
      </c>
      <c r="AN1419" s="2" t="s">
        <v>156</v>
      </c>
      <c r="AO1419" s="2" t="s">
        <v>11028</v>
      </c>
      <c r="AP1419" s="2" t="s">
        <v>11029</v>
      </c>
      <c r="AQ1419" s="2"/>
      <c r="AR1419" s="2" t="s">
        <v>11030</v>
      </c>
      <c r="AS1419" s="2" t="s">
        <v>11031</v>
      </c>
      <c r="AT1419" s="2" t="s">
        <v>804</v>
      </c>
      <c r="AU1419" s="2" t="n">
        <v>2022</v>
      </c>
      <c r="AV1419" s="2" t="n">
        <v>16</v>
      </c>
      <c r="AW1419" s="2" t="n">
        <v>6</v>
      </c>
      <c r="AX1419" s="2"/>
      <c r="AY1419" s="2"/>
      <c r="AZ1419" s="2"/>
      <c r="BA1419" s="2"/>
      <c r="BB1419" s="2" t="n">
        <v>1112</v>
      </c>
      <c r="BC1419" s="2" t="n">
        <v>1121</v>
      </c>
      <c r="BD1419" s="2"/>
      <c r="BE1419" s="2" t="s">
        <v>24751</v>
      </c>
      <c r="BF1419" s="2" t="str">
        <f aca="false">HYPERLINK("http://dx.doi.org/10.1111/irv.13034","http://dx.doi.org/10.1111/irv.13034")</f>
        <v>http://dx.doi.org/10.1111/irv.13034</v>
      </c>
      <c r="BG1419" s="2"/>
      <c r="BH1419" s="2" t="s">
        <v>2216</v>
      </c>
      <c r="BI1419" s="2" t="n">
        <v>10</v>
      </c>
      <c r="BJ1419" s="2" t="s">
        <v>8287</v>
      </c>
      <c r="BK1419" s="2" t="s">
        <v>100</v>
      </c>
      <c r="BL1419" s="2" t="s">
        <v>8287</v>
      </c>
      <c r="BM1419" s="2" t="s">
        <v>22543</v>
      </c>
      <c r="BN1419" s="2" t="n">
        <v>35965382</v>
      </c>
      <c r="BO1419" s="2" t="s">
        <v>165</v>
      </c>
      <c r="BP1419" s="2"/>
      <c r="BQ1419" s="2"/>
      <c r="BR1419" s="2" t="s">
        <v>104</v>
      </c>
      <c r="BS1419" s="2" t="s">
        <v>24752</v>
      </c>
      <c r="BT1419" s="2" t="str">
        <f aca="false">HYPERLINK("https%3A%2F%2Fwww.webofscience.com%2Fwos%2Fwoscc%2Ffull-record%2FWOS:000840373000001","View Full Record in Web of Science")</f>
        <v>View Full Record in Web of Science</v>
      </c>
    </row>
    <row r="1420" customFormat="false" ht="12.75" hidden="false" customHeight="false" outlineLevel="0" collapsed="false">
      <c r="A1420" s="2" t="s">
        <v>72</v>
      </c>
      <c r="B1420" s="2" t="s">
        <v>24753</v>
      </c>
      <c r="C1420" s="2"/>
      <c r="D1420" s="2"/>
      <c r="E1420" s="2"/>
      <c r="F1420" s="2" t="s">
        <v>24754</v>
      </c>
      <c r="G1420" s="2"/>
      <c r="H1420" s="2"/>
      <c r="I1420" s="2" t="s">
        <v>24755</v>
      </c>
      <c r="J1420" s="2" t="s">
        <v>24756</v>
      </c>
      <c r="K1420" s="2"/>
      <c r="L1420" s="2"/>
      <c r="M1420" s="2" t="s">
        <v>77</v>
      </c>
      <c r="N1420" s="2" t="s">
        <v>78</v>
      </c>
      <c r="O1420" s="2"/>
      <c r="P1420" s="2"/>
      <c r="Q1420" s="2"/>
      <c r="R1420" s="2"/>
      <c r="S1420" s="2"/>
      <c r="T1420" s="2" t="s">
        <v>24757</v>
      </c>
      <c r="U1420" s="2" t="s">
        <v>24758</v>
      </c>
      <c r="V1420" s="2" t="s">
        <v>24759</v>
      </c>
      <c r="W1420" s="2" t="s">
        <v>24760</v>
      </c>
      <c r="X1420" s="2" t="s">
        <v>16119</v>
      </c>
      <c r="Y1420" s="2" t="s">
        <v>24761</v>
      </c>
      <c r="Z1420" s="2" t="s">
        <v>24762</v>
      </c>
      <c r="AA1420" s="2"/>
      <c r="AB1420" s="2"/>
      <c r="AC1420" s="2"/>
      <c r="AD1420" s="2"/>
      <c r="AE1420" s="2"/>
      <c r="AF1420" s="2"/>
      <c r="AG1420" s="2" t="n">
        <v>36</v>
      </c>
      <c r="AH1420" s="2" t="n">
        <v>0</v>
      </c>
      <c r="AI1420" s="2" t="n">
        <v>0</v>
      </c>
      <c r="AJ1420" s="2" t="n">
        <v>0</v>
      </c>
      <c r="AK1420" s="2" t="n">
        <v>0</v>
      </c>
      <c r="AL1420" s="2" t="s">
        <v>122</v>
      </c>
      <c r="AM1420" s="2" t="s">
        <v>123</v>
      </c>
      <c r="AN1420" s="2" t="s">
        <v>124</v>
      </c>
      <c r="AO1420" s="2" t="s">
        <v>24763</v>
      </c>
      <c r="AP1420" s="2" t="s">
        <v>24764</v>
      </c>
      <c r="AQ1420" s="2"/>
      <c r="AR1420" s="2" t="s">
        <v>24765</v>
      </c>
      <c r="AS1420" s="2" t="s">
        <v>24766</v>
      </c>
      <c r="AT1420" s="2" t="s">
        <v>804</v>
      </c>
      <c r="AU1420" s="2" t="n">
        <v>2024</v>
      </c>
      <c r="AV1420" s="2" t="n">
        <v>31</v>
      </c>
      <c r="AW1420" s="2" t="n">
        <v>6</v>
      </c>
      <c r="AX1420" s="2"/>
      <c r="AY1420" s="2"/>
      <c r="AZ1420" s="2"/>
      <c r="BA1420" s="2"/>
      <c r="BB1420" s="2" t="n">
        <v>270</v>
      </c>
      <c r="BC1420" s="2" t="n">
        <v>274</v>
      </c>
      <c r="BD1420" s="2"/>
      <c r="BE1420" s="2" t="s">
        <v>24767</v>
      </c>
      <c r="BF1420" s="2" t="str">
        <f aca="false">HYPERLINK("http://dx.doi.org/10.1097/MOH.0000000000000833","http://dx.doi.org/10.1097/MOH.0000000000000833")</f>
        <v>http://dx.doi.org/10.1097/MOH.0000000000000833</v>
      </c>
      <c r="BG1420" s="2"/>
      <c r="BH1420" s="2"/>
      <c r="BI1420" s="2" t="n">
        <v>5</v>
      </c>
      <c r="BJ1420" s="2" t="s">
        <v>10888</v>
      </c>
      <c r="BK1420" s="2" t="s">
        <v>100</v>
      </c>
      <c r="BL1420" s="2" t="s">
        <v>10888</v>
      </c>
      <c r="BM1420" s="2" t="s">
        <v>24768</v>
      </c>
      <c r="BN1420" s="2" t="n">
        <v>39324900</v>
      </c>
      <c r="BO1420" s="2"/>
      <c r="BP1420" s="2"/>
      <c r="BQ1420" s="2"/>
      <c r="BR1420" s="2" t="s">
        <v>104</v>
      </c>
      <c r="BS1420" s="2" t="s">
        <v>24769</v>
      </c>
      <c r="BT1420" s="2" t="str">
        <f aca="false">HYPERLINK("https%3A%2F%2Fwww.webofscience.com%2Fwos%2Fwoscc%2Ffull-record%2FWOS:001321877900008","View Full Record in Web of Science")</f>
        <v>View Full Record in Web of Science</v>
      </c>
    </row>
    <row r="1421" customFormat="false" ht="12.75" hidden="false" customHeight="false" outlineLevel="0" collapsed="false">
      <c r="A1421" s="2" t="s">
        <v>72</v>
      </c>
      <c r="B1421" s="2" t="s">
        <v>24770</v>
      </c>
      <c r="C1421" s="2"/>
      <c r="D1421" s="2"/>
      <c r="E1421" s="2"/>
      <c r="F1421" s="2" t="s">
        <v>24771</v>
      </c>
      <c r="G1421" s="2"/>
      <c r="H1421" s="2"/>
      <c r="I1421" s="2" t="s">
        <v>24772</v>
      </c>
      <c r="J1421" s="2" t="s">
        <v>24773</v>
      </c>
      <c r="K1421" s="2"/>
      <c r="L1421" s="2"/>
      <c r="M1421" s="2" t="s">
        <v>77</v>
      </c>
      <c r="N1421" s="2" t="s">
        <v>78</v>
      </c>
      <c r="O1421" s="2"/>
      <c r="P1421" s="2"/>
      <c r="Q1421" s="2"/>
      <c r="R1421" s="2"/>
      <c r="S1421" s="2"/>
      <c r="T1421" s="2" t="s">
        <v>24774</v>
      </c>
      <c r="U1421" s="2" t="s">
        <v>24775</v>
      </c>
      <c r="V1421" s="2" t="s">
        <v>24776</v>
      </c>
      <c r="W1421" s="2" t="s">
        <v>24777</v>
      </c>
      <c r="X1421" s="2" t="s">
        <v>24778</v>
      </c>
      <c r="Y1421" s="2" t="s">
        <v>24779</v>
      </c>
      <c r="Z1421" s="2" t="s">
        <v>24780</v>
      </c>
      <c r="AA1421" s="2" t="s">
        <v>24781</v>
      </c>
      <c r="AB1421" s="2"/>
      <c r="AC1421" s="2" t="s">
        <v>24782</v>
      </c>
      <c r="AD1421" s="2" t="s">
        <v>24783</v>
      </c>
      <c r="AE1421" s="2" t="s">
        <v>24784</v>
      </c>
      <c r="AF1421" s="2"/>
      <c r="AG1421" s="2" t="n">
        <v>23</v>
      </c>
      <c r="AH1421" s="2" t="n">
        <v>0</v>
      </c>
      <c r="AI1421" s="2" t="n">
        <v>0</v>
      </c>
      <c r="AJ1421" s="2" t="n">
        <v>0</v>
      </c>
      <c r="AK1421" s="2" t="n">
        <v>0</v>
      </c>
      <c r="AL1421" s="2" t="s">
        <v>24785</v>
      </c>
      <c r="AM1421" s="2" t="s">
        <v>24786</v>
      </c>
      <c r="AN1421" s="2" t="s">
        <v>24787</v>
      </c>
      <c r="AO1421" s="2" t="s">
        <v>24788</v>
      </c>
      <c r="AP1421" s="2"/>
      <c r="AQ1421" s="2"/>
      <c r="AR1421" s="2" t="s">
        <v>24789</v>
      </c>
      <c r="AS1421" s="2" t="s">
        <v>24790</v>
      </c>
      <c r="AT1421" s="2" t="s">
        <v>336</v>
      </c>
      <c r="AU1421" s="2" t="n">
        <v>2021</v>
      </c>
      <c r="AV1421" s="2" t="n">
        <v>16</v>
      </c>
      <c r="AW1421" s="2" t="n">
        <v>10</v>
      </c>
      <c r="AX1421" s="2"/>
      <c r="AY1421" s="2"/>
      <c r="AZ1421" s="2"/>
      <c r="BA1421" s="2"/>
      <c r="BB1421" s="2" t="n">
        <v>87</v>
      </c>
      <c r="BC1421" s="2" t="n">
        <v>91</v>
      </c>
      <c r="BD1421" s="2"/>
      <c r="BE1421" s="2"/>
      <c r="BF1421" s="2"/>
      <c r="BG1421" s="2"/>
      <c r="BH1421" s="2"/>
      <c r="BI1421" s="2" t="n">
        <v>5</v>
      </c>
      <c r="BJ1421" s="2" t="s">
        <v>24791</v>
      </c>
      <c r="BK1421" s="2" t="s">
        <v>339</v>
      </c>
      <c r="BL1421" s="2" t="s">
        <v>24791</v>
      </c>
      <c r="BM1421" s="2" t="s">
        <v>24792</v>
      </c>
      <c r="BN1421" s="2"/>
      <c r="BO1421" s="2"/>
      <c r="BP1421" s="2"/>
      <c r="BQ1421" s="2"/>
      <c r="BR1421" s="2" t="s">
        <v>104</v>
      </c>
      <c r="BS1421" s="2" t="s">
        <v>24793</v>
      </c>
      <c r="BT1421" s="2" t="str">
        <f aca="false">HYPERLINK("https%3A%2F%2Fwww.webofscience.com%2Fwos%2Fwoscc%2Ffull-record%2FWOS:000702072800013","View Full Record in Web of Science")</f>
        <v>View Full Record in Web of Science</v>
      </c>
    </row>
    <row r="1422" customFormat="false" ht="12.75" hidden="false" customHeight="false" outlineLevel="0" collapsed="false">
      <c r="A1422" s="2" t="s">
        <v>72</v>
      </c>
      <c r="B1422" s="2" t="s">
        <v>24794</v>
      </c>
      <c r="C1422" s="2"/>
      <c r="D1422" s="2"/>
      <c r="E1422" s="2"/>
      <c r="F1422" s="2" t="s">
        <v>24795</v>
      </c>
      <c r="G1422" s="2"/>
      <c r="H1422" s="2"/>
      <c r="I1422" s="2" t="s">
        <v>24796</v>
      </c>
      <c r="J1422" s="2" t="s">
        <v>1473</v>
      </c>
      <c r="K1422" s="2"/>
      <c r="L1422" s="2"/>
      <c r="M1422" s="2" t="s">
        <v>77</v>
      </c>
      <c r="N1422" s="2" t="s">
        <v>78</v>
      </c>
      <c r="O1422" s="2"/>
      <c r="P1422" s="2"/>
      <c r="Q1422" s="2"/>
      <c r="R1422" s="2"/>
      <c r="S1422" s="2"/>
      <c r="T1422" s="2" t="s">
        <v>24797</v>
      </c>
      <c r="U1422" s="2" t="s">
        <v>24798</v>
      </c>
      <c r="V1422" s="2" t="s">
        <v>24799</v>
      </c>
      <c r="W1422" s="2" t="s">
        <v>24800</v>
      </c>
      <c r="X1422" s="2" t="s">
        <v>24801</v>
      </c>
      <c r="Y1422" s="2" t="s">
        <v>24802</v>
      </c>
      <c r="Z1422" s="2" t="s">
        <v>24803</v>
      </c>
      <c r="AA1422" s="2" t="s">
        <v>24804</v>
      </c>
      <c r="AB1422" s="2"/>
      <c r="AC1422" s="2"/>
      <c r="AD1422" s="2"/>
      <c r="AE1422" s="2"/>
      <c r="AF1422" s="2"/>
      <c r="AG1422" s="2" t="n">
        <v>25</v>
      </c>
      <c r="AH1422" s="2" t="n">
        <v>12</v>
      </c>
      <c r="AI1422" s="2" t="n">
        <v>12</v>
      </c>
      <c r="AJ1422" s="2" t="n">
        <v>0</v>
      </c>
      <c r="AK1422" s="2" t="n">
        <v>2</v>
      </c>
      <c r="AL1422" s="2" t="s">
        <v>154</v>
      </c>
      <c r="AM1422" s="2" t="s">
        <v>155</v>
      </c>
      <c r="AN1422" s="2" t="s">
        <v>156</v>
      </c>
      <c r="AO1422" s="2" t="s">
        <v>1485</v>
      </c>
      <c r="AP1422" s="2" t="s">
        <v>1486</v>
      </c>
      <c r="AQ1422" s="2"/>
      <c r="AR1422" s="2" t="s">
        <v>1487</v>
      </c>
      <c r="AS1422" s="2" t="s">
        <v>1488</v>
      </c>
      <c r="AT1422" s="2" t="s">
        <v>185</v>
      </c>
      <c r="AU1422" s="2" t="n">
        <v>2020</v>
      </c>
      <c r="AV1422" s="2" t="n">
        <v>22</v>
      </c>
      <c r="AW1422" s="2" t="n">
        <v>4</v>
      </c>
      <c r="AX1422" s="2"/>
      <c r="AY1422" s="2"/>
      <c r="AZ1422" s="2"/>
      <c r="BA1422" s="2"/>
      <c r="BB1422" s="2"/>
      <c r="BC1422" s="2"/>
      <c r="BD1422" s="2" t="s">
        <v>24805</v>
      </c>
      <c r="BE1422" s="2" t="s">
        <v>24806</v>
      </c>
      <c r="BF1422" s="2" t="str">
        <f aca="false">HYPERLINK("http://dx.doi.org/10.1111/tid.13276","http://dx.doi.org/10.1111/tid.13276")</f>
        <v>http://dx.doi.org/10.1111/tid.13276</v>
      </c>
      <c r="BG1422" s="2"/>
      <c r="BH1422" s="2" t="s">
        <v>24807</v>
      </c>
      <c r="BI1422" s="2" t="n">
        <v>7</v>
      </c>
      <c r="BJ1422" s="2" t="s">
        <v>1490</v>
      </c>
      <c r="BK1422" s="2" t="s">
        <v>100</v>
      </c>
      <c r="BL1422" s="2" t="s">
        <v>1490</v>
      </c>
      <c r="BM1422" s="2" t="s">
        <v>24808</v>
      </c>
      <c r="BN1422" s="2" t="n">
        <v>32162389</v>
      </c>
      <c r="BO1422" s="2" t="s">
        <v>284</v>
      </c>
      <c r="BP1422" s="2"/>
      <c r="BQ1422" s="2"/>
      <c r="BR1422" s="2" t="s">
        <v>104</v>
      </c>
      <c r="BS1422" s="2" t="s">
        <v>24809</v>
      </c>
      <c r="BT1422" s="2" t="str">
        <f aca="false">HYPERLINK("https%3A%2F%2Fwww.webofscience.com%2Fwos%2Fwoscc%2Ffull-record%2FWOS:000523700900001","View Full Record in Web of Science")</f>
        <v>View Full Record in Web of Science</v>
      </c>
    </row>
    <row r="1423" customFormat="false" ht="12.75" hidden="false" customHeight="false" outlineLevel="0" collapsed="false">
      <c r="A1423" s="2" t="s">
        <v>72</v>
      </c>
      <c r="B1423" s="2" t="s">
        <v>24810</v>
      </c>
      <c r="C1423" s="2"/>
      <c r="D1423" s="2"/>
      <c r="E1423" s="2"/>
      <c r="F1423" s="2" t="s">
        <v>24811</v>
      </c>
      <c r="G1423" s="2"/>
      <c r="H1423" s="2"/>
      <c r="I1423" s="2" t="s">
        <v>24812</v>
      </c>
      <c r="J1423" s="2" t="s">
        <v>1473</v>
      </c>
      <c r="K1423" s="2"/>
      <c r="L1423" s="2"/>
      <c r="M1423" s="2" t="s">
        <v>77</v>
      </c>
      <c r="N1423" s="2" t="s">
        <v>78</v>
      </c>
      <c r="O1423" s="2"/>
      <c r="P1423" s="2"/>
      <c r="Q1423" s="2"/>
      <c r="R1423" s="2"/>
      <c r="S1423" s="2"/>
      <c r="T1423" s="2" t="s">
        <v>24813</v>
      </c>
      <c r="U1423" s="2" t="s">
        <v>24814</v>
      </c>
      <c r="V1423" s="2" t="s">
        <v>24815</v>
      </c>
      <c r="W1423" s="2" t="s">
        <v>24816</v>
      </c>
      <c r="X1423" s="2" t="s">
        <v>24817</v>
      </c>
      <c r="Y1423" s="2" t="s">
        <v>24818</v>
      </c>
      <c r="Z1423" s="2" t="s">
        <v>4072</v>
      </c>
      <c r="AA1423" s="2" t="s">
        <v>4073</v>
      </c>
      <c r="AB1423" s="2" t="s">
        <v>24819</v>
      </c>
      <c r="AC1423" s="2"/>
      <c r="AD1423" s="2"/>
      <c r="AE1423" s="2"/>
      <c r="AF1423" s="2"/>
      <c r="AG1423" s="2" t="n">
        <v>21</v>
      </c>
      <c r="AH1423" s="2" t="n">
        <v>3</v>
      </c>
      <c r="AI1423" s="2" t="n">
        <v>3</v>
      </c>
      <c r="AJ1423" s="2" t="n">
        <v>0</v>
      </c>
      <c r="AK1423" s="2" t="n">
        <v>1</v>
      </c>
      <c r="AL1423" s="2" t="s">
        <v>154</v>
      </c>
      <c r="AM1423" s="2" t="s">
        <v>155</v>
      </c>
      <c r="AN1423" s="2" t="s">
        <v>156</v>
      </c>
      <c r="AO1423" s="2" t="s">
        <v>1485</v>
      </c>
      <c r="AP1423" s="2" t="s">
        <v>1486</v>
      </c>
      <c r="AQ1423" s="2"/>
      <c r="AR1423" s="2" t="s">
        <v>1487</v>
      </c>
      <c r="AS1423" s="2" t="s">
        <v>1488</v>
      </c>
      <c r="AT1423" s="2" t="s">
        <v>185</v>
      </c>
      <c r="AU1423" s="2" t="n">
        <v>2022</v>
      </c>
      <c r="AV1423" s="2" t="n">
        <v>24</v>
      </c>
      <c r="AW1423" s="2" t="n">
        <v>4</v>
      </c>
      <c r="AX1423" s="2"/>
      <c r="AY1423" s="2"/>
      <c r="AZ1423" s="2"/>
      <c r="BA1423" s="2"/>
      <c r="BB1423" s="2"/>
      <c r="BC1423" s="2"/>
      <c r="BD1423" s="2" t="s">
        <v>24820</v>
      </c>
      <c r="BE1423" s="2" t="s">
        <v>24821</v>
      </c>
      <c r="BF1423" s="2" t="str">
        <f aca="false">HYPERLINK("http://dx.doi.org/10.1111/tid.13866","http://dx.doi.org/10.1111/tid.13866")</f>
        <v>http://dx.doi.org/10.1111/tid.13866</v>
      </c>
      <c r="BG1423" s="2"/>
      <c r="BH1423" s="2" t="s">
        <v>2561</v>
      </c>
      <c r="BI1423" s="2" t="n">
        <v>6</v>
      </c>
      <c r="BJ1423" s="2" t="s">
        <v>1490</v>
      </c>
      <c r="BK1423" s="2" t="s">
        <v>100</v>
      </c>
      <c r="BL1423" s="2" t="s">
        <v>1490</v>
      </c>
      <c r="BM1423" s="2" t="s">
        <v>24822</v>
      </c>
      <c r="BN1423" s="2" t="n">
        <v>35598293</v>
      </c>
      <c r="BO1423" s="2" t="s">
        <v>165</v>
      </c>
      <c r="BP1423" s="2"/>
      <c r="BQ1423" s="2"/>
      <c r="BR1423" s="2" t="s">
        <v>104</v>
      </c>
      <c r="BS1423" s="2" t="s">
        <v>24823</v>
      </c>
      <c r="BT1423" s="2" t="str">
        <f aca="false">HYPERLINK("https%3A%2F%2Fwww.webofscience.com%2Fwos%2Fwoscc%2Ffull-record%2FWOS:000804471200001","View Full Record in Web of Science")</f>
        <v>View Full Record in Web of Science</v>
      </c>
    </row>
    <row r="1424" customFormat="false" ht="12.75" hidden="false" customHeight="false" outlineLevel="0" collapsed="false">
      <c r="A1424" s="2" t="s">
        <v>72</v>
      </c>
      <c r="B1424" s="2" t="s">
        <v>24824</v>
      </c>
      <c r="C1424" s="2"/>
      <c r="D1424" s="2"/>
      <c r="E1424" s="2"/>
      <c r="F1424" s="2" t="s">
        <v>24825</v>
      </c>
      <c r="G1424" s="2"/>
      <c r="H1424" s="2"/>
      <c r="I1424" s="2" t="s">
        <v>24826</v>
      </c>
      <c r="J1424" s="2" t="s">
        <v>7379</v>
      </c>
      <c r="K1424" s="2"/>
      <c r="L1424" s="2"/>
      <c r="M1424" s="2" t="s">
        <v>77</v>
      </c>
      <c r="N1424" s="2" t="s">
        <v>78</v>
      </c>
      <c r="O1424" s="2"/>
      <c r="P1424" s="2"/>
      <c r="Q1424" s="2"/>
      <c r="R1424" s="2"/>
      <c r="S1424" s="2"/>
      <c r="T1424" s="2" t="s">
        <v>24827</v>
      </c>
      <c r="U1424" s="2" t="s">
        <v>24828</v>
      </c>
      <c r="V1424" s="2" t="s">
        <v>24829</v>
      </c>
      <c r="W1424" s="2" t="s">
        <v>24830</v>
      </c>
      <c r="X1424" s="2" t="s">
        <v>24831</v>
      </c>
      <c r="Y1424" s="2" t="s">
        <v>24832</v>
      </c>
      <c r="Z1424" s="2" t="s">
        <v>24833</v>
      </c>
      <c r="AA1424" s="2" t="s">
        <v>24834</v>
      </c>
      <c r="AB1424" s="2" t="s">
        <v>24835</v>
      </c>
      <c r="AC1424" s="2" t="s">
        <v>24836</v>
      </c>
      <c r="AD1424" s="2" t="s">
        <v>24837</v>
      </c>
      <c r="AE1424" s="2" t="s">
        <v>24838</v>
      </c>
      <c r="AF1424" s="2"/>
      <c r="AG1424" s="2" t="n">
        <v>63</v>
      </c>
      <c r="AH1424" s="2" t="n">
        <v>12</v>
      </c>
      <c r="AI1424" s="2" t="n">
        <v>12</v>
      </c>
      <c r="AJ1424" s="2" t="n">
        <v>0</v>
      </c>
      <c r="AK1424" s="2" t="n">
        <v>2</v>
      </c>
      <c r="AL1424" s="2" t="s">
        <v>154</v>
      </c>
      <c r="AM1424" s="2" t="s">
        <v>155</v>
      </c>
      <c r="AN1424" s="2" t="s">
        <v>156</v>
      </c>
      <c r="AO1424" s="2" t="s">
        <v>7389</v>
      </c>
      <c r="AP1424" s="2" t="s">
        <v>7390</v>
      </c>
      <c r="AQ1424" s="2"/>
      <c r="AR1424" s="2" t="s">
        <v>7391</v>
      </c>
      <c r="AS1424" s="2" t="s">
        <v>7392</v>
      </c>
      <c r="AT1424" s="2" t="s">
        <v>446</v>
      </c>
      <c r="AU1424" s="2" t="n">
        <v>2019</v>
      </c>
      <c r="AV1424" s="2" t="n">
        <v>19</v>
      </c>
      <c r="AW1424" s="2" t="n">
        <v>12</v>
      </c>
      <c r="AX1424" s="2"/>
      <c r="AY1424" s="2"/>
      <c r="AZ1424" s="2"/>
      <c r="BA1424" s="2"/>
      <c r="BB1424" s="2" t="n">
        <v>3284</v>
      </c>
      <c r="BC1424" s="2" t="n">
        <v>3298</v>
      </c>
      <c r="BD1424" s="2"/>
      <c r="BE1424" s="2" t="s">
        <v>24839</v>
      </c>
      <c r="BF1424" s="2" t="str">
        <f aca="false">HYPERLINK("http://dx.doi.org/10.1111/ajt.15505","http://dx.doi.org/10.1111/ajt.15505")</f>
        <v>http://dx.doi.org/10.1111/ajt.15505</v>
      </c>
      <c r="BG1424" s="2"/>
      <c r="BH1424" s="2" t="s">
        <v>24840</v>
      </c>
      <c r="BI1424" s="2" t="n">
        <v>15</v>
      </c>
      <c r="BJ1424" s="2" t="s">
        <v>7394</v>
      </c>
      <c r="BK1424" s="2" t="s">
        <v>100</v>
      </c>
      <c r="BL1424" s="2" t="s">
        <v>7394</v>
      </c>
      <c r="BM1424" s="2" t="s">
        <v>24841</v>
      </c>
      <c r="BN1424" s="2" t="n">
        <v>31216376</v>
      </c>
      <c r="BO1424" s="2" t="s">
        <v>2839</v>
      </c>
      <c r="BP1424" s="2"/>
      <c r="BQ1424" s="2"/>
      <c r="BR1424" s="2" t="s">
        <v>104</v>
      </c>
      <c r="BS1424" s="2" t="s">
        <v>24842</v>
      </c>
      <c r="BT1424" s="2" t="str">
        <f aca="false">HYPERLINK("https%3A%2F%2Fwww.webofscience.com%2Fwos%2Fwoscc%2Ffull-record%2FWOS:000479456500001","View Full Record in Web of Science")</f>
        <v>View Full Record in Web of Science</v>
      </c>
    </row>
    <row r="1425" customFormat="false" ht="12.75" hidden="false" customHeight="false" outlineLevel="0" collapsed="false">
      <c r="A1425" s="2" t="s">
        <v>72</v>
      </c>
      <c r="B1425" s="2" t="s">
        <v>24843</v>
      </c>
      <c r="C1425" s="2"/>
      <c r="D1425" s="2"/>
      <c r="E1425" s="2"/>
      <c r="F1425" s="2" t="s">
        <v>24844</v>
      </c>
      <c r="G1425" s="2"/>
      <c r="H1425" s="2" t="s">
        <v>24845</v>
      </c>
      <c r="I1425" s="2" t="s">
        <v>24846</v>
      </c>
      <c r="J1425" s="2" t="s">
        <v>19092</v>
      </c>
      <c r="K1425" s="2"/>
      <c r="L1425" s="2"/>
      <c r="M1425" s="2" t="s">
        <v>77</v>
      </c>
      <c r="N1425" s="2" t="s">
        <v>78</v>
      </c>
      <c r="O1425" s="2"/>
      <c r="P1425" s="2"/>
      <c r="Q1425" s="2"/>
      <c r="R1425" s="2"/>
      <c r="S1425" s="2"/>
      <c r="T1425" s="2" t="s">
        <v>24847</v>
      </c>
      <c r="U1425" s="2" t="s">
        <v>24848</v>
      </c>
      <c r="V1425" s="2" t="s">
        <v>24849</v>
      </c>
      <c r="W1425" s="2" t="s">
        <v>24850</v>
      </c>
      <c r="X1425" s="2" t="s">
        <v>20256</v>
      </c>
      <c r="Y1425" s="2" t="s">
        <v>24851</v>
      </c>
      <c r="Z1425" s="2" t="s">
        <v>2827</v>
      </c>
      <c r="AA1425" s="2" t="s">
        <v>24852</v>
      </c>
      <c r="AB1425" s="2" t="s">
        <v>24853</v>
      </c>
      <c r="AC1425" s="2" t="s">
        <v>24854</v>
      </c>
      <c r="AD1425" s="2" t="s">
        <v>24855</v>
      </c>
      <c r="AE1425" s="2" t="s">
        <v>24856</v>
      </c>
      <c r="AF1425" s="2"/>
      <c r="AG1425" s="2" t="n">
        <v>31</v>
      </c>
      <c r="AH1425" s="2" t="n">
        <v>22</v>
      </c>
      <c r="AI1425" s="2" t="n">
        <v>22</v>
      </c>
      <c r="AJ1425" s="2" t="n">
        <v>0</v>
      </c>
      <c r="AK1425" s="2" t="n">
        <v>4</v>
      </c>
      <c r="AL1425" s="2" t="s">
        <v>154</v>
      </c>
      <c r="AM1425" s="2" t="s">
        <v>155</v>
      </c>
      <c r="AN1425" s="2" t="s">
        <v>156</v>
      </c>
      <c r="AO1425" s="2" t="s">
        <v>19104</v>
      </c>
      <c r="AP1425" s="2" t="s">
        <v>19105</v>
      </c>
      <c r="AQ1425" s="2"/>
      <c r="AR1425" s="2" t="s">
        <v>19092</v>
      </c>
      <c r="AS1425" s="2" t="s">
        <v>19106</v>
      </c>
      <c r="AT1425" s="2" t="s">
        <v>390</v>
      </c>
      <c r="AU1425" s="2" t="n">
        <v>2010</v>
      </c>
      <c r="AV1425" s="2" t="n">
        <v>15</v>
      </c>
      <c r="AW1425" s="2" t="n">
        <v>4</v>
      </c>
      <c r="AX1425" s="2"/>
      <c r="AY1425" s="2"/>
      <c r="AZ1425" s="2"/>
      <c r="BA1425" s="2"/>
      <c r="BB1425" s="2" t="n">
        <v>691</v>
      </c>
      <c r="BC1425" s="2" t="n">
        <v>699</v>
      </c>
      <c r="BD1425" s="2"/>
      <c r="BE1425" s="2" t="s">
        <v>24857</v>
      </c>
      <c r="BF1425" s="2" t="str">
        <f aca="false">HYPERLINK("http://dx.doi.org/10.1111/j.1440-1843.2010.01743.x","http://dx.doi.org/10.1111/j.1440-1843.2010.01743.x")</f>
        <v>http://dx.doi.org/10.1111/j.1440-1843.2010.01743.x</v>
      </c>
      <c r="BG1425" s="2"/>
      <c r="BH1425" s="2"/>
      <c r="BI1425" s="2" t="n">
        <v>9</v>
      </c>
      <c r="BJ1425" s="2" t="s">
        <v>338</v>
      </c>
      <c r="BK1425" s="2" t="s">
        <v>100</v>
      </c>
      <c r="BL1425" s="2" t="s">
        <v>338</v>
      </c>
      <c r="BM1425" s="2" t="s">
        <v>24858</v>
      </c>
      <c r="BN1425" s="2" t="n">
        <v>20409023</v>
      </c>
      <c r="BO1425" s="2" t="s">
        <v>1089</v>
      </c>
      <c r="BP1425" s="2"/>
      <c r="BQ1425" s="2"/>
      <c r="BR1425" s="2" t="s">
        <v>104</v>
      </c>
      <c r="BS1425" s="2" t="s">
        <v>24859</v>
      </c>
      <c r="BT1425" s="2" t="str">
        <f aca="false">HYPERLINK("https%3A%2F%2Fwww.webofscience.com%2Fwos%2Fwoscc%2Ffull-record%2FWOS:000277169300015","View Full Record in Web of Science")</f>
        <v>View Full Record in Web of Science</v>
      </c>
    </row>
    <row r="1426" customFormat="false" ht="12.75" hidden="false" customHeight="false" outlineLevel="0" collapsed="false">
      <c r="A1426" s="2" t="s">
        <v>72</v>
      </c>
      <c r="B1426" s="2" t="s">
        <v>24860</v>
      </c>
      <c r="C1426" s="2"/>
      <c r="D1426" s="2"/>
      <c r="E1426" s="2"/>
      <c r="F1426" s="2" t="s">
        <v>24861</v>
      </c>
      <c r="G1426" s="2"/>
      <c r="H1426" s="2"/>
      <c r="I1426" s="2" t="s">
        <v>24862</v>
      </c>
      <c r="J1426" s="2" t="s">
        <v>141</v>
      </c>
      <c r="K1426" s="2"/>
      <c r="L1426" s="2"/>
      <c r="M1426" s="2" t="s">
        <v>77</v>
      </c>
      <c r="N1426" s="2" t="s">
        <v>78</v>
      </c>
      <c r="O1426" s="2"/>
      <c r="P1426" s="2"/>
      <c r="Q1426" s="2"/>
      <c r="R1426" s="2"/>
      <c r="S1426" s="2"/>
      <c r="T1426" s="2" t="s">
        <v>24863</v>
      </c>
      <c r="U1426" s="2" t="s">
        <v>24864</v>
      </c>
      <c r="V1426" s="2" t="s">
        <v>24865</v>
      </c>
      <c r="W1426" s="2" t="s">
        <v>24866</v>
      </c>
      <c r="X1426" s="2" t="s">
        <v>24867</v>
      </c>
      <c r="Y1426" s="2" t="s">
        <v>24868</v>
      </c>
      <c r="Z1426" s="2" t="s">
        <v>24869</v>
      </c>
      <c r="AA1426" s="2" t="s">
        <v>24870</v>
      </c>
      <c r="AB1426" s="2" t="s">
        <v>24871</v>
      </c>
      <c r="AC1426" s="2" t="s">
        <v>24872</v>
      </c>
      <c r="AD1426" s="2" t="s">
        <v>24873</v>
      </c>
      <c r="AE1426" s="2" t="s">
        <v>24874</v>
      </c>
      <c r="AF1426" s="2"/>
      <c r="AG1426" s="2" t="n">
        <v>26</v>
      </c>
      <c r="AH1426" s="2" t="n">
        <v>5</v>
      </c>
      <c r="AI1426" s="2" t="n">
        <v>5</v>
      </c>
      <c r="AJ1426" s="2" t="n">
        <v>0</v>
      </c>
      <c r="AK1426" s="2" t="n">
        <v>9</v>
      </c>
      <c r="AL1426" s="2" t="s">
        <v>154</v>
      </c>
      <c r="AM1426" s="2" t="s">
        <v>155</v>
      </c>
      <c r="AN1426" s="2" t="s">
        <v>156</v>
      </c>
      <c r="AO1426" s="2" t="s">
        <v>157</v>
      </c>
      <c r="AP1426" s="2" t="s">
        <v>158</v>
      </c>
      <c r="AQ1426" s="2"/>
      <c r="AR1426" s="2" t="s">
        <v>159</v>
      </c>
      <c r="AS1426" s="2" t="s">
        <v>160</v>
      </c>
      <c r="AT1426" s="2" t="s">
        <v>599</v>
      </c>
      <c r="AU1426" s="2" t="n">
        <v>2014</v>
      </c>
      <c r="AV1426" s="2" t="n">
        <v>86</v>
      </c>
      <c r="AW1426" s="2" t="n">
        <v>7</v>
      </c>
      <c r="AX1426" s="2"/>
      <c r="AY1426" s="2"/>
      <c r="AZ1426" s="2"/>
      <c r="BA1426" s="2"/>
      <c r="BB1426" s="2" t="n">
        <v>1176</v>
      </c>
      <c r="BC1426" s="2" t="n">
        <v>1180</v>
      </c>
      <c r="BD1426" s="2"/>
      <c r="BE1426" s="2" t="s">
        <v>24875</v>
      </c>
      <c r="BF1426" s="2" t="str">
        <f aca="false">HYPERLINK("http://dx.doi.org/10.1002/jmv.23755","http://dx.doi.org/10.1002/jmv.23755")</f>
        <v>http://dx.doi.org/10.1002/jmv.23755</v>
      </c>
      <c r="BG1426" s="2"/>
      <c r="BH1426" s="2"/>
      <c r="BI1426" s="2" t="n">
        <v>5</v>
      </c>
      <c r="BJ1426" s="2" t="s">
        <v>163</v>
      </c>
      <c r="BK1426" s="2" t="s">
        <v>100</v>
      </c>
      <c r="BL1426" s="2" t="s">
        <v>163</v>
      </c>
      <c r="BM1426" s="2" t="s">
        <v>3842</v>
      </c>
      <c r="BN1426" s="2" t="n">
        <v>24249525</v>
      </c>
      <c r="BO1426" s="2"/>
      <c r="BP1426" s="2"/>
      <c r="BQ1426" s="2"/>
      <c r="BR1426" s="2" t="s">
        <v>104</v>
      </c>
      <c r="BS1426" s="2" t="s">
        <v>24876</v>
      </c>
      <c r="BT1426" s="2" t="str">
        <f aca="false">HYPERLINK("https%3A%2F%2Fwww.webofscience.com%2Fwos%2Fwoscc%2Ffull-record%2FWOS:000335195300012","View Full Record in Web of Science")</f>
        <v>View Full Record in Web of Science</v>
      </c>
    </row>
    <row r="1427" customFormat="false" ht="12.75" hidden="false" customHeight="false" outlineLevel="0" collapsed="false">
      <c r="A1427" s="2" t="s">
        <v>72</v>
      </c>
      <c r="B1427" s="2" t="s">
        <v>24877</v>
      </c>
      <c r="C1427" s="2"/>
      <c r="D1427" s="2"/>
      <c r="E1427" s="2"/>
      <c r="F1427" s="2" t="s">
        <v>24878</v>
      </c>
      <c r="G1427" s="2"/>
      <c r="H1427" s="2"/>
      <c r="I1427" s="2" t="s">
        <v>24879</v>
      </c>
      <c r="J1427" s="2" t="s">
        <v>4309</v>
      </c>
      <c r="K1427" s="2"/>
      <c r="L1427" s="2"/>
      <c r="M1427" s="2" t="s">
        <v>77</v>
      </c>
      <c r="N1427" s="2" t="s">
        <v>78</v>
      </c>
      <c r="O1427" s="2"/>
      <c r="P1427" s="2"/>
      <c r="Q1427" s="2"/>
      <c r="R1427" s="2"/>
      <c r="S1427" s="2"/>
      <c r="T1427" s="2" t="s">
        <v>24880</v>
      </c>
      <c r="U1427" s="2" t="s">
        <v>24881</v>
      </c>
      <c r="V1427" s="2" t="s">
        <v>24882</v>
      </c>
      <c r="W1427" s="2" t="s">
        <v>24883</v>
      </c>
      <c r="X1427" s="2" t="s">
        <v>24884</v>
      </c>
      <c r="Y1427" s="2" t="s">
        <v>24885</v>
      </c>
      <c r="Z1427" s="2" t="s">
        <v>24886</v>
      </c>
      <c r="AA1427" s="2"/>
      <c r="AB1427" s="2" t="s">
        <v>24887</v>
      </c>
      <c r="AC1427" s="2"/>
      <c r="AD1427" s="2"/>
      <c r="AE1427" s="2"/>
      <c r="AF1427" s="2"/>
      <c r="AG1427" s="2" t="n">
        <v>28</v>
      </c>
      <c r="AH1427" s="2" t="n">
        <v>1</v>
      </c>
      <c r="AI1427" s="2" t="n">
        <v>1</v>
      </c>
      <c r="AJ1427" s="2" t="n">
        <v>0</v>
      </c>
      <c r="AK1427" s="2" t="n">
        <v>1</v>
      </c>
      <c r="AL1427" s="2" t="s">
        <v>2788</v>
      </c>
      <c r="AM1427" s="2" t="s">
        <v>2789</v>
      </c>
      <c r="AN1427" s="2" t="s">
        <v>2790</v>
      </c>
      <c r="AO1427" s="2" t="s">
        <v>4319</v>
      </c>
      <c r="AP1427" s="2" t="s">
        <v>4320</v>
      </c>
      <c r="AQ1427" s="2"/>
      <c r="AR1427" s="2" t="s">
        <v>4321</v>
      </c>
      <c r="AS1427" s="2" t="s">
        <v>4322</v>
      </c>
      <c r="AT1427" s="2" t="s">
        <v>599</v>
      </c>
      <c r="AU1427" s="2" t="n">
        <v>2015</v>
      </c>
      <c r="AV1427" s="2" t="n">
        <v>47</v>
      </c>
      <c r="AW1427" s="2" t="n">
        <v>7</v>
      </c>
      <c r="AX1427" s="2"/>
      <c r="AY1427" s="2"/>
      <c r="AZ1427" s="2"/>
      <c r="BA1427" s="2"/>
      <c r="BB1427" s="2" t="n">
        <v>499</v>
      </c>
      <c r="BC1427" s="2" t="n">
        <v>503</v>
      </c>
      <c r="BD1427" s="2"/>
      <c r="BE1427" s="2" t="s">
        <v>24888</v>
      </c>
      <c r="BF1427" s="2" t="str">
        <f aca="false">HYPERLINK("http://dx.doi.org/10.3109/00365548.2014.995698","http://dx.doi.org/10.3109/00365548.2014.995698")</f>
        <v>http://dx.doi.org/10.3109/00365548.2014.995698</v>
      </c>
      <c r="BG1427" s="2"/>
      <c r="BH1427" s="2"/>
      <c r="BI1427" s="2" t="n">
        <v>5</v>
      </c>
      <c r="BJ1427" s="2" t="s">
        <v>575</v>
      </c>
      <c r="BK1427" s="2" t="s">
        <v>100</v>
      </c>
      <c r="BL1427" s="2" t="s">
        <v>575</v>
      </c>
      <c r="BM1427" s="2" t="s">
        <v>24889</v>
      </c>
      <c r="BN1427" s="2" t="n">
        <v>25761612</v>
      </c>
      <c r="BO1427" s="2"/>
      <c r="BP1427" s="2"/>
      <c r="BQ1427" s="2"/>
      <c r="BR1427" s="2" t="s">
        <v>104</v>
      </c>
      <c r="BS1427" s="2" t="s">
        <v>24890</v>
      </c>
      <c r="BT1427" s="2" t="str">
        <f aca="false">HYPERLINK("https%3A%2F%2Fwww.webofscience.com%2Fwos%2Fwoscc%2Ffull-record%2FWOS:000357737700010","View Full Record in Web of Science")</f>
        <v>View Full Record in Web of Science</v>
      </c>
    </row>
    <row r="1428" customFormat="false" ht="12.75" hidden="false" customHeight="false" outlineLevel="0" collapsed="false">
      <c r="A1428" s="2" t="s">
        <v>72</v>
      </c>
      <c r="B1428" s="2" t="s">
        <v>24141</v>
      </c>
      <c r="C1428" s="2"/>
      <c r="D1428" s="2"/>
      <c r="E1428" s="2"/>
      <c r="F1428" s="2" t="s">
        <v>24142</v>
      </c>
      <c r="G1428" s="2"/>
      <c r="H1428" s="2"/>
      <c r="I1428" s="2" t="s">
        <v>24891</v>
      </c>
      <c r="J1428" s="2" t="s">
        <v>3141</v>
      </c>
      <c r="K1428" s="2"/>
      <c r="L1428" s="2"/>
      <c r="M1428" s="2" t="s">
        <v>77</v>
      </c>
      <c r="N1428" s="2" t="s">
        <v>78</v>
      </c>
      <c r="O1428" s="2"/>
      <c r="P1428" s="2"/>
      <c r="Q1428" s="2"/>
      <c r="R1428" s="2"/>
      <c r="S1428" s="2"/>
      <c r="T1428" s="2" t="s">
        <v>24892</v>
      </c>
      <c r="U1428" s="2" t="s">
        <v>24893</v>
      </c>
      <c r="V1428" s="2" t="s">
        <v>24894</v>
      </c>
      <c r="W1428" s="2" t="s">
        <v>24895</v>
      </c>
      <c r="X1428" s="2" t="s">
        <v>24896</v>
      </c>
      <c r="Y1428" s="2" t="s">
        <v>24897</v>
      </c>
      <c r="Z1428" s="2" t="s">
        <v>24149</v>
      </c>
      <c r="AA1428" s="2"/>
      <c r="AB1428" s="2"/>
      <c r="AC1428" s="2" t="s">
        <v>24898</v>
      </c>
      <c r="AD1428" s="2" t="s">
        <v>24899</v>
      </c>
      <c r="AE1428" s="2" t="s">
        <v>24900</v>
      </c>
      <c r="AF1428" s="2"/>
      <c r="AG1428" s="2" t="n">
        <v>31</v>
      </c>
      <c r="AH1428" s="2" t="n">
        <v>12</v>
      </c>
      <c r="AI1428" s="2" t="n">
        <v>14</v>
      </c>
      <c r="AJ1428" s="2" t="n">
        <v>1</v>
      </c>
      <c r="AK1428" s="2" t="n">
        <v>7</v>
      </c>
      <c r="AL1428" s="2" t="s">
        <v>3150</v>
      </c>
      <c r="AM1428" s="2" t="s">
        <v>3151</v>
      </c>
      <c r="AN1428" s="2" t="s">
        <v>3152</v>
      </c>
      <c r="AO1428" s="2" t="s">
        <v>3153</v>
      </c>
      <c r="AP1428" s="2" t="s">
        <v>3154</v>
      </c>
      <c r="AQ1428" s="2"/>
      <c r="AR1428" s="2" t="s">
        <v>3155</v>
      </c>
      <c r="AS1428" s="2" t="s">
        <v>3156</v>
      </c>
      <c r="AT1428" s="2" t="s">
        <v>692</v>
      </c>
      <c r="AU1428" s="2" t="n">
        <v>2016</v>
      </c>
      <c r="AV1428" s="2" t="n">
        <v>49</v>
      </c>
      <c r="AW1428" s="2" t="n">
        <v>2</v>
      </c>
      <c r="AX1428" s="2"/>
      <c r="AY1428" s="2"/>
      <c r="AZ1428" s="2"/>
      <c r="BA1428" s="2"/>
      <c r="BB1428" s="2" t="n">
        <v>216</v>
      </c>
      <c r="BC1428" s="2" t="n">
        <v>224</v>
      </c>
      <c r="BD1428" s="2"/>
      <c r="BE1428" s="2" t="s">
        <v>24901</v>
      </c>
      <c r="BF1428" s="2" t="str">
        <f aca="false">HYPERLINK("http://dx.doi.org/10.1016/j.jmii.2014.04.008","http://dx.doi.org/10.1016/j.jmii.2014.04.008")</f>
        <v>http://dx.doi.org/10.1016/j.jmii.2014.04.008</v>
      </c>
      <c r="BG1428" s="2"/>
      <c r="BH1428" s="2"/>
      <c r="BI1428" s="2" t="n">
        <v>9</v>
      </c>
      <c r="BJ1428" s="2" t="s">
        <v>536</v>
      </c>
      <c r="BK1428" s="2" t="s">
        <v>100</v>
      </c>
      <c r="BL1428" s="2" t="s">
        <v>536</v>
      </c>
      <c r="BM1428" s="2" t="s">
        <v>24902</v>
      </c>
      <c r="BN1428" s="2" t="n">
        <v>24931548</v>
      </c>
      <c r="BO1428" s="2" t="s">
        <v>3201</v>
      </c>
      <c r="BP1428" s="2"/>
      <c r="BQ1428" s="2"/>
      <c r="BR1428" s="2" t="s">
        <v>104</v>
      </c>
      <c r="BS1428" s="2" t="s">
        <v>24903</v>
      </c>
      <c r="BT1428" s="2" t="str">
        <f aca="false">HYPERLINK("https%3A%2F%2Fwww.webofscience.com%2Fwos%2Fwoscc%2Ffull-record%2FWOS:000372812900008","View Full Record in Web of Science")</f>
        <v>View Full Record in Web of Science</v>
      </c>
    </row>
    <row r="1429" customFormat="false" ht="12.75" hidden="false" customHeight="false" outlineLevel="0" collapsed="false">
      <c r="A1429" s="2" t="s">
        <v>72</v>
      </c>
      <c r="B1429" s="2" t="s">
        <v>24904</v>
      </c>
      <c r="C1429" s="2"/>
      <c r="D1429" s="2"/>
      <c r="E1429" s="2"/>
      <c r="F1429" s="2" t="s">
        <v>24905</v>
      </c>
      <c r="G1429" s="2"/>
      <c r="H1429" s="2"/>
      <c r="I1429" s="2" t="s">
        <v>24906</v>
      </c>
      <c r="J1429" s="2" t="s">
        <v>24907</v>
      </c>
      <c r="K1429" s="2"/>
      <c r="L1429" s="2"/>
      <c r="M1429" s="2" t="s">
        <v>77</v>
      </c>
      <c r="N1429" s="2" t="s">
        <v>78</v>
      </c>
      <c r="O1429" s="2"/>
      <c r="P1429" s="2"/>
      <c r="Q1429" s="2"/>
      <c r="R1429" s="2"/>
      <c r="S1429" s="2"/>
      <c r="T1429" s="2" t="s">
        <v>24908</v>
      </c>
      <c r="U1429" s="2" t="s">
        <v>24909</v>
      </c>
      <c r="V1429" s="2" t="s">
        <v>24910</v>
      </c>
      <c r="W1429" s="2" t="s">
        <v>24911</v>
      </c>
      <c r="X1429" s="2" t="s">
        <v>8071</v>
      </c>
      <c r="Y1429" s="2" t="s">
        <v>24912</v>
      </c>
      <c r="Z1429" s="2" t="s">
        <v>24913</v>
      </c>
      <c r="AA1429" s="2" t="s">
        <v>9723</v>
      </c>
      <c r="AB1429" s="2" t="s">
        <v>24914</v>
      </c>
      <c r="AC1429" s="2" t="s">
        <v>24915</v>
      </c>
      <c r="AD1429" s="2" t="s">
        <v>24916</v>
      </c>
      <c r="AE1429" s="2" t="s">
        <v>24915</v>
      </c>
      <c r="AF1429" s="2"/>
      <c r="AG1429" s="2" t="n">
        <v>58</v>
      </c>
      <c r="AH1429" s="2" t="n">
        <v>17</v>
      </c>
      <c r="AI1429" s="2" t="n">
        <v>17</v>
      </c>
      <c r="AJ1429" s="2" t="n">
        <v>2</v>
      </c>
      <c r="AK1429" s="2" t="n">
        <v>36</v>
      </c>
      <c r="AL1429" s="2" t="s">
        <v>24917</v>
      </c>
      <c r="AM1429" s="2" t="s">
        <v>303</v>
      </c>
      <c r="AN1429" s="2" t="s">
        <v>24918</v>
      </c>
      <c r="AO1429" s="2" t="s">
        <v>24919</v>
      </c>
      <c r="AP1429" s="2" t="s">
        <v>24920</v>
      </c>
      <c r="AQ1429" s="2"/>
      <c r="AR1429" s="2" t="s">
        <v>24907</v>
      </c>
      <c r="AS1429" s="2" t="s">
        <v>24921</v>
      </c>
      <c r="AT1429" s="2" t="s">
        <v>804</v>
      </c>
      <c r="AU1429" s="2" t="n">
        <v>2021</v>
      </c>
      <c r="AV1429" s="2" t="n">
        <v>31</v>
      </c>
      <c r="AW1429" s="2" t="n">
        <v>6</v>
      </c>
      <c r="AX1429" s="2"/>
      <c r="AY1429" s="2"/>
      <c r="AZ1429" s="2"/>
      <c r="BA1429" s="2"/>
      <c r="BB1429" s="2" t="n">
        <v>1874</v>
      </c>
      <c r="BC1429" s="2" t="n">
        <v>1885</v>
      </c>
      <c r="BD1429" s="2"/>
      <c r="BE1429" s="2" t="s">
        <v>24922</v>
      </c>
      <c r="BF1429" s="2" t="str">
        <f aca="false">HYPERLINK("http://dx.doi.org/10.1111/ina.12875","http://dx.doi.org/10.1111/ina.12875")</f>
        <v>http://dx.doi.org/10.1111/ina.12875</v>
      </c>
      <c r="BG1429" s="2"/>
      <c r="BH1429" s="2" t="s">
        <v>11148</v>
      </c>
      <c r="BI1429" s="2" t="n">
        <v>12</v>
      </c>
      <c r="BJ1429" s="2" t="s">
        <v>24923</v>
      </c>
      <c r="BK1429" s="2" t="s">
        <v>100</v>
      </c>
      <c r="BL1429" s="2" t="s">
        <v>24924</v>
      </c>
      <c r="BM1429" s="2" t="s">
        <v>24925</v>
      </c>
      <c r="BN1429" s="2" t="n">
        <v>34124803</v>
      </c>
      <c r="BO1429" s="2" t="s">
        <v>6349</v>
      </c>
      <c r="BP1429" s="2"/>
      <c r="BQ1429" s="2"/>
      <c r="BR1429" s="2" t="s">
        <v>104</v>
      </c>
      <c r="BS1429" s="2" t="s">
        <v>24926</v>
      </c>
      <c r="BT1429" s="2" t="str">
        <f aca="false">HYPERLINK("https%3A%2F%2Fwww.webofscience.com%2Fwos%2Fwoscc%2Ffull-record%2FWOS:000661129700001","View Full Record in Web of Science")</f>
        <v>View Full Record in Web of Science</v>
      </c>
    </row>
    <row r="1430" customFormat="false" ht="12.75" hidden="false" customHeight="false" outlineLevel="0" collapsed="false">
      <c r="A1430" s="2" t="s">
        <v>72</v>
      </c>
      <c r="B1430" s="2" t="s">
        <v>24927</v>
      </c>
      <c r="C1430" s="2"/>
      <c r="D1430" s="2"/>
      <c r="E1430" s="2"/>
      <c r="F1430" s="2" t="s">
        <v>24928</v>
      </c>
      <c r="G1430" s="2"/>
      <c r="H1430" s="2"/>
      <c r="I1430" s="2" t="s">
        <v>24929</v>
      </c>
      <c r="J1430" s="2" t="s">
        <v>9323</v>
      </c>
      <c r="K1430" s="2"/>
      <c r="L1430" s="2"/>
      <c r="M1430" s="2" t="s">
        <v>77</v>
      </c>
      <c r="N1430" s="2" t="s">
        <v>78</v>
      </c>
      <c r="O1430" s="2"/>
      <c r="P1430" s="2"/>
      <c r="Q1430" s="2"/>
      <c r="R1430" s="2"/>
      <c r="S1430" s="2"/>
      <c r="T1430" s="2" t="s">
        <v>24930</v>
      </c>
      <c r="U1430" s="2" t="s">
        <v>13939</v>
      </c>
      <c r="V1430" s="2" t="s">
        <v>24931</v>
      </c>
      <c r="W1430" s="2" t="s">
        <v>24932</v>
      </c>
      <c r="X1430" s="2" t="s">
        <v>24933</v>
      </c>
      <c r="Y1430" s="2" t="s">
        <v>24934</v>
      </c>
      <c r="Z1430" s="2" t="s">
        <v>24935</v>
      </c>
      <c r="AA1430" s="2" t="s">
        <v>24936</v>
      </c>
      <c r="AB1430" s="2" t="s">
        <v>24937</v>
      </c>
      <c r="AC1430" s="2"/>
      <c r="AD1430" s="2"/>
      <c r="AE1430" s="2"/>
      <c r="AF1430" s="2"/>
      <c r="AG1430" s="2" t="n">
        <v>16</v>
      </c>
      <c r="AH1430" s="2" t="n">
        <v>18</v>
      </c>
      <c r="AI1430" s="2" t="n">
        <v>21</v>
      </c>
      <c r="AJ1430" s="2" t="n">
        <v>0</v>
      </c>
      <c r="AK1430" s="2" t="n">
        <v>3</v>
      </c>
      <c r="AL1430" s="2" t="s">
        <v>383</v>
      </c>
      <c r="AM1430" s="2" t="s">
        <v>384</v>
      </c>
      <c r="AN1430" s="2" t="s">
        <v>385</v>
      </c>
      <c r="AO1430" s="2" t="s">
        <v>9333</v>
      </c>
      <c r="AP1430" s="2" t="s">
        <v>9334</v>
      </c>
      <c r="AQ1430" s="2"/>
      <c r="AR1430" s="2" t="s">
        <v>9335</v>
      </c>
      <c r="AS1430" s="2" t="s">
        <v>9336</v>
      </c>
      <c r="AT1430" s="2" t="s">
        <v>24938</v>
      </c>
      <c r="AU1430" s="2" t="n">
        <v>2008</v>
      </c>
      <c r="AV1430" s="2" t="n">
        <v>26</v>
      </c>
      <c r="AW1430" s="2" t="n">
        <v>2</v>
      </c>
      <c r="AX1430" s="2"/>
      <c r="AY1430" s="2"/>
      <c r="AZ1430" s="2"/>
      <c r="BA1430" s="2"/>
      <c r="BB1430" s="2" t="n">
        <v>123</v>
      </c>
      <c r="BC1430" s="2" t="n">
        <v>126</v>
      </c>
      <c r="BD1430" s="2"/>
      <c r="BE1430" s="2" t="s">
        <v>24939</v>
      </c>
      <c r="BF1430" s="2" t="str">
        <f aca="false">HYPERLINK("http://dx.doi.org/10.4103/0255-0857.40524","http://dx.doi.org/10.4103/0255-0857.40524")</f>
        <v>http://dx.doi.org/10.4103/0255-0857.40524</v>
      </c>
      <c r="BG1430" s="2"/>
      <c r="BH1430" s="2"/>
      <c r="BI1430" s="2" t="n">
        <v>4</v>
      </c>
      <c r="BJ1430" s="2" t="s">
        <v>628</v>
      </c>
      <c r="BK1430" s="2" t="s">
        <v>100</v>
      </c>
      <c r="BL1430" s="2" t="s">
        <v>628</v>
      </c>
      <c r="BM1430" s="2" t="s">
        <v>24940</v>
      </c>
      <c r="BN1430" s="2" t="n">
        <v>18445946</v>
      </c>
      <c r="BO1430" s="2" t="s">
        <v>765</v>
      </c>
      <c r="BP1430" s="2"/>
      <c r="BQ1430" s="2"/>
      <c r="BR1430" s="2" t="s">
        <v>104</v>
      </c>
      <c r="BS1430" s="2" t="s">
        <v>24941</v>
      </c>
      <c r="BT1430" s="2" t="str">
        <f aca="false">HYPERLINK("https%3A%2F%2Fwww.webofscience.com%2Fwos%2Fwoscc%2Ffull-record%2FWOS:000260106500004","View Full Record in Web of Science")</f>
        <v>View Full Record in Web of Science</v>
      </c>
    </row>
    <row r="1431" customFormat="false" ht="12.75" hidden="false" customHeight="false" outlineLevel="0" collapsed="false">
      <c r="A1431" s="2" t="s">
        <v>72</v>
      </c>
      <c r="B1431" s="2" t="s">
        <v>24942</v>
      </c>
      <c r="C1431" s="2"/>
      <c r="D1431" s="2"/>
      <c r="E1431" s="2"/>
      <c r="F1431" s="2" t="s">
        <v>24943</v>
      </c>
      <c r="G1431" s="2"/>
      <c r="H1431" s="2"/>
      <c r="I1431" s="2" t="s">
        <v>24944</v>
      </c>
      <c r="J1431" s="2" t="s">
        <v>493</v>
      </c>
      <c r="K1431" s="2"/>
      <c r="L1431" s="2"/>
      <c r="M1431" s="2" t="s">
        <v>77</v>
      </c>
      <c r="N1431" s="2" t="s">
        <v>78</v>
      </c>
      <c r="O1431" s="2"/>
      <c r="P1431" s="2"/>
      <c r="Q1431" s="2"/>
      <c r="R1431" s="2"/>
      <c r="S1431" s="2"/>
      <c r="T1431" s="2" t="s">
        <v>24945</v>
      </c>
      <c r="U1431" s="2" t="s">
        <v>24946</v>
      </c>
      <c r="V1431" s="2" t="s">
        <v>24947</v>
      </c>
      <c r="W1431" s="2" t="s">
        <v>24948</v>
      </c>
      <c r="X1431" s="2" t="s">
        <v>9864</v>
      </c>
      <c r="Y1431" s="2" t="s">
        <v>24949</v>
      </c>
      <c r="Z1431" s="2" t="s">
        <v>24950</v>
      </c>
      <c r="AA1431" s="2" t="s">
        <v>24951</v>
      </c>
      <c r="AB1431" s="2" t="s">
        <v>24952</v>
      </c>
      <c r="AC1431" s="2"/>
      <c r="AD1431" s="2"/>
      <c r="AE1431" s="2"/>
      <c r="AF1431" s="2"/>
      <c r="AG1431" s="2" t="n">
        <v>51</v>
      </c>
      <c r="AH1431" s="2" t="n">
        <v>1</v>
      </c>
      <c r="AI1431" s="2" t="n">
        <v>1</v>
      </c>
      <c r="AJ1431" s="2" t="n">
        <v>0</v>
      </c>
      <c r="AK1431" s="2" t="n">
        <v>5</v>
      </c>
      <c r="AL1431" s="2" t="s">
        <v>91</v>
      </c>
      <c r="AM1431" s="2" t="s">
        <v>92</v>
      </c>
      <c r="AN1431" s="2" t="s">
        <v>93</v>
      </c>
      <c r="AO1431" s="2"/>
      <c r="AP1431" s="2" t="s">
        <v>506</v>
      </c>
      <c r="AQ1431" s="2"/>
      <c r="AR1431" s="2" t="s">
        <v>493</v>
      </c>
      <c r="AS1431" s="2" t="s">
        <v>507</v>
      </c>
      <c r="AT1431" s="2" t="s">
        <v>161</v>
      </c>
      <c r="AU1431" s="2" t="n">
        <v>2021</v>
      </c>
      <c r="AV1431" s="2" t="n">
        <v>13</v>
      </c>
      <c r="AW1431" s="2" t="n">
        <v>1</v>
      </c>
      <c r="AX1431" s="2"/>
      <c r="AY1431" s="2"/>
      <c r="AZ1431" s="2"/>
      <c r="BA1431" s="2"/>
      <c r="BB1431" s="2"/>
      <c r="BC1431" s="2"/>
      <c r="BD1431" s="2" t="n">
        <v>115</v>
      </c>
      <c r="BE1431" s="2" t="s">
        <v>24953</v>
      </c>
      <c r="BF1431" s="2" t="str">
        <f aca="false">HYPERLINK("http://dx.doi.org/10.3390/v13010115","http://dx.doi.org/10.3390/v13010115")</f>
        <v>http://dx.doi.org/10.3390/v13010115</v>
      </c>
      <c r="BG1431" s="2"/>
      <c r="BH1431" s="2"/>
      <c r="BI1431" s="2" t="n">
        <v>8</v>
      </c>
      <c r="BJ1431" s="2" t="s">
        <v>163</v>
      </c>
      <c r="BK1431" s="2" t="s">
        <v>100</v>
      </c>
      <c r="BL1431" s="2" t="s">
        <v>163</v>
      </c>
      <c r="BM1431" s="2" t="s">
        <v>24954</v>
      </c>
      <c r="BN1431" s="2" t="n">
        <v>33466993</v>
      </c>
      <c r="BO1431" s="2" t="s">
        <v>103</v>
      </c>
      <c r="BP1431" s="2"/>
      <c r="BQ1431" s="2"/>
      <c r="BR1431" s="2" t="s">
        <v>104</v>
      </c>
      <c r="BS1431" s="2" t="s">
        <v>24955</v>
      </c>
      <c r="BT1431" s="2" t="str">
        <f aca="false">HYPERLINK("https%3A%2F%2Fwww.webofscience.com%2Fwos%2Fwoscc%2Ffull-record%2FWOS:000610817300001","View Full Record in Web of Science")</f>
        <v>View Full Record in Web of Science</v>
      </c>
    </row>
    <row r="1432" customFormat="false" ht="12.75" hidden="false" customHeight="false" outlineLevel="0" collapsed="false">
      <c r="A1432" s="2" t="s">
        <v>72</v>
      </c>
      <c r="B1432" s="2" t="s">
        <v>24956</v>
      </c>
      <c r="C1432" s="2"/>
      <c r="D1432" s="2"/>
      <c r="E1432" s="2"/>
      <c r="F1432" s="2" t="s">
        <v>24957</v>
      </c>
      <c r="G1432" s="2"/>
      <c r="H1432" s="2"/>
      <c r="I1432" s="2" t="s">
        <v>24958</v>
      </c>
      <c r="J1432" s="2" t="s">
        <v>24209</v>
      </c>
      <c r="K1432" s="2"/>
      <c r="L1432" s="2"/>
      <c r="M1432" s="2" t="s">
        <v>77</v>
      </c>
      <c r="N1432" s="2" t="s">
        <v>78</v>
      </c>
      <c r="O1432" s="2"/>
      <c r="P1432" s="2"/>
      <c r="Q1432" s="2"/>
      <c r="R1432" s="2"/>
      <c r="S1432" s="2"/>
      <c r="T1432" s="2" t="s">
        <v>24959</v>
      </c>
      <c r="U1432" s="2" t="s">
        <v>24960</v>
      </c>
      <c r="V1432" s="2" t="s">
        <v>24961</v>
      </c>
      <c r="W1432" s="2" t="s">
        <v>24962</v>
      </c>
      <c r="X1432" s="2" t="s">
        <v>24963</v>
      </c>
      <c r="Y1432" s="2" t="s">
        <v>24964</v>
      </c>
      <c r="Z1432" s="2" t="s">
        <v>24965</v>
      </c>
      <c r="AA1432" s="2" t="s">
        <v>24966</v>
      </c>
      <c r="AB1432" s="2"/>
      <c r="AC1432" s="2"/>
      <c r="AD1432" s="2"/>
      <c r="AE1432" s="2"/>
      <c r="AF1432" s="2"/>
      <c r="AG1432" s="2" t="n">
        <v>37</v>
      </c>
      <c r="AH1432" s="2" t="n">
        <v>33</v>
      </c>
      <c r="AI1432" s="2" t="n">
        <v>34</v>
      </c>
      <c r="AJ1432" s="2" t="n">
        <v>0</v>
      </c>
      <c r="AK1432" s="2" t="n">
        <v>1</v>
      </c>
      <c r="AL1432" s="2" t="s">
        <v>122</v>
      </c>
      <c r="AM1432" s="2" t="s">
        <v>123</v>
      </c>
      <c r="AN1432" s="2" t="s">
        <v>124</v>
      </c>
      <c r="AO1432" s="2" t="s">
        <v>24221</v>
      </c>
      <c r="AP1432" s="2" t="s">
        <v>24222</v>
      </c>
      <c r="AQ1432" s="2"/>
      <c r="AR1432" s="2" t="s">
        <v>24209</v>
      </c>
      <c r="AS1432" s="2" t="s">
        <v>24223</v>
      </c>
      <c r="AT1432" s="2" t="s">
        <v>486</v>
      </c>
      <c r="AU1432" s="2" t="n">
        <v>2018</v>
      </c>
      <c r="AV1432" s="2" t="n">
        <v>97</v>
      </c>
      <c r="AW1432" s="2" t="n">
        <v>22</v>
      </c>
      <c r="AX1432" s="2"/>
      <c r="AY1432" s="2"/>
      <c r="AZ1432" s="2"/>
      <c r="BA1432" s="2"/>
      <c r="BB1432" s="2"/>
      <c r="BC1432" s="2"/>
      <c r="BD1432" s="2" t="s">
        <v>24967</v>
      </c>
      <c r="BE1432" s="2" t="s">
        <v>24968</v>
      </c>
      <c r="BF1432" s="2" t="str">
        <f aca="false">HYPERLINK("http://dx.doi.org/10.1097/MD.0000000000010903","http://dx.doi.org/10.1097/MD.0000000000010903")</f>
        <v>http://dx.doi.org/10.1097/MD.0000000000010903</v>
      </c>
      <c r="BG1432" s="2"/>
      <c r="BH1432" s="2"/>
      <c r="BI1432" s="2" t="n">
        <v>6</v>
      </c>
      <c r="BJ1432" s="2" t="s">
        <v>363</v>
      </c>
      <c r="BK1432" s="2" t="s">
        <v>100</v>
      </c>
      <c r="BL1432" s="2" t="s">
        <v>364</v>
      </c>
      <c r="BM1432" s="2" t="s">
        <v>24969</v>
      </c>
      <c r="BN1432" s="2" t="n">
        <v>29851817</v>
      </c>
      <c r="BO1432" s="2" t="s">
        <v>190</v>
      </c>
      <c r="BP1432" s="2"/>
      <c r="BQ1432" s="2"/>
      <c r="BR1432" s="2" t="s">
        <v>104</v>
      </c>
      <c r="BS1432" s="2" t="s">
        <v>24970</v>
      </c>
      <c r="BT1432" s="2" t="str">
        <f aca="false">HYPERLINK("https%3A%2F%2Fwww.webofscience.com%2Fwos%2Fwoscc%2Ffull-record%2FWOS:000434308900045","View Full Record in Web of Science")</f>
        <v>View Full Record in Web of Science</v>
      </c>
    </row>
    <row r="1433" customFormat="false" ht="12.75" hidden="false" customHeight="false" outlineLevel="0" collapsed="false">
      <c r="A1433" s="2" t="s">
        <v>72</v>
      </c>
      <c r="B1433" s="2" t="s">
        <v>24971</v>
      </c>
      <c r="C1433" s="2"/>
      <c r="D1433" s="2"/>
      <c r="E1433" s="2"/>
      <c r="F1433" s="2" t="s">
        <v>24972</v>
      </c>
      <c r="G1433" s="2"/>
      <c r="H1433" s="2"/>
      <c r="I1433" s="2" t="s">
        <v>24973</v>
      </c>
      <c r="J1433" s="2" t="s">
        <v>11019</v>
      </c>
      <c r="K1433" s="2"/>
      <c r="L1433" s="2"/>
      <c r="M1433" s="2" t="s">
        <v>77</v>
      </c>
      <c r="N1433" s="2" t="s">
        <v>78</v>
      </c>
      <c r="O1433" s="2"/>
      <c r="P1433" s="2"/>
      <c r="Q1433" s="2"/>
      <c r="R1433" s="2"/>
      <c r="S1433" s="2"/>
      <c r="T1433" s="2" t="s">
        <v>24974</v>
      </c>
      <c r="U1433" s="2" t="s">
        <v>24975</v>
      </c>
      <c r="V1433" s="2" t="s">
        <v>24976</v>
      </c>
      <c r="W1433" s="2" t="s">
        <v>24977</v>
      </c>
      <c r="X1433" s="2" t="s">
        <v>24978</v>
      </c>
      <c r="Y1433" s="2" t="s">
        <v>24979</v>
      </c>
      <c r="Z1433" s="2" t="s">
        <v>24980</v>
      </c>
      <c r="AA1433" s="2" t="s">
        <v>24981</v>
      </c>
      <c r="AB1433" s="2" t="s">
        <v>24982</v>
      </c>
      <c r="AC1433" s="2" t="s">
        <v>24983</v>
      </c>
      <c r="AD1433" s="2" t="s">
        <v>24984</v>
      </c>
      <c r="AE1433" s="2" t="s">
        <v>24985</v>
      </c>
      <c r="AF1433" s="2"/>
      <c r="AG1433" s="2" t="n">
        <v>42</v>
      </c>
      <c r="AH1433" s="2" t="n">
        <v>58</v>
      </c>
      <c r="AI1433" s="2" t="n">
        <v>64</v>
      </c>
      <c r="AJ1433" s="2" t="n">
        <v>0</v>
      </c>
      <c r="AK1433" s="2" t="n">
        <v>13</v>
      </c>
      <c r="AL1433" s="2" t="s">
        <v>3813</v>
      </c>
      <c r="AM1433" s="2" t="s">
        <v>155</v>
      </c>
      <c r="AN1433" s="2" t="s">
        <v>156</v>
      </c>
      <c r="AO1433" s="2" t="s">
        <v>11028</v>
      </c>
      <c r="AP1433" s="2" t="s">
        <v>11029</v>
      </c>
      <c r="AQ1433" s="2"/>
      <c r="AR1433" s="2" t="s">
        <v>11030</v>
      </c>
      <c r="AS1433" s="2" t="s">
        <v>11031</v>
      </c>
      <c r="AT1433" s="2" t="s">
        <v>129</v>
      </c>
      <c r="AU1433" s="2" t="n">
        <v>2016</v>
      </c>
      <c r="AV1433" s="2" t="n">
        <v>10</v>
      </c>
      <c r="AW1433" s="2" t="n">
        <v>5</v>
      </c>
      <c r="AX1433" s="2"/>
      <c r="AY1433" s="2"/>
      <c r="AZ1433" s="2"/>
      <c r="BA1433" s="2"/>
      <c r="BB1433" s="2" t="n">
        <v>386</v>
      </c>
      <c r="BC1433" s="2" t="n">
        <v>393</v>
      </c>
      <c r="BD1433" s="2"/>
      <c r="BE1433" s="2" t="s">
        <v>24986</v>
      </c>
      <c r="BF1433" s="2" t="str">
        <f aca="false">HYPERLINK("http://dx.doi.org/10.1111/irv.12391","http://dx.doi.org/10.1111/irv.12391")</f>
        <v>http://dx.doi.org/10.1111/irv.12391</v>
      </c>
      <c r="BG1433" s="2"/>
      <c r="BH1433" s="2"/>
      <c r="BI1433" s="2" t="n">
        <v>8</v>
      </c>
      <c r="BJ1433" s="2" t="s">
        <v>8287</v>
      </c>
      <c r="BK1433" s="2" t="s">
        <v>100</v>
      </c>
      <c r="BL1433" s="2" t="s">
        <v>8287</v>
      </c>
      <c r="BM1433" s="2" t="s">
        <v>24987</v>
      </c>
      <c r="BN1433" s="2" t="n">
        <v>27012372</v>
      </c>
      <c r="BO1433" s="2" t="s">
        <v>103</v>
      </c>
      <c r="BP1433" s="2"/>
      <c r="BQ1433" s="2"/>
      <c r="BR1433" s="2" t="s">
        <v>104</v>
      </c>
      <c r="BS1433" s="2" t="s">
        <v>24988</v>
      </c>
      <c r="BT1433" s="2" t="str">
        <f aca="false">HYPERLINK("https%3A%2F%2Fwww.webofscience.com%2Fwos%2Fwoscc%2Ffull-record%2FWOS:000388754100005","View Full Record in Web of Science")</f>
        <v>View Full Record in Web of Science</v>
      </c>
    </row>
    <row r="1434" customFormat="false" ht="12.75" hidden="false" customHeight="false" outlineLevel="0" collapsed="false">
      <c r="A1434" s="2" t="s">
        <v>72</v>
      </c>
      <c r="B1434" s="2" t="s">
        <v>24989</v>
      </c>
      <c r="C1434" s="2"/>
      <c r="D1434" s="2"/>
      <c r="E1434" s="2"/>
      <c r="F1434" s="2" t="s">
        <v>24990</v>
      </c>
      <c r="G1434" s="2"/>
      <c r="H1434" s="2" t="s">
        <v>19243</v>
      </c>
      <c r="I1434" s="2" t="s">
        <v>24991</v>
      </c>
      <c r="J1434" s="2" t="s">
        <v>7244</v>
      </c>
      <c r="K1434" s="2"/>
      <c r="L1434" s="2"/>
      <c r="M1434" s="2" t="s">
        <v>77</v>
      </c>
      <c r="N1434" s="2" t="s">
        <v>78</v>
      </c>
      <c r="O1434" s="2"/>
      <c r="P1434" s="2"/>
      <c r="Q1434" s="2"/>
      <c r="R1434" s="2"/>
      <c r="S1434" s="2"/>
      <c r="T1434" s="2" t="s">
        <v>24992</v>
      </c>
      <c r="U1434" s="2" t="s">
        <v>24993</v>
      </c>
      <c r="V1434" s="2" t="s">
        <v>24994</v>
      </c>
      <c r="W1434" s="2" t="s">
        <v>24995</v>
      </c>
      <c r="X1434" s="2" t="s">
        <v>24996</v>
      </c>
      <c r="Y1434" s="2" t="s">
        <v>24997</v>
      </c>
      <c r="Z1434" s="2" t="s">
        <v>24998</v>
      </c>
      <c r="AA1434" s="2" t="s">
        <v>24999</v>
      </c>
      <c r="AB1434" s="2" t="s">
        <v>25000</v>
      </c>
      <c r="AC1434" s="2" t="s">
        <v>25001</v>
      </c>
      <c r="AD1434" s="2" t="s">
        <v>25002</v>
      </c>
      <c r="AE1434" s="2" t="s">
        <v>25003</v>
      </c>
      <c r="AF1434" s="2"/>
      <c r="AG1434" s="2" t="n">
        <v>30</v>
      </c>
      <c r="AH1434" s="2" t="n">
        <v>101</v>
      </c>
      <c r="AI1434" s="2" t="n">
        <v>106</v>
      </c>
      <c r="AJ1434" s="2" t="n">
        <v>1</v>
      </c>
      <c r="AK1434" s="2" t="n">
        <v>10</v>
      </c>
      <c r="AL1434" s="2" t="s">
        <v>782</v>
      </c>
      <c r="AM1434" s="2" t="s">
        <v>783</v>
      </c>
      <c r="AN1434" s="2" t="s">
        <v>784</v>
      </c>
      <c r="AO1434" s="2" t="s">
        <v>7252</v>
      </c>
      <c r="AP1434" s="2" t="s">
        <v>7253</v>
      </c>
      <c r="AQ1434" s="2"/>
      <c r="AR1434" s="2" t="s">
        <v>7254</v>
      </c>
      <c r="AS1434" s="2" t="s">
        <v>7255</v>
      </c>
      <c r="AT1434" s="2" t="s">
        <v>804</v>
      </c>
      <c r="AU1434" s="2" t="n">
        <v>2018</v>
      </c>
      <c r="AV1434" s="2" t="n">
        <v>24</v>
      </c>
      <c r="AW1434" s="2" t="n">
        <v>11</v>
      </c>
      <c r="AX1434" s="2"/>
      <c r="AY1434" s="2"/>
      <c r="AZ1434" s="2"/>
      <c r="BA1434" s="2"/>
      <c r="BB1434" s="2" t="n">
        <v>1158</v>
      </c>
      <c r="BC1434" s="2" t="n">
        <v>1163</v>
      </c>
      <c r="BD1434" s="2"/>
      <c r="BE1434" s="2" t="s">
        <v>25004</v>
      </c>
      <c r="BF1434" s="2" t="str">
        <f aca="false">HYPERLINK("http://dx.doi.org/10.1016/j.cmi.2018.02.004","http://dx.doi.org/10.1016/j.cmi.2018.02.004")</f>
        <v>http://dx.doi.org/10.1016/j.cmi.2018.02.004</v>
      </c>
      <c r="BG1434" s="2"/>
      <c r="BH1434" s="2"/>
      <c r="BI1434" s="2" t="n">
        <v>6</v>
      </c>
      <c r="BJ1434" s="2" t="s">
        <v>1467</v>
      </c>
      <c r="BK1434" s="2" t="s">
        <v>100</v>
      </c>
      <c r="BL1434" s="2" t="s">
        <v>1467</v>
      </c>
      <c r="BM1434" s="2" t="s">
        <v>25005</v>
      </c>
      <c r="BN1434" s="2" t="n">
        <v>29447989</v>
      </c>
      <c r="BO1434" s="2" t="s">
        <v>25006</v>
      </c>
      <c r="BP1434" s="2"/>
      <c r="BQ1434" s="2"/>
      <c r="BR1434" s="2" t="s">
        <v>104</v>
      </c>
      <c r="BS1434" s="2" t="s">
        <v>25007</v>
      </c>
      <c r="BT1434" s="2" t="str">
        <f aca="false">HYPERLINK("https%3A%2F%2Fwww.webofscience.com%2Fwos%2Fwoscc%2Ffull-record%2FWOS:000448188200010","View Full Record in Web of Science")</f>
        <v>View Full Record in Web of Science</v>
      </c>
    </row>
    <row r="1435" customFormat="false" ht="12.75" hidden="false" customHeight="false" outlineLevel="0" collapsed="false">
      <c r="A1435" s="2" t="s">
        <v>72</v>
      </c>
      <c r="B1435" s="2" t="s">
        <v>25008</v>
      </c>
      <c r="C1435" s="2"/>
      <c r="D1435" s="2"/>
      <c r="E1435" s="2"/>
      <c r="F1435" s="2" t="s">
        <v>25009</v>
      </c>
      <c r="G1435" s="2"/>
      <c r="H1435" s="2"/>
      <c r="I1435" s="2" t="s">
        <v>25010</v>
      </c>
      <c r="J1435" s="2" t="s">
        <v>7244</v>
      </c>
      <c r="K1435" s="2"/>
      <c r="L1435" s="2"/>
      <c r="M1435" s="2" t="s">
        <v>77</v>
      </c>
      <c r="N1435" s="2" t="s">
        <v>78</v>
      </c>
      <c r="O1435" s="2"/>
      <c r="P1435" s="2"/>
      <c r="Q1435" s="2"/>
      <c r="R1435" s="2"/>
      <c r="S1435" s="2"/>
      <c r="T1435" s="2" t="s">
        <v>25011</v>
      </c>
      <c r="U1435" s="2" t="s">
        <v>25012</v>
      </c>
      <c r="V1435" s="2" t="s">
        <v>25013</v>
      </c>
      <c r="W1435" s="2" t="s">
        <v>25014</v>
      </c>
      <c r="X1435" s="2" t="s">
        <v>25015</v>
      </c>
      <c r="Y1435" s="2" t="s">
        <v>25016</v>
      </c>
      <c r="Z1435" s="2" t="s">
        <v>25017</v>
      </c>
      <c r="AA1435" s="2" t="s">
        <v>25018</v>
      </c>
      <c r="AB1435" s="2" t="s">
        <v>25019</v>
      </c>
      <c r="AC1435" s="2" t="s">
        <v>25020</v>
      </c>
      <c r="AD1435" s="2" t="s">
        <v>25020</v>
      </c>
      <c r="AE1435" s="2" t="s">
        <v>25021</v>
      </c>
      <c r="AF1435" s="2"/>
      <c r="AG1435" s="2" t="n">
        <v>30</v>
      </c>
      <c r="AH1435" s="2" t="n">
        <v>120</v>
      </c>
      <c r="AI1435" s="2" t="n">
        <v>131</v>
      </c>
      <c r="AJ1435" s="2" t="n">
        <v>0</v>
      </c>
      <c r="AK1435" s="2" t="n">
        <v>19</v>
      </c>
      <c r="AL1435" s="2" t="s">
        <v>3813</v>
      </c>
      <c r="AM1435" s="2" t="s">
        <v>4498</v>
      </c>
      <c r="AN1435" s="2" t="s">
        <v>4499</v>
      </c>
      <c r="AO1435" s="2" t="s">
        <v>7252</v>
      </c>
      <c r="AP1435" s="2"/>
      <c r="AQ1435" s="2"/>
      <c r="AR1435" s="2" t="s">
        <v>7254</v>
      </c>
      <c r="AS1435" s="2" t="s">
        <v>7255</v>
      </c>
      <c r="AT1435" s="2" t="s">
        <v>97</v>
      </c>
      <c r="AU1435" s="2" t="n">
        <v>2012</v>
      </c>
      <c r="AV1435" s="2" t="n">
        <v>18</v>
      </c>
      <c r="AW1435" s="2" t="n">
        <v>3</v>
      </c>
      <c r="AX1435" s="2"/>
      <c r="AY1435" s="2"/>
      <c r="AZ1435" s="2"/>
      <c r="BA1435" s="2"/>
      <c r="BB1435" s="2" t="n">
        <v>300</v>
      </c>
      <c r="BC1435" s="2" t="n">
        <v>307</v>
      </c>
      <c r="BD1435" s="2"/>
      <c r="BE1435" s="2" t="s">
        <v>25022</v>
      </c>
      <c r="BF1435" s="2" t="str">
        <f aca="false">HYPERLINK("http://dx.doi.org/10.1111/j.1469-0691.2011.03603.x","http://dx.doi.org/10.1111/j.1469-0691.2011.03603.x")</f>
        <v>http://dx.doi.org/10.1111/j.1469-0691.2011.03603.x</v>
      </c>
      <c r="BG1435" s="2"/>
      <c r="BH1435" s="2"/>
      <c r="BI1435" s="2" t="n">
        <v>8</v>
      </c>
      <c r="BJ1435" s="2" t="s">
        <v>1467</v>
      </c>
      <c r="BK1435" s="2" t="s">
        <v>100</v>
      </c>
      <c r="BL1435" s="2" t="s">
        <v>1467</v>
      </c>
      <c r="BM1435" s="2" t="s">
        <v>25023</v>
      </c>
      <c r="BN1435" s="2" t="n">
        <v>21851481</v>
      </c>
      <c r="BO1435" s="2" t="s">
        <v>1267</v>
      </c>
      <c r="BP1435" s="2"/>
      <c r="BQ1435" s="2"/>
      <c r="BR1435" s="2" t="s">
        <v>104</v>
      </c>
      <c r="BS1435" s="2" t="s">
        <v>25024</v>
      </c>
      <c r="BT1435" s="2" t="str">
        <f aca="false">HYPERLINK("https%3A%2F%2Fwww.webofscience.com%2Fwos%2Fwoscc%2Ffull-record%2FWOS:000300837600021","View Full Record in Web of Science")</f>
        <v>View Full Record in Web of Science</v>
      </c>
    </row>
    <row r="1436" customFormat="false" ht="12.75" hidden="false" customHeight="false" outlineLevel="0" collapsed="false">
      <c r="A1436" s="2" t="s">
        <v>72</v>
      </c>
      <c r="B1436" s="2" t="s">
        <v>25025</v>
      </c>
      <c r="C1436" s="2"/>
      <c r="D1436" s="2"/>
      <c r="E1436" s="2"/>
      <c r="F1436" s="2" t="s">
        <v>25026</v>
      </c>
      <c r="G1436" s="2"/>
      <c r="H1436" s="2"/>
      <c r="I1436" s="2" t="s">
        <v>25027</v>
      </c>
      <c r="J1436" s="2" t="s">
        <v>141</v>
      </c>
      <c r="K1436" s="2"/>
      <c r="L1436" s="2"/>
      <c r="M1436" s="2" t="s">
        <v>77</v>
      </c>
      <c r="N1436" s="2" t="s">
        <v>78</v>
      </c>
      <c r="O1436" s="2"/>
      <c r="P1436" s="2"/>
      <c r="Q1436" s="2"/>
      <c r="R1436" s="2"/>
      <c r="S1436" s="2"/>
      <c r="T1436" s="2" t="s">
        <v>25028</v>
      </c>
      <c r="U1436" s="2" t="s">
        <v>25029</v>
      </c>
      <c r="V1436" s="2" t="s">
        <v>25030</v>
      </c>
      <c r="W1436" s="2" t="s">
        <v>25031</v>
      </c>
      <c r="X1436" s="2" t="s">
        <v>25032</v>
      </c>
      <c r="Y1436" s="2" t="s">
        <v>25033</v>
      </c>
      <c r="Z1436" s="2" t="s">
        <v>25034</v>
      </c>
      <c r="AA1436" s="2" t="s">
        <v>25035</v>
      </c>
      <c r="AB1436" s="2" t="s">
        <v>25036</v>
      </c>
      <c r="AC1436" s="2" t="s">
        <v>25037</v>
      </c>
      <c r="AD1436" s="2" t="s">
        <v>25038</v>
      </c>
      <c r="AE1436" s="2" t="s">
        <v>25039</v>
      </c>
      <c r="AF1436" s="2"/>
      <c r="AG1436" s="2" t="n">
        <v>25</v>
      </c>
      <c r="AH1436" s="2" t="n">
        <v>122</v>
      </c>
      <c r="AI1436" s="2" t="n">
        <v>129</v>
      </c>
      <c r="AJ1436" s="2" t="n">
        <v>0</v>
      </c>
      <c r="AK1436" s="2" t="n">
        <v>61</v>
      </c>
      <c r="AL1436" s="2" t="s">
        <v>154</v>
      </c>
      <c r="AM1436" s="2" t="s">
        <v>155</v>
      </c>
      <c r="AN1436" s="2" t="s">
        <v>156</v>
      </c>
      <c r="AO1436" s="2" t="s">
        <v>157</v>
      </c>
      <c r="AP1436" s="2" t="s">
        <v>158</v>
      </c>
      <c r="AQ1436" s="2"/>
      <c r="AR1436" s="2" t="s">
        <v>159</v>
      </c>
      <c r="AS1436" s="2" t="s">
        <v>160</v>
      </c>
      <c r="AT1436" s="2" t="s">
        <v>129</v>
      </c>
      <c r="AU1436" s="2" t="n">
        <v>2009</v>
      </c>
      <c r="AV1436" s="2" t="n">
        <v>81</v>
      </c>
      <c r="AW1436" s="2" t="n">
        <v>9</v>
      </c>
      <c r="AX1436" s="2"/>
      <c r="AY1436" s="2"/>
      <c r="AZ1436" s="2"/>
      <c r="BA1436" s="2"/>
      <c r="BB1436" s="2" t="n">
        <v>1674</v>
      </c>
      <c r="BC1436" s="2" t="n">
        <v>1679</v>
      </c>
      <c r="BD1436" s="2"/>
      <c r="BE1436" s="2" t="s">
        <v>25040</v>
      </c>
      <c r="BF1436" s="2" t="str">
        <f aca="false">HYPERLINK("http://dx.doi.org/10.1002/jmv.21556","http://dx.doi.org/10.1002/jmv.21556")</f>
        <v>http://dx.doi.org/10.1002/jmv.21556</v>
      </c>
      <c r="BG1436" s="2"/>
      <c r="BH1436" s="2"/>
      <c r="BI1436" s="2" t="n">
        <v>6</v>
      </c>
      <c r="BJ1436" s="2" t="s">
        <v>163</v>
      </c>
      <c r="BK1436" s="2" t="s">
        <v>100</v>
      </c>
      <c r="BL1436" s="2" t="s">
        <v>163</v>
      </c>
      <c r="BM1436" s="2" t="s">
        <v>25041</v>
      </c>
      <c r="BN1436" s="2" t="n">
        <v>19626609</v>
      </c>
      <c r="BO1436" s="2"/>
      <c r="BP1436" s="2"/>
      <c r="BQ1436" s="2"/>
      <c r="BR1436" s="2" t="s">
        <v>104</v>
      </c>
      <c r="BS1436" s="2" t="s">
        <v>25042</v>
      </c>
      <c r="BT1436" s="2" t="str">
        <f aca="false">HYPERLINK("https%3A%2F%2Fwww.webofscience.com%2Fwos%2Fwoscc%2Ffull-record%2FWOS:000268555000023","View Full Record in Web of Science")</f>
        <v>View Full Record in Web of Science</v>
      </c>
    </row>
    <row r="1437" customFormat="false" ht="12.75" hidden="false" customHeight="false" outlineLevel="0" collapsed="false">
      <c r="A1437" s="2" t="s">
        <v>72</v>
      </c>
      <c r="B1437" s="2" t="s">
        <v>25043</v>
      </c>
      <c r="C1437" s="2"/>
      <c r="D1437" s="2"/>
      <c r="E1437" s="2"/>
      <c r="F1437" s="2" t="s">
        <v>25044</v>
      </c>
      <c r="G1437" s="2"/>
      <c r="H1437" s="2"/>
      <c r="I1437" s="2" t="s">
        <v>25045</v>
      </c>
      <c r="J1437" s="2" t="s">
        <v>1290</v>
      </c>
      <c r="K1437" s="2"/>
      <c r="L1437" s="2"/>
      <c r="M1437" s="2" t="s">
        <v>77</v>
      </c>
      <c r="N1437" s="2" t="s">
        <v>78</v>
      </c>
      <c r="O1437" s="2"/>
      <c r="P1437" s="2"/>
      <c r="Q1437" s="2"/>
      <c r="R1437" s="2"/>
      <c r="S1437" s="2"/>
      <c r="T1437" s="2" t="s">
        <v>25046</v>
      </c>
      <c r="U1437" s="2" t="s">
        <v>25047</v>
      </c>
      <c r="V1437" s="2" t="s">
        <v>25048</v>
      </c>
      <c r="W1437" s="2" t="s">
        <v>25049</v>
      </c>
      <c r="X1437" s="2" t="s">
        <v>25050</v>
      </c>
      <c r="Y1437" s="2" t="s">
        <v>25051</v>
      </c>
      <c r="Z1437" s="2" t="s">
        <v>25052</v>
      </c>
      <c r="AA1437" s="2" t="s">
        <v>25053</v>
      </c>
      <c r="AB1437" s="2" t="s">
        <v>25054</v>
      </c>
      <c r="AC1437" s="2"/>
      <c r="AD1437" s="2"/>
      <c r="AE1437" s="2"/>
      <c r="AF1437" s="2"/>
      <c r="AG1437" s="2" t="n">
        <v>17</v>
      </c>
      <c r="AH1437" s="2" t="n">
        <v>4</v>
      </c>
      <c r="AI1437" s="2" t="n">
        <v>4</v>
      </c>
      <c r="AJ1437" s="2" t="n">
        <v>1</v>
      </c>
      <c r="AK1437" s="2" t="n">
        <v>5</v>
      </c>
      <c r="AL1437" s="2" t="s">
        <v>154</v>
      </c>
      <c r="AM1437" s="2" t="s">
        <v>155</v>
      </c>
      <c r="AN1437" s="2" t="s">
        <v>156</v>
      </c>
      <c r="AO1437" s="2" t="s">
        <v>1302</v>
      </c>
      <c r="AP1437" s="2" t="s">
        <v>1303</v>
      </c>
      <c r="AQ1437" s="2"/>
      <c r="AR1437" s="2" t="s">
        <v>1304</v>
      </c>
      <c r="AS1437" s="2" t="s">
        <v>1305</v>
      </c>
      <c r="AT1437" s="2" t="s">
        <v>185</v>
      </c>
      <c r="AU1437" s="2" t="n">
        <v>2021</v>
      </c>
      <c r="AV1437" s="2" t="n">
        <v>56</v>
      </c>
      <c r="AW1437" s="2" t="n">
        <v>8</v>
      </c>
      <c r="AX1437" s="2"/>
      <c r="AY1437" s="2"/>
      <c r="AZ1437" s="2"/>
      <c r="BA1437" s="2"/>
      <c r="BB1437" s="2" t="n">
        <v>2724</v>
      </c>
      <c r="BC1437" s="2" t="n">
        <v>2728</v>
      </c>
      <c r="BD1437" s="2"/>
      <c r="BE1437" s="2" t="s">
        <v>25055</v>
      </c>
      <c r="BF1437" s="2" t="str">
        <f aca="false">HYPERLINK("http://dx.doi.org/10.1002/ppul.25469","http://dx.doi.org/10.1002/ppul.25469")</f>
        <v>http://dx.doi.org/10.1002/ppul.25469</v>
      </c>
      <c r="BG1437" s="2"/>
      <c r="BH1437" s="2" t="s">
        <v>11148</v>
      </c>
      <c r="BI1437" s="2" t="n">
        <v>5</v>
      </c>
      <c r="BJ1437" s="2" t="s">
        <v>1307</v>
      </c>
      <c r="BK1437" s="2" t="s">
        <v>100</v>
      </c>
      <c r="BL1437" s="2" t="s">
        <v>1307</v>
      </c>
      <c r="BM1437" s="2" t="s">
        <v>25056</v>
      </c>
      <c r="BN1437" s="2" t="n">
        <v>34185972</v>
      </c>
      <c r="BO1437" s="2"/>
      <c r="BP1437" s="2"/>
      <c r="BQ1437" s="2"/>
      <c r="BR1437" s="2" t="s">
        <v>104</v>
      </c>
      <c r="BS1437" s="2" t="s">
        <v>25057</v>
      </c>
      <c r="BT1437" s="2" t="str">
        <f aca="false">HYPERLINK("https%3A%2F%2Fwww.webofscience.com%2Fwos%2Fwoscc%2Ffull-record%2FWOS:000667827500001","View Full Record in Web of Science")</f>
        <v>View Full Record in Web of Science</v>
      </c>
    </row>
    <row r="1438" customFormat="false" ht="12.75" hidden="false" customHeight="false" outlineLevel="0" collapsed="false">
      <c r="A1438" s="2" t="s">
        <v>72</v>
      </c>
      <c r="B1438" s="2" t="s">
        <v>25058</v>
      </c>
      <c r="C1438" s="2"/>
      <c r="D1438" s="2"/>
      <c r="E1438" s="2"/>
      <c r="F1438" s="2" t="s">
        <v>25059</v>
      </c>
      <c r="G1438" s="2"/>
      <c r="H1438" s="2"/>
      <c r="I1438" s="2" t="s">
        <v>25060</v>
      </c>
      <c r="J1438" s="2" t="s">
        <v>4309</v>
      </c>
      <c r="K1438" s="2"/>
      <c r="L1438" s="2"/>
      <c r="M1438" s="2" t="s">
        <v>77</v>
      </c>
      <c r="N1438" s="2" t="s">
        <v>78</v>
      </c>
      <c r="O1438" s="2"/>
      <c r="P1438" s="2"/>
      <c r="Q1438" s="2"/>
      <c r="R1438" s="2"/>
      <c r="S1438" s="2"/>
      <c r="T1438" s="2" t="s">
        <v>25061</v>
      </c>
      <c r="U1438" s="2" t="s">
        <v>25062</v>
      </c>
      <c r="V1438" s="2" t="s">
        <v>25063</v>
      </c>
      <c r="W1438" s="2" t="s">
        <v>25064</v>
      </c>
      <c r="X1438" s="2" t="s">
        <v>25065</v>
      </c>
      <c r="Y1438" s="2" t="s">
        <v>25066</v>
      </c>
      <c r="Z1438" s="2" t="s">
        <v>25067</v>
      </c>
      <c r="AA1438" s="2" t="s">
        <v>25068</v>
      </c>
      <c r="AB1438" s="2" t="s">
        <v>25069</v>
      </c>
      <c r="AC1438" s="2"/>
      <c r="AD1438" s="2"/>
      <c r="AE1438" s="2"/>
      <c r="AF1438" s="2"/>
      <c r="AG1438" s="2" t="n">
        <v>24</v>
      </c>
      <c r="AH1438" s="2" t="n">
        <v>11</v>
      </c>
      <c r="AI1438" s="2" t="n">
        <v>12</v>
      </c>
      <c r="AJ1438" s="2" t="n">
        <v>0</v>
      </c>
      <c r="AK1438" s="2" t="n">
        <v>1</v>
      </c>
      <c r="AL1438" s="2" t="s">
        <v>2788</v>
      </c>
      <c r="AM1438" s="2" t="s">
        <v>2789</v>
      </c>
      <c r="AN1438" s="2" t="s">
        <v>2790</v>
      </c>
      <c r="AO1438" s="2" t="s">
        <v>4319</v>
      </c>
      <c r="AP1438" s="2" t="s">
        <v>4320</v>
      </c>
      <c r="AQ1438" s="2"/>
      <c r="AR1438" s="2" t="s">
        <v>4321</v>
      </c>
      <c r="AS1438" s="2" t="s">
        <v>4322</v>
      </c>
      <c r="AT1438" s="2"/>
      <c r="AU1438" s="2" t="n">
        <v>2016</v>
      </c>
      <c r="AV1438" s="2" t="n">
        <v>48</v>
      </c>
      <c r="AW1438" s="2" t="s">
        <v>25070</v>
      </c>
      <c r="AX1438" s="2"/>
      <c r="AY1438" s="2"/>
      <c r="AZ1438" s="2"/>
      <c r="BA1438" s="2"/>
      <c r="BB1438" s="2" t="n">
        <v>852</v>
      </c>
      <c r="BC1438" s="2" t="n">
        <v>856</v>
      </c>
      <c r="BD1438" s="2"/>
      <c r="BE1438" s="2" t="s">
        <v>25071</v>
      </c>
      <c r="BF1438" s="2" t="str">
        <f aca="false">HYPERLINK("http://dx.doi.org/10.1080/23744235.2016.1204661","http://dx.doi.org/10.1080/23744235.2016.1204661")</f>
        <v>http://dx.doi.org/10.1080/23744235.2016.1204661</v>
      </c>
      <c r="BG1438" s="2"/>
      <c r="BH1438" s="2"/>
      <c r="BI1438" s="2" t="n">
        <v>5</v>
      </c>
      <c r="BJ1438" s="2" t="s">
        <v>575</v>
      </c>
      <c r="BK1438" s="2" t="s">
        <v>100</v>
      </c>
      <c r="BL1438" s="2" t="s">
        <v>575</v>
      </c>
      <c r="BM1438" s="2" t="s">
        <v>25072</v>
      </c>
      <c r="BN1438" s="2" t="n">
        <v>27385394</v>
      </c>
      <c r="BO1438" s="2"/>
      <c r="BP1438" s="2"/>
      <c r="BQ1438" s="2"/>
      <c r="BR1438" s="2" t="s">
        <v>104</v>
      </c>
      <c r="BS1438" s="2" t="s">
        <v>25073</v>
      </c>
      <c r="BT1438" s="2" t="str">
        <f aca="false">HYPERLINK("https%3A%2F%2Fwww.webofscience.com%2Fwos%2Fwoscc%2Ffull-record%2FWOS:000384325500013","View Full Record in Web of Science")</f>
        <v>View Full Record in Web of Science</v>
      </c>
    </row>
    <row r="1439" customFormat="false" ht="12.75" hidden="false" customHeight="false" outlineLevel="0" collapsed="false">
      <c r="A1439" s="2" t="s">
        <v>72</v>
      </c>
      <c r="B1439" s="2" t="s">
        <v>25074</v>
      </c>
      <c r="C1439" s="2"/>
      <c r="D1439" s="2"/>
      <c r="E1439" s="2"/>
      <c r="F1439" s="2" t="s">
        <v>25075</v>
      </c>
      <c r="G1439" s="2"/>
      <c r="H1439" s="2"/>
      <c r="I1439" s="2" t="s">
        <v>25076</v>
      </c>
      <c r="J1439" s="2" t="s">
        <v>24209</v>
      </c>
      <c r="K1439" s="2"/>
      <c r="L1439" s="2"/>
      <c r="M1439" s="2" t="s">
        <v>77</v>
      </c>
      <c r="N1439" s="2" t="s">
        <v>78</v>
      </c>
      <c r="O1439" s="2"/>
      <c r="P1439" s="2"/>
      <c r="Q1439" s="2"/>
      <c r="R1439" s="2"/>
      <c r="S1439" s="2"/>
      <c r="T1439" s="2" t="s">
        <v>25077</v>
      </c>
      <c r="U1439" s="2" t="s">
        <v>25078</v>
      </c>
      <c r="V1439" s="2" t="s">
        <v>25079</v>
      </c>
      <c r="W1439" s="2" t="s">
        <v>25080</v>
      </c>
      <c r="X1439" s="2" t="s">
        <v>25081</v>
      </c>
      <c r="Y1439" s="2" t="s">
        <v>25082</v>
      </c>
      <c r="Z1439" s="2" t="s">
        <v>25083</v>
      </c>
      <c r="AA1439" s="2"/>
      <c r="AB1439" s="2"/>
      <c r="AC1439" s="2" t="s">
        <v>25084</v>
      </c>
      <c r="AD1439" s="2" t="s">
        <v>25085</v>
      </c>
      <c r="AE1439" s="2" t="s">
        <v>25086</v>
      </c>
      <c r="AF1439" s="2"/>
      <c r="AG1439" s="2" t="n">
        <v>32</v>
      </c>
      <c r="AH1439" s="2" t="n">
        <v>5</v>
      </c>
      <c r="AI1439" s="2" t="n">
        <v>5</v>
      </c>
      <c r="AJ1439" s="2" t="n">
        <v>0</v>
      </c>
      <c r="AK1439" s="2" t="n">
        <v>11</v>
      </c>
      <c r="AL1439" s="2" t="s">
        <v>122</v>
      </c>
      <c r="AM1439" s="2" t="s">
        <v>123</v>
      </c>
      <c r="AN1439" s="2" t="s">
        <v>124</v>
      </c>
      <c r="AO1439" s="2" t="s">
        <v>24221</v>
      </c>
      <c r="AP1439" s="2" t="s">
        <v>24222</v>
      </c>
      <c r="AQ1439" s="2"/>
      <c r="AR1439" s="2" t="s">
        <v>24209</v>
      </c>
      <c r="AS1439" s="2" t="s">
        <v>24223</v>
      </c>
      <c r="AT1439" s="2" t="s">
        <v>7372</v>
      </c>
      <c r="AU1439" s="2" t="n">
        <v>2022</v>
      </c>
      <c r="AV1439" s="2" t="n">
        <v>101</v>
      </c>
      <c r="AW1439" s="2" t="n">
        <v>37</v>
      </c>
      <c r="AX1439" s="2"/>
      <c r="AY1439" s="2"/>
      <c r="AZ1439" s="2"/>
      <c r="BA1439" s="2"/>
      <c r="BB1439" s="2"/>
      <c r="BC1439" s="2"/>
      <c r="BD1439" s="2" t="s">
        <v>25087</v>
      </c>
      <c r="BE1439" s="2" t="s">
        <v>25088</v>
      </c>
      <c r="BF1439" s="2" t="str">
        <f aca="false">HYPERLINK("http://dx.doi.org/10.1097/MD.0000000000030604","http://dx.doi.org/10.1097/MD.0000000000030604")</f>
        <v>http://dx.doi.org/10.1097/MD.0000000000030604</v>
      </c>
      <c r="BG1439" s="2"/>
      <c r="BH1439" s="2"/>
      <c r="BI1439" s="2" t="n">
        <v>5</v>
      </c>
      <c r="BJ1439" s="2" t="s">
        <v>363</v>
      </c>
      <c r="BK1439" s="2" t="s">
        <v>100</v>
      </c>
      <c r="BL1439" s="2" t="s">
        <v>364</v>
      </c>
      <c r="BM1439" s="2" t="s">
        <v>25089</v>
      </c>
      <c r="BN1439" s="2" t="n">
        <v>36123935</v>
      </c>
      <c r="BO1439" s="2" t="s">
        <v>103</v>
      </c>
      <c r="BP1439" s="2"/>
      <c r="BQ1439" s="2"/>
      <c r="BR1439" s="2" t="s">
        <v>104</v>
      </c>
      <c r="BS1439" s="2" t="s">
        <v>25090</v>
      </c>
      <c r="BT1439" s="2" t="str">
        <f aca="false">HYPERLINK("https%3A%2F%2Fwww.webofscience.com%2Fwos%2Fwoscc%2Ffull-record%2FWOS:000855119700070","View Full Record in Web of Science")</f>
        <v>View Full Record in Web of Science</v>
      </c>
    </row>
    <row r="1440" customFormat="false" ht="12.75" hidden="false" customHeight="false" outlineLevel="0" collapsed="false">
      <c r="A1440" s="2" t="s">
        <v>72</v>
      </c>
      <c r="B1440" s="2" t="s">
        <v>25091</v>
      </c>
      <c r="C1440" s="2"/>
      <c r="D1440" s="2"/>
      <c r="E1440" s="2"/>
      <c r="F1440" s="2" t="s">
        <v>25092</v>
      </c>
      <c r="G1440" s="2"/>
      <c r="H1440" s="2" t="s">
        <v>25093</v>
      </c>
      <c r="I1440" s="2" t="s">
        <v>25094</v>
      </c>
      <c r="J1440" s="2" t="s">
        <v>7244</v>
      </c>
      <c r="K1440" s="2"/>
      <c r="L1440" s="2"/>
      <c r="M1440" s="2" t="s">
        <v>77</v>
      </c>
      <c r="N1440" s="2" t="s">
        <v>78</v>
      </c>
      <c r="O1440" s="2"/>
      <c r="P1440" s="2"/>
      <c r="Q1440" s="2"/>
      <c r="R1440" s="2"/>
      <c r="S1440" s="2"/>
      <c r="T1440" s="2" t="s">
        <v>25095</v>
      </c>
      <c r="U1440" s="2" t="s">
        <v>25096</v>
      </c>
      <c r="V1440" s="2" t="s">
        <v>25097</v>
      </c>
      <c r="W1440" s="2" t="s">
        <v>25098</v>
      </c>
      <c r="X1440" s="2" t="s">
        <v>25099</v>
      </c>
      <c r="Y1440" s="2" t="s">
        <v>25100</v>
      </c>
      <c r="Z1440" s="2" t="s">
        <v>25101</v>
      </c>
      <c r="AA1440" s="2" t="s">
        <v>25102</v>
      </c>
      <c r="AB1440" s="2" t="s">
        <v>25103</v>
      </c>
      <c r="AC1440" s="2" t="s">
        <v>25104</v>
      </c>
      <c r="AD1440" s="2" t="s">
        <v>25105</v>
      </c>
      <c r="AE1440" s="2" t="s">
        <v>25106</v>
      </c>
      <c r="AF1440" s="2"/>
      <c r="AG1440" s="2" t="n">
        <v>23</v>
      </c>
      <c r="AH1440" s="2" t="n">
        <v>11</v>
      </c>
      <c r="AI1440" s="2" t="n">
        <v>11</v>
      </c>
      <c r="AJ1440" s="2" t="n">
        <v>0</v>
      </c>
      <c r="AK1440" s="2" t="n">
        <v>5</v>
      </c>
      <c r="AL1440" s="2" t="s">
        <v>782</v>
      </c>
      <c r="AM1440" s="2" t="s">
        <v>783</v>
      </c>
      <c r="AN1440" s="2" t="s">
        <v>784</v>
      </c>
      <c r="AO1440" s="2" t="s">
        <v>7252</v>
      </c>
      <c r="AP1440" s="2" t="s">
        <v>7253</v>
      </c>
      <c r="AQ1440" s="2"/>
      <c r="AR1440" s="2" t="s">
        <v>7254</v>
      </c>
      <c r="AS1440" s="2" t="s">
        <v>7255</v>
      </c>
      <c r="AT1440" s="2" t="s">
        <v>161</v>
      </c>
      <c r="AU1440" s="2" t="n">
        <v>2021</v>
      </c>
      <c r="AV1440" s="2" t="n">
        <v>27</v>
      </c>
      <c r="AW1440" s="2" t="n">
        <v>1</v>
      </c>
      <c r="AX1440" s="2"/>
      <c r="AY1440" s="2"/>
      <c r="AZ1440" s="2"/>
      <c r="BA1440" s="2"/>
      <c r="BB1440" s="2"/>
      <c r="BC1440" s="2"/>
      <c r="BD1440" s="2"/>
      <c r="BE1440" s="2" t="s">
        <v>25107</v>
      </c>
      <c r="BF1440" s="2" t="str">
        <f aca="false">HYPERLINK("http://dx.doi.org/10.1016/j.cmi.2020.04.005","http://dx.doi.org/10.1016/j.cmi.2020.04.005")</f>
        <v>http://dx.doi.org/10.1016/j.cmi.2020.04.005</v>
      </c>
      <c r="BG1440" s="2"/>
      <c r="BH1440" s="2"/>
      <c r="BI1440" s="2" t="n">
        <v>6</v>
      </c>
      <c r="BJ1440" s="2" t="s">
        <v>1467</v>
      </c>
      <c r="BK1440" s="2" t="s">
        <v>100</v>
      </c>
      <c r="BL1440" s="2" t="s">
        <v>1467</v>
      </c>
      <c r="BM1440" s="2" t="s">
        <v>19258</v>
      </c>
      <c r="BN1440" s="2" t="n">
        <v>32283266</v>
      </c>
      <c r="BO1440" s="2" t="s">
        <v>25108</v>
      </c>
      <c r="BP1440" s="2"/>
      <c r="BQ1440" s="2"/>
      <c r="BR1440" s="2" t="s">
        <v>104</v>
      </c>
      <c r="BS1440" s="2" t="s">
        <v>25109</v>
      </c>
      <c r="BT1440" s="2" t="str">
        <f aca="false">HYPERLINK("https%3A%2F%2Fwww.webofscience.com%2Fwos%2Fwoscc%2Ffull-record%2FWOS:000600577900025","View Full Record in Web of Science")</f>
        <v>View Full Record in Web of Science</v>
      </c>
    </row>
    <row r="1441" customFormat="false" ht="12.75" hidden="false" customHeight="false" outlineLevel="0" collapsed="false">
      <c r="A1441" s="2" t="s">
        <v>72</v>
      </c>
      <c r="B1441" s="2" t="s">
        <v>25110</v>
      </c>
      <c r="C1441" s="2"/>
      <c r="D1441" s="2"/>
      <c r="E1441" s="2"/>
      <c r="F1441" s="2" t="s">
        <v>25111</v>
      </c>
      <c r="G1441" s="2"/>
      <c r="H1441" s="2"/>
      <c r="I1441" s="2" t="s">
        <v>25112</v>
      </c>
      <c r="J1441" s="2" t="s">
        <v>16677</v>
      </c>
      <c r="K1441" s="2"/>
      <c r="L1441" s="2"/>
      <c r="M1441" s="2" t="s">
        <v>77</v>
      </c>
      <c r="N1441" s="2" t="s">
        <v>78</v>
      </c>
      <c r="O1441" s="2"/>
      <c r="P1441" s="2"/>
      <c r="Q1441" s="2"/>
      <c r="R1441" s="2"/>
      <c r="S1441" s="2"/>
      <c r="T1441" s="2" t="s">
        <v>25113</v>
      </c>
      <c r="U1441" s="2" t="s">
        <v>25114</v>
      </c>
      <c r="V1441" s="2" t="s">
        <v>25115</v>
      </c>
      <c r="W1441" s="2" t="s">
        <v>25116</v>
      </c>
      <c r="X1441" s="2" t="s">
        <v>25117</v>
      </c>
      <c r="Y1441" s="2" t="s">
        <v>25118</v>
      </c>
      <c r="Z1441" s="2" t="s">
        <v>5312</v>
      </c>
      <c r="AA1441" s="2" t="s">
        <v>5313</v>
      </c>
      <c r="AB1441" s="2" t="s">
        <v>25119</v>
      </c>
      <c r="AC1441" s="2" t="s">
        <v>25120</v>
      </c>
      <c r="AD1441" s="2" t="s">
        <v>25121</v>
      </c>
      <c r="AE1441" s="2" t="s">
        <v>25122</v>
      </c>
      <c r="AF1441" s="2"/>
      <c r="AG1441" s="2" t="n">
        <v>43</v>
      </c>
      <c r="AH1441" s="2" t="n">
        <v>7</v>
      </c>
      <c r="AI1441" s="2" t="n">
        <v>7</v>
      </c>
      <c r="AJ1441" s="2" t="n">
        <v>0</v>
      </c>
      <c r="AK1441" s="2" t="n">
        <v>2</v>
      </c>
      <c r="AL1441" s="2" t="s">
        <v>154</v>
      </c>
      <c r="AM1441" s="2" t="s">
        <v>155</v>
      </c>
      <c r="AN1441" s="2" t="s">
        <v>156</v>
      </c>
      <c r="AO1441" s="2"/>
      <c r="AP1441" s="2" t="s">
        <v>16690</v>
      </c>
      <c r="AQ1441" s="2"/>
      <c r="AR1441" s="2" t="s">
        <v>16691</v>
      </c>
      <c r="AS1441" s="2" t="s">
        <v>16692</v>
      </c>
      <c r="AT1441" s="2" t="s">
        <v>446</v>
      </c>
      <c r="AU1441" s="2" t="n">
        <v>2021</v>
      </c>
      <c r="AV1441" s="2" t="n">
        <v>4</v>
      </c>
      <c r="AW1441" s="2" t="n">
        <v>4</v>
      </c>
      <c r="AX1441" s="2"/>
      <c r="AY1441" s="2"/>
      <c r="AZ1441" s="2"/>
      <c r="BA1441" s="2"/>
      <c r="BB1441" s="2"/>
      <c r="BC1441" s="2"/>
      <c r="BD1441" s="2" t="s">
        <v>25123</v>
      </c>
      <c r="BE1441" s="2" t="s">
        <v>25124</v>
      </c>
      <c r="BF1441" s="2" t="str">
        <f aca="false">HYPERLINK("http://dx.doi.org/10.1002/hsr2.403","http://dx.doi.org/10.1002/hsr2.403")</f>
        <v>http://dx.doi.org/10.1002/hsr2.403</v>
      </c>
      <c r="BG1441" s="2"/>
      <c r="BH1441" s="2"/>
      <c r="BI1441" s="2" t="n">
        <v>11</v>
      </c>
      <c r="BJ1441" s="2" t="s">
        <v>16695</v>
      </c>
      <c r="BK1441" s="2" t="s">
        <v>339</v>
      </c>
      <c r="BL1441" s="2" t="s">
        <v>16696</v>
      </c>
      <c r="BM1441" s="2" t="s">
        <v>25125</v>
      </c>
      <c r="BN1441" s="2" t="n">
        <v>34646942</v>
      </c>
      <c r="BO1441" s="2" t="s">
        <v>165</v>
      </c>
      <c r="BP1441" s="2"/>
      <c r="BQ1441" s="2"/>
      <c r="BR1441" s="2" t="s">
        <v>104</v>
      </c>
      <c r="BS1441" s="2" t="s">
        <v>25126</v>
      </c>
      <c r="BT1441" s="2" t="str">
        <f aca="false">HYPERLINK("https%3A%2F%2Fwww.webofscience.com%2Fwos%2Fwoscc%2Ffull-record%2FWOS:000735431100072","View Full Record in Web of Science")</f>
        <v>View Full Record in Web of Science</v>
      </c>
    </row>
    <row r="1442" customFormat="false" ht="12.75" hidden="false" customHeight="false" outlineLevel="0" collapsed="false">
      <c r="A1442" s="2" t="s">
        <v>72</v>
      </c>
      <c r="B1442" s="2" t="s">
        <v>25127</v>
      </c>
      <c r="C1442" s="2"/>
      <c r="D1442" s="2"/>
      <c r="E1442" s="2"/>
      <c r="F1442" s="2" t="s">
        <v>25128</v>
      </c>
      <c r="G1442" s="2"/>
      <c r="H1442" s="2"/>
      <c r="I1442" s="2" t="s">
        <v>25129</v>
      </c>
      <c r="J1442" s="2" t="s">
        <v>557</v>
      </c>
      <c r="K1442" s="2"/>
      <c r="L1442" s="2"/>
      <c r="M1442" s="2" t="s">
        <v>77</v>
      </c>
      <c r="N1442" s="2" t="s">
        <v>78</v>
      </c>
      <c r="O1442" s="2"/>
      <c r="P1442" s="2"/>
      <c r="Q1442" s="2"/>
      <c r="R1442" s="2"/>
      <c r="S1442" s="2"/>
      <c r="T1442" s="2" t="s">
        <v>25130</v>
      </c>
      <c r="U1442" s="2" t="s">
        <v>25131</v>
      </c>
      <c r="V1442" s="2" t="s">
        <v>25132</v>
      </c>
      <c r="W1442" s="2" t="s">
        <v>25133</v>
      </c>
      <c r="X1442" s="2" t="s">
        <v>25134</v>
      </c>
      <c r="Y1442" s="2" t="s">
        <v>25135</v>
      </c>
      <c r="Z1442" s="2" t="s">
        <v>25136</v>
      </c>
      <c r="AA1442" s="2" t="s">
        <v>25137</v>
      </c>
      <c r="AB1442" s="2" t="s">
        <v>25138</v>
      </c>
      <c r="AC1442" s="2" t="s">
        <v>25139</v>
      </c>
      <c r="AD1442" s="2" t="s">
        <v>25140</v>
      </c>
      <c r="AE1442" s="2" t="s">
        <v>25141</v>
      </c>
      <c r="AF1442" s="2"/>
      <c r="AG1442" s="2" t="n">
        <v>17</v>
      </c>
      <c r="AH1442" s="2" t="n">
        <v>3</v>
      </c>
      <c r="AI1442" s="2" t="n">
        <v>3</v>
      </c>
      <c r="AJ1442" s="2" t="n">
        <v>0</v>
      </c>
      <c r="AK1442" s="2" t="n">
        <v>1</v>
      </c>
      <c r="AL1442" s="2" t="s">
        <v>302</v>
      </c>
      <c r="AM1442" s="2" t="s">
        <v>303</v>
      </c>
      <c r="AN1442" s="2" t="s">
        <v>304</v>
      </c>
      <c r="AO1442" s="2"/>
      <c r="AP1442" s="2" t="s">
        <v>570</v>
      </c>
      <c r="AQ1442" s="2"/>
      <c r="AR1442" s="2" t="s">
        <v>571</v>
      </c>
      <c r="AS1442" s="2" t="s">
        <v>572</v>
      </c>
      <c r="AT1442" s="2" t="s">
        <v>25142</v>
      </c>
      <c r="AU1442" s="2" t="n">
        <v>2021</v>
      </c>
      <c r="AV1442" s="2" t="n">
        <v>21</v>
      </c>
      <c r="AW1442" s="2" t="n">
        <v>1</v>
      </c>
      <c r="AX1442" s="2"/>
      <c r="AY1442" s="2"/>
      <c r="AZ1442" s="2"/>
      <c r="BA1442" s="2"/>
      <c r="BB1442" s="2"/>
      <c r="BC1442" s="2"/>
      <c r="BD1442" s="2" t="n">
        <v>997</v>
      </c>
      <c r="BE1442" s="2" t="s">
        <v>25143</v>
      </c>
      <c r="BF1442" s="2" t="str">
        <f aca="false">HYPERLINK("http://dx.doi.org/10.1186/s12879-021-06699-z","http://dx.doi.org/10.1186/s12879-021-06699-z")</f>
        <v>http://dx.doi.org/10.1186/s12879-021-06699-z</v>
      </c>
      <c r="BG1442" s="2"/>
      <c r="BH1442" s="2"/>
      <c r="BI1442" s="2" t="n">
        <v>7</v>
      </c>
      <c r="BJ1442" s="2" t="s">
        <v>575</v>
      </c>
      <c r="BK1442" s="2" t="s">
        <v>100</v>
      </c>
      <c r="BL1442" s="2" t="s">
        <v>575</v>
      </c>
      <c r="BM1442" s="2" t="s">
        <v>25144</v>
      </c>
      <c r="BN1442" s="2" t="n">
        <v>34556046</v>
      </c>
      <c r="BO1442" s="2" t="s">
        <v>103</v>
      </c>
      <c r="BP1442" s="2"/>
      <c r="BQ1442" s="2"/>
      <c r="BR1442" s="2" t="s">
        <v>104</v>
      </c>
      <c r="BS1442" s="2" t="s">
        <v>25145</v>
      </c>
      <c r="BT1442" s="2" t="str">
        <f aca="false">HYPERLINK("https%3A%2F%2Fwww.webofscience.com%2Fwos%2Fwoscc%2Ffull-record%2FWOS:000698664400009","View Full Record in Web of Science")</f>
        <v>View Full Record in Web of Science</v>
      </c>
    </row>
    <row r="1443" customFormat="false" ht="12.75" hidden="false" customHeight="false" outlineLevel="0" collapsed="false">
      <c r="A1443" s="2" t="s">
        <v>72</v>
      </c>
      <c r="B1443" s="2" t="s">
        <v>25146</v>
      </c>
      <c r="C1443" s="2"/>
      <c r="D1443" s="2"/>
      <c r="E1443" s="2"/>
      <c r="F1443" s="2" t="s">
        <v>25147</v>
      </c>
      <c r="G1443" s="2"/>
      <c r="H1443" s="2"/>
      <c r="I1443" s="2" t="s">
        <v>25148</v>
      </c>
      <c r="J1443" s="2" t="s">
        <v>141</v>
      </c>
      <c r="K1443" s="2"/>
      <c r="L1443" s="2"/>
      <c r="M1443" s="2" t="s">
        <v>77</v>
      </c>
      <c r="N1443" s="2" t="s">
        <v>78</v>
      </c>
      <c r="O1443" s="2"/>
      <c r="P1443" s="2"/>
      <c r="Q1443" s="2"/>
      <c r="R1443" s="2"/>
      <c r="S1443" s="2"/>
      <c r="T1443" s="2" t="s">
        <v>25149</v>
      </c>
      <c r="U1443" s="2" t="s">
        <v>6288</v>
      </c>
      <c r="V1443" s="2" t="s">
        <v>25150</v>
      </c>
      <c r="W1443" s="2" t="s">
        <v>25151</v>
      </c>
      <c r="X1443" s="2" t="s">
        <v>4185</v>
      </c>
      <c r="Y1443" s="2" t="s">
        <v>25152</v>
      </c>
      <c r="Z1443" s="2" t="s">
        <v>25153</v>
      </c>
      <c r="AA1443" s="2" t="s">
        <v>25154</v>
      </c>
      <c r="AB1443" s="2" t="s">
        <v>25155</v>
      </c>
      <c r="AC1443" s="2"/>
      <c r="AD1443" s="2"/>
      <c r="AE1443" s="2"/>
      <c r="AF1443" s="2"/>
      <c r="AG1443" s="2" t="n">
        <v>7</v>
      </c>
      <c r="AH1443" s="2" t="n">
        <v>2</v>
      </c>
      <c r="AI1443" s="2" t="n">
        <v>3</v>
      </c>
      <c r="AJ1443" s="2" t="n">
        <v>0</v>
      </c>
      <c r="AK1443" s="2" t="n">
        <v>0</v>
      </c>
      <c r="AL1443" s="2" t="s">
        <v>154</v>
      </c>
      <c r="AM1443" s="2" t="s">
        <v>155</v>
      </c>
      <c r="AN1443" s="2" t="s">
        <v>156</v>
      </c>
      <c r="AO1443" s="2" t="s">
        <v>157</v>
      </c>
      <c r="AP1443" s="2" t="s">
        <v>158</v>
      </c>
      <c r="AQ1443" s="2"/>
      <c r="AR1443" s="2" t="s">
        <v>159</v>
      </c>
      <c r="AS1443" s="2" t="s">
        <v>160</v>
      </c>
      <c r="AT1443" s="2" t="s">
        <v>185</v>
      </c>
      <c r="AU1443" s="2" t="n">
        <v>2018</v>
      </c>
      <c r="AV1443" s="2" t="n">
        <v>90</v>
      </c>
      <c r="AW1443" s="2" t="n">
        <v>8</v>
      </c>
      <c r="AX1443" s="2"/>
      <c r="AY1443" s="2"/>
      <c r="AZ1443" s="2"/>
      <c r="BA1443" s="2"/>
      <c r="BB1443" s="2" t="n">
        <v>1304</v>
      </c>
      <c r="BC1443" s="2" t="n">
        <v>1309</v>
      </c>
      <c r="BD1443" s="2"/>
      <c r="BE1443" s="2" t="s">
        <v>25156</v>
      </c>
      <c r="BF1443" s="2" t="str">
        <f aca="false">HYPERLINK("http://dx.doi.org/10.1002/jmv.25199","http://dx.doi.org/10.1002/jmv.25199")</f>
        <v>http://dx.doi.org/10.1002/jmv.25199</v>
      </c>
      <c r="BG1443" s="2"/>
      <c r="BH1443" s="2"/>
      <c r="BI1443" s="2" t="n">
        <v>6</v>
      </c>
      <c r="BJ1443" s="2" t="s">
        <v>163</v>
      </c>
      <c r="BK1443" s="2" t="s">
        <v>100</v>
      </c>
      <c r="BL1443" s="2" t="s">
        <v>163</v>
      </c>
      <c r="BM1443" s="2" t="s">
        <v>25157</v>
      </c>
      <c r="BN1443" s="2" t="n">
        <v>29663437</v>
      </c>
      <c r="BO1443" s="2" t="s">
        <v>1267</v>
      </c>
      <c r="BP1443" s="2"/>
      <c r="BQ1443" s="2"/>
      <c r="BR1443" s="2" t="s">
        <v>104</v>
      </c>
      <c r="BS1443" s="2" t="s">
        <v>25158</v>
      </c>
      <c r="BT1443" s="2" t="str">
        <f aca="false">HYPERLINK("https%3A%2F%2Fwww.webofscience.com%2Fwos%2Fwoscc%2Ffull-record%2FWOS:000435797200005","View Full Record in Web of Science")</f>
        <v>View Full Record in Web of Science</v>
      </c>
    </row>
    <row r="1444" customFormat="false" ht="12.75" hidden="false" customHeight="false" outlineLevel="0" collapsed="false">
      <c r="A1444" s="2" t="s">
        <v>72</v>
      </c>
      <c r="B1444" s="2" t="s">
        <v>25159</v>
      </c>
      <c r="C1444" s="2"/>
      <c r="D1444" s="2"/>
      <c r="E1444" s="2"/>
      <c r="F1444" s="2" t="s">
        <v>25160</v>
      </c>
      <c r="G1444" s="2"/>
      <c r="H1444" s="2"/>
      <c r="I1444" s="2" t="s">
        <v>25161</v>
      </c>
      <c r="J1444" s="2" t="s">
        <v>11019</v>
      </c>
      <c r="K1444" s="2"/>
      <c r="L1444" s="2"/>
      <c r="M1444" s="2" t="s">
        <v>77</v>
      </c>
      <c r="N1444" s="2" t="s">
        <v>78</v>
      </c>
      <c r="O1444" s="2"/>
      <c r="P1444" s="2"/>
      <c r="Q1444" s="2"/>
      <c r="R1444" s="2"/>
      <c r="S1444" s="2"/>
      <c r="T1444" s="2" t="s">
        <v>25162</v>
      </c>
      <c r="U1444" s="2" t="s">
        <v>25163</v>
      </c>
      <c r="V1444" s="2" t="s">
        <v>25164</v>
      </c>
      <c r="W1444" s="2" t="s">
        <v>25165</v>
      </c>
      <c r="X1444" s="2" t="s">
        <v>25166</v>
      </c>
      <c r="Y1444" s="2" t="s">
        <v>25167</v>
      </c>
      <c r="Z1444" s="2" t="s">
        <v>25168</v>
      </c>
      <c r="AA1444" s="2"/>
      <c r="AB1444" s="2" t="s">
        <v>25169</v>
      </c>
      <c r="AC1444" s="2" t="s">
        <v>25170</v>
      </c>
      <c r="AD1444" s="2" t="s">
        <v>25171</v>
      </c>
      <c r="AE1444" s="2" t="s">
        <v>25172</v>
      </c>
      <c r="AF1444" s="2"/>
      <c r="AG1444" s="2" t="n">
        <v>47</v>
      </c>
      <c r="AH1444" s="2" t="n">
        <v>12</v>
      </c>
      <c r="AI1444" s="2" t="n">
        <v>13</v>
      </c>
      <c r="AJ1444" s="2" t="n">
        <v>0</v>
      </c>
      <c r="AK1444" s="2" t="n">
        <v>1</v>
      </c>
      <c r="AL1444" s="2" t="s">
        <v>154</v>
      </c>
      <c r="AM1444" s="2" t="s">
        <v>155</v>
      </c>
      <c r="AN1444" s="2" t="s">
        <v>156</v>
      </c>
      <c r="AO1444" s="2" t="s">
        <v>11028</v>
      </c>
      <c r="AP1444" s="2" t="s">
        <v>11029</v>
      </c>
      <c r="AQ1444" s="2"/>
      <c r="AR1444" s="2" t="s">
        <v>11030</v>
      </c>
      <c r="AS1444" s="2" t="s">
        <v>11031</v>
      </c>
      <c r="AT1444" s="2" t="s">
        <v>97</v>
      </c>
      <c r="AU1444" s="2" t="n">
        <v>2022</v>
      </c>
      <c r="AV1444" s="2" t="n">
        <v>16</v>
      </c>
      <c r="AW1444" s="2" t="n">
        <v>2</v>
      </c>
      <c r="AX1444" s="2"/>
      <c r="AY1444" s="2"/>
      <c r="AZ1444" s="2"/>
      <c r="BA1444" s="2"/>
      <c r="BB1444" s="2" t="n">
        <v>276</v>
      </c>
      <c r="BC1444" s="2" t="n">
        <v>288</v>
      </c>
      <c r="BD1444" s="2"/>
      <c r="BE1444" s="2" t="s">
        <v>25173</v>
      </c>
      <c r="BF1444" s="2" t="str">
        <f aca="false">HYPERLINK("http://dx.doi.org/10.1111/irv.12914","http://dx.doi.org/10.1111/irv.12914")</f>
        <v>http://dx.doi.org/10.1111/irv.12914</v>
      </c>
      <c r="BG1444" s="2"/>
      <c r="BH1444" s="2" t="s">
        <v>3158</v>
      </c>
      <c r="BI1444" s="2" t="n">
        <v>13</v>
      </c>
      <c r="BJ1444" s="2" t="s">
        <v>8287</v>
      </c>
      <c r="BK1444" s="2" t="s">
        <v>100</v>
      </c>
      <c r="BL1444" s="2" t="s">
        <v>8287</v>
      </c>
      <c r="BM1444" s="2" t="s">
        <v>25174</v>
      </c>
      <c r="BN1444" s="2" t="n">
        <v>34605172</v>
      </c>
      <c r="BO1444" s="2" t="s">
        <v>165</v>
      </c>
      <c r="BP1444" s="2"/>
      <c r="BQ1444" s="2"/>
      <c r="BR1444" s="2" t="s">
        <v>104</v>
      </c>
      <c r="BS1444" s="2" t="s">
        <v>25175</v>
      </c>
      <c r="BT1444" s="2" t="str">
        <f aca="false">HYPERLINK("https%3A%2F%2Fwww.webofscience.com%2Fwos%2Fwoscc%2Ffull-record%2FWOS:000702982600001","View Full Record in Web of Science")</f>
        <v>View Full Record in Web of Science</v>
      </c>
    </row>
    <row r="1445" customFormat="false" ht="12.75" hidden="false" customHeight="false" outlineLevel="0" collapsed="false">
      <c r="A1445" s="2" t="s">
        <v>72</v>
      </c>
      <c r="B1445" s="2" t="s">
        <v>25176</v>
      </c>
      <c r="C1445" s="2"/>
      <c r="D1445" s="2"/>
      <c r="E1445" s="2"/>
      <c r="F1445" s="2" t="s">
        <v>25177</v>
      </c>
      <c r="G1445" s="2"/>
      <c r="H1445" s="2" t="s">
        <v>25178</v>
      </c>
      <c r="I1445" s="2" t="s">
        <v>25179</v>
      </c>
      <c r="J1445" s="2" t="s">
        <v>2061</v>
      </c>
      <c r="K1445" s="2"/>
      <c r="L1445" s="2"/>
      <c r="M1445" s="2" t="s">
        <v>77</v>
      </c>
      <c r="N1445" s="2" t="s">
        <v>78</v>
      </c>
      <c r="O1445" s="2"/>
      <c r="P1445" s="2"/>
      <c r="Q1445" s="2"/>
      <c r="R1445" s="2"/>
      <c r="S1445" s="2"/>
      <c r="T1445" s="2" t="s">
        <v>25180</v>
      </c>
      <c r="U1445" s="2" t="s">
        <v>25181</v>
      </c>
      <c r="V1445" s="2" t="s">
        <v>25182</v>
      </c>
      <c r="W1445" s="2" t="s">
        <v>25183</v>
      </c>
      <c r="X1445" s="2" t="s">
        <v>25184</v>
      </c>
      <c r="Y1445" s="2" t="s">
        <v>25185</v>
      </c>
      <c r="Z1445" s="2" t="s">
        <v>25186</v>
      </c>
      <c r="AA1445" s="2" t="s">
        <v>25187</v>
      </c>
      <c r="AB1445" s="2"/>
      <c r="AC1445" s="2" t="s">
        <v>25188</v>
      </c>
      <c r="AD1445" s="2" t="s">
        <v>25189</v>
      </c>
      <c r="AE1445" s="2" t="s">
        <v>25190</v>
      </c>
      <c r="AF1445" s="2"/>
      <c r="AG1445" s="2" t="n">
        <v>32</v>
      </c>
      <c r="AH1445" s="2" t="n">
        <v>24</v>
      </c>
      <c r="AI1445" s="2" t="n">
        <v>25</v>
      </c>
      <c r="AJ1445" s="2" t="n">
        <v>0</v>
      </c>
      <c r="AK1445" s="2" t="n">
        <v>9</v>
      </c>
      <c r="AL1445" s="2" t="s">
        <v>2070</v>
      </c>
      <c r="AM1445" s="2" t="s">
        <v>2071</v>
      </c>
      <c r="AN1445" s="2" t="s">
        <v>2072</v>
      </c>
      <c r="AO1445" s="2" t="s">
        <v>2073</v>
      </c>
      <c r="AP1445" s="2"/>
      <c r="AQ1445" s="2"/>
      <c r="AR1445" s="2" t="s">
        <v>2074</v>
      </c>
      <c r="AS1445" s="2" t="s">
        <v>2075</v>
      </c>
      <c r="AT1445" s="2" t="s">
        <v>692</v>
      </c>
      <c r="AU1445" s="2" t="n">
        <v>2014</v>
      </c>
      <c r="AV1445" s="2" t="n">
        <v>8</v>
      </c>
      <c r="AW1445" s="2" t="n">
        <v>4</v>
      </c>
      <c r="AX1445" s="2"/>
      <c r="AY1445" s="2"/>
      <c r="AZ1445" s="2"/>
      <c r="BA1445" s="2"/>
      <c r="BB1445" s="2" t="n">
        <v>510</v>
      </c>
      <c r="BC1445" s="2" t="n">
        <v>518</v>
      </c>
      <c r="BD1445" s="2"/>
      <c r="BE1445" s="2" t="s">
        <v>25191</v>
      </c>
      <c r="BF1445" s="2" t="str">
        <f aca="false">HYPERLINK("http://dx.doi.org/10.3855/jidc.3560","http://dx.doi.org/10.3855/jidc.3560")</f>
        <v>http://dx.doi.org/10.3855/jidc.3560</v>
      </c>
      <c r="BG1445" s="2"/>
      <c r="BH1445" s="2"/>
      <c r="BI1445" s="2" t="n">
        <v>9</v>
      </c>
      <c r="BJ1445" s="2" t="s">
        <v>575</v>
      </c>
      <c r="BK1445" s="2" t="s">
        <v>100</v>
      </c>
      <c r="BL1445" s="2" t="s">
        <v>575</v>
      </c>
      <c r="BM1445" s="2" t="s">
        <v>25192</v>
      </c>
      <c r="BN1445" s="2" t="n">
        <v>24727518</v>
      </c>
      <c r="BO1445" s="2" t="s">
        <v>3201</v>
      </c>
      <c r="BP1445" s="2"/>
      <c r="BQ1445" s="2"/>
      <c r="BR1445" s="2" t="s">
        <v>104</v>
      </c>
      <c r="BS1445" s="2" t="s">
        <v>25193</v>
      </c>
      <c r="BT1445" s="2" t="str">
        <f aca="false">HYPERLINK("https%3A%2F%2Fwww.webofscience.com%2Fwos%2Fwoscc%2Ffull-record%2FWOS:000339927900016","View Full Record in Web of Science")</f>
        <v>View Full Record in Web of Science</v>
      </c>
    </row>
    <row r="1446" customFormat="false" ht="12.75" hidden="false" customHeight="false" outlineLevel="0" collapsed="false">
      <c r="A1446" s="2" t="s">
        <v>72</v>
      </c>
      <c r="B1446" s="2" t="s">
        <v>25194</v>
      </c>
      <c r="C1446" s="2"/>
      <c r="D1446" s="2"/>
      <c r="E1446" s="2"/>
      <c r="F1446" s="2" t="s">
        <v>25195</v>
      </c>
      <c r="G1446" s="2"/>
      <c r="H1446" s="2"/>
      <c r="I1446" s="2" t="s">
        <v>25196</v>
      </c>
      <c r="J1446" s="2" t="s">
        <v>9579</v>
      </c>
      <c r="K1446" s="2"/>
      <c r="L1446" s="2"/>
      <c r="M1446" s="2" t="s">
        <v>77</v>
      </c>
      <c r="N1446" s="2" t="s">
        <v>78</v>
      </c>
      <c r="O1446" s="2"/>
      <c r="P1446" s="2"/>
      <c r="Q1446" s="2"/>
      <c r="R1446" s="2"/>
      <c r="S1446" s="2"/>
      <c r="T1446" s="2" t="s">
        <v>25197</v>
      </c>
      <c r="U1446" s="2" t="s">
        <v>25198</v>
      </c>
      <c r="V1446" s="2" t="s">
        <v>25199</v>
      </c>
      <c r="W1446" s="2" t="s">
        <v>25200</v>
      </c>
      <c r="X1446" s="2" t="s">
        <v>25201</v>
      </c>
      <c r="Y1446" s="2" t="s">
        <v>25202</v>
      </c>
      <c r="Z1446" s="2" t="s">
        <v>9586</v>
      </c>
      <c r="AA1446" s="2" t="s">
        <v>25203</v>
      </c>
      <c r="AB1446" s="2" t="s">
        <v>25204</v>
      </c>
      <c r="AC1446" s="2"/>
      <c r="AD1446" s="2"/>
      <c r="AE1446" s="2"/>
      <c r="AF1446" s="2"/>
      <c r="AG1446" s="2" t="n">
        <v>17</v>
      </c>
      <c r="AH1446" s="2" t="n">
        <v>30</v>
      </c>
      <c r="AI1446" s="2" t="n">
        <v>35</v>
      </c>
      <c r="AJ1446" s="2" t="n">
        <v>0</v>
      </c>
      <c r="AK1446" s="2" t="n">
        <v>1</v>
      </c>
      <c r="AL1446" s="2" t="s">
        <v>9589</v>
      </c>
      <c r="AM1446" s="2" t="s">
        <v>330</v>
      </c>
      <c r="AN1446" s="2" t="s">
        <v>9590</v>
      </c>
      <c r="AO1446" s="2" t="s">
        <v>9591</v>
      </c>
      <c r="AP1446" s="2" t="s">
        <v>9592</v>
      </c>
      <c r="AQ1446" s="2"/>
      <c r="AR1446" s="2" t="s">
        <v>9593</v>
      </c>
      <c r="AS1446" s="2" t="s">
        <v>9594</v>
      </c>
      <c r="AT1446" s="2" t="s">
        <v>486</v>
      </c>
      <c r="AU1446" s="2" t="n">
        <v>2014</v>
      </c>
      <c r="AV1446" s="2" t="n">
        <v>46</v>
      </c>
      <c r="AW1446" s="2" t="n">
        <v>2</v>
      </c>
      <c r="AX1446" s="2"/>
      <c r="AY1446" s="2"/>
      <c r="AZ1446" s="2"/>
      <c r="BA1446" s="2"/>
      <c r="BB1446" s="2" t="n">
        <v>67</v>
      </c>
      <c r="BC1446" s="2" t="n">
        <v>76</v>
      </c>
      <c r="BD1446" s="2"/>
      <c r="BE1446" s="2" t="s">
        <v>25205</v>
      </c>
      <c r="BF1446" s="2" t="str">
        <f aca="false">HYPERLINK("http://dx.doi.org/10.3947/ic.2014.46.2.67","http://dx.doi.org/10.3947/ic.2014.46.2.67")</f>
        <v>http://dx.doi.org/10.3947/ic.2014.46.2.67</v>
      </c>
      <c r="BG1446" s="2"/>
      <c r="BH1446" s="2"/>
      <c r="BI1446" s="2" t="n">
        <v>10</v>
      </c>
      <c r="BJ1446" s="2" t="s">
        <v>575</v>
      </c>
      <c r="BK1446" s="2" t="s">
        <v>339</v>
      </c>
      <c r="BL1446" s="2" t="s">
        <v>575</v>
      </c>
      <c r="BM1446" s="2" t="s">
        <v>25206</v>
      </c>
      <c r="BN1446" s="2" t="n">
        <v>25024868</v>
      </c>
      <c r="BO1446" s="2" t="s">
        <v>341</v>
      </c>
      <c r="BP1446" s="2"/>
      <c r="BQ1446" s="2"/>
      <c r="BR1446" s="2" t="s">
        <v>104</v>
      </c>
      <c r="BS1446" s="2" t="s">
        <v>25207</v>
      </c>
      <c r="BT1446" s="2" t="str">
        <f aca="false">HYPERLINK("https%3A%2F%2Fwww.webofscience.com%2Fwos%2Fwoscc%2Ffull-record%2FWOS:000421555500001","View Full Record in Web of Science")</f>
        <v>View Full Record in Web of Science</v>
      </c>
    </row>
    <row r="1447" customFormat="false" ht="12.75" hidden="false" customHeight="false" outlineLevel="0" collapsed="false">
      <c r="A1447" s="2" t="s">
        <v>72</v>
      </c>
      <c r="B1447" s="2" t="s">
        <v>25208</v>
      </c>
      <c r="C1447" s="2"/>
      <c r="D1447" s="2"/>
      <c r="E1447" s="2"/>
      <c r="F1447" s="2" t="s">
        <v>25209</v>
      </c>
      <c r="G1447" s="2"/>
      <c r="H1447" s="2"/>
      <c r="I1447" s="2" t="s">
        <v>25210</v>
      </c>
      <c r="J1447" s="2" t="s">
        <v>24209</v>
      </c>
      <c r="K1447" s="2"/>
      <c r="L1447" s="2"/>
      <c r="M1447" s="2" t="s">
        <v>77</v>
      </c>
      <c r="N1447" s="2" t="s">
        <v>78</v>
      </c>
      <c r="O1447" s="2"/>
      <c r="P1447" s="2"/>
      <c r="Q1447" s="2"/>
      <c r="R1447" s="2"/>
      <c r="S1447" s="2"/>
      <c r="T1447" s="2" t="s">
        <v>25211</v>
      </c>
      <c r="U1447" s="2" t="s">
        <v>25212</v>
      </c>
      <c r="V1447" s="2" t="s">
        <v>25213</v>
      </c>
      <c r="W1447" s="2" t="s">
        <v>25214</v>
      </c>
      <c r="X1447" s="2" t="s">
        <v>25215</v>
      </c>
      <c r="Y1447" s="2" t="s">
        <v>25216</v>
      </c>
      <c r="Z1447" s="2" t="s">
        <v>25217</v>
      </c>
      <c r="AA1447" s="2" t="s">
        <v>18392</v>
      </c>
      <c r="AB1447" s="2" t="s">
        <v>18393</v>
      </c>
      <c r="AC1447" s="2" t="s">
        <v>25218</v>
      </c>
      <c r="AD1447" s="2" t="s">
        <v>11815</v>
      </c>
      <c r="AE1447" s="2" t="s">
        <v>25219</v>
      </c>
      <c r="AF1447" s="2"/>
      <c r="AG1447" s="2" t="n">
        <v>20</v>
      </c>
      <c r="AH1447" s="2" t="n">
        <v>11</v>
      </c>
      <c r="AI1447" s="2" t="n">
        <v>13</v>
      </c>
      <c r="AJ1447" s="2" t="n">
        <v>0</v>
      </c>
      <c r="AK1447" s="2" t="n">
        <v>2</v>
      </c>
      <c r="AL1447" s="2" t="s">
        <v>122</v>
      </c>
      <c r="AM1447" s="2" t="s">
        <v>123</v>
      </c>
      <c r="AN1447" s="2" t="s">
        <v>124</v>
      </c>
      <c r="AO1447" s="2" t="s">
        <v>24221</v>
      </c>
      <c r="AP1447" s="2" t="s">
        <v>24222</v>
      </c>
      <c r="AQ1447" s="2"/>
      <c r="AR1447" s="2" t="s">
        <v>24209</v>
      </c>
      <c r="AS1447" s="2" t="s">
        <v>24223</v>
      </c>
      <c r="AT1447" s="2" t="s">
        <v>336</v>
      </c>
      <c r="AU1447" s="2" t="n">
        <v>2017</v>
      </c>
      <c r="AV1447" s="2" t="n">
        <v>96</v>
      </c>
      <c r="AW1447" s="2" t="n">
        <v>42</v>
      </c>
      <c r="AX1447" s="2"/>
      <c r="AY1447" s="2"/>
      <c r="AZ1447" s="2"/>
      <c r="BA1447" s="2"/>
      <c r="BB1447" s="2"/>
      <c r="BC1447" s="2"/>
      <c r="BD1447" s="2" t="s">
        <v>25220</v>
      </c>
      <c r="BE1447" s="2" t="s">
        <v>25221</v>
      </c>
      <c r="BF1447" s="2" t="str">
        <f aca="false">HYPERLINK("http://dx.doi.org/10.1097/MD.0000000000008204","http://dx.doi.org/10.1097/MD.0000000000008204")</f>
        <v>http://dx.doi.org/10.1097/MD.0000000000008204</v>
      </c>
      <c r="BG1447" s="2"/>
      <c r="BH1447" s="2"/>
      <c r="BI1447" s="2" t="n">
        <v>7</v>
      </c>
      <c r="BJ1447" s="2" t="s">
        <v>363</v>
      </c>
      <c r="BK1447" s="2" t="s">
        <v>100</v>
      </c>
      <c r="BL1447" s="2" t="s">
        <v>364</v>
      </c>
      <c r="BM1447" s="2" t="s">
        <v>25222</v>
      </c>
      <c r="BN1447" s="2" t="n">
        <v>29049206</v>
      </c>
      <c r="BO1447" s="2" t="s">
        <v>103</v>
      </c>
      <c r="BP1447" s="2"/>
      <c r="BQ1447" s="2"/>
      <c r="BR1447" s="2" t="s">
        <v>104</v>
      </c>
      <c r="BS1447" s="2" t="s">
        <v>25223</v>
      </c>
      <c r="BT1447" s="2" t="str">
        <f aca="false">HYPERLINK("https%3A%2F%2Fwww.webofscience.com%2Fwos%2Fwoscc%2Ffull-record%2FWOS:000415100000044","View Full Record in Web of Science")</f>
        <v>View Full Record in Web of Science</v>
      </c>
    </row>
    <row r="1448" customFormat="false" ht="12.75" hidden="false" customHeight="false" outlineLevel="0" collapsed="false">
      <c r="A1448" s="2" t="s">
        <v>72</v>
      </c>
      <c r="B1448" s="2" t="s">
        <v>25224</v>
      </c>
      <c r="C1448" s="2"/>
      <c r="D1448" s="2"/>
      <c r="E1448" s="2"/>
      <c r="F1448" s="2" t="s">
        <v>25225</v>
      </c>
      <c r="G1448" s="2"/>
      <c r="H1448" s="2"/>
      <c r="I1448" s="2" t="s">
        <v>25226</v>
      </c>
      <c r="J1448" s="2" t="s">
        <v>11019</v>
      </c>
      <c r="K1448" s="2"/>
      <c r="L1448" s="2"/>
      <c r="M1448" s="2" t="s">
        <v>77</v>
      </c>
      <c r="N1448" s="2" t="s">
        <v>78</v>
      </c>
      <c r="O1448" s="2"/>
      <c r="P1448" s="2"/>
      <c r="Q1448" s="2"/>
      <c r="R1448" s="2"/>
      <c r="S1448" s="2"/>
      <c r="T1448" s="2" t="s">
        <v>25227</v>
      </c>
      <c r="U1448" s="2" t="s">
        <v>25228</v>
      </c>
      <c r="V1448" s="2" t="s">
        <v>25229</v>
      </c>
      <c r="W1448" s="2" t="s">
        <v>25230</v>
      </c>
      <c r="X1448" s="2" t="s">
        <v>25231</v>
      </c>
      <c r="Y1448" s="2" t="s">
        <v>25232</v>
      </c>
      <c r="Z1448" s="2" t="s">
        <v>25233</v>
      </c>
      <c r="AA1448" s="2" t="s">
        <v>12686</v>
      </c>
      <c r="AB1448" s="2" t="s">
        <v>25234</v>
      </c>
      <c r="AC1448" s="2"/>
      <c r="AD1448" s="2"/>
      <c r="AE1448" s="2"/>
      <c r="AF1448" s="2"/>
      <c r="AG1448" s="2" t="n">
        <v>16</v>
      </c>
      <c r="AH1448" s="2" t="n">
        <v>7</v>
      </c>
      <c r="AI1448" s="2" t="n">
        <v>10</v>
      </c>
      <c r="AJ1448" s="2" t="n">
        <v>0</v>
      </c>
      <c r="AK1448" s="2" t="n">
        <v>1</v>
      </c>
      <c r="AL1448" s="2" t="s">
        <v>154</v>
      </c>
      <c r="AM1448" s="2" t="s">
        <v>155</v>
      </c>
      <c r="AN1448" s="2" t="s">
        <v>156</v>
      </c>
      <c r="AO1448" s="2" t="s">
        <v>11028</v>
      </c>
      <c r="AP1448" s="2" t="s">
        <v>11029</v>
      </c>
      <c r="AQ1448" s="2"/>
      <c r="AR1448" s="2" t="s">
        <v>11030</v>
      </c>
      <c r="AS1448" s="2" t="s">
        <v>11031</v>
      </c>
      <c r="AT1448" s="2" t="s">
        <v>599</v>
      </c>
      <c r="AU1448" s="2" t="n">
        <v>2008</v>
      </c>
      <c r="AV1448" s="2" t="n">
        <v>2</v>
      </c>
      <c r="AW1448" s="2" t="n">
        <v>4</v>
      </c>
      <c r="AX1448" s="2"/>
      <c r="AY1448" s="2"/>
      <c r="AZ1448" s="2"/>
      <c r="BA1448" s="2"/>
      <c r="BB1448" s="2" t="n">
        <v>131</v>
      </c>
      <c r="BC1448" s="2" t="n">
        <v>134</v>
      </c>
      <c r="BD1448" s="2"/>
      <c r="BE1448" s="2" t="s">
        <v>25235</v>
      </c>
      <c r="BF1448" s="2" t="str">
        <f aca="false">HYPERLINK("http://dx.doi.org/10.1111/j.1750-2659.2008.00048.x","http://dx.doi.org/10.1111/j.1750-2659.2008.00048.x")</f>
        <v>http://dx.doi.org/10.1111/j.1750-2659.2008.00048.x</v>
      </c>
      <c r="BG1448" s="2"/>
      <c r="BH1448" s="2"/>
      <c r="BI1448" s="2" t="n">
        <v>4</v>
      </c>
      <c r="BJ1448" s="2" t="s">
        <v>8287</v>
      </c>
      <c r="BK1448" s="2" t="s">
        <v>100</v>
      </c>
      <c r="BL1448" s="2" t="s">
        <v>8287</v>
      </c>
      <c r="BM1448" s="2" t="s">
        <v>16406</v>
      </c>
      <c r="BN1448" s="2" t="n">
        <v>19453464</v>
      </c>
      <c r="BO1448" s="2" t="s">
        <v>136</v>
      </c>
      <c r="BP1448" s="2"/>
      <c r="BQ1448" s="2"/>
      <c r="BR1448" s="2" t="s">
        <v>104</v>
      </c>
      <c r="BS1448" s="2" t="s">
        <v>25236</v>
      </c>
      <c r="BT1448" s="2" t="str">
        <f aca="false">HYPERLINK("https%3A%2F%2Fwww.webofscience.com%2Fwos%2Fwoscc%2Ffull-record%2FWOS:000267761600003","View Full Record in Web of Science")</f>
        <v>View Full Record in Web of Science</v>
      </c>
    </row>
    <row r="1449" customFormat="false" ht="12.75" hidden="false" customHeight="false" outlineLevel="0" collapsed="false">
      <c r="A1449" s="2" t="s">
        <v>72</v>
      </c>
      <c r="B1449" s="2" t="s">
        <v>25237</v>
      </c>
      <c r="C1449" s="2"/>
      <c r="D1449" s="2"/>
      <c r="E1449" s="2"/>
      <c r="F1449" s="2" t="s">
        <v>25238</v>
      </c>
      <c r="G1449" s="2"/>
      <c r="H1449" s="2"/>
      <c r="I1449" s="2" t="s">
        <v>25239</v>
      </c>
      <c r="J1449" s="2" t="s">
        <v>25240</v>
      </c>
      <c r="K1449" s="2"/>
      <c r="L1449" s="2"/>
      <c r="M1449" s="2" t="s">
        <v>77</v>
      </c>
      <c r="N1449" s="2" t="s">
        <v>78</v>
      </c>
      <c r="O1449" s="2"/>
      <c r="P1449" s="2"/>
      <c r="Q1449" s="2"/>
      <c r="R1449" s="2"/>
      <c r="S1449" s="2"/>
      <c r="T1449" s="2" t="s">
        <v>25241</v>
      </c>
      <c r="U1449" s="2" t="s">
        <v>25242</v>
      </c>
      <c r="V1449" s="2" t="s">
        <v>25243</v>
      </c>
      <c r="W1449" s="2" t="s">
        <v>25244</v>
      </c>
      <c r="X1449" s="2" t="s">
        <v>25245</v>
      </c>
      <c r="Y1449" s="2" t="s">
        <v>25246</v>
      </c>
      <c r="Z1449" s="2" t="s">
        <v>25247</v>
      </c>
      <c r="AA1449" s="2" t="s">
        <v>25248</v>
      </c>
      <c r="AB1449" s="2"/>
      <c r="AC1449" s="2" t="s">
        <v>25249</v>
      </c>
      <c r="AD1449" s="2" t="s">
        <v>25250</v>
      </c>
      <c r="AE1449" s="2" t="s">
        <v>25251</v>
      </c>
      <c r="AF1449" s="2"/>
      <c r="AG1449" s="2" t="n">
        <v>28</v>
      </c>
      <c r="AH1449" s="2" t="n">
        <v>33</v>
      </c>
      <c r="AI1449" s="2" t="n">
        <v>46</v>
      </c>
      <c r="AJ1449" s="2" t="n">
        <v>0</v>
      </c>
      <c r="AK1449" s="2" t="n">
        <v>5</v>
      </c>
      <c r="AL1449" s="2" t="s">
        <v>3813</v>
      </c>
      <c r="AM1449" s="2" t="s">
        <v>155</v>
      </c>
      <c r="AN1449" s="2" t="s">
        <v>156</v>
      </c>
      <c r="AO1449" s="2" t="s">
        <v>25252</v>
      </c>
      <c r="AP1449" s="2"/>
      <c r="AQ1449" s="2"/>
      <c r="AR1449" s="2" t="s">
        <v>25240</v>
      </c>
      <c r="AS1449" s="2" t="s">
        <v>25240</v>
      </c>
      <c r="AT1449" s="2" t="s">
        <v>185</v>
      </c>
      <c r="AU1449" s="2" t="n">
        <v>2012</v>
      </c>
      <c r="AV1449" s="2" t="n">
        <v>120</v>
      </c>
      <c r="AW1449" s="2" t="n">
        <v>8</v>
      </c>
      <c r="AX1449" s="2"/>
      <c r="AY1449" s="2"/>
      <c r="AZ1449" s="2"/>
      <c r="BA1449" s="2"/>
      <c r="BB1449" s="2" t="n">
        <v>683</v>
      </c>
      <c r="BC1449" s="2" t="n">
        <v>688</v>
      </c>
      <c r="BD1449" s="2"/>
      <c r="BE1449" s="2" t="s">
        <v>25253</v>
      </c>
      <c r="BF1449" s="2" t="str">
        <f aca="false">HYPERLINK("http://dx.doi.org/10.1111/j.1600-0463.2012.02890.x","http://dx.doi.org/10.1111/j.1600-0463.2012.02890.x")</f>
        <v>http://dx.doi.org/10.1111/j.1600-0463.2012.02890.x</v>
      </c>
      <c r="BG1449" s="2"/>
      <c r="BH1449" s="2"/>
      <c r="BI1449" s="2" t="n">
        <v>6</v>
      </c>
      <c r="BJ1449" s="2" t="s">
        <v>25254</v>
      </c>
      <c r="BK1449" s="2" t="s">
        <v>100</v>
      </c>
      <c r="BL1449" s="2" t="s">
        <v>25254</v>
      </c>
      <c r="BM1449" s="2" t="s">
        <v>25255</v>
      </c>
      <c r="BN1449" s="2" t="n">
        <v>22779692</v>
      </c>
      <c r="BO1449" s="2" t="s">
        <v>165</v>
      </c>
      <c r="BP1449" s="2"/>
      <c r="BQ1449" s="2"/>
      <c r="BR1449" s="2" t="s">
        <v>104</v>
      </c>
      <c r="BS1449" s="2" t="s">
        <v>25256</v>
      </c>
      <c r="BT1449" s="2" t="str">
        <f aca="false">HYPERLINK("https%3A%2F%2Fwww.webofscience.com%2Fwos%2Fwoscc%2Ffull-record%2FWOS:000306310500011","View Full Record in Web of Science")</f>
        <v>View Full Record in Web of Science</v>
      </c>
    </row>
    <row r="1450" customFormat="false" ht="12.75" hidden="false" customHeight="false" outlineLevel="0" collapsed="false">
      <c r="A1450" s="2" t="s">
        <v>72</v>
      </c>
      <c r="B1450" s="2" t="s">
        <v>25257</v>
      </c>
      <c r="C1450" s="2"/>
      <c r="D1450" s="2"/>
      <c r="E1450" s="2"/>
      <c r="F1450" s="2" t="s">
        <v>25258</v>
      </c>
      <c r="G1450" s="2"/>
      <c r="H1450" s="2"/>
      <c r="I1450" s="2" t="s">
        <v>25259</v>
      </c>
      <c r="J1450" s="2" t="s">
        <v>2547</v>
      </c>
      <c r="K1450" s="2"/>
      <c r="L1450" s="2"/>
      <c r="M1450" s="2" t="s">
        <v>77</v>
      </c>
      <c r="N1450" s="2" t="s">
        <v>78</v>
      </c>
      <c r="O1450" s="2"/>
      <c r="P1450" s="2"/>
      <c r="Q1450" s="2"/>
      <c r="R1450" s="2"/>
      <c r="S1450" s="2"/>
      <c r="T1450" s="2" t="s">
        <v>25260</v>
      </c>
      <c r="U1450" s="2" t="s">
        <v>25261</v>
      </c>
      <c r="V1450" s="2" t="s">
        <v>25262</v>
      </c>
      <c r="W1450" s="2" t="s">
        <v>25263</v>
      </c>
      <c r="X1450" s="2" t="s">
        <v>25264</v>
      </c>
      <c r="Y1450" s="2" t="s">
        <v>25265</v>
      </c>
      <c r="Z1450" s="2" t="s">
        <v>25266</v>
      </c>
      <c r="AA1450" s="2" t="s">
        <v>25267</v>
      </c>
      <c r="AB1450" s="2" t="s">
        <v>25268</v>
      </c>
      <c r="AC1450" s="2" t="s">
        <v>25269</v>
      </c>
      <c r="AD1450" s="2" t="s">
        <v>25269</v>
      </c>
      <c r="AE1450" s="2" t="s">
        <v>25270</v>
      </c>
      <c r="AF1450" s="2"/>
      <c r="AG1450" s="2" t="n">
        <v>49</v>
      </c>
      <c r="AH1450" s="2" t="n">
        <v>18</v>
      </c>
      <c r="AI1450" s="2" t="n">
        <v>21</v>
      </c>
      <c r="AJ1450" s="2" t="n">
        <v>0</v>
      </c>
      <c r="AK1450" s="2" t="n">
        <v>8</v>
      </c>
      <c r="AL1450" s="2" t="s">
        <v>782</v>
      </c>
      <c r="AM1450" s="2" t="s">
        <v>783</v>
      </c>
      <c r="AN1450" s="2" t="s">
        <v>784</v>
      </c>
      <c r="AO1450" s="2" t="s">
        <v>2556</v>
      </c>
      <c r="AP1450" s="2" t="s">
        <v>2557</v>
      </c>
      <c r="AQ1450" s="2"/>
      <c r="AR1450" s="2" t="s">
        <v>2547</v>
      </c>
      <c r="AS1450" s="2" t="s">
        <v>2558</v>
      </c>
      <c r="AT1450" s="2" t="s">
        <v>25271</v>
      </c>
      <c r="AU1450" s="2" t="n">
        <v>2018</v>
      </c>
      <c r="AV1450" s="2" t="n">
        <v>36</v>
      </c>
      <c r="AW1450" s="2" t="n">
        <v>29</v>
      </c>
      <c r="AX1450" s="2"/>
      <c r="AY1450" s="2"/>
      <c r="AZ1450" s="2"/>
      <c r="BA1450" s="2"/>
      <c r="BB1450" s="2" t="n">
        <v>4265</v>
      </c>
      <c r="BC1450" s="2" t="n">
        <v>4277</v>
      </c>
      <c r="BD1450" s="2"/>
      <c r="BE1450" s="2" t="s">
        <v>25272</v>
      </c>
      <c r="BF1450" s="2" t="str">
        <f aca="false">HYPERLINK("http://dx.doi.org/10.1016/j.vaccine.2018.05.112","http://dx.doi.org/10.1016/j.vaccine.2018.05.112")</f>
        <v>http://dx.doi.org/10.1016/j.vaccine.2018.05.112</v>
      </c>
      <c r="BG1450" s="2"/>
      <c r="BH1450" s="2"/>
      <c r="BI1450" s="2" t="n">
        <v>13</v>
      </c>
      <c r="BJ1450" s="2" t="s">
        <v>187</v>
      </c>
      <c r="BK1450" s="2" t="s">
        <v>100</v>
      </c>
      <c r="BL1450" s="2" t="s">
        <v>188</v>
      </c>
      <c r="BM1450" s="2" t="s">
        <v>25273</v>
      </c>
      <c r="BN1450" s="2" t="n">
        <v>29895499</v>
      </c>
      <c r="BO1450" s="2"/>
      <c r="BP1450" s="2"/>
      <c r="BQ1450" s="2"/>
      <c r="BR1450" s="2" t="s">
        <v>104</v>
      </c>
      <c r="BS1450" s="2" t="s">
        <v>25274</v>
      </c>
      <c r="BT1450" s="2" t="str">
        <f aca="false">HYPERLINK("https%3A%2F%2Fwww.webofscience.com%2Fwos%2Fwoscc%2Ffull-record%2FWOS:000437997300015","View Full Record in Web of Science")</f>
        <v>View Full Record in Web of Science</v>
      </c>
    </row>
    <row r="1451" customFormat="false" ht="12.75" hidden="false" customHeight="false" outlineLevel="0" collapsed="false">
      <c r="A1451" s="2" t="s">
        <v>72</v>
      </c>
      <c r="B1451" s="2" t="s">
        <v>25275</v>
      </c>
      <c r="C1451" s="2"/>
      <c r="D1451" s="2"/>
      <c r="E1451" s="2"/>
      <c r="F1451" s="2" t="s">
        <v>25276</v>
      </c>
      <c r="G1451" s="2"/>
      <c r="H1451" s="2"/>
      <c r="I1451" s="2" t="s">
        <v>25277</v>
      </c>
      <c r="J1451" s="2" t="s">
        <v>493</v>
      </c>
      <c r="K1451" s="2"/>
      <c r="L1451" s="2"/>
      <c r="M1451" s="2" t="s">
        <v>77</v>
      </c>
      <c r="N1451" s="2" t="s">
        <v>78</v>
      </c>
      <c r="O1451" s="2"/>
      <c r="P1451" s="2"/>
      <c r="Q1451" s="2"/>
      <c r="R1451" s="2"/>
      <c r="S1451" s="2"/>
      <c r="T1451" s="2" t="s">
        <v>25278</v>
      </c>
      <c r="U1451" s="2" t="s">
        <v>25279</v>
      </c>
      <c r="V1451" s="2" t="s">
        <v>25280</v>
      </c>
      <c r="W1451" s="2" t="s">
        <v>25281</v>
      </c>
      <c r="X1451" s="2" t="s">
        <v>25282</v>
      </c>
      <c r="Y1451" s="2" t="s">
        <v>18813</v>
      </c>
      <c r="Z1451" s="2" t="s">
        <v>25283</v>
      </c>
      <c r="AA1451" s="2" t="s">
        <v>25284</v>
      </c>
      <c r="AB1451" s="2" t="s">
        <v>25285</v>
      </c>
      <c r="AC1451" s="2" t="s">
        <v>25286</v>
      </c>
      <c r="AD1451" s="2" t="s">
        <v>25287</v>
      </c>
      <c r="AE1451" s="2" t="s">
        <v>25288</v>
      </c>
      <c r="AF1451" s="2"/>
      <c r="AG1451" s="2" t="n">
        <v>86</v>
      </c>
      <c r="AH1451" s="2" t="n">
        <v>3</v>
      </c>
      <c r="AI1451" s="2" t="n">
        <v>3</v>
      </c>
      <c r="AJ1451" s="2" t="n">
        <v>2</v>
      </c>
      <c r="AK1451" s="2" t="n">
        <v>5</v>
      </c>
      <c r="AL1451" s="2" t="s">
        <v>91</v>
      </c>
      <c r="AM1451" s="2" t="s">
        <v>92</v>
      </c>
      <c r="AN1451" s="2" t="s">
        <v>93</v>
      </c>
      <c r="AO1451" s="2"/>
      <c r="AP1451" s="2" t="s">
        <v>506</v>
      </c>
      <c r="AQ1451" s="2"/>
      <c r="AR1451" s="2" t="s">
        <v>493</v>
      </c>
      <c r="AS1451" s="2" t="s">
        <v>507</v>
      </c>
      <c r="AT1451" s="2" t="s">
        <v>486</v>
      </c>
      <c r="AU1451" s="2" t="n">
        <v>2021</v>
      </c>
      <c r="AV1451" s="2" t="n">
        <v>13</v>
      </c>
      <c r="AW1451" s="2" t="n">
        <v>6</v>
      </c>
      <c r="AX1451" s="2"/>
      <c r="AY1451" s="2"/>
      <c r="AZ1451" s="2"/>
      <c r="BA1451" s="2"/>
      <c r="BB1451" s="2"/>
      <c r="BC1451" s="2"/>
      <c r="BD1451" s="2" t="n">
        <v>1179</v>
      </c>
      <c r="BE1451" s="2" t="s">
        <v>25289</v>
      </c>
      <c r="BF1451" s="2" t="str">
        <f aca="false">HYPERLINK("http://dx.doi.org/10.3390/v13061179","http://dx.doi.org/10.3390/v13061179")</f>
        <v>http://dx.doi.org/10.3390/v13061179</v>
      </c>
      <c r="BG1451" s="2"/>
      <c r="BH1451" s="2"/>
      <c r="BI1451" s="2" t="n">
        <v>15</v>
      </c>
      <c r="BJ1451" s="2" t="s">
        <v>163</v>
      </c>
      <c r="BK1451" s="2" t="s">
        <v>100</v>
      </c>
      <c r="BL1451" s="2" t="s">
        <v>163</v>
      </c>
      <c r="BM1451" s="2" t="s">
        <v>25290</v>
      </c>
      <c r="BN1451" s="2" t="n">
        <v>34205489</v>
      </c>
      <c r="BO1451" s="2" t="s">
        <v>190</v>
      </c>
      <c r="BP1451" s="2"/>
      <c r="BQ1451" s="2"/>
      <c r="BR1451" s="2" t="s">
        <v>104</v>
      </c>
      <c r="BS1451" s="2" t="s">
        <v>25291</v>
      </c>
      <c r="BT1451" s="2" t="str">
        <f aca="false">HYPERLINK("https%3A%2F%2Fwww.webofscience.com%2Fwos%2Fwoscc%2Ffull-record%2FWOS:000666800600001","View Full Record in Web of Science")</f>
        <v>View Full Record in Web of Science</v>
      </c>
    </row>
    <row r="1452" customFormat="false" ht="12.75" hidden="false" customHeight="false" outlineLevel="0" collapsed="false">
      <c r="A1452" s="2" t="s">
        <v>72</v>
      </c>
      <c r="B1452" s="2" t="s">
        <v>25292</v>
      </c>
      <c r="C1452" s="2"/>
      <c r="D1452" s="2"/>
      <c r="E1452" s="2"/>
      <c r="F1452" s="2" t="s">
        <v>25293</v>
      </c>
      <c r="G1452" s="2"/>
      <c r="H1452" s="2"/>
      <c r="I1452" s="2" t="s">
        <v>25294</v>
      </c>
      <c r="J1452" s="2" t="s">
        <v>10679</v>
      </c>
      <c r="K1452" s="2"/>
      <c r="L1452" s="2"/>
      <c r="M1452" s="2" t="s">
        <v>77</v>
      </c>
      <c r="N1452" s="2" t="s">
        <v>78</v>
      </c>
      <c r="O1452" s="2"/>
      <c r="P1452" s="2"/>
      <c r="Q1452" s="2"/>
      <c r="R1452" s="2"/>
      <c r="S1452" s="2"/>
      <c r="T1452" s="2" t="s">
        <v>25295</v>
      </c>
      <c r="U1452" s="2" t="s">
        <v>25296</v>
      </c>
      <c r="V1452" s="2" t="s">
        <v>25297</v>
      </c>
      <c r="W1452" s="2" t="s">
        <v>25298</v>
      </c>
      <c r="X1452" s="2" t="s">
        <v>25299</v>
      </c>
      <c r="Y1452" s="2" t="s">
        <v>25300</v>
      </c>
      <c r="Z1452" s="2" t="s">
        <v>25301</v>
      </c>
      <c r="AA1452" s="2" t="s">
        <v>25302</v>
      </c>
      <c r="AB1452" s="2" t="s">
        <v>25303</v>
      </c>
      <c r="AC1452" s="2" t="s">
        <v>25304</v>
      </c>
      <c r="AD1452" s="2" t="s">
        <v>25305</v>
      </c>
      <c r="AE1452" s="2" t="s">
        <v>25306</v>
      </c>
      <c r="AF1452" s="2"/>
      <c r="AG1452" s="2" t="n">
        <v>27</v>
      </c>
      <c r="AH1452" s="2" t="n">
        <v>25</v>
      </c>
      <c r="AI1452" s="2" t="n">
        <v>26</v>
      </c>
      <c r="AJ1452" s="2" t="n">
        <v>0</v>
      </c>
      <c r="AK1452" s="2" t="n">
        <v>5</v>
      </c>
      <c r="AL1452" s="2" t="s">
        <v>122</v>
      </c>
      <c r="AM1452" s="2" t="s">
        <v>123</v>
      </c>
      <c r="AN1452" s="2" t="s">
        <v>124</v>
      </c>
      <c r="AO1452" s="2" t="s">
        <v>10692</v>
      </c>
      <c r="AP1452" s="2" t="s">
        <v>21966</v>
      </c>
      <c r="AQ1452" s="2"/>
      <c r="AR1452" s="2" t="s">
        <v>10693</v>
      </c>
      <c r="AS1452" s="2" t="s">
        <v>10694</v>
      </c>
      <c r="AT1452" s="2" t="s">
        <v>129</v>
      </c>
      <c r="AU1452" s="2" t="n">
        <v>2015</v>
      </c>
      <c r="AV1452" s="2" t="n">
        <v>16</v>
      </c>
      <c r="AW1452" s="2" t="n">
        <v>7</v>
      </c>
      <c r="AX1452" s="2"/>
      <c r="AY1452" s="2"/>
      <c r="AZ1452" s="2"/>
      <c r="BA1452" s="2"/>
      <c r="BB1452" s="2" t="s">
        <v>25307</v>
      </c>
      <c r="BC1452" s="2" t="s">
        <v>25308</v>
      </c>
      <c r="BD1452" s="2"/>
      <c r="BE1452" s="2" t="s">
        <v>25309</v>
      </c>
      <c r="BF1452" s="2" t="str">
        <f aca="false">HYPERLINK("http://dx.doi.org/10.1097/PCC.0000000000000492","http://dx.doi.org/10.1097/PCC.0000000000000492")</f>
        <v>http://dx.doi.org/10.1097/PCC.0000000000000492</v>
      </c>
      <c r="BG1452" s="2"/>
      <c r="BH1452" s="2"/>
      <c r="BI1452" s="2" t="n">
        <v>6</v>
      </c>
      <c r="BJ1452" s="2" t="s">
        <v>10698</v>
      </c>
      <c r="BK1452" s="2" t="s">
        <v>100</v>
      </c>
      <c r="BL1452" s="2" t="s">
        <v>10699</v>
      </c>
      <c r="BM1452" s="2" t="s">
        <v>25310</v>
      </c>
      <c r="BN1452" s="2" t="n">
        <v>26121097</v>
      </c>
      <c r="BO1452" s="2" t="s">
        <v>695</v>
      </c>
      <c r="BP1452" s="2"/>
      <c r="BQ1452" s="2"/>
      <c r="BR1452" s="2" t="s">
        <v>104</v>
      </c>
      <c r="BS1452" s="2" t="s">
        <v>25311</v>
      </c>
      <c r="BT1452" s="2" t="str">
        <f aca="false">HYPERLINK("https%3A%2F%2Fwww.webofscience.com%2Fwos%2Fwoscc%2Ffull-record%2FWOS:000369707300003","View Full Record in Web of Science")</f>
        <v>View Full Record in Web of Science</v>
      </c>
    </row>
    <row r="1453" customFormat="false" ht="12.75" hidden="false" customHeight="false" outlineLevel="0" collapsed="false">
      <c r="A1453" s="2" t="s">
        <v>72</v>
      </c>
      <c r="B1453" s="2" t="s">
        <v>25312</v>
      </c>
      <c r="C1453" s="2"/>
      <c r="D1453" s="2"/>
      <c r="E1453" s="2"/>
      <c r="F1453" s="2" t="s">
        <v>25313</v>
      </c>
      <c r="G1453" s="2"/>
      <c r="H1453" s="2"/>
      <c r="I1453" s="2" t="s">
        <v>25314</v>
      </c>
      <c r="J1453" s="2" t="s">
        <v>11019</v>
      </c>
      <c r="K1453" s="2"/>
      <c r="L1453" s="2"/>
      <c r="M1453" s="2" t="s">
        <v>77</v>
      </c>
      <c r="N1453" s="2" t="s">
        <v>78</v>
      </c>
      <c r="O1453" s="2"/>
      <c r="P1453" s="2"/>
      <c r="Q1453" s="2"/>
      <c r="R1453" s="2"/>
      <c r="S1453" s="2"/>
      <c r="T1453" s="2" t="s">
        <v>25315</v>
      </c>
      <c r="U1453" s="2" t="s">
        <v>25316</v>
      </c>
      <c r="V1453" s="2" t="s">
        <v>25317</v>
      </c>
      <c r="W1453" s="2" t="s">
        <v>25318</v>
      </c>
      <c r="X1453" s="2" t="s">
        <v>25319</v>
      </c>
      <c r="Y1453" s="2" t="s">
        <v>25320</v>
      </c>
      <c r="Z1453" s="2" t="s">
        <v>25321</v>
      </c>
      <c r="AA1453" s="2" t="s">
        <v>25322</v>
      </c>
      <c r="AB1453" s="2" t="s">
        <v>25323</v>
      </c>
      <c r="AC1453" s="2" t="s">
        <v>25324</v>
      </c>
      <c r="AD1453" s="2" t="s">
        <v>25324</v>
      </c>
      <c r="AE1453" s="2" t="s">
        <v>25325</v>
      </c>
      <c r="AF1453" s="2"/>
      <c r="AG1453" s="2" t="n">
        <v>49</v>
      </c>
      <c r="AH1453" s="2" t="n">
        <v>0</v>
      </c>
      <c r="AI1453" s="2" t="n">
        <v>0</v>
      </c>
      <c r="AJ1453" s="2" t="n">
        <v>1</v>
      </c>
      <c r="AK1453" s="2" t="n">
        <v>2</v>
      </c>
      <c r="AL1453" s="2" t="s">
        <v>154</v>
      </c>
      <c r="AM1453" s="2" t="s">
        <v>155</v>
      </c>
      <c r="AN1453" s="2" t="s">
        <v>156</v>
      </c>
      <c r="AO1453" s="2" t="s">
        <v>11028</v>
      </c>
      <c r="AP1453" s="2" t="s">
        <v>11029</v>
      </c>
      <c r="AQ1453" s="2"/>
      <c r="AR1453" s="2" t="s">
        <v>11030</v>
      </c>
      <c r="AS1453" s="2" t="s">
        <v>11031</v>
      </c>
      <c r="AT1453" s="2" t="s">
        <v>161</v>
      </c>
      <c r="AU1453" s="2" t="n">
        <v>2024</v>
      </c>
      <c r="AV1453" s="2" t="n">
        <v>18</v>
      </c>
      <c r="AW1453" s="2" t="n">
        <v>1</v>
      </c>
      <c r="AX1453" s="2"/>
      <c r="AY1453" s="2"/>
      <c r="AZ1453" s="2"/>
      <c r="BA1453" s="2"/>
      <c r="BB1453" s="2"/>
      <c r="BC1453" s="2"/>
      <c r="BD1453" s="2" t="s">
        <v>25326</v>
      </c>
      <c r="BE1453" s="2" t="s">
        <v>25327</v>
      </c>
      <c r="BF1453" s="2" t="str">
        <f aca="false">HYPERLINK("http://dx.doi.org/10.1111/irv.13242","http://dx.doi.org/10.1111/irv.13242")</f>
        <v>http://dx.doi.org/10.1111/irv.13242</v>
      </c>
      <c r="BG1453" s="2"/>
      <c r="BH1453" s="2"/>
      <c r="BI1453" s="2" t="n">
        <v>10</v>
      </c>
      <c r="BJ1453" s="2" t="s">
        <v>8287</v>
      </c>
      <c r="BK1453" s="2" t="s">
        <v>100</v>
      </c>
      <c r="BL1453" s="2" t="s">
        <v>8287</v>
      </c>
      <c r="BM1453" s="2" t="s">
        <v>25328</v>
      </c>
      <c r="BN1453" s="2" t="n">
        <v>38239563</v>
      </c>
      <c r="BO1453" s="2" t="s">
        <v>103</v>
      </c>
      <c r="BP1453" s="2"/>
      <c r="BQ1453" s="2"/>
      <c r="BR1453" s="2" t="s">
        <v>104</v>
      </c>
      <c r="BS1453" s="2" t="s">
        <v>25329</v>
      </c>
      <c r="BT1453" s="2" t="str">
        <f aca="false">HYPERLINK("https%3A%2F%2Fwww.webofscience.com%2Fwos%2Fwoscc%2Ffull-record%2FWOS:001143777200001","View Full Record in Web of Science")</f>
        <v>View Full Record in Web of Science</v>
      </c>
    </row>
    <row r="1454" customFormat="false" ht="12.75" hidden="false" customHeight="false" outlineLevel="0" collapsed="false">
      <c r="A1454" s="2" t="s">
        <v>72</v>
      </c>
      <c r="B1454" s="2" t="s">
        <v>25330</v>
      </c>
      <c r="C1454" s="2"/>
      <c r="D1454" s="2"/>
      <c r="E1454" s="2"/>
      <c r="F1454" s="2" t="s">
        <v>25331</v>
      </c>
      <c r="G1454" s="2"/>
      <c r="H1454" s="2"/>
      <c r="I1454" s="2" t="s">
        <v>25332</v>
      </c>
      <c r="J1454" s="2" t="s">
        <v>11019</v>
      </c>
      <c r="K1454" s="2"/>
      <c r="L1454" s="2"/>
      <c r="M1454" s="2" t="s">
        <v>77</v>
      </c>
      <c r="N1454" s="2" t="s">
        <v>78</v>
      </c>
      <c r="O1454" s="2"/>
      <c r="P1454" s="2"/>
      <c r="Q1454" s="2"/>
      <c r="R1454" s="2"/>
      <c r="S1454" s="2"/>
      <c r="T1454" s="2" t="s">
        <v>25333</v>
      </c>
      <c r="U1454" s="2" t="s">
        <v>25334</v>
      </c>
      <c r="V1454" s="2" t="s">
        <v>25335</v>
      </c>
      <c r="W1454" s="2" t="s">
        <v>25336</v>
      </c>
      <c r="X1454" s="2" t="s">
        <v>25337</v>
      </c>
      <c r="Y1454" s="2" t="s">
        <v>25338</v>
      </c>
      <c r="Z1454" s="2" t="s">
        <v>25339</v>
      </c>
      <c r="AA1454" s="2"/>
      <c r="AB1454" s="2"/>
      <c r="AC1454" s="2" t="s">
        <v>25340</v>
      </c>
      <c r="AD1454" s="2" t="s">
        <v>25340</v>
      </c>
      <c r="AE1454" s="2" t="s">
        <v>25341</v>
      </c>
      <c r="AF1454" s="2"/>
      <c r="AG1454" s="2" t="n">
        <v>22</v>
      </c>
      <c r="AH1454" s="2" t="n">
        <v>13</v>
      </c>
      <c r="AI1454" s="2" t="n">
        <v>14</v>
      </c>
      <c r="AJ1454" s="2" t="n">
        <v>0</v>
      </c>
      <c r="AK1454" s="2" t="n">
        <v>1</v>
      </c>
      <c r="AL1454" s="2" t="s">
        <v>154</v>
      </c>
      <c r="AM1454" s="2" t="s">
        <v>155</v>
      </c>
      <c r="AN1454" s="2" t="s">
        <v>156</v>
      </c>
      <c r="AO1454" s="2" t="s">
        <v>11028</v>
      </c>
      <c r="AP1454" s="2" t="s">
        <v>11029</v>
      </c>
      <c r="AQ1454" s="2"/>
      <c r="AR1454" s="2" t="s">
        <v>11030</v>
      </c>
      <c r="AS1454" s="2" t="s">
        <v>11031</v>
      </c>
      <c r="AT1454" s="2" t="s">
        <v>129</v>
      </c>
      <c r="AU1454" s="2" t="n">
        <v>2021</v>
      </c>
      <c r="AV1454" s="2" t="n">
        <v>15</v>
      </c>
      <c r="AW1454" s="2" t="n">
        <v>5</v>
      </c>
      <c r="AX1454" s="2"/>
      <c r="AY1454" s="2"/>
      <c r="AZ1454" s="2"/>
      <c r="BA1454" s="2"/>
      <c r="BB1454" s="2" t="n">
        <v>670</v>
      </c>
      <c r="BC1454" s="2" t="n">
        <v>677</v>
      </c>
      <c r="BD1454" s="2"/>
      <c r="BE1454" s="2" t="s">
        <v>25342</v>
      </c>
      <c r="BF1454" s="2" t="str">
        <f aca="false">HYPERLINK("http://dx.doi.org/10.1111/irv.12842","http://dx.doi.org/10.1111/irv.12842")</f>
        <v>http://dx.doi.org/10.1111/irv.12842</v>
      </c>
      <c r="BG1454" s="2"/>
      <c r="BH1454" s="2" t="s">
        <v>2196</v>
      </c>
      <c r="BI1454" s="2" t="n">
        <v>8</v>
      </c>
      <c r="BJ1454" s="2" t="s">
        <v>8287</v>
      </c>
      <c r="BK1454" s="2" t="s">
        <v>100</v>
      </c>
      <c r="BL1454" s="2" t="s">
        <v>8287</v>
      </c>
      <c r="BM1454" s="2" t="s">
        <v>25343</v>
      </c>
      <c r="BN1454" s="2" t="n">
        <v>33501772</v>
      </c>
      <c r="BO1454" s="2" t="s">
        <v>341</v>
      </c>
      <c r="BP1454" s="2"/>
      <c r="BQ1454" s="2"/>
      <c r="BR1454" s="2" t="s">
        <v>104</v>
      </c>
      <c r="BS1454" s="2" t="s">
        <v>25344</v>
      </c>
      <c r="BT1454" s="2" t="str">
        <f aca="false">HYPERLINK("https%3A%2F%2Fwww.webofscience.com%2Fwos%2Fwoscc%2Ffull-record%2FWOS:000611935800001","View Full Record in Web of Science")</f>
        <v>View Full Record in Web of Science</v>
      </c>
    </row>
    <row r="1455" customFormat="false" ht="12.75" hidden="false" customHeight="false" outlineLevel="0" collapsed="false">
      <c r="A1455" s="2" t="s">
        <v>72</v>
      </c>
      <c r="B1455" s="2" t="s">
        <v>25345</v>
      </c>
      <c r="C1455" s="2"/>
      <c r="D1455" s="2"/>
      <c r="E1455" s="2"/>
      <c r="F1455" s="2" t="s">
        <v>25346</v>
      </c>
      <c r="G1455" s="2"/>
      <c r="H1455" s="2"/>
      <c r="I1455" s="2" t="s">
        <v>25347</v>
      </c>
      <c r="J1455" s="2" t="s">
        <v>7244</v>
      </c>
      <c r="K1455" s="2"/>
      <c r="L1455" s="2"/>
      <c r="M1455" s="2" t="s">
        <v>77</v>
      </c>
      <c r="N1455" s="2" t="s">
        <v>78</v>
      </c>
      <c r="O1455" s="2"/>
      <c r="P1455" s="2"/>
      <c r="Q1455" s="2"/>
      <c r="R1455" s="2"/>
      <c r="S1455" s="2"/>
      <c r="T1455" s="2" t="s">
        <v>25348</v>
      </c>
      <c r="U1455" s="2" t="s">
        <v>25349</v>
      </c>
      <c r="V1455" s="2" t="s">
        <v>25350</v>
      </c>
      <c r="W1455" s="2" t="s">
        <v>25351</v>
      </c>
      <c r="X1455" s="2" t="s">
        <v>22641</v>
      </c>
      <c r="Y1455" s="2" t="s">
        <v>25352</v>
      </c>
      <c r="Z1455" s="2" t="s">
        <v>25353</v>
      </c>
      <c r="AA1455" s="2" t="s">
        <v>25354</v>
      </c>
      <c r="AB1455" s="2" t="s">
        <v>25355</v>
      </c>
      <c r="AC1455" s="2" t="s">
        <v>25356</v>
      </c>
      <c r="AD1455" s="2" t="s">
        <v>25357</v>
      </c>
      <c r="AE1455" s="2" t="s">
        <v>25358</v>
      </c>
      <c r="AF1455" s="2"/>
      <c r="AG1455" s="2" t="n">
        <v>20</v>
      </c>
      <c r="AH1455" s="2" t="n">
        <v>42</v>
      </c>
      <c r="AI1455" s="2" t="n">
        <v>46</v>
      </c>
      <c r="AJ1455" s="2" t="n">
        <v>1</v>
      </c>
      <c r="AK1455" s="2" t="n">
        <v>9</v>
      </c>
      <c r="AL1455" s="2" t="s">
        <v>782</v>
      </c>
      <c r="AM1455" s="2" t="s">
        <v>783</v>
      </c>
      <c r="AN1455" s="2" t="s">
        <v>784</v>
      </c>
      <c r="AO1455" s="2" t="s">
        <v>7252</v>
      </c>
      <c r="AP1455" s="2" t="s">
        <v>7253</v>
      </c>
      <c r="AQ1455" s="2"/>
      <c r="AR1455" s="2" t="s">
        <v>7254</v>
      </c>
      <c r="AS1455" s="2" t="s">
        <v>7255</v>
      </c>
      <c r="AT1455" s="2" t="s">
        <v>129</v>
      </c>
      <c r="AU1455" s="2" t="n">
        <v>2014</v>
      </c>
      <c r="AV1455" s="2" t="n">
        <v>20</v>
      </c>
      <c r="AW1455" s="2" t="n">
        <v>9</v>
      </c>
      <c r="AX1455" s="2"/>
      <c r="AY1455" s="2"/>
      <c r="AZ1455" s="2"/>
      <c r="BA1455" s="2"/>
      <c r="BB1455" s="2" t="s">
        <v>25359</v>
      </c>
      <c r="BC1455" s="2" t="s">
        <v>25360</v>
      </c>
      <c r="BD1455" s="2"/>
      <c r="BE1455" s="2" t="s">
        <v>25361</v>
      </c>
      <c r="BF1455" s="2" t="str">
        <f aca="false">HYPERLINK("http://dx.doi.org/10.1111/1469-0691.12525","http://dx.doi.org/10.1111/1469-0691.12525")</f>
        <v>http://dx.doi.org/10.1111/1469-0691.12525</v>
      </c>
      <c r="BG1455" s="2"/>
      <c r="BH1455" s="2"/>
      <c r="BI1455" s="2" t="n">
        <v>7</v>
      </c>
      <c r="BJ1455" s="2" t="s">
        <v>1467</v>
      </c>
      <c r="BK1455" s="2" t="s">
        <v>100</v>
      </c>
      <c r="BL1455" s="2" t="s">
        <v>1467</v>
      </c>
      <c r="BM1455" s="2" t="s">
        <v>25362</v>
      </c>
      <c r="BN1455" s="2" t="n">
        <v>24382326</v>
      </c>
      <c r="BO1455" s="2" t="s">
        <v>165</v>
      </c>
      <c r="BP1455" s="2"/>
      <c r="BQ1455" s="2"/>
      <c r="BR1455" s="2" t="s">
        <v>104</v>
      </c>
      <c r="BS1455" s="2" t="s">
        <v>25363</v>
      </c>
      <c r="BT1455" s="2" t="str">
        <f aca="false">HYPERLINK("https%3A%2F%2Fwww.webofscience.com%2Fwos%2Fwoscc%2Ffull-record%2FWOS:000343824500008","View Full Record in Web of Science")</f>
        <v>View Full Record in Web of Science</v>
      </c>
    </row>
    <row r="1456" customFormat="false" ht="12.75" hidden="false" customHeight="false" outlineLevel="0" collapsed="false">
      <c r="A1456" s="2" t="s">
        <v>72</v>
      </c>
      <c r="B1456" s="2" t="s">
        <v>25364</v>
      </c>
      <c r="C1456" s="2"/>
      <c r="D1456" s="2"/>
      <c r="E1456" s="2"/>
      <c r="F1456" s="2" t="s">
        <v>25365</v>
      </c>
      <c r="G1456" s="2"/>
      <c r="H1456" s="2"/>
      <c r="I1456" s="2" t="s">
        <v>25366</v>
      </c>
      <c r="J1456" s="2" t="s">
        <v>11019</v>
      </c>
      <c r="K1456" s="2"/>
      <c r="L1456" s="2"/>
      <c r="M1456" s="2" t="s">
        <v>77</v>
      </c>
      <c r="N1456" s="2" t="s">
        <v>78</v>
      </c>
      <c r="O1456" s="2"/>
      <c r="P1456" s="2"/>
      <c r="Q1456" s="2"/>
      <c r="R1456" s="2"/>
      <c r="S1456" s="2"/>
      <c r="T1456" s="2" t="s">
        <v>25367</v>
      </c>
      <c r="U1456" s="2" t="s">
        <v>25368</v>
      </c>
      <c r="V1456" s="2" t="s">
        <v>25369</v>
      </c>
      <c r="W1456" s="2" t="s">
        <v>25370</v>
      </c>
      <c r="X1456" s="2" t="s">
        <v>25371</v>
      </c>
      <c r="Y1456" s="2" t="s">
        <v>25372</v>
      </c>
      <c r="Z1456" s="2" t="s">
        <v>25373</v>
      </c>
      <c r="AA1456" s="2" t="s">
        <v>4210</v>
      </c>
      <c r="AB1456" s="2"/>
      <c r="AC1456" s="2" t="s">
        <v>25374</v>
      </c>
      <c r="AD1456" s="2" t="s">
        <v>25375</v>
      </c>
      <c r="AE1456" s="2" t="s">
        <v>25376</v>
      </c>
      <c r="AF1456" s="2"/>
      <c r="AG1456" s="2" t="n">
        <v>23</v>
      </c>
      <c r="AH1456" s="2" t="n">
        <v>41</v>
      </c>
      <c r="AI1456" s="2" t="n">
        <v>43</v>
      </c>
      <c r="AJ1456" s="2" t="n">
        <v>0</v>
      </c>
      <c r="AK1456" s="2" t="n">
        <v>8</v>
      </c>
      <c r="AL1456" s="2" t="s">
        <v>3813</v>
      </c>
      <c r="AM1456" s="2" t="s">
        <v>4498</v>
      </c>
      <c r="AN1456" s="2" t="s">
        <v>4499</v>
      </c>
      <c r="AO1456" s="2" t="s">
        <v>11028</v>
      </c>
      <c r="AP1456" s="2"/>
      <c r="AQ1456" s="2"/>
      <c r="AR1456" s="2" t="s">
        <v>11030</v>
      </c>
      <c r="AS1456" s="2" t="s">
        <v>11031</v>
      </c>
      <c r="AT1456" s="2" t="s">
        <v>390</v>
      </c>
      <c r="AU1456" s="2" t="n">
        <v>2012</v>
      </c>
      <c r="AV1456" s="2" t="n">
        <v>6</v>
      </c>
      <c r="AW1456" s="2" t="n">
        <v>3</v>
      </c>
      <c r="AX1456" s="2"/>
      <c r="AY1456" s="2"/>
      <c r="AZ1456" s="2"/>
      <c r="BA1456" s="2"/>
      <c r="BB1456" s="2" t="n">
        <v>218</v>
      </c>
      <c r="BC1456" s="2" t="n">
        <v>223</v>
      </c>
      <c r="BD1456" s="2"/>
      <c r="BE1456" s="2" t="s">
        <v>25377</v>
      </c>
      <c r="BF1456" s="2" t="str">
        <f aca="false">HYPERLINK("http://dx.doi.org/10.1111/j.1750-2659.2011.00292.x","http://dx.doi.org/10.1111/j.1750-2659.2011.00292.x")</f>
        <v>http://dx.doi.org/10.1111/j.1750-2659.2011.00292.x</v>
      </c>
      <c r="BG1456" s="2"/>
      <c r="BH1456" s="2"/>
      <c r="BI1456" s="2" t="n">
        <v>6</v>
      </c>
      <c r="BJ1456" s="2" t="s">
        <v>8287</v>
      </c>
      <c r="BK1456" s="2" t="s">
        <v>100</v>
      </c>
      <c r="BL1456" s="2" t="s">
        <v>8287</v>
      </c>
      <c r="BM1456" s="2" t="s">
        <v>25378</v>
      </c>
      <c r="BN1456" s="2" t="n">
        <v>21955319</v>
      </c>
      <c r="BO1456" s="2" t="s">
        <v>284</v>
      </c>
      <c r="BP1456" s="2"/>
      <c r="BQ1456" s="2"/>
      <c r="BR1456" s="2" t="s">
        <v>104</v>
      </c>
      <c r="BS1456" s="2" t="s">
        <v>25379</v>
      </c>
      <c r="BT1456" s="2" t="str">
        <f aca="false">HYPERLINK("https%3A%2F%2Fwww.webofscience.com%2Fwos%2Fwoscc%2Ffull-record%2FWOS:000302715200022","View Full Record in Web of Science")</f>
        <v>View Full Record in Web of Science</v>
      </c>
    </row>
    <row r="1457" customFormat="false" ht="12.75" hidden="false" customHeight="false" outlineLevel="0" collapsed="false">
      <c r="A1457" s="2" t="s">
        <v>72</v>
      </c>
      <c r="B1457" s="2" t="s">
        <v>25380</v>
      </c>
      <c r="C1457" s="2"/>
      <c r="D1457" s="2"/>
      <c r="E1457" s="2"/>
      <c r="F1457" s="2" t="s">
        <v>25381</v>
      </c>
      <c r="G1457" s="2"/>
      <c r="H1457" s="2"/>
      <c r="I1457" s="2" t="s">
        <v>25382</v>
      </c>
      <c r="J1457" s="2" t="s">
        <v>1290</v>
      </c>
      <c r="K1457" s="2"/>
      <c r="L1457" s="2"/>
      <c r="M1457" s="2" t="s">
        <v>77</v>
      </c>
      <c r="N1457" s="2" t="s">
        <v>78</v>
      </c>
      <c r="O1457" s="2"/>
      <c r="P1457" s="2"/>
      <c r="Q1457" s="2"/>
      <c r="R1457" s="2"/>
      <c r="S1457" s="2"/>
      <c r="T1457" s="2" t="s">
        <v>25383</v>
      </c>
      <c r="U1457" s="2" t="s">
        <v>25384</v>
      </c>
      <c r="V1457" s="2" t="s">
        <v>25385</v>
      </c>
      <c r="W1457" s="2" t="s">
        <v>25386</v>
      </c>
      <c r="X1457" s="2" t="s">
        <v>25387</v>
      </c>
      <c r="Y1457" s="2" t="s">
        <v>25388</v>
      </c>
      <c r="Z1457" s="2" t="s">
        <v>16737</v>
      </c>
      <c r="AA1457" s="2" t="s">
        <v>16738</v>
      </c>
      <c r="AB1457" s="2" t="s">
        <v>16739</v>
      </c>
      <c r="AC1457" s="2" t="s">
        <v>25389</v>
      </c>
      <c r="AD1457" s="2" t="s">
        <v>25390</v>
      </c>
      <c r="AE1457" s="2" t="s">
        <v>25391</v>
      </c>
      <c r="AF1457" s="2"/>
      <c r="AG1457" s="2" t="n">
        <v>22</v>
      </c>
      <c r="AH1457" s="2" t="n">
        <v>12</v>
      </c>
      <c r="AI1457" s="2" t="n">
        <v>12</v>
      </c>
      <c r="AJ1457" s="2" t="n">
        <v>0</v>
      </c>
      <c r="AK1457" s="2" t="n">
        <v>6</v>
      </c>
      <c r="AL1457" s="2" t="s">
        <v>154</v>
      </c>
      <c r="AM1457" s="2" t="s">
        <v>155</v>
      </c>
      <c r="AN1457" s="2" t="s">
        <v>156</v>
      </c>
      <c r="AO1457" s="2" t="s">
        <v>1302</v>
      </c>
      <c r="AP1457" s="2" t="s">
        <v>1303</v>
      </c>
      <c r="AQ1457" s="2"/>
      <c r="AR1457" s="2" t="s">
        <v>1304</v>
      </c>
      <c r="AS1457" s="2" t="s">
        <v>1305</v>
      </c>
      <c r="AT1457" s="2" t="s">
        <v>185</v>
      </c>
      <c r="AU1457" s="2" t="n">
        <v>2009</v>
      </c>
      <c r="AV1457" s="2" t="n">
        <v>44</v>
      </c>
      <c r="AW1457" s="2" t="n">
        <v>8</v>
      </c>
      <c r="AX1457" s="2"/>
      <c r="AY1457" s="2"/>
      <c r="AZ1457" s="2"/>
      <c r="BA1457" s="2"/>
      <c r="BB1457" s="2" t="n">
        <v>749</v>
      </c>
      <c r="BC1457" s="2" t="n">
        <v>753</v>
      </c>
      <c r="BD1457" s="2"/>
      <c r="BE1457" s="2" t="s">
        <v>25392</v>
      </c>
      <c r="BF1457" s="2" t="str">
        <f aca="false">HYPERLINK("http://dx.doi.org/10.1002/ppul.20785","http://dx.doi.org/10.1002/ppul.20785")</f>
        <v>http://dx.doi.org/10.1002/ppul.20785</v>
      </c>
      <c r="BG1457" s="2"/>
      <c r="BH1457" s="2"/>
      <c r="BI1457" s="2" t="n">
        <v>5</v>
      </c>
      <c r="BJ1457" s="2" t="s">
        <v>1307</v>
      </c>
      <c r="BK1457" s="2" t="s">
        <v>100</v>
      </c>
      <c r="BL1457" s="2" t="s">
        <v>1307</v>
      </c>
      <c r="BM1457" s="2" t="s">
        <v>25393</v>
      </c>
      <c r="BN1457" s="2" t="n">
        <v>19598232</v>
      </c>
      <c r="BO1457" s="2" t="s">
        <v>656</v>
      </c>
      <c r="BP1457" s="2"/>
      <c r="BQ1457" s="2"/>
      <c r="BR1457" s="2" t="s">
        <v>104</v>
      </c>
      <c r="BS1457" s="2" t="s">
        <v>25394</v>
      </c>
      <c r="BT1457" s="2" t="str">
        <f aca="false">HYPERLINK("https%3A%2F%2Fwww.webofscience.com%2Fwos%2Fwoscc%2Ffull-record%2FWOS:000268709500003","View Full Record in Web of Science")</f>
        <v>View Full Record in Web of Science</v>
      </c>
    </row>
    <row r="1458" customFormat="false" ht="12.75" hidden="false" customHeight="false" outlineLevel="0" collapsed="false">
      <c r="A1458" s="2" t="s">
        <v>72</v>
      </c>
      <c r="B1458" s="2" t="s">
        <v>25395</v>
      </c>
      <c r="C1458" s="2"/>
      <c r="D1458" s="2"/>
      <c r="E1458" s="2"/>
      <c r="F1458" s="2" t="s">
        <v>25396</v>
      </c>
      <c r="G1458" s="2"/>
      <c r="H1458" s="2"/>
      <c r="I1458" s="2" t="s">
        <v>25397</v>
      </c>
      <c r="J1458" s="2" t="s">
        <v>11019</v>
      </c>
      <c r="K1458" s="2"/>
      <c r="L1458" s="2"/>
      <c r="M1458" s="2" t="s">
        <v>77</v>
      </c>
      <c r="N1458" s="2" t="s">
        <v>78</v>
      </c>
      <c r="O1458" s="2"/>
      <c r="P1458" s="2"/>
      <c r="Q1458" s="2"/>
      <c r="R1458" s="2"/>
      <c r="S1458" s="2"/>
      <c r="T1458" s="2" t="s">
        <v>25398</v>
      </c>
      <c r="U1458" s="2" t="s">
        <v>25399</v>
      </c>
      <c r="V1458" s="2" t="s">
        <v>25400</v>
      </c>
      <c r="W1458" s="2" t="s">
        <v>25401</v>
      </c>
      <c r="X1458" s="2"/>
      <c r="Y1458" s="2" t="s">
        <v>25402</v>
      </c>
      <c r="Z1458" s="2" t="s">
        <v>25403</v>
      </c>
      <c r="AA1458" s="2" t="s">
        <v>25404</v>
      </c>
      <c r="AB1458" s="2" t="s">
        <v>25405</v>
      </c>
      <c r="AC1458" s="2" t="s">
        <v>25406</v>
      </c>
      <c r="AD1458" s="2" t="s">
        <v>25407</v>
      </c>
      <c r="AE1458" s="2" t="s">
        <v>25408</v>
      </c>
      <c r="AF1458" s="2"/>
      <c r="AG1458" s="2" t="n">
        <v>20</v>
      </c>
      <c r="AH1458" s="2" t="n">
        <v>35</v>
      </c>
      <c r="AI1458" s="2" t="n">
        <v>39</v>
      </c>
      <c r="AJ1458" s="2" t="n">
        <v>1</v>
      </c>
      <c r="AK1458" s="2" t="n">
        <v>9</v>
      </c>
      <c r="AL1458" s="2" t="s">
        <v>3813</v>
      </c>
      <c r="AM1458" s="2" t="s">
        <v>4498</v>
      </c>
      <c r="AN1458" s="2" t="s">
        <v>4499</v>
      </c>
      <c r="AO1458" s="2" t="s">
        <v>11028</v>
      </c>
      <c r="AP1458" s="2"/>
      <c r="AQ1458" s="2"/>
      <c r="AR1458" s="2" t="s">
        <v>11030</v>
      </c>
      <c r="AS1458" s="2" t="s">
        <v>11031</v>
      </c>
      <c r="AT1458" s="2" t="s">
        <v>97</v>
      </c>
      <c r="AU1458" s="2" t="n">
        <v>2011</v>
      </c>
      <c r="AV1458" s="2" t="n">
        <v>5</v>
      </c>
      <c r="AW1458" s="2" t="n">
        <v>2</v>
      </c>
      <c r="AX1458" s="2"/>
      <c r="AY1458" s="2"/>
      <c r="AZ1458" s="2"/>
      <c r="BA1458" s="2"/>
      <c r="BB1458" s="2" t="n">
        <v>123</v>
      </c>
      <c r="BC1458" s="2" t="n">
        <v>134</v>
      </c>
      <c r="BD1458" s="2"/>
      <c r="BE1458" s="2" t="s">
        <v>25409</v>
      </c>
      <c r="BF1458" s="2" t="str">
        <f aca="false">HYPERLINK("http://dx.doi.org/10.1111/j.1750-2659.2010.00182.x","http://dx.doi.org/10.1111/j.1750-2659.2010.00182.x")</f>
        <v>http://dx.doi.org/10.1111/j.1750-2659.2010.00182.x</v>
      </c>
      <c r="BG1458" s="2"/>
      <c r="BH1458" s="2"/>
      <c r="BI1458" s="2" t="n">
        <v>12</v>
      </c>
      <c r="BJ1458" s="2" t="s">
        <v>8287</v>
      </c>
      <c r="BK1458" s="2" t="s">
        <v>100</v>
      </c>
      <c r="BL1458" s="2" t="s">
        <v>8287</v>
      </c>
      <c r="BM1458" s="2" t="s">
        <v>17804</v>
      </c>
      <c r="BN1458" s="2" t="n">
        <v>21306576</v>
      </c>
      <c r="BO1458" s="2" t="s">
        <v>136</v>
      </c>
      <c r="BP1458" s="2"/>
      <c r="BQ1458" s="2"/>
      <c r="BR1458" s="2" t="s">
        <v>104</v>
      </c>
      <c r="BS1458" s="2" t="s">
        <v>25410</v>
      </c>
      <c r="BT1458" s="2" t="str">
        <f aca="false">HYPERLINK("https%3A%2F%2Fwww.webofscience.com%2Fwos%2Fwoscc%2Ffull-record%2FWOS:000287196200009","View Full Record in Web of Science")</f>
        <v>View Full Record in Web of Science</v>
      </c>
    </row>
    <row r="1459" customFormat="false" ht="12.75" hidden="false" customHeight="false" outlineLevel="0" collapsed="false">
      <c r="A1459" s="2" t="s">
        <v>72</v>
      </c>
      <c r="B1459" s="2" t="s">
        <v>25411</v>
      </c>
      <c r="C1459" s="2"/>
      <c r="D1459" s="2"/>
      <c r="E1459" s="2"/>
      <c r="F1459" s="2" t="s">
        <v>25412</v>
      </c>
      <c r="G1459" s="2"/>
      <c r="H1459" s="2"/>
      <c r="I1459" s="2" t="s">
        <v>25413</v>
      </c>
      <c r="J1459" s="2" t="s">
        <v>8412</v>
      </c>
      <c r="K1459" s="2"/>
      <c r="L1459" s="2"/>
      <c r="M1459" s="2" t="s">
        <v>77</v>
      </c>
      <c r="N1459" s="2" t="s">
        <v>78</v>
      </c>
      <c r="O1459" s="2"/>
      <c r="P1459" s="2"/>
      <c r="Q1459" s="2"/>
      <c r="R1459" s="2"/>
      <c r="S1459" s="2"/>
      <c r="T1459" s="2" t="s">
        <v>25414</v>
      </c>
      <c r="U1459" s="2" t="s">
        <v>25415</v>
      </c>
      <c r="V1459" s="2" t="s">
        <v>25416</v>
      </c>
      <c r="W1459" s="2" t="s">
        <v>25417</v>
      </c>
      <c r="X1459" s="2" t="s">
        <v>3576</v>
      </c>
      <c r="Y1459" s="2" t="s">
        <v>25418</v>
      </c>
      <c r="Z1459" s="2" t="s">
        <v>25419</v>
      </c>
      <c r="AA1459" s="2" t="s">
        <v>25420</v>
      </c>
      <c r="AB1459" s="2" t="s">
        <v>25421</v>
      </c>
      <c r="AC1459" s="2" t="s">
        <v>25422</v>
      </c>
      <c r="AD1459" s="2" t="s">
        <v>25423</v>
      </c>
      <c r="AE1459" s="2" t="s">
        <v>25424</v>
      </c>
      <c r="AF1459" s="2"/>
      <c r="AG1459" s="2" t="n">
        <v>82</v>
      </c>
      <c r="AH1459" s="2" t="n">
        <v>0</v>
      </c>
      <c r="AI1459" s="2" t="n">
        <v>0</v>
      </c>
      <c r="AJ1459" s="2" t="n">
        <v>0</v>
      </c>
      <c r="AK1459" s="2" t="n">
        <v>0</v>
      </c>
      <c r="AL1459" s="2" t="s">
        <v>620</v>
      </c>
      <c r="AM1459" s="2" t="s">
        <v>621</v>
      </c>
      <c r="AN1459" s="2" t="s">
        <v>622</v>
      </c>
      <c r="AO1459" s="2"/>
      <c r="AP1459" s="2" t="s">
        <v>8425</v>
      </c>
      <c r="AQ1459" s="2"/>
      <c r="AR1459" s="2" t="s">
        <v>8426</v>
      </c>
      <c r="AS1459" s="2" t="s">
        <v>8427</v>
      </c>
      <c r="AT1459" s="2" t="s">
        <v>25425</v>
      </c>
      <c r="AU1459" s="2" t="n">
        <v>2024</v>
      </c>
      <c r="AV1459" s="2" t="n">
        <v>15</v>
      </c>
      <c r="AW1459" s="2"/>
      <c r="AX1459" s="2"/>
      <c r="AY1459" s="2"/>
      <c r="AZ1459" s="2"/>
      <c r="BA1459" s="2"/>
      <c r="BB1459" s="2"/>
      <c r="BC1459" s="2"/>
      <c r="BD1459" s="2" t="n">
        <v>1462802</v>
      </c>
      <c r="BE1459" s="2" t="s">
        <v>25426</v>
      </c>
      <c r="BF1459" s="2" t="str">
        <f aca="false">HYPERLINK("http://dx.doi.org/10.3389/fmicb.2024.1462802","http://dx.doi.org/10.3389/fmicb.2024.1462802")</f>
        <v>http://dx.doi.org/10.3389/fmicb.2024.1462802</v>
      </c>
      <c r="BG1459" s="2"/>
      <c r="BH1459" s="2"/>
      <c r="BI1459" s="2" t="n">
        <v>17</v>
      </c>
      <c r="BJ1459" s="2" t="s">
        <v>211</v>
      </c>
      <c r="BK1459" s="2" t="s">
        <v>100</v>
      </c>
      <c r="BL1459" s="2" t="s">
        <v>211</v>
      </c>
      <c r="BM1459" s="2" t="s">
        <v>25427</v>
      </c>
      <c r="BN1459" s="2" t="n">
        <v>39479210</v>
      </c>
      <c r="BO1459" s="2" t="s">
        <v>1355</v>
      </c>
      <c r="BP1459" s="2"/>
      <c r="BQ1459" s="2"/>
      <c r="BR1459" s="2" t="s">
        <v>104</v>
      </c>
      <c r="BS1459" s="2" t="s">
        <v>25428</v>
      </c>
      <c r="BT1459" s="2" t="str">
        <f aca="false">HYPERLINK("https%3A%2F%2Fwww.webofscience.com%2Fwos%2Fwoscc%2Ffull-record%2FWOS:001344855200001","View Full Record in Web of Science")</f>
        <v>View Full Record in Web of Science</v>
      </c>
    </row>
    <row r="1460" customFormat="false" ht="12.75" hidden="false" customHeight="false" outlineLevel="0" collapsed="false">
      <c r="A1460" s="2" t="s">
        <v>72</v>
      </c>
      <c r="B1460" s="2" t="s">
        <v>25429</v>
      </c>
      <c r="C1460" s="2"/>
      <c r="D1460" s="2"/>
      <c r="E1460" s="2"/>
      <c r="F1460" s="2" t="s">
        <v>25430</v>
      </c>
      <c r="G1460" s="2"/>
      <c r="H1460" s="2"/>
      <c r="I1460" s="2" t="s">
        <v>25431</v>
      </c>
      <c r="J1460" s="2" t="s">
        <v>141</v>
      </c>
      <c r="K1460" s="2"/>
      <c r="L1460" s="2"/>
      <c r="M1460" s="2" t="s">
        <v>77</v>
      </c>
      <c r="N1460" s="2" t="s">
        <v>78</v>
      </c>
      <c r="O1460" s="2"/>
      <c r="P1460" s="2"/>
      <c r="Q1460" s="2"/>
      <c r="R1460" s="2"/>
      <c r="S1460" s="2"/>
      <c r="T1460" s="2" t="s">
        <v>25432</v>
      </c>
      <c r="U1460" s="2" t="s">
        <v>25433</v>
      </c>
      <c r="V1460" s="2" t="s">
        <v>25434</v>
      </c>
      <c r="W1460" s="2" t="s">
        <v>25435</v>
      </c>
      <c r="X1460" s="2" t="s">
        <v>25436</v>
      </c>
      <c r="Y1460" s="2" t="s">
        <v>25437</v>
      </c>
      <c r="Z1460" s="2" t="s">
        <v>25438</v>
      </c>
      <c r="AA1460" s="2" t="s">
        <v>25439</v>
      </c>
      <c r="AB1460" s="2" t="s">
        <v>25440</v>
      </c>
      <c r="AC1460" s="2" t="s">
        <v>25441</v>
      </c>
      <c r="AD1460" s="2" t="s">
        <v>25442</v>
      </c>
      <c r="AE1460" s="2" t="s">
        <v>25443</v>
      </c>
      <c r="AF1460" s="2"/>
      <c r="AG1460" s="2" t="n">
        <v>25</v>
      </c>
      <c r="AH1460" s="2" t="n">
        <v>83</v>
      </c>
      <c r="AI1460" s="2" t="n">
        <v>87</v>
      </c>
      <c r="AJ1460" s="2" t="n">
        <v>0</v>
      </c>
      <c r="AK1460" s="2" t="n">
        <v>9</v>
      </c>
      <c r="AL1460" s="2" t="s">
        <v>154</v>
      </c>
      <c r="AM1460" s="2" t="s">
        <v>155</v>
      </c>
      <c r="AN1460" s="2" t="s">
        <v>156</v>
      </c>
      <c r="AO1460" s="2" t="s">
        <v>157</v>
      </c>
      <c r="AP1460" s="2" t="s">
        <v>158</v>
      </c>
      <c r="AQ1460" s="2"/>
      <c r="AR1460" s="2" t="s">
        <v>159</v>
      </c>
      <c r="AS1460" s="2" t="s">
        <v>160</v>
      </c>
      <c r="AT1460" s="2" t="s">
        <v>1041</v>
      </c>
      <c r="AU1460" s="2" t="n">
        <v>2021</v>
      </c>
      <c r="AV1460" s="2" t="n">
        <v>93</v>
      </c>
      <c r="AW1460" s="2" t="n">
        <v>2</v>
      </c>
      <c r="AX1460" s="2"/>
      <c r="AY1460" s="2"/>
      <c r="AZ1460" s="2"/>
      <c r="BA1460" s="2"/>
      <c r="BB1460" s="2" t="n">
        <v>1008</v>
      </c>
      <c r="BC1460" s="2" t="n">
        <v>1012</v>
      </c>
      <c r="BD1460" s="2"/>
      <c r="BE1460" s="2" t="s">
        <v>25444</v>
      </c>
      <c r="BF1460" s="2" t="str">
        <f aca="false">HYPERLINK("http://dx.doi.org/10.1002/jmv.26364","http://dx.doi.org/10.1002/jmv.26364")</f>
        <v>http://dx.doi.org/10.1002/jmv.26364</v>
      </c>
      <c r="BG1460" s="2"/>
      <c r="BH1460" s="2" t="s">
        <v>20327</v>
      </c>
      <c r="BI1460" s="2" t="n">
        <v>5</v>
      </c>
      <c r="BJ1460" s="2" t="s">
        <v>163</v>
      </c>
      <c r="BK1460" s="2" t="s">
        <v>100</v>
      </c>
      <c r="BL1460" s="2" t="s">
        <v>163</v>
      </c>
      <c r="BM1460" s="2" t="s">
        <v>20328</v>
      </c>
      <c r="BN1460" s="2" t="n">
        <v>32720703</v>
      </c>
      <c r="BO1460" s="2"/>
      <c r="BP1460" s="2"/>
      <c r="BQ1460" s="2"/>
      <c r="BR1460" s="2" t="s">
        <v>104</v>
      </c>
      <c r="BS1460" s="2" t="s">
        <v>25445</v>
      </c>
      <c r="BT1460" s="2" t="str">
        <f aca="false">HYPERLINK("https%3A%2F%2Fwww.webofscience.com%2Fwos%2Fwoscc%2Ffull-record%2FWOS:000558716100001","View Full Record in Web of Science")</f>
        <v>View Full Record in Web of Science</v>
      </c>
    </row>
    <row r="1461" customFormat="false" ht="12.75" hidden="false" customHeight="false" outlineLevel="0" collapsed="false">
      <c r="A1461" s="2" t="s">
        <v>72</v>
      </c>
      <c r="B1461" s="2" t="s">
        <v>25446</v>
      </c>
      <c r="C1461" s="2"/>
      <c r="D1461" s="2"/>
      <c r="E1461" s="2"/>
      <c r="F1461" s="2" t="s">
        <v>25447</v>
      </c>
      <c r="G1461" s="2"/>
      <c r="H1461" s="2"/>
      <c r="I1461" s="2" t="s">
        <v>25448</v>
      </c>
      <c r="J1461" s="2" t="s">
        <v>141</v>
      </c>
      <c r="K1461" s="2"/>
      <c r="L1461" s="2"/>
      <c r="M1461" s="2" t="s">
        <v>77</v>
      </c>
      <c r="N1461" s="2" t="s">
        <v>78</v>
      </c>
      <c r="O1461" s="2"/>
      <c r="P1461" s="2"/>
      <c r="Q1461" s="2"/>
      <c r="R1461" s="2"/>
      <c r="S1461" s="2"/>
      <c r="T1461" s="2" t="s">
        <v>25449</v>
      </c>
      <c r="U1461" s="2" t="s">
        <v>25450</v>
      </c>
      <c r="V1461" s="2" t="s">
        <v>25451</v>
      </c>
      <c r="W1461" s="2" t="s">
        <v>25452</v>
      </c>
      <c r="X1461" s="2" t="s">
        <v>25453</v>
      </c>
      <c r="Y1461" s="2" t="s">
        <v>25454</v>
      </c>
      <c r="Z1461" s="2" t="s">
        <v>25455</v>
      </c>
      <c r="AA1461" s="2" t="s">
        <v>25456</v>
      </c>
      <c r="AB1461" s="2" t="s">
        <v>25457</v>
      </c>
      <c r="AC1461" s="2" t="s">
        <v>25458</v>
      </c>
      <c r="AD1461" s="2" t="s">
        <v>25459</v>
      </c>
      <c r="AE1461" s="2" t="s">
        <v>25460</v>
      </c>
      <c r="AF1461" s="2"/>
      <c r="AG1461" s="2" t="n">
        <v>43</v>
      </c>
      <c r="AH1461" s="2" t="n">
        <v>11</v>
      </c>
      <c r="AI1461" s="2" t="n">
        <v>12</v>
      </c>
      <c r="AJ1461" s="2" t="n">
        <v>0</v>
      </c>
      <c r="AK1461" s="2" t="n">
        <v>5</v>
      </c>
      <c r="AL1461" s="2" t="s">
        <v>154</v>
      </c>
      <c r="AM1461" s="2" t="s">
        <v>155</v>
      </c>
      <c r="AN1461" s="2" t="s">
        <v>156</v>
      </c>
      <c r="AO1461" s="2" t="s">
        <v>157</v>
      </c>
      <c r="AP1461" s="2" t="s">
        <v>158</v>
      </c>
      <c r="AQ1461" s="2"/>
      <c r="AR1461" s="2" t="s">
        <v>159</v>
      </c>
      <c r="AS1461" s="2" t="s">
        <v>160</v>
      </c>
      <c r="AT1461" s="2" t="s">
        <v>161</v>
      </c>
      <c r="AU1461" s="2" t="n">
        <v>2023</v>
      </c>
      <c r="AV1461" s="2" t="n">
        <v>95</v>
      </c>
      <c r="AW1461" s="2" t="n">
        <v>1</v>
      </c>
      <c r="AX1461" s="2"/>
      <c r="AY1461" s="2"/>
      <c r="AZ1461" s="2"/>
      <c r="BA1461" s="2"/>
      <c r="BB1461" s="2"/>
      <c r="BC1461" s="2"/>
      <c r="BD1461" s="2"/>
      <c r="BE1461" s="2" t="s">
        <v>25461</v>
      </c>
      <c r="BF1461" s="2" t="str">
        <f aca="false">HYPERLINK("http://dx.doi.org/10.1002/jmv.28113","http://dx.doi.org/10.1002/jmv.28113")</f>
        <v>http://dx.doi.org/10.1002/jmv.28113</v>
      </c>
      <c r="BG1461" s="2"/>
      <c r="BH1461" s="2" t="s">
        <v>6262</v>
      </c>
      <c r="BI1461" s="2" t="n">
        <v>11</v>
      </c>
      <c r="BJ1461" s="2" t="s">
        <v>163</v>
      </c>
      <c r="BK1461" s="2" t="s">
        <v>100</v>
      </c>
      <c r="BL1461" s="2" t="s">
        <v>163</v>
      </c>
      <c r="BM1461" s="2" t="s">
        <v>25462</v>
      </c>
      <c r="BN1461" s="2" t="n">
        <v>36043485</v>
      </c>
      <c r="BO1461" s="2" t="s">
        <v>165</v>
      </c>
      <c r="BP1461" s="2"/>
      <c r="BQ1461" s="2"/>
      <c r="BR1461" s="2" t="s">
        <v>104</v>
      </c>
      <c r="BS1461" s="2" t="s">
        <v>25463</v>
      </c>
      <c r="BT1461" s="2" t="str">
        <f aca="false">HYPERLINK("https%3A%2F%2Fwww.webofscience.com%2Fwos%2Fwoscc%2Ffull-record%2FWOS:000851498300001","View Full Record in Web of Science")</f>
        <v>View Full Record in Web of Science</v>
      </c>
    </row>
    <row r="1462" customFormat="false" ht="12.75" hidden="false" customHeight="false" outlineLevel="0" collapsed="false">
      <c r="A1462" s="2" t="s">
        <v>72</v>
      </c>
      <c r="B1462" s="2" t="s">
        <v>25464</v>
      </c>
      <c r="C1462" s="2"/>
      <c r="D1462" s="2"/>
      <c r="E1462" s="2"/>
      <c r="F1462" s="2" t="s">
        <v>25465</v>
      </c>
      <c r="G1462" s="2"/>
      <c r="H1462" s="2"/>
      <c r="I1462" s="2" t="s">
        <v>25466</v>
      </c>
      <c r="J1462" s="2" t="s">
        <v>11019</v>
      </c>
      <c r="K1462" s="2"/>
      <c r="L1462" s="2"/>
      <c r="M1462" s="2" t="s">
        <v>77</v>
      </c>
      <c r="N1462" s="2" t="s">
        <v>78</v>
      </c>
      <c r="O1462" s="2"/>
      <c r="P1462" s="2"/>
      <c r="Q1462" s="2"/>
      <c r="R1462" s="2"/>
      <c r="S1462" s="2"/>
      <c r="T1462" s="2" t="s">
        <v>25467</v>
      </c>
      <c r="U1462" s="2" t="s">
        <v>25468</v>
      </c>
      <c r="V1462" s="2" t="s">
        <v>25469</v>
      </c>
      <c r="W1462" s="2" t="s">
        <v>25470</v>
      </c>
      <c r="X1462" s="2" t="s">
        <v>25471</v>
      </c>
      <c r="Y1462" s="2" t="s">
        <v>25472</v>
      </c>
      <c r="Z1462" s="2" t="s">
        <v>25473</v>
      </c>
      <c r="AA1462" s="2" t="s">
        <v>25474</v>
      </c>
      <c r="AB1462" s="2" t="s">
        <v>25475</v>
      </c>
      <c r="AC1462" s="2" t="s">
        <v>25476</v>
      </c>
      <c r="AD1462" s="2" t="s">
        <v>25477</v>
      </c>
      <c r="AE1462" s="2" t="s">
        <v>25478</v>
      </c>
      <c r="AF1462" s="2"/>
      <c r="AG1462" s="2" t="n">
        <v>26</v>
      </c>
      <c r="AH1462" s="2" t="n">
        <v>2</v>
      </c>
      <c r="AI1462" s="2" t="n">
        <v>2</v>
      </c>
      <c r="AJ1462" s="2" t="n">
        <v>0</v>
      </c>
      <c r="AK1462" s="2" t="n">
        <v>4</v>
      </c>
      <c r="AL1462" s="2" t="s">
        <v>154</v>
      </c>
      <c r="AM1462" s="2" t="s">
        <v>155</v>
      </c>
      <c r="AN1462" s="2" t="s">
        <v>156</v>
      </c>
      <c r="AO1462" s="2" t="s">
        <v>11028</v>
      </c>
      <c r="AP1462" s="2" t="s">
        <v>11029</v>
      </c>
      <c r="AQ1462" s="2"/>
      <c r="AR1462" s="2" t="s">
        <v>11030</v>
      </c>
      <c r="AS1462" s="2" t="s">
        <v>11031</v>
      </c>
      <c r="AT1462" s="2" t="s">
        <v>599</v>
      </c>
      <c r="AU1462" s="2" t="n">
        <v>2020</v>
      </c>
      <c r="AV1462" s="2" t="n">
        <v>14</v>
      </c>
      <c r="AW1462" s="2" t="n">
        <v>4</v>
      </c>
      <c r="AX1462" s="2"/>
      <c r="AY1462" s="2"/>
      <c r="AZ1462" s="2"/>
      <c r="BA1462" s="2"/>
      <c r="BB1462" s="2" t="n">
        <v>420</v>
      </c>
      <c r="BC1462" s="2" t="n">
        <v>428</v>
      </c>
      <c r="BD1462" s="2"/>
      <c r="BE1462" s="2" t="s">
        <v>25479</v>
      </c>
      <c r="BF1462" s="2" t="str">
        <f aca="false">HYPERLINK("http://dx.doi.org/10.1111/irv.12731","http://dx.doi.org/10.1111/irv.12731")</f>
        <v>http://dx.doi.org/10.1111/irv.12731</v>
      </c>
      <c r="BG1462" s="2"/>
      <c r="BH1462" s="2" t="s">
        <v>6543</v>
      </c>
      <c r="BI1462" s="2" t="n">
        <v>9</v>
      </c>
      <c r="BJ1462" s="2" t="s">
        <v>8287</v>
      </c>
      <c r="BK1462" s="2" t="s">
        <v>100</v>
      </c>
      <c r="BL1462" s="2" t="s">
        <v>8287</v>
      </c>
      <c r="BM1462" s="2" t="s">
        <v>25480</v>
      </c>
      <c r="BN1462" s="2" t="n">
        <v>32410358</v>
      </c>
      <c r="BO1462" s="2" t="s">
        <v>103</v>
      </c>
      <c r="BP1462" s="2"/>
      <c r="BQ1462" s="2"/>
      <c r="BR1462" s="2" t="s">
        <v>104</v>
      </c>
      <c r="BS1462" s="2" t="s">
        <v>25481</v>
      </c>
      <c r="BT1462" s="2" t="str">
        <f aca="false">HYPERLINK("https%3A%2F%2Fwww.webofscience.com%2Fwos%2Fwoscc%2Ffull-record%2FWOS:000532656300001","View Full Record in Web of Science")</f>
        <v>View Full Record in Web of Science</v>
      </c>
    </row>
    <row r="1463" customFormat="false" ht="12.75" hidden="false" customHeight="false" outlineLevel="0" collapsed="false">
      <c r="A1463" s="2" t="s">
        <v>72</v>
      </c>
      <c r="B1463" s="2" t="s">
        <v>25482</v>
      </c>
      <c r="C1463" s="2"/>
      <c r="D1463" s="2"/>
      <c r="E1463" s="2"/>
      <c r="F1463" s="2" t="s">
        <v>25483</v>
      </c>
      <c r="G1463" s="2"/>
      <c r="H1463" s="2"/>
      <c r="I1463" s="2" t="s">
        <v>25484</v>
      </c>
      <c r="J1463" s="2" t="s">
        <v>24593</v>
      </c>
      <c r="K1463" s="2"/>
      <c r="L1463" s="2"/>
      <c r="M1463" s="2" t="s">
        <v>77</v>
      </c>
      <c r="N1463" s="2" t="s">
        <v>78</v>
      </c>
      <c r="O1463" s="2"/>
      <c r="P1463" s="2"/>
      <c r="Q1463" s="2"/>
      <c r="R1463" s="2"/>
      <c r="S1463" s="2"/>
      <c r="T1463" s="2" t="s">
        <v>25485</v>
      </c>
      <c r="U1463" s="2" t="s">
        <v>25486</v>
      </c>
      <c r="V1463" s="2" t="s">
        <v>25487</v>
      </c>
      <c r="W1463" s="2" t="s">
        <v>25488</v>
      </c>
      <c r="X1463" s="2" t="s">
        <v>25489</v>
      </c>
      <c r="Y1463" s="2" t="s">
        <v>25490</v>
      </c>
      <c r="Z1463" s="2" t="s">
        <v>25491</v>
      </c>
      <c r="AA1463" s="2" t="s">
        <v>25492</v>
      </c>
      <c r="AB1463" s="2" t="s">
        <v>25493</v>
      </c>
      <c r="AC1463" s="2" t="s">
        <v>25494</v>
      </c>
      <c r="AD1463" s="2" t="s">
        <v>25495</v>
      </c>
      <c r="AE1463" s="2" t="s">
        <v>25496</v>
      </c>
      <c r="AF1463" s="2"/>
      <c r="AG1463" s="2" t="n">
        <v>29</v>
      </c>
      <c r="AH1463" s="2" t="n">
        <v>29</v>
      </c>
      <c r="AI1463" s="2" t="n">
        <v>29</v>
      </c>
      <c r="AJ1463" s="2" t="n">
        <v>0</v>
      </c>
      <c r="AK1463" s="2" t="n">
        <v>3</v>
      </c>
      <c r="AL1463" s="2" t="s">
        <v>154</v>
      </c>
      <c r="AM1463" s="2" t="s">
        <v>155</v>
      </c>
      <c r="AN1463" s="2" t="s">
        <v>156</v>
      </c>
      <c r="AO1463" s="2" t="s">
        <v>24602</v>
      </c>
      <c r="AP1463" s="2" t="s">
        <v>24603</v>
      </c>
      <c r="AQ1463" s="2"/>
      <c r="AR1463" s="2" t="s">
        <v>24604</v>
      </c>
      <c r="AS1463" s="2" t="s">
        <v>24605</v>
      </c>
      <c r="AT1463" s="2" t="s">
        <v>925</v>
      </c>
      <c r="AU1463" s="2" t="n">
        <v>2013</v>
      </c>
      <c r="AV1463" s="2" t="n">
        <v>27</v>
      </c>
      <c r="AW1463" s="2" t="n">
        <v>1</v>
      </c>
      <c r="AX1463" s="2"/>
      <c r="AY1463" s="2"/>
      <c r="AZ1463" s="2"/>
      <c r="BA1463" s="2"/>
      <c r="BB1463" s="2" t="s">
        <v>25497</v>
      </c>
      <c r="BC1463" s="2" t="s">
        <v>25498</v>
      </c>
      <c r="BD1463" s="2"/>
      <c r="BE1463" s="2" t="s">
        <v>25499</v>
      </c>
      <c r="BF1463" s="2" t="str">
        <f aca="false">HYPERLINK("http://dx.doi.org/10.1111/ctr.12054","http://dx.doi.org/10.1111/ctr.12054")</f>
        <v>http://dx.doi.org/10.1111/ctr.12054</v>
      </c>
      <c r="BG1463" s="2"/>
      <c r="BH1463" s="2"/>
      <c r="BI1463" s="2" t="n">
        <v>8</v>
      </c>
      <c r="BJ1463" s="2" t="s">
        <v>7394</v>
      </c>
      <c r="BK1463" s="2" t="s">
        <v>100</v>
      </c>
      <c r="BL1463" s="2" t="s">
        <v>7394</v>
      </c>
      <c r="BM1463" s="2" t="s">
        <v>25500</v>
      </c>
      <c r="BN1463" s="2" t="n">
        <v>23278569</v>
      </c>
      <c r="BO1463" s="2" t="s">
        <v>5506</v>
      </c>
      <c r="BP1463" s="2"/>
      <c r="BQ1463" s="2"/>
      <c r="BR1463" s="2" t="s">
        <v>104</v>
      </c>
      <c r="BS1463" s="2" t="s">
        <v>25501</v>
      </c>
      <c r="BT1463" s="2" t="str">
        <f aca="false">HYPERLINK("https%3A%2F%2Fwww.webofscience.com%2Fwos%2Fwoscc%2Ffull-record%2FWOS:000314208000018","View Full Record in Web of Science")</f>
        <v>View Full Record in Web of Science</v>
      </c>
    </row>
    <row r="1464" customFormat="false" ht="12.75" hidden="false" customHeight="false" outlineLevel="0" collapsed="false">
      <c r="A1464" s="2" t="s">
        <v>72</v>
      </c>
      <c r="B1464" s="2" t="s">
        <v>25502</v>
      </c>
      <c r="C1464" s="2"/>
      <c r="D1464" s="2"/>
      <c r="E1464" s="2"/>
      <c r="F1464" s="2" t="s">
        <v>25503</v>
      </c>
      <c r="G1464" s="2"/>
      <c r="H1464" s="2"/>
      <c r="I1464" s="2" t="s">
        <v>25504</v>
      </c>
      <c r="J1464" s="2" t="s">
        <v>8031</v>
      </c>
      <c r="K1464" s="2"/>
      <c r="L1464" s="2"/>
      <c r="M1464" s="2" t="s">
        <v>77</v>
      </c>
      <c r="N1464" s="2" t="s">
        <v>78</v>
      </c>
      <c r="O1464" s="2"/>
      <c r="P1464" s="2"/>
      <c r="Q1464" s="2"/>
      <c r="R1464" s="2"/>
      <c r="S1464" s="2"/>
      <c r="T1464" s="2" t="s">
        <v>25505</v>
      </c>
      <c r="U1464" s="2" t="s">
        <v>25506</v>
      </c>
      <c r="V1464" s="2" t="s">
        <v>25507</v>
      </c>
      <c r="W1464" s="2" t="s">
        <v>25508</v>
      </c>
      <c r="X1464" s="2" t="s">
        <v>25509</v>
      </c>
      <c r="Y1464" s="2" t="s">
        <v>25510</v>
      </c>
      <c r="Z1464" s="2" t="s">
        <v>25511</v>
      </c>
      <c r="AA1464" s="2" t="s">
        <v>25512</v>
      </c>
      <c r="AB1464" s="2" t="s">
        <v>25513</v>
      </c>
      <c r="AC1464" s="2" t="s">
        <v>25514</v>
      </c>
      <c r="AD1464" s="2" t="s">
        <v>25515</v>
      </c>
      <c r="AE1464" s="2" t="s">
        <v>25516</v>
      </c>
      <c r="AF1464" s="2"/>
      <c r="AG1464" s="2" t="n">
        <v>42</v>
      </c>
      <c r="AH1464" s="2" t="n">
        <v>23</v>
      </c>
      <c r="AI1464" s="2" t="n">
        <v>26</v>
      </c>
      <c r="AJ1464" s="2" t="n">
        <v>0</v>
      </c>
      <c r="AK1464" s="2" t="n">
        <v>11</v>
      </c>
      <c r="AL1464" s="2" t="s">
        <v>1749</v>
      </c>
      <c r="AM1464" s="2" t="s">
        <v>1750</v>
      </c>
      <c r="AN1464" s="2" t="s">
        <v>1751</v>
      </c>
      <c r="AO1464" s="2" t="s">
        <v>8039</v>
      </c>
      <c r="AP1464" s="2" t="s">
        <v>25517</v>
      </c>
      <c r="AQ1464" s="2"/>
      <c r="AR1464" s="2" t="s">
        <v>8040</v>
      </c>
      <c r="AS1464" s="2" t="s">
        <v>8041</v>
      </c>
      <c r="AT1464" s="2" t="s">
        <v>336</v>
      </c>
      <c r="AU1464" s="2" t="n">
        <v>2014</v>
      </c>
      <c r="AV1464" s="2" t="n">
        <v>78</v>
      </c>
      <c r="AW1464" s="2" t="n">
        <v>10</v>
      </c>
      <c r="AX1464" s="2"/>
      <c r="AY1464" s="2"/>
      <c r="AZ1464" s="2"/>
      <c r="BA1464" s="2"/>
      <c r="BB1464" s="2" t="n">
        <v>1655</v>
      </c>
      <c r="BC1464" s="2" t="n">
        <v>1661</v>
      </c>
      <c r="BD1464" s="2"/>
      <c r="BE1464" s="2" t="s">
        <v>25518</v>
      </c>
      <c r="BF1464" s="2" t="str">
        <f aca="false">HYPERLINK("http://dx.doi.org/10.1016/j.ijporl.2014.07.015","http://dx.doi.org/10.1016/j.ijporl.2014.07.015")</f>
        <v>http://dx.doi.org/10.1016/j.ijporl.2014.07.015</v>
      </c>
      <c r="BG1464" s="2"/>
      <c r="BH1464" s="2"/>
      <c r="BI1464" s="2" t="n">
        <v>7</v>
      </c>
      <c r="BJ1464" s="2" t="s">
        <v>8043</v>
      </c>
      <c r="BK1464" s="2" t="s">
        <v>100</v>
      </c>
      <c r="BL1464" s="2" t="s">
        <v>8043</v>
      </c>
      <c r="BM1464" s="2" t="s">
        <v>25519</v>
      </c>
      <c r="BN1464" s="2" t="n">
        <v>25128448</v>
      </c>
      <c r="BO1464" s="2" t="s">
        <v>1089</v>
      </c>
      <c r="BP1464" s="2"/>
      <c r="BQ1464" s="2"/>
      <c r="BR1464" s="2" t="s">
        <v>104</v>
      </c>
      <c r="BS1464" s="2" t="s">
        <v>25520</v>
      </c>
      <c r="BT1464" s="2" t="str">
        <f aca="false">HYPERLINK("https%3A%2F%2Fwww.webofscience.com%2Fwos%2Fwoscc%2Ffull-record%2FWOS:000342881200015","View Full Record in Web of Science")</f>
        <v>View Full Record in Web of Science</v>
      </c>
    </row>
    <row r="1465" customFormat="false" ht="12.75" hidden="false" customHeight="false" outlineLevel="0" collapsed="false">
      <c r="A1465" s="2" t="s">
        <v>72</v>
      </c>
      <c r="B1465" s="2" t="s">
        <v>25521</v>
      </c>
      <c r="C1465" s="2"/>
      <c r="D1465" s="2"/>
      <c r="E1465" s="2"/>
      <c r="F1465" s="2" t="s">
        <v>25522</v>
      </c>
      <c r="G1465" s="2"/>
      <c r="H1465" s="2"/>
      <c r="I1465" s="2" t="s">
        <v>25523</v>
      </c>
      <c r="J1465" s="2" t="s">
        <v>742</v>
      </c>
      <c r="K1465" s="2"/>
      <c r="L1465" s="2"/>
      <c r="M1465" s="2" t="s">
        <v>77</v>
      </c>
      <c r="N1465" s="2" t="s">
        <v>78</v>
      </c>
      <c r="O1465" s="2"/>
      <c r="P1465" s="2"/>
      <c r="Q1465" s="2"/>
      <c r="R1465" s="2"/>
      <c r="S1465" s="2"/>
      <c r="T1465" s="2" t="s">
        <v>25524</v>
      </c>
      <c r="U1465" s="2" t="s">
        <v>25525</v>
      </c>
      <c r="V1465" s="2" t="s">
        <v>25526</v>
      </c>
      <c r="W1465" s="2" t="s">
        <v>25527</v>
      </c>
      <c r="X1465" s="2" t="s">
        <v>8071</v>
      </c>
      <c r="Y1465" s="2" t="s">
        <v>25528</v>
      </c>
      <c r="Z1465" s="2" t="s">
        <v>12585</v>
      </c>
      <c r="AA1465" s="2" t="s">
        <v>25529</v>
      </c>
      <c r="AB1465" s="2" t="s">
        <v>14034</v>
      </c>
      <c r="AC1465" s="2" t="s">
        <v>25530</v>
      </c>
      <c r="AD1465" s="2" t="s">
        <v>25531</v>
      </c>
      <c r="AE1465" s="2" t="s">
        <v>25532</v>
      </c>
      <c r="AF1465" s="2"/>
      <c r="AG1465" s="2" t="n">
        <v>46</v>
      </c>
      <c r="AH1465" s="2" t="n">
        <v>2</v>
      </c>
      <c r="AI1465" s="2" t="n">
        <v>3</v>
      </c>
      <c r="AJ1465" s="2" t="n">
        <v>0</v>
      </c>
      <c r="AK1465" s="2" t="n">
        <v>3</v>
      </c>
      <c r="AL1465" s="2" t="s">
        <v>755</v>
      </c>
      <c r="AM1465" s="2" t="s">
        <v>273</v>
      </c>
      <c r="AN1465" s="2" t="s">
        <v>756</v>
      </c>
      <c r="AO1465" s="2" t="s">
        <v>757</v>
      </c>
      <c r="AP1465" s="2" t="s">
        <v>758</v>
      </c>
      <c r="AQ1465" s="2"/>
      <c r="AR1465" s="2" t="s">
        <v>759</v>
      </c>
      <c r="AS1465" s="2" t="s">
        <v>760</v>
      </c>
      <c r="AT1465" s="2" t="s">
        <v>9033</v>
      </c>
      <c r="AU1465" s="2" t="n">
        <v>2022</v>
      </c>
      <c r="AV1465" s="2" t="n">
        <v>96</v>
      </c>
      <c r="AW1465" s="2" t="n">
        <v>17</v>
      </c>
      <c r="AX1465" s="2"/>
      <c r="AY1465" s="2"/>
      <c r="AZ1465" s="2"/>
      <c r="BA1465" s="2"/>
      <c r="BB1465" s="2"/>
      <c r="BC1465" s="2"/>
      <c r="BD1465" s="2"/>
      <c r="BE1465" s="2" t="s">
        <v>25533</v>
      </c>
      <c r="BF1465" s="2" t="str">
        <f aca="false">HYPERLINK("http://dx.doi.org/10.1128/jvi.00723-22","http://dx.doi.org/10.1128/jvi.00723-22")</f>
        <v>http://dx.doi.org/10.1128/jvi.00723-22</v>
      </c>
      <c r="BG1465" s="2"/>
      <c r="BH1465" s="2" t="s">
        <v>2216</v>
      </c>
      <c r="BI1465" s="2" t="n">
        <v>14</v>
      </c>
      <c r="BJ1465" s="2" t="s">
        <v>163</v>
      </c>
      <c r="BK1465" s="2" t="s">
        <v>100</v>
      </c>
      <c r="BL1465" s="2" t="s">
        <v>163</v>
      </c>
      <c r="BM1465" s="2" t="s">
        <v>25534</v>
      </c>
      <c r="BN1465" s="2" t="n">
        <v>35975999</v>
      </c>
      <c r="BO1465" s="2" t="s">
        <v>136</v>
      </c>
      <c r="BP1465" s="2"/>
      <c r="BQ1465" s="2"/>
      <c r="BR1465" s="2" t="s">
        <v>104</v>
      </c>
      <c r="BS1465" s="2" t="s">
        <v>25535</v>
      </c>
      <c r="BT1465" s="2" t="str">
        <f aca="false">HYPERLINK("https%3A%2F%2Fwww.webofscience.com%2Fwos%2Fwoscc%2Ffull-record%2FWOS:000842383100003","View Full Record in Web of Science")</f>
        <v>View Full Record in Web of Science</v>
      </c>
    </row>
    <row r="1466" customFormat="false" ht="12.75" hidden="false" customHeight="false" outlineLevel="0" collapsed="false">
      <c r="A1466" s="2" t="s">
        <v>72</v>
      </c>
      <c r="B1466" s="2" t="s">
        <v>25536</v>
      </c>
      <c r="C1466" s="2"/>
      <c r="D1466" s="2"/>
      <c r="E1466" s="2"/>
      <c r="F1466" s="2" t="s">
        <v>25537</v>
      </c>
      <c r="G1466" s="2"/>
      <c r="H1466" s="2"/>
      <c r="I1466" s="2" t="s">
        <v>25538</v>
      </c>
      <c r="J1466" s="2" t="s">
        <v>141</v>
      </c>
      <c r="K1466" s="2"/>
      <c r="L1466" s="2"/>
      <c r="M1466" s="2" t="s">
        <v>77</v>
      </c>
      <c r="N1466" s="2" t="s">
        <v>78</v>
      </c>
      <c r="O1466" s="2"/>
      <c r="P1466" s="2"/>
      <c r="Q1466" s="2"/>
      <c r="R1466" s="2"/>
      <c r="S1466" s="2"/>
      <c r="T1466" s="2" t="s">
        <v>25539</v>
      </c>
      <c r="U1466" s="2" t="s">
        <v>25540</v>
      </c>
      <c r="V1466" s="2" t="s">
        <v>25541</v>
      </c>
      <c r="W1466" s="2" t="s">
        <v>25542</v>
      </c>
      <c r="X1466" s="2" t="s">
        <v>8834</v>
      </c>
      <c r="Y1466" s="2" t="s">
        <v>25543</v>
      </c>
      <c r="Z1466" s="2" t="s">
        <v>8836</v>
      </c>
      <c r="AA1466" s="2"/>
      <c r="AB1466" s="2"/>
      <c r="AC1466" s="2" t="s">
        <v>25544</v>
      </c>
      <c r="AD1466" s="2" t="s">
        <v>25544</v>
      </c>
      <c r="AE1466" s="2" t="s">
        <v>25545</v>
      </c>
      <c r="AF1466" s="2"/>
      <c r="AG1466" s="2" t="n">
        <v>31</v>
      </c>
      <c r="AH1466" s="2" t="n">
        <v>6</v>
      </c>
      <c r="AI1466" s="2" t="n">
        <v>8</v>
      </c>
      <c r="AJ1466" s="2" t="n">
        <v>1</v>
      </c>
      <c r="AK1466" s="2" t="n">
        <v>5</v>
      </c>
      <c r="AL1466" s="2" t="s">
        <v>3813</v>
      </c>
      <c r="AM1466" s="2" t="s">
        <v>4498</v>
      </c>
      <c r="AN1466" s="2" t="s">
        <v>4499</v>
      </c>
      <c r="AO1466" s="2" t="s">
        <v>157</v>
      </c>
      <c r="AP1466" s="2"/>
      <c r="AQ1466" s="2"/>
      <c r="AR1466" s="2" t="s">
        <v>159</v>
      </c>
      <c r="AS1466" s="2" t="s">
        <v>160</v>
      </c>
      <c r="AT1466" s="2" t="s">
        <v>599</v>
      </c>
      <c r="AU1466" s="2" t="n">
        <v>2012</v>
      </c>
      <c r="AV1466" s="2" t="n">
        <v>84</v>
      </c>
      <c r="AW1466" s="2" t="n">
        <v>7</v>
      </c>
      <c r="AX1466" s="2"/>
      <c r="AY1466" s="2"/>
      <c r="AZ1466" s="2"/>
      <c r="BA1466" s="2"/>
      <c r="BB1466" s="2" t="n">
        <v>1061</v>
      </c>
      <c r="BC1466" s="2" t="n">
        <v>1070</v>
      </c>
      <c r="BD1466" s="2"/>
      <c r="BE1466" s="2" t="s">
        <v>25546</v>
      </c>
      <c r="BF1466" s="2" t="str">
        <f aca="false">HYPERLINK("http://dx.doi.org/10.1002/jmv.23298","http://dx.doi.org/10.1002/jmv.23298")</f>
        <v>http://dx.doi.org/10.1002/jmv.23298</v>
      </c>
      <c r="BG1466" s="2"/>
      <c r="BH1466" s="2"/>
      <c r="BI1466" s="2" t="n">
        <v>10</v>
      </c>
      <c r="BJ1466" s="2" t="s">
        <v>163</v>
      </c>
      <c r="BK1466" s="2" t="s">
        <v>100</v>
      </c>
      <c r="BL1466" s="2" t="s">
        <v>163</v>
      </c>
      <c r="BM1466" s="2" t="s">
        <v>3391</v>
      </c>
      <c r="BN1466" s="2" t="n">
        <v>22585723</v>
      </c>
      <c r="BO1466" s="2"/>
      <c r="BP1466" s="2"/>
      <c r="BQ1466" s="2"/>
      <c r="BR1466" s="2" t="s">
        <v>104</v>
      </c>
      <c r="BS1466" s="2" t="s">
        <v>25547</v>
      </c>
      <c r="BT1466" s="2" t="str">
        <f aca="false">HYPERLINK("https%3A%2F%2Fwww.webofscience.com%2Fwos%2Fwoscc%2Ffull-record%2FWOS:000303994200010","View Full Record in Web of Science")</f>
        <v>View Full Record in Web of Science</v>
      </c>
    </row>
    <row r="1467" customFormat="false" ht="12.75" hidden="false" customHeight="false" outlineLevel="0" collapsed="false">
      <c r="A1467" s="2" t="s">
        <v>72</v>
      </c>
      <c r="B1467" s="2" t="s">
        <v>25548</v>
      </c>
      <c r="C1467" s="2"/>
      <c r="D1467" s="2"/>
      <c r="E1467" s="2"/>
      <c r="F1467" s="2" t="s">
        <v>25549</v>
      </c>
      <c r="G1467" s="2"/>
      <c r="H1467" s="2"/>
      <c r="I1467" s="2" t="s">
        <v>25550</v>
      </c>
      <c r="J1467" s="2" t="s">
        <v>109</v>
      </c>
      <c r="K1467" s="2"/>
      <c r="L1467" s="2"/>
      <c r="M1467" s="2" t="s">
        <v>77</v>
      </c>
      <c r="N1467" s="2" t="s">
        <v>78</v>
      </c>
      <c r="O1467" s="2"/>
      <c r="P1467" s="2"/>
      <c r="Q1467" s="2"/>
      <c r="R1467" s="2"/>
      <c r="S1467" s="2"/>
      <c r="T1467" s="2" t="s">
        <v>25551</v>
      </c>
      <c r="U1467" s="2" t="s">
        <v>25552</v>
      </c>
      <c r="V1467" s="2" t="s">
        <v>25553</v>
      </c>
      <c r="W1467" s="2" t="s">
        <v>25554</v>
      </c>
      <c r="X1467" s="2" t="s">
        <v>25555</v>
      </c>
      <c r="Y1467" s="2" t="s">
        <v>25556</v>
      </c>
      <c r="Z1467" s="2" t="s">
        <v>25557</v>
      </c>
      <c r="AA1467" s="2" t="s">
        <v>25558</v>
      </c>
      <c r="AB1467" s="2" t="s">
        <v>25559</v>
      </c>
      <c r="AC1467" s="2" t="s">
        <v>25560</v>
      </c>
      <c r="AD1467" s="2" t="s">
        <v>25561</v>
      </c>
      <c r="AE1467" s="2" t="s">
        <v>25562</v>
      </c>
      <c r="AF1467" s="2"/>
      <c r="AG1467" s="2" t="n">
        <v>27</v>
      </c>
      <c r="AH1467" s="2" t="n">
        <v>3</v>
      </c>
      <c r="AI1467" s="2" t="n">
        <v>3</v>
      </c>
      <c r="AJ1467" s="2" t="n">
        <v>0</v>
      </c>
      <c r="AK1467" s="2" t="n">
        <v>13</v>
      </c>
      <c r="AL1467" s="2" t="s">
        <v>122</v>
      </c>
      <c r="AM1467" s="2" t="s">
        <v>123</v>
      </c>
      <c r="AN1467" s="2" t="s">
        <v>124</v>
      </c>
      <c r="AO1467" s="2" t="s">
        <v>125</v>
      </c>
      <c r="AP1467" s="2" t="s">
        <v>126</v>
      </c>
      <c r="AQ1467" s="2"/>
      <c r="AR1467" s="2" t="s">
        <v>127</v>
      </c>
      <c r="AS1467" s="2" t="s">
        <v>128</v>
      </c>
      <c r="AT1467" s="2" t="s">
        <v>336</v>
      </c>
      <c r="AU1467" s="2" t="n">
        <v>2016</v>
      </c>
      <c r="AV1467" s="2" t="n">
        <v>35</v>
      </c>
      <c r="AW1467" s="2" t="n">
        <v>10</v>
      </c>
      <c r="AX1467" s="2"/>
      <c r="AY1467" s="2"/>
      <c r="AZ1467" s="2"/>
      <c r="BA1467" s="2"/>
      <c r="BB1467" s="2" t="n">
        <v>1057</v>
      </c>
      <c r="BC1467" s="2" t="n">
        <v>1061</v>
      </c>
      <c r="BD1467" s="2"/>
      <c r="BE1467" s="2" t="s">
        <v>25563</v>
      </c>
      <c r="BF1467" s="2" t="str">
        <f aca="false">HYPERLINK("http://dx.doi.org/10.1097/INF.0000000000001234","http://dx.doi.org/10.1097/INF.0000000000001234")</f>
        <v>http://dx.doi.org/10.1097/INF.0000000000001234</v>
      </c>
      <c r="BG1467" s="2"/>
      <c r="BH1467" s="2"/>
      <c r="BI1467" s="2" t="n">
        <v>5</v>
      </c>
      <c r="BJ1467" s="2" t="s">
        <v>134</v>
      </c>
      <c r="BK1467" s="2" t="s">
        <v>100</v>
      </c>
      <c r="BL1467" s="2" t="s">
        <v>134</v>
      </c>
      <c r="BM1467" s="2" t="s">
        <v>25564</v>
      </c>
      <c r="BN1467" s="2" t="n">
        <v>27404599</v>
      </c>
      <c r="BO1467" s="2" t="s">
        <v>695</v>
      </c>
      <c r="BP1467" s="2"/>
      <c r="BQ1467" s="2"/>
      <c r="BR1467" s="2" t="s">
        <v>104</v>
      </c>
      <c r="BS1467" s="2" t="s">
        <v>25565</v>
      </c>
      <c r="BT1467" s="2" t="str">
        <f aca="false">HYPERLINK("https%3A%2F%2Fwww.webofscience.com%2Fwos%2Fwoscc%2Ffull-record%2FWOS:000384125600001","View Full Record in Web of Science")</f>
        <v>View Full Record in Web of Science</v>
      </c>
    </row>
    <row r="1468" customFormat="false" ht="12.75" hidden="false" customHeight="false" outlineLevel="0" collapsed="false">
      <c r="A1468" s="2" t="s">
        <v>72</v>
      </c>
      <c r="B1468" s="2" t="s">
        <v>25566</v>
      </c>
      <c r="C1468" s="2"/>
      <c r="D1468" s="2"/>
      <c r="E1468" s="2"/>
      <c r="F1468" s="2" t="s">
        <v>25567</v>
      </c>
      <c r="G1468" s="2"/>
      <c r="H1468" s="2"/>
      <c r="I1468" s="2" t="s">
        <v>25568</v>
      </c>
      <c r="J1468" s="2" t="s">
        <v>25569</v>
      </c>
      <c r="K1468" s="2"/>
      <c r="L1468" s="2"/>
      <c r="M1468" s="2" t="s">
        <v>77</v>
      </c>
      <c r="N1468" s="2" t="s">
        <v>78</v>
      </c>
      <c r="O1468" s="2"/>
      <c r="P1468" s="2"/>
      <c r="Q1468" s="2"/>
      <c r="R1468" s="2"/>
      <c r="S1468" s="2"/>
      <c r="T1468" s="2" t="s">
        <v>25570</v>
      </c>
      <c r="U1468" s="2" t="s">
        <v>25571</v>
      </c>
      <c r="V1468" s="2" t="s">
        <v>25572</v>
      </c>
      <c r="W1468" s="2" t="s">
        <v>25573</v>
      </c>
      <c r="X1468" s="2" t="s">
        <v>25574</v>
      </c>
      <c r="Y1468" s="2" t="s">
        <v>25575</v>
      </c>
      <c r="Z1468" s="2" t="s">
        <v>25576</v>
      </c>
      <c r="AA1468" s="2"/>
      <c r="AB1468" s="2"/>
      <c r="AC1468" s="2"/>
      <c r="AD1468" s="2"/>
      <c r="AE1468" s="2"/>
      <c r="AF1468" s="2"/>
      <c r="AG1468" s="2" t="n">
        <v>29</v>
      </c>
      <c r="AH1468" s="2" t="n">
        <v>0</v>
      </c>
      <c r="AI1468" s="2" t="n">
        <v>0</v>
      </c>
      <c r="AJ1468" s="2" t="n">
        <v>0</v>
      </c>
      <c r="AK1468" s="2" t="n">
        <v>1</v>
      </c>
      <c r="AL1468" s="2" t="s">
        <v>9887</v>
      </c>
      <c r="AM1468" s="2" t="s">
        <v>9888</v>
      </c>
      <c r="AN1468" s="2" t="s">
        <v>23040</v>
      </c>
      <c r="AO1468" s="2" t="s">
        <v>25577</v>
      </c>
      <c r="AP1468" s="2" t="s">
        <v>25578</v>
      </c>
      <c r="AQ1468" s="2"/>
      <c r="AR1468" s="2" t="s">
        <v>25579</v>
      </c>
      <c r="AS1468" s="2" t="s">
        <v>25580</v>
      </c>
      <c r="AT1468" s="2"/>
      <c r="AU1468" s="2" t="n">
        <v>2024</v>
      </c>
      <c r="AV1468" s="2" t="n">
        <v>16</v>
      </c>
      <c r="AW1468" s="2" t="n">
        <v>1</v>
      </c>
      <c r="AX1468" s="2"/>
      <c r="AY1468" s="2"/>
      <c r="AZ1468" s="2"/>
      <c r="BA1468" s="2"/>
      <c r="BB1468" s="2" t="n">
        <v>27</v>
      </c>
      <c r="BC1468" s="2" t="n">
        <v>32</v>
      </c>
      <c r="BD1468" s="2"/>
      <c r="BE1468" s="2" t="s">
        <v>25581</v>
      </c>
      <c r="BF1468" s="2" t="str">
        <f aca="false">HYPERLINK("http://dx.doi.org/10.4103/jgid.jgid_155_23","http://dx.doi.org/10.4103/jgid.jgid_155_23")</f>
        <v>http://dx.doi.org/10.4103/jgid.jgid_155_23</v>
      </c>
      <c r="BG1468" s="2"/>
      <c r="BH1468" s="2"/>
      <c r="BI1468" s="2" t="n">
        <v>6</v>
      </c>
      <c r="BJ1468" s="2" t="s">
        <v>575</v>
      </c>
      <c r="BK1468" s="2" t="s">
        <v>339</v>
      </c>
      <c r="BL1468" s="2" t="s">
        <v>575</v>
      </c>
      <c r="BM1468" s="2" t="s">
        <v>25582</v>
      </c>
      <c r="BN1468" s="2" t="n">
        <v>38680753</v>
      </c>
      <c r="BO1468" s="2" t="s">
        <v>103</v>
      </c>
      <c r="BP1468" s="2"/>
      <c r="BQ1468" s="2"/>
      <c r="BR1468" s="2" t="s">
        <v>104</v>
      </c>
      <c r="BS1468" s="2" t="s">
        <v>25583</v>
      </c>
      <c r="BT1468" s="2" t="str">
        <f aca="false">HYPERLINK("https%3A%2F%2Fwww.webofscience.com%2Fwos%2Fwoscc%2Ffull-record%2FWOS:001187180100001","View Full Record in Web of Science")</f>
        <v>View Full Record in Web of Science</v>
      </c>
    </row>
    <row r="1469" customFormat="false" ht="12.75" hidden="false" customHeight="false" outlineLevel="0" collapsed="false">
      <c r="A1469" s="2" t="s">
        <v>72</v>
      </c>
      <c r="B1469" s="2" t="s">
        <v>25584</v>
      </c>
      <c r="C1469" s="2"/>
      <c r="D1469" s="2"/>
      <c r="E1469" s="2"/>
      <c r="F1469" s="2" t="s">
        <v>25585</v>
      </c>
      <c r="G1469" s="2"/>
      <c r="H1469" s="2"/>
      <c r="I1469" s="2" t="s">
        <v>25586</v>
      </c>
      <c r="J1469" s="2" t="s">
        <v>1692</v>
      </c>
      <c r="K1469" s="2"/>
      <c r="L1469" s="2"/>
      <c r="M1469" s="2" t="s">
        <v>77</v>
      </c>
      <c r="N1469" s="2" t="s">
        <v>78</v>
      </c>
      <c r="O1469" s="2"/>
      <c r="P1469" s="2"/>
      <c r="Q1469" s="2"/>
      <c r="R1469" s="2"/>
      <c r="S1469" s="2"/>
      <c r="T1469" s="2" t="s">
        <v>25587</v>
      </c>
      <c r="U1469" s="2" t="s">
        <v>25588</v>
      </c>
      <c r="V1469" s="2" t="s">
        <v>25589</v>
      </c>
      <c r="W1469" s="2" t="s">
        <v>25590</v>
      </c>
      <c r="X1469" s="2"/>
      <c r="Y1469" s="2" t="s">
        <v>25591</v>
      </c>
      <c r="Z1469" s="2" t="s">
        <v>25592</v>
      </c>
      <c r="AA1469" s="2" t="s">
        <v>25593</v>
      </c>
      <c r="AB1469" s="2"/>
      <c r="AC1469" s="2" t="s">
        <v>25594</v>
      </c>
      <c r="AD1469" s="2" t="s">
        <v>25595</v>
      </c>
      <c r="AE1469" s="2" t="s">
        <v>25596</v>
      </c>
      <c r="AF1469" s="2"/>
      <c r="AG1469" s="2" t="n">
        <v>37</v>
      </c>
      <c r="AH1469" s="2" t="n">
        <v>6</v>
      </c>
      <c r="AI1469" s="2" t="n">
        <v>6</v>
      </c>
      <c r="AJ1469" s="2" t="n">
        <v>5</v>
      </c>
      <c r="AK1469" s="2" t="n">
        <v>11</v>
      </c>
      <c r="AL1469" s="2" t="s">
        <v>1704</v>
      </c>
      <c r="AM1469" s="2" t="s">
        <v>1705</v>
      </c>
      <c r="AN1469" s="2" t="s">
        <v>1706</v>
      </c>
      <c r="AO1469" s="2"/>
      <c r="AP1469" s="2" t="s">
        <v>1707</v>
      </c>
      <c r="AQ1469" s="2"/>
      <c r="AR1469" s="2" t="s">
        <v>1692</v>
      </c>
      <c r="AS1469" s="2" t="s">
        <v>1708</v>
      </c>
      <c r="AT1469" s="2" t="s">
        <v>25597</v>
      </c>
      <c r="AU1469" s="2" t="n">
        <v>2023</v>
      </c>
      <c r="AV1469" s="2" t="n">
        <v>9</v>
      </c>
      <c r="AW1469" s="2" t="n">
        <v>11</v>
      </c>
      <c r="AX1469" s="2"/>
      <c r="AY1469" s="2"/>
      <c r="AZ1469" s="2"/>
      <c r="BA1469" s="2"/>
      <c r="BB1469" s="2"/>
      <c r="BC1469" s="2"/>
      <c r="BD1469" s="2" t="s">
        <v>25598</v>
      </c>
      <c r="BE1469" s="2" t="s">
        <v>25599</v>
      </c>
      <c r="BF1469" s="2" t="str">
        <f aca="false">HYPERLINK("http://dx.doi.org/10.1016/j.heliyon.2023.e22302","http://dx.doi.org/10.1016/j.heliyon.2023.e22302")</f>
        <v>http://dx.doi.org/10.1016/j.heliyon.2023.e22302</v>
      </c>
      <c r="BG1469" s="2"/>
      <c r="BH1469" s="2" t="s">
        <v>8694</v>
      </c>
      <c r="BI1469" s="2" t="n">
        <v>10</v>
      </c>
      <c r="BJ1469" s="2" t="s">
        <v>1658</v>
      </c>
      <c r="BK1469" s="2" t="s">
        <v>100</v>
      </c>
      <c r="BL1469" s="2" t="s">
        <v>1659</v>
      </c>
      <c r="BM1469" s="2" t="s">
        <v>25600</v>
      </c>
      <c r="BN1469" s="2" t="n">
        <v>38053876</v>
      </c>
      <c r="BO1469" s="2" t="s">
        <v>103</v>
      </c>
      <c r="BP1469" s="2"/>
      <c r="BQ1469" s="2"/>
      <c r="BR1469" s="2" t="s">
        <v>104</v>
      </c>
      <c r="BS1469" s="2" t="s">
        <v>25601</v>
      </c>
      <c r="BT1469" s="2" t="str">
        <f aca="false">HYPERLINK("https%3A%2F%2Fwww.webofscience.com%2Fwos%2Fwoscc%2Ffull-record%2FWOS:001121580700001","View Full Record in Web of Science")</f>
        <v>View Full Record in Web of Science</v>
      </c>
    </row>
    <row r="1470" customFormat="false" ht="12.75" hidden="false" customHeight="false" outlineLevel="0" collapsed="false">
      <c r="A1470" s="2" t="s">
        <v>72</v>
      </c>
      <c r="B1470" s="2" t="s">
        <v>25602</v>
      </c>
      <c r="C1470" s="2"/>
      <c r="D1470" s="2"/>
      <c r="E1470" s="2"/>
      <c r="F1470" s="2" t="s">
        <v>25603</v>
      </c>
      <c r="G1470" s="2"/>
      <c r="H1470" s="2"/>
      <c r="I1470" s="2" t="s">
        <v>25604</v>
      </c>
      <c r="J1470" s="2" t="s">
        <v>109</v>
      </c>
      <c r="K1470" s="2"/>
      <c r="L1470" s="2"/>
      <c r="M1470" s="2" t="s">
        <v>77</v>
      </c>
      <c r="N1470" s="2" t="s">
        <v>78</v>
      </c>
      <c r="O1470" s="2"/>
      <c r="P1470" s="2"/>
      <c r="Q1470" s="2"/>
      <c r="R1470" s="2"/>
      <c r="S1470" s="2"/>
      <c r="T1470" s="2" t="s">
        <v>25605</v>
      </c>
      <c r="U1470" s="2" t="s">
        <v>25606</v>
      </c>
      <c r="V1470" s="2" t="s">
        <v>25607</v>
      </c>
      <c r="W1470" s="2" t="s">
        <v>25608</v>
      </c>
      <c r="X1470" s="2" t="s">
        <v>2351</v>
      </c>
      <c r="Y1470" s="2" t="s">
        <v>22731</v>
      </c>
      <c r="Z1470" s="2" t="s">
        <v>16590</v>
      </c>
      <c r="AA1470" s="2" t="s">
        <v>25609</v>
      </c>
      <c r="AB1470" s="2" t="s">
        <v>25610</v>
      </c>
      <c r="AC1470" s="2"/>
      <c r="AD1470" s="2"/>
      <c r="AE1470" s="2"/>
      <c r="AF1470" s="2"/>
      <c r="AG1470" s="2" t="n">
        <v>21</v>
      </c>
      <c r="AH1470" s="2" t="n">
        <v>33</v>
      </c>
      <c r="AI1470" s="2" t="n">
        <v>40</v>
      </c>
      <c r="AJ1470" s="2" t="n">
        <v>0</v>
      </c>
      <c r="AK1470" s="2" t="n">
        <v>10</v>
      </c>
      <c r="AL1470" s="2" t="s">
        <v>122</v>
      </c>
      <c r="AM1470" s="2" t="s">
        <v>123</v>
      </c>
      <c r="AN1470" s="2" t="s">
        <v>124</v>
      </c>
      <c r="AO1470" s="2" t="s">
        <v>125</v>
      </c>
      <c r="AP1470" s="2" t="s">
        <v>126</v>
      </c>
      <c r="AQ1470" s="2"/>
      <c r="AR1470" s="2" t="s">
        <v>127</v>
      </c>
      <c r="AS1470" s="2" t="s">
        <v>128</v>
      </c>
      <c r="AT1470" s="2" t="s">
        <v>1041</v>
      </c>
      <c r="AU1470" s="2" t="n">
        <v>2017</v>
      </c>
      <c r="AV1470" s="2" t="n">
        <v>36</v>
      </c>
      <c r="AW1470" s="2" t="n">
        <v>2</v>
      </c>
      <c r="AX1470" s="2"/>
      <c r="AY1470" s="2"/>
      <c r="AZ1470" s="2"/>
      <c r="BA1470" s="2"/>
      <c r="BB1470" s="2" t="n">
        <v>179</v>
      </c>
      <c r="BC1470" s="2" t="n">
        <v>183</v>
      </c>
      <c r="BD1470" s="2"/>
      <c r="BE1470" s="2" t="s">
        <v>25611</v>
      </c>
      <c r="BF1470" s="2" t="str">
        <f aca="false">HYPERLINK("http://dx.doi.org/10.1097/INF.0000000000001385","http://dx.doi.org/10.1097/INF.0000000000001385")</f>
        <v>http://dx.doi.org/10.1097/INF.0000000000001385</v>
      </c>
      <c r="BG1470" s="2"/>
      <c r="BH1470" s="2"/>
      <c r="BI1470" s="2" t="n">
        <v>5</v>
      </c>
      <c r="BJ1470" s="2" t="s">
        <v>134</v>
      </c>
      <c r="BK1470" s="2" t="s">
        <v>100</v>
      </c>
      <c r="BL1470" s="2" t="s">
        <v>134</v>
      </c>
      <c r="BM1470" s="2" t="s">
        <v>25612</v>
      </c>
      <c r="BN1470" s="2" t="n">
        <v>27798551</v>
      </c>
      <c r="BO1470" s="2" t="s">
        <v>165</v>
      </c>
      <c r="BP1470" s="2"/>
      <c r="BQ1470" s="2"/>
      <c r="BR1470" s="2" t="s">
        <v>104</v>
      </c>
      <c r="BS1470" s="2" t="s">
        <v>25613</v>
      </c>
      <c r="BT1470" s="2" t="str">
        <f aca="false">HYPERLINK("https%3A%2F%2Fwww.webofscience.com%2Fwos%2Fwoscc%2Ffull-record%2FWOS:000394352500013","View Full Record in Web of Science")</f>
        <v>View Full Record in Web of Science</v>
      </c>
    </row>
    <row r="1471" customFormat="false" ht="12.75" hidden="false" customHeight="false" outlineLevel="0" collapsed="false">
      <c r="A1471" s="2" t="s">
        <v>72</v>
      </c>
      <c r="B1471" s="2" t="s">
        <v>25614</v>
      </c>
      <c r="C1471" s="2"/>
      <c r="D1471" s="2"/>
      <c r="E1471" s="2"/>
      <c r="F1471" s="2" t="s">
        <v>25615</v>
      </c>
      <c r="G1471" s="2"/>
      <c r="H1471" s="2"/>
      <c r="I1471" s="2" t="s">
        <v>25616</v>
      </c>
      <c r="J1471" s="2" t="s">
        <v>1448</v>
      </c>
      <c r="K1471" s="2"/>
      <c r="L1471" s="2"/>
      <c r="M1471" s="2" t="s">
        <v>77</v>
      </c>
      <c r="N1471" s="2" t="s">
        <v>78</v>
      </c>
      <c r="O1471" s="2"/>
      <c r="P1471" s="2"/>
      <c r="Q1471" s="2"/>
      <c r="R1471" s="2"/>
      <c r="S1471" s="2"/>
      <c r="T1471" s="2" t="s">
        <v>25617</v>
      </c>
      <c r="U1471" s="2" t="s">
        <v>25618</v>
      </c>
      <c r="V1471" s="2" t="s">
        <v>25619</v>
      </c>
      <c r="W1471" s="2" t="s">
        <v>25620</v>
      </c>
      <c r="X1471" s="2" t="s">
        <v>25621</v>
      </c>
      <c r="Y1471" s="2" t="s">
        <v>25622</v>
      </c>
      <c r="Z1471" s="2" t="s">
        <v>25623</v>
      </c>
      <c r="AA1471" s="2" t="s">
        <v>25624</v>
      </c>
      <c r="AB1471" s="2" t="s">
        <v>25625</v>
      </c>
      <c r="AC1471" s="2" t="s">
        <v>25626</v>
      </c>
      <c r="AD1471" s="2" t="s">
        <v>25627</v>
      </c>
      <c r="AE1471" s="2" t="s">
        <v>25628</v>
      </c>
      <c r="AF1471" s="2"/>
      <c r="AG1471" s="2" t="n">
        <v>53</v>
      </c>
      <c r="AH1471" s="2" t="n">
        <v>37</v>
      </c>
      <c r="AI1471" s="2" t="n">
        <v>39</v>
      </c>
      <c r="AJ1471" s="2" t="n">
        <v>0</v>
      </c>
      <c r="AK1471" s="2" t="n">
        <v>8</v>
      </c>
      <c r="AL1471" s="2" t="s">
        <v>1460</v>
      </c>
      <c r="AM1471" s="2" t="s">
        <v>593</v>
      </c>
      <c r="AN1471" s="2" t="s">
        <v>2088</v>
      </c>
      <c r="AO1471" s="2" t="s">
        <v>1462</v>
      </c>
      <c r="AP1471" s="2" t="s">
        <v>1463</v>
      </c>
      <c r="AQ1471" s="2"/>
      <c r="AR1471" s="2" t="s">
        <v>1464</v>
      </c>
      <c r="AS1471" s="2" t="s">
        <v>1465</v>
      </c>
      <c r="AT1471" s="2" t="s">
        <v>599</v>
      </c>
      <c r="AU1471" s="2" t="n">
        <v>2019</v>
      </c>
      <c r="AV1471" s="2" t="n">
        <v>94</v>
      </c>
      <c r="AW1471" s="2" t="n">
        <v>3</v>
      </c>
      <c r="AX1471" s="2"/>
      <c r="AY1471" s="2"/>
      <c r="AZ1471" s="2"/>
      <c r="BA1471" s="2"/>
      <c r="BB1471" s="2" t="n">
        <v>260</v>
      </c>
      <c r="BC1471" s="2" t="n">
        <v>267</v>
      </c>
      <c r="BD1471" s="2"/>
      <c r="BE1471" s="2" t="s">
        <v>25629</v>
      </c>
      <c r="BF1471" s="2" t="str">
        <f aca="false">HYPERLINK("http://dx.doi.org/10.1016/j.diagmicrobio.2019.01.008","http://dx.doi.org/10.1016/j.diagmicrobio.2019.01.008")</f>
        <v>http://dx.doi.org/10.1016/j.diagmicrobio.2019.01.008</v>
      </c>
      <c r="BG1471" s="2"/>
      <c r="BH1471" s="2"/>
      <c r="BI1471" s="2" t="n">
        <v>8</v>
      </c>
      <c r="BJ1471" s="2" t="s">
        <v>1467</v>
      </c>
      <c r="BK1471" s="2" t="s">
        <v>100</v>
      </c>
      <c r="BL1471" s="2" t="s">
        <v>1467</v>
      </c>
      <c r="BM1471" s="2" t="s">
        <v>25630</v>
      </c>
      <c r="BN1471" s="2" t="n">
        <v>30745224</v>
      </c>
      <c r="BO1471" s="2" t="s">
        <v>165</v>
      </c>
      <c r="BP1471" s="2"/>
      <c r="BQ1471" s="2"/>
      <c r="BR1471" s="2" t="s">
        <v>104</v>
      </c>
      <c r="BS1471" s="2" t="s">
        <v>25631</v>
      </c>
      <c r="BT1471" s="2" t="str">
        <f aca="false">HYPERLINK("https%3A%2F%2Fwww.webofscience.com%2Fwos%2Fwoscc%2Ffull-record%2FWOS:000475546200010","View Full Record in Web of Science")</f>
        <v>View Full Record in Web of Science</v>
      </c>
    </row>
    <row r="1472" customFormat="false" ht="12.75" hidden="false" customHeight="false" outlineLevel="0" collapsed="false">
      <c r="A1472" s="2" t="s">
        <v>72</v>
      </c>
      <c r="B1472" s="2" t="s">
        <v>25632</v>
      </c>
      <c r="C1472" s="2"/>
      <c r="D1472" s="2"/>
      <c r="E1472" s="2"/>
      <c r="F1472" s="2" t="s">
        <v>25633</v>
      </c>
      <c r="G1472" s="2"/>
      <c r="H1472" s="2"/>
      <c r="I1472" s="2" t="s">
        <v>25634</v>
      </c>
      <c r="J1472" s="2" t="s">
        <v>2021</v>
      </c>
      <c r="K1472" s="2"/>
      <c r="L1472" s="2"/>
      <c r="M1472" s="2" t="s">
        <v>77</v>
      </c>
      <c r="N1472" s="2" t="s">
        <v>78</v>
      </c>
      <c r="O1472" s="2"/>
      <c r="P1472" s="2"/>
      <c r="Q1472" s="2"/>
      <c r="R1472" s="2"/>
      <c r="S1472" s="2"/>
      <c r="T1472" s="2" t="s">
        <v>25635</v>
      </c>
      <c r="U1472" s="2" t="s">
        <v>25636</v>
      </c>
      <c r="V1472" s="2" t="s">
        <v>25637</v>
      </c>
      <c r="W1472" s="2" t="s">
        <v>25638</v>
      </c>
      <c r="X1472" s="2" t="s">
        <v>25639</v>
      </c>
      <c r="Y1472" s="2" t="s">
        <v>25640</v>
      </c>
      <c r="Z1472" s="2" t="s">
        <v>25641</v>
      </c>
      <c r="AA1472" s="2" t="s">
        <v>25642</v>
      </c>
      <c r="AB1472" s="2" t="s">
        <v>25643</v>
      </c>
      <c r="AC1472" s="2" t="s">
        <v>25644</v>
      </c>
      <c r="AD1472" s="2" t="s">
        <v>25645</v>
      </c>
      <c r="AE1472" s="2" t="s">
        <v>25646</v>
      </c>
      <c r="AF1472" s="2"/>
      <c r="AG1472" s="2" t="n">
        <v>46</v>
      </c>
      <c r="AH1472" s="2" t="n">
        <v>10</v>
      </c>
      <c r="AI1472" s="2" t="n">
        <v>11</v>
      </c>
      <c r="AJ1472" s="2" t="n">
        <v>4</v>
      </c>
      <c r="AK1472" s="2" t="n">
        <v>34</v>
      </c>
      <c r="AL1472" s="2" t="s">
        <v>527</v>
      </c>
      <c r="AM1472" s="2" t="s">
        <v>528</v>
      </c>
      <c r="AN1472" s="2" t="s">
        <v>529</v>
      </c>
      <c r="AO1472" s="2" t="s">
        <v>2033</v>
      </c>
      <c r="AP1472" s="2" t="s">
        <v>2034</v>
      </c>
      <c r="AQ1472" s="2"/>
      <c r="AR1472" s="2" t="s">
        <v>2035</v>
      </c>
      <c r="AS1472" s="2" t="s">
        <v>2036</v>
      </c>
      <c r="AT1472" s="2" t="s">
        <v>4483</v>
      </c>
      <c r="AU1472" s="2" t="n">
        <v>2021</v>
      </c>
      <c r="AV1472" s="2" t="n">
        <v>73</v>
      </c>
      <c r="AW1472" s="2" t="n">
        <v>2</v>
      </c>
      <c r="AX1472" s="2"/>
      <c r="AY1472" s="2"/>
      <c r="AZ1472" s="2"/>
      <c r="BA1472" s="2"/>
      <c r="BB1472" s="2" t="s">
        <v>25647</v>
      </c>
      <c r="BC1472" s="2" t="s">
        <v>25648</v>
      </c>
      <c r="BD1472" s="2"/>
      <c r="BE1472" s="2" t="s">
        <v>25649</v>
      </c>
      <c r="BF1472" s="2" t="str">
        <f aca="false">HYPERLINK("http://dx.doi.org/10.1093/cid/ciaa997","http://dx.doi.org/10.1093/cid/ciaa997")</f>
        <v>http://dx.doi.org/10.1093/cid/ciaa997</v>
      </c>
      <c r="BG1472" s="2"/>
      <c r="BH1472" s="2"/>
      <c r="BI1472" s="2" t="n">
        <v>10</v>
      </c>
      <c r="BJ1472" s="2" t="s">
        <v>536</v>
      </c>
      <c r="BK1472" s="2" t="s">
        <v>100</v>
      </c>
      <c r="BL1472" s="2" t="s">
        <v>536</v>
      </c>
      <c r="BM1472" s="2" t="s">
        <v>25650</v>
      </c>
      <c r="BN1472" s="2" t="n">
        <v>32668459</v>
      </c>
      <c r="BO1472" s="2"/>
      <c r="BP1472" s="2"/>
      <c r="BQ1472" s="2"/>
      <c r="BR1472" s="2" t="s">
        <v>104</v>
      </c>
      <c r="BS1472" s="2" t="s">
        <v>25651</v>
      </c>
      <c r="BT1472" s="2" t="str">
        <f aca="false">HYPERLINK("https%3A%2F%2Fwww.webofscience.com%2Fwos%2Fwoscc%2Ffull-record%2FWOS:000697378800037","View Full Record in Web of Science")</f>
        <v>View Full Record in Web of Science</v>
      </c>
    </row>
    <row r="1473" customFormat="false" ht="12.75" hidden="false" customHeight="false" outlineLevel="0" collapsed="false">
      <c r="A1473" s="2" t="s">
        <v>72</v>
      </c>
      <c r="B1473" s="2" t="s">
        <v>25652</v>
      </c>
      <c r="C1473" s="2"/>
      <c r="D1473" s="2"/>
      <c r="E1473" s="2"/>
      <c r="F1473" s="2" t="s">
        <v>25653</v>
      </c>
      <c r="G1473" s="2"/>
      <c r="H1473" s="2"/>
      <c r="I1473" s="2" t="s">
        <v>25654</v>
      </c>
      <c r="J1473" s="2" t="s">
        <v>12384</v>
      </c>
      <c r="K1473" s="2"/>
      <c r="L1473" s="2"/>
      <c r="M1473" s="2" t="s">
        <v>77</v>
      </c>
      <c r="N1473" s="2" t="s">
        <v>78</v>
      </c>
      <c r="O1473" s="2"/>
      <c r="P1473" s="2"/>
      <c r="Q1473" s="2"/>
      <c r="R1473" s="2"/>
      <c r="S1473" s="2"/>
      <c r="T1473" s="2" t="s">
        <v>25655</v>
      </c>
      <c r="U1473" s="2" t="s">
        <v>25656</v>
      </c>
      <c r="V1473" s="2" t="s">
        <v>25657</v>
      </c>
      <c r="W1473" s="2" t="s">
        <v>25658</v>
      </c>
      <c r="X1473" s="2" t="s">
        <v>25659</v>
      </c>
      <c r="Y1473" s="2" t="s">
        <v>25660</v>
      </c>
      <c r="Z1473" s="2" t="s">
        <v>25661</v>
      </c>
      <c r="AA1473" s="2" t="s">
        <v>25662</v>
      </c>
      <c r="AB1473" s="2"/>
      <c r="AC1473" s="2" t="s">
        <v>25663</v>
      </c>
      <c r="AD1473" s="2" t="s">
        <v>15296</v>
      </c>
      <c r="AE1473" s="2" t="s">
        <v>25664</v>
      </c>
      <c r="AF1473" s="2"/>
      <c r="AG1473" s="2" t="n">
        <v>39</v>
      </c>
      <c r="AH1473" s="2" t="n">
        <v>10</v>
      </c>
      <c r="AI1473" s="2" t="n">
        <v>13</v>
      </c>
      <c r="AJ1473" s="2" t="n">
        <v>4</v>
      </c>
      <c r="AK1473" s="2" t="n">
        <v>10</v>
      </c>
      <c r="AL1473" s="2" t="s">
        <v>383</v>
      </c>
      <c r="AM1473" s="2" t="s">
        <v>384</v>
      </c>
      <c r="AN1473" s="2" t="s">
        <v>385</v>
      </c>
      <c r="AO1473" s="2" t="s">
        <v>12396</v>
      </c>
      <c r="AP1473" s="2" t="s">
        <v>12397</v>
      </c>
      <c r="AQ1473" s="2"/>
      <c r="AR1473" s="2" t="s">
        <v>12398</v>
      </c>
      <c r="AS1473" s="2" t="s">
        <v>12399</v>
      </c>
      <c r="AT1473" s="2" t="s">
        <v>446</v>
      </c>
      <c r="AU1473" s="2" t="n">
        <v>2022</v>
      </c>
      <c r="AV1473" s="2" t="n">
        <v>106</v>
      </c>
      <c r="AW1473" s="2"/>
      <c r="AX1473" s="2"/>
      <c r="AY1473" s="2"/>
      <c r="AZ1473" s="2"/>
      <c r="BA1473" s="2"/>
      <c r="BB1473" s="2"/>
      <c r="BC1473" s="2"/>
      <c r="BD1473" s="2" t="n">
        <v>105386</v>
      </c>
      <c r="BE1473" s="2" t="s">
        <v>25665</v>
      </c>
      <c r="BF1473" s="2" t="str">
        <f aca="false">HYPERLINK("http://dx.doi.org/10.1016/j.meegid.2022.105386","http://dx.doi.org/10.1016/j.meegid.2022.105386")</f>
        <v>http://dx.doi.org/10.1016/j.meegid.2022.105386</v>
      </c>
      <c r="BG1473" s="2"/>
      <c r="BH1473" s="2" t="s">
        <v>15025</v>
      </c>
      <c r="BI1473" s="2" t="n">
        <v>7</v>
      </c>
      <c r="BJ1473" s="2" t="s">
        <v>575</v>
      </c>
      <c r="BK1473" s="2" t="s">
        <v>100</v>
      </c>
      <c r="BL1473" s="2" t="s">
        <v>575</v>
      </c>
      <c r="BM1473" s="2" t="s">
        <v>25666</v>
      </c>
      <c r="BN1473" s="2" t="n">
        <v>36372116</v>
      </c>
      <c r="BO1473" s="2" t="s">
        <v>3652</v>
      </c>
      <c r="BP1473" s="2"/>
      <c r="BQ1473" s="2"/>
      <c r="BR1473" s="2" t="s">
        <v>104</v>
      </c>
      <c r="BS1473" s="2" t="s">
        <v>25667</v>
      </c>
      <c r="BT1473" s="2" t="str">
        <f aca="false">HYPERLINK("https%3A%2F%2Fwww.webofscience.com%2Fwos%2Fwoscc%2Ffull-record%2FWOS:000967844800004","View Full Record in Web of Science")</f>
        <v>View Full Record in Web of Science</v>
      </c>
    </row>
    <row r="1474" customFormat="false" ht="12.75" hidden="false" customHeight="false" outlineLevel="0" collapsed="false">
      <c r="A1474" s="2" t="s">
        <v>72</v>
      </c>
      <c r="B1474" s="2" t="s">
        <v>25668</v>
      </c>
      <c r="C1474" s="2"/>
      <c r="D1474" s="2"/>
      <c r="E1474" s="2"/>
      <c r="F1474" s="2" t="s">
        <v>25669</v>
      </c>
      <c r="G1474" s="2"/>
      <c r="H1474" s="2"/>
      <c r="I1474" s="2" t="s">
        <v>25670</v>
      </c>
      <c r="J1474" s="2" t="s">
        <v>11019</v>
      </c>
      <c r="K1474" s="2"/>
      <c r="L1474" s="2"/>
      <c r="M1474" s="2" t="s">
        <v>77</v>
      </c>
      <c r="N1474" s="2" t="s">
        <v>78</v>
      </c>
      <c r="O1474" s="2"/>
      <c r="P1474" s="2"/>
      <c r="Q1474" s="2"/>
      <c r="R1474" s="2"/>
      <c r="S1474" s="2"/>
      <c r="T1474" s="2" t="s">
        <v>25671</v>
      </c>
      <c r="U1474" s="2" t="s">
        <v>25672</v>
      </c>
      <c r="V1474" s="2" t="s">
        <v>25673</v>
      </c>
      <c r="W1474" s="2" t="s">
        <v>25674</v>
      </c>
      <c r="X1474" s="2" t="s">
        <v>25675</v>
      </c>
      <c r="Y1474" s="2" t="s">
        <v>25676</v>
      </c>
      <c r="Z1474" s="2" t="s">
        <v>20776</v>
      </c>
      <c r="AA1474" s="2" t="s">
        <v>25677</v>
      </c>
      <c r="AB1474" s="2" t="s">
        <v>25678</v>
      </c>
      <c r="AC1474" s="2" t="s">
        <v>25679</v>
      </c>
      <c r="AD1474" s="2" t="s">
        <v>7825</v>
      </c>
      <c r="AE1474" s="2" t="s">
        <v>25680</v>
      </c>
      <c r="AF1474" s="2"/>
      <c r="AG1474" s="2" t="n">
        <v>42</v>
      </c>
      <c r="AH1474" s="2" t="n">
        <v>15</v>
      </c>
      <c r="AI1474" s="2" t="n">
        <v>17</v>
      </c>
      <c r="AJ1474" s="2" t="n">
        <v>0</v>
      </c>
      <c r="AK1474" s="2" t="n">
        <v>7</v>
      </c>
      <c r="AL1474" s="2" t="s">
        <v>154</v>
      </c>
      <c r="AM1474" s="2" t="s">
        <v>155</v>
      </c>
      <c r="AN1474" s="2" t="s">
        <v>156</v>
      </c>
      <c r="AO1474" s="2" t="s">
        <v>11028</v>
      </c>
      <c r="AP1474" s="2" t="s">
        <v>11029</v>
      </c>
      <c r="AQ1474" s="2"/>
      <c r="AR1474" s="2" t="s">
        <v>11030</v>
      </c>
      <c r="AS1474" s="2" t="s">
        <v>11031</v>
      </c>
      <c r="AT1474" s="2" t="s">
        <v>804</v>
      </c>
      <c r="AU1474" s="2" t="n">
        <v>2011</v>
      </c>
      <c r="AV1474" s="2" t="n">
        <v>5</v>
      </c>
      <c r="AW1474" s="2" t="n">
        <v>6</v>
      </c>
      <c r="AX1474" s="2"/>
      <c r="AY1474" s="2"/>
      <c r="AZ1474" s="2"/>
      <c r="BA1474" s="2"/>
      <c r="BB1474" s="2" t="s">
        <v>25681</v>
      </c>
      <c r="BC1474" s="2" t="s">
        <v>25682</v>
      </c>
      <c r="BD1474" s="2"/>
      <c r="BE1474" s="2" t="s">
        <v>25683</v>
      </c>
      <c r="BF1474" s="2" t="str">
        <f aca="false">HYPERLINK("http://dx.doi.org/10.1111/j.1750-2659.2011.00264.x","http://dx.doi.org/10.1111/j.1750-2659.2011.00264.x")</f>
        <v>http://dx.doi.org/10.1111/j.1750-2659.2011.00264.x</v>
      </c>
      <c r="BG1474" s="2"/>
      <c r="BH1474" s="2"/>
      <c r="BI1474" s="2" t="n">
        <v>7</v>
      </c>
      <c r="BJ1474" s="2" t="s">
        <v>8287</v>
      </c>
      <c r="BK1474" s="2" t="s">
        <v>100</v>
      </c>
      <c r="BL1474" s="2" t="s">
        <v>8287</v>
      </c>
      <c r="BM1474" s="2" t="s">
        <v>25684</v>
      </c>
      <c r="BN1474" s="2" t="n">
        <v>21668662</v>
      </c>
      <c r="BO1474" s="2" t="s">
        <v>136</v>
      </c>
      <c r="BP1474" s="2"/>
      <c r="BQ1474" s="2"/>
      <c r="BR1474" s="2" t="s">
        <v>104</v>
      </c>
      <c r="BS1474" s="2" t="s">
        <v>25685</v>
      </c>
      <c r="BT1474" s="2" t="str">
        <f aca="false">HYPERLINK("https%3A%2F%2Fwww.webofscience.com%2Fwos%2Fwoscc%2Ffull-record%2FWOS:000296080300020","View Full Record in Web of Science")</f>
        <v>View Full Record in Web of Science</v>
      </c>
    </row>
    <row r="1475" customFormat="false" ht="12.75" hidden="false" customHeight="false" outlineLevel="0" collapsed="false">
      <c r="A1475" s="2" t="s">
        <v>72</v>
      </c>
      <c r="B1475" s="2" t="s">
        <v>25686</v>
      </c>
      <c r="C1475" s="2"/>
      <c r="D1475" s="2"/>
      <c r="E1475" s="2"/>
      <c r="F1475" s="2" t="s">
        <v>25686</v>
      </c>
      <c r="G1475" s="2"/>
      <c r="H1475" s="2"/>
      <c r="I1475" s="2" t="s">
        <v>25687</v>
      </c>
      <c r="J1475" s="2" t="s">
        <v>109</v>
      </c>
      <c r="K1475" s="2"/>
      <c r="L1475" s="2"/>
      <c r="M1475" s="2" t="s">
        <v>77</v>
      </c>
      <c r="N1475" s="2" t="s">
        <v>78</v>
      </c>
      <c r="O1475" s="2"/>
      <c r="P1475" s="2"/>
      <c r="Q1475" s="2"/>
      <c r="R1475" s="2"/>
      <c r="S1475" s="2"/>
      <c r="T1475" s="2" t="s">
        <v>25688</v>
      </c>
      <c r="U1475" s="2" t="s">
        <v>25689</v>
      </c>
      <c r="V1475" s="2" t="s">
        <v>25690</v>
      </c>
      <c r="W1475" s="2" t="s">
        <v>25691</v>
      </c>
      <c r="X1475" s="2" t="s">
        <v>25692</v>
      </c>
      <c r="Y1475" s="2" t="s">
        <v>25693</v>
      </c>
      <c r="Z1475" s="2"/>
      <c r="AA1475" s="2" t="s">
        <v>117</v>
      </c>
      <c r="AB1475" s="2"/>
      <c r="AC1475" s="2"/>
      <c r="AD1475" s="2"/>
      <c r="AE1475" s="2"/>
      <c r="AF1475" s="2"/>
      <c r="AG1475" s="2" t="n">
        <v>32</v>
      </c>
      <c r="AH1475" s="2" t="n">
        <v>117</v>
      </c>
      <c r="AI1475" s="2" t="n">
        <v>132</v>
      </c>
      <c r="AJ1475" s="2" t="n">
        <v>0</v>
      </c>
      <c r="AK1475" s="2" t="n">
        <v>3</v>
      </c>
      <c r="AL1475" s="2" t="s">
        <v>122</v>
      </c>
      <c r="AM1475" s="2" t="s">
        <v>123</v>
      </c>
      <c r="AN1475" s="2" t="s">
        <v>839</v>
      </c>
      <c r="AO1475" s="2" t="s">
        <v>125</v>
      </c>
      <c r="AP1475" s="2"/>
      <c r="AQ1475" s="2"/>
      <c r="AR1475" s="2" t="s">
        <v>127</v>
      </c>
      <c r="AS1475" s="2" t="s">
        <v>128</v>
      </c>
      <c r="AT1475" s="2" t="s">
        <v>804</v>
      </c>
      <c r="AU1475" s="2" t="n">
        <v>2004</v>
      </c>
      <c r="AV1475" s="2" t="n">
        <v>23</v>
      </c>
      <c r="AW1475" s="2" t="n">
        <v>11</v>
      </c>
      <c r="AX1475" s="2"/>
      <c r="AY1475" s="2"/>
      <c r="AZ1475" s="2"/>
      <c r="BA1475" s="2"/>
      <c r="BB1475" s="2" t="n">
        <v>1003</v>
      </c>
      <c r="BC1475" s="2" t="n">
        <v>1007</v>
      </c>
      <c r="BD1475" s="2"/>
      <c r="BE1475" s="2" t="s">
        <v>25694</v>
      </c>
      <c r="BF1475" s="2" t="str">
        <f aca="false">HYPERLINK("http://dx.doi.org/10.1097/01.inf.0000143648.04673.6c","http://dx.doi.org/10.1097/01.inf.0000143648.04673.6c")</f>
        <v>http://dx.doi.org/10.1097/01.inf.0000143648.04673.6c</v>
      </c>
      <c r="BG1475" s="2"/>
      <c r="BH1475" s="2"/>
      <c r="BI1475" s="2" t="n">
        <v>5</v>
      </c>
      <c r="BJ1475" s="2" t="s">
        <v>134</v>
      </c>
      <c r="BK1475" s="2" t="s">
        <v>100</v>
      </c>
      <c r="BL1475" s="2" t="s">
        <v>134</v>
      </c>
      <c r="BM1475" s="2" t="s">
        <v>25695</v>
      </c>
      <c r="BN1475" s="2" t="n">
        <v>15545854</v>
      </c>
      <c r="BO1475" s="2"/>
      <c r="BP1475" s="2"/>
      <c r="BQ1475" s="2"/>
      <c r="BR1475" s="2" t="s">
        <v>104</v>
      </c>
      <c r="BS1475" s="2" t="s">
        <v>25696</v>
      </c>
      <c r="BT1475" s="2" t="str">
        <f aca="false">HYPERLINK("https%3A%2F%2Fwww.webofscience.com%2Fwos%2Fwoscc%2Ffull-record%2FWOS:000225197400005","View Full Record in Web of Science")</f>
        <v>View Full Record in Web of Science</v>
      </c>
    </row>
    <row r="1476" customFormat="false" ht="12.75" hidden="false" customHeight="false" outlineLevel="0" collapsed="false">
      <c r="A1476" s="2" t="s">
        <v>72</v>
      </c>
      <c r="B1476" s="2" t="s">
        <v>25697</v>
      </c>
      <c r="C1476" s="2"/>
      <c r="D1476" s="2"/>
      <c r="E1476" s="2"/>
      <c r="F1476" s="2" t="s">
        <v>25698</v>
      </c>
      <c r="G1476" s="2"/>
      <c r="H1476" s="2"/>
      <c r="I1476" s="2" t="s">
        <v>25699</v>
      </c>
      <c r="J1476" s="2" t="s">
        <v>141</v>
      </c>
      <c r="K1476" s="2"/>
      <c r="L1476" s="2"/>
      <c r="M1476" s="2" t="s">
        <v>77</v>
      </c>
      <c r="N1476" s="2" t="s">
        <v>78</v>
      </c>
      <c r="O1476" s="2"/>
      <c r="P1476" s="2"/>
      <c r="Q1476" s="2"/>
      <c r="R1476" s="2"/>
      <c r="S1476" s="2"/>
      <c r="T1476" s="2" t="s">
        <v>25700</v>
      </c>
      <c r="U1476" s="2" t="s">
        <v>25701</v>
      </c>
      <c r="V1476" s="2" t="s">
        <v>25702</v>
      </c>
      <c r="W1476" s="2" t="s">
        <v>25703</v>
      </c>
      <c r="X1476" s="2" t="s">
        <v>21270</v>
      </c>
      <c r="Y1476" s="2" t="s">
        <v>25704</v>
      </c>
      <c r="Z1476" s="2" t="s">
        <v>25705</v>
      </c>
      <c r="AA1476" s="2" t="s">
        <v>25706</v>
      </c>
      <c r="AB1476" s="2"/>
      <c r="AC1476" s="2"/>
      <c r="AD1476" s="2"/>
      <c r="AE1476" s="2"/>
      <c r="AF1476" s="2"/>
      <c r="AG1476" s="2" t="n">
        <v>43</v>
      </c>
      <c r="AH1476" s="2" t="n">
        <v>4</v>
      </c>
      <c r="AI1476" s="2" t="n">
        <v>4</v>
      </c>
      <c r="AJ1476" s="2" t="n">
        <v>0</v>
      </c>
      <c r="AK1476" s="2" t="n">
        <v>12</v>
      </c>
      <c r="AL1476" s="2" t="s">
        <v>154</v>
      </c>
      <c r="AM1476" s="2" t="s">
        <v>155</v>
      </c>
      <c r="AN1476" s="2" t="s">
        <v>156</v>
      </c>
      <c r="AO1476" s="2" t="s">
        <v>157</v>
      </c>
      <c r="AP1476" s="2" t="s">
        <v>158</v>
      </c>
      <c r="AQ1476" s="2"/>
      <c r="AR1476" s="2" t="s">
        <v>159</v>
      </c>
      <c r="AS1476" s="2" t="s">
        <v>160</v>
      </c>
      <c r="AT1476" s="2" t="s">
        <v>804</v>
      </c>
      <c r="AU1476" s="2" t="n">
        <v>2022</v>
      </c>
      <c r="AV1476" s="2" t="n">
        <v>94</v>
      </c>
      <c r="AW1476" s="2" t="n">
        <v>11</v>
      </c>
      <c r="AX1476" s="2"/>
      <c r="AY1476" s="2"/>
      <c r="AZ1476" s="2"/>
      <c r="BA1476" s="2"/>
      <c r="BB1476" s="2" t="n">
        <v>5401</v>
      </c>
      <c r="BC1476" s="2" t="n">
        <v>5408</v>
      </c>
      <c r="BD1476" s="2"/>
      <c r="BE1476" s="2" t="s">
        <v>25707</v>
      </c>
      <c r="BF1476" s="2" t="str">
        <f aca="false">HYPERLINK("http://dx.doi.org/10.1002/jmv.28024","http://dx.doi.org/10.1002/jmv.28024")</f>
        <v>http://dx.doi.org/10.1002/jmv.28024</v>
      </c>
      <c r="BG1476" s="2"/>
      <c r="BH1476" s="2" t="s">
        <v>2216</v>
      </c>
      <c r="BI1476" s="2" t="n">
        <v>8</v>
      </c>
      <c r="BJ1476" s="2" t="s">
        <v>163</v>
      </c>
      <c r="BK1476" s="2" t="s">
        <v>100</v>
      </c>
      <c r="BL1476" s="2" t="s">
        <v>163</v>
      </c>
      <c r="BM1476" s="2" t="s">
        <v>18737</v>
      </c>
      <c r="BN1476" s="2" t="n">
        <v>35871601</v>
      </c>
      <c r="BO1476" s="2"/>
      <c r="BP1476" s="2"/>
      <c r="BQ1476" s="2"/>
      <c r="BR1476" s="2" t="s">
        <v>104</v>
      </c>
      <c r="BS1476" s="2" t="s">
        <v>25708</v>
      </c>
      <c r="BT1476" s="2" t="str">
        <f aca="false">HYPERLINK("https%3A%2F%2Fwww.webofscience.com%2Fwos%2Fwoscc%2Ffull-record%2FWOS:000836385500001","View Full Record in Web of Science")</f>
        <v>View Full Record in Web of Science</v>
      </c>
    </row>
    <row r="1477" customFormat="false" ht="12.75" hidden="false" customHeight="false" outlineLevel="0" collapsed="false">
      <c r="A1477" s="2" t="s">
        <v>72</v>
      </c>
      <c r="B1477" s="2" t="s">
        <v>25709</v>
      </c>
      <c r="C1477" s="2"/>
      <c r="D1477" s="2"/>
      <c r="E1477" s="2"/>
      <c r="F1477" s="2" t="s">
        <v>25710</v>
      </c>
      <c r="G1477" s="2"/>
      <c r="H1477" s="2"/>
      <c r="I1477" s="2" t="s">
        <v>25711</v>
      </c>
      <c r="J1477" s="2" t="s">
        <v>141</v>
      </c>
      <c r="K1477" s="2"/>
      <c r="L1477" s="2"/>
      <c r="M1477" s="2" t="s">
        <v>77</v>
      </c>
      <c r="N1477" s="2" t="s">
        <v>78</v>
      </c>
      <c r="O1477" s="2"/>
      <c r="P1477" s="2"/>
      <c r="Q1477" s="2"/>
      <c r="R1477" s="2"/>
      <c r="S1477" s="2"/>
      <c r="T1477" s="2" t="s">
        <v>25712</v>
      </c>
      <c r="U1477" s="2" t="s">
        <v>25713</v>
      </c>
      <c r="V1477" s="2" t="s">
        <v>25714</v>
      </c>
      <c r="W1477" s="2" t="s">
        <v>25715</v>
      </c>
      <c r="X1477" s="2" t="s">
        <v>25716</v>
      </c>
      <c r="Y1477" s="2" t="s">
        <v>25717</v>
      </c>
      <c r="Z1477" s="2" t="s">
        <v>25705</v>
      </c>
      <c r="AA1477" s="2"/>
      <c r="AB1477" s="2"/>
      <c r="AC1477" s="2" t="s">
        <v>25718</v>
      </c>
      <c r="AD1477" s="2" t="s">
        <v>25719</v>
      </c>
      <c r="AE1477" s="2" t="s">
        <v>25720</v>
      </c>
      <c r="AF1477" s="2"/>
      <c r="AG1477" s="2" t="n">
        <v>37</v>
      </c>
      <c r="AH1477" s="2" t="n">
        <v>0</v>
      </c>
      <c r="AI1477" s="2" t="n">
        <v>0</v>
      </c>
      <c r="AJ1477" s="2" t="n">
        <v>1</v>
      </c>
      <c r="AK1477" s="2" t="n">
        <v>1</v>
      </c>
      <c r="AL1477" s="2" t="s">
        <v>154</v>
      </c>
      <c r="AM1477" s="2" t="s">
        <v>155</v>
      </c>
      <c r="AN1477" s="2" t="s">
        <v>156</v>
      </c>
      <c r="AO1477" s="2" t="s">
        <v>157</v>
      </c>
      <c r="AP1477" s="2" t="s">
        <v>158</v>
      </c>
      <c r="AQ1477" s="2"/>
      <c r="AR1477" s="2" t="s">
        <v>159</v>
      </c>
      <c r="AS1477" s="2" t="s">
        <v>160</v>
      </c>
      <c r="AT1477" s="2" t="s">
        <v>129</v>
      </c>
      <c r="AU1477" s="2" t="n">
        <v>2024</v>
      </c>
      <c r="AV1477" s="2" t="n">
        <v>96</v>
      </c>
      <c r="AW1477" s="2" t="n">
        <v>9</v>
      </c>
      <c r="AX1477" s="2"/>
      <c r="AY1477" s="2"/>
      <c r="AZ1477" s="2"/>
      <c r="BA1477" s="2"/>
      <c r="BB1477" s="2"/>
      <c r="BC1477" s="2"/>
      <c r="BD1477" s="2" t="s">
        <v>25721</v>
      </c>
      <c r="BE1477" s="2" t="s">
        <v>25722</v>
      </c>
      <c r="BF1477" s="2" t="str">
        <f aca="false">HYPERLINK("http://dx.doi.org/10.1002/jmv.29929","http://dx.doi.org/10.1002/jmv.29929")</f>
        <v>http://dx.doi.org/10.1002/jmv.29929</v>
      </c>
      <c r="BG1477" s="2"/>
      <c r="BH1477" s="2"/>
      <c r="BI1477" s="2" t="n">
        <v>9</v>
      </c>
      <c r="BJ1477" s="2" t="s">
        <v>163</v>
      </c>
      <c r="BK1477" s="2" t="s">
        <v>100</v>
      </c>
      <c r="BL1477" s="2" t="s">
        <v>163</v>
      </c>
      <c r="BM1477" s="2" t="s">
        <v>25723</v>
      </c>
      <c r="BN1477" s="2" t="n">
        <v>39311626</v>
      </c>
      <c r="BO1477" s="2"/>
      <c r="BP1477" s="2"/>
      <c r="BQ1477" s="2"/>
      <c r="BR1477" s="2" t="s">
        <v>104</v>
      </c>
      <c r="BS1477" s="2" t="s">
        <v>25724</v>
      </c>
      <c r="BT1477" s="2" t="str">
        <f aca="false">HYPERLINK("https%3A%2F%2Fwww.webofscience.com%2Fwos%2Fwoscc%2Ffull-record%2FWOS:001321738800024","View Full Record in Web of Science")</f>
        <v>View Full Record in Web of Science</v>
      </c>
    </row>
    <row r="1478" customFormat="false" ht="12.75" hidden="false" customHeight="false" outlineLevel="0" collapsed="false">
      <c r="A1478" s="2" t="s">
        <v>72</v>
      </c>
      <c r="B1478" s="2" t="s">
        <v>25725</v>
      </c>
      <c r="C1478" s="2"/>
      <c r="D1478" s="2"/>
      <c r="E1478" s="2"/>
      <c r="F1478" s="2" t="s">
        <v>25726</v>
      </c>
      <c r="G1478" s="2"/>
      <c r="H1478" s="2"/>
      <c r="I1478" s="2" t="s">
        <v>25727</v>
      </c>
      <c r="J1478" s="2" t="s">
        <v>1765</v>
      </c>
      <c r="K1478" s="2"/>
      <c r="L1478" s="2"/>
      <c r="M1478" s="2" t="s">
        <v>77</v>
      </c>
      <c r="N1478" s="2" t="s">
        <v>78</v>
      </c>
      <c r="O1478" s="2"/>
      <c r="P1478" s="2"/>
      <c r="Q1478" s="2"/>
      <c r="R1478" s="2"/>
      <c r="S1478" s="2"/>
      <c r="T1478" s="2" t="s">
        <v>25728</v>
      </c>
      <c r="U1478" s="2" t="s">
        <v>25729</v>
      </c>
      <c r="V1478" s="2" t="s">
        <v>25730</v>
      </c>
      <c r="W1478" s="2" t="s">
        <v>25731</v>
      </c>
      <c r="X1478" s="2" t="s">
        <v>25732</v>
      </c>
      <c r="Y1478" s="2" t="s">
        <v>25733</v>
      </c>
      <c r="Z1478" s="2" t="s">
        <v>25734</v>
      </c>
      <c r="AA1478" s="2"/>
      <c r="AB1478" s="2"/>
      <c r="AC1478" s="2"/>
      <c r="AD1478" s="2"/>
      <c r="AE1478" s="2"/>
      <c r="AF1478" s="2"/>
      <c r="AG1478" s="2" t="n">
        <v>28</v>
      </c>
      <c r="AH1478" s="2" t="n">
        <v>4</v>
      </c>
      <c r="AI1478" s="2" t="n">
        <v>4</v>
      </c>
      <c r="AJ1478" s="2" t="n">
        <v>0</v>
      </c>
      <c r="AK1478" s="2" t="n">
        <v>5</v>
      </c>
      <c r="AL1478" s="2" t="s">
        <v>620</v>
      </c>
      <c r="AM1478" s="2" t="s">
        <v>621</v>
      </c>
      <c r="AN1478" s="2" t="s">
        <v>622</v>
      </c>
      <c r="AO1478" s="2" t="s">
        <v>1778</v>
      </c>
      <c r="AP1478" s="2"/>
      <c r="AQ1478" s="2"/>
      <c r="AR1478" s="2" t="s">
        <v>1779</v>
      </c>
      <c r="AS1478" s="2" t="s">
        <v>1780</v>
      </c>
      <c r="AT1478" s="2" t="s">
        <v>25735</v>
      </c>
      <c r="AU1478" s="2" t="n">
        <v>2022</v>
      </c>
      <c r="AV1478" s="2" t="n">
        <v>10</v>
      </c>
      <c r="AW1478" s="2"/>
      <c r="AX1478" s="2"/>
      <c r="AY1478" s="2"/>
      <c r="AZ1478" s="2"/>
      <c r="BA1478" s="2"/>
      <c r="BB1478" s="2"/>
      <c r="BC1478" s="2"/>
      <c r="BD1478" s="2" t="n">
        <v>840008</v>
      </c>
      <c r="BE1478" s="2" t="s">
        <v>25736</v>
      </c>
      <c r="BF1478" s="2" t="str">
        <f aca="false">HYPERLINK("http://dx.doi.org/10.3389/fped.2022.840008","http://dx.doi.org/10.3389/fped.2022.840008")</f>
        <v>http://dx.doi.org/10.3389/fped.2022.840008</v>
      </c>
      <c r="BG1478" s="2"/>
      <c r="BH1478" s="2"/>
      <c r="BI1478" s="2" t="n">
        <v>8</v>
      </c>
      <c r="BJ1478" s="2" t="s">
        <v>601</v>
      </c>
      <c r="BK1478" s="2" t="s">
        <v>100</v>
      </c>
      <c r="BL1478" s="2" t="s">
        <v>601</v>
      </c>
      <c r="BM1478" s="2" t="s">
        <v>25737</v>
      </c>
      <c r="BN1478" s="2" t="n">
        <v>35425729</v>
      </c>
      <c r="BO1478" s="2" t="s">
        <v>190</v>
      </c>
      <c r="BP1478" s="2"/>
      <c r="BQ1478" s="2"/>
      <c r="BR1478" s="2" t="s">
        <v>104</v>
      </c>
      <c r="BS1478" s="2" t="s">
        <v>25738</v>
      </c>
      <c r="BT1478" s="2" t="str">
        <f aca="false">HYPERLINK("https%3A%2F%2Fwww.webofscience.com%2Fwos%2Fwoscc%2Ffull-record%2FWOS:000783716600001","View Full Record in Web of Science")</f>
        <v>View Full Record in Web of Science</v>
      </c>
    </row>
    <row r="1479" customFormat="false" ht="12.75" hidden="false" customHeight="false" outlineLevel="0" collapsed="false">
      <c r="A1479" s="2" t="s">
        <v>72</v>
      </c>
      <c r="B1479" s="2" t="s">
        <v>25739</v>
      </c>
      <c r="C1479" s="2"/>
      <c r="D1479" s="2"/>
      <c r="E1479" s="2"/>
      <c r="F1479" s="2" t="s">
        <v>25740</v>
      </c>
      <c r="G1479" s="2"/>
      <c r="H1479" s="2" t="s">
        <v>25741</v>
      </c>
      <c r="I1479" s="2" t="s">
        <v>25742</v>
      </c>
      <c r="J1479" s="2" t="s">
        <v>11019</v>
      </c>
      <c r="K1479" s="2"/>
      <c r="L1479" s="2"/>
      <c r="M1479" s="2" t="s">
        <v>77</v>
      </c>
      <c r="N1479" s="2" t="s">
        <v>78</v>
      </c>
      <c r="O1479" s="2"/>
      <c r="P1479" s="2"/>
      <c r="Q1479" s="2"/>
      <c r="R1479" s="2"/>
      <c r="S1479" s="2"/>
      <c r="T1479" s="2" t="s">
        <v>25743</v>
      </c>
      <c r="U1479" s="2" t="s">
        <v>25744</v>
      </c>
      <c r="V1479" s="2" t="s">
        <v>25745</v>
      </c>
      <c r="W1479" s="2" t="s">
        <v>25746</v>
      </c>
      <c r="X1479" s="2" t="s">
        <v>25747</v>
      </c>
      <c r="Y1479" s="2" t="s">
        <v>25748</v>
      </c>
      <c r="Z1479" s="2" t="s">
        <v>6027</v>
      </c>
      <c r="AA1479" s="2" t="s">
        <v>25749</v>
      </c>
      <c r="AB1479" s="2" t="s">
        <v>25750</v>
      </c>
      <c r="AC1479" s="2" t="s">
        <v>25751</v>
      </c>
      <c r="AD1479" s="2" t="s">
        <v>25752</v>
      </c>
      <c r="AE1479" s="2" t="s">
        <v>25753</v>
      </c>
      <c r="AF1479" s="2"/>
      <c r="AG1479" s="2" t="n">
        <v>23</v>
      </c>
      <c r="AH1479" s="2" t="n">
        <v>28</v>
      </c>
      <c r="AI1479" s="2" t="n">
        <v>32</v>
      </c>
      <c r="AJ1479" s="2" t="n">
        <v>0</v>
      </c>
      <c r="AK1479" s="2" t="n">
        <v>3</v>
      </c>
      <c r="AL1479" s="2" t="s">
        <v>3813</v>
      </c>
      <c r="AM1479" s="2" t="s">
        <v>155</v>
      </c>
      <c r="AN1479" s="2" t="s">
        <v>156</v>
      </c>
      <c r="AO1479" s="2" t="s">
        <v>11028</v>
      </c>
      <c r="AP1479" s="2" t="s">
        <v>11029</v>
      </c>
      <c r="AQ1479" s="2"/>
      <c r="AR1479" s="2" t="s">
        <v>11030</v>
      </c>
      <c r="AS1479" s="2" t="s">
        <v>11031</v>
      </c>
      <c r="AT1479" s="2" t="s">
        <v>161</v>
      </c>
      <c r="AU1479" s="2" t="n">
        <v>2017</v>
      </c>
      <c r="AV1479" s="2" t="n">
        <v>11</v>
      </c>
      <c r="AW1479" s="2" t="n">
        <v>1</v>
      </c>
      <c r="AX1479" s="2"/>
      <c r="AY1479" s="2"/>
      <c r="AZ1479" s="2"/>
      <c r="BA1479" s="2"/>
      <c r="BB1479" s="2" t="n">
        <v>48</v>
      </c>
      <c r="BC1479" s="2" t="n">
        <v>56</v>
      </c>
      <c r="BD1479" s="2"/>
      <c r="BE1479" s="2" t="s">
        <v>25754</v>
      </c>
      <c r="BF1479" s="2" t="str">
        <f aca="false">HYPERLINK("http://dx.doi.org/10.1111/irv.12414","http://dx.doi.org/10.1111/irv.12414")</f>
        <v>http://dx.doi.org/10.1111/irv.12414</v>
      </c>
      <c r="BG1479" s="2"/>
      <c r="BH1479" s="2"/>
      <c r="BI1479" s="2" t="n">
        <v>9</v>
      </c>
      <c r="BJ1479" s="2" t="s">
        <v>8287</v>
      </c>
      <c r="BK1479" s="2" t="s">
        <v>100</v>
      </c>
      <c r="BL1479" s="2" t="s">
        <v>8287</v>
      </c>
      <c r="BM1479" s="2" t="s">
        <v>25755</v>
      </c>
      <c r="BN1479" s="2" t="n">
        <v>27439650</v>
      </c>
      <c r="BO1479" s="2" t="s">
        <v>103</v>
      </c>
      <c r="BP1479" s="2"/>
      <c r="BQ1479" s="2"/>
      <c r="BR1479" s="2" t="s">
        <v>104</v>
      </c>
      <c r="BS1479" s="2" t="s">
        <v>25756</v>
      </c>
      <c r="BT1479" s="2" t="str">
        <f aca="false">HYPERLINK("https%3A%2F%2Fwww.webofscience.com%2Fwos%2Fwoscc%2Ffull-record%2FWOS:000394959800006","View Full Record in Web of Science")</f>
        <v>View Full Record in Web of Science</v>
      </c>
    </row>
    <row r="1480" customFormat="false" ht="12.75" hidden="false" customHeight="false" outlineLevel="0" collapsed="false">
      <c r="A1480" s="2" t="s">
        <v>72</v>
      </c>
      <c r="B1480" s="2" t="s">
        <v>25757</v>
      </c>
      <c r="C1480" s="2"/>
      <c r="D1480" s="2"/>
      <c r="E1480" s="2"/>
      <c r="F1480" s="2" t="s">
        <v>25758</v>
      </c>
      <c r="G1480" s="2"/>
      <c r="H1480" s="2"/>
      <c r="I1480" s="2" t="s">
        <v>25759</v>
      </c>
      <c r="J1480" s="2" t="s">
        <v>7244</v>
      </c>
      <c r="K1480" s="2"/>
      <c r="L1480" s="2"/>
      <c r="M1480" s="2" t="s">
        <v>77</v>
      </c>
      <c r="N1480" s="2" t="s">
        <v>78</v>
      </c>
      <c r="O1480" s="2"/>
      <c r="P1480" s="2"/>
      <c r="Q1480" s="2"/>
      <c r="R1480" s="2"/>
      <c r="S1480" s="2"/>
      <c r="T1480" s="2" t="s">
        <v>25760</v>
      </c>
      <c r="U1480" s="2" t="s">
        <v>25761</v>
      </c>
      <c r="V1480" s="2" t="s">
        <v>25762</v>
      </c>
      <c r="W1480" s="2" t="s">
        <v>25763</v>
      </c>
      <c r="X1480" s="2" t="s">
        <v>25764</v>
      </c>
      <c r="Y1480" s="2" t="s">
        <v>25765</v>
      </c>
      <c r="Z1480" s="2" t="s">
        <v>15253</v>
      </c>
      <c r="AA1480" s="2" t="s">
        <v>25766</v>
      </c>
      <c r="AB1480" s="2" t="s">
        <v>25767</v>
      </c>
      <c r="AC1480" s="2" t="s">
        <v>25768</v>
      </c>
      <c r="AD1480" s="2" t="s">
        <v>25769</v>
      </c>
      <c r="AE1480" s="2" t="s">
        <v>25770</v>
      </c>
      <c r="AF1480" s="2"/>
      <c r="AG1480" s="2" t="n">
        <v>36</v>
      </c>
      <c r="AH1480" s="2" t="n">
        <v>115</v>
      </c>
      <c r="AI1480" s="2" t="n">
        <v>138</v>
      </c>
      <c r="AJ1480" s="2" t="n">
        <v>0</v>
      </c>
      <c r="AK1480" s="2" t="n">
        <v>18</v>
      </c>
      <c r="AL1480" s="2" t="s">
        <v>782</v>
      </c>
      <c r="AM1480" s="2" t="s">
        <v>783</v>
      </c>
      <c r="AN1480" s="2" t="s">
        <v>784</v>
      </c>
      <c r="AO1480" s="2" t="s">
        <v>7252</v>
      </c>
      <c r="AP1480" s="2" t="s">
        <v>7253</v>
      </c>
      <c r="AQ1480" s="2"/>
      <c r="AR1480" s="2" t="s">
        <v>7254</v>
      </c>
      <c r="AS1480" s="2" t="s">
        <v>7255</v>
      </c>
      <c r="AT1480" s="2" t="s">
        <v>446</v>
      </c>
      <c r="AU1480" s="2" t="n">
        <v>2009</v>
      </c>
      <c r="AV1480" s="2" t="n">
        <v>15</v>
      </c>
      <c r="AW1480" s="2" t="n">
        <v>12</v>
      </c>
      <c r="AX1480" s="2"/>
      <c r="AY1480" s="2"/>
      <c r="AZ1480" s="2"/>
      <c r="BA1480" s="2"/>
      <c r="BB1480" s="2" t="n">
        <v>1146</v>
      </c>
      <c r="BC1480" s="2" t="n">
        <v>1153</v>
      </c>
      <c r="BD1480" s="2"/>
      <c r="BE1480" s="2" t="s">
        <v>25771</v>
      </c>
      <c r="BF1480" s="2" t="str">
        <f aca="false">HYPERLINK("http://dx.doi.org/10.1111/j.1469-0691.2009.02746.x","http://dx.doi.org/10.1111/j.1469-0691.2009.02746.x")</f>
        <v>http://dx.doi.org/10.1111/j.1469-0691.2009.02746.x</v>
      </c>
      <c r="BG1480" s="2"/>
      <c r="BH1480" s="2"/>
      <c r="BI1480" s="2" t="n">
        <v>8</v>
      </c>
      <c r="BJ1480" s="2" t="s">
        <v>1467</v>
      </c>
      <c r="BK1480" s="2" t="s">
        <v>100</v>
      </c>
      <c r="BL1480" s="2" t="s">
        <v>1467</v>
      </c>
      <c r="BM1480" s="2" t="s">
        <v>25772</v>
      </c>
      <c r="BN1480" s="2" t="n">
        <v>19456830</v>
      </c>
      <c r="BO1480" s="2" t="s">
        <v>165</v>
      </c>
      <c r="BP1480" s="2"/>
      <c r="BQ1480" s="2"/>
      <c r="BR1480" s="2" t="s">
        <v>104</v>
      </c>
      <c r="BS1480" s="2" t="s">
        <v>25773</v>
      </c>
      <c r="BT1480" s="2" t="str">
        <f aca="false">HYPERLINK("https%3A%2F%2Fwww.webofscience.com%2Fwos%2Fwoscc%2Ffull-record%2FWOS:000271776900014","View Full Record in Web of Science")</f>
        <v>View Full Record in Web of Science</v>
      </c>
    </row>
    <row r="1481" customFormat="false" ht="12.75" hidden="false" customHeight="false" outlineLevel="0" collapsed="false">
      <c r="A1481" s="2" t="s">
        <v>72</v>
      </c>
      <c r="B1481" s="2" t="s">
        <v>25774</v>
      </c>
      <c r="C1481" s="2"/>
      <c r="D1481" s="2"/>
      <c r="E1481" s="2"/>
      <c r="F1481" s="2" t="s">
        <v>25775</v>
      </c>
      <c r="G1481" s="2"/>
      <c r="H1481" s="2"/>
      <c r="I1481" s="2" t="s">
        <v>25776</v>
      </c>
      <c r="J1481" s="2" t="s">
        <v>13700</v>
      </c>
      <c r="K1481" s="2"/>
      <c r="L1481" s="2"/>
      <c r="M1481" s="2" t="s">
        <v>77</v>
      </c>
      <c r="N1481" s="2" t="s">
        <v>78</v>
      </c>
      <c r="O1481" s="2"/>
      <c r="P1481" s="2"/>
      <c r="Q1481" s="2"/>
      <c r="R1481" s="2"/>
      <c r="S1481" s="2"/>
      <c r="T1481" s="2" t="s">
        <v>25777</v>
      </c>
      <c r="U1481" s="2" t="s">
        <v>25778</v>
      </c>
      <c r="V1481" s="2" t="s">
        <v>25779</v>
      </c>
      <c r="W1481" s="2" t="s">
        <v>25780</v>
      </c>
      <c r="X1481" s="2" t="s">
        <v>25781</v>
      </c>
      <c r="Y1481" s="2" t="s">
        <v>25782</v>
      </c>
      <c r="Z1481" s="2" t="s">
        <v>25783</v>
      </c>
      <c r="AA1481" s="2" t="s">
        <v>25784</v>
      </c>
      <c r="AB1481" s="2" t="s">
        <v>25785</v>
      </c>
      <c r="AC1481" s="2" t="s">
        <v>25786</v>
      </c>
      <c r="AD1481" s="2" t="s">
        <v>25787</v>
      </c>
      <c r="AE1481" s="2" t="s">
        <v>25788</v>
      </c>
      <c r="AF1481" s="2"/>
      <c r="AG1481" s="2" t="n">
        <v>91</v>
      </c>
      <c r="AH1481" s="2" t="n">
        <v>1</v>
      </c>
      <c r="AI1481" s="2" t="n">
        <v>1</v>
      </c>
      <c r="AJ1481" s="2" t="n">
        <v>0</v>
      </c>
      <c r="AK1481" s="2" t="n">
        <v>4</v>
      </c>
      <c r="AL1481" s="2" t="s">
        <v>13712</v>
      </c>
      <c r="AM1481" s="2" t="s">
        <v>303</v>
      </c>
      <c r="AN1481" s="2" t="s">
        <v>13713</v>
      </c>
      <c r="AO1481" s="2" t="s">
        <v>13714</v>
      </c>
      <c r="AP1481" s="2" t="s">
        <v>13715</v>
      </c>
      <c r="AQ1481" s="2"/>
      <c r="AR1481" s="2" t="s">
        <v>13716</v>
      </c>
      <c r="AS1481" s="2" t="s">
        <v>13717</v>
      </c>
      <c r="AT1481" s="2" t="s">
        <v>390</v>
      </c>
      <c r="AU1481" s="2" t="n">
        <v>2022</v>
      </c>
      <c r="AV1481" s="2" t="n">
        <v>17</v>
      </c>
      <c r="AW1481" s="2" t="n">
        <v>5</v>
      </c>
      <c r="AX1481" s="2"/>
      <c r="AY1481" s="2"/>
      <c r="AZ1481" s="2"/>
      <c r="BA1481" s="2"/>
      <c r="BB1481" s="2" t="n">
        <v>269</v>
      </c>
      <c r="BC1481" s="2" t="n">
        <v>280</v>
      </c>
      <c r="BD1481" s="2"/>
      <c r="BE1481" s="2" t="s">
        <v>25789</v>
      </c>
      <c r="BF1481" s="2" t="str">
        <f aca="false">HYPERLINK("http://dx.doi.org/10.2217/fvl-2020-0071","http://dx.doi.org/10.2217/fvl-2020-0071")</f>
        <v>http://dx.doi.org/10.2217/fvl-2020-0071</v>
      </c>
      <c r="BG1481" s="2"/>
      <c r="BH1481" s="2" t="s">
        <v>20192</v>
      </c>
      <c r="BI1481" s="2" t="n">
        <v>12</v>
      </c>
      <c r="BJ1481" s="2" t="s">
        <v>163</v>
      </c>
      <c r="BK1481" s="2" t="s">
        <v>100</v>
      </c>
      <c r="BL1481" s="2" t="s">
        <v>163</v>
      </c>
      <c r="BM1481" s="2" t="s">
        <v>25790</v>
      </c>
      <c r="BN1481" s="2"/>
      <c r="BO1481" s="2" t="s">
        <v>2278</v>
      </c>
      <c r="BP1481" s="2"/>
      <c r="BQ1481" s="2"/>
      <c r="BR1481" s="2" t="s">
        <v>104</v>
      </c>
      <c r="BS1481" s="2" t="s">
        <v>25791</v>
      </c>
      <c r="BT1481" s="2" t="str">
        <f aca="false">HYPERLINK("https%3A%2F%2Fwww.webofscience.com%2Fwos%2Fwoscc%2Ffull-record%2FWOS:000776384300001","View Full Record in Web of Science")</f>
        <v>View Full Record in Web of Science</v>
      </c>
    </row>
    <row r="1482" customFormat="false" ht="12.75" hidden="false" customHeight="false" outlineLevel="0" collapsed="false">
      <c r="A1482" s="2" t="s">
        <v>72</v>
      </c>
      <c r="B1482" s="2" t="s">
        <v>25792</v>
      </c>
      <c r="C1482" s="2"/>
      <c r="D1482" s="2"/>
      <c r="E1482" s="2"/>
      <c r="F1482" s="2" t="s">
        <v>25793</v>
      </c>
      <c r="G1482" s="2"/>
      <c r="H1482" s="2"/>
      <c r="I1482" s="2" t="s">
        <v>25794</v>
      </c>
      <c r="J1482" s="2" t="s">
        <v>18639</v>
      </c>
      <c r="K1482" s="2"/>
      <c r="L1482" s="2"/>
      <c r="M1482" s="2" t="s">
        <v>77</v>
      </c>
      <c r="N1482" s="2" t="s">
        <v>78</v>
      </c>
      <c r="O1482" s="2"/>
      <c r="P1482" s="2"/>
      <c r="Q1482" s="2"/>
      <c r="R1482" s="2"/>
      <c r="S1482" s="2"/>
      <c r="T1482" s="2" t="s">
        <v>25795</v>
      </c>
      <c r="U1482" s="2" t="s">
        <v>25796</v>
      </c>
      <c r="V1482" s="2" t="s">
        <v>25797</v>
      </c>
      <c r="W1482" s="2" t="s">
        <v>25798</v>
      </c>
      <c r="X1482" s="2" t="s">
        <v>25799</v>
      </c>
      <c r="Y1482" s="2" t="s">
        <v>25800</v>
      </c>
      <c r="Z1482" s="2" t="s">
        <v>25801</v>
      </c>
      <c r="AA1482" s="2" t="s">
        <v>25802</v>
      </c>
      <c r="AB1482" s="2" t="s">
        <v>25803</v>
      </c>
      <c r="AC1482" s="2" t="s">
        <v>25804</v>
      </c>
      <c r="AD1482" s="2" t="s">
        <v>25805</v>
      </c>
      <c r="AE1482" s="2" t="s">
        <v>25806</v>
      </c>
      <c r="AF1482" s="2"/>
      <c r="AG1482" s="2" t="n">
        <v>33</v>
      </c>
      <c r="AH1482" s="2" t="n">
        <v>1</v>
      </c>
      <c r="AI1482" s="2" t="n">
        <v>1</v>
      </c>
      <c r="AJ1482" s="2" t="n">
        <v>0</v>
      </c>
      <c r="AK1482" s="2" t="n">
        <v>0</v>
      </c>
      <c r="AL1482" s="2" t="s">
        <v>18652</v>
      </c>
      <c r="AM1482" s="2" t="s">
        <v>303</v>
      </c>
      <c r="AN1482" s="2" t="s">
        <v>18653</v>
      </c>
      <c r="AO1482" s="2" t="s">
        <v>18654</v>
      </c>
      <c r="AP1482" s="2"/>
      <c r="AQ1482" s="2"/>
      <c r="AR1482" s="2" t="s">
        <v>18639</v>
      </c>
      <c r="AS1482" s="2" t="s">
        <v>18655</v>
      </c>
      <c r="AT1482" s="2" t="s">
        <v>2621</v>
      </c>
      <c r="AU1482" s="2" t="n">
        <v>2019</v>
      </c>
      <c r="AV1482" s="2" t="n">
        <v>7</v>
      </c>
      <c r="AW1482" s="2"/>
      <c r="AX1482" s="2"/>
      <c r="AY1482" s="2"/>
      <c r="AZ1482" s="2"/>
      <c r="BA1482" s="2"/>
      <c r="BB1482" s="2"/>
      <c r="BC1482" s="2"/>
      <c r="BD1482" s="2" t="s">
        <v>25807</v>
      </c>
      <c r="BE1482" s="2" t="s">
        <v>25808</v>
      </c>
      <c r="BF1482" s="2" t="str">
        <f aca="false">HYPERLINK("http://dx.doi.org/10.7717/peerj.7266","http://dx.doi.org/10.7717/peerj.7266")</f>
        <v>http://dx.doi.org/10.7717/peerj.7266</v>
      </c>
      <c r="BG1482" s="2"/>
      <c r="BH1482" s="2"/>
      <c r="BI1482" s="2" t="n">
        <v>13</v>
      </c>
      <c r="BJ1482" s="2" t="s">
        <v>1658</v>
      </c>
      <c r="BK1482" s="2" t="s">
        <v>100</v>
      </c>
      <c r="BL1482" s="2" t="s">
        <v>1659</v>
      </c>
      <c r="BM1482" s="2" t="s">
        <v>25809</v>
      </c>
      <c r="BN1482" s="2" t="n">
        <v>31380147</v>
      </c>
      <c r="BO1482" s="2" t="s">
        <v>5702</v>
      </c>
      <c r="BP1482" s="2"/>
      <c r="BQ1482" s="2"/>
      <c r="BR1482" s="2" t="s">
        <v>104</v>
      </c>
      <c r="BS1482" s="2" t="s">
        <v>25810</v>
      </c>
      <c r="BT1482" s="2" t="str">
        <f aca="false">HYPERLINK("https%3A%2F%2Fwww.webofscience.com%2Fwos%2Fwoscc%2Ffull-record%2FWOS:000476967400003","View Full Record in Web of Science")</f>
        <v>View Full Record in Web of Science</v>
      </c>
    </row>
    <row r="1483" customFormat="false" ht="12.75" hidden="false" customHeight="false" outlineLevel="0" collapsed="false">
      <c r="A1483" s="2" t="s">
        <v>72</v>
      </c>
      <c r="B1483" s="2" t="s">
        <v>25811</v>
      </c>
      <c r="C1483" s="2"/>
      <c r="D1483" s="2"/>
      <c r="E1483" s="2"/>
      <c r="F1483" s="2" t="s">
        <v>25812</v>
      </c>
      <c r="G1483" s="2"/>
      <c r="H1483" s="2"/>
      <c r="I1483" s="2" t="s">
        <v>25813</v>
      </c>
      <c r="J1483" s="2" t="s">
        <v>25814</v>
      </c>
      <c r="K1483" s="2"/>
      <c r="L1483" s="2"/>
      <c r="M1483" s="2" t="s">
        <v>77</v>
      </c>
      <c r="N1483" s="2" t="s">
        <v>78</v>
      </c>
      <c r="O1483" s="2"/>
      <c r="P1483" s="2"/>
      <c r="Q1483" s="2"/>
      <c r="R1483" s="2"/>
      <c r="S1483" s="2"/>
      <c r="T1483" s="2" t="s">
        <v>25815</v>
      </c>
      <c r="U1483" s="2" t="s">
        <v>25816</v>
      </c>
      <c r="V1483" s="2" t="s">
        <v>25817</v>
      </c>
      <c r="W1483" s="2" t="s">
        <v>25818</v>
      </c>
      <c r="X1483" s="2" t="s">
        <v>25819</v>
      </c>
      <c r="Y1483" s="2" t="s">
        <v>25820</v>
      </c>
      <c r="Z1483" s="2" t="s">
        <v>25821</v>
      </c>
      <c r="AA1483" s="2" t="s">
        <v>25822</v>
      </c>
      <c r="AB1483" s="2" t="s">
        <v>25823</v>
      </c>
      <c r="AC1483" s="2" t="s">
        <v>25824</v>
      </c>
      <c r="AD1483" s="2" t="s">
        <v>25825</v>
      </c>
      <c r="AE1483" s="2" t="s">
        <v>25826</v>
      </c>
      <c r="AF1483" s="2"/>
      <c r="AG1483" s="2" t="n">
        <v>37</v>
      </c>
      <c r="AH1483" s="2" t="n">
        <v>6</v>
      </c>
      <c r="AI1483" s="2" t="n">
        <v>6</v>
      </c>
      <c r="AJ1483" s="2" t="n">
        <v>0</v>
      </c>
      <c r="AK1483" s="2" t="n">
        <v>4</v>
      </c>
      <c r="AL1483" s="2" t="s">
        <v>12751</v>
      </c>
      <c r="AM1483" s="2" t="s">
        <v>9888</v>
      </c>
      <c r="AN1483" s="2" t="s">
        <v>12752</v>
      </c>
      <c r="AO1483" s="2" t="s">
        <v>25827</v>
      </c>
      <c r="AP1483" s="2" t="s">
        <v>25828</v>
      </c>
      <c r="AQ1483" s="2"/>
      <c r="AR1483" s="2" t="s">
        <v>25829</v>
      </c>
      <c r="AS1483" s="2" t="s">
        <v>25830</v>
      </c>
      <c r="AT1483" s="2" t="s">
        <v>1041</v>
      </c>
      <c r="AU1483" s="2" t="n">
        <v>2015</v>
      </c>
      <c r="AV1483" s="2" t="n">
        <v>20</v>
      </c>
      <c r="AW1483" s="2" t="n">
        <v>2</v>
      </c>
      <c r="AX1483" s="2"/>
      <c r="AY1483" s="2"/>
      <c r="AZ1483" s="2"/>
      <c r="BA1483" s="2"/>
      <c r="BB1483" s="2" t="n">
        <v>115</v>
      </c>
      <c r="BC1483" s="2" t="n">
        <v>121</v>
      </c>
      <c r="BD1483" s="2"/>
      <c r="BE1483" s="2"/>
      <c r="BF1483" s="2"/>
      <c r="BG1483" s="2"/>
      <c r="BH1483" s="2"/>
      <c r="BI1483" s="2" t="n">
        <v>7</v>
      </c>
      <c r="BJ1483" s="2" t="s">
        <v>363</v>
      </c>
      <c r="BK1483" s="2" t="s">
        <v>100</v>
      </c>
      <c r="BL1483" s="2" t="s">
        <v>364</v>
      </c>
      <c r="BM1483" s="2" t="s">
        <v>25831</v>
      </c>
      <c r="BN1483" s="2" t="n">
        <v>25983761</v>
      </c>
      <c r="BO1483" s="2"/>
      <c r="BP1483" s="2"/>
      <c r="BQ1483" s="2"/>
      <c r="BR1483" s="2" t="s">
        <v>104</v>
      </c>
      <c r="BS1483" s="2" t="s">
        <v>25832</v>
      </c>
      <c r="BT1483" s="2" t="str">
        <f aca="false">HYPERLINK("https%3A%2F%2Fwww.webofscience.com%2Fwos%2Fwoscc%2Ffull-record%2FWOS:000357265300002","View Full Record in Web of Science")</f>
        <v>View Full Record in Web of Science</v>
      </c>
    </row>
    <row r="1484" customFormat="false" ht="12.75" hidden="false" customHeight="false" outlineLevel="0" collapsed="false">
      <c r="A1484" s="2" t="s">
        <v>72</v>
      </c>
      <c r="B1484" s="2" t="s">
        <v>25833</v>
      </c>
      <c r="C1484" s="2"/>
      <c r="D1484" s="2"/>
      <c r="E1484" s="2"/>
      <c r="F1484" s="2" t="s">
        <v>25834</v>
      </c>
      <c r="G1484" s="2"/>
      <c r="H1484" s="2"/>
      <c r="I1484" s="2" t="s">
        <v>25835</v>
      </c>
      <c r="J1484" s="2" t="s">
        <v>7244</v>
      </c>
      <c r="K1484" s="2"/>
      <c r="L1484" s="2"/>
      <c r="M1484" s="2" t="s">
        <v>77</v>
      </c>
      <c r="N1484" s="2" t="s">
        <v>78</v>
      </c>
      <c r="O1484" s="2"/>
      <c r="P1484" s="2"/>
      <c r="Q1484" s="2"/>
      <c r="R1484" s="2"/>
      <c r="S1484" s="2"/>
      <c r="T1484" s="2" t="s">
        <v>25836</v>
      </c>
      <c r="U1484" s="2" t="s">
        <v>25837</v>
      </c>
      <c r="V1484" s="2" t="s">
        <v>25838</v>
      </c>
      <c r="W1484" s="2" t="s">
        <v>25839</v>
      </c>
      <c r="X1484" s="2"/>
      <c r="Y1484" s="2" t="s">
        <v>25840</v>
      </c>
      <c r="Z1484" s="2" t="s">
        <v>25841</v>
      </c>
      <c r="AA1484" s="2"/>
      <c r="AB1484" s="2" t="s">
        <v>25842</v>
      </c>
      <c r="AC1484" s="2"/>
      <c r="AD1484" s="2"/>
      <c r="AE1484" s="2"/>
      <c r="AF1484" s="2"/>
      <c r="AG1484" s="2" t="n">
        <v>34</v>
      </c>
      <c r="AH1484" s="2" t="n">
        <v>45</v>
      </c>
      <c r="AI1484" s="2" t="n">
        <v>51</v>
      </c>
      <c r="AJ1484" s="2" t="n">
        <v>0</v>
      </c>
      <c r="AK1484" s="2" t="n">
        <v>5</v>
      </c>
      <c r="AL1484" s="2" t="s">
        <v>782</v>
      </c>
      <c r="AM1484" s="2" t="s">
        <v>783</v>
      </c>
      <c r="AN1484" s="2" t="s">
        <v>784</v>
      </c>
      <c r="AO1484" s="2" t="s">
        <v>7252</v>
      </c>
      <c r="AP1484" s="2" t="s">
        <v>7253</v>
      </c>
      <c r="AQ1484" s="2"/>
      <c r="AR1484" s="2" t="s">
        <v>7254</v>
      </c>
      <c r="AS1484" s="2" t="s">
        <v>7255</v>
      </c>
      <c r="AT1484" s="2" t="s">
        <v>390</v>
      </c>
      <c r="AU1484" s="2" t="n">
        <v>2007</v>
      </c>
      <c r="AV1484" s="2" t="n">
        <v>13</v>
      </c>
      <c r="AW1484" s="2" t="n">
        <v>5</v>
      </c>
      <c r="AX1484" s="2"/>
      <c r="AY1484" s="2"/>
      <c r="AZ1484" s="2"/>
      <c r="BA1484" s="2"/>
      <c r="BB1484" s="2" t="n">
        <v>504</v>
      </c>
      <c r="BC1484" s="2" t="n">
        <v>509</v>
      </c>
      <c r="BD1484" s="2"/>
      <c r="BE1484" s="2" t="s">
        <v>25843</v>
      </c>
      <c r="BF1484" s="2" t="str">
        <f aca="false">HYPERLINK("http://dx.doi.org/10.1111/j.1469-0691.2007.01682.x","http://dx.doi.org/10.1111/j.1469-0691.2007.01682.x")</f>
        <v>http://dx.doi.org/10.1111/j.1469-0691.2007.01682.x</v>
      </c>
      <c r="BG1484" s="2"/>
      <c r="BH1484" s="2"/>
      <c r="BI1484" s="2" t="n">
        <v>6</v>
      </c>
      <c r="BJ1484" s="2" t="s">
        <v>1467</v>
      </c>
      <c r="BK1484" s="2" t="s">
        <v>100</v>
      </c>
      <c r="BL1484" s="2" t="s">
        <v>1467</v>
      </c>
      <c r="BM1484" s="2" t="s">
        <v>25844</v>
      </c>
      <c r="BN1484" s="2" t="n">
        <v>17263836</v>
      </c>
      <c r="BO1484" s="2" t="s">
        <v>165</v>
      </c>
      <c r="BP1484" s="2"/>
      <c r="BQ1484" s="2"/>
      <c r="BR1484" s="2" t="s">
        <v>104</v>
      </c>
      <c r="BS1484" s="2" t="s">
        <v>25845</v>
      </c>
      <c r="BT1484" s="2" t="str">
        <f aca="false">HYPERLINK("https%3A%2F%2Fwww.webofscience.com%2Fwos%2Fwoscc%2Ffull-record%2FWOS:000245396300007","View Full Record in Web of Science")</f>
        <v>View Full Record in Web of Science</v>
      </c>
    </row>
    <row r="1485" customFormat="false" ht="12.75" hidden="false" customHeight="false" outlineLevel="0" collapsed="false">
      <c r="A1485" s="2" t="s">
        <v>72</v>
      </c>
      <c r="B1485" s="2" t="s">
        <v>25846</v>
      </c>
      <c r="C1485" s="2"/>
      <c r="D1485" s="2"/>
      <c r="E1485" s="2"/>
      <c r="F1485" s="2" t="s">
        <v>25847</v>
      </c>
      <c r="G1485" s="2"/>
      <c r="H1485" s="2"/>
      <c r="I1485" s="2" t="s">
        <v>25848</v>
      </c>
      <c r="J1485" s="2" t="s">
        <v>109</v>
      </c>
      <c r="K1485" s="2"/>
      <c r="L1485" s="2"/>
      <c r="M1485" s="2" t="s">
        <v>77</v>
      </c>
      <c r="N1485" s="2" t="s">
        <v>78</v>
      </c>
      <c r="O1485" s="2"/>
      <c r="P1485" s="2"/>
      <c r="Q1485" s="2"/>
      <c r="R1485" s="2"/>
      <c r="S1485" s="2"/>
      <c r="T1485" s="2" t="s">
        <v>25849</v>
      </c>
      <c r="U1485" s="2" t="s">
        <v>25850</v>
      </c>
      <c r="V1485" s="2" t="s">
        <v>25851</v>
      </c>
      <c r="W1485" s="2" t="s">
        <v>25852</v>
      </c>
      <c r="X1485" s="2" t="s">
        <v>25853</v>
      </c>
      <c r="Y1485" s="2" t="s">
        <v>25854</v>
      </c>
      <c r="Z1485" s="2" t="s">
        <v>25855</v>
      </c>
      <c r="AA1485" s="2"/>
      <c r="AB1485" s="2" t="s">
        <v>25856</v>
      </c>
      <c r="AC1485" s="2" t="s">
        <v>25857</v>
      </c>
      <c r="AD1485" s="2" t="s">
        <v>25858</v>
      </c>
      <c r="AE1485" s="2" t="s">
        <v>25859</v>
      </c>
      <c r="AF1485" s="2"/>
      <c r="AG1485" s="2" t="n">
        <v>29</v>
      </c>
      <c r="AH1485" s="2" t="n">
        <v>64</v>
      </c>
      <c r="AI1485" s="2" t="n">
        <v>67</v>
      </c>
      <c r="AJ1485" s="2" t="n">
        <v>0</v>
      </c>
      <c r="AK1485" s="2" t="n">
        <v>7</v>
      </c>
      <c r="AL1485" s="2" t="s">
        <v>122</v>
      </c>
      <c r="AM1485" s="2" t="s">
        <v>123</v>
      </c>
      <c r="AN1485" s="2" t="s">
        <v>124</v>
      </c>
      <c r="AO1485" s="2" t="s">
        <v>125</v>
      </c>
      <c r="AP1485" s="2" t="s">
        <v>126</v>
      </c>
      <c r="AQ1485" s="2"/>
      <c r="AR1485" s="2" t="s">
        <v>127</v>
      </c>
      <c r="AS1485" s="2" t="s">
        <v>128</v>
      </c>
      <c r="AT1485" s="2" t="s">
        <v>390</v>
      </c>
      <c r="AU1485" s="2" t="n">
        <v>2013</v>
      </c>
      <c r="AV1485" s="2" t="n">
        <v>32</v>
      </c>
      <c r="AW1485" s="2" t="n">
        <v>5</v>
      </c>
      <c r="AX1485" s="2"/>
      <c r="AY1485" s="2"/>
      <c r="AZ1485" s="2"/>
      <c r="BA1485" s="2"/>
      <c r="BB1485" s="2" t="n">
        <v>441</v>
      </c>
      <c r="BC1485" s="2" t="n">
        <v>445</v>
      </c>
      <c r="BD1485" s="2"/>
      <c r="BE1485" s="2" t="s">
        <v>25860</v>
      </c>
      <c r="BF1485" s="2" t="str">
        <f aca="false">HYPERLINK("http://dx.doi.org/10.1097/INF.0b013e31828ba08c","http://dx.doi.org/10.1097/INF.0b013e31828ba08c")</f>
        <v>http://dx.doi.org/10.1097/INF.0b013e31828ba08c</v>
      </c>
      <c r="BG1485" s="2"/>
      <c r="BH1485" s="2"/>
      <c r="BI1485" s="2" t="n">
        <v>5</v>
      </c>
      <c r="BJ1485" s="2" t="s">
        <v>134</v>
      </c>
      <c r="BK1485" s="2" t="s">
        <v>100</v>
      </c>
      <c r="BL1485" s="2" t="s">
        <v>134</v>
      </c>
      <c r="BM1485" s="2" t="s">
        <v>7774</v>
      </c>
      <c r="BN1485" s="2" t="n">
        <v>23838658</v>
      </c>
      <c r="BO1485" s="2"/>
      <c r="BP1485" s="2"/>
      <c r="BQ1485" s="2"/>
      <c r="BR1485" s="2" t="s">
        <v>104</v>
      </c>
      <c r="BS1485" s="2" t="s">
        <v>25861</v>
      </c>
      <c r="BT1485" s="2" t="str">
        <f aca="false">HYPERLINK("https%3A%2F%2Fwww.webofscience.com%2Fwos%2Fwoscc%2Ffull-record%2FWOS:000318684400010","View Full Record in Web of Science")</f>
        <v>View Full Record in Web of Science</v>
      </c>
    </row>
    <row r="1486" customFormat="false" ht="12.75" hidden="false" customHeight="false" outlineLevel="0" collapsed="false">
      <c r="A1486" s="2" t="s">
        <v>72</v>
      </c>
      <c r="B1486" s="2" t="s">
        <v>25862</v>
      </c>
      <c r="C1486" s="2"/>
      <c r="D1486" s="2"/>
      <c r="E1486" s="2"/>
      <c r="F1486" s="2" t="s">
        <v>25863</v>
      </c>
      <c r="G1486" s="2"/>
      <c r="H1486" s="2"/>
      <c r="I1486" s="2" t="s">
        <v>25864</v>
      </c>
      <c r="J1486" s="2" t="s">
        <v>141</v>
      </c>
      <c r="K1486" s="2"/>
      <c r="L1486" s="2"/>
      <c r="M1486" s="2" t="s">
        <v>77</v>
      </c>
      <c r="N1486" s="2" t="s">
        <v>78</v>
      </c>
      <c r="O1486" s="2"/>
      <c r="P1486" s="2"/>
      <c r="Q1486" s="2"/>
      <c r="R1486" s="2"/>
      <c r="S1486" s="2"/>
      <c r="T1486" s="2" t="s">
        <v>25865</v>
      </c>
      <c r="U1486" s="2" t="s">
        <v>25866</v>
      </c>
      <c r="V1486" s="2" t="s">
        <v>25867</v>
      </c>
      <c r="W1486" s="2" t="s">
        <v>25868</v>
      </c>
      <c r="X1486" s="2" t="s">
        <v>25869</v>
      </c>
      <c r="Y1486" s="2" t="s">
        <v>25870</v>
      </c>
      <c r="Z1486" s="2" t="s">
        <v>25871</v>
      </c>
      <c r="AA1486" s="2" t="s">
        <v>25872</v>
      </c>
      <c r="AB1486" s="2"/>
      <c r="AC1486" s="2" t="s">
        <v>25873</v>
      </c>
      <c r="AD1486" s="2" t="s">
        <v>25874</v>
      </c>
      <c r="AE1486" s="2" t="s">
        <v>25875</v>
      </c>
      <c r="AF1486" s="2"/>
      <c r="AG1486" s="2" t="n">
        <v>26</v>
      </c>
      <c r="AH1486" s="2" t="n">
        <v>35</v>
      </c>
      <c r="AI1486" s="2" t="n">
        <v>36</v>
      </c>
      <c r="AJ1486" s="2" t="n">
        <v>0</v>
      </c>
      <c r="AK1486" s="2" t="n">
        <v>13</v>
      </c>
      <c r="AL1486" s="2" t="s">
        <v>154</v>
      </c>
      <c r="AM1486" s="2" t="s">
        <v>155</v>
      </c>
      <c r="AN1486" s="2" t="s">
        <v>156</v>
      </c>
      <c r="AO1486" s="2" t="s">
        <v>157</v>
      </c>
      <c r="AP1486" s="2" t="s">
        <v>158</v>
      </c>
      <c r="AQ1486" s="2"/>
      <c r="AR1486" s="2" t="s">
        <v>159</v>
      </c>
      <c r="AS1486" s="2" t="s">
        <v>160</v>
      </c>
      <c r="AT1486" s="2" t="s">
        <v>599</v>
      </c>
      <c r="AU1486" s="2" t="n">
        <v>2018</v>
      </c>
      <c r="AV1486" s="2" t="n">
        <v>90</v>
      </c>
      <c r="AW1486" s="2" t="n">
        <v>7</v>
      </c>
      <c r="AX1486" s="2"/>
      <c r="AY1486" s="2"/>
      <c r="AZ1486" s="2"/>
      <c r="BA1486" s="2"/>
      <c r="BB1486" s="2" t="n">
        <v>1177</v>
      </c>
      <c r="BC1486" s="2" t="n">
        <v>1183</v>
      </c>
      <c r="BD1486" s="2"/>
      <c r="BE1486" s="2" t="s">
        <v>25876</v>
      </c>
      <c r="BF1486" s="2" t="str">
        <f aca="false">HYPERLINK("http://dx.doi.org/10.1002/jmv.25069","http://dx.doi.org/10.1002/jmv.25069")</f>
        <v>http://dx.doi.org/10.1002/jmv.25069</v>
      </c>
      <c r="BG1486" s="2"/>
      <c r="BH1486" s="2"/>
      <c r="BI1486" s="2" t="n">
        <v>7</v>
      </c>
      <c r="BJ1486" s="2" t="s">
        <v>163</v>
      </c>
      <c r="BK1486" s="2" t="s">
        <v>100</v>
      </c>
      <c r="BL1486" s="2" t="s">
        <v>163</v>
      </c>
      <c r="BM1486" s="2" t="s">
        <v>25877</v>
      </c>
      <c r="BN1486" s="2" t="n">
        <v>29488229</v>
      </c>
      <c r="BO1486" s="2" t="s">
        <v>538</v>
      </c>
      <c r="BP1486" s="2"/>
      <c r="BQ1486" s="2"/>
      <c r="BR1486" s="2" t="s">
        <v>104</v>
      </c>
      <c r="BS1486" s="2" t="s">
        <v>25878</v>
      </c>
      <c r="BT1486" s="2" t="str">
        <f aca="false">HYPERLINK("https%3A%2F%2Fwww.webofscience.com%2Fwos%2Fwoscc%2Ffull-record%2FWOS:000433583300001","View Full Record in Web of Science")</f>
        <v>View Full Record in Web of Science</v>
      </c>
    </row>
    <row r="1487" customFormat="false" ht="12.75" hidden="false" customHeight="false" outlineLevel="0" collapsed="false">
      <c r="A1487" s="2" t="s">
        <v>72</v>
      </c>
      <c r="B1487" s="2" t="s">
        <v>25879</v>
      </c>
      <c r="C1487" s="2"/>
      <c r="D1487" s="2"/>
      <c r="E1487" s="2"/>
      <c r="F1487" s="2" t="s">
        <v>25880</v>
      </c>
      <c r="G1487" s="2"/>
      <c r="H1487" s="2"/>
      <c r="I1487" s="2" t="s">
        <v>25881</v>
      </c>
      <c r="J1487" s="2" t="s">
        <v>346</v>
      </c>
      <c r="K1487" s="2"/>
      <c r="L1487" s="2"/>
      <c r="M1487" s="2" t="s">
        <v>77</v>
      </c>
      <c r="N1487" s="2" t="s">
        <v>78</v>
      </c>
      <c r="O1487" s="2"/>
      <c r="P1487" s="2"/>
      <c r="Q1487" s="2"/>
      <c r="R1487" s="2"/>
      <c r="S1487" s="2"/>
      <c r="T1487" s="2" t="s">
        <v>25882</v>
      </c>
      <c r="U1487" s="2" t="s">
        <v>6516</v>
      </c>
      <c r="V1487" s="2" t="s">
        <v>25883</v>
      </c>
      <c r="W1487" s="2" t="s">
        <v>25884</v>
      </c>
      <c r="X1487" s="2"/>
      <c r="Y1487" s="2" t="s">
        <v>25885</v>
      </c>
      <c r="Z1487" s="2" t="s">
        <v>25886</v>
      </c>
      <c r="AA1487" s="2" t="s">
        <v>25887</v>
      </c>
      <c r="AB1487" s="2" t="s">
        <v>25888</v>
      </c>
      <c r="AC1487" s="2" t="s">
        <v>25889</v>
      </c>
      <c r="AD1487" s="2" t="s">
        <v>25890</v>
      </c>
      <c r="AE1487" s="2" t="s">
        <v>25891</v>
      </c>
      <c r="AF1487" s="2"/>
      <c r="AG1487" s="2" t="n">
        <v>14</v>
      </c>
      <c r="AH1487" s="2" t="n">
        <v>2</v>
      </c>
      <c r="AI1487" s="2" t="n">
        <v>2</v>
      </c>
      <c r="AJ1487" s="2" t="n">
        <v>0</v>
      </c>
      <c r="AK1487" s="2" t="n">
        <v>7</v>
      </c>
      <c r="AL1487" s="2" t="s">
        <v>356</v>
      </c>
      <c r="AM1487" s="2" t="s">
        <v>357</v>
      </c>
      <c r="AN1487" s="2" t="s">
        <v>358</v>
      </c>
      <c r="AO1487" s="2" t="s">
        <v>359</v>
      </c>
      <c r="AP1487" s="2"/>
      <c r="AQ1487" s="2"/>
      <c r="AR1487" s="2" t="s">
        <v>360</v>
      </c>
      <c r="AS1487" s="2" t="s">
        <v>361</v>
      </c>
      <c r="AT1487" s="2" t="s">
        <v>486</v>
      </c>
      <c r="AU1487" s="2" t="n">
        <v>2019</v>
      </c>
      <c r="AV1487" s="2" t="n">
        <v>155</v>
      </c>
      <c r="AW1487" s="2"/>
      <c r="AX1487" s="2"/>
      <c r="AY1487" s="2" t="n">
        <v>1</v>
      </c>
      <c r="AZ1487" s="2"/>
      <c r="BA1487" s="2"/>
      <c r="BB1487" s="2" t="s">
        <v>25892</v>
      </c>
      <c r="BC1487" s="2" t="s">
        <v>25893</v>
      </c>
      <c r="BD1487" s="2"/>
      <c r="BE1487" s="2" t="s">
        <v>25894</v>
      </c>
      <c r="BF1487" s="2" t="str">
        <f aca="false">HYPERLINK("http://dx.doi.org/10.24875/GMM.M19000282","http://dx.doi.org/10.24875/GMM.M19000282")</f>
        <v>http://dx.doi.org/10.24875/GMM.M19000282</v>
      </c>
      <c r="BG1487" s="2"/>
      <c r="BH1487" s="2"/>
      <c r="BI1487" s="2" t="n">
        <v>6</v>
      </c>
      <c r="BJ1487" s="2" t="s">
        <v>363</v>
      </c>
      <c r="BK1487" s="2" t="s">
        <v>100</v>
      </c>
      <c r="BL1487" s="2" t="s">
        <v>364</v>
      </c>
      <c r="BM1487" s="2" t="s">
        <v>25895</v>
      </c>
      <c r="BN1487" s="2" t="n">
        <v>31638611</v>
      </c>
      <c r="BO1487" s="2" t="s">
        <v>1355</v>
      </c>
      <c r="BP1487" s="2"/>
      <c r="BQ1487" s="2"/>
      <c r="BR1487" s="2" t="s">
        <v>104</v>
      </c>
      <c r="BS1487" s="2" t="s">
        <v>25896</v>
      </c>
      <c r="BT1487" s="2" t="str">
        <f aca="false">HYPERLINK("https%3A%2F%2Fwww.webofscience.com%2Fwos%2Fwoscc%2Ffull-record%2FWOS:000501784100003","View Full Record in Web of Science")</f>
        <v>View Full Record in Web of Science</v>
      </c>
    </row>
    <row r="1488" customFormat="false" ht="12.75" hidden="false" customHeight="false" outlineLevel="0" collapsed="false">
      <c r="A1488" s="2" t="s">
        <v>72</v>
      </c>
      <c r="B1488" s="2" t="s">
        <v>25897</v>
      </c>
      <c r="C1488" s="2"/>
      <c r="D1488" s="2"/>
      <c r="E1488" s="2"/>
      <c r="F1488" s="2" t="s">
        <v>25898</v>
      </c>
      <c r="G1488" s="2"/>
      <c r="H1488" s="2"/>
      <c r="I1488" s="2" t="s">
        <v>25899</v>
      </c>
      <c r="J1488" s="2" t="s">
        <v>25900</v>
      </c>
      <c r="K1488" s="2"/>
      <c r="L1488" s="2"/>
      <c r="M1488" s="2" t="s">
        <v>77</v>
      </c>
      <c r="N1488" s="2" t="s">
        <v>78</v>
      </c>
      <c r="O1488" s="2"/>
      <c r="P1488" s="2"/>
      <c r="Q1488" s="2"/>
      <c r="R1488" s="2"/>
      <c r="S1488" s="2"/>
      <c r="T1488" s="2" t="s">
        <v>25901</v>
      </c>
      <c r="U1488" s="2" t="s">
        <v>25902</v>
      </c>
      <c r="V1488" s="2" t="s">
        <v>25903</v>
      </c>
      <c r="W1488" s="2" t="s">
        <v>25904</v>
      </c>
      <c r="X1488" s="2" t="s">
        <v>25905</v>
      </c>
      <c r="Y1488" s="2" t="s">
        <v>25906</v>
      </c>
      <c r="Z1488" s="2" t="s">
        <v>25907</v>
      </c>
      <c r="AA1488" s="2" t="s">
        <v>25908</v>
      </c>
      <c r="AB1488" s="2" t="s">
        <v>25909</v>
      </c>
      <c r="AC1488" s="2" t="s">
        <v>25910</v>
      </c>
      <c r="AD1488" s="2" t="s">
        <v>25911</v>
      </c>
      <c r="AE1488" s="2" t="s">
        <v>25912</v>
      </c>
      <c r="AF1488" s="2"/>
      <c r="AG1488" s="2" t="n">
        <v>43</v>
      </c>
      <c r="AH1488" s="2" t="n">
        <v>16</v>
      </c>
      <c r="AI1488" s="2" t="n">
        <v>17</v>
      </c>
      <c r="AJ1488" s="2" t="n">
        <v>0</v>
      </c>
      <c r="AK1488" s="2" t="n">
        <v>6</v>
      </c>
      <c r="AL1488" s="2" t="s">
        <v>302</v>
      </c>
      <c r="AM1488" s="2" t="s">
        <v>303</v>
      </c>
      <c r="AN1488" s="2" t="s">
        <v>304</v>
      </c>
      <c r="AO1488" s="2"/>
      <c r="AP1488" s="2" t="s">
        <v>25913</v>
      </c>
      <c r="AQ1488" s="2"/>
      <c r="AR1488" s="2" t="s">
        <v>25914</v>
      </c>
      <c r="AS1488" s="2" t="s">
        <v>25915</v>
      </c>
      <c r="AT1488" s="2" t="s">
        <v>25916</v>
      </c>
      <c r="AU1488" s="2" t="n">
        <v>2013</v>
      </c>
      <c r="AV1488" s="2" t="n">
        <v>11</v>
      </c>
      <c r="AW1488" s="2"/>
      <c r="AX1488" s="2"/>
      <c r="AY1488" s="2"/>
      <c r="AZ1488" s="2"/>
      <c r="BA1488" s="2"/>
      <c r="BB1488" s="2"/>
      <c r="BC1488" s="2"/>
      <c r="BD1488" s="2" t="n">
        <v>10</v>
      </c>
      <c r="BE1488" s="2" t="s">
        <v>25917</v>
      </c>
      <c r="BF1488" s="2" t="str">
        <f aca="false">HYPERLINK("http://dx.doi.org/10.1186/1546-0096-11-10","http://dx.doi.org/10.1186/1546-0096-11-10")</f>
        <v>http://dx.doi.org/10.1186/1546-0096-11-10</v>
      </c>
      <c r="BG1488" s="2"/>
      <c r="BH1488" s="2"/>
      <c r="BI1488" s="2" t="n">
        <v>10</v>
      </c>
      <c r="BJ1488" s="2" t="s">
        <v>25918</v>
      </c>
      <c r="BK1488" s="2" t="s">
        <v>100</v>
      </c>
      <c r="BL1488" s="2" t="s">
        <v>25918</v>
      </c>
      <c r="BM1488" s="2" t="s">
        <v>25919</v>
      </c>
      <c r="BN1488" s="2" t="n">
        <v>23510667</v>
      </c>
      <c r="BO1488" s="2" t="s">
        <v>103</v>
      </c>
      <c r="BP1488" s="2"/>
      <c r="BQ1488" s="2"/>
      <c r="BR1488" s="2" t="s">
        <v>104</v>
      </c>
      <c r="BS1488" s="2" t="s">
        <v>25920</v>
      </c>
      <c r="BT1488" s="2" t="str">
        <f aca="false">HYPERLINK("https%3A%2F%2Fwww.webofscience.com%2Fwos%2Fwoscc%2Ffull-record%2FWOS:000316352300001","View Full Record in Web of Science")</f>
        <v>View Full Record in Web of Science</v>
      </c>
    </row>
    <row r="1489" customFormat="false" ht="12.75" hidden="false" customHeight="false" outlineLevel="0" collapsed="false">
      <c r="A1489" s="2" t="s">
        <v>72</v>
      </c>
      <c r="B1489" s="2" t="s">
        <v>25921</v>
      </c>
      <c r="C1489" s="2"/>
      <c r="D1489" s="2"/>
      <c r="E1489" s="2"/>
      <c r="F1489" s="2" t="s">
        <v>25922</v>
      </c>
      <c r="G1489" s="2"/>
      <c r="H1489" s="2"/>
      <c r="I1489" s="2" t="s">
        <v>25923</v>
      </c>
      <c r="J1489" s="2" t="s">
        <v>141</v>
      </c>
      <c r="K1489" s="2"/>
      <c r="L1489" s="2"/>
      <c r="M1489" s="2" t="s">
        <v>77</v>
      </c>
      <c r="N1489" s="2" t="s">
        <v>78</v>
      </c>
      <c r="O1489" s="2"/>
      <c r="P1489" s="2"/>
      <c r="Q1489" s="2"/>
      <c r="R1489" s="2"/>
      <c r="S1489" s="2"/>
      <c r="T1489" s="2" t="s">
        <v>25924</v>
      </c>
      <c r="U1489" s="2" t="s">
        <v>25925</v>
      </c>
      <c r="V1489" s="2" t="s">
        <v>25926</v>
      </c>
      <c r="W1489" s="2" t="s">
        <v>25927</v>
      </c>
      <c r="X1489" s="2" t="s">
        <v>25928</v>
      </c>
      <c r="Y1489" s="2" t="s">
        <v>25929</v>
      </c>
      <c r="Z1489" s="2" t="s">
        <v>25930</v>
      </c>
      <c r="AA1489" s="2"/>
      <c r="AB1489" s="2"/>
      <c r="AC1489" s="2"/>
      <c r="AD1489" s="2"/>
      <c r="AE1489" s="2"/>
      <c r="AF1489" s="2"/>
      <c r="AG1489" s="2" t="n">
        <v>42</v>
      </c>
      <c r="AH1489" s="2" t="n">
        <v>55</v>
      </c>
      <c r="AI1489" s="2" t="n">
        <v>61</v>
      </c>
      <c r="AJ1489" s="2" t="n">
        <v>0</v>
      </c>
      <c r="AK1489" s="2" t="n">
        <v>5</v>
      </c>
      <c r="AL1489" s="2" t="s">
        <v>154</v>
      </c>
      <c r="AM1489" s="2" t="s">
        <v>155</v>
      </c>
      <c r="AN1489" s="2" t="s">
        <v>156</v>
      </c>
      <c r="AO1489" s="2" t="s">
        <v>157</v>
      </c>
      <c r="AP1489" s="2" t="s">
        <v>158</v>
      </c>
      <c r="AQ1489" s="2"/>
      <c r="AR1489" s="2" t="s">
        <v>159</v>
      </c>
      <c r="AS1489" s="2" t="s">
        <v>160</v>
      </c>
      <c r="AT1489" s="2" t="s">
        <v>161</v>
      </c>
      <c r="AU1489" s="2" t="n">
        <v>2008</v>
      </c>
      <c r="AV1489" s="2" t="n">
        <v>80</v>
      </c>
      <c r="AW1489" s="2" t="n">
        <v>1</v>
      </c>
      <c r="AX1489" s="2"/>
      <c r="AY1489" s="2"/>
      <c r="AZ1489" s="2"/>
      <c r="BA1489" s="2"/>
      <c r="BB1489" s="2" t="n">
        <v>168</v>
      </c>
      <c r="BC1489" s="2" t="n">
        <v>174</v>
      </c>
      <c r="BD1489" s="2"/>
      <c r="BE1489" s="2" t="s">
        <v>25931</v>
      </c>
      <c r="BF1489" s="2" t="str">
        <f aca="false">HYPERLINK("http://dx.doi.org/10.1002/jmv.21067","http://dx.doi.org/10.1002/jmv.21067")</f>
        <v>http://dx.doi.org/10.1002/jmv.21067</v>
      </c>
      <c r="BG1489" s="2"/>
      <c r="BH1489" s="2"/>
      <c r="BI1489" s="2" t="n">
        <v>7</v>
      </c>
      <c r="BJ1489" s="2" t="s">
        <v>163</v>
      </c>
      <c r="BK1489" s="2" t="s">
        <v>100</v>
      </c>
      <c r="BL1489" s="2" t="s">
        <v>163</v>
      </c>
      <c r="BM1489" s="2" t="s">
        <v>9870</v>
      </c>
      <c r="BN1489" s="2" t="n">
        <v>18041044</v>
      </c>
      <c r="BO1489" s="2" t="s">
        <v>538</v>
      </c>
      <c r="BP1489" s="2"/>
      <c r="BQ1489" s="2"/>
      <c r="BR1489" s="2" t="s">
        <v>104</v>
      </c>
      <c r="BS1489" s="2" t="s">
        <v>25932</v>
      </c>
      <c r="BT1489" s="2" t="str">
        <f aca="false">HYPERLINK("https%3A%2F%2Fwww.webofscience.com%2Fwos%2Fwoscc%2Ffull-record%2FWOS:000251335900022","View Full Record in Web of Science")</f>
        <v>View Full Record in Web of Science</v>
      </c>
    </row>
    <row r="1490" customFormat="false" ht="12.75" hidden="false" customHeight="false" outlineLevel="0" collapsed="false">
      <c r="A1490" s="2" t="s">
        <v>72</v>
      </c>
      <c r="B1490" s="2" t="s">
        <v>25933</v>
      </c>
      <c r="C1490" s="2"/>
      <c r="D1490" s="2"/>
      <c r="E1490" s="2"/>
      <c r="F1490" s="2" t="s">
        <v>25934</v>
      </c>
      <c r="G1490" s="2"/>
      <c r="H1490" s="2"/>
      <c r="I1490" s="2" t="s">
        <v>25935</v>
      </c>
      <c r="J1490" s="2" t="s">
        <v>3438</v>
      </c>
      <c r="K1490" s="2"/>
      <c r="L1490" s="2"/>
      <c r="M1490" s="2" t="s">
        <v>77</v>
      </c>
      <c r="N1490" s="2" t="s">
        <v>78</v>
      </c>
      <c r="O1490" s="2"/>
      <c r="P1490" s="2"/>
      <c r="Q1490" s="2"/>
      <c r="R1490" s="2"/>
      <c r="S1490" s="2"/>
      <c r="T1490" s="2" t="s">
        <v>25936</v>
      </c>
      <c r="U1490" s="2" t="s">
        <v>25937</v>
      </c>
      <c r="V1490" s="2" t="s">
        <v>25938</v>
      </c>
      <c r="W1490" s="2" t="s">
        <v>25939</v>
      </c>
      <c r="X1490" s="2" t="s">
        <v>24109</v>
      </c>
      <c r="Y1490" s="2" t="s">
        <v>25940</v>
      </c>
      <c r="Z1490" s="2" t="s">
        <v>25941</v>
      </c>
      <c r="AA1490" s="2" t="s">
        <v>25942</v>
      </c>
      <c r="AB1490" s="2" t="s">
        <v>25943</v>
      </c>
      <c r="AC1490" s="2" t="s">
        <v>25944</v>
      </c>
      <c r="AD1490" s="2" t="s">
        <v>25945</v>
      </c>
      <c r="AE1490" s="2" t="s">
        <v>25946</v>
      </c>
      <c r="AF1490" s="2"/>
      <c r="AG1490" s="2" t="n">
        <v>16</v>
      </c>
      <c r="AH1490" s="2" t="n">
        <v>11</v>
      </c>
      <c r="AI1490" s="2" t="n">
        <v>11</v>
      </c>
      <c r="AJ1490" s="2" t="n">
        <v>0</v>
      </c>
      <c r="AK1490" s="2" t="n">
        <v>1</v>
      </c>
      <c r="AL1490" s="2" t="s">
        <v>3451</v>
      </c>
      <c r="AM1490" s="2" t="s">
        <v>3452</v>
      </c>
      <c r="AN1490" s="2" t="s">
        <v>3453</v>
      </c>
      <c r="AO1490" s="2" t="s">
        <v>3454</v>
      </c>
      <c r="AP1490" s="2"/>
      <c r="AQ1490" s="2"/>
      <c r="AR1490" s="2" t="s">
        <v>3455</v>
      </c>
      <c r="AS1490" s="2" t="s">
        <v>3456</v>
      </c>
      <c r="AT1490" s="2"/>
      <c r="AU1490" s="2" t="n">
        <v>2019</v>
      </c>
      <c r="AV1490" s="2" t="n">
        <v>52</v>
      </c>
      <c r="AW1490" s="2"/>
      <c r="AX1490" s="2"/>
      <c r="AY1490" s="2"/>
      <c r="AZ1490" s="2"/>
      <c r="BA1490" s="2"/>
      <c r="BB1490" s="2"/>
      <c r="BC1490" s="2"/>
      <c r="BD1490" s="2" t="s">
        <v>25947</v>
      </c>
      <c r="BE1490" s="2" t="s">
        <v>25948</v>
      </c>
      <c r="BF1490" s="2" t="str">
        <f aca="false">HYPERLINK("http://dx.doi.org/10.1590/0037-8682-0249-2018","http://dx.doi.org/10.1590/0037-8682-0249-2018")</f>
        <v>http://dx.doi.org/10.1590/0037-8682-0249-2018</v>
      </c>
      <c r="BG1490" s="2"/>
      <c r="BH1490" s="2"/>
      <c r="BI1490" s="2" t="n">
        <v>4</v>
      </c>
      <c r="BJ1490" s="2" t="s">
        <v>3199</v>
      </c>
      <c r="BK1490" s="2" t="s">
        <v>100</v>
      </c>
      <c r="BL1490" s="2" t="s">
        <v>3199</v>
      </c>
      <c r="BM1490" s="2" t="s">
        <v>25949</v>
      </c>
      <c r="BN1490" s="2" t="n">
        <v>31365620</v>
      </c>
      <c r="BO1490" s="2" t="s">
        <v>1355</v>
      </c>
      <c r="BP1490" s="2"/>
      <c r="BQ1490" s="2"/>
      <c r="BR1490" s="2" t="s">
        <v>104</v>
      </c>
      <c r="BS1490" s="2" t="s">
        <v>25950</v>
      </c>
      <c r="BT1490" s="2" t="str">
        <f aca="false">HYPERLINK("https%3A%2F%2Fwww.webofscience.com%2Fwos%2Fwoscc%2Ffull-record%2FWOS:000478053500001","View Full Record in Web of Science")</f>
        <v>View Full Record in Web of Science</v>
      </c>
    </row>
    <row r="1491" customFormat="false" ht="12.75" hidden="false" customHeight="false" outlineLevel="0" collapsed="false">
      <c r="A1491" s="2" t="s">
        <v>72</v>
      </c>
      <c r="B1491" s="2" t="s">
        <v>25951</v>
      </c>
      <c r="C1491" s="2"/>
      <c r="D1491" s="2"/>
      <c r="E1491" s="2"/>
      <c r="F1491" s="2" t="s">
        <v>25952</v>
      </c>
      <c r="G1491" s="2"/>
      <c r="H1491" s="2"/>
      <c r="I1491" s="2" t="s">
        <v>25953</v>
      </c>
      <c r="J1491" s="2" t="s">
        <v>557</v>
      </c>
      <c r="K1491" s="2"/>
      <c r="L1491" s="2"/>
      <c r="M1491" s="2" t="s">
        <v>77</v>
      </c>
      <c r="N1491" s="2" t="s">
        <v>78</v>
      </c>
      <c r="O1491" s="2"/>
      <c r="P1491" s="2"/>
      <c r="Q1491" s="2"/>
      <c r="R1491" s="2"/>
      <c r="S1491" s="2"/>
      <c r="T1491" s="2" t="s">
        <v>25954</v>
      </c>
      <c r="U1491" s="2" t="s">
        <v>25955</v>
      </c>
      <c r="V1491" s="2" t="s">
        <v>25956</v>
      </c>
      <c r="W1491" s="2" t="s">
        <v>25957</v>
      </c>
      <c r="X1491" s="2" t="s">
        <v>25958</v>
      </c>
      <c r="Y1491" s="2" t="s">
        <v>25959</v>
      </c>
      <c r="Z1491" s="2" t="s">
        <v>25960</v>
      </c>
      <c r="AA1491" s="2"/>
      <c r="AB1491" s="2"/>
      <c r="AC1491" s="2" t="s">
        <v>25961</v>
      </c>
      <c r="AD1491" s="2" t="s">
        <v>25962</v>
      </c>
      <c r="AE1491" s="2" t="s">
        <v>25963</v>
      </c>
      <c r="AF1491" s="2"/>
      <c r="AG1491" s="2" t="n">
        <v>26</v>
      </c>
      <c r="AH1491" s="2" t="n">
        <v>2</v>
      </c>
      <c r="AI1491" s="2" t="n">
        <v>2</v>
      </c>
      <c r="AJ1491" s="2" t="n">
        <v>1</v>
      </c>
      <c r="AK1491" s="2" t="n">
        <v>1</v>
      </c>
      <c r="AL1491" s="2" t="s">
        <v>302</v>
      </c>
      <c r="AM1491" s="2" t="s">
        <v>303</v>
      </c>
      <c r="AN1491" s="2" t="s">
        <v>304</v>
      </c>
      <c r="AO1491" s="2"/>
      <c r="AP1491" s="2" t="s">
        <v>570</v>
      </c>
      <c r="AQ1491" s="2"/>
      <c r="AR1491" s="2" t="s">
        <v>571</v>
      </c>
      <c r="AS1491" s="2" t="s">
        <v>572</v>
      </c>
      <c r="AT1491" s="2" t="s">
        <v>7002</v>
      </c>
      <c r="AU1491" s="2" t="n">
        <v>2024</v>
      </c>
      <c r="AV1491" s="2" t="n">
        <v>24</v>
      </c>
      <c r="AW1491" s="2" t="n">
        <v>1</v>
      </c>
      <c r="AX1491" s="2"/>
      <c r="AY1491" s="2"/>
      <c r="AZ1491" s="2"/>
      <c r="BA1491" s="2"/>
      <c r="BB1491" s="2"/>
      <c r="BC1491" s="2"/>
      <c r="BD1491" s="2" t="n">
        <v>826</v>
      </c>
      <c r="BE1491" s="2" t="s">
        <v>25964</v>
      </c>
      <c r="BF1491" s="2" t="str">
        <f aca="false">HYPERLINK("http://dx.doi.org/10.1186/s12879-024-09733-y","http://dx.doi.org/10.1186/s12879-024-09733-y")</f>
        <v>http://dx.doi.org/10.1186/s12879-024-09733-y</v>
      </c>
      <c r="BG1491" s="2"/>
      <c r="BH1491" s="2"/>
      <c r="BI1491" s="2" t="n">
        <v>10</v>
      </c>
      <c r="BJ1491" s="2" t="s">
        <v>575</v>
      </c>
      <c r="BK1491" s="2" t="s">
        <v>100</v>
      </c>
      <c r="BL1491" s="2" t="s">
        <v>575</v>
      </c>
      <c r="BM1491" s="2" t="s">
        <v>25965</v>
      </c>
      <c r="BN1491" s="2" t="n">
        <v>39143516</v>
      </c>
      <c r="BO1491" s="2" t="s">
        <v>190</v>
      </c>
      <c r="BP1491" s="2"/>
      <c r="BQ1491" s="2"/>
      <c r="BR1491" s="2" t="s">
        <v>104</v>
      </c>
      <c r="BS1491" s="2" t="s">
        <v>25966</v>
      </c>
      <c r="BT1491" s="2" t="str">
        <f aca="false">HYPERLINK("https%3A%2F%2Fwww.webofscience.com%2Fwos%2Fwoscc%2Ffull-record%2FWOS:001291673300001","View Full Record in Web of Science")</f>
        <v>View Full Record in Web of Science</v>
      </c>
    </row>
    <row r="1492" customFormat="false" ht="12.75" hidden="false" customHeight="false" outlineLevel="0" collapsed="false">
      <c r="A1492" s="2" t="s">
        <v>72</v>
      </c>
      <c r="B1492" s="2" t="s">
        <v>25967</v>
      </c>
      <c r="C1492" s="2"/>
      <c r="D1492" s="2"/>
      <c r="E1492" s="2"/>
      <c r="F1492" s="2" t="s">
        <v>25968</v>
      </c>
      <c r="G1492" s="2"/>
      <c r="H1492" s="2"/>
      <c r="I1492" s="2" t="s">
        <v>25969</v>
      </c>
      <c r="J1492" s="2" t="s">
        <v>9323</v>
      </c>
      <c r="K1492" s="2"/>
      <c r="L1492" s="2"/>
      <c r="M1492" s="2" t="s">
        <v>77</v>
      </c>
      <c r="N1492" s="2" t="s">
        <v>78</v>
      </c>
      <c r="O1492" s="2"/>
      <c r="P1492" s="2"/>
      <c r="Q1492" s="2"/>
      <c r="R1492" s="2"/>
      <c r="S1492" s="2"/>
      <c r="T1492" s="2" t="s">
        <v>25970</v>
      </c>
      <c r="U1492" s="2" t="s">
        <v>25971</v>
      </c>
      <c r="V1492" s="2" t="s">
        <v>25972</v>
      </c>
      <c r="W1492" s="2" t="s">
        <v>25973</v>
      </c>
      <c r="X1492" s="2"/>
      <c r="Y1492" s="2" t="s">
        <v>25974</v>
      </c>
      <c r="Z1492" s="2" t="s">
        <v>25975</v>
      </c>
      <c r="AA1492" s="2"/>
      <c r="AB1492" s="2" t="s">
        <v>25976</v>
      </c>
      <c r="AC1492" s="2"/>
      <c r="AD1492" s="2"/>
      <c r="AE1492" s="2"/>
      <c r="AF1492" s="2"/>
      <c r="AG1492" s="2" t="n">
        <v>16</v>
      </c>
      <c r="AH1492" s="2" t="n">
        <v>0</v>
      </c>
      <c r="AI1492" s="2" t="n">
        <v>0</v>
      </c>
      <c r="AJ1492" s="2" t="n">
        <v>0</v>
      </c>
      <c r="AK1492" s="2" t="n">
        <v>5</v>
      </c>
      <c r="AL1492" s="2" t="s">
        <v>383</v>
      </c>
      <c r="AM1492" s="2" t="s">
        <v>384</v>
      </c>
      <c r="AN1492" s="2" t="s">
        <v>385</v>
      </c>
      <c r="AO1492" s="2" t="s">
        <v>9333</v>
      </c>
      <c r="AP1492" s="2" t="s">
        <v>9334</v>
      </c>
      <c r="AQ1492" s="2"/>
      <c r="AR1492" s="2" t="s">
        <v>9335</v>
      </c>
      <c r="AS1492" s="2" t="s">
        <v>9336</v>
      </c>
      <c r="AT1492" s="2" t="s">
        <v>18836</v>
      </c>
      <c r="AU1492" s="2" t="n">
        <v>2021</v>
      </c>
      <c r="AV1492" s="2" t="n">
        <v>39</v>
      </c>
      <c r="AW1492" s="2" t="n">
        <v>4</v>
      </c>
      <c r="AX1492" s="2"/>
      <c r="AY1492" s="2"/>
      <c r="AZ1492" s="2"/>
      <c r="BA1492" s="2"/>
      <c r="BB1492" s="2" t="n">
        <v>429</v>
      </c>
      <c r="BC1492" s="2" t="n">
        <v>433</v>
      </c>
      <c r="BD1492" s="2"/>
      <c r="BE1492" s="2" t="s">
        <v>25977</v>
      </c>
      <c r="BF1492" s="2" t="str">
        <f aca="false">HYPERLINK("http://dx.doi.org/10.1016/j.ijmmb.2021.09.003","http://dx.doi.org/10.1016/j.ijmmb.2021.09.003")</f>
        <v>http://dx.doi.org/10.1016/j.ijmmb.2021.09.003</v>
      </c>
      <c r="BG1492" s="2"/>
      <c r="BH1492" s="2" t="s">
        <v>3879</v>
      </c>
      <c r="BI1492" s="2" t="n">
        <v>5</v>
      </c>
      <c r="BJ1492" s="2" t="s">
        <v>628</v>
      </c>
      <c r="BK1492" s="2" t="s">
        <v>100</v>
      </c>
      <c r="BL1492" s="2" t="s">
        <v>628</v>
      </c>
      <c r="BM1492" s="2" t="s">
        <v>25978</v>
      </c>
      <c r="BN1492" s="2" t="n">
        <v>34556348</v>
      </c>
      <c r="BO1492" s="2" t="s">
        <v>1355</v>
      </c>
      <c r="BP1492" s="2"/>
      <c r="BQ1492" s="2"/>
      <c r="BR1492" s="2" t="s">
        <v>104</v>
      </c>
      <c r="BS1492" s="2" t="s">
        <v>25979</v>
      </c>
      <c r="BT1492" s="2" t="str">
        <f aca="false">HYPERLINK("https%3A%2F%2Fwww.webofscience.com%2Fwos%2Fwoscc%2Ffull-record%2FWOS:000717596200008","View Full Record in Web of Science")</f>
        <v>View Full Record in Web of Science</v>
      </c>
    </row>
    <row r="1493" customFormat="false" ht="12.75" hidden="false" customHeight="false" outlineLevel="0" collapsed="false">
      <c r="A1493" s="2" t="s">
        <v>72</v>
      </c>
      <c r="B1493" s="2" t="s">
        <v>13203</v>
      </c>
      <c r="C1493" s="2"/>
      <c r="D1493" s="2"/>
      <c r="E1493" s="2"/>
      <c r="F1493" s="2" t="s">
        <v>25980</v>
      </c>
      <c r="G1493" s="2"/>
      <c r="H1493" s="2"/>
      <c r="I1493" s="2" t="s">
        <v>25981</v>
      </c>
      <c r="J1493" s="2" t="s">
        <v>770</v>
      </c>
      <c r="K1493" s="2"/>
      <c r="L1493" s="2"/>
      <c r="M1493" s="2" t="s">
        <v>77</v>
      </c>
      <c r="N1493" s="2" t="s">
        <v>78</v>
      </c>
      <c r="O1493" s="2"/>
      <c r="P1493" s="2"/>
      <c r="Q1493" s="2"/>
      <c r="R1493" s="2"/>
      <c r="S1493" s="2"/>
      <c r="T1493" s="2" t="s">
        <v>25982</v>
      </c>
      <c r="U1493" s="2" t="s">
        <v>25983</v>
      </c>
      <c r="V1493" s="2" t="s">
        <v>25984</v>
      </c>
      <c r="W1493" s="2" t="s">
        <v>25985</v>
      </c>
      <c r="X1493" s="2" t="s">
        <v>25986</v>
      </c>
      <c r="Y1493" s="2" t="s">
        <v>25987</v>
      </c>
      <c r="Z1493" s="2" t="s">
        <v>13212</v>
      </c>
      <c r="AA1493" s="2" t="s">
        <v>25988</v>
      </c>
      <c r="AB1493" s="2" t="s">
        <v>25989</v>
      </c>
      <c r="AC1493" s="2" t="s">
        <v>25990</v>
      </c>
      <c r="AD1493" s="2" t="s">
        <v>25991</v>
      </c>
      <c r="AE1493" s="2" t="s">
        <v>25992</v>
      </c>
      <c r="AF1493" s="2"/>
      <c r="AG1493" s="2" t="n">
        <v>44</v>
      </c>
      <c r="AH1493" s="2" t="n">
        <v>40</v>
      </c>
      <c r="AI1493" s="2" t="n">
        <v>41</v>
      </c>
      <c r="AJ1493" s="2" t="n">
        <v>0</v>
      </c>
      <c r="AK1493" s="2" t="n">
        <v>9</v>
      </c>
      <c r="AL1493" s="2" t="s">
        <v>782</v>
      </c>
      <c r="AM1493" s="2" t="s">
        <v>783</v>
      </c>
      <c r="AN1493" s="2" t="s">
        <v>784</v>
      </c>
      <c r="AO1493" s="2" t="s">
        <v>785</v>
      </c>
      <c r="AP1493" s="2" t="s">
        <v>786</v>
      </c>
      <c r="AQ1493" s="2"/>
      <c r="AR1493" s="2" t="s">
        <v>787</v>
      </c>
      <c r="AS1493" s="2" t="s">
        <v>788</v>
      </c>
      <c r="AT1493" s="2" t="s">
        <v>804</v>
      </c>
      <c r="AU1493" s="2" t="n">
        <v>2014</v>
      </c>
      <c r="AV1493" s="2" t="n">
        <v>28</v>
      </c>
      <c r="AW1493" s="2"/>
      <c r="AX1493" s="2"/>
      <c r="AY1493" s="2"/>
      <c r="AZ1493" s="2"/>
      <c r="BA1493" s="2"/>
      <c r="BB1493" s="2" t="n">
        <v>164</v>
      </c>
      <c r="BC1493" s="2" t="n">
        <v>170</v>
      </c>
      <c r="BD1493" s="2"/>
      <c r="BE1493" s="2" t="s">
        <v>25993</v>
      </c>
      <c r="BF1493" s="2" t="str">
        <f aca="false">HYPERLINK("http://dx.doi.org/10.1016/j.ijid.2014.07.027","http://dx.doi.org/10.1016/j.ijid.2014.07.027")</f>
        <v>http://dx.doi.org/10.1016/j.ijid.2014.07.027</v>
      </c>
      <c r="BG1493" s="2"/>
      <c r="BH1493" s="2"/>
      <c r="BI1493" s="2" t="n">
        <v>7</v>
      </c>
      <c r="BJ1493" s="2" t="s">
        <v>575</v>
      </c>
      <c r="BK1493" s="2" t="s">
        <v>100</v>
      </c>
      <c r="BL1493" s="2" t="s">
        <v>575</v>
      </c>
      <c r="BM1493" s="2" t="s">
        <v>25994</v>
      </c>
      <c r="BN1493" s="2" t="n">
        <v>25305555</v>
      </c>
      <c r="BO1493" s="2" t="s">
        <v>103</v>
      </c>
      <c r="BP1493" s="2"/>
      <c r="BQ1493" s="2"/>
      <c r="BR1493" s="2" t="s">
        <v>104</v>
      </c>
      <c r="BS1493" s="2" t="s">
        <v>25995</v>
      </c>
      <c r="BT1493" s="2" t="str">
        <f aca="false">HYPERLINK("https%3A%2F%2Fwww.webofscience.com%2Fwos%2Fwoscc%2Ffull-record%2FWOS:000348023300028","View Full Record in Web of Science")</f>
        <v>View Full Record in Web of Science</v>
      </c>
    </row>
    <row r="1494" customFormat="false" ht="12.75" hidden="false" customHeight="false" outlineLevel="0" collapsed="false">
      <c r="A1494" s="2" t="s">
        <v>72</v>
      </c>
      <c r="B1494" s="2" t="s">
        <v>25996</v>
      </c>
      <c r="C1494" s="2"/>
      <c r="D1494" s="2"/>
      <c r="E1494" s="2"/>
      <c r="F1494" s="2" t="s">
        <v>25997</v>
      </c>
      <c r="G1494" s="2"/>
      <c r="H1494" s="2"/>
      <c r="I1494" s="2" t="s">
        <v>25998</v>
      </c>
      <c r="J1494" s="2" t="s">
        <v>25999</v>
      </c>
      <c r="K1494" s="2"/>
      <c r="L1494" s="2"/>
      <c r="M1494" s="2" t="s">
        <v>77</v>
      </c>
      <c r="N1494" s="2" t="s">
        <v>78</v>
      </c>
      <c r="O1494" s="2"/>
      <c r="P1494" s="2"/>
      <c r="Q1494" s="2"/>
      <c r="R1494" s="2"/>
      <c r="S1494" s="2"/>
      <c r="T1494" s="2" t="s">
        <v>26000</v>
      </c>
      <c r="U1494" s="2" t="s">
        <v>26001</v>
      </c>
      <c r="V1494" s="2" t="s">
        <v>26002</v>
      </c>
      <c r="W1494" s="2" t="s">
        <v>26003</v>
      </c>
      <c r="X1494" s="2" t="s">
        <v>11429</v>
      </c>
      <c r="Y1494" s="2" t="s">
        <v>26004</v>
      </c>
      <c r="Z1494" s="2" t="s">
        <v>26005</v>
      </c>
      <c r="AA1494" s="2" t="s">
        <v>26006</v>
      </c>
      <c r="AB1494" s="2" t="s">
        <v>26007</v>
      </c>
      <c r="AC1494" s="2" t="s">
        <v>26008</v>
      </c>
      <c r="AD1494" s="2" t="s">
        <v>26009</v>
      </c>
      <c r="AE1494" s="2" t="s">
        <v>26010</v>
      </c>
      <c r="AF1494" s="2"/>
      <c r="AG1494" s="2" t="n">
        <v>17</v>
      </c>
      <c r="AH1494" s="2" t="n">
        <v>1</v>
      </c>
      <c r="AI1494" s="2" t="n">
        <v>1</v>
      </c>
      <c r="AJ1494" s="2" t="n">
        <v>0</v>
      </c>
      <c r="AK1494" s="2" t="n">
        <v>3</v>
      </c>
      <c r="AL1494" s="2" t="s">
        <v>26011</v>
      </c>
      <c r="AM1494" s="2" t="s">
        <v>26012</v>
      </c>
      <c r="AN1494" s="2" t="s">
        <v>26013</v>
      </c>
      <c r="AO1494" s="2" t="s">
        <v>26014</v>
      </c>
      <c r="AP1494" s="2"/>
      <c r="AQ1494" s="2"/>
      <c r="AR1494" s="2" t="s">
        <v>26015</v>
      </c>
      <c r="AS1494" s="2" t="s">
        <v>26016</v>
      </c>
      <c r="AT1494" s="2"/>
      <c r="AU1494" s="2" t="n">
        <v>2020</v>
      </c>
      <c r="AV1494" s="2" t="n">
        <v>73</v>
      </c>
      <c r="AW1494" s="2" t="n">
        <v>4</v>
      </c>
      <c r="AX1494" s="2"/>
      <c r="AY1494" s="2"/>
      <c r="AZ1494" s="2"/>
      <c r="BA1494" s="2"/>
      <c r="BB1494" s="2" t="n">
        <v>490</v>
      </c>
      <c r="BC1494" s="2" t="n">
        <v>497</v>
      </c>
      <c r="BD1494" s="2"/>
      <c r="BE1494" s="2" t="s">
        <v>26017</v>
      </c>
      <c r="BF1494" s="2" t="str">
        <f aca="false">HYPERLINK("http://dx.doi.org/10.7546/CRABS.2020.04.07","http://dx.doi.org/10.7546/CRABS.2020.04.07")</f>
        <v>http://dx.doi.org/10.7546/CRABS.2020.04.07</v>
      </c>
      <c r="BG1494" s="2"/>
      <c r="BH1494" s="2"/>
      <c r="BI1494" s="2" t="n">
        <v>8</v>
      </c>
      <c r="BJ1494" s="2" t="s">
        <v>1658</v>
      </c>
      <c r="BK1494" s="2" t="s">
        <v>100</v>
      </c>
      <c r="BL1494" s="2" t="s">
        <v>1659</v>
      </c>
      <c r="BM1494" s="2" t="s">
        <v>26018</v>
      </c>
      <c r="BN1494" s="2"/>
      <c r="BO1494" s="2"/>
      <c r="BP1494" s="2"/>
      <c r="BQ1494" s="2"/>
      <c r="BR1494" s="2" t="s">
        <v>104</v>
      </c>
      <c r="BS1494" s="2" t="s">
        <v>26019</v>
      </c>
      <c r="BT1494" s="2" t="str">
        <f aca="false">HYPERLINK("https%3A%2F%2Fwww.webofscience.com%2Fwos%2Fwoscc%2Ffull-record%2FWOS:000537705800005","View Full Record in Web of Science")</f>
        <v>View Full Record in Web of Science</v>
      </c>
    </row>
    <row r="1495" customFormat="false" ht="12.75" hidden="false" customHeight="false" outlineLevel="0" collapsed="false">
      <c r="A1495" s="2" t="s">
        <v>72</v>
      </c>
      <c r="B1495" s="2" t="s">
        <v>26020</v>
      </c>
      <c r="C1495" s="2"/>
      <c r="D1495" s="2"/>
      <c r="E1495" s="2"/>
      <c r="F1495" s="2" t="s">
        <v>26021</v>
      </c>
      <c r="G1495" s="2"/>
      <c r="H1495" s="2"/>
      <c r="I1495" s="2" t="s">
        <v>26022</v>
      </c>
      <c r="J1495" s="2" t="s">
        <v>12527</v>
      </c>
      <c r="K1495" s="2"/>
      <c r="L1495" s="2"/>
      <c r="M1495" s="2" t="s">
        <v>77</v>
      </c>
      <c r="N1495" s="2" t="s">
        <v>78</v>
      </c>
      <c r="O1495" s="2"/>
      <c r="P1495" s="2"/>
      <c r="Q1495" s="2"/>
      <c r="R1495" s="2"/>
      <c r="S1495" s="2"/>
      <c r="T1495" s="2" t="s">
        <v>26023</v>
      </c>
      <c r="U1495" s="2" t="s">
        <v>26024</v>
      </c>
      <c r="V1495" s="2" t="s">
        <v>26025</v>
      </c>
      <c r="W1495" s="2" t="s">
        <v>26026</v>
      </c>
      <c r="X1495" s="2"/>
      <c r="Y1495" s="2" t="s">
        <v>26027</v>
      </c>
      <c r="Z1495" s="2" t="s">
        <v>26028</v>
      </c>
      <c r="AA1495" s="2"/>
      <c r="AB1495" s="2"/>
      <c r="AC1495" s="2" t="s">
        <v>26029</v>
      </c>
      <c r="AD1495" s="2" t="s">
        <v>26030</v>
      </c>
      <c r="AE1495" s="2" t="s">
        <v>26031</v>
      </c>
      <c r="AF1495" s="2"/>
      <c r="AG1495" s="2" t="n">
        <v>20</v>
      </c>
      <c r="AH1495" s="2" t="n">
        <v>12</v>
      </c>
      <c r="AI1495" s="2" t="n">
        <v>13</v>
      </c>
      <c r="AJ1495" s="2" t="n">
        <v>0</v>
      </c>
      <c r="AK1495" s="2" t="n">
        <v>6</v>
      </c>
      <c r="AL1495" s="2" t="s">
        <v>154</v>
      </c>
      <c r="AM1495" s="2" t="s">
        <v>155</v>
      </c>
      <c r="AN1495" s="2" t="s">
        <v>12538</v>
      </c>
      <c r="AO1495" s="2" t="s">
        <v>12539</v>
      </c>
      <c r="AP1495" s="2" t="s">
        <v>12540</v>
      </c>
      <c r="AQ1495" s="2"/>
      <c r="AR1495" s="2" t="s">
        <v>12541</v>
      </c>
      <c r="AS1495" s="2" t="s">
        <v>12542</v>
      </c>
      <c r="AT1495" s="2" t="s">
        <v>161</v>
      </c>
      <c r="AU1495" s="2" t="n">
        <v>2020</v>
      </c>
      <c r="AV1495" s="2" t="n">
        <v>34</v>
      </c>
      <c r="AW1495" s="2" t="n">
        <v>1</v>
      </c>
      <c r="AX1495" s="2"/>
      <c r="AY1495" s="2"/>
      <c r="AZ1495" s="2"/>
      <c r="BA1495" s="2"/>
      <c r="BB1495" s="2"/>
      <c r="BC1495" s="2"/>
      <c r="BD1495" s="2" t="s">
        <v>26032</v>
      </c>
      <c r="BE1495" s="2" t="s">
        <v>26033</v>
      </c>
      <c r="BF1495" s="2" t="str">
        <f aca="false">HYPERLINK("http://dx.doi.org/10.1002/jcla.23032","http://dx.doi.org/10.1002/jcla.23032")</f>
        <v>http://dx.doi.org/10.1002/jcla.23032</v>
      </c>
      <c r="BG1495" s="2"/>
      <c r="BH1495" s="2" t="s">
        <v>26034</v>
      </c>
      <c r="BI1495" s="2" t="n">
        <v>5</v>
      </c>
      <c r="BJ1495" s="2" t="s">
        <v>3122</v>
      </c>
      <c r="BK1495" s="2" t="s">
        <v>100</v>
      </c>
      <c r="BL1495" s="2" t="s">
        <v>3122</v>
      </c>
      <c r="BM1495" s="2" t="s">
        <v>26035</v>
      </c>
      <c r="BN1495" s="2" t="n">
        <v>31628684</v>
      </c>
      <c r="BO1495" s="2" t="s">
        <v>190</v>
      </c>
      <c r="BP1495" s="2"/>
      <c r="BQ1495" s="2"/>
      <c r="BR1495" s="2" t="s">
        <v>104</v>
      </c>
      <c r="BS1495" s="2" t="s">
        <v>26036</v>
      </c>
      <c r="BT1495" s="2" t="str">
        <f aca="false">HYPERLINK("https%3A%2F%2Fwww.webofscience.com%2Fwos%2Fwoscc%2Ffull-record%2FWOS:000491424600001","View Full Record in Web of Science")</f>
        <v>View Full Record in Web of Science</v>
      </c>
    </row>
    <row r="1496" customFormat="false" ht="12.75" hidden="false" customHeight="false" outlineLevel="0" collapsed="false">
      <c r="A1496" s="2" t="s">
        <v>72</v>
      </c>
      <c r="B1496" s="2" t="s">
        <v>26037</v>
      </c>
      <c r="C1496" s="2"/>
      <c r="D1496" s="2"/>
      <c r="E1496" s="2"/>
      <c r="F1496" s="2" t="s">
        <v>26038</v>
      </c>
      <c r="G1496" s="2"/>
      <c r="H1496" s="2"/>
      <c r="I1496" s="2" t="s">
        <v>26039</v>
      </c>
      <c r="J1496" s="2" t="s">
        <v>4724</v>
      </c>
      <c r="K1496" s="2"/>
      <c r="L1496" s="2"/>
      <c r="M1496" s="2" t="s">
        <v>77</v>
      </c>
      <c r="N1496" s="2" t="s">
        <v>78</v>
      </c>
      <c r="O1496" s="2"/>
      <c r="P1496" s="2"/>
      <c r="Q1496" s="2"/>
      <c r="R1496" s="2"/>
      <c r="S1496" s="2"/>
      <c r="T1496" s="2" t="s">
        <v>26040</v>
      </c>
      <c r="U1496" s="2" t="s">
        <v>26041</v>
      </c>
      <c r="V1496" s="2" t="s">
        <v>26042</v>
      </c>
      <c r="W1496" s="2" t="s">
        <v>26043</v>
      </c>
      <c r="X1496" s="2" t="s">
        <v>26044</v>
      </c>
      <c r="Y1496" s="2" t="s">
        <v>26045</v>
      </c>
      <c r="Z1496" s="2" t="s">
        <v>26046</v>
      </c>
      <c r="AA1496" s="2" t="s">
        <v>26047</v>
      </c>
      <c r="AB1496" s="2"/>
      <c r="AC1496" s="2"/>
      <c r="AD1496" s="2"/>
      <c r="AE1496" s="2"/>
      <c r="AF1496" s="2"/>
      <c r="AG1496" s="2" t="n">
        <v>36</v>
      </c>
      <c r="AH1496" s="2" t="n">
        <v>0</v>
      </c>
      <c r="AI1496" s="2" t="n">
        <v>0</v>
      </c>
      <c r="AJ1496" s="2" t="n">
        <v>1</v>
      </c>
      <c r="AK1496" s="2" t="n">
        <v>4</v>
      </c>
      <c r="AL1496" s="2" t="s">
        <v>620</v>
      </c>
      <c r="AM1496" s="2" t="s">
        <v>621</v>
      </c>
      <c r="AN1496" s="2" t="s">
        <v>622</v>
      </c>
      <c r="AO1496" s="2" t="s">
        <v>4737</v>
      </c>
      <c r="AP1496" s="2"/>
      <c r="AQ1496" s="2"/>
      <c r="AR1496" s="2" t="s">
        <v>4738</v>
      </c>
      <c r="AS1496" s="2" t="s">
        <v>4739</v>
      </c>
      <c r="AT1496" s="2" t="s">
        <v>26048</v>
      </c>
      <c r="AU1496" s="2" t="n">
        <v>2023</v>
      </c>
      <c r="AV1496" s="2" t="n">
        <v>13</v>
      </c>
      <c r="AW1496" s="2"/>
      <c r="AX1496" s="2"/>
      <c r="AY1496" s="2"/>
      <c r="AZ1496" s="2"/>
      <c r="BA1496" s="2"/>
      <c r="BB1496" s="2"/>
      <c r="BC1496" s="2"/>
      <c r="BD1496" s="2" t="n">
        <v>1125135</v>
      </c>
      <c r="BE1496" s="2" t="s">
        <v>26049</v>
      </c>
      <c r="BF1496" s="2" t="str">
        <f aca="false">HYPERLINK("http://dx.doi.org/10.3389/fcimb.2023.1125135","http://dx.doi.org/10.3389/fcimb.2023.1125135")</f>
        <v>http://dx.doi.org/10.3389/fcimb.2023.1125135</v>
      </c>
      <c r="BG1496" s="2"/>
      <c r="BH1496" s="2"/>
      <c r="BI1496" s="2" t="n">
        <v>9</v>
      </c>
      <c r="BJ1496" s="2" t="s">
        <v>2364</v>
      </c>
      <c r="BK1496" s="2" t="s">
        <v>100</v>
      </c>
      <c r="BL1496" s="2" t="s">
        <v>2364</v>
      </c>
      <c r="BM1496" s="2" t="s">
        <v>26050</v>
      </c>
      <c r="BN1496" s="2" t="n">
        <v>37153148</v>
      </c>
      <c r="BO1496" s="2" t="s">
        <v>103</v>
      </c>
      <c r="BP1496" s="2"/>
      <c r="BQ1496" s="2"/>
      <c r="BR1496" s="2" t="s">
        <v>104</v>
      </c>
      <c r="BS1496" s="2" t="s">
        <v>26051</v>
      </c>
      <c r="BT1496" s="2" t="str">
        <f aca="false">HYPERLINK("https%3A%2F%2Fwww.webofscience.com%2Fwos%2Fwoscc%2Ffull-record%2FWOS:000979883800001","View Full Record in Web of Science")</f>
        <v>View Full Record in Web of Science</v>
      </c>
    </row>
    <row r="1497" customFormat="false" ht="12.75" hidden="false" customHeight="false" outlineLevel="0" collapsed="false">
      <c r="A1497" s="2" t="s">
        <v>72</v>
      </c>
      <c r="B1497" s="2" t="s">
        <v>26052</v>
      </c>
      <c r="C1497" s="2"/>
      <c r="D1497" s="2"/>
      <c r="E1497" s="2"/>
      <c r="F1497" s="2" t="s">
        <v>26053</v>
      </c>
      <c r="G1497" s="2"/>
      <c r="H1497" s="2"/>
      <c r="I1497" s="2" t="s">
        <v>26054</v>
      </c>
      <c r="J1497" s="2" t="s">
        <v>9323</v>
      </c>
      <c r="K1497" s="2"/>
      <c r="L1497" s="2"/>
      <c r="M1497" s="2" t="s">
        <v>77</v>
      </c>
      <c r="N1497" s="2" t="s">
        <v>78</v>
      </c>
      <c r="O1497" s="2"/>
      <c r="P1497" s="2"/>
      <c r="Q1497" s="2"/>
      <c r="R1497" s="2"/>
      <c r="S1497" s="2"/>
      <c r="T1497" s="2" t="s">
        <v>26055</v>
      </c>
      <c r="U1497" s="2" t="s">
        <v>26056</v>
      </c>
      <c r="V1497" s="2" t="s">
        <v>26057</v>
      </c>
      <c r="W1497" s="2" t="s">
        <v>26058</v>
      </c>
      <c r="X1497" s="2" t="s">
        <v>26059</v>
      </c>
      <c r="Y1497" s="2" t="s">
        <v>26060</v>
      </c>
      <c r="Z1497" s="2" t="s">
        <v>26061</v>
      </c>
      <c r="AA1497" s="2" t="s">
        <v>26062</v>
      </c>
      <c r="AB1497" s="2" t="s">
        <v>26063</v>
      </c>
      <c r="AC1497" s="2" t="s">
        <v>26064</v>
      </c>
      <c r="AD1497" s="2" t="s">
        <v>26064</v>
      </c>
      <c r="AE1497" s="2" t="s">
        <v>26065</v>
      </c>
      <c r="AF1497" s="2"/>
      <c r="AG1497" s="2" t="n">
        <v>28</v>
      </c>
      <c r="AH1497" s="2" t="n">
        <v>7</v>
      </c>
      <c r="AI1497" s="2" t="n">
        <v>7</v>
      </c>
      <c r="AJ1497" s="2" t="n">
        <v>0</v>
      </c>
      <c r="AK1497" s="2" t="n">
        <v>1</v>
      </c>
      <c r="AL1497" s="2" t="s">
        <v>383</v>
      </c>
      <c r="AM1497" s="2" t="s">
        <v>384</v>
      </c>
      <c r="AN1497" s="2" t="s">
        <v>385</v>
      </c>
      <c r="AO1497" s="2" t="s">
        <v>9333</v>
      </c>
      <c r="AP1497" s="2" t="s">
        <v>9334</v>
      </c>
      <c r="AQ1497" s="2"/>
      <c r="AR1497" s="2" t="s">
        <v>9335</v>
      </c>
      <c r="AS1497" s="2" t="s">
        <v>9336</v>
      </c>
      <c r="AT1497" s="2" t="s">
        <v>864</v>
      </c>
      <c r="AU1497" s="2" t="n">
        <v>2016</v>
      </c>
      <c r="AV1497" s="2" t="n">
        <v>34</v>
      </c>
      <c r="AW1497" s="2" t="n">
        <v>1</v>
      </c>
      <c r="AX1497" s="2"/>
      <c r="AY1497" s="2"/>
      <c r="AZ1497" s="2"/>
      <c r="BA1497" s="2"/>
      <c r="BB1497" s="2" t="n">
        <v>27</v>
      </c>
      <c r="BC1497" s="2" t="n">
        <v>32</v>
      </c>
      <c r="BD1497" s="2"/>
      <c r="BE1497" s="2" t="s">
        <v>26066</v>
      </c>
      <c r="BF1497" s="2" t="str">
        <f aca="false">HYPERLINK("http://dx.doi.org/10.4103/0255-0857.174117","http://dx.doi.org/10.4103/0255-0857.174117")</f>
        <v>http://dx.doi.org/10.4103/0255-0857.174117</v>
      </c>
      <c r="BG1497" s="2"/>
      <c r="BH1497" s="2"/>
      <c r="BI1497" s="2" t="n">
        <v>6</v>
      </c>
      <c r="BJ1497" s="2" t="s">
        <v>628</v>
      </c>
      <c r="BK1497" s="2" t="s">
        <v>100</v>
      </c>
      <c r="BL1497" s="2" t="s">
        <v>628</v>
      </c>
      <c r="BM1497" s="2" t="s">
        <v>26067</v>
      </c>
      <c r="BN1497" s="2" t="n">
        <v>26776115</v>
      </c>
      <c r="BO1497" s="2" t="s">
        <v>1355</v>
      </c>
      <c r="BP1497" s="2"/>
      <c r="BQ1497" s="2"/>
      <c r="BR1497" s="2" t="s">
        <v>104</v>
      </c>
      <c r="BS1497" s="2" t="s">
        <v>26068</v>
      </c>
      <c r="BT1497" s="2" t="str">
        <f aca="false">HYPERLINK("https%3A%2F%2Fwww.webofscience.com%2Fwos%2Fwoscc%2Ffull-record%2FWOS:000369433700007","View Full Record in Web of Science")</f>
        <v>View Full Record in Web of Science</v>
      </c>
    </row>
    <row r="1498" customFormat="false" ht="12.75" hidden="false" customHeight="false" outlineLevel="0" collapsed="false">
      <c r="A1498" s="2" t="s">
        <v>72</v>
      </c>
      <c r="B1498" s="2" t="s">
        <v>26069</v>
      </c>
      <c r="C1498" s="2"/>
      <c r="D1498" s="2"/>
      <c r="E1498" s="2"/>
      <c r="F1498" s="2" t="s">
        <v>26070</v>
      </c>
      <c r="G1498" s="2"/>
      <c r="H1498" s="2"/>
      <c r="I1498" s="2" t="s">
        <v>26071</v>
      </c>
      <c r="J1498" s="2" t="s">
        <v>2095</v>
      </c>
      <c r="K1498" s="2"/>
      <c r="L1498" s="2"/>
      <c r="M1498" s="2" t="s">
        <v>77</v>
      </c>
      <c r="N1498" s="2" t="s">
        <v>78</v>
      </c>
      <c r="O1498" s="2"/>
      <c r="P1498" s="2"/>
      <c r="Q1498" s="2"/>
      <c r="R1498" s="2"/>
      <c r="S1498" s="2"/>
      <c r="T1498" s="2" t="s">
        <v>26072</v>
      </c>
      <c r="U1498" s="2" t="s">
        <v>26073</v>
      </c>
      <c r="V1498" s="2" t="s">
        <v>26074</v>
      </c>
      <c r="W1498" s="2" t="s">
        <v>26075</v>
      </c>
      <c r="X1498" s="2" t="s">
        <v>26076</v>
      </c>
      <c r="Y1498" s="2" t="s">
        <v>26077</v>
      </c>
      <c r="Z1498" s="2" t="s">
        <v>26078</v>
      </c>
      <c r="AA1498" s="2" t="s">
        <v>24981</v>
      </c>
      <c r="AB1498" s="2" t="s">
        <v>24982</v>
      </c>
      <c r="AC1498" s="2" t="s">
        <v>26079</v>
      </c>
      <c r="AD1498" s="2" t="s">
        <v>26080</v>
      </c>
      <c r="AE1498" s="2" t="s">
        <v>26081</v>
      </c>
      <c r="AF1498" s="2"/>
      <c r="AG1498" s="2" t="n">
        <v>39</v>
      </c>
      <c r="AH1498" s="2" t="n">
        <v>4</v>
      </c>
      <c r="AI1498" s="2" t="n">
        <v>5</v>
      </c>
      <c r="AJ1498" s="2" t="n">
        <v>0</v>
      </c>
      <c r="AK1498" s="2" t="n">
        <v>1</v>
      </c>
      <c r="AL1498" s="2" t="s">
        <v>2105</v>
      </c>
      <c r="AM1498" s="2" t="s">
        <v>303</v>
      </c>
      <c r="AN1498" s="2" t="s">
        <v>2106</v>
      </c>
      <c r="AO1498" s="2" t="s">
        <v>2107</v>
      </c>
      <c r="AP1498" s="2" t="s">
        <v>2108</v>
      </c>
      <c r="AQ1498" s="2"/>
      <c r="AR1498" s="2" t="s">
        <v>2109</v>
      </c>
      <c r="AS1498" s="2" t="s">
        <v>2110</v>
      </c>
      <c r="AT1498" s="2" t="s">
        <v>692</v>
      </c>
      <c r="AU1498" s="2" t="n">
        <v>2020</v>
      </c>
      <c r="AV1498" s="2" t="n">
        <v>13</v>
      </c>
      <c r="AW1498" s="2" t="n">
        <v>4</v>
      </c>
      <c r="AX1498" s="2"/>
      <c r="AY1498" s="2"/>
      <c r="AZ1498" s="2"/>
      <c r="BA1498" s="2"/>
      <c r="BB1498" s="2" t="n">
        <v>606</v>
      </c>
      <c r="BC1498" s="2" t="n">
        <v>612</v>
      </c>
      <c r="BD1498" s="2"/>
      <c r="BE1498" s="2" t="s">
        <v>26082</v>
      </c>
      <c r="BF1498" s="2" t="str">
        <f aca="false">HYPERLINK("http://dx.doi.org/10.1016/j.jiph.2019.08.018","http://dx.doi.org/10.1016/j.jiph.2019.08.018")</f>
        <v>http://dx.doi.org/10.1016/j.jiph.2019.08.018</v>
      </c>
      <c r="BG1498" s="2"/>
      <c r="BH1498" s="2"/>
      <c r="BI1498" s="2" t="n">
        <v>7</v>
      </c>
      <c r="BJ1498" s="2" t="s">
        <v>2113</v>
      </c>
      <c r="BK1498" s="2" t="s">
        <v>100</v>
      </c>
      <c r="BL1498" s="2" t="s">
        <v>2113</v>
      </c>
      <c r="BM1498" s="2" t="s">
        <v>26083</v>
      </c>
      <c r="BN1498" s="2" t="n">
        <v>31530440</v>
      </c>
      <c r="BO1498" s="2" t="s">
        <v>103</v>
      </c>
      <c r="BP1498" s="2"/>
      <c r="BQ1498" s="2"/>
      <c r="BR1498" s="2" t="s">
        <v>104</v>
      </c>
      <c r="BS1498" s="2" t="s">
        <v>26084</v>
      </c>
      <c r="BT1498" s="2" t="str">
        <f aca="false">HYPERLINK("https%3A%2F%2Fwww.webofscience.com%2Fwos%2Fwoscc%2Ffull-record%2FWOS:000524979400023","View Full Record in Web of Science")</f>
        <v>View Full Record in Web of Science</v>
      </c>
    </row>
    <row r="1499" customFormat="false" ht="12.75" hidden="false" customHeight="false" outlineLevel="0" collapsed="false">
      <c r="A1499" s="2" t="s">
        <v>72</v>
      </c>
      <c r="B1499" s="2" t="s">
        <v>26085</v>
      </c>
      <c r="C1499" s="2"/>
      <c r="D1499" s="2"/>
      <c r="E1499" s="2"/>
      <c r="F1499" s="2" t="s">
        <v>26086</v>
      </c>
      <c r="G1499" s="2"/>
      <c r="H1499" s="2"/>
      <c r="I1499" s="2" t="s">
        <v>26087</v>
      </c>
      <c r="J1499" s="2" t="s">
        <v>26088</v>
      </c>
      <c r="K1499" s="2"/>
      <c r="L1499" s="2"/>
      <c r="M1499" s="2" t="s">
        <v>77</v>
      </c>
      <c r="N1499" s="2" t="s">
        <v>78</v>
      </c>
      <c r="O1499" s="2"/>
      <c r="P1499" s="2"/>
      <c r="Q1499" s="2"/>
      <c r="R1499" s="2"/>
      <c r="S1499" s="2"/>
      <c r="T1499" s="2" t="s">
        <v>26089</v>
      </c>
      <c r="U1499" s="2" t="s">
        <v>26090</v>
      </c>
      <c r="V1499" s="2" t="s">
        <v>26091</v>
      </c>
      <c r="W1499" s="2" t="s">
        <v>26092</v>
      </c>
      <c r="X1499" s="2" t="s">
        <v>26093</v>
      </c>
      <c r="Y1499" s="2" t="s">
        <v>6382</v>
      </c>
      <c r="Z1499" s="2" t="s">
        <v>15983</v>
      </c>
      <c r="AA1499" s="2" t="s">
        <v>26094</v>
      </c>
      <c r="AB1499" s="2" t="s">
        <v>26095</v>
      </c>
      <c r="AC1499" s="2"/>
      <c r="AD1499" s="2"/>
      <c r="AE1499" s="2"/>
      <c r="AF1499" s="2"/>
      <c r="AG1499" s="2" t="n">
        <v>94</v>
      </c>
      <c r="AH1499" s="2" t="n">
        <v>23</v>
      </c>
      <c r="AI1499" s="2" t="n">
        <v>27</v>
      </c>
      <c r="AJ1499" s="2" t="n">
        <v>1</v>
      </c>
      <c r="AK1499" s="2" t="n">
        <v>9</v>
      </c>
      <c r="AL1499" s="2" t="s">
        <v>26096</v>
      </c>
      <c r="AM1499" s="2" t="s">
        <v>26097</v>
      </c>
      <c r="AN1499" s="2" t="s">
        <v>26098</v>
      </c>
      <c r="AO1499" s="2" t="s">
        <v>26099</v>
      </c>
      <c r="AP1499" s="2" t="s">
        <v>26100</v>
      </c>
      <c r="AQ1499" s="2"/>
      <c r="AR1499" s="2" t="s">
        <v>26101</v>
      </c>
      <c r="AS1499" s="2" t="s">
        <v>26102</v>
      </c>
      <c r="AT1499" s="2" t="s">
        <v>804</v>
      </c>
      <c r="AU1499" s="2" t="n">
        <v>2008</v>
      </c>
      <c r="AV1499" s="2" t="n">
        <v>33</v>
      </c>
      <c r="AW1499" s="2" t="n">
        <v>4</v>
      </c>
      <c r="AX1499" s="2"/>
      <c r="AY1499" s="2"/>
      <c r="AZ1499" s="2" t="s">
        <v>1627</v>
      </c>
      <c r="BA1499" s="2"/>
      <c r="BB1499" s="2" t="n">
        <v>483</v>
      </c>
      <c r="BC1499" s="2" t="n">
        <v>493</v>
      </c>
      <c r="BD1499" s="2"/>
      <c r="BE1499" s="2" t="s">
        <v>26103</v>
      </c>
      <c r="BF1499" s="2" t="str">
        <f aca="false">HYPERLINK("http://dx.doi.org/10.1007/s12038-008-0067-y","http://dx.doi.org/10.1007/s12038-008-0067-y")</f>
        <v>http://dx.doi.org/10.1007/s12038-008-0067-y</v>
      </c>
      <c r="BG1499" s="2"/>
      <c r="BH1499" s="2"/>
      <c r="BI1499" s="2" t="n">
        <v>11</v>
      </c>
      <c r="BJ1499" s="2" t="s">
        <v>18926</v>
      </c>
      <c r="BK1499" s="2" t="s">
        <v>100</v>
      </c>
      <c r="BL1499" s="2" t="s">
        <v>18927</v>
      </c>
      <c r="BM1499" s="2" t="s">
        <v>26104</v>
      </c>
      <c r="BN1499" s="2" t="n">
        <v>19208974</v>
      </c>
      <c r="BO1499" s="2" t="s">
        <v>165</v>
      </c>
      <c r="BP1499" s="2"/>
      <c r="BQ1499" s="2"/>
      <c r="BR1499" s="2" t="s">
        <v>104</v>
      </c>
      <c r="BS1499" s="2" t="s">
        <v>26105</v>
      </c>
      <c r="BT1499" s="2" t="str">
        <f aca="false">HYPERLINK("https%3A%2F%2Fwww.webofscience.com%2Fwos%2Fwoscc%2Ffull-record%2FWOS:000261969400007","View Full Record in Web of Science")</f>
        <v>View Full Record in Web of Science</v>
      </c>
    </row>
    <row r="1500" customFormat="false" ht="12.75" hidden="false" customHeight="false" outlineLevel="0" collapsed="false">
      <c r="A1500" s="2" t="s">
        <v>72</v>
      </c>
      <c r="B1500" s="2" t="s">
        <v>26106</v>
      </c>
      <c r="C1500" s="2"/>
      <c r="D1500" s="2"/>
      <c r="E1500" s="2"/>
      <c r="F1500" s="2" t="s">
        <v>26107</v>
      </c>
      <c r="G1500" s="2"/>
      <c r="H1500" s="2"/>
      <c r="I1500" s="2" t="s">
        <v>26108</v>
      </c>
      <c r="J1500" s="2" t="s">
        <v>11019</v>
      </c>
      <c r="K1500" s="2"/>
      <c r="L1500" s="2"/>
      <c r="M1500" s="2" t="s">
        <v>77</v>
      </c>
      <c r="N1500" s="2" t="s">
        <v>78</v>
      </c>
      <c r="O1500" s="2"/>
      <c r="P1500" s="2"/>
      <c r="Q1500" s="2"/>
      <c r="R1500" s="2"/>
      <c r="S1500" s="2"/>
      <c r="T1500" s="2" t="s">
        <v>26109</v>
      </c>
      <c r="U1500" s="2" t="s">
        <v>26110</v>
      </c>
      <c r="V1500" s="2" t="s">
        <v>26111</v>
      </c>
      <c r="W1500" s="2" t="s">
        <v>26112</v>
      </c>
      <c r="X1500" s="2" t="s">
        <v>26113</v>
      </c>
      <c r="Y1500" s="2" t="s">
        <v>26114</v>
      </c>
      <c r="Z1500" s="2" t="s">
        <v>26115</v>
      </c>
      <c r="AA1500" s="2" t="s">
        <v>26116</v>
      </c>
      <c r="AB1500" s="2" t="s">
        <v>26117</v>
      </c>
      <c r="AC1500" s="2"/>
      <c r="AD1500" s="2"/>
      <c r="AE1500" s="2"/>
      <c r="AF1500" s="2"/>
      <c r="AG1500" s="2" t="n">
        <v>49</v>
      </c>
      <c r="AH1500" s="2" t="n">
        <v>19</v>
      </c>
      <c r="AI1500" s="2" t="n">
        <v>19</v>
      </c>
      <c r="AJ1500" s="2" t="n">
        <v>0</v>
      </c>
      <c r="AK1500" s="2" t="n">
        <v>1</v>
      </c>
      <c r="AL1500" s="2" t="s">
        <v>154</v>
      </c>
      <c r="AM1500" s="2" t="s">
        <v>155</v>
      </c>
      <c r="AN1500" s="2" t="s">
        <v>156</v>
      </c>
      <c r="AO1500" s="2" t="s">
        <v>11028</v>
      </c>
      <c r="AP1500" s="2" t="s">
        <v>11029</v>
      </c>
      <c r="AQ1500" s="2"/>
      <c r="AR1500" s="2" t="s">
        <v>11030</v>
      </c>
      <c r="AS1500" s="2" t="s">
        <v>11031</v>
      </c>
      <c r="AT1500" s="2" t="s">
        <v>161</v>
      </c>
      <c r="AU1500" s="2" t="n">
        <v>2017</v>
      </c>
      <c r="AV1500" s="2" t="n">
        <v>11</v>
      </c>
      <c r="AW1500" s="2" t="n">
        <v>1</v>
      </c>
      <c r="AX1500" s="2"/>
      <c r="AY1500" s="2"/>
      <c r="AZ1500" s="2"/>
      <c r="BA1500" s="2"/>
      <c r="BB1500" s="2" t="n">
        <v>23</v>
      </c>
      <c r="BC1500" s="2" t="n">
        <v>32</v>
      </c>
      <c r="BD1500" s="2"/>
      <c r="BE1500" s="2" t="s">
        <v>26118</v>
      </c>
      <c r="BF1500" s="2" t="str">
        <f aca="false">HYPERLINK("http://dx.doi.org/10.1111/irv.12409","http://dx.doi.org/10.1111/irv.12409")</f>
        <v>http://dx.doi.org/10.1111/irv.12409</v>
      </c>
      <c r="BG1500" s="2"/>
      <c r="BH1500" s="2"/>
      <c r="BI1500" s="2" t="n">
        <v>10</v>
      </c>
      <c r="BJ1500" s="2" t="s">
        <v>8287</v>
      </c>
      <c r="BK1500" s="2" t="s">
        <v>100</v>
      </c>
      <c r="BL1500" s="2" t="s">
        <v>8287</v>
      </c>
      <c r="BM1500" s="2" t="s">
        <v>25755</v>
      </c>
      <c r="BN1500" s="2" t="n">
        <v>27458989</v>
      </c>
      <c r="BO1500" s="2" t="s">
        <v>190</v>
      </c>
      <c r="BP1500" s="2"/>
      <c r="BQ1500" s="2"/>
      <c r="BR1500" s="2" t="s">
        <v>104</v>
      </c>
      <c r="BS1500" s="2" t="s">
        <v>26119</v>
      </c>
      <c r="BT1500" s="2" t="str">
        <f aca="false">HYPERLINK("https%3A%2F%2Fwww.webofscience.com%2Fwos%2Fwoscc%2Ffull-record%2FWOS:000394959800003","View Full Record in Web of Science")</f>
        <v>View Full Record in Web of Science</v>
      </c>
    </row>
    <row r="1501" customFormat="false" ht="12.75" hidden="false" customHeight="false" outlineLevel="0" collapsed="false">
      <c r="A1501" s="2" t="s">
        <v>72</v>
      </c>
      <c r="B1501" s="2" t="s">
        <v>26120</v>
      </c>
      <c r="C1501" s="2"/>
      <c r="D1501" s="2"/>
      <c r="E1501" s="2"/>
      <c r="F1501" s="2" t="s">
        <v>26121</v>
      </c>
      <c r="G1501" s="2"/>
      <c r="H1501" s="2"/>
      <c r="I1501" s="2" t="s">
        <v>26122</v>
      </c>
      <c r="J1501" s="2" t="s">
        <v>7244</v>
      </c>
      <c r="K1501" s="2"/>
      <c r="L1501" s="2"/>
      <c r="M1501" s="2" t="s">
        <v>77</v>
      </c>
      <c r="N1501" s="2" t="s">
        <v>78</v>
      </c>
      <c r="O1501" s="2"/>
      <c r="P1501" s="2"/>
      <c r="Q1501" s="2"/>
      <c r="R1501" s="2"/>
      <c r="S1501" s="2"/>
      <c r="T1501" s="2" t="s">
        <v>26123</v>
      </c>
      <c r="U1501" s="2" t="s">
        <v>13939</v>
      </c>
      <c r="V1501" s="2" t="s">
        <v>26124</v>
      </c>
      <c r="W1501" s="2" t="s">
        <v>26125</v>
      </c>
      <c r="X1501" s="2" t="s">
        <v>26126</v>
      </c>
      <c r="Y1501" s="2" t="s">
        <v>26127</v>
      </c>
      <c r="Z1501" s="2" t="s">
        <v>26128</v>
      </c>
      <c r="AA1501" s="2" t="s">
        <v>26129</v>
      </c>
      <c r="AB1501" s="2" t="s">
        <v>26130</v>
      </c>
      <c r="AC1501" s="2" t="s">
        <v>26131</v>
      </c>
      <c r="AD1501" s="2" t="s">
        <v>26132</v>
      </c>
      <c r="AE1501" s="2" t="s">
        <v>26133</v>
      </c>
      <c r="AF1501" s="2"/>
      <c r="AG1501" s="2" t="n">
        <v>22</v>
      </c>
      <c r="AH1501" s="2" t="n">
        <v>7</v>
      </c>
      <c r="AI1501" s="2" t="n">
        <v>8</v>
      </c>
      <c r="AJ1501" s="2" t="n">
        <v>0</v>
      </c>
      <c r="AK1501" s="2" t="n">
        <v>2</v>
      </c>
      <c r="AL1501" s="2" t="s">
        <v>782</v>
      </c>
      <c r="AM1501" s="2" t="s">
        <v>783</v>
      </c>
      <c r="AN1501" s="2" t="s">
        <v>784</v>
      </c>
      <c r="AO1501" s="2" t="s">
        <v>7252</v>
      </c>
      <c r="AP1501" s="2" t="s">
        <v>7253</v>
      </c>
      <c r="AQ1501" s="2"/>
      <c r="AR1501" s="2" t="s">
        <v>7254</v>
      </c>
      <c r="AS1501" s="2" t="s">
        <v>7255</v>
      </c>
      <c r="AT1501" s="2" t="s">
        <v>599</v>
      </c>
      <c r="AU1501" s="2" t="n">
        <v>2021</v>
      </c>
      <c r="AV1501" s="2" t="n">
        <v>27</v>
      </c>
      <c r="AW1501" s="2" t="n">
        <v>7</v>
      </c>
      <c r="AX1501" s="2"/>
      <c r="AY1501" s="2"/>
      <c r="AZ1501" s="2"/>
      <c r="BA1501" s="2"/>
      <c r="BB1501" s="2"/>
      <c r="BC1501" s="2"/>
      <c r="BD1501" s="2"/>
      <c r="BE1501" s="2" t="s">
        <v>26134</v>
      </c>
      <c r="BF1501" s="2" t="str">
        <f aca="false">HYPERLINK("http://dx.doi.org/10.1016/j.cmi.2020.09.017","http://dx.doi.org/10.1016/j.cmi.2020.09.017")</f>
        <v>http://dx.doi.org/10.1016/j.cmi.2020.09.017</v>
      </c>
      <c r="BG1501" s="2"/>
      <c r="BH1501" s="2" t="s">
        <v>1857</v>
      </c>
      <c r="BI1501" s="2" t="n">
        <v>6</v>
      </c>
      <c r="BJ1501" s="2" t="s">
        <v>1467</v>
      </c>
      <c r="BK1501" s="2" t="s">
        <v>100</v>
      </c>
      <c r="BL1501" s="2" t="s">
        <v>1467</v>
      </c>
      <c r="BM1501" s="2" t="s">
        <v>26135</v>
      </c>
      <c r="BN1501" s="2" t="n">
        <v>32950713</v>
      </c>
      <c r="BO1501" s="2" t="s">
        <v>2278</v>
      </c>
      <c r="BP1501" s="2"/>
      <c r="BQ1501" s="2"/>
      <c r="BR1501" s="2" t="s">
        <v>104</v>
      </c>
      <c r="BS1501" s="2" t="s">
        <v>26136</v>
      </c>
      <c r="BT1501" s="2" t="str">
        <f aca="false">HYPERLINK("https%3A%2F%2Fwww.webofscience.com%2Fwos%2Fwoscc%2Ffull-record%2FWOS:000697120500020","View Full Record in Web of Science")</f>
        <v>View Full Record in Web of Science</v>
      </c>
    </row>
    <row r="1502" customFormat="false" ht="12.75" hidden="false" customHeight="false" outlineLevel="0" collapsed="false">
      <c r="A1502" s="2" t="s">
        <v>72</v>
      </c>
      <c r="B1502" s="2" t="s">
        <v>26137</v>
      </c>
      <c r="C1502" s="2"/>
      <c r="D1502" s="2"/>
      <c r="E1502" s="2"/>
      <c r="F1502" s="2" t="s">
        <v>26138</v>
      </c>
      <c r="G1502" s="2"/>
      <c r="H1502" s="2"/>
      <c r="I1502" s="2" t="s">
        <v>26139</v>
      </c>
      <c r="J1502" s="2" t="s">
        <v>141</v>
      </c>
      <c r="K1502" s="2"/>
      <c r="L1502" s="2"/>
      <c r="M1502" s="2" t="s">
        <v>77</v>
      </c>
      <c r="N1502" s="2" t="s">
        <v>78</v>
      </c>
      <c r="O1502" s="2"/>
      <c r="P1502" s="2"/>
      <c r="Q1502" s="2"/>
      <c r="R1502" s="2"/>
      <c r="S1502" s="2"/>
      <c r="T1502" s="2" t="s">
        <v>26140</v>
      </c>
      <c r="U1502" s="2" t="s">
        <v>26141</v>
      </c>
      <c r="V1502" s="2" t="s">
        <v>26142</v>
      </c>
      <c r="W1502" s="2" t="s">
        <v>26143</v>
      </c>
      <c r="X1502" s="2" t="s">
        <v>26144</v>
      </c>
      <c r="Y1502" s="2" t="s">
        <v>26145</v>
      </c>
      <c r="Z1502" s="2" t="s">
        <v>26146</v>
      </c>
      <c r="AA1502" s="2" t="s">
        <v>26147</v>
      </c>
      <c r="AB1502" s="2" t="s">
        <v>26148</v>
      </c>
      <c r="AC1502" s="2" t="s">
        <v>26149</v>
      </c>
      <c r="AD1502" s="2" t="s">
        <v>26150</v>
      </c>
      <c r="AE1502" s="2" t="s">
        <v>26151</v>
      </c>
      <c r="AF1502" s="2"/>
      <c r="AG1502" s="2" t="n">
        <v>39</v>
      </c>
      <c r="AH1502" s="2" t="n">
        <v>20</v>
      </c>
      <c r="AI1502" s="2" t="n">
        <v>25</v>
      </c>
      <c r="AJ1502" s="2" t="n">
        <v>1</v>
      </c>
      <c r="AK1502" s="2" t="n">
        <v>26</v>
      </c>
      <c r="AL1502" s="2" t="s">
        <v>154</v>
      </c>
      <c r="AM1502" s="2" t="s">
        <v>155</v>
      </c>
      <c r="AN1502" s="2" t="s">
        <v>156</v>
      </c>
      <c r="AO1502" s="2" t="s">
        <v>157</v>
      </c>
      <c r="AP1502" s="2" t="s">
        <v>158</v>
      </c>
      <c r="AQ1502" s="2"/>
      <c r="AR1502" s="2" t="s">
        <v>159</v>
      </c>
      <c r="AS1502" s="2" t="s">
        <v>160</v>
      </c>
      <c r="AT1502" s="2" t="s">
        <v>390</v>
      </c>
      <c r="AU1502" s="2" t="n">
        <v>2018</v>
      </c>
      <c r="AV1502" s="2" t="n">
        <v>90</v>
      </c>
      <c r="AW1502" s="2" t="n">
        <v>5</v>
      </c>
      <c r="AX1502" s="2"/>
      <c r="AY1502" s="2"/>
      <c r="AZ1502" s="2"/>
      <c r="BA1502" s="2"/>
      <c r="BB1502" s="2" t="n">
        <v>828</v>
      </c>
      <c r="BC1502" s="2" t="n">
        <v>835</v>
      </c>
      <c r="BD1502" s="2"/>
      <c r="BE1502" s="2" t="s">
        <v>26152</v>
      </c>
      <c r="BF1502" s="2" t="str">
        <f aca="false">HYPERLINK("http://dx.doi.org/10.1002/jmv.25040","http://dx.doi.org/10.1002/jmv.25040")</f>
        <v>http://dx.doi.org/10.1002/jmv.25040</v>
      </c>
      <c r="BG1502" s="2"/>
      <c r="BH1502" s="2"/>
      <c r="BI1502" s="2" t="n">
        <v>8</v>
      </c>
      <c r="BJ1502" s="2" t="s">
        <v>163</v>
      </c>
      <c r="BK1502" s="2" t="s">
        <v>100</v>
      </c>
      <c r="BL1502" s="2" t="s">
        <v>163</v>
      </c>
      <c r="BM1502" s="2" t="s">
        <v>26153</v>
      </c>
      <c r="BN1502" s="2" t="n">
        <v>29388679</v>
      </c>
      <c r="BO1502" s="2" t="s">
        <v>538</v>
      </c>
      <c r="BP1502" s="2"/>
      <c r="BQ1502" s="2"/>
      <c r="BR1502" s="2" t="s">
        <v>104</v>
      </c>
      <c r="BS1502" s="2" t="s">
        <v>26154</v>
      </c>
      <c r="BT1502" s="2" t="str">
        <f aca="false">HYPERLINK("https%3A%2F%2Fwww.webofscience.com%2Fwos%2Fwoscc%2Ffull-record%2FWOS:000427254600007","View Full Record in Web of Science")</f>
        <v>View Full Record in Web of Science</v>
      </c>
    </row>
    <row r="1503" customFormat="false" ht="12.75" hidden="false" customHeight="false" outlineLevel="0" collapsed="false">
      <c r="A1503" s="2" t="s">
        <v>72</v>
      </c>
      <c r="B1503" s="2" t="s">
        <v>26155</v>
      </c>
      <c r="C1503" s="2"/>
      <c r="D1503" s="2"/>
      <c r="E1503" s="2"/>
      <c r="F1503" s="2" t="s">
        <v>26156</v>
      </c>
      <c r="G1503" s="2"/>
      <c r="H1503" s="2"/>
      <c r="I1503" s="2" t="s">
        <v>26157</v>
      </c>
      <c r="J1503" s="2" t="s">
        <v>12830</v>
      </c>
      <c r="K1503" s="2"/>
      <c r="L1503" s="2"/>
      <c r="M1503" s="2" t="s">
        <v>77</v>
      </c>
      <c r="N1503" s="2" t="s">
        <v>78</v>
      </c>
      <c r="O1503" s="2"/>
      <c r="P1503" s="2"/>
      <c r="Q1503" s="2"/>
      <c r="R1503" s="2"/>
      <c r="S1503" s="2"/>
      <c r="T1503" s="2" t="s">
        <v>26158</v>
      </c>
      <c r="U1503" s="2" t="s">
        <v>26159</v>
      </c>
      <c r="V1503" s="2" t="s">
        <v>26160</v>
      </c>
      <c r="W1503" s="2" t="s">
        <v>26161</v>
      </c>
      <c r="X1503" s="2" t="s">
        <v>26162</v>
      </c>
      <c r="Y1503" s="2" t="s">
        <v>26163</v>
      </c>
      <c r="Z1503" s="2" t="s">
        <v>16737</v>
      </c>
      <c r="AA1503" s="2" t="s">
        <v>16738</v>
      </c>
      <c r="AB1503" s="2" t="s">
        <v>26164</v>
      </c>
      <c r="AC1503" s="2"/>
      <c r="AD1503" s="2"/>
      <c r="AE1503" s="2"/>
      <c r="AF1503" s="2"/>
      <c r="AG1503" s="2" t="n">
        <v>39</v>
      </c>
      <c r="AH1503" s="2" t="n">
        <v>2</v>
      </c>
      <c r="AI1503" s="2" t="n">
        <v>2</v>
      </c>
      <c r="AJ1503" s="2" t="n">
        <v>0</v>
      </c>
      <c r="AK1503" s="2" t="n">
        <v>1</v>
      </c>
      <c r="AL1503" s="2" t="s">
        <v>122</v>
      </c>
      <c r="AM1503" s="2" t="s">
        <v>123</v>
      </c>
      <c r="AN1503" s="2" t="s">
        <v>124</v>
      </c>
      <c r="AO1503" s="2" t="s">
        <v>12838</v>
      </c>
      <c r="AP1503" s="2" t="s">
        <v>12839</v>
      </c>
      <c r="AQ1503" s="2"/>
      <c r="AR1503" s="2" t="s">
        <v>12840</v>
      </c>
      <c r="AS1503" s="2" t="s">
        <v>12841</v>
      </c>
      <c r="AT1503" s="2" t="s">
        <v>161</v>
      </c>
      <c r="AU1503" s="2" t="n">
        <v>2007</v>
      </c>
      <c r="AV1503" s="2" t="n">
        <v>18</v>
      </c>
      <c r="AW1503" s="2" t="n">
        <v>1</v>
      </c>
      <c r="AX1503" s="2"/>
      <c r="AY1503" s="2"/>
      <c r="AZ1503" s="2"/>
      <c r="BA1503" s="2"/>
      <c r="BB1503" s="2" t="n">
        <v>5</v>
      </c>
      <c r="BC1503" s="2" t="n">
        <v>10</v>
      </c>
      <c r="BD1503" s="2"/>
      <c r="BE1503" s="2" t="s">
        <v>26165</v>
      </c>
      <c r="BF1503" s="2" t="str">
        <f aca="false">HYPERLINK("http://dx.doi.org/10.1097/MRM.0b013e3282e1c680","http://dx.doi.org/10.1097/MRM.0b013e3282e1c680")</f>
        <v>http://dx.doi.org/10.1097/MRM.0b013e3282e1c680</v>
      </c>
      <c r="BG1503" s="2"/>
      <c r="BH1503" s="2"/>
      <c r="BI1503" s="2" t="n">
        <v>6</v>
      </c>
      <c r="BJ1503" s="2" t="s">
        <v>211</v>
      </c>
      <c r="BK1503" s="2" t="s">
        <v>100</v>
      </c>
      <c r="BL1503" s="2" t="s">
        <v>211</v>
      </c>
      <c r="BM1503" s="2" t="s">
        <v>26166</v>
      </c>
      <c r="BN1503" s="2"/>
      <c r="BO1503" s="2"/>
      <c r="BP1503" s="2"/>
      <c r="BQ1503" s="2"/>
      <c r="BR1503" s="2" t="s">
        <v>104</v>
      </c>
      <c r="BS1503" s="2" t="s">
        <v>26167</v>
      </c>
      <c r="BT1503" s="2" t="str">
        <f aca="false">HYPERLINK("https%3A%2F%2Fwww.webofscience.com%2Fwos%2Fwoscc%2Ffull-record%2FWOS:000249457500002","View Full Record in Web of Science")</f>
        <v>View Full Record in Web of Science</v>
      </c>
    </row>
    <row r="1504" customFormat="false" ht="15.65" hidden="false" customHeight="false" outlineLevel="0" collapsed="false">
      <c r="A1504" s="2" t="s">
        <v>72</v>
      </c>
      <c r="B1504" s="2" t="s">
        <v>26168</v>
      </c>
      <c r="C1504" s="2"/>
      <c r="D1504" s="2"/>
      <c r="E1504" s="2"/>
      <c r="F1504" s="2" t="s">
        <v>26169</v>
      </c>
      <c r="G1504" s="2"/>
      <c r="H1504" s="2" t="s">
        <v>26170</v>
      </c>
      <c r="I1504" s="2" t="s">
        <v>26171</v>
      </c>
      <c r="J1504" s="2" t="s">
        <v>11019</v>
      </c>
      <c r="K1504" s="2"/>
      <c r="L1504" s="2"/>
      <c r="M1504" s="2" t="s">
        <v>77</v>
      </c>
      <c r="N1504" s="2" t="s">
        <v>78</v>
      </c>
      <c r="O1504" s="2"/>
      <c r="P1504" s="2"/>
      <c r="Q1504" s="2"/>
      <c r="R1504" s="2"/>
      <c r="S1504" s="2"/>
      <c r="T1504" s="2" t="s">
        <v>26172</v>
      </c>
      <c r="U1504" s="2" t="s">
        <v>26173</v>
      </c>
      <c r="V1504" s="2" t="s">
        <v>26174</v>
      </c>
      <c r="W1504" s="2" t="s">
        <v>26175</v>
      </c>
      <c r="X1504" s="2" t="s">
        <v>26176</v>
      </c>
      <c r="Y1504" s="2" t="s">
        <v>26177</v>
      </c>
      <c r="Z1504" s="2" t="s">
        <v>26178</v>
      </c>
      <c r="AA1504" s="2" t="s">
        <v>26179</v>
      </c>
      <c r="AB1504" s="2" t="s">
        <v>26180</v>
      </c>
      <c r="AC1504" s="2" t="s">
        <v>26181</v>
      </c>
      <c r="AD1504" s="2" t="s">
        <v>26182</v>
      </c>
      <c r="AE1504" s="2" t="s">
        <v>26183</v>
      </c>
      <c r="AF1504" s="2"/>
      <c r="AG1504" s="2" t="n">
        <v>38</v>
      </c>
      <c r="AH1504" s="2" t="n">
        <v>3</v>
      </c>
      <c r="AI1504" s="2" t="n">
        <v>4</v>
      </c>
      <c r="AJ1504" s="2" t="n">
        <v>2</v>
      </c>
      <c r="AK1504" s="2" t="n">
        <v>10</v>
      </c>
      <c r="AL1504" s="2" t="s">
        <v>154</v>
      </c>
      <c r="AM1504" s="2" t="s">
        <v>155</v>
      </c>
      <c r="AN1504" s="2" t="s">
        <v>156</v>
      </c>
      <c r="AO1504" s="2" t="s">
        <v>11028</v>
      </c>
      <c r="AP1504" s="2" t="s">
        <v>11029</v>
      </c>
      <c r="AQ1504" s="2"/>
      <c r="AR1504" s="2" t="s">
        <v>11030</v>
      </c>
      <c r="AS1504" s="2" t="s">
        <v>11031</v>
      </c>
      <c r="AT1504" s="2" t="s">
        <v>804</v>
      </c>
      <c r="AU1504" s="2" t="n">
        <v>2023</v>
      </c>
      <c r="AV1504" s="2" t="n">
        <v>17</v>
      </c>
      <c r="AW1504" s="2" t="n">
        <v>11</v>
      </c>
      <c r="AX1504" s="2"/>
      <c r="AY1504" s="2"/>
      <c r="AZ1504" s="2"/>
      <c r="BA1504" s="2"/>
      <c r="BB1504" s="2"/>
      <c r="BC1504" s="2"/>
      <c r="BD1504" s="2" t="s">
        <v>26184</v>
      </c>
      <c r="BE1504" s="2" t="s">
        <v>26185</v>
      </c>
      <c r="BF1504" s="2" t="str">
        <f aca="false">HYPERLINK("http://dx.doi.org/10.1111/irv.13212","http://dx.doi.org/10.1111/irv.13212")</f>
        <v>http://dx.doi.org/10.1111/irv.13212</v>
      </c>
      <c r="BG1504" s="2"/>
      <c r="BH1504" s="2"/>
      <c r="BI1504" s="2" t="n">
        <v>12</v>
      </c>
      <c r="BJ1504" s="2" t="s">
        <v>8287</v>
      </c>
      <c r="BK1504" s="2" t="s">
        <v>100</v>
      </c>
      <c r="BL1504" s="2" t="s">
        <v>8287</v>
      </c>
      <c r="BM1504" s="2" t="s">
        <v>26186</v>
      </c>
      <c r="BN1504" s="2" t="n">
        <v>37964991</v>
      </c>
      <c r="BO1504" s="2" t="s">
        <v>103</v>
      </c>
      <c r="BP1504" s="2"/>
      <c r="BQ1504" s="2"/>
      <c r="BR1504" s="2" t="s">
        <v>104</v>
      </c>
      <c r="BS1504" s="2" t="s">
        <v>26187</v>
      </c>
      <c r="BT1504" s="2" t="str">
        <f aca="false">HYPERLINK("https%3A%2F%2Fwww.webofscience.com%2Fwos%2Fwoscc%2Ffull-record%2FWOS:001100948800001","View Full Record in Web of Science")</f>
        <v>View Full Record in Web of Science</v>
      </c>
    </row>
    <row r="1505" customFormat="false" ht="12.75" hidden="false" customHeight="false" outlineLevel="0" collapsed="false">
      <c r="A1505" s="2" t="s">
        <v>72</v>
      </c>
      <c r="B1505" s="2" t="s">
        <v>26188</v>
      </c>
      <c r="C1505" s="2"/>
      <c r="D1505" s="2"/>
      <c r="E1505" s="2"/>
      <c r="F1505" s="2" t="s">
        <v>26189</v>
      </c>
      <c r="G1505" s="2"/>
      <c r="H1505" s="2"/>
      <c r="I1505" s="2" t="s">
        <v>26190</v>
      </c>
      <c r="J1505" s="2" t="s">
        <v>7629</v>
      </c>
      <c r="K1505" s="2"/>
      <c r="L1505" s="2"/>
      <c r="M1505" s="2" t="s">
        <v>77</v>
      </c>
      <c r="N1505" s="2" t="s">
        <v>78</v>
      </c>
      <c r="O1505" s="2"/>
      <c r="P1505" s="2"/>
      <c r="Q1505" s="2"/>
      <c r="R1505" s="2"/>
      <c r="S1505" s="2"/>
      <c r="T1505" s="2" t="s">
        <v>26191</v>
      </c>
      <c r="U1505" s="2" t="s">
        <v>26192</v>
      </c>
      <c r="V1505" s="2" t="s">
        <v>26193</v>
      </c>
      <c r="W1505" s="2" t="s">
        <v>26194</v>
      </c>
      <c r="X1505" s="2" t="s">
        <v>26195</v>
      </c>
      <c r="Y1505" s="2" t="s">
        <v>25388</v>
      </c>
      <c r="Z1505" s="2" t="s">
        <v>26196</v>
      </c>
      <c r="AA1505" s="2" t="s">
        <v>26197</v>
      </c>
      <c r="AB1505" s="2" t="s">
        <v>26198</v>
      </c>
      <c r="AC1505" s="2"/>
      <c r="AD1505" s="2"/>
      <c r="AE1505" s="2"/>
      <c r="AF1505" s="2"/>
      <c r="AG1505" s="2" t="n">
        <v>14</v>
      </c>
      <c r="AH1505" s="2" t="n">
        <v>14</v>
      </c>
      <c r="AI1505" s="2" t="n">
        <v>15</v>
      </c>
      <c r="AJ1505" s="2" t="n">
        <v>0</v>
      </c>
      <c r="AK1505" s="2" t="n">
        <v>6</v>
      </c>
      <c r="AL1505" s="2" t="s">
        <v>7639</v>
      </c>
      <c r="AM1505" s="2" t="s">
        <v>783</v>
      </c>
      <c r="AN1505" s="2" t="s">
        <v>7640</v>
      </c>
      <c r="AO1505" s="2" t="s">
        <v>7641</v>
      </c>
      <c r="AP1505" s="2" t="s">
        <v>7642</v>
      </c>
      <c r="AQ1505" s="2"/>
      <c r="AR1505" s="2" t="s">
        <v>7643</v>
      </c>
      <c r="AS1505" s="2" t="s">
        <v>7644</v>
      </c>
      <c r="AT1505" s="2" t="s">
        <v>486</v>
      </c>
      <c r="AU1505" s="2" t="n">
        <v>2007</v>
      </c>
      <c r="AV1505" s="2" t="n">
        <v>53</v>
      </c>
      <c r="AW1505" s="2" t="n">
        <v>3</v>
      </c>
      <c r="AX1505" s="2"/>
      <c r="AY1505" s="2"/>
      <c r="AZ1505" s="2"/>
      <c r="BA1505" s="2"/>
      <c r="BB1505" s="2" t="n">
        <v>179</v>
      </c>
      <c r="BC1505" s="2" t="n">
        <v>184</v>
      </c>
      <c r="BD1505" s="2"/>
      <c r="BE1505" s="2" t="s">
        <v>26199</v>
      </c>
      <c r="BF1505" s="2" t="str">
        <f aca="false">HYPERLINK("http://dx.doi.org/10.1093/tropej/fml089","http://dx.doi.org/10.1093/tropej/fml089")</f>
        <v>http://dx.doi.org/10.1093/tropej/fml089</v>
      </c>
      <c r="BG1505" s="2"/>
      <c r="BH1505" s="2"/>
      <c r="BI1505" s="2" t="n">
        <v>6</v>
      </c>
      <c r="BJ1505" s="2" t="s">
        <v>7646</v>
      </c>
      <c r="BK1505" s="2" t="s">
        <v>100</v>
      </c>
      <c r="BL1505" s="2" t="s">
        <v>7646</v>
      </c>
      <c r="BM1505" s="2" t="s">
        <v>26200</v>
      </c>
      <c r="BN1505" s="2" t="n">
        <v>17287243</v>
      </c>
      <c r="BO1505" s="2"/>
      <c r="BP1505" s="2"/>
      <c r="BQ1505" s="2"/>
      <c r="BR1505" s="2" t="s">
        <v>104</v>
      </c>
      <c r="BS1505" s="2" t="s">
        <v>26201</v>
      </c>
      <c r="BT1505" s="2" t="str">
        <f aca="false">HYPERLINK("https%3A%2F%2Fwww.webofscience.com%2Fwos%2Fwoscc%2Ffull-record%2FWOS:000247426200007","View Full Record in Web of Science")</f>
        <v>View Full Record in Web of Science</v>
      </c>
    </row>
    <row r="1506" customFormat="false" ht="12.75" hidden="false" customHeight="false" outlineLevel="0" collapsed="false">
      <c r="A1506" s="2" t="s">
        <v>72</v>
      </c>
      <c r="B1506" s="2" t="s">
        <v>26202</v>
      </c>
      <c r="C1506" s="2"/>
      <c r="D1506" s="2"/>
      <c r="E1506" s="2"/>
      <c r="F1506" s="2" t="s">
        <v>26202</v>
      </c>
      <c r="G1506" s="2"/>
      <c r="H1506" s="2"/>
      <c r="I1506" s="2" t="s">
        <v>26203</v>
      </c>
      <c r="J1506" s="2" t="s">
        <v>109</v>
      </c>
      <c r="K1506" s="2"/>
      <c r="L1506" s="2"/>
      <c r="M1506" s="2" t="s">
        <v>77</v>
      </c>
      <c r="N1506" s="2" t="s">
        <v>78</v>
      </c>
      <c r="O1506" s="2"/>
      <c r="P1506" s="2"/>
      <c r="Q1506" s="2"/>
      <c r="R1506" s="2"/>
      <c r="S1506" s="2"/>
      <c r="T1506" s="2" t="s">
        <v>26204</v>
      </c>
      <c r="U1506" s="2" t="s">
        <v>26205</v>
      </c>
      <c r="V1506" s="2" t="s">
        <v>26206</v>
      </c>
      <c r="W1506" s="2" t="s">
        <v>26207</v>
      </c>
      <c r="X1506" s="2" t="s">
        <v>26208</v>
      </c>
      <c r="Y1506" s="2" t="s">
        <v>26209</v>
      </c>
      <c r="Z1506" s="2"/>
      <c r="AA1506" s="2" t="s">
        <v>26210</v>
      </c>
      <c r="AB1506" s="2" t="s">
        <v>26211</v>
      </c>
      <c r="AC1506" s="2"/>
      <c r="AD1506" s="2"/>
      <c r="AE1506" s="2"/>
      <c r="AF1506" s="2"/>
      <c r="AG1506" s="2" t="n">
        <v>11</v>
      </c>
      <c r="AH1506" s="2" t="n">
        <v>38</v>
      </c>
      <c r="AI1506" s="2" t="n">
        <v>39</v>
      </c>
      <c r="AJ1506" s="2" t="n">
        <v>0</v>
      </c>
      <c r="AK1506" s="2" t="n">
        <v>4</v>
      </c>
      <c r="AL1506" s="2" t="s">
        <v>122</v>
      </c>
      <c r="AM1506" s="2" t="s">
        <v>123</v>
      </c>
      <c r="AN1506" s="2" t="s">
        <v>839</v>
      </c>
      <c r="AO1506" s="2" t="s">
        <v>125</v>
      </c>
      <c r="AP1506" s="2"/>
      <c r="AQ1506" s="2"/>
      <c r="AR1506" s="2" t="s">
        <v>127</v>
      </c>
      <c r="AS1506" s="2" t="s">
        <v>128</v>
      </c>
      <c r="AT1506" s="2" t="s">
        <v>185</v>
      </c>
      <c r="AU1506" s="2" t="n">
        <v>2005</v>
      </c>
      <c r="AV1506" s="2" t="n">
        <v>24</v>
      </c>
      <c r="AW1506" s="2" t="n">
        <v>8</v>
      </c>
      <c r="AX1506" s="2"/>
      <c r="AY1506" s="2"/>
      <c r="AZ1506" s="2"/>
      <c r="BA1506" s="2"/>
      <c r="BB1506" s="2" t="n">
        <v>734</v>
      </c>
      <c r="BC1506" s="2" t="n">
        <v>736</v>
      </c>
      <c r="BD1506" s="2"/>
      <c r="BE1506" s="2" t="s">
        <v>26212</v>
      </c>
      <c r="BF1506" s="2" t="str">
        <f aca="false">HYPERLINK("http://dx.doi.org/10.1097/01.inf.0000172937.80719.7f","http://dx.doi.org/10.1097/01.inf.0000172937.80719.7f")</f>
        <v>http://dx.doi.org/10.1097/01.inf.0000172937.80719.7f</v>
      </c>
      <c r="BG1506" s="2"/>
      <c r="BH1506" s="2"/>
      <c r="BI1506" s="2" t="n">
        <v>3</v>
      </c>
      <c r="BJ1506" s="2" t="s">
        <v>134</v>
      </c>
      <c r="BK1506" s="2" t="s">
        <v>100</v>
      </c>
      <c r="BL1506" s="2" t="s">
        <v>134</v>
      </c>
      <c r="BM1506" s="2" t="s">
        <v>26213</v>
      </c>
      <c r="BN1506" s="2" t="n">
        <v>16094233</v>
      </c>
      <c r="BO1506" s="2" t="s">
        <v>656</v>
      </c>
      <c r="BP1506" s="2"/>
      <c r="BQ1506" s="2"/>
      <c r="BR1506" s="2" t="s">
        <v>104</v>
      </c>
      <c r="BS1506" s="2" t="s">
        <v>26214</v>
      </c>
      <c r="BT1506" s="2" t="str">
        <f aca="false">HYPERLINK("https%3A%2F%2Fwww.webofscience.com%2Fwos%2Fwoscc%2Ffull-record%2FWOS:000231427900017","View Full Record in Web of Science")</f>
        <v>View Full Record in Web of Science</v>
      </c>
    </row>
    <row r="1507" customFormat="false" ht="12.75" hidden="false" customHeight="false" outlineLevel="0" collapsed="false">
      <c r="A1507" s="2" t="s">
        <v>72</v>
      </c>
      <c r="B1507" s="2" t="s">
        <v>26215</v>
      </c>
      <c r="C1507" s="2"/>
      <c r="D1507" s="2"/>
      <c r="E1507" s="2"/>
      <c r="F1507" s="2" t="s">
        <v>26216</v>
      </c>
      <c r="G1507" s="2"/>
      <c r="H1507" s="2"/>
      <c r="I1507" s="2" t="s">
        <v>26217</v>
      </c>
      <c r="J1507" s="2" t="s">
        <v>141</v>
      </c>
      <c r="K1507" s="2"/>
      <c r="L1507" s="2"/>
      <c r="M1507" s="2" t="s">
        <v>77</v>
      </c>
      <c r="N1507" s="2" t="s">
        <v>78</v>
      </c>
      <c r="O1507" s="2"/>
      <c r="P1507" s="2"/>
      <c r="Q1507" s="2"/>
      <c r="R1507" s="2"/>
      <c r="S1507" s="2"/>
      <c r="T1507" s="2" t="s">
        <v>26218</v>
      </c>
      <c r="U1507" s="2" t="s">
        <v>26219</v>
      </c>
      <c r="V1507" s="2" t="s">
        <v>26220</v>
      </c>
      <c r="W1507" s="2" t="s">
        <v>26221</v>
      </c>
      <c r="X1507" s="2" t="s">
        <v>26222</v>
      </c>
      <c r="Y1507" s="2" t="s">
        <v>26223</v>
      </c>
      <c r="Z1507" s="2" t="s">
        <v>26224</v>
      </c>
      <c r="AA1507" s="2" t="s">
        <v>26225</v>
      </c>
      <c r="AB1507" s="2" t="s">
        <v>26226</v>
      </c>
      <c r="AC1507" s="2" t="s">
        <v>26227</v>
      </c>
      <c r="AD1507" s="2" t="s">
        <v>26227</v>
      </c>
      <c r="AE1507" s="2" t="s">
        <v>26228</v>
      </c>
      <c r="AF1507" s="2"/>
      <c r="AG1507" s="2" t="n">
        <v>42</v>
      </c>
      <c r="AH1507" s="2" t="n">
        <v>4</v>
      </c>
      <c r="AI1507" s="2" t="n">
        <v>4</v>
      </c>
      <c r="AJ1507" s="2" t="n">
        <v>0</v>
      </c>
      <c r="AK1507" s="2" t="n">
        <v>7</v>
      </c>
      <c r="AL1507" s="2" t="s">
        <v>154</v>
      </c>
      <c r="AM1507" s="2" t="s">
        <v>155</v>
      </c>
      <c r="AN1507" s="2" t="s">
        <v>156</v>
      </c>
      <c r="AO1507" s="2" t="s">
        <v>157</v>
      </c>
      <c r="AP1507" s="2" t="s">
        <v>158</v>
      </c>
      <c r="AQ1507" s="2"/>
      <c r="AR1507" s="2" t="s">
        <v>159</v>
      </c>
      <c r="AS1507" s="2" t="s">
        <v>160</v>
      </c>
      <c r="AT1507" s="2" t="s">
        <v>185</v>
      </c>
      <c r="AU1507" s="2" t="n">
        <v>2021</v>
      </c>
      <c r="AV1507" s="2" t="n">
        <v>93</v>
      </c>
      <c r="AW1507" s="2" t="n">
        <v>8</v>
      </c>
      <c r="AX1507" s="2"/>
      <c r="AY1507" s="2"/>
      <c r="AZ1507" s="2"/>
      <c r="BA1507" s="2"/>
      <c r="BB1507" s="2" t="n">
        <v>4748</v>
      </c>
      <c r="BC1507" s="2" t="n">
        <v>4755</v>
      </c>
      <c r="BD1507" s="2"/>
      <c r="BE1507" s="2" t="s">
        <v>26229</v>
      </c>
      <c r="BF1507" s="2" t="str">
        <f aca="false">HYPERLINK("http://dx.doi.org/10.1002/jmv.27004","http://dx.doi.org/10.1002/jmv.27004")</f>
        <v>http://dx.doi.org/10.1002/jmv.27004</v>
      </c>
      <c r="BG1507" s="2"/>
      <c r="BH1507" s="2" t="s">
        <v>26230</v>
      </c>
      <c r="BI1507" s="2" t="n">
        <v>8</v>
      </c>
      <c r="BJ1507" s="2" t="s">
        <v>163</v>
      </c>
      <c r="BK1507" s="2" t="s">
        <v>100</v>
      </c>
      <c r="BL1507" s="2" t="s">
        <v>163</v>
      </c>
      <c r="BM1507" s="2" t="s">
        <v>22705</v>
      </c>
      <c r="BN1507" s="2" t="n">
        <v>33830514</v>
      </c>
      <c r="BO1507" s="2" t="s">
        <v>8809</v>
      </c>
      <c r="BP1507" s="2"/>
      <c r="BQ1507" s="2"/>
      <c r="BR1507" s="2" t="s">
        <v>104</v>
      </c>
      <c r="BS1507" s="2" t="s">
        <v>26231</v>
      </c>
      <c r="BT1507" s="2" t="str">
        <f aca="false">HYPERLINK("https%3A%2F%2Fwww.webofscience.com%2Fwos%2Fwoscc%2Ffull-record%2FWOS:000649579000001","View Full Record in Web of Science")</f>
        <v>View Full Record in Web of Science</v>
      </c>
    </row>
    <row r="1508" customFormat="false" ht="12.75" hidden="false" customHeight="false" outlineLevel="0" collapsed="false">
      <c r="A1508" s="2" t="s">
        <v>72</v>
      </c>
      <c r="B1508" s="2" t="s">
        <v>26232</v>
      </c>
      <c r="C1508" s="2"/>
      <c r="D1508" s="2"/>
      <c r="E1508" s="2"/>
      <c r="F1508" s="2" t="s">
        <v>26233</v>
      </c>
      <c r="G1508" s="2"/>
      <c r="H1508" s="2"/>
      <c r="I1508" s="2" t="s">
        <v>26234</v>
      </c>
      <c r="J1508" s="2" t="s">
        <v>557</v>
      </c>
      <c r="K1508" s="2"/>
      <c r="L1508" s="2"/>
      <c r="M1508" s="2" t="s">
        <v>77</v>
      </c>
      <c r="N1508" s="2" t="s">
        <v>78</v>
      </c>
      <c r="O1508" s="2"/>
      <c r="P1508" s="2"/>
      <c r="Q1508" s="2"/>
      <c r="R1508" s="2"/>
      <c r="S1508" s="2"/>
      <c r="T1508" s="2" t="s">
        <v>26235</v>
      </c>
      <c r="U1508" s="2" t="s">
        <v>26236</v>
      </c>
      <c r="V1508" s="2" t="s">
        <v>26237</v>
      </c>
      <c r="W1508" s="2" t="s">
        <v>26238</v>
      </c>
      <c r="X1508" s="2" t="s">
        <v>26239</v>
      </c>
      <c r="Y1508" s="2" t="s">
        <v>26240</v>
      </c>
      <c r="Z1508" s="2" t="s">
        <v>26241</v>
      </c>
      <c r="AA1508" s="2" t="s">
        <v>26242</v>
      </c>
      <c r="AB1508" s="2" t="s">
        <v>26243</v>
      </c>
      <c r="AC1508" s="2" t="s">
        <v>26244</v>
      </c>
      <c r="AD1508" s="2" t="s">
        <v>26244</v>
      </c>
      <c r="AE1508" s="2" t="s">
        <v>26245</v>
      </c>
      <c r="AF1508" s="2"/>
      <c r="AG1508" s="2" t="n">
        <v>30</v>
      </c>
      <c r="AH1508" s="2" t="n">
        <v>8</v>
      </c>
      <c r="AI1508" s="2" t="n">
        <v>8</v>
      </c>
      <c r="AJ1508" s="2" t="n">
        <v>0</v>
      </c>
      <c r="AK1508" s="2" t="n">
        <v>5</v>
      </c>
      <c r="AL1508" s="2" t="s">
        <v>302</v>
      </c>
      <c r="AM1508" s="2" t="s">
        <v>303</v>
      </c>
      <c r="AN1508" s="2" t="s">
        <v>304</v>
      </c>
      <c r="AO1508" s="2"/>
      <c r="AP1508" s="2" t="s">
        <v>570</v>
      </c>
      <c r="AQ1508" s="2"/>
      <c r="AR1508" s="2" t="s">
        <v>571</v>
      </c>
      <c r="AS1508" s="2" t="s">
        <v>572</v>
      </c>
      <c r="AT1508" s="2" t="s">
        <v>8428</v>
      </c>
      <c r="AU1508" s="2" t="n">
        <v>2021</v>
      </c>
      <c r="AV1508" s="2" t="n">
        <v>21</v>
      </c>
      <c r="AW1508" s="2" t="n">
        <v>1</v>
      </c>
      <c r="AX1508" s="2"/>
      <c r="AY1508" s="2"/>
      <c r="AZ1508" s="2"/>
      <c r="BA1508" s="2"/>
      <c r="BB1508" s="2"/>
      <c r="BC1508" s="2"/>
      <c r="BD1508" s="2" t="n">
        <v>43</v>
      </c>
      <c r="BE1508" s="2" t="s">
        <v>26246</v>
      </c>
      <c r="BF1508" s="2" t="str">
        <f aca="false">HYPERLINK("http://dx.doi.org/10.1186/s12879-020-05720-1","http://dx.doi.org/10.1186/s12879-020-05720-1")</f>
        <v>http://dx.doi.org/10.1186/s12879-020-05720-1</v>
      </c>
      <c r="BG1508" s="2"/>
      <c r="BH1508" s="2"/>
      <c r="BI1508" s="2" t="n">
        <v>7</v>
      </c>
      <c r="BJ1508" s="2" t="s">
        <v>575</v>
      </c>
      <c r="BK1508" s="2" t="s">
        <v>100</v>
      </c>
      <c r="BL1508" s="2" t="s">
        <v>575</v>
      </c>
      <c r="BM1508" s="2" t="s">
        <v>26247</v>
      </c>
      <c r="BN1508" s="2" t="n">
        <v>33422002</v>
      </c>
      <c r="BO1508" s="2" t="s">
        <v>103</v>
      </c>
      <c r="BP1508" s="2"/>
      <c r="BQ1508" s="2"/>
      <c r="BR1508" s="2" t="s">
        <v>104</v>
      </c>
      <c r="BS1508" s="2" t="s">
        <v>26248</v>
      </c>
      <c r="BT1508" s="2" t="str">
        <f aca="false">HYPERLINK("https%3A%2F%2Fwww.webofscience.com%2Fwos%2Fwoscc%2Ffull-record%2FWOS:000609434800005","View Full Record in Web of Science")</f>
        <v>View Full Record in Web of Science</v>
      </c>
    </row>
    <row r="1509" customFormat="false" ht="12.75" hidden="false" customHeight="false" outlineLevel="0" collapsed="false">
      <c r="A1509" s="2" t="s">
        <v>72</v>
      </c>
      <c r="B1509" s="2" t="s">
        <v>26249</v>
      </c>
      <c r="C1509" s="2"/>
      <c r="D1509" s="2"/>
      <c r="E1509" s="2"/>
      <c r="F1509" s="2" t="s">
        <v>26250</v>
      </c>
      <c r="G1509" s="2"/>
      <c r="H1509" s="2"/>
      <c r="I1509" s="2" t="s">
        <v>26251</v>
      </c>
      <c r="J1509" s="2" t="s">
        <v>26252</v>
      </c>
      <c r="K1509" s="2"/>
      <c r="L1509" s="2"/>
      <c r="M1509" s="2" t="s">
        <v>77</v>
      </c>
      <c r="N1509" s="2" t="s">
        <v>78</v>
      </c>
      <c r="O1509" s="2"/>
      <c r="P1509" s="2"/>
      <c r="Q1509" s="2"/>
      <c r="R1509" s="2"/>
      <c r="S1509" s="2"/>
      <c r="T1509" s="2" t="s">
        <v>26253</v>
      </c>
      <c r="U1509" s="2" t="s">
        <v>26254</v>
      </c>
      <c r="V1509" s="2" t="s">
        <v>26255</v>
      </c>
      <c r="W1509" s="2" t="s">
        <v>26256</v>
      </c>
      <c r="X1509" s="2" t="s">
        <v>26257</v>
      </c>
      <c r="Y1509" s="2" t="s">
        <v>26258</v>
      </c>
      <c r="Z1509" s="2" t="s">
        <v>26259</v>
      </c>
      <c r="AA1509" s="2" t="s">
        <v>26260</v>
      </c>
      <c r="AB1509" s="2"/>
      <c r="AC1509" s="2"/>
      <c r="AD1509" s="2"/>
      <c r="AE1509" s="2"/>
      <c r="AF1509" s="2"/>
      <c r="AG1509" s="2" t="n">
        <v>23</v>
      </c>
      <c r="AH1509" s="2" t="n">
        <v>0</v>
      </c>
      <c r="AI1509" s="2" t="n">
        <v>0</v>
      </c>
      <c r="AJ1509" s="2" t="n">
        <v>0</v>
      </c>
      <c r="AK1509" s="2" t="n">
        <v>5</v>
      </c>
      <c r="AL1509" s="2" t="s">
        <v>26261</v>
      </c>
      <c r="AM1509" s="2" t="s">
        <v>26262</v>
      </c>
      <c r="AN1509" s="2" t="s">
        <v>26263</v>
      </c>
      <c r="AO1509" s="2" t="s">
        <v>26264</v>
      </c>
      <c r="AP1509" s="2" t="s">
        <v>26265</v>
      </c>
      <c r="AQ1509" s="2"/>
      <c r="AR1509" s="2" t="s">
        <v>26266</v>
      </c>
      <c r="AS1509" s="2" t="s">
        <v>26267</v>
      </c>
      <c r="AT1509" s="2" t="s">
        <v>26268</v>
      </c>
      <c r="AU1509" s="2" t="n">
        <v>2017</v>
      </c>
      <c r="AV1509" s="2" t="n">
        <v>32</v>
      </c>
      <c r="AW1509" s="2" t="n">
        <v>1</v>
      </c>
      <c r="AX1509" s="2"/>
      <c r="AY1509" s="2"/>
      <c r="AZ1509" s="2"/>
      <c r="BA1509" s="2"/>
      <c r="BB1509" s="2" t="n">
        <v>20</v>
      </c>
      <c r="BC1509" s="2" t="n">
        <v>25</v>
      </c>
      <c r="BD1509" s="2"/>
      <c r="BE1509" s="2" t="s">
        <v>26269</v>
      </c>
      <c r="BF1509" s="2" t="str">
        <f aca="false">HYPERLINK("http://dx.doi.org/10.3306/MEDICINABALEAR.32.01.20","http://dx.doi.org/10.3306/MEDICINABALEAR.32.01.20")</f>
        <v>http://dx.doi.org/10.3306/MEDICINABALEAR.32.01.20</v>
      </c>
      <c r="BG1509" s="2"/>
      <c r="BH1509" s="2"/>
      <c r="BI1509" s="2" t="n">
        <v>6</v>
      </c>
      <c r="BJ1509" s="2" t="s">
        <v>363</v>
      </c>
      <c r="BK1509" s="2" t="s">
        <v>339</v>
      </c>
      <c r="BL1509" s="2" t="s">
        <v>364</v>
      </c>
      <c r="BM1509" s="2" t="s">
        <v>26270</v>
      </c>
      <c r="BN1509" s="2"/>
      <c r="BO1509" s="2"/>
      <c r="BP1509" s="2"/>
      <c r="BQ1509" s="2"/>
      <c r="BR1509" s="2" t="s">
        <v>104</v>
      </c>
      <c r="BS1509" s="2" t="s">
        <v>26271</v>
      </c>
      <c r="BT1509" s="2" t="str">
        <f aca="false">HYPERLINK("https%3A%2F%2Fwww.webofscience.com%2Fwos%2Fwoscc%2Ffull-record%2FWOS:000394805900003","View Full Record in Web of Science")</f>
        <v>View Full Record in Web of Science</v>
      </c>
    </row>
    <row r="1510" customFormat="false" ht="12.75" hidden="false" customHeight="false" outlineLevel="0" collapsed="false">
      <c r="A1510" s="2" t="s">
        <v>72</v>
      </c>
      <c r="B1510" s="2" t="s">
        <v>26272</v>
      </c>
      <c r="C1510" s="2"/>
      <c r="D1510" s="2"/>
      <c r="E1510" s="2"/>
      <c r="F1510" s="2" t="s">
        <v>26273</v>
      </c>
      <c r="G1510" s="2"/>
      <c r="H1510" s="2"/>
      <c r="I1510" s="2" t="s">
        <v>26274</v>
      </c>
      <c r="J1510" s="2" t="s">
        <v>26275</v>
      </c>
      <c r="K1510" s="2"/>
      <c r="L1510" s="2"/>
      <c r="M1510" s="2" t="s">
        <v>77</v>
      </c>
      <c r="N1510" s="2" t="s">
        <v>78</v>
      </c>
      <c r="O1510" s="2"/>
      <c r="P1510" s="2"/>
      <c r="Q1510" s="2"/>
      <c r="R1510" s="2"/>
      <c r="S1510" s="2"/>
      <c r="T1510" s="2" t="s">
        <v>26276</v>
      </c>
      <c r="U1510" s="2" t="s">
        <v>26277</v>
      </c>
      <c r="V1510" s="2" t="s">
        <v>26278</v>
      </c>
      <c r="W1510" s="2" t="s">
        <v>26279</v>
      </c>
      <c r="X1510" s="2" t="s">
        <v>26280</v>
      </c>
      <c r="Y1510" s="2" t="s">
        <v>26281</v>
      </c>
      <c r="Z1510" s="2" t="s">
        <v>26282</v>
      </c>
      <c r="AA1510" s="2"/>
      <c r="AB1510" s="2"/>
      <c r="AC1510" s="2"/>
      <c r="AD1510" s="2"/>
      <c r="AE1510" s="2"/>
      <c r="AF1510" s="2"/>
      <c r="AG1510" s="2" t="n">
        <v>46</v>
      </c>
      <c r="AH1510" s="2" t="n">
        <v>1</v>
      </c>
      <c r="AI1510" s="2" t="n">
        <v>2</v>
      </c>
      <c r="AJ1510" s="2" t="n">
        <v>0</v>
      </c>
      <c r="AK1510" s="2" t="n">
        <v>8</v>
      </c>
      <c r="AL1510" s="2" t="s">
        <v>9887</v>
      </c>
      <c r="AM1510" s="2" t="s">
        <v>9888</v>
      </c>
      <c r="AN1510" s="2" t="s">
        <v>23040</v>
      </c>
      <c r="AO1510" s="2" t="s">
        <v>26283</v>
      </c>
      <c r="AP1510" s="2" t="s">
        <v>26284</v>
      </c>
      <c r="AQ1510" s="2"/>
      <c r="AR1510" s="2" t="s">
        <v>26285</v>
      </c>
      <c r="AS1510" s="2" t="s">
        <v>26286</v>
      </c>
      <c r="AT1510" s="2" t="s">
        <v>21917</v>
      </c>
      <c r="AU1510" s="2" t="n">
        <v>2023</v>
      </c>
      <c r="AV1510" s="2" t="n">
        <v>18</v>
      </c>
      <c r="AW1510" s="2" t="n">
        <v>3</v>
      </c>
      <c r="AX1510" s="2"/>
      <c r="AY1510" s="2"/>
      <c r="AZ1510" s="2"/>
      <c r="BA1510" s="2"/>
      <c r="BB1510" s="2" t="n">
        <v>132</v>
      </c>
      <c r="BC1510" s="2" t="n">
        <v>151</v>
      </c>
      <c r="BD1510" s="2"/>
      <c r="BE1510" s="2" t="s">
        <v>26287</v>
      </c>
      <c r="BF1510" s="2" t="str">
        <f aca="false">HYPERLINK("http://dx.doi.org/10.4103/atm.atm_422_22","http://dx.doi.org/10.4103/atm.atm_422_22")</f>
        <v>http://dx.doi.org/10.4103/atm.atm_422_22</v>
      </c>
      <c r="BG1510" s="2"/>
      <c r="BH1510" s="2"/>
      <c r="BI1510" s="2" t="n">
        <v>20</v>
      </c>
      <c r="BJ1510" s="2" t="s">
        <v>5632</v>
      </c>
      <c r="BK1510" s="2" t="s">
        <v>100</v>
      </c>
      <c r="BL1510" s="2" t="s">
        <v>5633</v>
      </c>
      <c r="BM1510" s="2" t="s">
        <v>26288</v>
      </c>
      <c r="BN1510" s="2" t="n">
        <v>37663878</v>
      </c>
      <c r="BO1510" s="2" t="s">
        <v>190</v>
      </c>
      <c r="BP1510" s="2"/>
      <c r="BQ1510" s="2"/>
      <c r="BR1510" s="2" t="s">
        <v>104</v>
      </c>
      <c r="BS1510" s="2" t="s">
        <v>26289</v>
      </c>
      <c r="BT1510" s="2" t="str">
        <f aca="false">HYPERLINK("https%3A%2F%2Fwww.webofscience.com%2Fwos%2Fwoscc%2Ffull-record%2FWOS:001044369200004","View Full Record in Web of Science")</f>
        <v>View Full Record in Web of Science</v>
      </c>
    </row>
    <row r="1511" customFormat="false" ht="12.75" hidden="false" customHeight="false" outlineLevel="0" collapsed="false">
      <c r="A1511" s="2" t="s">
        <v>72</v>
      </c>
      <c r="B1511" s="2" t="s">
        <v>26290</v>
      </c>
      <c r="C1511" s="2"/>
      <c r="D1511" s="2"/>
      <c r="E1511" s="2"/>
      <c r="F1511" s="2" t="s">
        <v>26291</v>
      </c>
      <c r="G1511" s="2"/>
      <c r="H1511" s="2"/>
      <c r="I1511" s="2" t="s">
        <v>26292</v>
      </c>
      <c r="J1511" s="2" t="s">
        <v>8394</v>
      </c>
      <c r="K1511" s="2"/>
      <c r="L1511" s="2"/>
      <c r="M1511" s="2" t="s">
        <v>77</v>
      </c>
      <c r="N1511" s="2" t="s">
        <v>78</v>
      </c>
      <c r="O1511" s="2"/>
      <c r="P1511" s="2"/>
      <c r="Q1511" s="2"/>
      <c r="R1511" s="2"/>
      <c r="S1511" s="2"/>
      <c r="T1511" s="2" t="s">
        <v>26293</v>
      </c>
      <c r="U1511" s="2" t="s">
        <v>26294</v>
      </c>
      <c r="V1511" s="2" t="s">
        <v>26295</v>
      </c>
      <c r="W1511" s="2" t="s">
        <v>26296</v>
      </c>
      <c r="X1511" s="2" t="s">
        <v>26297</v>
      </c>
      <c r="Y1511" s="2" t="s">
        <v>26298</v>
      </c>
      <c r="Z1511" s="2" t="s">
        <v>26299</v>
      </c>
      <c r="AA1511" s="2" t="s">
        <v>4709</v>
      </c>
      <c r="AB1511" s="2" t="s">
        <v>26300</v>
      </c>
      <c r="AC1511" s="2" t="s">
        <v>6083</v>
      </c>
      <c r="AD1511" s="2" t="s">
        <v>6084</v>
      </c>
      <c r="AE1511" s="2" t="s">
        <v>26301</v>
      </c>
      <c r="AF1511" s="2"/>
      <c r="AG1511" s="2" t="n">
        <v>12</v>
      </c>
      <c r="AH1511" s="2" t="n">
        <v>0</v>
      </c>
      <c r="AI1511" s="2" t="n">
        <v>0</v>
      </c>
      <c r="AJ1511" s="2" t="n">
        <v>0</v>
      </c>
      <c r="AK1511" s="2" t="n">
        <v>4</v>
      </c>
      <c r="AL1511" s="2" t="s">
        <v>7639</v>
      </c>
      <c r="AM1511" s="2" t="s">
        <v>783</v>
      </c>
      <c r="AN1511" s="2" t="s">
        <v>7640</v>
      </c>
      <c r="AO1511" s="2" t="s">
        <v>8402</v>
      </c>
      <c r="AP1511" s="2" t="s">
        <v>8403</v>
      </c>
      <c r="AQ1511" s="2"/>
      <c r="AR1511" s="2" t="s">
        <v>8404</v>
      </c>
      <c r="AS1511" s="2" t="s">
        <v>8405</v>
      </c>
      <c r="AT1511" s="2" t="s">
        <v>692</v>
      </c>
      <c r="AU1511" s="2" t="n">
        <v>2021</v>
      </c>
      <c r="AV1511" s="2" t="n">
        <v>10</v>
      </c>
      <c r="AW1511" s="2" t="n">
        <v>4</v>
      </c>
      <c r="AX1511" s="2"/>
      <c r="AY1511" s="2"/>
      <c r="AZ1511" s="2"/>
      <c r="BA1511" s="2"/>
      <c r="BB1511" s="2" t="n">
        <v>525</v>
      </c>
      <c r="BC1511" s="2" t="n">
        <v>528</v>
      </c>
      <c r="BD1511" s="2"/>
      <c r="BE1511" s="2" t="s">
        <v>26302</v>
      </c>
      <c r="BF1511" s="2" t="str">
        <f aca="false">HYPERLINK("http://dx.doi.org/10.1093/jpids/piaa143","http://dx.doi.org/10.1093/jpids/piaa143")</f>
        <v>http://dx.doi.org/10.1093/jpids/piaa143</v>
      </c>
      <c r="BG1511" s="2"/>
      <c r="BH1511" s="2"/>
      <c r="BI1511" s="2" t="n">
        <v>4</v>
      </c>
      <c r="BJ1511" s="2" t="s">
        <v>417</v>
      </c>
      <c r="BK1511" s="2" t="s">
        <v>100</v>
      </c>
      <c r="BL1511" s="2" t="s">
        <v>417</v>
      </c>
      <c r="BM1511" s="2" t="s">
        <v>18117</v>
      </c>
      <c r="BN1511" s="2" t="n">
        <v>33340313</v>
      </c>
      <c r="BO1511" s="2" t="s">
        <v>2178</v>
      </c>
      <c r="BP1511" s="2"/>
      <c r="BQ1511" s="2"/>
      <c r="BR1511" s="2" t="s">
        <v>104</v>
      </c>
      <c r="BS1511" s="2" t="s">
        <v>26303</v>
      </c>
      <c r="BT1511" s="2" t="str">
        <f aca="false">HYPERLINK("https%3A%2F%2Fwww.webofscience.com%2Fwos%2Fwoscc%2Ffull-record%2FWOS:000683384400019","View Full Record in Web of Science")</f>
        <v>View Full Record in Web of Science</v>
      </c>
    </row>
    <row r="1512" customFormat="false" ht="12.75" hidden="false" customHeight="false" outlineLevel="0" collapsed="false">
      <c r="A1512" s="2" t="s">
        <v>72</v>
      </c>
      <c r="B1512" s="2" t="s">
        <v>26304</v>
      </c>
      <c r="C1512" s="2"/>
      <c r="D1512" s="2"/>
      <c r="E1512" s="2"/>
      <c r="F1512" s="2" t="s">
        <v>26305</v>
      </c>
      <c r="G1512" s="2"/>
      <c r="H1512" s="2"/>
      <c r="I1512" s="2" t="s">
        <v>26306</v>
      </c>
      <c r="J1512" s="2" t="s">
        <v>141</v>
      </c>
      <c r="K1512" s="2"/>
      <c r="L1512" s="2"/>
      <c r="M1512" s="2" t="s">
        <v>77</v>
      </c>
      <c r="N1512" s="2" t="s">
        <v>78</v>
      </c>
      <c r="O1512" s="2"/>
      <c r="P1512" s="2"/>
      <c r="Q1512" s="2"/>
      <c r="R1512" s="2"/>
      <c r="S1512" s="2"/>
      <c r="T1512" s="2" t="s">
        <v>26307</v>
      </c>
      <c r="U1512" s="2"/>
      <c r="V1512" s="2" t="s">
        <v>26308</v>
      </c>
      <c r="W1512" s="2" t="s">
        <v>26309</v>
      </c>
      <c r="X1512" s="2" t="s">
        <v>26310</v>
      </c>
      <c r="Y1512" s="2" t="s">
        <v>26311</v>
      </c>
      <c r="Z1512" s="2" t="s">
        <v>12554</v>
      </c>
      <c r="AA1512" s="2" t="s">
        <v>26312</v>
      </c>
      <c r="AB1512" s="2" t="s">
        <v>26313</v>
      </c>
      <c r="AC1512" s="2" t="s">
        <v>26314</v>
      </c>
      <c r="AD1512" s="2" t="s">
        <v>26315</v>
      </c>
      <c r="AE1512" s="2" t="s">
        <v>26316</v>
      </c>
      <c r="AF1512" s="2"/>
      <c r="AG1512" s="2" t="n">
        <v>0</v>
      </c>
      <c r="AH1512" s="2" t="n">
        <v>7</v>
      </c>
      <c r="AI1512" s="2" t="n">
        <v>8</v>
      </c>
      <c r="AJ1512" s="2" t="n">
        <v>0</v>
      </c>
      <c r="AK1512" s="2" t="n">
        <v>3</v>
      </c>
      <c r="AL1512" s="2" t="s">
        <v>154</v>
      </c>
      <c r="AM1512" s="2" t="s">
        <v>155</v>
      </c>
      <c r="AN1512" s="2" t="s">
        <v>156</v>
      </c>
      <c r="AO1512" s="2" t="s">
        <v>157</v>
      </c>
      <c r="AP1512" s="2" t="s">
        <v>158</v>
      </c>
      <c r="AQ1512" s="2"/>
      <c r="AR1512" s="2" t="s">
        <v>159</v>
      </c>
      <c r="AS1512" s="2" t="s">
        <v>160</v>
      </c>
      <c r="AT1512" s="2" t="s">
        <v>97</v>
      </c>
      <c r="AU1512" s="2" t="n">
        <v>2018</v>
      </c>
      <c r="AV1512" s="2" t="n">
        <v>90</v>
      </c>
      <c r="AW1512" s="2" t="n">
        <v>3</v>
      </c>
      <c r="AX1512" s="2"/>
      <c r="AY1512" s="2"/>
      <c r="AZ1512" s="2"/>
      <c r="BA1512" s="2"/>
      <c r="BB1512" s="2" t="n">
        <v>604</v>
      </c>
      <c r="BC1512" s="2" t="n">
        <v>608</v>
      </c>
      <c r="BD1512" s="2"/>
      <c r="BE1512" s="2" t="s">
        <v>26317</v>
      </c>
      <c r="BF1512" s="2" t="str">
        <f aca="false">HYPERLINK("http://dx.doi.org/10.1002/jmv.24969","http://dx.doi.org/10.1002/jmv.24969")</f>
        <v>http://dx.doi.org/10.1002/jmv.24969</v>
      </c>
      <c r="BG1512" s="2"/>
      <c r="BH1512" s="2"/>
      <c r="BI1512" s="2" t="n">
        <v>5</v>
      </c>
      <c r="BJ1512" s="2" t="s">
        <v>163</v>
      </c>
      <c r="BK1512" s="2" t="s">
        <v>100</v>
      </c>
      <c r="BL1512" s="2" t="s">
        <v>163</v>
      </c>
      <c r="BM1512" s="2" t="s">
        <v>14397</v>
      </c>
      <c r="BN1512" s="2" t="n">
        <v>28980711</v>
      </c>
      <c r="BO1512" s="2"/>
      <c r="BP1512" s="2"/>
      <c r="BQ1512" s="2"/>
      <c r="BR1512" s="2" t="s">
        <v>104</v>
      </c>
      <c r="BS1512" s="2" t="s">
        <v>26318</v>
      </c>
      <c r="BT1512" s="2" t="str">
        <f aca="false">HYPERLINK("https%3A%2F%2Fwww.webofscience.com%2Fwos%2Fwoscc%2Ffull-record%2FWOS:000419510600029","View Full Record in Web of Science")</f>
        <v>View Full Record in Web of Science</v>
      </c>
    </row>
    <row r="1513" customFormat="false" ht="12.75" hidden="false" customHeight="false" outlineLevel="0" collapsed="false">
      <c r="A1513" s="2" t="s">
        <v>72</v>
      </c>
      <c r="B1513" s="2" t="s">
        <v>26319</v>
      </c>
      <c r="C1513" s="2"/>
      <c r="D1513" s="2"/>
      <c r="E1513" s="2"/>
      <c r="F1513" s="2" t="s">
        <v>26320</v>
      </c>
      <c r="G1513" s="2"/>
      <c r="H1513" s="2"/>
      <c r="I1513" s="2" t="s">
        <v>26321</v>
      </c>
      <c r="J1513" s="2" t="s">
        <v>398</v>
      </c>
      <c r="K1513" s="2"/>
      <c r="L1513" s="2"/>
      <c r="M1513" s="2" t="s">
        <v>77</v>
      </c>
      <c r="N1513" s="2" t="s">
        <v>78</v>
      </c>
      <c r="O1513" s="2"/>
      <c r="P1513" s="2"/>
      <c r="Q1513" s="2"/>
      <c r="R1513" s="2"/>
      <c r="S1513" s="2"/>
      <c r="T1513" s="2" t="s">
        <v>26322</v>
      </c>
      <c r="U1513" s="2" t="s">
        <v>26323</v>
      </c>
      <c r="V1513" s="2" t="s">
        <v>26324</v>
      </c>
      <c r="W1513" s="2" t="s">
        <v>26325</v>
      </c>
      <c r="X1513" s="2" t="s">
        <v>21270</v>
      </c>
      <c r="Y1513" s="2" t="s">
        <v>26326</v>
      </c>
      <c r="Z1513" s="2" t="s">
        <v>15502</v>
      </c>
      <c r="AA1513" s="2" t="s">
        <v>26327</v>
      </c>
      <c r="AB1513" s="2"/>
      <c r="AC1513" s="2" t="s">
        <v>26328</v>
      </c>
      <c r="AD1513" s="2" t="s">
        <v>26329</v>
      </c>
      <c r="AE1513" s="2" t="s">
        <v>26330</v>
      </c>
      <c r="AF1513" s="2"/>
      <c r="AG1513" s="2" t="n">
        <v>16</v>
      </c>
      <c r="AH1513" s="2" t="n">
        <v>2</v>
      </c>
      <c r="AI1513" s="2" t="n">
        <v>2</v>
      </c>
      <c r="AJ1513" s="2" t="n">
        <v>0</v>
      </c>
      <c r="AK1513" s="2" t="n">
        <v>8</v>
      </c>
      <c r="AL1513" s="2" t="s">
        <v>408</v>
      </c>
      <c r="AM1513" s="2" t="s">
        <v>409</v>
      </c>
      <c r="AN1513" s="2" t="s">
        <v>410</v>
      </c>
      <c r="AO1513" s="2" t="s">
        <v>411</v>
      </c>
      <c r="AP1513" s="2" t="s">
        <v>412</v>
      </c>
      <c r="AQ1513" s="2"/>
      <c r="AR1513" s="2" t="s">
        <v>413</v>
      </c>
      <c r="AS1513" s="2" t="s">
        <v>414</v>
      </c>
      <c r="AT1513" s="2" t="s">
        <v>129</v>
      </c>
      <c r="AU1513" s="2" t="n">
        <v>2022</v>
      </c>
      <c r="AV1513" s="2" t="n">
        <v>17</v>
      </c>
      <c r="AW1513" s="2" t="n">
        <v>5</v>
      </c>
      <c r="AX1513" s="2"/>
      <c r="AY1513" s="2"/>
      <c r="AZ1513" s="2"/>
      <c r="BA1513" s="2"/>
      <c r="BB1513" s="2" t="n">
        <v>248</v>
      </c>
      <c r="BC1513" s="2" t="n">
        <v>251</v>
      </c>
      <c r="BD1513" s="2"/>
      <c r="BE1513" s="2" t="s">
        <v>26331</v>
      </c>
      <c r="BF1513" s="2" t="str">
        <f aca="false">HYPERLINK("http://dx.doi.org/10.1055/s-0042-1756712","http://dx.doi.org/10.1055/s-0042-1756712")</f>
        <v>http://dx.doi.org/10.1055/s-0042-1756712</v>
      </c>
      <c r="BG1513" s="2"/>
      <c r="BH1513" s="2" t="s">
        <v>6262</v>
      </c>
      <c r="BI1513" s="2" t="n">
        <v>4</v>
      </c>
      <c r="BJ1513" s="2" t="s">
        <v>417</v>
      </c>
      <c r="BK1513" s="2" t="s">
        <v>100</v>
      </c>
      <c r="BL1513" s="2" t="s">
        <v>417</v>
      </c>
      <c r="BM1513" s="2" t="s">
        <v>26332</v>
      </c>
      <c r="BN1513" s="2"/>
      <c r="BO1513" s="2"/>
      <c r="BP1513" s="2"/>
      <c r="BQ1513" s="2"/>
      <c r="BR1513" s="2" t="s">
        <v>104</v>
      </c>
      <c r="BS1513" s="2" t="s">
        <v>26333</v>
      </c>
      <c r="BT1513" s="2" t="str">
        <f aca="false">HYPERLINK("https%3A%2F%2Fwww.webofscience.com%2Fwos%2Fwoscc%2Ffull-record%2FWOS:000857959300001","View Full Record in Web of Science")</f>
        <v>View Full Record in Web of Science</v>
      </c>
    </row>
    <row r="1514" customFormat="false" ht="12.75" hidden="false" customHeight="false" outlineLevel="0" collapsed="false">
      <c r="A1514" s="2" t="s">
        <v>72</v>
      </c>
      <c r="B1514" s="2" t="s">
        <v>26334</v>
      </c>
      <c r="C1514" s="2"/>
      <c r="D1514" s="2"/>
      <c r="E1514" s="2"/>
      <c r="F1514" s="2" t="s">
        <v>26335</v>
      </c>
      <c r="G1514" s="2"/>
      <c r="H1514" s="2"/>
      <c r="I1514" s="2" t="s">
        <v>26336</v>
      </c>
      <c r="J1514" s="2" t="s">
        <v>370</v>
      </c>
      <c r="K1514" s="2"/>
      <c r="L1514" s="2"/>
      <c r="M1514" s="2" t="s">
        <v>77</v>
      </c>
      <c r="N1514" s="2" t="s">
        <v>78</v>
      </c>
      <c r="O1514" s="2"/>
      <c r="P1514" s="2"/>
      <c r="Q1514" s="2"/>
      <c r="R1514" s="2"/>
      <c r="S1514" s="2"/>
      <c r="T1514" s="2" t="s">
        <v>26337</v>
      </c>
      <c r="U1514" s="2" t="s">
        <v>26338</v>
      </c>
      <c r="V1514" s="2" t="s">
        <v>26339</v>
      </c>
      <c r="W1514" s="2" t="s">
        <v>26340</v>
      </c>
      <c r="X1514" s="2" t="s">
        <v>26341</v>
      </c>
      <c r="Y1514" s="2" t="s">
        <v>26342</v>
      </c>
      <c r="Z1514" s="2" t="s">
        <v>3989</v>
      </c>
      <c r="AA1514" s="2" t="s">
        <v>26343</v>
      </c>
      <c r="AB1514" s="2" t="s">
        <v>26344</v>
      </c>
      <c r="AC1514" s="2" t="s">
        <v>26345</v>
      </c>
      <c r="AD1514" s="2" t="s">
        <v>26346</v>
      </c>
      <c r="AE1514" s="2" t="s">
        <v>26347</v>
      </c>
      <c r="AF1514" s="2"/>
      <c r="AG1514" s="2" t="n">
        <v>43</v>
      </c>
      <c r="AH1514" s="2" t="n">
        <v>39</v>
      </c>
      <c r="AI1514" s="2" t="n">
        <v>46</v>
      </c>
      <c r="AJ1514" s="2" t="n">
        <v>0</v>
      </c>
      <c r="AK1514" s="2" t="n">
        <v>6</v>
      </c>
      <c r="AL1514" s="2" t="s">
        <v>383</v>
      </c>
      <c r="AM1514" s="2" t="s">
        <v>384</v>
      </c>
      <c r="AN1514" s="2" t="s">
        <v>385</v>
      </c>
      <c r="AO1514" s="2" t="s">
        <v>386</v>
      </c>
      <c r="AP1514" s="2" t="s">
        <v>387</v>
      </c>
      <c r="AQ1514" s="2"/>
      <c r="AR1514" s="2" t="s">
        <v>388</v>
      </c>
      <c r="AS1514" s="2" t="s">
        <v>389</v>
      </c>
      <c r="AT1514" s="2" t="s">
        <v>804</v>
      </c>
      <c r="AU1514" s="2" t="n">
        <v>2010</v>
      </c>
      <c r="AV1514" s="2" t="n">
        <v>49</v>
      </c>
      <c r="AW1514" s="2" t="n">
        <v>3</v>
      </c>
      <c r="AX1514" s="2"/>
      <c r="AY1514" s="2"/>
      <c r="AZ1514" s="2"/>
      <c r="BA1514" s="2"/>
      <c r="BB1514" s="2" t="n">
        <v>211</v>
      </c>
      <c r="BC1514" s="2" t="n">
        <v>218</v>
      </c>
      <c r="BD1514" s="2"/>
      <c r="BE1514" s="2" t="s">
        <v>26348</v>
      </c>
      <c r="BF1514" s="2" t="str">
        <f aca="false">HYPERLINK("http://dx.doi.org/10.1016/j.jcv.2010.08.005","http://dx.doi.org/10.1016/j.jcv.2010.08.005")</f>
        <v>http://dx.doi.org/10.1016/j.jcv.2010.08.005</v>
      </c>
      <c r="BG1514" s="2"/>
      <c r="BH1514" s="2"/>
      <c r="BI1514" s="2" t="n">
        <v>8</v>
      </c>
      <c r="BJ1514" s="2" t="s">
        <v>163</v>
      </c>
      <c r="BK1514" s="2" t="s">
        <v>100</v>
      </c>
      <c r="BL1514" s="2" t="s">
        <v>163</v>
      </c>
      <c r="BM1514" s="2" t="s">
        <v>26349</v>
      </c>
      <c r="BN1514" s="2" t="n">
        <v>20855230</v>
      </c>
      <c r="BO1514" s="2" t="s">
        <v>1227</v>
      </c>
      <c r="BP1514" s="2"/>
      <c r="BQ1514" s="2"/>
      <c r="BR1514" s="2" t="s">
        <v>104</v>
      </c>
      <c r="BS1514" s="2" t="s">
        <v>26350</v>
      </c>
      <c r="BT1514" s="2" t="str">
        <f aca="false">HYPERLINK("https%3A%2F%2Fwww.webofscience.com%2Fwos%2Fwoscc%2Ffull-record%2FWOS:000282676600012","View Full Record in Web of Science")</f>
        <v>View Full Record in Web of Science</v>
      </c>
    </row>
    <row r="1515" customFormat="false" ht="12.75" hidden="false" customHeight="false" outlineLevel="0" collapsed="false">
      <c r="A1515" s="2" t="s">
        <v>72</v>
      </c>
      <c r="B1515" s="2" t="s">
        <v>26351</v>
      </c>
      <c r="C1515" s="2"/>
      <c r="D1515" s="2"/>
      <c r="E1515" s="2"/>
      <c r="F1515" s="2" t="s">
        <v>26352</v>
      </c>
      <c r="G1515" s="2"/>
      <c r="H1515" s="2"/>
      <c r="I1515" s="2" t="s">
        <v>26353</v>
      </c>
      <c r="J1515" s="2" t="s">
        <v>9002</v>
      </c>
      <c r="K1515" s="2"/>
      <c r="L1515" s="2"/>
      <c r="M1515" s="2" t="s">
        <v>77</v>
      </c>
      <c r="N1515" s="2" t="s">
        <v>78</v>
      </c>
      <c r="O1515" s="2"/>
      <c r="P1515" s="2"/>
      <c r="Q1515" s="2"/>
      <c r="R1515" s="2"/>
      <c r="S1515" s="2"/>
      <c r="T1515" s="2" t="s">
        <v>26354</v>
      </c>
      <c r="U1515" s="2" t="s">
        <v>26355</v>
      </c>
      <c r="V1515" s="2" t="s">
        <v>26356</v>
      </c>
      <c r="W1515" s="2" t="s">
        <v>26357</v>
      </c>
      <c r="X1515" s="2" t="s">
        <v>26358</v>
      </c>
      <c r="Y1515" s="2" t="s">
        <v>26359</v>
      </c>
      <c r="Z1515" s="2" t="s">
        <v>7269</v>
      </c>
      <c r="AA1515" s="2" t="s">
        <v>26360</v>
      </c>
      <c r="AB1515" s="2" t="s">
        <v>26361</v>
      </c>
      <c r="AC1515" s="2" t="s">
        <v>26362</v>
      </c>
      <c r="AD1515" s="2" t="s">
        <v>26363</v>
      </c>
      <c r="AE1515" s="2" t="s">
        <v>26364</v>
      </c>
      <c r="AF1515" s="2"/>
      <c r="AG1515" s="2" t="n">
        <v>28</v>
      </c>
      <c r="AH1515" s="2" t="n">
        <v>24</v>
      </c>
      <c r="AI1515" s="2" t="n">
        <v>26</v>
      </c>
      <c r="AJ1515" s="2" t="n">
        <v>0</v>
      </c>
      <c r="AK1515" s="2" t="n">
        <v>4</v>
      </c>
      <c r="AL1515" s="2" t="s">
        <v>154</v>
      </c>
      <c r="AM1515" s="2" t="s">
        <v>155</v>
      </c>
      <c r="AN1515" s="2" t="s">
        <v>156</v>
      </c>
      <c r="AO1515" s="2" t="s">
        <v>9009</v>
      </c>
      <c r="AP1515" s="2" t="s">
        <v>9010</v>
      </c>
      <c r="AQ1515" s="2"/>
      <c r="AR1515" s="2" t="s">
        <v>9011</v>
      </c>
      <c r="AS1515" s="2" t="s">
        <v>9012</v>
      </c>
      <c r="AT1515" s="2" t="s">
        <v>129</v>
      </c>
      <c r="AU1515" s="2" t="n">
        <v>2011</v>
      </c>
      <c r="AV1515" s="2" t="n">
        <v>16</v>
      </c>
      <c r="AW1515" s="2" t="n">
        <v>9</v>
      </c>
      <c r="AX1515" s="2"/>
      <c r="AY1515" s="2"/>
      <c r="AZ1515" s="2"/>
      <c r="BA1515" s="2"/>
      <c r="BB1515" s="2" t="n">
        <v>1054</v>
      </c>
      <c r="BC1515" s="2" t="n">
        <v>1060</v>
      </c>
      <c r="BD1515" s="2"/>
      <c r="BE1515" s="2" t="s">
        <v>26365</v>
      </c>
      <c r="BF1515" s="2" t="str">
        <f aca="false">HYPERLINK("http://dx.doi.org/10.1111/j.1365-3156.2011.02811.x","http://dx.doi.org/10.1111/j.1365-3156.2011.02811.x")</f>
        <v>http://dx.doi.org/10.1111/j.1365-3156.2011.02811.x</v>
      </c>
      <c r="BG1515" s="2"/>
      <c r="BH1515" s="2"/>
      <c r="BI1515" s="2" t="n">
        <v>7</v>
      </c>
      <c r="BJ1515" s="2" t="s">
        <v>9015</v>
      </c>
      <c r="BK1515" s="2" t="s">
        <v>100</v>
      </c>
      <c r="BL1515" s="2" t="s">
        <v>9015</v>
      </c>
      <c r="BM1515" s="2" t="s">
        <v>26366</v>
      </c>
      <c r="BN1515" s="2" t="n">
        <v>21707876</v>
      </c>
      <c r="BO1515" s="2"/>
      <c r="BP1515" s="2"/>
      <c r="BQ1515" s="2"/>
      <c r="BR1515" s="2" t="s">
        <v>104</v>
      </c>
      <c r="BS1515" s="2" t="s">
        <v>26367</v>
      </c>
      <c r="BT1515" s="2" t="str">
        <f aca="false">HYPERLINK("https%3A%2F%2Fwww.webofscience.com%2Fwos%2Fwoscc%2Ffull-record%2FWOS:000293659100002","View Full Record in Web of Science")</f>
        <v>View Full Record in Web of Science</v>
      </c>
    </row>
    <row r="1516" customFormat="false" ht="12.75" hidden="false" customHeight="false" outlineLevel="0" collapsed="false">
      <c r="A1516" s="2" t="s">
        <v>72</v>
      </c>
      <c r="B1516" s="2" t="s">
        <v>26368</v>
      </c>
      <c r="C1516" s="2"/>
      <c r="D1516" s="2"/>
      <c r="E1516" s="2"/>
      <c r="F1516" s="2" t="s">
        <v>26369</v>
      </c>
      <c r="G1516" s="2"/>
      <c r="H1516" s="2"/>
      <c r="I1516" s="2" t="s">
        <v>26370</v>
      </c>
      <c r="J1516" s="2" t="s">
        <v>10165</v>
      </c>
      <c r="K1516" s="2"/>
      <c r="L1516" s="2"/>
      <c r="M1516" s="2" t="s">
        <v>77</v>
      </c>
      <c r="N1516" s="2" t="s">
        <v>78</v>
      </c>
      <c r="O1516" s="2"/>
      <c r="P1516" s="2"/>
      <c r="Q1516" s="2"/>
      <c r="R1516" s="2"/>
      <c r="S1516" s="2"/>
      <c r="T1516" s="2" t="s">
        <v>26371</v>
      </c>
      <c r="U1516" s="2" t="s">
        <v>26372</v>
      </c>
      <c r="V1516" s="2" t="s">
        <v>26373</v>
      </c>
      <c r="W1516" s="2" t="s">
        <v>26374</v>
      </c>
      <c r="X1516" s="2" t="s">
        <v>26375</v>
      </c>
      <c r="Y1516" s="2" t="s">
        <v>20202</v>
      </c>
      <c r="Z1516" s="2" t="s">
        <v>20203</v>
      </c>
      <c r="AA1516" s="2" t="s">
        <v>26376</v>
      </c>
      <c r="AB1516" s="2" t="s">
        <v>20204</v>
      </c>
      <c r="AC1516" s="2"/>
      <c r="AD1516" s="2"/>
      <c r="AE1516" s="2"/>
      <c r="AF1516" s="2"/>
      <c r="AG1516" s="2" t="n">
        <v>25</v>
      </c>
      <c r="AH1516" s="2" t="n">
        <v>4</v>
      </c>
      <c r="AI1516" s="2" t="n">
        <v>4</v>
      </c>
      <c r="AJ1516" s="2" t="n">
        <v>0</v>
      </c>
      <c r="AK1516" s="2" t="n">
        <v>10</v>
      </c>
      <c r="AL1516" s="2" t="s">
        <v>10177</v>
      </c>
      <c r="AM1516" s="2" t="s">
        <v>5071</v>
      </c>
      <c r="AN1516" s="2" t="s">
        <v>10178</v>
      </c>
      <c r="AO1516" s="2" t="s">
        <v>10179</v>
      </c>
      <c r="AP1516" s="2"/>
      <c r="AQ1516" s="2"/>
      <c r="AR1516" s="2" t="s">
        <v>10180</v>
      </c>
      <c r="AS1516" s="2" t="s">
        <v>10181</v>
      </c>
      <c r="AT1516" s="2"/>
      <c r="AU1516" s="2" t="n">
        <v>2022</v>
      </c>
      <c r="AV1516" s="2" t="n">
        <v>68</v>
      </c>
      <c r="AW1516" s="2" t="n">
        <v>2</v>
      </c>
      <c r="AX1516" s="2"/>
      <c r="AY1516" s="2"/>
      <c r="AZ1516" s="2"/>
      <c r="BA1516" s="2"/>
      <c r="BB1516" s="2" t="n">
        <v>392</v>
      </c>
      <c r="BC1516" s="2" t="n">
        <v>400</v>
      </c>
      <c r="BD1516" s="2"/>
      <c r="BE1516" s="2" t="s">
        <v>26377</v>
      </c>
      <c r="BF1516" s="2" t="str">
        <f aca="false">HYPERLINK("http://dx.doi.org/10.7754/Clin.Lab.2021.210636","http://dx.doi.org/10.7754/Clin.Lab.2021.210636")</f>
        <v>http://dx.doi.org/10.7754/Clin.Lab.2021.210636</v>
      </c>
      <c r="BG1516" s="2"/>
      <c r="BH1516" s="2"/>
      <c r="BI1516" s="2" t="n">
        <v>9</v>
      </c>
      <c r="BJ1516" s="2" t="s">
        <v>3122</v>
      </c>
      <c r="BK1516" s="2" t="s">
        <v>100</v>
      </c>
      <c r="BL1516" s="2" t="s">
        <v>3122</v>
      </c>
      <c r="BM1516" s="2" t="s">
        <v>26378</v>
      </c>
      <c r="BN1516" s="2" t="n">
        <v>35142195</v>
      </c>
      <c r="BO1516" s="2"/>
      <c r="BP1516" s="2"/>
      <c r="BQ1516" s="2"/>
      <c r="BR1516" s="2" t="s">
        <v>104</v>
      </c>
      <c r="BS1516" s="2" t="s">
        <v>26379</v>
      </c>
      <c r="BT1516" s="2" t="str">
        <f aca="false">HYPERLINK("https%3A%2F%2Fwww.webofscience.com%2Fwos%2Fwoscc%2Ffull-record%2FWOS:000754676600020","View Full Record in Web of Science")</f>
        <v>View Full Record in Web of Science</v>
      </c>
    </row>
    <row r="1517" customFormat="false" ht="12.75" hidden="false" customHeight="false" outlineLevel="0" collapsed="false">
      <c r="A1517" s="2" t="s">
        <v>72</v>
      </c>
      <c r="B1517" s="2" t="s">
        <v>26380</v>
      </c>
      <c r="C1517" s="2"/>
      <c r="D1517" s="2"/>
      <c r="E1517" s="2"/>
      <c r="F1517" s="2" t="s">
        <v>26381</v>
      </c>
      <c r="G1517" s="2"/>
      <c r="H1517" s="2"/>
      <c r="I1517" s="2" t="s">
        <v>26382</v>
      </c>
      <c r="J1517" s="2" t="s">
        <v>1665</v>
      </c>
      <c r="K1517" s="2"/>
      <c r="L1517" s="2"/>
      <c r="M1517" s="2" t="s">
        <v>77</v>
      </c>
      <c r="N1517" s="2" t="s">
        <v>78</v>
      </c>
      <c r="O1517" s="2"/>
      <c r="P1517" s="2"/>
      <c r="Q1517" s="2"/>
      <c r="R1517" s="2"/>
      <c r="S1517" s="2"/>
      <c r="T1517" s="2" t="s">
        <v>26383</v>
      </c>
      <c r="U1517" s="2" t="s">
        <v>26384</v>
      </c>
      <c r="V1517" s="2" t="s">
        <v>26385</v>
      </c>
      <c r="W1517" s="2" t="s">
        <v>26386</v>
      </c>
      <c r="X1517" s="2" t="s">
        <v>26387</v>
      </c>
      <c r="Y1517" s="2" t="s">
        <v>26388</v>
      </c>
      <c r="Z1517" s="2" t="s">
        <v>26389</v>
      </c>
      <c r="AA1517" s="2" t="s">
        <v>26390</v>
      </c>
      <c r="AB1517" s="2" t="s">
        <v>26391</v>
      </c>
      <c r="AC1517" s="2" t="s">
        <v>26392</v>
      </c>
      <c r="AD1517" s="2" t="s">
        <v>26392</v>
      </c>
      <c r="AE1517" s="2" t="s">
        <v>26393</v>
      </c>
      <c r="AF1517" s="2"/>
      <c r="AG1517" s="2" t="n">
        <v>34</v>
      </c>
      <c r="AH1517" s="2" t="n">
        <v>2</v>
      </c>
      <c r="AI1517" s="2" t="n">
        <v>2</v>
      </c>
      <c r="AJ1517" s="2" t="n">
        <v>1</v>
      </c>
      <c r="AK1517" s="2" t="n">
        <v>19</v>
      </c>
      <c r="AL1517" s="2" t="s">
        <v>13364</v>
      </c>
      <c r="AM1517" s="2" t="s">
        <v>13365</v>
      </c>
      <c r="AN1517" s="2" t="s">
        <v>13366</v>
      </c>
      <c r="AO1517" s="2" t="s">
        <v>1681</v>
      </c>
      <c r="AP1517" s="2" t="s">
        <v>1682</v>
      </c>
      <c r="AQ1517" s="2"/>
      <c r="AR1517" s="2" t="s">
        <v>1683</v>
      </c>
      <c r="AS1517" s="2" t="s">
        <v>1684</v>
      </c>
      <c r="AT1517" s="2" t="s">
        <v>804</v>
      </c>
      <c r="AU1517" s="2" t="n">
        <v>2019</v>
      </c>
      <c r="AV1517" s="2" t="n">
        <v>12</v>
      </c>
      <c r="AW1517" s="2" t="n">
        <v>11</v>
      </c>
      <c r="AX1517" s="2"/>
      <c r="AY1517" s="2"/>
      <c r="AZ1517" s="2"/>
      <c r="BA1517" s="2"/>
      <c r="BB1517" s="2"/>
      <c r="BC1517" s="2"/>
      <c r="BD1517" s="2" t="s">
        <v>26394</v>
      </c>
      <c r="BE1517" s="2" t="s">
        <v>26395</v>
      </c>
      <c r="BF1517" s="2" t="str">
        <f aca="false">HYPERLINK("http://dx.doi.org/10.5812/jjm.96513","http://dx.doi.org/10.5812/jjm.96513")</f>
        <v>http://dx.doi.org/10.5812/jjm.96513</v>
      </c>
      <c r="BG1517" s="2"/>
      <c r="BH1517" s="2"/>
      <c r="BI1517" s="2" t="n">
        <v>6</v>
      </c>
      <c r="BJ1517" s="2" t="s">
        <v>211</v>
      </c>
      <c r="BK1517" s="2" t="s">
        <v>100</v>
      </c>
      <c r="BL1517" s="2" t="s">
        <v>211</v>
      </c>
      <c r="BM1517" s="2" t="s">
        <v>26396</v>
      </c>
      <c r="BN1517" s="2"/>
      <c r="BO1517" s="2" t="s">
        <v>1355</v>
      </c>
      <c r="BP1517" s="2"/>
      <c r="BQ1517" s="2"/>
      <c r="BR1517" s="2" t="s">
        <v>104</v>
      </c>
      <c r="BS1517" s="2" t="s">
        <v>26397</v>
      </c>
      <c r="BT1517" s="2" t="str">
        <f aca="false">HYPERLINK("https%3A%2F%2Fwww.webofscience.com%2Fwos%2Fwoscc%2Ffull-record%2FWOS:000507955800005","View Full Record in Web of Science")</f>
        <v>View Full Record in Web of Science</v>
      </c>
    </row>
    <row r="1518" customFormat="false" ht="12.75" hidden="false" customHeight="false" outlineLevel="0" collapsed="false">
      <c r="A1518" s="2" t="s">
        <v>72</v>
      </c>
      <c r="B1518" s="2" t="s">
        <v>26398</v>
      </c>
      <c r="C1518" s="2"/>
      <c r="D1518" s="2"/>
      <c r="E1518" s="2"/>
      <c r="F1518" s="2" t="s">
        <v>26399</v>
      </c>
      <c r="G1518" s="2"/>
      <c r="H1518" s="2" t="s">
        <v>12250</v>
      </c>
      <c r="I1518" s="2" t="s">
        <v>26400</v>
      </c>
      <c r="J1518" s="2" t="s">
        <v>141</v>
      </c>
      <c r="K1518" s="2"/>
      <c r="L1518" s="2"/>
      <c r="M1518" s="2" t="s">
        <v>77</v>
      </c>
      <c r="N1518" s="2" t="s">
        <v>78</v>
      </c>
      <c r="O1518" s="2"/>
      <c r="P1518" s="2"/>
      <c r="Q1518" s="2"/>
      <c r="R1518" s="2"/>
      <c r="S1518" s="2"/>
      <c r="T1518" s="2" t="s">
        <v>26401</v>
      </c>
      <c r="U1518" s="2" t="s">
        <v>26402</v>
      </c>
      <c r="V1518" s="2" t="s">
        <v>26403</v>
      </c>
      <c r="W1518" s="2" t="s">
        <v>26404</v>
      </c>
      <c r="X1518" s="2" t="s">
        <v>26405</v>
      </c>
      <c r="Y1518" s="2" t="s">
        <v>26406</v>
      </c>
      <c r="Z1518" s="2" t="s">
        <v>5226</v>
      </c>
      <c r="AA1518" s="2" t="s">
        <v>26407</v>
      </c>
      <c r="AB1518" s="2" t="s">
        <v>26408</v>
      </c>
      <c r="AC1518" s="2" t="s">
        <v>26409</v>
      </c>
      <c r="AD1518" s="2" t="s">
        <v>26410</v>
      </c>
      <c r="AE1518" s="2" t="s">
        <v>26411</v>
      </c>
      <c r="AF1518" s="2"/>
      <c r="AG1518" s="2" t="n">
        <v>31</v>
      </c>
      <c r="AH1518" s="2" t="n">
        <v>54</v>
      </c>
      <c r="AI1518" s="2" t="n">
        <v>64</v>
      </c>
      <c r="AJ1518" s="2" t="n">
        <v>1</v>
      </c>
      <c r="AK1518" s="2" t="n">
        <v>1</v>
      </c>
      <c r="AL1518" s="2" t="s">
        <v>2746</v>
      </c>
      <c r="AM1518" s="2" t="s">
        <v>155</v>
      </c>
      <c r="AN1518" s="2" t="s">
        <v>2747</v>
      </c>
      <c r="AO1518" s="2" t="s">
        <v>157</v>
      </c>
      <c r="AP1518" s="2"/>
      <c r="AQ1518" s="2"/>
      <c r="AR1518" s="2" t="s">
        <v>159</v>
      </c>
      <c r="AS1518" s="2" t="s">
        <v>160</v>
      </c>
      <c r="AT1518" s="2" t="s">
        <v>390</v>
      </c>
      <c r="AU1518" s="2" t="n">
        <v>2009</v>
      </c>
      <c r="AV1518" s="2" t="n">
        <v>81</v>
      </c>
      <c r="AW1518" s="2" t="n">
        <v>5</v>
      </c>
      <c r="AX1518" s="2"/>
      <c r="AY1518" s="2"/>
      <c r="AZ1518" s="2"/>
      <c r="BA1518" s="2"/>
      <c r="BB1518" s="2" t="n">
        <v>853</v>
      </c>
      <c r="BC1518" s="2" t="n">
        <v>856</v>
      </c>
      <c r="BD1518" s="2"/>
      <c r="BE1518" s="2" t="s">
        <v>26412</v>
      </c>
      <c r="BF1518" s="2" t="str">
        <f aca="false">HYPERLINK("http://dx.doi.org/10.1002/jmv.21443","http://dx.doi.org/10.1002/jmv.21443")</f>
        <v>http://dx.doi.org/10.1002/jmv.21443</v>
      </c>
      <c r="BG1518" s="2"/>
      <c r="BH1518" s="2"/>
      <c r="BI1518" s="2" t="n">
        <v>4</v>
      </c>
      <c r="BJ1518" s="2" t="s">
        <v>163</v>
      </c>
      <c r="BK1518" s="2" t="s">
        <v>100</v>
      </c>
      <c r="BL1518" s="2" t="s">
        <v>163</v>
      </c>
      <c r="BM1518" s="2" t="s">
        <v>26413</v>
      </c>
      <c r="BN1518" s="2" t="n">
        <v>19319948</v>
      </c>
      <c r="BO1518" s="2" t="s">
        <v>1089</v>
      </c>
      <c r="BP1518" s="2"/>
      <c r="BQ1518" s="2"/>
      <c r="BR1518" s="2" t="s">
        <v>104</v>
      </c>
      <c r="BS1518" s="2" t="s">
        <v>26414</v>
      </c>
      <c r="BT1518" s="2" t="str">
        <f aca="false">HYPERLINK("https%3A%2F%2Fwww.webofscience.com%2Fwos%2Fwoscc%2Ffull-record%2FWOS:000264906800012","View Full Record in Web of Science")</f>
        <v>View Full Record in Web of Science</v>
      </c>
    </row>
    <row r="1519" customFormat="false" ht="12.75" hidden="false" customHeight="false" outlineLevel="0" collapsed="false">
      <c r="A1519" s="2" t="s">
        <v>72</v>
      </c>
      <c r="B1519" s="2" t="s">
        <v>26415</v>
      </c>
      <c r="C1519" s="2"/>
      <c r="D1519" s="2"/>
      <c r="E1519" s="2"/>
      <c r="F1519" s="2" t="s">
        <v>26416</v>
      </c>
      <c r="G1519" s="2"/>
      <c r="H1519" s="2"/>
      <c r="I1519" s="2" t="s">
        <v>26417</v>
      </c>
      <c r="J1519" s="2" t="s">
        <v>11019</v>
      </c>
      <c r="K1519" s="2"/>
      <c r="L1519" s="2"/>
      <c r="M1519" s="2" t="s">
        <v>77</v>
      </c>
      <c r="N1519" s="2" t="s">
        <v>78</v>
      </c>
      <c r="O1519" s="2"/>
      <c r="P1519" s="2"/>
      <c r="Q1519" s="2"/>
      <c r="R1519" s="2"/>
      <c r="S1519" s="2"/>
      <c r="T1519" s="2" t="s">
        <v>26418</v>
      </c>
      <c r="U1519" s="2" t="s">
        <v>26419</v>
      </c>
      <c r="V1519" s="2" t="s">
        <v>26420</v>
      </c>
      <c r="W1519" s="2" t="s">
        <v>26421</v>
      </c>
      <c r="X1519" s="2" t="s">
        <v>26422</v>
      </c>
      <c r="Y1519" s="2" t="s">
        <v>26423</v>
      </c>
      <c r="Z1519" s="2" t="s">
        <v>26424</v>
      </c>
      <c r="AA1519" s="2" t="s">
        <v>26425</v>
      </c>
      <c r="AB1519" s="2" t="s">
        <v>19322</v>
      </c>
      <c r="AC1519" s="2" t="s">
        <v>26426</v>
      </c>
      <c r="AD1519" s="2" t="s">
        <v>26427</v>
      </c>
      <c r="AE1519" s="2" t="s">
        <v>26428</v>
      </c>
      <c r="AF1519" s="2"/>
      <c r="AG1519" s="2" t="n">
        <v>13</v>
      </c>
      <c r="AH1519" s="2" t="n">
        <v>22</v>
      </c>
      <c r="AI1519" s="2" t="n">
        <v>22</v>
      </c>
      <c r="AJ1519" s="2" t="n">
        <v>0</v>
      </c>
      <c r="AK1519" s="2" t="n">
        <v>0</v>
      </c>
      <c r="AL1519" s="2" t="s">
        <v>3813</v>
      </c>
      <c r="AM1519" s="2" t="s">
        <v>4498</v>
      </c>
      <c r="AN1519" s="2" t="s">
        <v>4499</v>
      </c>
      <c r="AO1519" s="2" t="s">
        <v>11028</v>
      </c>
      <c r="AP1519" s="2"/>
      <c r="AQ1519" s="2"/>
      <c r="AR1519" s="2" t="s">
        <v>11030</v>
      </c>
      <c r="AS1519" s="2" t="s">
        <v>11031</v>
      </c>
      <c r="AT1519" s="2" t="s">
        <v>599</v>
      </c>
      <c r="AU1519" s="2" t="n">
        <v>2011</v>
      </c>
      <c r="AV1519" s="2" t="n">
        <v>5</v>
      </c>
      <c r="AW1519" s="2" t="n">
        <v>4</v>
      </c>
      <c r="AX1519" s="2"/>
      <c r="AY1519" s="2"/>
      <c r="AZ1519" s="2"/>
      <c r="BA1519" s="2"/>
      <c r="BB1519" s="2" t="n">
        <v>285</v>
      </c>
      <c r="BC1519" s="2" t="n">
        <v>287</v>
      </c>
      <c r="BD1519" s="2"/>
      <c r="BE1519" s="2" t="s">
        <v>26429</v>
      </c>
      <c r="BF1519" s="2" t="str">
        <f aca="false">HYPERLINK("http://dx.doi.org/10.1111/j.1750-2659.2011.00206.x","http://dx.doi.org/10.1111/j.1750-2659.2011.00206.x")</f>
        <v>http://dx.doi.org/10.1111/j.1750-2659.2011.00206.x</v>
      </c>
      <c r="BG1519" s="2"/>
      <c r="BH1519" s="2"/>
      <c r="BI1519" s="2" t="n">
        <v>3</v>
      </c>
      <c r="BJ1519" s="2" t="s">
        <v>8287</v>
      </c>
      <c r="BK1519" s="2" t="s">
        <v>100</v>
      </c>
      <c r="BL1519" s="2" t="s">
        <v>8287</v>
      </c>
      <c r="BM1519" s="2" t="s">
        <v>26430</v>
      </c>
      <c r="BN1519" s="2" t="n">
        <v>21651739</v>
      </c>
      <c r="BO1519" s="2" t="s">
        <v>136</v>
      </c>
      <c r="BP1519" s="2"/>
      <c r="BQ1519" s="2"/>
      <c r="BR1519" s="2" t="s">
        <v>104</v>
      </c>
      <c r="BS1519" s="2" t="s">
        <v>26431</v>
      </c>
      <c r="BT1519" s="2" t="str">
        <f aca="false">HYPERLINK("https%3A%2F%2Fwww.webofscience.com%2Fwos%2Fwoscc%2Ffull-record%2FWOS:000292497700010","View Full Record in Web of Science")</f>
        <v>View Full Record in Web of Science</v>
      </c>
    </row>
    <row r="1520" customFormat="false" ht="12.75" hidden="false" customHeight="false" outlineLevel="0" collapsed="false">
      <c r="A1520" s="2" t="s">
        <v>72</v>
      </c>
      <c r="B1520" s="2" t="s">
        <v>26432</v>
      </c>
      <c r="C1520" s="2"/>
      <c r="D1520" s="2"/>
      <c r="E1520" s="2"/>
      <c r="F1520" s="2" t="s">
        <v>26433</v>
      </c>
      <c r="G1520" s="2"/>
      <c r="H1520" s="2"/>
      <c r="I1520" s="2" t="s">
        <v>26434</v>
      </c>
      <c r="J1520" s="2" t="s">
        <v>1134</v>
      </c>
      <c r="K1520" s="2"/>
      <c r="L1520" s="2"/>
      <c r="M1520" s="2" t="s">
        <v>77</v>
      </c>
      <c r="N1520" s="2" t="s">
        <v>78</v>
      </c>
      <c r="O1520" s="2"/>
      <c r="P1520" s="2"/>
      <c r="Q1520" s="2"/>
      <c r="R1520" s="2"/>
      <c r="S1520" s="2"/>
      <c r="T1520" s="2" t="s">
        <v>26435</v>
      </c>
      <c r="U1520" s="2" t="s">
        <v>26436</v>
      </c>
      <c r="V1520" s="2" t="s">
        <v>26437</v>
      </c>
      <c r="W1520" s="2" t="s">
        <v>26438</v>
      </c>
      <c r="X1520" s="2" t="s">
        <v>26439</v>
      </c>
      <c r="Y1520" s="2" t="s">
        <v>26440</v>
      </c>
      <c r="Z1520" s="2" t="s">
        <v>26424</v>
      </c>
      <c r="AA1520" s="2"/>
      <c r="AB1520" s="2"/>
      <c r="AC1520" s="2" t="s">
        <v>26441</v>
      </c>
      <c r="AD1520" s="2" t="s">
        <v>26442</v>
      </c>
      <c r="AE1520" s="2" t="s">
        <v>26443</v>
      </c>
      <c r="AF1520" s="2"/>
      <c r="AG1520" s="2" t="n">
        <v>34</v>
      </c>
      <c r="AH1520" s="2" t="n">
        <v>18</v>
      </c>
      <c r="AI1520" s="2" t="n">
        <v>19</v>
      </c>
      <c r="AJ1520" s="2" t="n">
        <v>0</v>
      </c>
      <c r="AK1520" s="2" t="n">
        <v>2</v>
      </c>
      <c r="AL1520" s="2" t="s">
        <v>2337</v>
      </c>
      <c r="AM1520" s="2" t="s">
        <v>303</v>
      </c>
      <c r="AN1520" s="2" t="s">
        <v>2338</v>
      </c>
      <c r="AO1520" s="2" t="s">
        <v>1144</v>
      </c>
      <c r="AP1520" s="2"/>
      <c r="AQ1520" s="2"/>
      <c r="AR1520" s="2" t="s">
        <v>1145</v>
      </c>
      <c r="AS1520" s="2" t="s">
        <v>1146</v>
      </c>
      <c r="AT1520" s="2" t="s">
        <v>26444</v>
      </c>
      <c r="AU1520" s="2" t="n">
        <v>2016</v>
      </c>
      <c r="AV1520" s="2" t="n">
        <v>16</v>
      </c>
      <c r="AW1520" s="2"/>
      <c r="AX1520" s="2"/>
      <c r="AY1520" s="2"/>
      <c r="AZ1520" s="2"/>
      <c r="BA1520" s="2"/>
      <c r="BB1520" s="2"/>
      <c r="BC1520" s="2"/>
      <c r="BD1520" s="2" t="n">
        <v>105</v>
      </c>
      <c r="BE1520" s="2" t="s">
        <v>26445</v>
      </c>
      <c r="BF1520" s="2" t="str">
        <f aca="false">HYPERLINK("http://dx.doi.org/10.1186/s12887-016-0645-3","http://dx.doi.org/10.1186/s12887-016-0645-3")</f>
        <v>http://dx.doi.org/10.1186/s12887-016-0645-3</v>
      </c>
      <c r="BG1520" s="2"/>
      <c r="BH1520" s="2"/>
      <c r="BI1520" s="2" t="n">
        <v>10</v>
      </c>
      <c r="BJ1520" s="2" t="s">
        <v>601</v>
      </c>
      <c r="BK1520" s="2" t="s">
        <v>100</v>
      </c>
      <c r="BL1520" s="2" t="s">
        <v>601</v>
      </c>
      <c r="BM1520" s="2" t="s">
        <v>26446</v>
      </c>
      <c r="BN1520" s="2" t="n">
        <v>27449898</v>
      </c>
      <c r="BO1520" s="2" t="s">
        <v>103</v>
      </c>
      <c r="BP1520" s="2"/>
      <c r="BQ1520" s="2"/>
      <c r="BR1520" s="2" t="s">
        <v>104</v>
      </c>
      <c r="BS1520" s="2" t="s">
        <v>26447</v>
      </c>
      <c r="BT1520" s="2" t="str">
        <f aca="false">HYPERLINK("https%3A%2F%2Fwww.webofscience.com%2Fwos%2Fwoscc%2Ffull-record%2FWOS:000380242200002","View Full Record in Web of Science")</f>
        <v>View Full Record in Web of Science</v>
      </c>
    </row>
    <row r="1521" customFormat="false" ht="12.75" hidden="false" customHeight="false" outlineLevel="0" collapsed="false">
      <c r="A1521" s="2" t="s">
        <v>72</v>
      </c>
      <c r="B1521" s="2" t="s">
        <v>26448</v>
      </c>
      <c r="C1521" s="2"/>
      <c r="D1521" s="2"/>
      <c r="E1521" s="2"/>
      <c r="F1521" s="2" t="s">
        <v>26449</v>
      </c>
      <c r="G1521" s="2"/>
      <c r="H1521" s="2"/>
      <c r="I1521" s="2" t="s">
        <v>26450</v>
      </c>
      <c r="J1521" s="2" t="s">
        <v>9323</v>
      </c>
      <c r="K1521" s="2"/>
      <c r="L1521" s="2"/>
      <c r="M1521" s="2" t="s">
        <v>77</v>
      </c>
      <c r="N1521" s="2" t="s">
        <v>78</v>
      </c>
      <c r="O1521" s="2"/>
      <c r="P1521" s="2"/>
      <c r="Q1521" s="2"/>
      <c r="R1521" s="2"/>
      <c r="S1521" s="2"/>
      <c r="T1521" s="2" t="s">
        <v>26451</v>
      </c>
      <c r="U1521" s="2" t="s">
        <v>26452</v>
      </c>
      <c r="V1521" s="2" t="s">
        <v>26453</v>
      </c>
      <c r="W1521" s="2" t="s">
        <v>26454</v>
      </c>
      <c r="X1521" s="2"/>
      <c r="Y1521" s="2" t="s">
        <v>26455</v>
      </c>
      <c r="Z1521" s="2" t="s">
        <v>26456</v>
      </c>
      <c r="AA1521" s="2"/>
      <c r="AB1521" s="2" t="s">
        <v>26457</v>
      </c>
      <c r="AC1521" s="2" t="s">
        <v>26458</v>
      </c>
      <c r="AD1521" s="2" t="s">
        <v>26458</v>
      </c>
      <c r="AE1521" s="2" t="s">
        <v>26459</v>
      </c>
      <c r="AF1521" s="2"/>
      <c r="AG1521" s="2" t="n">
        <v>34</v>
      </c>
      <c r="AH1521" s="2" t="n">
        <v>7</v>
      </c>
      <c r="AI1521" s="2" t="n">
        <v>8</v>
      </c>
      <c r="AJ1521" s="2" t="n">
        <v>0</v>
      </c>
      <c r="AK1521" s="2" t="n">
        <v>1</v>
      </c>
      <c r="AL1521" s="2" t="s">
        <v>383</v>
      </c>
      <c r="AM1521" s="2" t="s">
        <v>384</v>
      </c>
      <c r="AN1521" s="2" t="s">
        <v>385</v>
      </c>
      <c r="AO1521" s="2" t="s">
        <v>9333</v>
      </c>
      <c r="AP1521" s="2" t="s">
        <v>9334</v>
      </c>
      <c r="AQ1521" s="2"/>
      <c r="AR1521" s="2" t="s">
        <v>9335</v>
      </c>
      <c r="AS1521" s="2" t="s">
        <v>9336</v>
      </c>
      <c r="AT1521" s="2" t="s">
        <v>864</v>
      </c>
      <c r="AU1521" s="2" t="n">
        <v>2015</v>
      </c>
      <c r="AV1521" s="2" t="n">
        <v>33</v>
      </c>
      <c r="AW1521" s="2" t="n">
        <v>1</v>
      </c>
      <c r="AX1521" s="2"/>
      <c r="AY1521" s="2"/>
      <c r="AZ1521" s="2"/>
      <c r="BA1521" s="2"/>
      <c r="BB1521" s="2" t="n">
        <v>43</v>
      </c>
      <c r="BC1521" s="2" t="n">
        <v>50</v>
      </c>
      <c r="BD1521" s="2"/>
      <c r="BE1521" s="2" t="s">
        <v>26460</v>
      </c>
      <c r="BF1521" s="2" t="str">
        <f aca="false">HYPERLINK("http://dx.doi.org/10.4103/0255-0857.148376","http://dx.doi.org/10.4103/0255-0857.148376")</f>
        <v>http://dx.doi.org/10.4103/0255-0857.148376</v>
      </c>
      <c r="BG1521" s="2"/>
      <c r="BH1521" s="2"/>
      <c r="BI1521" s="2" t="n">
        <v>8</v>
      </c>
      <c r="BJ1521" s="2" t="s">
        <v>628</v>
      </c>
      <c r="BK1521" s="2" t="s">
        <v>100</v>
      </c>
      <c r="BL1521" s="2" t="s">
        <v>628</v>
      </c>
      <c r="BM1521" s="2" t="s">
        <v>26461</v>
      </c>
      <c r="BN1521" s="2" t="n">
        <v>25560001</v>
      </c>
      <c r="BO1521" s="2" t="s">
        <v>1355</v>
      </c>
      <c r="BP1521" s="2"/>
      <c r="BQ1521" s="2"/>
      <c r="BR1521" s="2" t="s">
        <v>104</v>
      </c>
      <c r="BS1521" s="2" t="s">
        <v>26462</v>
      </c>
      <c r="BT1521" s="2" t="str">
        <f aca="false">HYPERLINK("https%3A%2F%2Fwww.webofscience.com%2Fwos%2Fwoscc%2Ffull-record%2FWOS:000352086300008","View Full Record in Web of Science")</f>
        <v>View Full Record in Web of Science</v>
      </c>
    </row>
    <row r="1522" customFormat="false" ht="12.75" hidden="false" customHeight="false" outlineLevel="0" collapsed="false">
      <c r="A1522" s="2" t="s">
        <v>72</v>
      </c>
      <c r="B1522" s="2" t="s">
        <v>26463</v>
      </c>
      <c r="C1522" s="2"/>
      <c r="D1522" s="2"/>
      <c r="E1522" s="2"/>
      <c r="F1522" s="2" t="s">
        <v>26464</v>
      </c>
      <c r="G1522" s="2"/>
      <c r="H1522" s="2"/>
      <c r="I1522" s="2" t="s">
        <v>26465</v>
      </c>
      <c r="J1522" s="2" t="s">
        <v>11019</v>
      </c>
      <c r="K1522" s="2"/>
      <c r="L1522" s="2"/>
      <c r="M1522" s="2" t="s">
        <v>77</v>
      </c>
      <c r="N1522" s="2" t="s">
        <v>78</v>
      </c>
      <c r="O1522" s="2"/>
      <c r="P1522" s="2"/>
      <c r="Q1522" s="2"/>
      <c r="R1522" s="2"/>
      <c r="S1522" s="2"/>
      <c r="T1522" s="2" t="s">
        <v>26466</v>
      </c>
      <c r="U1522" s="2" t="s">
        <v>26467</v>
      </c>
      <c r="V1522" s="2" t="s">
        <v>26468</v>
      </c>
      <c r="W1522" s="2" t="s">
        <v>26469</v>
      </c>
      <c r="X1522" s="2" t="s">
        <v>26470</v>
      </c>
      <c r="Y1522" s="2" t="s">
        <v>26471</v>
      </c>
      <c r="Z1522" s="2" t="s">
        <v>26472</v>
      </c>
      <c r="AA1522" s="2" t="s">
        <v>26473</v>
      </c>
      <c r="AB1522" s="2" t="s">
        <v>26474</v>
      </c>
      <c r="AC1522" s="2" t="s">
        <v>26475</v>
      </c>
      <c r="AD1522" s="2" t="s">
        <v>26476</v>
      </c>
      <c r="AE1522" s="2" t="s">
        <v>26477</v>
      </c>
      <c r="AF1522" s="2"/>
      <c r="AG1522" s="2" t="n">
        <v>41</v>
      </c>
      <c r="AH1522" s="2" t="n">
        <v>19</v>
      </c>
      <c r="AI1522" s="2" t="n">
        <v>19</v>
      </c>
      <c r="AJ1522" s="2" t="n">
        <v>0</v>
      </c>
      <c r="AK1522" s="2" t="n">
        <v>5</v>
      </c>
      <c r="AL1522" s="2" t="s">
        <v>154</v>
      </c>
      <c r="AM1522" s="2" t="s">
        <v>155</v>
      </c>
      <c r="AN1522" s="2" t="s">
        <v>156</v>
      </c>
      <c r="AO1522" s="2" t="s">
        <v>11028</v>
      </c>
      <c r="AP1522" s="2" t="s">
        <v>11029</v>
      </c>
      <c r="AQ1522" s="2"/>
      <c r="AR1522" s="2" t="s">
        <v>11030</v>
      </c>
      <c r="AS1522" s="2" t="s">
        <v>11031</v>
      </c>
      <c r="AT1522" s="2" t="s">
        <v>599</v>
      </c>
      <c r="AU1522" s="2" t="n">
        <v>2014</v>
      </c>
      <c r="AV1522" s="2" t="n">
        <v>8</v>
      </c>
      <c r="AW1522" s="2" t="n">
        <v>4</v>
      </c>
      <c r="AX1522" s="2"/>
      <c r="AY1522" s="2"/>
      <c r="AZ1522" s="2"/>
      <c r="BA1522" s="2"/>
      <c r="BB1522" s="2" t="n">
        <v>414</v>
      </c>
      <c r="BC1522" s="2" t="n">
        <v>421</v>
      </c>
      <c r="BD1522" s="2"/>
      <c r="BE1522" s="2" t="s">
        <v>26478</v>
      </c>
      <c r="BF1522" s="2" t="str">
        <f aca="false">HYPERLINK("http://dx.doi.org/10.1111/irv.12251","http://dx.doi.org/10.1111/irv.12251")</f>
        <v>http://dx.doi.org/10.1111/irv.12251</v>
      </c>
      <c r="BG1522" s="2"/>
      <c r="BH1522" s="2"/>
      <c r="BI1522" s="2" t="n">
        <v>8</v>
      </c>
      <c r="BJ1522" s="2" t="s">
        <v>8287</v>
      </c>
      <c r="BK1522" s="2" t="s">
        <v>100</v>
      </c>
      <c r="BL1522" s="2" t="s">
        <v>8287</v>
      </c>
      <c r="BM1522" s="2" t="s">
        <v>21055</v>
      </c>
      <c r="BN1522" s="2" t="n">
        <v>24761765</v>
      </c>
      <c r="BO1522" s="2" t="s">
        <v>165</v>
      </c>
      <c r="BP1522" s="2"/>
      <c r="BQ1522" s="2"/>
      <c r="BR1522" s="2" t="s">
        <v>104</v>
      </c>
      <c r="BS1522" s="2" t="s">
        <v>26479</v>
      </c>
      <c r="BT1522" s="2" t="str">
        <f aca="false">HYPERLINK("https%3A%2F%2Fwww.webofscience.com%2Fwos%2Fwoscc%2Ffull-record%2FWOS:000337608700004","View Full Record in Web of Science")</f>
        <v>View Full Record in Web of Science</v>
      </c>
    </row>
    <row r="1523" customFormat="false" ht="12.75" hidden="false" customHeight="false" outlineLevel="0" collapsed="false">
      <c r="A1523" s="2" t="s">
        <v>72</v>
      </c>
      <c r="B1523" s="2" t="s">
        <v>26480</v>
      </c>
      <c r="C1523" s="2"/>
      <c r="D1523" s="2"/>
      <c r="E1523" s="2"/>
      <c r="F1523" s="2" t="s">
        <v>26481</v>
      </c>
      <c r="G1523" s="2"/>
      <c r="H1523" s="2"/>
      <c r="I1523" s="2" t="s">
        <v>26482</v>
      </c>
      <c r="J1523" s="2" t="s">
        <v>11019</v>
      </c>
      <c r="K1523" s="2"/>
      <c r="L1523" s="2"/>
      <c r="M1523" s="2" t="s">
        <v>77</v>
      </c>
      <c r="N1523" s="2" t="s">
        <v>78</v>
      </c>
      <c r="O1523" s="2"/>
      <c r="P1523" s="2"/>
      <c r="Q1523" s="2"/>
      <c r="R1523" s="2"/>
      <c r="S1523" s="2"/>
      <c r="T1523" s="2" t="s">
        <v>26483</v>
      </c>
      <c r="U1523" s="2" t="s">
        <v>26484</v>
      </c>
      <c r="V1523" s="2" t="s">
        <v>26485</v>
      </c>
      <c r="W1523" s="2" t="s">
        <v>26486</v>
      </c>
      <c r="X1523" s="2" t="s">
        <v>26487</v>
      </c>
      <c r="Y1523" s="2" t="s">
        <v>26488</v>
      </c>
      <c r="Z1523" s="2" t="s">
        <v>26489</v>
      </c>
      <c r="AA1523" s="2"/>
      <c r="AB1523" s="2" t="s">
        <v>26490</v>
      </c>
      <c r="AC1523" s="2" t="s">
        <v>26491</v>
      </c>
      <c r="AD1523" s="2" t="s">
        <v>26492</v>
      </c>
      <c r="AE1523" s="2" t="s">
        <v>26493</v>
      </c>
      <c r="AF1523" s="2"/>
      <c r="AG1523" s="2" t="n">
        <v>25</v>
      </c>
      <c r="AH1523" s="2" t="n">
        <v>10</v>
      </c>
      <c r="AI1523" s="2" t="n">
        <v>12</v>
      </c>
      <c r="AJ1523" s="2" t="n">
        <v>0</v>
      </c>
      <c r="AK1523" s="2" t="n">
        <v>6</v>
      </c>
      <c r="AL1523" s="2" t="s">
        <v>3813</v>
      </c>
      <c r="AM1523" s="2" t="s">
        <v>155</v>
      </c>
      <c r="AN1523" s="2" t="s">
        <v>156</v>
      </c>
      <c r="AO1523" s="2" t="s">
        <v>11028</v>
      </c>
      <c r="AP1523" s="2"/>
      <c r="AQ1523" s="2"/>
      <c r="AR1523" s="2" t="s">
        <v>11030</v>
      </c>
      <c r="AS1523" s="2" t="s">
        <v>11031</v>
      </c>
      <c r="AT1523" s="2" t="s">
        <v>390</v>
      </c>
      <c r="AU1523" s="2" t="n">
        <v>2012</v>
      </c>
      <c r="AV1523" s="2" t="n">
        <v>6</v>
      </c>
      <c r="AW1523" s="2" t="n">
        <v>3</v>
      </c>
      <c r="AX1523" s="2"/>
      <c r="AY1523" s="2"/>
      <c r="AZ1523" s="2"/>
      <c r="BA1523" s="2"/>
      <c r="BB1523" s="2" t="n">
        <v>211</v>
      </c>
      <c r="BC1523" s="2" t="n">
        <v>217</v>
      </c>
      <c r="BD1523" s="2"/>
      <c r="BE1523" s="2" t="s">
        <v>26494</v>
      </c>
      <c r="BF1523" s="2" t="str">
        <f aca="false">HYPERLINK("http://dx.doi.org/10.1111/j.1750-2659.2011.00296.x","http://dx.doi.org/10.1111/j.1750-2659.2011.00296.x")</f>
        <v>http://dx.doi.org/10.1111/j.1750-2659.2011.00296.x</v>
      </c>
      <c r="BG1523" s="2"/>
      <c r="BH1523" s="2"/>
      <c r="BI1523" s="2" t="n">
        <v>7</v>
      </c>
      <c r="BJ1523" s="2" t="s">
        <v>8287</v>
      </c>
      <c r="BK1523" s="2" t="s">
        <v>100</v>
      </c>
      <c r="BL1523" s="2" t="s">
        <v>8287</v>
      </c>
      <c r="BM1523" s="2" t="s">
        <v>25378</v>
      </c>
      <c r="BN1523" s="2" t="n">
        <v>21985038</v>
      </c>
      <c r="BO1523" s="2" t="s">
        <v>136</v>
      </c>
      <c r="BP1523" s="2"/>
      <c r="BQ1523" s="2"/>
      <c r="BR1523" s="2" t="s">
        <v>104</v>
      </c>
      <c r="BS1523" s="2" t="s">
        <v>26495</v>
      </c>
      <c r="BT1523" s="2" t="str">
        <f aca="false">HYPERLINK("https%3A%2F%2Fwww.webofscience.com%2Fwos%2Fwoscc%2Ffull-record%2FWOS:000302715200021","View Full Record in Web of Science")</f>
        <v>View Full Record in Web of Science</v>
      </c>
    </row>
    <row r="1524" customFormat="false" ht="12.75" hidden="false" customHeight="false" outlineLevel="0" collapsed="false">
      <c r="A1524" s="2" t="s">
        <v>72</v>
      </c>
      <c r="B1524" s="2" t="s">
        <v>26496</v>
      </c>
      <c r="C1524" s="2"/>
      <c r="D1524" s="2"/>
      <c r="E1524" s="2"/>
      <c r="F1524" s="2" t="s">
        <v>26497</v>
      </c>
      <c r="G1524" s="2"/>
      <c r="H1524" s="2"/>
      <c r="I1524" s="2" t="s">
        <v>26498</v>
      </c>
      <c r="J1524" s="2" t="s">
        <v>141</v>
      </c>
      <c r="K1524" s="2"/>
      <c r="L1524" s="2"/>
      <c r="M1524" s="2" t="s">
        <v>77</v>
      </c>
      <c r="N1524" s="2" t="s">
        <v>78</v>
      </c>
      <c r="O1524" s="2"/>
      <c r="P1524" s="2"/>
      <c r="Q1524" s="2"/>
      <c r="R1524" s="2"/>
      <c r="S1524" s="2"/>
      <c r="T1524" s="2" t="s">
        <v>26499</v>
      </c>
      <c r="U1524" s="2" t="s">
        <v>26500</v>
      </c>
      <c r="V1524" s="2" t="s">
        <v>26501</v>
      </c>
      <c r="W1524" s="2" t="s">
        <v>26502</v>
      </c>
      <c r="X1524" s="2" t="s">
        <v>26503</v>
      </c>
      <c r="Y1524" s="2" t="s">
        <v>26504</v>
      </c>
      <c r="Z1524" s="2" t="s">
        <v>26505</v>
      </c>
      <c r="AA1524" s="2"/>
      <c r="AB1524" s="2" t="s">
        <v>26506</v>
      </c>
      <c r="AC1524" s="2" t="s">
        <v>26507</v>
      </c>
      <c r="AD1524" s="2" t="s">
        <v>26507</v>
      </c>
      <c r="AE1524" s="2" t="s">
        <v>26507</v>
      </c>
      <c r="AF1524" s="2"/>
      <c r="AG1524" s="2" t="n">
        <v>41</v>
      </c>
      <c r="AH1524" s="2" t="n">
        <v>14</v>
      </c>
      <c r="AI1524" s="2" t="n">
        <v>19</v>
      </c>
      <c r="AJ1524" s="2" t="n">
        <v>5</v>
      </c>
      <c r="AK1524" s="2" t="n">
        <v>27</v>
      </c>
      <c r="AL1524" s="2" t="s">
        <v>154</v>
      </c>
      <c r="AM1524" s="2" t="s">
        <v>155</v>
      </c>
      <c r="AN1524" s="2" t="s">
        <v>156</v>
      </c>
      <c r="AO1524" s="2" t="s">
        <v>157</v>
      </c>
      <c r="AP1524" s="2" t="s">
        <v>158</v>
      </c>
      <c r="AQ1524" s="2"/>
      <c r="AR1524" s="2" t="s">
        <v>159</v>
      </c>
      <c r="AS1524" s="2" t="s">
        <v>160</v>
      </c>
      <c r="AT1524" s="2" t="s">
        <v>446</v>
      </c>
      <c r="AU1524" s="2" t="n">
        <v>2022</v>
      </c>
      <c r="AV1524" s="2" t="n">
        <v>94</v>
      </c>
      <c r="AW1524" s="2" t="n">
        <v>12</v>
      </c>
      <c r="AX1524" s="2"/>
      <c r="AY1524" s="2"/>
      <c r="AZ1524" s="2"/>
      <c r="BA1524" s="2"/>
      <c r="BB1524" s="2" t="n">
        <v>5894</v>
      </c>
      <c r="BC1524" s="2" t="n">
        <v>5903</v>
      </c>
      <c r="BD1524" s="2"/>
      <c r="BE1524" s="2" t="s">
        <v>26508</v>
      </c>
      <c r="BF1524" s="2" t="str">
        <f aca="false">HYPERLINK("http://dx.doi.org/10.1002/jmv.28073","http://dx.doi.org/10.1002/jmv.28073")</f>
        <v>http://dx.doi.org/10.1002/jmv.28073</v>
      </c>
      <c r="BG1524" s="2"/>
      <c r="BH1524" s="2" t="s">
        <v>2216</v>
      </c>
      <c r="BI1524" s="2" t="n">
        <v>10</v>
      </c>
      <c r="BJ1524" s="2" t="s">
        <v>163</v>
      </c>
      <c r="BK1524" s="2" t="s">
        <v>100</v>
      </c>
      <c r="BL1524" s="2" t="s">
        <v>163</v>
      </c>
      <c r="BM1524" s="2" t="s">
        <v>18722</v>
      </c>
      <c r="BN1524" s="2" t="n">
        <v>35981880</v>
      </c>
      <c r="BO1524" s="2"/>
      <c r="BP1524" s="2"/>
      <c r="BQ1524" s="2"/>
      <c r="BR1524" s="2" t="s">
        <v>104</v>
      </c>
      <c r="BS1524" s="2" t="s">
        <v>26509</v>
      </c>
      <c r="BT1524" s="2" t="str">
        <f aca="false">HYPERLINK("https%3A%2F%2Fwww.webofscience.com%2Fwos%2Fwoscc%2Ffull-record%2FWOS:000847114300001","View Full Record in Web of Science")</f>
        <v>View Full Record in Web of Science</v>
      </c>
    </row>
    <row r="1525" customFormat="false" ht="12.75" hidden="false" customHeight="false" outlineLevel="0" collapsed="false">
      <c r="A1525" s="2" t="s">
        <v>72</v>
      </c>
      <c r="B1525" s="2" t="s">
        <v>26510</v>
      </c>
      <c r="C1525" s="2"/>
      <c r="D1525" s="2"/>
      <c r="E1525" s="2"/>
      <c r="F1525" s="2" t="s">
        <v>26511</v>
      </c>
      <c r="G1525" s="2"/>
      <c r="H1525" s="2"/>
      <c r="I1525" s="2" t="s">
        <v>26512</v>
      </c>
      <c r="J1525" s="2" t="s">
        <v>141</v>
      </c>
      <c r="K1525" s="2"/>
      <c r="L1525" s="2"/>
      <c r="M1525" s="2" t="s">
        <v>77</v>
      </c>
      <c r="N1525" s="2" t="s">
        <v>78</v>
      </c>
      <c r="O1525" s="2"/>
      <c r="P1525" s="2"/>
      <c r="Q1525" s="2"/>
      <c r="R1525" s="2"/>
      <c r="S1525" s="2"/>
      <c r="T1525" s="2" t="s">
        <v>26513</v>
      </c>
      <c r="U1525" s="2" t="s">
        <v>26514</v>
      </c>
      <c r="V1525" s="2" t="s">
        <v>26515</v>
      </c>
      <c r="W1525" s="2" t="s">
        <v>26516</v>
      </c>
      <c r="X1525" s="2" t="s">
        <v>26517</v>
      </c>
      <c r="Y1525" s="2" t="s">
        <v>20319</v>
      </c>
      <c r="Z1525" s="2" t="s">
        <v>26518</v>
      </c>
      <c r="AA1525" s="2" t="s">
        <v>20321</v>
      </c>
      <c r="AB1525" s="2" t="s">
        <v>20322</v>
      </c>
      <c r="AC1525" s="2"/>
      <c r="AD1525" s="2"/>
      <c r="AE1525" s="2"/>
      <c r="AF1525" s="2"/>
      <c r="AG1525" s="2" t="n">
        <v>47</v>
      </c>
      <c r="AH1525" s="2" t="n">
        <v>12</v>
      </c>
      <c r="AI1525" s="2" t="n">
        <v>14</v>
      </c>
      <c r="AJ1525" s="2" t="n">
        <v>0</v>
      </c>
      <c r="AK1525" s="2" t="n">
        <v>3</v>
      </c>
      <c r="AL1525" s="2" t="s">
        <v>154</v>
      </c>
      <c r="AM1525" s="2" t="s">
        <v>155</v>
      </c>
      <c r="AN1525" s="2" t="s">
        <v>156</v>
      </c>
      <c r="AO1525" s="2" t="s">
        <v>157</v>
      </c>
      <c r="AP1525" s="2" t="s">
        <v>158</v>
      </c>
      <c r="AQ1525" s="2"/>
      <c r="AR1525" s="2" t="s">
        <v>159</v>
      </c>
      <c r="AS1525" s="2" t="s">
        <v>160</v>
      </c>
      <c r="AT1525" s="2" t="s">
        <v>185</v>
      </c>
      <c r="AU1525" s="2" t="n">
        <v>2019</v>
      </c>
      <c r="AV1525" s="2" t="n">
        <v>91</v>
      </c>
      <c r="AW1525" s="2" t="n">
        <v>8</v>
      </c>
      <c r="AX1525" s="2"/>
      <c r="AY1525" s="2"/>
      <c r="AZ1525" s="2"/>
      <c r="BA1525" s="2"/>
      <c r="BB1525" s="2" t="n">
        <v>1423</v>
      </c>
      <c r="BC1525" s="2" t="n">
        <v>1431</v>
      </c>
      <c r="BD1525" s="2"/>
      <c r="BE1525" s="2" t="s">
        <v>26519</v>
      </c>
      <c r="BF1525" s="2" t="str">
        <f aca="false">HYPERLINK("http://dx.doi.org/10.1002/jmv.25459","http://dx.doi.org/10.1002/jmv.25459")</f>
        <v>http://dx.doi.org/10.1002/jmv.25459</v>
      </c>
      <c r="BG1525" s="2"/>
      <c r="BH1525" s="2"/>
      <c r="BI1525" s="2" t="n">
        <v>9</v>
      </c>
      <c r="BJ1525" s="2" t="s">
        <v>163</v>
      </c>
      <c r="BK1525" s="2" t="s">
        <v>100</v>
      </c>
      <c r="BL1525" s="2" t="s">
        <v>163</v>
      </c>
      <c r="BM1525" s="2" t="s">
        <v>16344</v>
      </c>
      <c r="BN1525" s="2" t="n">
        <v>30866089</v>
      </c>
      <c r="BO1525" s="2" t="s">
        <v>538</v>
      </c>
      <c r="BP1525" s="2"/>
      <c r="BQ1525" s="2"/>
      <c r="BR1525" s="2" t="s">
        <v>104</v>
      </c>
      <c r="BS1525" s="2" t="s">
        <v>26520</v>
      </c>
      <c r="BT1525" s="2" t="str">
        <f aca="false">HYPERLINK("https%3A%2F%2Fwww.webofscience.com%2Fwos%2Fwoscc%2Ffull-record%2FWOS:000473215200009","View Full Record in Web of Science")</f>
        <v>View Full Record in Web of Science</v>
      </c>
    </row>
    <row r="1526" customFormat="false" ht="12.75" hidden="false" customHeight="false" outlineLevel="0" collapsed="false">
      <c r="A1526" s="2" t="s">
        <v>72</v>
      </c>
      <c r="B1526" s="2" t="s">
        <v>26521</v>
      </c>
      <c r="C1526" s="2"/>
      <c r="D1526" s="2"/>
      <c r="E1526" s="2"/>
      <c r="F1526" s="2" t="s">
        <v>26522</v>
      </c>
      <c r="G1526" s="2"/>
      <c r="H1526" s="2" t="s">
        <v>26523</v>
      </c>
      <c r="I1526" s="2" t="s">
        <v>26524</v>
      </c>
      <c r="J1526" s="2" t="s">
        <v>11019</v>
      </c>
      <c r="K1526" s="2"/>
      <c r="L1526" s="2"/>
      <c r="M1526" s="2" t="s">
        <v>77</v>
      </c>
      <c r="N1526" s="2" t="s">
        <v>78</v>
      </c>
      <c r="O1526" s="2"/>
      <c r="P1526" s="2"/>
      <c r="Q1526" s="2"/>
      <c r="R1526" s="2"/>
      <c r="S1526" s="2"/>
      <c r="T1526" s="2" t="s">
        <v>26525</v>
      </c>
      <c r="U1526" s="2" t="s">
        <v>26526</v>
      </c>
      <c r="V1526" s="2" t="s">
        <v>26527</v>
      </c>
      <c r="W1526" s="2" t="s">
        <v>26528</v>
      </c>
      <c r="X1526" s="2" t="s">
        <v>26529</v>
      </c>
      <c r="Y1526" s="2" t="s">
        <v>26530</v>
      </c>
      <c r="Z1526" s="2" t="s">
        <v>26531</v>
      </c>
      <c r="AA1526" s="2" t="s">
        <v>26532</v>
      </c>
      <c r="AB1526" s="2" t="s">
        <v>26533</v>
      </c>
      <c r="AC1526" s="2" t="s">
        <v>26534</v>
      </c>
      <c r="AD1526" s="2" t="s">
        <v>26535</v>
      </c>
      <c r="AE1526" s="2" t="s">
        <v>26536</v>
      </c>
      <c r="AF1526" s="2"/>
      <c r="AG1526" s="2" t="n">
        <v>30</v>
      </c>
      <c r="AH1526" s="2" t="n">
        <v>6</v>
      </c>
      <c r="AI1526" s="2" t="n">
        <v>6</v>
      </c>
      <c r="AJ1526" s="2" t="n">
        <v>0</v>
      </c>
      <c r="AK1526" s="2" t="n">
        <v>3</v>
      </c>
      <c r="AL1526" s="2" t="s">
        <v>154</v>
      </c>
      <c r="AM1526" s="2" t="s">
        <v>155</v>
      </c>
      <c r="AN1526" s="2" t="s">
        <v>156</v>
      </c>
      <c r="AO1526" s="2" t="s">
        <v>11028</v>
      </c>
      <c r="AP1526" s="2" t="s">
        <v>11029</v>
      </c>
      <c r="AQ1526" s="2"/>
      <c r="AR1526" s="2" t="s">
        <v>11030</v>
      </c>
      <c r="AS1526" s="2" t="s">
        <v>11031</v>
      </c>
      <c r="AT1526" s="2" t="s">
        <v>161</v>
      </c>
      <c r="AU1526" s="2" t="n">
        <v>2019</v>
      </c>
      <c r="AV1526" s="2" t="n">
        <v>13</v>
      </c>
      <c r="AW1526" s="2" t="n">
        <v>1</v>
      </c>
      <c r="AX1526" s="2"/>
      <c r="AY1526" s="2"/>
      <c r="AZ1526" s="2"/>
      <c r="BA1526" s="2"/>
      <c r="BB1526" s="2" t="n">
        <v>36</v>
      </c>
      <c r="BC1526" s="2" t="n">
        <v>43</v>
      </c>
      <c r="BD1526" s="2"/>
      <c r="BE1526" s="2" t="s">
        <v>26537</v>
      </c>
      <c r="BF1526" s="2" t="str">
        <f aca="false">HYPERLINK("http://dx.doi.org/10.1111/irv.12606","http://dx.doi.org/10.1111/irv.12606")</f>
        <v>http://dx.doi.org/10.1111/irv.12606</v>
      </c>
      <c r="BG1526" s="2"/>
      <c r="BH1526" s="2"/>
      <c r="BI1526" s="2" t="n">
        <v>8</v>
      </c>
      <c r="BJ1526" s="2" t="s">
        <v>8287</v>
      </c>
      <c r="BK1526" s="2" t="s">
        <v>100</v>
      </c>
      <c r="BL1526" s="2" t="s">
        <v>8287</v>
      </c>
      <c r="BM1526" s="2" t="s">
        <v>26538</v>
      </c>
      <c r="BN1526" s="2" t="n">
        <v>30137695</v>
      </c>
      <c r="BO1526" s="2" t="s">
        <v>103</v>
      </c>
      <c r="BP1526" s="2"/>
      <c r="BQ1526" s="2"/>
      <c r="BR1526" s="2" t="s">
        <v>104</v>
      </c>
      <c r="BS1526" s="2" t="s">
        <v>26539</v>
      </c>
      <c r="BT1526" s="2" t="str">
        <f aca="false">HYPERLINK("https%3A%2F%2Fwww.webofscience.com%2Fwos%2Fwoscc%2Ffull-record%2FWOS:000454148300005","View Full Record in Web of Science")</f>
        <v>View Full Record in Web of Science</v>
      </c>
    </row>
    <row r="1527" customFormat="false" ht="12.75" hidden="false" customHeight="false" outlineLevel="0" collapsed="false">
      <c r="A1527" s="2" t="s">
        <v>72</v>
      </c>
      <c r="B1527" s="2" t="s">
        <v>26540</v>
      </c>
      <c r="C1527" s="2"/>
      <c r="D1527" s="2"/>
      <c r="E1527" s="2"/>
      <c r="F1527" s="2" t="s">
        <v>26541</v>
      </c>
      <c r="G1527" s="2"/>
      <c r="H1527" s="2"/>
      <c r="I1527" s="2" t="s">
        <v>26542</v>
      </c>
      <c r="J1527" s="2" t="s">
        <v>557</v>
      </c>
      <c r="K1527" s="2"/>
      <c r="L1527" s="2"/>
      <c r="M1527" s="2" t="s">
        <v>77</v>
      </c>
      <c r="N1527" s="2" t="s">
        <v>78</v>
      </c>
      <c r="O1527" s="2"/>
      <c r="P1527" s="2"/>
      <c r="Q1527" s="2"/>
      <c r="R1527" s="2"/>
      <c r="S1527" s="2"/>
      <c r="T1527" s="2" t="s">
        <v>26543</v>
      </c>
      <c r="U1527" s="2" t="s">
        <v>26544</v>
      </c>
      <c r="V1527" s="2" t="s">
        <v>26545</v>
      </c>
      <c r="W1527" s="2" t="s">
        <v>26546</v>
      </c>
      <c r="X1527" s="2" t="s">
        <v>26547</v>
      </c>
      <c r="Y1527" s="2" t="s">
        <v>26548</v>
      </c>
      <c r="Z1527" s="2" t="s">
        <v>8482</v>
      </c>
      <c r="AA1527" s="2" t="s">
        <v>26549</v>
      </c>
      <c r="AB1527" s="2" t="s">
        <v>26550</v>
      </c>
      <c r="AC1527" s="2"/>
      <c r="AD1527" s="2"/>
      <c r="AE1527" s="2"/>
      <c r="AF1527" s="2"/>
      <c r="AG1527" s="2" t="n">
        <v>32</v>
      </c>
      <c r="AH1527" s="2" t="n">
        <v>21</v>
      </c>
      <c r="AI1527" s="2" t="n">
        <v>22</v>
      </c>
      <c r="AJ1527" s="2" t="n">
        <v>0</v>
      </c>
      <c r="AK1527" s="2" t="n">
        <v>2</v>
      </c>
      <c r="AL1527" s="2" t="s">
        <v>2337</v>
      </c>
      <c r="AM1527" s="2" t="s">
        <v>303</v>
      </c>
      <c r="AN1527" s="2" t="s">
        <v>2338</v>
      </c>
      <c r="AO1527" s="2" t="s">
        <v>570</v>
      </c>
      <c r="AP1527" s="2"/>
      <c r="AQ1527" s="2"/>
      <c r="AR1527" s="2" t="s">
        <v>571</v>
      </c>
      <c r="AS1527" s="2" t="s">
        <v>572</v>
      </c>
      <c r="AT1527" s="2" t="s">
        <v>26551</v>
      </c>
      <c r="AU1527" s="2" t="n">
        <v>2017</v>
      </c>
      <c r="AV1527" s="2" t="n">
        <v>17</v>
      </c>
      <c r="AW1527" s="2"/>
      <c r="AX1527" s="2"/>
      <c r="AY1527" s="2"/>
      <c r="AZ1527" s="2"/>
      <c r="BA1527" s="2"/>
      <c r="BB1527" s="2"/>
      <c r="BC1527" s="2"/>
      <c r="BD1527" s="2" t="n">
        <v>729</v>
      </c>
      <c r="BE1527" s="2" t="s">
        <v>26552</v>
      </c>
      <c r="BF1527" s="2" t="str">
        <f aca="false">HYPERLINK("http://dx.doi.org/10.1186/s12879-017-2823-9","http://dx.doi.org/10.1186/s12879-017-2823-9")</f>
        <v>http://dx.doi.org/10.1186/s12879-017-2823-9</v>
      </c>
      <c r="BG1527" s="2"/>
      <c r="BH1527" s="2"/>
      <c r="BI1527" s="2" t="n">
        <v>11</v>
      </c>
      <c r="BJ1527" s="2" t="s">
        <v>575</v>
      </c>
      <c r="BK1527" s="2" t="s">
        <v>100</v>
      </c>
      <c r="BL1527" s="2" t="s">
        <v>575</v>
      </c>
      <c r="BM1527" s="2" t="s">
        <v>26553</v>
      </c>
      <c r="BN1527" s="2" t="n">
        <v>29166867</v>
      </c>
      <c r="BO1527" s="2" t="s">
        <v>103</v>
      </c>
      <c r="BP1527" s="2"/>
      <c r="BQ1527" s="2"/>
      <c r="BR1527" s="2" t="s">
        <v>104</v>
      </c>
      <c r="BS1527" s="2" t="s">
        <v>26554</v>
      </c>
      <c r="BT1527" s="2" t="str">
        <f aca="false">HYPERLINK("https%3A%2F%2Fwww.webofscience.com%2Fwos%2Fwoscc%2Ffull-record%2FWOS:000416056000001","View Full Record in Web of Science")</f>
        <v>View Full Record in Web of Science</v>
      </c>
    </row>
    <row r="1528" customFormat="false" ht="12.75" hidden="false" customHeight="false" outlineLevel="0" collapsed="false">
      <c r="A1528" s="2" t="s">
        <v>72</v>
      </c>
      <c r="B1528" s="2" t="s">
        <v>26555</v>
      </c>
      <c r="C1528" s="2"/>
      <c r="D1528" s="2"/>
      <c r="E1528" s="2"/>
      <c r="F1528" s="2" t="s">
        <v>26556</v>
      </c>
      <c r="G1528" s="2"/>
      <c r="H1528" s="2"/>
      <c r="I1528" s="2" t="s">
        <v>26557</v>
      </c>
      <c r="J1528" s="2" t="s">
        <v>3741</v>
      </c>
      <c r="K1528" s="2"/>
      <c r="L1528" s="2"/>
      <c r="M1528" s="2" t="s">
        <v>77</v>
      </c>
      <c r="N1528" s="2" t="s">
        <v>78</v>
      </c>
      <c r="O1528" s="2"/>
      <c r="P1528" s="2"/>
      <c r="Q1528" s="2"/>
      <c r="R1528" s="2"/>
      <c r="S1528" s="2"/>
      <c r="T1528" s="2" t="s">
        <v>26558</v>
      </c>
      <c r="U1528" s="2" t="s">
        <v>26559</v>
      </c>
      <c r="V1528" s="2" t="s">
        <v>26560</v>
      </c>
      <c r="W1528" s="2" t="s">
        <v>26561</v>
      </c>
      <c r="X1528" s="2" t="s">
        <v>26562</v>
      </c>
      <c r="Y1528" s="2" t="s">
        <v>26563</v>
      </c>
      <c r="Z1528" s="2" t="s">
        <v>26564</v>
      </c>
      <c r="AA1528" s="2" t="s">
        <v>26565</v>
      </c>
      <c r="AB1528" s="2" t="s">
        <v>26566</v>
      </c>
      <c r="AC1528" s="2" t="s">
        <v>26567</v>
      </c>
      <c r="AD1528" s="2" t="s">
        <v>26568</v>
      </c>
      <c r="AE1528" s="2" t="s">
        <v>26569</v>
      </c>
      <c r="AF1528" s="2"/>
      <c r="AG1528" s="2" t="n">
        <v>37</v>
      </c>
      <c r="AH1528" s="2" t="n">
        <v>2</v>
      </c>
      <c r="AI1528" s="2" t="n">
        <v>2</v>
      </c>
      <c r="AJ1528" s="2" t="n">
        <v>2</v>
      </c>
      <c r="AK1528" s="2" t="n">
        <v>6</v>
      </c>
      <c r="AL1528" s="2" t="s">
        <v>755</v>
      </c>
      <c r="AM1528" s="2" t="s">
        <v>273</v>
      </c>
      <c r="AN1528" s="2" t="s">
        <v>756</v>
      </c>
      <c r="AO1528" s="2" t="s">
        <v>3753</v>
      </c>
      <c r="AP1528" s="2"/>
      <c r="AQ1528" s="2"/>
      <c r="AR1528" s="2" t="s">
        <v>3754</v>
      </c>
      <c r="AS1528" s="2" t="s">
        <v>3755</v>
      </c>
      <c r="AT1528" s="2" t="s">
        <v>26570</v>
      </c>
      <c r="AU1528" s="2" t="n">
        <v>2023</v>
      </c>
      <c r="AV1528" s="2" t="n">
        <v>11</v>
      </c>
      <c r="AW1528" s="2" t="n">
        <v>4</v>
      </c>
      <c r="AX1528" s="2"/>
      <c r="AY1528" s="2"/>
      <c r="AZ1528" s="2"/>
      <c r="BA1528" s="2"/>
      <c r="BB1528" s="2"/>
      <c r="BC1528" s="2"/>
      <c r="BD1528" s="2"/>
      <c r="BE1528" s="2" t="s">
        <v>26571</v>
      </c>
      <c r="BF1528" s="2" t="str">
        <f aca="false">HYPERLINK("http://dx.doi.org/10.1128/spectrum.00019-23","http://dx.doi.org/10.1128/spectrum.00019-23")</f>
        <v>http://dx.doi.org/10.1128/spectrum.00019-23</v>
      </c>
      <c r="BG1528" s="2"/>
      <c r="BH1528" s="2" t="s">
        <v>18182</v>
      </c>
      <c r="BI1528" s="2" t="n">
        <v>11</v>
      </c>
      <c r="BJ1528" s="2" t="s">
        <v>211</v>
      </c>
      <c r="BK1528" s="2" t="s">
        <v>100</v>
      </c>
      <c r="BL1528" s="2" t="s">
        <v>211</v>
      </c>
      <c r="BM1528" s="2" t="s">
        <v>26572</v>
      </c>
      <c r="BN1528" s="2" t="n">
        <v>37378522</v>
      </c>
      <c r="BO1528" s="2" t="s">
        <v>103</v>
      </c>
      <c r="BP1528" s="2"/>
      <c r="BQ1528" s="2"/>
      <c r="BR1528" s="2" t="s">
        <v>104</v>
      </c>
      <c r="BS1528" s="2" t="s">
        <v>26573</v>
      </c>
      <c r="BT1528" s="2" t="str">
        <f aca="false">HYPERLINK("https%3A%2F%2Fwww.webofscience.com%2Fwos%2Fwoscc%2Ffull-record%2FWOS:001018029400001","View Full Record in Web of Science")</f>
        <v>View Full Record in Web of Science</v>
      </c>
    </row>
    <row r="1529" customFormat="false" ht="12.75" hidden="false" customHeight="false" outlineLevel="0" collapsed="false">
      <c r="A1529" s="2" t="s">
        <v>72</v>
      </c>
      <c r="B1529" s="2" t="s">
        <v>26574</v>
      </c>
      <c r="C1529" s="2"/>
      <c r="D1529" s="2"/>
      <c r="E1529" s="2"/>
      <c r="F1529" s="2" t="s">
        <v>26575</v>
      </c>
      <c r="G1529" s="2"/>
      <c r="H1529" s="2"/>
      <c r="I1529" s="2" t="s">
        <v>26576</v>
      </c>
      <c r="J1529" s="2" t="s">
        <v>13700</v>
      </c>
      <c r="K1529" s="2"/>
      <c r="L1529" s="2"/>
      <c r="M1529" s="2" t="s">
        <v>77</v>
      </c>
      <c r="N1529" s="2" t="s">
        <v>78</v>
      </c>
      <c r="O1529" s="2"/>
      <c r="P1529" s="2"/>
      <c r="Q1529" s="2"/>
      <c r="R1529" s="2"/>
      <c r="S1529" s="2"/>
      <c r="T1529" s="2" t="s">
        <v>26577</v>
      </c>
      <c r="U1529" s="2" t="s">
        <v>26578</v>
      </c>
      <c r="V1529" s="2" t="s">
        <v>26579</v>
      </c>
      <c r="W1529" s="2" t="s">
        <v>26580</v>
      </c>
      <c r="X1529" s="2" t="s">
        <v>26581</v>
      </c>
      <c r="Y1529" s="2" t="s">
        <v>26582</v>
      </c>
      <c r="Z1529" s="2" t="s">
        <v>5860</v>
      </c>
      <c r="AA1529" s="2" t="s">
        <v>26583</v>
      </c>
      <c r="AB1529" s="2" t="s">
        <v>26584</v>
      </c>
      <c r="AC1529" s="2" t="s">
        <v>26585</v>
      </c>
      <c r="AD1529" s="2" t="s">
        <v>5864</v>
      </c>
      <c r="AE1529" s="2" t="s">
        <v>26586</v>
      </c>
      <c r="AF1529" s="2"/>
      <c r="AG1529" s="2" t="n">
        <v>48</v>
      </c>
      <c r="AH1529" s="2" t="n">
        <v>1</v>
      </c>
      <c r="AI1529" s="2" t="n">
        <v>1</v>
      </c>
      <c r="AJ1529" s="2" t="n">
        <v>0</v>
      </c>
      <c r="AK1529" s="2" t="n">
        <v>1</v>
      </c>
      <c r="AL1529" s="2" t="s">
        <v>13712</v>
      </c>
      <c r="AM1529" s="2" t="s">
        <v>303</v>
      </c>
      <c r="AN1529" s="2" t="s">
        <v>13713</v>
      </c>
      <c r="AO1529" s="2" t="s">
        <v>13714</v>
      </c>
      <c r="AP1529" s="2" t="s">
        <v>13715</v>
      </c>
      <c r="AQ1529" s="2"/>
      <c r="AR1529" s="2" t="s">
        <v>13716</v>
      </c>
      <c r="AS1529" s="2" t="s">
        <v>13717</v>
      </c>
      <c r="AT1529" s="2" t="s">
        <v>599</v>
      </c>
      <c r="AU1529" s="2" t="n">
        <v>2020</v>
      </c>
      <c r="AV1529" s="2" t="n">
        <v>15</v>
      </c>
      <c r="AW1529" s="2" t="n">
        <v>7</v>
      </c>
      <c r="AX1529" s="2"/>
      <c r="AY1529" s="2"/>
      <c r="AZ1529" s="2"/>
      <c r="BA1529" s="2"/>
      <c r="BB1529" s="2" t="n">
        <v>419</v>
      </c>
      <c r="BC1529" s="2" t="n">
        <v>427</v>
      </c>
      <c r="BD1529" s="2"/>
      <c r="BE1529" s="2" t="s">
        <v>26587</v>
      </c>
      <c r="BF1529" s="2" t="str">
        <f aca="false">HYPERLINK("http://dx.doi.org/10.2217/fvl-2020-0013","http://dx.doi.org/10.2217/fvl-2020-0013")</f>
        <v>http://dx.doi.org/10.2217/fvl-2020-0013</v>
      </c>
      <c r="BG1529" s="2"/>
      <c r="BH1529" s="2" t="s">
        <v>20327</v>
      </c>
      <c r="BI1529" s="2" t="n">
        <v>9</v>
      </c>
      <c r="BJ1529" s="2" t="s">
        <v>163</v>
      </c>
      <c r="BK1529" s="2" t="s">
        <v>100</v>
      </c>
      <c r="BL1529" s="2" t="s">
        <v>163</v>
      </c>
      <c r="BM1529" s="2" t="s">
        <v>26588</v>
      </c>
      <c r="BN1529" s="2"/>
      <c r="BO1529" s="2"/>
      <c r="BP1529" s="2"/>
      <c r="BQ1529" s="2"/>
      <c r="BR1529" s="2" t="s">
        <v>104</v>
      </c>
      <c r="BS1529" s="2" t="s">
        <v>26589</v>
      </c>
      <c r="BT1529" s="2" t="str">
        <f aca="false">HYPERLINK("https%3A%2F%2Fwww.webofscience.com%2Fwos%2Fwoscc%2Ffull-record%2FWOS:000558083200001","View Full Record in Web of Science")</f>
        <v>View Full Record in Web of Science</v>
      </c>
    </row>
    <row r="1530" customFormat="false" ht="12.75" hidden="false" customHeight="false" outlineLevel="0" collapsed="false">
      <c r="A1530" s="2" t="s">
        <v>72</v>
      </c>
      <c r="B1530" s="2" t="s">
        <v>26590</v>
      </c>
      <c r="C1530" s="2"/>
      <c r="D1530" s="2"/>
      <c r="E1530" s="2"/>
      <c r="F1530" s="2" t="s">
        <v>26591</v>
      </c>
      <c r="G1530" s="2"/>
      <c r="H1530" s="2"/>
      <c r="I1530" s="2" t="s">
        <v>26592</v>
      </c>
      <c r="J1530" s="2" t="s">
        <v>10441</v>
      </c>
      <c r="K1530" s="2"/>
      <c r="L1530" s="2"/>
      <c r="M1530" s="2" t="s">
        <v>77</v>
      </c>
      <c r="N1530" s="2" t="s">
        <v>78</v>
      </c>
      <c r="O1530" s="2"/>
      <c r="P1530" s="2"/>
      <c r="Q1530" s="2"/>
      <c r="R1530" s="2"/>
      <c r="S1530" s="2"/>
      <c r="T1530" s="2" t="s">
        <v>26593</v>
      </c>
      <c r="U1530" s="2" t="s">
        <v>26594</v>
      </c>
      <c r="V1530" s="2" t="s">
        <v>26595</v>
      </c>
      <c r="W1530" s="2" t="s">
        <v>26596</v>
      </c>
      <c r="X1530" s="2" t="s">
        <v>26597</v>
      </c>
      <c r="Y1530" s="2" t="s">
        <v>26598</v>
      </c>
      <c r="Z1530" s="2" t="s">
        <v>26599</v>
      </c>
      <c r="AA1530" s="2"/>
      <c r="AB1530" s="2"/>
      <c r="AC1530" s="2" t="s">
        <v>26600</v>
      </c>
      <c r="AD1530" s="2" t="s">
        <v>26601</v>
      </c>
      <c r="AE1530" s="2" t="s">
        <v>26602</v>
      </c>
      <c r="AF1530" s="2"/>
      <c r="AG1530" s="2" t="n">
        <v>18</v>
      </c>
      <c r="AH1530" s="2" t="n">
        <v>13</v>
      </c>
      <c r="AI1530" s="2" t="n">
        <v>13</v>
      </c>
      <c r="AJ1530" s="2" t="n">
        <v>0</v>
      </c>
      <c r="AK1530" s="2" t="n">
        <v>0</v>
      </c>
      <c r="AL1530" s="2" t="s">
        <v>154</v>
      </c>
      <c r="AM1530" s="2" t="s">
        <v>155</v>
      </c>
      <c r="AN1530" s="2" t="s">
        <v>156</v>
      </c>
      <c r="AO1530" s="2" t="s">
        <v>10453</v>
      </c>
      <c r="AP1530" s="2" t="s">
        <v>14215</v>
      </c>
      <c r="AQ1530" s="2"/>
      <c r="AR1530" s="2" t="s">
        <v>10454</v>
      </c>
      <c r="AS1530" s="2" t="s">
        <v>10455</v>
      </c>
      <c r="AT1530" s="2" t="s">
        <v>336</v>
      </c>
      <c r="AU1530" s="2" t="n">
        <v>2010</v>
      </c>
      <c r="AV1530" s="2" t="n">
        <v>54</v>
      </c>
      <c r="AW1530" s="2" t="n">
        <v>10</v>
      </c>
      <c r="AX1530" s="2"/>
      <c r="AY1530" s="2"/>
      <c r="AZ1530" s="2"/>
      <c r="BA1530" s="2"/>
      <c r="BB1530" s="2" t="n">
        <v>634</v>
      </c>
      <c r="BC1530" s="2" t="n">
        <v>638</v>
      </c>
      <c r="BD1530" s="2"/>
      <c r="BE1530" s="2" t="s">
        <v>26603</v>
      </c>
      <c r="BF1530" s="2" t="str">
        <f aca="false">HYPERLINK("http://dx.doi.org/10.1111/j.1348-0421.2010.00253.x","http://dx.doi.org/10.1111/j.1348-0421.2010.00253.x")</f>
        <v>http://dx.doi.org/10.1111/j.1348-0421.2010.00253.x</v>
      </c>
      <c r="BG1530" s="2"/>
      <c r="BH1530" s="2"/>
      <c r="BI1530" s="2" t="n">
        <v>5</v>
      </c>
      <c r="BJ1530" s="2" t="s">
        <v>2364</v>
      </c>
      <c r="BK1530" s="2" t="s">
        <v>100</v>
      </c>
      <c r="BL1530" s="2" t="s">
        <v>2364</v>
      </c>
      <c r="BM1530" s="2" t="s">
        <v>26604</v>
      </c>
      <c r="BN1530" s="2" t="n">
        <v>21140598</v>
      </c>
      <c r="BO1530" s="2" t="s">
        <v>656</v>
      </c>
      <c r="BP1530" s="2"/>
      <c r="BQ1530" s="2"/>
      <c r="BR1530" s="2" t="s">
        <v>104</v>
      </c>
      <c r="BS1530" s="2" t="s">
        <v>26605</v>
      </c>
      <c r="BT1530" s="2" t="str">
        <f aca="false">HYPERLINK("https%3A%2F%2Fwww.webofscience.com%2Fwos%2Fwoscc%2Ffull-record%2FWOS:000282183000008","View Full Record in Web of Science")</f>
        <v>View Full Record in Web of Science</v>
      </c>
    </row>
    <row r="1531" customFormat="false" ht="12.75" hidden="false" customHeight="false" outlineLevel="0" collapsed="false">
      <c r="A1531" s="2" t="s">
        <v>72</v>
      </c>
      <c r="B1531" s="2" t="s">
        <v>26606</v>
      </c>
      <c r="C1531" s="2"/>
      <c r="D1531" s="2"/>
      <c r="E1531" s="2"/>
      <c r="F1531" s="2" t="s">
        <v>26607</v>
      </c>
      <c r="G1531" s="2"/>
      <c r="H1531" s="2"/>
      <c r="I1531" s="2" t="s">
        <v>26608</v>
      </c>
      <c r="J1531" s="2" t="s">
        <v>109</v>
      </c>
      <c r="K1531" s="2"/>
      <c r="L1531" s="2"/>
      <c r="M1531" s="2" t="s">
        <v>77</v>
      </c>
      <c r="N1531" s="2" t="s">
        <v>78</v>
      </c>
      <c r="O1531" s="2"/>
      <c r="P1531" s="2"/>
      <c r="Q1531" s="2"/>
      <c r="R1531" s="2"/>
      <c r="S1531" s="2"/>
      <c r="T1531" s="2" t="s">
        <v>26609</v>
      </c>
      <c r="U1531" s="2" t="s">
        <v>26610</v>
      </c>
      <c r="V1531" s="2" t="s">
        <v>26611</v>
      </c>
      <c r="W1531" s="2" t="s">
        <v>26612</v>
      </c>
      <c r="X1531" s="2" t="s">
        <v>26613</v>
      </c>
      <c r="Y1531" s="2" t="s">
        <v>26614</v>
      </c>
      <c r="Z1531" s="2" t="s">
        <v>26615</v>
      </c>
      <c r="AA1531" s="2" t="s">
        <v>7916</v>
      </c>
      <c r="AB1531" s="2" t="s">
        <v>26616</v>
      </c>
      <c r="AC1531" s="2" t="s">
        <v>26617</v>
      </c>
      <c r="AD1531" s="2" t="s">
        <v>26618</v>
      </c>
      <c r="AE1531" s="2" t="s">
        <v>26619</v>
      </c>
      <c r="AF1531" s="2"/>
      <c r="AG1531" s="2" t="n">
        <v>37</v>
      </c>
      <c r="AH1531" s="2" t="n">
        <v>26</v>
      </c>
      <c r="AI1531" s="2" t="n">
        <v>31</v>
      </c>
      <c r="AJ1531" s="2" t="n">
        <v>0</v>
      </c>
      <c r="AK1531" s="2" t="n">
        <v>11</v>
      </c>
      <c r="AL1531" s="2" t="s">
        <v>122</v>
      </c>
      <c r="AM1531" s="2" t="s">
        <v>123</v>
      </c>
      <c r="AN1531" s="2" t="s">
        <v>124</v>
      </c>
      <c r="AO1531" s="2" t="s">
        <v>125</v>
      </c>
      <c r="AP1531" s="2" t="s">
        <v>126</v>
      </c>
      <c r="AQ1531" s="2"/>
      <c r="AR1531" s="2" t="s">
        <v>127</v>
      </c>
      <c r="AS1531" s="2" t="s">
        <v>128</v>
      </c>
      <c r="AT1531" s="2" t="s">
        <v>390</v>
      </c>
      <c r="AU1531" s="2" t="n">
        <v>2013</v>
      </c>
      <c r="AV1531" s="2" t="n">
        <v>32</v>
      </c>
      <c r="AW1531" s="2" t="n">
        <v>5</v>
      </c>
      <c r="AX1531" s="2"/>
      <c r="AY1531" s="2"/>
      <c r="AZ1531" s="2"/>
      <c r="BA1531" s="2"/>
      <c r="BB1531" s="2" t="n">
        <v>460</v>
      </c>
      <c r="BC1531" s="2" t="n">
        <v>466</v>
      </c>
      <c r="BD1531" s="2"/>
      <c r="BE1531" s="2" t="s">
        <v>26620</v>
      </c>
      <c r="BF1531" s="2" t="str">
        <f aca="false">HYPERLINK("http://dx.doi.org/10.1097/INF.0b013e31828683ce","http://dx.doi.org/10.1097/INF.0b013e31828683ce")</f>
        <v>http://dx.doi.org/10.1097/INF.0b013e31828683ce</v>
      </c>
      <c r="BG1531" s="2"/>
      <c r="BH1531" s="2"/>
      <c r="BI1531" s="2" t="n">
        <v>7</v>
      </c>
      <c r="BJ1531" s="2" t="s">
        <v>134</v>
      </c>
      <c r="BK1531" s="2" t="s">
        <v>100</v>
      </c>
      <c r="BL1531" s="2" t="s">
        <v>134</v>
      </c>
      <c r="BM1531" s="2" t="s">
        <v>7774</v>
      </c>
      <c r="BN1531" s="2" t="n">
        <v>23348811</v>
      </c>
      <c r="BO1531" s="2" t="s">
        <v>695</v>
      </c>
      <c r="BP1531" s="2"/>
      <c r="BQ1531" s="2"/>
      <c r="BR1531" s="2" t="s">
        <v>104</v>
      </c>
      <c r="BS1531" s="2" t="s">
        <v>26621</v>
      </c>
      <c r="BT1531" s="2" t="str">
        <f aca="false">HYPERLINK("https%3A%2F%2Fwww.webofscience.com%2Fwos%2Fwoscc%2Ffull-record%2FWOS:000318684400013","View Full Record in Web of Science")</f>
        <v>View Full Record in Web of Science</v>
      </c>
    </row>
    <row r="1532" customFormat="false" ht="12.75" hidden="false" customHeight="false" outlineLevel="0" collapsed="false">
      <c r="A1532" s="2" t="s">
        <v>72</v>
      </c>
      <c r="B1532" s="2" t="s">
        <v>26622</v>
      </c>
      <c r="C1532" s="2"/>
      <c r="D1532" s="2"/>
      <c r="E1532" s="2"/>
      <c r="F1532" s="2" t="s">
        <v>26623</v>
      </c>
      <c r="G1532" s="2"/>
      <c r="H1532" s="2"/>
      <c r="I1532" s="2" t="s">
        <v>26624</v>
      </c>
      <c r="J1532" s="2" t="s">
        <v>398</v>
      </c>
      <c r="K1532" s="2"/>
      <c r="L1532" s="2"/>
      <c r="M1532" s="2" t="s">
        <v>77</v>
      </c>
      <c r="N1532" s="2" t="s">
        <v>78</v>
      </c>
      <c r="O1532" s="2"/>
      <c r="P1532" s="2"/>
      <c r="Q1532" s="2"/>
      <c r="R1532" s="2"/>
      <c r="S1532" s="2"/>
      <c r="T1532" s="2" t="s">
        <v>26625</v>
      </c>
      <c r="U1532" s="2" t="s">
        <v>26626</v>
      </c>
      <c r="V1532" s="2" t="s">
        <v>26627</v>
      </c>
      <c r="W1532" s="2" t="s">
        <v>26628</v>
      </c>
      <c r="X1532" s="2" t="s">
        <v>26629</v>
      </c>
      <c r="Y1532" s="2" t="s">
        <v>26630</v>
      </c>
      <c r="Z1532" s="2" t="s">
        <v>26631</v>
      </c>
      <c r="AA1532" s="2" t="s">
        <v>26632</v>
      </c>
      <c r="AB1532" s="2" t="s">
        <v>26633</v>
      </c>
      <c r="AC1532" s="2" t="s">
        <v>26634</v>
      </c>
      <c r="AD1532" s="2" t="s">
        <v>26635</v>
      </c>
      <c r="AE1532" s="2" t="s">
        <v>26636</v>
      </c>
      <c r="AF1532" s="2"/>
      <c r="AG1532" s="2" t="n">
        <v>47</v>
      </c>
      <c r="AH1532" s="2" t="n">
        <v>11</v>
      </c>
      <c r="AI1532" s="2" t="n">
        <v>11</v>
      </c>
      <c r="AJ1532" s="2" t="n">
        <v>0</v>
      </c>
      <c r="AK1532" s="2" t="n">
        <v>3</v>
      </c>
      <c r="AL1532" s="2" t="s">
        <v>408</v>
      </c>
      <c r="AM1532" s="2" t="s">
        <v>409</v>
      </c>
      <c r="AN1532" s="2" t="s">
        <v>410</v>
      </c>
      <c r="AO1532" s="2" t="s">
        <v>411</v>
      </c>
      <c r="AP1532" s="2" t="s">
        <v>412</v>
      </c>
      <c r="AQ1532" s="2"/>
      <c r="AR1532" s="2" t="s">
        <v>413</v>
      </c>
      <c r="AS1532" s="2" t="s">
        <v>414</v>
      </c>
      <c r="AT1532" s="2" t="s">
        <v>161</v>
      </c>
      <c r="AU1532" s="2" t="n">
        <v>2020</v>
      </c>
      <c r="AV1532" s="2" t="n">
        <v>15</v>
      </c>
      <c r="AW1532" s="2" t="n">
        <v>1</v>
      </c>
      <c r="AX1532" s="2"/>
      <c r="AY1532" s="2"/>
      <c r="AZ1532" s="2"/>
      <c r="BA1532" s="2"/>
      <c r="BB1532" s="2" t="n">
        <v>1</v>
      </c>
      <c r="BC1532" s="2" t="n">
        <v>10</v>
      </c>
      <c r="BD1532" s="2"/>
      <c r="BE1532" s="2" t="s">
        <v>26637</v>
      </c>
      <c r="BF1532" s="2" t="str">
        <f aca="false">HYPERLINK("http://dx.doi.org/10.1055/s-0039-1692972","http://dx.doi.org/10.1055/s-0039-1692972")</f>
        <v>http://dx.doi.org/10.1055/s-0039-1692972</v>
      </c>
      <c r="BG1532" s="2"/>
      <c r="BH1532" s="2"/>
      <c r="BI1532" s="2" t="n">
        <v>10</v>
      </c>
      <c r="BJ1532" s="2" t="s">
        <v>417</v>
      </c>
      <c r="BK1532" s="2" t="s">
        <v>100</v>
      </c>
      <c r="BL1532" s="2" t="s">
        <v>417</v>
      </c>
      <c r="BM1532" s="2" t="s">
        <v>26638</v>
      </c>
      <c r="BN1532" s="2" t="n">
        <v>32300275</v>
      </c>
      <c r="BO1532" s="2" t="s">
        <v>538</v>
      </c>
      <c r="BP1532" s="2"/>
      <c r="BQ1532" s="2"/>
      <c r="BR1532" s="2" t="s">
        <v>104</v>
      </c>
      <c r="BS1532" s="2" t="s">
        <v>26639</v>
      </c>
      <c r="BT1532" s="2" t="str">
        <f aca="false">HYPERLINK("https%3A%2F%2Fwww.webofscience.com%2Fwos%2Fwoscc%2Ffull-record%2FWOS:000505031000001","View Full Record in Web of Science")</f>
        <v>View Full Record in Web of Science</v>
      </c>
    </row>
    <row r="1533" customFormat="false" ht="12.75" hidden="false" customHeight="false" outlineLevel="0" collapsed="false">
      <c r="A1533" s="2" t="s">
        <v>72</v>
      </c>
      <c r="B1533" s="2" t="s">
        <v>26640</v>
      </c>
      <c r="C1533" s="2"/>
      <c r="D1533" s="2"/>
      <c r="E1533" s="2"/>
      <c r="F1533" s="2" t="s">
        <v>26641</v>
      </c>
      <c r="G1533" s="2"/>
      <c r="H1533" s="2"/>
      <c r="I1533" s="2" t="s">
        <v>26642</v>
      </c>
      <c r="J1533" s="2" t="s">
        <v>141</v>
      </c>
      <c r="K1533" s="2"/>
      <c r="L1533" s="2"/>
      <c r="M1533" s="2" t="s">
        <v>77</v>
      </c>
      <c r="N1533" s="2" t="s">
        <v>78</v>
      </c>
      <c r="O1533" s="2"/>
      <c r="P1533" s="2"/>
      <c r="Q1533" s="2"/>
      <c r="R1533" s="2"/>
      <c r="S1533" s="2"/>
      <c r="T1533" s="2" t="s">
        <v>26643</v>
      </c>
      <c r="U1533" s="2" t="s">
        <v>26644</v>
      </c>
      <c r="V1533" s="2" t="s">
        <v>26645</v>
      </c>
      <c r="W1533" s="2" t="s">
        <v>26646</v>
      </c>
      <c r="X1533" s="2" t="s">
        <v>26647</v>
      </c>
      <c r="Y1533" s="2" t="s">
        <v>26648</v>
      </c>
      <c r="Z1533" s="2" t="s">
        <v>26649</v>
      </c>
      <c r="AA1533" s="2" t="s">
        <v>26650</v>
      </c>
      <c r="AB1533" s="2" t="s">
        <v>26651</v>
      </c>
      <c r="AC1533" s="2" t="s">
        <v>26652</v>
      </c>
      <c r="AD1533" s="2" t="s">
        <v>26653</v>
      </c>
      <c r="AE1533" s="2" t="s">
        <v>26654</v>
      </c>
      <c r="AF1533" s="2"/>
      <c r="AG1533" s="2" t="n">
        <v>31</v>
      </c>
      <c r="AH1533" s="2" t="n">
        <v>7</v>
      </c>
      <c r="AI1533" s="2" t="n">
        <v>8</v>
      </c>
      <c r="AJ1533" s="2" t="n">
        <v>0</v>
      </c>
      <c r="AK1533" s="2" t="n">
        <v>11</v>
      </c>
      <c r="AL1533" s="2" t="s">
        <v>154</v>
      </c>
      <c r="AM1533" s="2" t="s">
        <v>155</v>
      </c>
      <c r="AN1533" s="2" t="s">
        <v>156</v>
      </c>
      <c r="AO1533" s="2" t="s">
        <v>157</v>
      </c>
      <c r="AP1533" s="2" t="s">
        <v>158</v>
      </c>
      <c r="AQ1533" s="2"/>
      <c r="AR1533" s="2" t="s">
        <v>159</v>
      </c>
      <c r="AS1533" s="2" t="s">
        <v>160</v>
      </c>
      <c r="AT1533" s="2" t="s">
        <v>804</v>
      </c>
      <c r="AU1533" s="2" t="n">
        <v>2015</v>
      </c>
      <c r="AV1533" s="2" t="n">
        <v>87</v>
      </c>
      <c r="AW1533" s="2" t="n">
        <v>11</v>
      </c>
      <c r="AX1533" s="2"/>
      <c r="AY1533" s="2"/>
      <c r="AZ1533" s="2"/>
      <c r="BA1533" s="2"/>
      <c r="BB1533" s="2" t="n">
        <v>1860</v>
      </c>
      <c r="BC1533" s="2" t="n">
        <v>1866</v>
      </c>
      <c r="BD1533" s="2"/>
      <c r="BE1533" s="2" t="s">
        <v>26655</v>
      </c>
      <c r="BF1533" s="2" t="str">
        <f aca="false">HYPERLINK("http://dx.doi.org/10.1002/jmv.24258","http://dx.doi.org/10.1002/jmv.24258")</f>
        <v>http://dx.doi.org/10.1002/jmv.24258</v>
      </c>
      <c r="BG1533" s="2"/>
      <c r="BH1533" s="2"/>
      <c r="BI1533" s="2" t="n">
        <v>7</v>
      </c>
      <c r="BJ1533" s="2" t="s">
        <v>163</v>
      </c>
      <c r="BK1533" s="2" t="s">
        <v>100</v>
      </c>
      <c r="BL1533" s="2" t="s">
        <v>163</v>
      </c>
      <c r="BM1533" s="2" t="s">
        <v>15071</v>
      </c>
      <c r="BN1533" s="2" t="n">
        <v>26089293</v>
      </c>
      <c r="BO1533" s="2" t="s">
        <v>165</v>
      </c>
      <c r="BP1533" s="2"/>
      <c r="BQ1533" s="2"/>
      <c r="BR1533" s="2" t="s">
        <v>104</v>
      </c>
      <c r="BS1533" s="2" t="s">
        <v>26656</v>
      </c>
      <c r="BT1533" s="2" t="str">
        <f aca="false">HYPERLINK("https%3A%2F%2Fwww.webofscience.com%2Fwos%2Fwoscc%2Ffull-record%2FWOS:000360726600008","View Full Record in Web of Science")</f>
        <v>View Full Record in Web of Science</v>
      </c>
    </row>
    <row r="1534" customFormat="false" ht="12.75" hidden="false" customHeight="false" outlineLevel="0" collapsed="false">
      <c r="A1534" s="2" t="s">
        <v>72</v>
      </c>
      <c r="B1534" s="2" t="s">
        <v>26657</v>
      </c>
      <c r="C1534" s="2"/>
      <c r="D1534" s="2"/>
      <c r="E1534" s="2"/>
      <c r="F1534" s="2" t="s">
        <v>26658</v>
      </c>
      <c r="G1534" s="2"/>
      <c r="H1534" s="2"/>
      <c r="I1534" s="2" t="s">
        <v>26659</v>
      </c>
      <c r="J1534" s="2" t="s">
        <v>1114</v>
      </c>
      <c r="K1534" s="2"/>
      <c r="L1534" s="2"/>
      <c r="M1534" s="2" t="s">
        <v>77</v>
      </c>
      <c r="N1534" s="2" t="s">
        <v>78</v>
      </c>
      <c r="O1534" s="2"/>
      <c r="P1534" s="2"/>
      <c r="Q1534" s="2"/>
      <c r="R1534" s="2"/>
      <c r="S1534" s="2"/>
      <c r="T1534" s="2" t="s">
        <v>26660</v>
      </c>
      <c r="U1534" s="2" t="s">
        <v>26661</v>
      </c>
      <c r="V1534" s="2" t="s">
        <v>26662</v>
      </c>
      <c r="W1534" s="2" t="s">
        <v>26663</v>
      </c>
      <c r="X1534" s="2" t="s">
        <v>26664</v>
      </c>
      <c r="Y1534" s="2" t="s">
        <v>26665</v>
      </c>
      <c r="Z1534" s="2" t="s">
        <v>26666</v>
      </c>
      <c r="AA1534" s="2" t="s">
        <v>26667</v>
      </c>
      <c r="AB1534" s="2" t="s">
        <v>26668</v>
      </c>
      <c r="AC1534" s="2"/>
      <c r="AD1534" s="2"/>
      <c r="AE1534" s="2"/>
      <c r="AF1534" s="2"/>
      <c r="AG1534" s="2" t="n">
        <v>17</v>
      </c>
      <c r="AH1534" s="2" t="n">
        <v>16</v>
      </c>
      <c r="AI1534" s="2" t="n">
        <v>18</v>
      </c>
      <c r="AJ1534" s="2" t="n">
        <v>0</v>
      </c>
      <c r="AK1534" s="2" t="n">
        <v>11</v>
      </c>
      <c r="AL1534" s="2" t="s">
        <v>122</v>
      </c>
      <c r="AM1534" s="2" t="s">
        <v>123</v>
      </c>
      <c r="AN1534" s="2" t="s">
        <v>124</v>
      </c>
      <c r="AO1534" s="2" t="s">
        <v>1124</v>
      </c>
      <c r="AP1534" s="2" t="s">
        <v>13820</v>
      </c>
      <c r="AQ1534" s="2"/>
      <c r="AR1534" s="2" t="s">
        <v>1125</v>
      </c>
      <c r="AS1534" s="2" t="s">
        <v>1126</v>
      </c>
      <c r="AT1534" s="2" t="s">
        <v>390</v>
      </c>
      <c r="AU1534" s="2" t="n">
        <v>2019</v>
      </c>
      <c r="AV1534" s="2" t="n">
        <v>41</v>
      </c>
      <c r="AW1534" s="2" t="n">
        <v>4</v>
      </c>
      <c r="AX1534" s="2"/>
      <c r="AY1534" s="2"/>
      <c r="AZ1534" s="2"/>
      <c r="BA1534" s="2"/>
      <c r="BB1534" s="2" t="s">
        <v>26669</v>
      </c>
      <c r="BC1534" s="2" t="s">
        <v>26670</v>
      </c>
      <c r="BD1534" s="2"/>
      <c r="BE1534" s="2" t="s">
        <v>26671</v>
      </c>
      <c r="BF1534" s="2" t="str">
        <f aca="false">HYPERLINK("http://dx.doi.org/10.1097/MPH.0000000000001418","http://dx.doi.org/10.1097/MPH.0000000000001418")</f>
        <v>http://dx.doi.org/10.1097/MPH.0000000000001418</v>
      </c>
      <c r="BG1534" s="2"/>
      <c r="BH1534" s="2"/>
      <c r="BI1534" s="2" t="n">
        <v>5</v>
      </c>
      <c r="BJ1534" s="2" t="s">
        <v>1128</v>
      </c>
      <c r="BK1534" s="2" t="s">
        <v>100</v>
      </c>
      <c r="BL1534" s="2" t="s">
        <v>1128</v>
      </c>
      <c r="BM1534" s="2" t="s">
        <v>26672</v>
      </c>
      <c r="BN1534" s="2" t="n">
        <v>30688827</v>
      </c>
      <c r="BO1534" s="2"/>
      <c r="BP1534" s="2"/>
      <c r="BQ1534" s="2"/>
      <c r="BR1534" s="2" t="s">
        <v>104</v>
      </c>
      <c r="BS1534" s="2" t="s">
        <v>26673</v>
      </c>
      <c r="BT1534" s="2" t="str">
        <f aca="false">HYPERLINK("https%3A%2F%2Fwww.webofscience.com%2Fwos%2Fwoscc%2Ffull-record%2FWOS:000466030000010","View Full Record in Web of Science")</f>
        <v>View Full Record in Web of Science</v>
      </c>
    </row>
    <row r="1535" customFormat="false" ht="12.75" hidden="false" customHeight="false" outlineLevel="0" collapsed="false">
      <c r="A1535" s="2" t="s">
        <v>72</v>
      </c>
      <c r="B1535" s="2" t="s">
        <v>26674</v>
      </c>
      <c r="C1535" s="2"/>
      <c r="D1535" s="2"/>
      <c r="E1535" s="2"/>
      <c r="F1535" s="2" t="s">
        <v>26675</v>
      </c>
      <c r="G1535" s="2"/>
      <c r="H1535" s="2"/>
      <c r="I1535" s="2" t="s">
        <v>26676</v>
      </c>
      <c r="J1535" s="2" t="s">
        <v>141</v>
      </c>
      <c r="K1535" s="2"/>
      <c r="L1535" s="2"/>
      <c r="M1535" s="2" t="s">
        <v>77</v>
      </c>
      <c r="N1535" s="2" t="s">
        <v>78</v>
      </c>
      <c r="O1535" s="2"/>
      <c r="P1535" s="2"/>
      <c r="Q1535" s="2"/>
      <c r="R1535" s="2"/>
      <c r="S1535" s="2"/>
      <c r="T1535" s="2" t="s">
        <v>26677</v>
      </c>
      <c r="U1535" s="2" t="s">
        <v>26678</v>
      </c>
      <c r="V1535" s="2" t="s">
        <v>26679</v>
      </c>
      <c r="W1535" s="2" t="s">
        <v>26680</v>
      </c>
      <c r="X1535" s="2" t="s">
        <v>26681</v>
      </c>
      <c r="Y1535" s="2" t="s">
        <v>26682</v>
      </c>
      <c r="Z1535" s="2" t="s">
        <v>26683</v>
      </c>
      <c r="AA1535" s="2" t="s">
        <v>26684</v>
      </c>
      <c r="AB1535" s="2" t="s">
        <v>26685</v>
      </c>
      <c r="AC1535" s="2" t="s">
        <v>26686</v>
      </c>
      <c r="AD1535" s="2" t="s">
        <v>26687</v>
      </c>
      <c r="AE1535" s="2" t="s">
        <v>26688</v>
      </c>
      <c r="AF1535" s="2"/>
      <c r="AG1535" s="2" t="n">
        <v>33</v>
      </c>
      <c r="AH1535" s="2" t="n">
        <v>24</v>
      </c>
      <c r="AI1535" s="2" t="n">
        <v>29</v>
      </c>
      <c r="AJ1535" s="2" t="n">
        <v>0</v>
      </c>
      <c r="AK1535" s="2" t="n">
        <v>12</v>
      </c>
      <c r="AL1535" s="2" t="s">
        <v>154</v>
      </c>
      <c r="AM1535" s="2" t="s">
        <v>155</v>
      </c>
      <c r="AN1535" s="2" t="s">
        <v>156</v>
      </c>
      <c r="AO1535" s="2" t="s">
        <v>157</v>
      </c>
      <c r="AP1535" s="2" t="s">
        <v>158</v>
      </c>
      <c r="AQ1535" s="2"/>
      <c r="AR1535" s="2" t="s">
        <v>159</v>
      </c>
      <c r="AS1535" s="2" t="s">
        <v>160</v>
      </c>
      <c r="AT1535" s="2" t="s">
        <v>185</v>
      </c>
      <c r="AU1535" s="2" t="n">
        <v>2020</v>
      </c>
      <c r="AV1535" s="2" t="n">
        <v>92</v>
      </c>
      <c r="AW1535" s="2" t="n">
        <v>8</v>
      </c>
      <c r="AX1535" s="2"/>
      <c r="AY1535" s="2"/>
      <c r="AZ1535" s="2"/>
      <c r="BA1535" s="2"/>
      <c r="BB1535" s="2" t="n">
        <v>1316</v>
      </c>
      <c r="BC1535" s="2" t="n">
        <v>1321</v>
      </c>
      <c r="BD1535" s="2"/>
      <c r="BE1535" s="2" t="s">
        <v>26689</v>
      </c>
      <c r="BF1535" s="2" t="str">
        <f aca="false">HYPERLINK("http://dx.doi.org/10.1002/jmv.25636","http://dx.doi.org/10.1002/jmv.25636")</f>
        <v>http://dx.doi.org/10.1002/jmv.25636</v>
      </c>
      <c r="BG1535" s="2"/>
      <c r="BH1535" s="2" t="s">
        <v>26690</v>
      </c>
      <c r="BI1535" s="2" t="n">
        <v>6</v>
      </c>
      <c r="BJ1535" s="2" t="s">
        <v>163</v>
      </c>
      <c r="BK1535" s="2" t="s">
        <v>100</v>
      </c>
      <c r="BL1535" s="2" t="s">
        <v>163</v>
      </c>
      <c r="BM1535" s="2" t="s">
        <v>26691</v>
      </c>
      <c r="BN1535" s="2" t="n">
        <v>31769524</v>
      </c>
      <c r="BO1535" s="2" t="s">
        <v>136</v>
      </c>
      <c r="BP1535" s="2"/>
      <c r="BQ1535" s="2"/>
      <c r="BR1535" s="2" t="s">
        <v>104</v>
      </c>
      <c r="BS1535" s="2" t="s">
        <v>26692</v>
      </c>
      <c r="BT1535" s="2" t="str">
        <f aca="false">HYPERLINK("https%3A%2F%2Fwww.webofscience.com%2Fwos%2Fwoscc%2Ffull-record%2FWOS:000501415100001","View Full Record in Web of Science")</f>
        <v>View Full Record in Web of Science</v>
      </c>
    </row>
    <row r="1536" customFormat="false" ht="12.75" hidden="false" customHeight="false" outlineLevel="0" collapsed="false">
      <c r="A1536" s="2" t="s">
        <v>72</v>
      </c>
      <c r="B1536" s="2" t="s">
        <v>26693</v>
      </c>
      <c r="C1536" s="2"/>
      <c r="D1536" s="2"/>
      <c r="E1536" s="2"/>
      <c r="F1536" s="2" t="s">
        <v>26694</v>
      </c>
      <c r="G1536" s="2"/>
      <c r="H1536" s="2"/>
      <c r="I1536" s="2" t="s">
        <v>26695</v>
      </c>
      <c r="J1536" s="2" t="s">
        <v>141</v>
      </c>
      <c r="K1536" s="2"/>
      <c r="L1536" s="2"/>
      <c r="M1536" s="2" t="s">
        <v>77</v>
      </c>
      <c r="N1536" s="2" t="s">
        <v>78</v>
      </c>
      <c r="O1536" s="2"/>
      <c r="P1536" s="2"/>
      <c r="Q1536" s="2"/>
      <c r="R1536" s="2"/>
      <c r="S1536" s="2"/>
      <c r="T1536" s="2" t="s">
        <v>26696</v>
      </c>
      <c r="U1536" s="2" t="s">
        <v>26697</v>
      </c>
      <c r="V1536" s="2" t="s">
        <v>26698</v>
      </c>
      <c r="W1536" s="2" t="s">
        <v>26699</v>
      </c>
      <c r="X1536" s="2" t="s">
        <v>26700</v>
      </c>
      <c r="Y1536" s="2" t="s">
        <v>26701</v>
      </c>
      <c r="Z1536" s="2" t="s">
        <v>26702</v>
      </c>
      <c r="AA1536" s="2" t="s">
        <v>26703</v>
      </c>
      <c r="AB1536" s="2" t="s">
        <v>26704</v>
      </c>
      <c r="AC1536" s="2"/>
      <c r="AD1536" s="2"/>
      <c r="AE1536" s="2"/>
      <c r="AF1536" s="2"/>
      <c r="AG1536" s="2" t="n">
        <v>14</v>
      </c>
      <c r="AH1536" s="2" t="n">
        <v>4</v>
      </c>
      <c r="AI1536" s="2" t="n">
        <v>5</v>
      </c>
      <c r="AJ1536" s="2" t="n">
        <v>0</v>
      </c>
      <c r="AK1536" s="2" t="n">
        <v>5</v>
      </c>
      <c r="AL1536" s="2" t="s">
        <v>154</v>
      </c>
      <c r="AM1536" s="2" t="s">
        <v>155</v>
      </c>
      <c r="AN1536" s="2" t="s">
        <v>156</v>
      </c>
      <c r="AO1536" s="2" t="s">
        <v>157</v>
      </c>
      <c r="AP1536" s="2" t="s">
        <v>158</v>
      </c>
      <c r="AQ1536" s="2"/>
      <c r="AR1536" s="2" t="s">
        <v>159</v>
      </c>
      <c r="AS1536" s="2" t="s">
        <v>160</v>
      </c>
      <c r="AT1536" s="2" t="s">
        <v>486</v>
      </c>
      <c r="AU1536" s="2" t="n">
        <v>2018</v>
      </c>
      <c r="AV1536" s="2" t="n">
        <v>90</v>
      </c>
      <c r="AW1536" s="2" t="n">
        <v>6</v>
      </c>
      <c r="AX1536" s="2"/>
      <c r="AY1536" s="2"/>
      <c r="AZ1536" s="2"/>
      <c r="BA1536" s="2"/>
      <c r="BB1536" s="2" t="n">
        <v>1027</v>
      </c>
      <c r="BC1536" s="2" t="n">
        <v>1032</v>
      </c>
      <c r="BD1536" s="2"/>
      <c r="BE1536" s="2" t="s">
        <v>26705</v>
      </c>
      <c r="BF1536" s="2" t="str">
        <f aca="false">HYPERLINK("http://dx.doi.org/10.1002/jmv.25044","http://dx.doi.org/10.1002/jmv.25044")</f>
        <v>http://dx.doi.org/10.1002/jmv.25044</v>
      </c>
      <c r="BG1536" s="2"/>
      <c r="BH1536" s="2"/>
      <c r="BI1536" s="2" t="n">
        <v>6</v>
      </c>
      <c r="BJ1536" s="2" t="s">
        <v>163</v>
      </c>
      <c r="BK1536" s="2" t="s">
        <v>100</v>
      </c>
      <c r="BL1536" s="2" t="s">
        <v>163</v>
      </c>
      <c r="BM1536" s="2" t="s">
        <v>26706</v>
      </c>
      <c r="BN1536" s="2" t="n">
        <v>29424432</v>
      </c>
      <c r="BO1536" s="2"/>
      <c r="BP1536" s="2"/>
      <c r="BQ1536" s="2"/>
      <c r="BR1536" s="2" t="s">
        <v>104</v>
      </c>
      <c r="BS1536" s="2" t="s">
        <v>26707</v>
      </c>
      <c r="BT1536" s="2" t="str">
        <f aca="false">HYPERLINK("https%3A%2F%2Fwww.webofscience.com%2Fwos%2Fwoscc%2Ffull-record%2FWOS:000429421700004","View Full Record in Web of Science")</f>
        <v>View Full Record in Web of Science</v>
      </c>
    </row>
    <row r="1537" customFormat="false" ht="12.75" hidden="false" customHeight="false" outlineLevel="0" collapsed="false">
      <c r="A1537" s="2" t="s">
        <v>72</v>
      </c>
      <c r="B1537" s="2" t="s">
        <v>26708</v>
      </c>
      <c r="C1537" s="2"/>
      <c r="D1537" s="2"/>
      <c r="E1537" s="2"/>
      <c r="F1537" s="2" t="s">
        <v>26709</v>
      </c>
      <c r="G1537" s="2"/>
      <c r="H1537" s="2"/>
      <c r="I1537" s="2" t="s">
        <v>26710</v>
      </c>
      <c r="J1537" s="2" t="s">
        <v>141</v>
      </c>
      <c r="K1537" s="2"/>
      <c r="L1537" s="2"/>
      <c r="M1537" s="2" t="s">
        <v>77</v>
      </c>
      <c r="N1537" s="2" t="s">
        <v>78</v>
      </c>
      <c r="O1537" s="2"/>
      <c r="P1537" s="2"/>
      <c r="Q1537" s="2"/>
      <c r="R1537" s="2"/>
      <c r="S1537" s="2"/>
      <c r="T1537" s="2" t="s">
        <v>26711</v>
      </c>
      <c r="U1537" s="2" t="s">
        <v>26712</v>
      </c>
      <c r="V1537" s="2" t="s">
        <v>26713</v>
      </c>
      <c r="W1537" s="2" t="s">
        <v>26714</v>
      </c>
      <c r="X1537" s="2" t="s">
        <v>26715</v>
      </c>
      <c r="Y1537" s="2" t="s">
        <v>26716</v>
      </c>
      <c r="Z1537" s="2" t="s">
        <v>26717</v>
      </c>
      <c r="AA1537" s="2"/>
      <c r="AB1537" s="2"/>
      <c r="AC1537" s="2" t="s">
        <v>26718</v>
      </c>
      <c r="AD1537" s="2" t="s">
        <v>26719</v>
      </c>
      <c r="AE1537" s="2" t="s">
        <v>26720</v>
      </c>
      <c r="AF1537" s="2"/>
      <c r="AG1537" s="2" t="n">
        <v>33</v>
      </c>
      <c r="AH1537" s="2" t="n">
        <v>23</v>
      </c>
      <c r="AI1537" s="2" t="n">
        <v>26</v>
      </c>
      <c r="AJ1537" s="2" t="n">
        <v>0</v>
      </c>
      <c r="AK1537" s="2" t="n">
        <v>16</v>
      </c>
      <c r="AL1537" s="2" t="s">
        <v>154</v>
      </c>
      <c r="AM1537" s="2" t="s">
        <v>155</v>
      </c>
      <c r="AN1537" s="2" t="s">
        <v>156</v>
      </c>
      <c r="AO1537" s="2" t="s">
        <v>157</v>
      </c>
      <c r="AP1537" s="2" t="s">
        <v>158</v>
      </c>
      <c r="AQ1537" s="2"/>
      <c r="AR1537" s="2" t="s">
        <v>159</v>
      </c>
      <c r="AS1537" s="2" t="s">
        <v>160</v>
      </c>
      <c r="AT1537" s="2" t="s">
        <v>390</v>
      </c>
      <c r="AU1537" s="2" t="n">
        <v>2015</v>
      </c>
      <c r="AV1537" s="2" t="n">
        <v>87</v>
      </c>
      <c r="AW1537" s="2" t="n">
        <v>5</v>
      </c>
      <c r="AX1537" s="2"/>
      <c r="AY1537" s="2"/>
      <c r="AZ1537" s="2"/>
      <c r="BA1537" s="2"/>
      <c r="BB1537" s="2" t="n">
        <v>774</v>
      </c>
      <c r="BC1537" s="2" t="n">
        <v>781</v>
      </c>
      <c r="BD1537" s="2"/>
      <c r="BE1537" s="2" t="s">
        <v>26721</v>
      </c>
      <c r="BF1537" s="2" t="str">
        <f aca="false">HYPERLINK("http://dx.doi.org/10.1002/jmv.24139","http://dx.doi.org/10.1002/jmv.24139")</f>
        <v>http://dx.doi.org/10.1002/jmv.24139</v>
      </c>
      <c r="BG1537" s="2"/>
      <c r="BH1537" s="2"/>
      <c r="BI1537" s="2" t="n">
        <v>8</v>
      </c>
      <c r="BJ1537" s="2" t="s">
        <v>163</v>
      </c>
      <c r="BK1537" s="2" t="s">
        <v>100</v>
      </c>
      <c r="BL1537" s="2" t="s">
        <v>163</v>
      </c>
      <c r="BM1537" s="2" t="s">
        <v>26722</v>
      </c>
      <c r="BN1537" s="2" t="n">
        <v>25648409</v>
      </c>
      <c r="BO1537" s="2" t="s">
        <v>695</v>
      </c>
      <c r="BP1537" s="2"/>
      <c r="BQ1537" s="2"/>
      <c r="BR1537" s="2" t="s">
        <v>104</v>
      </c>
      <c r="BS1537" s="2" t="s">
        <v>26723</v>
      </c>
      <c r="BT1537" s="2" t="str">
        <f aca="false">HYPERLINK("https%3A%2F%2Fwww.webofscience.com%2Fwos%2Fwoscc%2Ffull-record%2FWOS:000351465000007","View Full Record in Web of Science")</f>
        <v>View Full Record in Web of Science</v>
      </c>
    </row>
    <row r="1538" customFormat="false" ht="12.75" hidden="false" customHeight="false" outlineLevel="0" collapsed="false">
      <c r="A1538" s="2" t="s">
        <v>72</v>
      </c>
      <c r="B1538" s="2" t="s">
        <v>26724</v>
      </c>
      <c r="C1538" s="2"/>
      <c r="D1538" s="2"/>
      <c r="E1538" s="2"/>
      <c r="F1538" s="2" t="s">
        <v>26725</v>
      </c>
      <c r="G1538" s="2"/>
      <c r="H1538" s="2"/>
      <c r="I1538" s="2" t="s">
        <v>26726</v>
      </c>
      <c r="J1538" s="2" t="s">
        <v>514</v>
      </c>
      <c r="K1538" s="2"/>
      <c r="L1538" s="2"/>
      <c r="M1538" s="2" t="s">
        <v>77</v>
      </c>
      <c r="N1538" s="2" t="s">
        <v>78</v>
      </c>
      <c r="O1538" s="2"/>
      <c r="P1538" s="2"/>
      <c r="Q1538" s="2"/>
      <c r="R1538" s="2"/>
      <c r="S1538" s="2"/>
      <c r="T1538" s="2" t="s">
        <v>26727</v>
      </c>
      <c r="U1538" s="2" t="s">
        <v>26728</v>
      </c>
      <c r="V1538" s="2" t="s">
        <v>26729</v>
      </c>
      <c r="W1538" s="2" t="s">
        <v>26730</v>
      </c>
      <c r="X1538" s="2" t="s">
        <v>26731</v>
      </c>
      <c r="Y1538" s="2" t="s">
        <v>26732</v>
      </c>
      <c r="Z1538" s="2" t="s">
        <v>26733</v>
      </c>
      <c r="AA1538" s="2"/>
      <c r="AB1538" s="2"/>
      <c r="AC1538" s="2" t="s">
        <v>26734</v>
      </c>
      <c r="AD1538" s="2" t="s">
        <v>26735</v>
      </c>
      <c r="AE1538" s="2" t="s">
        <v>26736</v>
      </c>
      <c r="AF1538" s="2"/>
      <c r="AG1538" s="2" t="n">
        <v>41</v>
      </c>
      <c r="AH1538" s="2" t="n">
        <v>81</v>
      </c>
      <c r="AI1538" s="2" t="n">
        <v>90</v>
      </c>
      <c r="AJ1538" s="2" t="n">
        <v>0</v>
      </c>
      <c r="AK1538" s="2" t="n">
        <v>7</v>
      </c>
      <c r="AL1538" s="2" t="s">
        <v>527</v>
      </c>
      <c r="AM1538" s="2" t="s">
        <v>528</v>
      </c>
      <c r="AN1538" s="2" t="s">
        <v>529</v>
      </c>
      <c r="AO1538" s="2" t="s">
        <v>530</v>
      </c>
      <c r="AP1538" s="2" t="s">
        <v>531</v>
      </c>
      <c r="AQ1538" s="2"/>
      <c r="AR1538" s="2" t="s">
        <v>532</v>
      </c>
      <c r="AS1538" s="2" t="s">
        <v>533</v>
      </c>
      <c r="AT1538" s="2" t="s">
        <v>1855</v>
      </c>
      <c r="AU1538" s="2" t="n">
        <v>2014</v>
      </c>
      <c r="AV1538" s="2" t="n">
        <v>210</v>
      </c>
      <c r="AW1538" s="2" t="n">
        <v>11</v>
      </c>
      <c r="AX1538" s="2"/>
      <c r="AY1538" s="2"/>
      <c r="AZ1538" s="2"/>
      <c r="BA1538" s="2"/>
      <c r="BB1538" s="2" t="n">
        <v>1792</v>
      </c>
      <c r="BC1538" s="2" t="n">
        <v>1799</v>
      </c>
      <c r="BD1538" s="2"/>
      <c r="BE1538" s="2" t="s">
        <v>26737</v>
      </c>
      <c r="BF1538" s="2" t="str">
        <f aca="false">HYPERLINK("http://dx.doi.org/10.1093/infdis/jiu327","http://dx.doi.org/10.1093/infdis/jiu327")</f>
        <v>http://dx.doi.org/10.1093/infdis/jiu327</v>
      </c>
      <c r="BG1538" s="2"/>
      <c r="BH1538" s="2"/>
      <c r="BI1538" s="2" t="n">
        <v>8</v>
      </c>
      <c r="BJ1538" s="2" t="s">
        <v>536</v>
      </c>
      <c r="BK1538" s="2" t="s">
        <v>100</v>
      </c>
      <c r="BL1538" s="2" t="s">
        <v>536</v>
      </c>
      <c r="BM1538" s="2" t="s">
        <v>26738</v>
      </c>
      <c r="BN1538" s="2" t="n">
        <v>24907381</v>
      </c>
      <c r="BO1538" s="2" t="s">
        <v>25108</v>
      </c>
      <c r="BP1538" s="2"/>
      <c r="BQ1538" s="2"/>
      <c r="BR1538" s="2" t="s">
        <v>104</v>
      </c>
      <c r="BS1538" s="2" t="s">
        <v>26739</v>
      </c>
      <c r="BT1538" s="2" t="str">
        <f aca="false">HYPERLINK("https%3A%2F%2Fwww.webofscience.com%2Fwos%2Fwoscc%2Ffull-record%2FWOS:000345771000013","View Full Record in Web of Science")</f>
        <v>View Full Record in Web of Science</v>
      </c>
    </row>
    <row r="1539" customFormat="false" ht="12.75" hidden="false" customHeight="false" outlineLevel="0" collapsed="false">
      <c r="A1539" s="2" t="s">
        <v>72</v>
      </c>
      <c r="B1539" s="2" t="s">
        <v>26740</v>
      </c>
      <c r="C1539" s="2"/>
      <c r="D1539" s="2"/>
      <c r="E1539" s="2"/>
      <c r="F1539" s="2" t="s">
        <v>26741</v>
      </c>
      <c r="G1539" s="2"/>
      <c r="H1539" s="2"/>
      <c r="I1539" s="2" t="s">
        <v>26742</v>
      </c>
      <c r="J1539" s="2" t="s">
        <v>6822</v>
      </c>
      <c r="K1539" s="2"/>
      <c r="L1539" s="2"/>
      <c r="M1539" s="2" t="s">
        <v>77</v>
      </c>
      <c r="N1539" s="2" t="s">
        <v>78</v>
      </c>
      <c r="O1539" s="2"/>
      <c r="P1539" s="2"/>
      <c r="Q1539" s="2"/>
      <c r="R1539" s="2"/>
      <c r="S1539" s="2"/>
      <c r="T1539" s="2" t="s">
        <v>26743</v>
      </c>
      <c r="U1539" s="2" t="s">
        <v>26744</v>
      </c>
      <c r="V1539" s="2" t="s">
        <v>26745</v>
      </c>
      <c r="W1539" s="2" t="s">
        <v>26746</v>
      </c>
      <c r="X1539" s="2" t="s">
        <v>26747</v>
      </c>
      <c r="Y1539" s="2" t="s">
        <v>26748</v>
      </c>
      <c r="Z1539" s="2" t="s">
        <v>26749</v>
      </c>
      <c r="AA1539" s="2"/>
      <c r="AB1539" s="2"/>
      <c r="AC1539" s="2" t="s">
        <v>26750</v>
      </c>
      <c r="AD1539" s="2" t="s">
        <v>26751</v>
      </c>
      <c r="AE1539" s="2" t="s">
        <v>26752</v>
      </c>
      <c r="AF1539" s="2"/>
      <c r="AG1539" s="2" t="n">
        <v>41</v>
      </c>
      <c r="AH1539" s="2" t="n">
        <v>12</v>
      </c>
      <c r="AI1539" s="2" t="n">
        <v>12</v>
      </c>
      <c r="AJ1539" s="2" t="n">
        <v>0</v>
      </c>
      <c r="AK1539" s="2" t="n">
        <v>2</v>
      </c>
      <c r="AL1539" s="2" t="s">
        <v>6833</v>
      </c>
      <c r="AM1539" s="2" t="s">
        <v>593</v>
      </c>
      <c r="AN1539" s="2" t="s">
        <v>6834</v>
      </c>
      <c r="AO1539" s="2" t="s">
        <v>6835</v>
      </c>
      <c r="AP1539" s="2" t="s">
        <v>6836</v>
      </c>
      <c r="AQ1539" s="2"/>
      <c r="AR1539" s="2" t="s">
        <v>6837</v>
      </c>
      <c r="AS1539" s="2" t="s">
        <v>6838</v>
      </c>
      <c r="AT1539" s="2" t="s">
        <v>599</v>
      </c>
      <c r="AU1539" s="2" t="n">
        <v>2016</v>
      </c>
      <c r="AV1539" s="2" t="n">
        <v>144</v>
      </c>
      <c r="AW1539" s="2" t="n">
        <v>10</v>
      </c>
      <c r="AX1539" s="2"/>
      <c r="AY1539" s="2"/>
      <c r="AZ1539" s="2"/>
      <c r="BA1539" s="2"/>
      <c r="BB1539" s="2" t="n">
        <v>2077</v>
      </c>
      <c r="BC1539" s="2" t="n">
        <v>2086</v>
      </c>
      <c r="BD1539" s="2"/>
      <c r="BE1539" s="2" t="s">
        <v>26753</v>
      </c>
      <c r="BF1539" s="2" t="str">
        <f aca="false">HYPERLINK("http://dx.doi.org/10.1017/S0950268816000315","http://dx.doi.org/10.1017/S0950268816000315")</f>
        <v>http://dx.doi.org/10.1017/S0950268816000315</v>
      </c>
      <c r="BG1539" s="2"/>
      <c r="BH1539" s="2"/>
      <c r="BI1539" s="2" t="n">
        <v>10</v>
      </c>
      <c r="BJ1539" s="2" t="s">
        <v>2113</v>
      </c>
      <c r="BK1539" s="2" t="s">
        <v>100</v>
      </c>
      <c r="BL1539" s="2" t="s">
        <v>2113</v>
      </c>
      <c r="BM1539" s="2" t="s">
        <v>26754</v>
      </c>
      <c r="BN1539" s="2" t="n">
        <v>26931351</v>
      </c>
      <c r="BO1539" s="2" t="s">
        <v>2178</v>
      </c>
      <c r="BP1539" s="2"/>
      <c r="BQ1539" s="2"/>
      <c r="BR1539" s="2" t="s">
        <v>104</v>
      </c>
      <c r="BS1539" s="2" t="s">
        <v>26755</v>
      </c>
      <c r="BT1539" s="2" t="str">
        <f aca="false">HYPERLINK("https%3A%2F%2Fwww.webofscience.com%2Fwos%2Fwoscc%2Ffull-record%2FWOS:000379785600007","View Full Record in Web of Science")</f>
        <v>View Full Record in Web of Science</v>
      </c>
    </row>
    <row r="1540" customFormat="false" ht="12.75" hidden="false" customHeight="false" outlineLevel="0" collapsed="false">
      <c r="A1540" s="2" t="s">
        <v>72</v>
      </c>
      <c r="B1540" s="2" t="s">
        <v>26756</v>
      </c>
      <c r="C1540" s="2"/>
      <c r="D1540" s="2"/>
      <c r="E1540" s="2"/>
      <c r="F1540" s="2" t="s">
        <v>26757</v>
      </c>
      <c r="G1540" s="2"/>
      <c r="H1540" s="2"/>
      <c r="I1540" s="2" t="s">
        <v>26758</v>
      </c>
      <c r="J1540" s="2" t="s">
        <v>8394</v>
      </c>
      <c r="K1540" s="2"/>
      <c r="L1540" s="2"/>
      <c r="M1540" s="2" t="s">
        <v>77</v>
      </c>
      <c r="N1540" s="2" t="s">
        <v>78</v>
      </c>
      <c r="O1540" s="2"/>
      <c r="P1540" s="2"/>
      <c r="Q1540" s="2"/>
      <c r="R1540" s="2"/>
      <c r="S1540" s="2"/>
      <c r="T1540" s="2" t="s">
        <v>26759</v>
      </c>
      <c r="U1540" s="2" t="s">
        <v>26760</v>
      </c>
      <c r="V1540" s="2" t="s">
        <v>26761</v>
      </c>
      <c r="W1540" s="2" t="s">
        <v>26762</v>
      </c>
      <c r="X1540" s="2" t="s">
        <v>26763</v>
      </c>
      <c r="Y1540" s="2" t="s">
        <v>9616</v>
      </c>
      <c r="Z1540" s="2" t="s">
        <v>749</v>
      </c>
      <c r="AA1540" s="2" t="s">
        <v>26764</v>
      </c>
      <c r="AB1540" s="2" t="s">
        <v>26765</v>
      </c>
      <c r="AC1540" s="2" t="s">
        <v>26766</v>
      </c>
      <c r="AD1540" s="2" t="s">
        <v>26767</v>
      </c>
      <c r="AE1540" s="2" t="s">
        <v>26768</v>
      </c>
      <c r="AF1540" s="2"/>
      <c r="AG1540" s="2" t="n">
        <v>13</v>
      </c>
      <c r="AH1540" s="2" t="n">
        <v>9</v>
      </c>
      <c r="AI1540" s="2" t="n">
        <v>12</v>
      </c>
      <c r="AJ1540" s="2" t="n">
        <v>0</v>
      </c>
      <c r="AK1540" s="2" t="n">
        <v>4</v>
      </c>
      <c r="AL1540" s="2" t="s">
        <v>7639</v>
      </c>
      <c r="AM1540" s="2" t="s">
        <v>783</v>
      </c>
      <c r="AN1540" s="2" t="s">
        <v>7640</v>
      </c>
      <c r="AO1540" s="2" t="s">
        <v>8402</v>
      </c>
      <c r="AP1540" s="2" t="s">
        <v>8403</v>
      </c>
      <c r="AQ1540" s="2"/>
      <c r="AR1540" s="2" t="s">
        <v>8404</v>
      </c>
      <c r="AS1540" s="2" t="s">
        <v>8405</v>
      </c>
      <c r="AT1540" s="2" t="s">
        <v>486</v>
      </c>
      <c r="AU1540" s="2" t="n">
        <v>2018</v>
      </c>
      <c r="AV1540" s="2" t="n">
        <v>7</v>
      </c>
      <c r="AW1540" s="2" t="n">
        <v>2</v>
      </c>
      <c r="AX1540" s="2"/>
      <c r="AY1540" s="2"/>
      <c r="AZ1540" s="2"/>
      <c r="BA1540" s="2"/>
      <c r="BB1540" s="2" t="n">
        <v>165</v>
      </c>
      <c r="BC1540" s="2" t="n">
        <v>168</v>
      </c>
      <c r="BD1540" s="2"/>
      <c r="BE1540" s="2" t="s">
        <v>26769</v>
      </c>
      <c r="BF1540" s="2" t="str">
        <f aca="false">HYPERLINK("http://dx.doi.org/10.1093/jpids/pix012","http://dx.doi.org/10.1093/jpids/pix012")</f>
        <v>http://dx.doi.org/10.1093/jpids/pix012</v>
      </c>
      <c r="BG1540" s="2"/>
      <c r="BH1540" s="2"/>
      <c r="BI1540" s="2" t="n">
        <v>4</v>
      </c>
      <c r="BJ1540" s="2" t="s">
        <v>417</v>
      </c>
      <c r="BK1540" s="2" t="s">
        <v>100</v>
      </c>
      <c r="BL1540" s="2" t="s">
        <v>417</v>
      </c>
      <c r="BM1540" s="2" t="s">
        <v>26770</v>
      </c>
      <c r="BN1540" s="2" t="n">
        <v>28369564</v>
      </c>
      <c r="BO1540" s="2" t="s">
        <v>538</v>
      </c>
      <c r="BP1540" s="2"/>
      <c r="BQ1540" s="2"/>
      <c r="BR1540" s="2" t="s">
        <v>104</v>
      </c>
      <c r="BS1540" s="2" t="s">
        <v>26771</v>
      </c>
      <c r="BT1540" s="2" t="str">
        <f aca="false">HYPERLINK("https%3A%2F%2Fwww.webofscience.com%2Fwos%2Fwoscc%2Ffull-record%2FWOS:000433878000024","View Full Record in Web of Science")</f>
        <v>View Full Record in Web of Science</v>
      </c>
    </row>
    <row r="1541" customFormat="false" ht="12.75" hidden="false" customHeight="false" outlineLevel="0" collapsed="false">
      <c r="A1541" s="2" t="s">
        <v>72</v>
      </c>
      <c r="B1541" s="2" t="s">
        <v>26772</v>
      </c>
      <c r="C1541" s="2"/>
      <c r="D1541" s="2"/>
      <c r="E1541" s="2"/>
      <c r="F1541" s="2" t="s">
        <v>26773</v>
      </c>
      <c r="G1541" s="2"/>
      <c r="H1541" s="2" t="s">
        <v>10913</v>
      </c>
      <c r="I1541" s="2" t="s">
        <v>26774</v>
      </c>
      <c r="J1541" s="2" t="s">
        <v>109</v>
      </c>
      <c r="K1541" s="2"/>
      <c r="L1541" s="2"/>
      <c r="M1541" s="2" t="s">
        <v>77</v>
      </c>
      <c r="N1541" s="2" t="s">
        <v>78</v>
      </c>
      <c r="O1541" s="2"/>
      <c r="P1541" s="2"/>
      <c r="Q1541" s="2"/>
      <c r="R1541" s="2"/>
      <c r="S1541" s="2"/>
      <c r="T1541" s="2" t="s">
        <v>26775</v>
      </c>
      <c r="U1541" s="2" t="s">
        <v>26776</v>
      </c>
      <c r="V1541" s="2" t="s">
        <v>26777</v>
      </c>
      <c r="W1541" s="2" t="s">
        <v>26778</v>
      </c>
      <c r="X1541" s="2" t="s">
        <v>2825</v>
      </c>
      <c r="Y1541" s="2" t="s">
        <v>26779</v>
      </c>
      <c r="Z1541" s="2" t="s">
        <v>26780</v>
      </c>
      <c r="AA1541" s="2" t="s">
        <v>4265</v>
      </c>
      <c r="AB1541" s="2" t="s">
        <v>4266</v>
      </c>
      <c r="AC1541" s="2" t="s">
        <v>26781</v>
      </c>
      <c r="AD1541" s="2" t="s">
        <v>26782</v>
      </c>
      <c r="AE1541" s="2" t="s">
        <v>26783</v>
      </c>
      <c r="AF1541" s="2"/>
      <c r="AG1541" s="2" t="n">
        <v>67</v>
      </c>
      <c r="AH1541" s="2" t="n">
        <v>19</v>
      </c>
      <c r="AI1541" s="2" t="n">
        <v>19</v>
      </c>
      <c r="AJ1541" s="2" t="n">
        <v>0</v>
      </c>
      <c r="AK1541" s="2" t="n">
        <v>4</v>
      </c>
      <c r="AL1541" s="2" t="s">
        <v>122</v>
      </c>
      <c r="AM1541" s="2" t="s">
        <v>123</v>
      </c>
      <c r="AN1541" s="2" t="s">
        <v>124</v>
      </c>
      <c r="AO1541" s="2" t="s">
        <v>125</v>
      </c>
      <c r="AP1541" s="2" t="s">
        <v>126</v>
      </c>
      <c r="AQ1541" s="2"/>
      <c r="AR1541" s="2" t="s">
        <v>127</v>
      </c>
      <c r="AS1541" s="2" t="s">
        <v>128</v>
      </c>
      <c r="AT1541" s="2" t="s">
        <v>336</v>
      </c>
      <c r="AU1541" s="2" t="n">
        <v>2015</v>
      </c>
      <c r="AV1541" s="2" t="n">
        <v>34</v>
      </c>
      <c r="AW1541" s="2" t="n">
        <v>10</v>
      </c>
      <c r="AX1541" s="2"/>
      <c r="AY1541" s="2"/>
      <c r="AZ1541" s="2"/>
      <c r="BA1541" s="2"/>
      <c r="BB1541" s="2" t="n">
        <v>1074</v>
      </c>
      <c r="BC1541" s="2" t="n">
        <v>1080</v>
      </c>
      <c r="BD1541" s="2"/>
      <c r="BE1541" s="2" t="s">
        <v>26784</v>
      </c>
      <c r="BF1541" s="2" t="str">
        <f aca="false">HYPERLINK("http://dx.doi.org/10.1097/INF.0000000000000812","http://dx.doi.org/10.1097/INF.0000000000000812")</f>
        <v>http://dx.doi.org/10.1097/INF.0000000000000812</v>
      </c>
      <c r="BG1541" s="2"/>
      <c r="BH1541" s="2"/>
      <c r="BI1541" s="2" t="n">
        <v>7</v>
      </c>
      <c r="BJ1541" s="2" t="s">
        <v>134</v>
      </c>
      <c r="BK1541" s="2" t="s">
        <v>100</v>
      </c>
      <c r="BL1541" s="2" t="s">
        <v>134</v>
      </c>
      <c r="BM1541" s="2" t="s">
        <v>8771</v>
      </c>
      <c r="BN1541" s="2" t="n">
        <v>26121205</v>
      </c>
      <c r="BO1541" s="2" t="s">
        <v>695</v>
      </c>
      <c r="BP1541" s="2"/>
      <c r="BQ1541" s="2"/>
      <c r="BR1541" s="2" t="s">
        <v>104</v>
      </c>
      <c r="BS1541" s="2" t="s">
        <v>26785</v>
      </c>
      <c r="BT1541" s="2" t="str">
        <f aca="false">HYPERLINK("https%3A%2F%2Fwww.webofscience.com%2Fwos%2Fwoscc%2Ffull-record%2FWOS:000369587000014","View Full Record in Web of Science")</f>
        <v>View Full Record in Web of Science</v>
      </c>
    </row>
    <row r="1542" customFormat="false" ht="12.75" hidden="false" customHeight="false" outlineLevel="0" collapsed="false">
      <c r="A1542" s="2" t="s">
        <v>72</v>
      </c>
      <c r="B1542" s="2" t="s">
        <v>26786</v>
      </c>
      <c r="C1542" s="2"/>
      <c r="D1542" s="2"/>
      <c r="E1542" s="2"/>
      <c r="F1542" s="2" t="s">
        <v>26787</v>
      </c>
      <c r="G1542" s="2"/>
      <c r="H1542" s="2"/>
      <c r="I1542" s="2" t="s">
        <v>26788</v>
      </c>
      <c r="J1542" s="2" t="s">
        <v>10441</v>
      </c>
      <c r="K1542" s="2"/>
      <c r="L1542" s="2"/>
      <c r="M1542" s="2" t="s">
        <v>77</v>
      </c>
      <c r="N1542" s="2" t="s">
        <v>78</v>
      </c>
      <c r="O1542" s="2"/>
      <c r="P1542" s="2"/>
      <c r="Q1542" s="2"/>
      <c r="R1542" s="2"/>
      <c r="S1542" s="2"/>
      <c r="T1542" s="2" t="s">
        <v>26789</v>
      </c>
      <c r="U1542" s="2" t="s">
        <v>26790</v>
      </c>
      <c r="V1542" s="2" t="s">
        <v>26791</v>
      </c>
      <c r="W1542" s="2" t="s">
        <v>26792</v>
      </c>
      <c r="X1542" s="2" t="s">
        <v>26793</v>
      </c>
      <c r="Y1542" s="2" t="s">
        <v>26794</v>
      </c>
      <c r="Z1542" s="2" t="s">
        <v>26795</v>
      </c>
      <c r="AA1542" s="2"/>
      <c r="AB1542" s="2" t="s">
        <v>26796</v>
      </c>
      <c r="AC1542" s="2" t="s">
        <v>26797</v>
      </c>
      <c r="AD1542" s="2" t="s">
        <v>26798</v>
      </c>
      <c r="AE1542" s="2" t="s">
        <v>26799</v>
      </c>
      <c r="AF1542" s="2"/>
      <c r="AG1542" s="2" t="n">
        <v>40</v>
      </c>
      <c r="AH1542" s="2" t="n">
        <v>13</v>
      </c>
      <c r="AI1542" s="2" t="n">
        <v>14</v>
      </c>
      <c r="AJ1542" s="2" t="n">
        <v>0</v>
      </c>
      <c r="AK1542" s="2" t="n">
        <v>4</v>
      </c>
      <c r="AL1542" s="2" t="s">
        <v>154</v>
      </c>
      <c r="AM1542" s="2" t="s">
        <v>155</v>
      </c>
      <c r="AN1542" s="2" t="s">
        <v>156</v>
      </c>
      <c r="AO1542" s="2" t="s">
        <v>10453</v>
      </c>
      <c r="AP1542" s="2" t="s">
        <v>14215</v>
      </c>
      <c r="AQ1542" s="2"/>
      <c r="AR1542" s="2" t="s">
        <v>10454</v>
      </c>
      <c r="AS1542" s="2" t="s">
        <v>10455</v>
      </c>
      <c r="AT1542" s="2" t="s">
        <v>446</v>
      </c>
      <c r="AU1542" s="2" t="n">
        <v>2013</v>
      </c>
      <c r="AV1542" s="2" t="n">
        <v>57</v>
      </c>
      <c r="AW1542" s="2" t="n">
        <v>12</v>
      </c>
      <c r="AX1542" s="2"/>
      <c r="AY1542" s="2"/>
      <c r="AZ1542" s="2"/>
      <c r="BA1542" s="2"/>
      <c r="BB1542" s="2" t="n">
        <v>811</v>
      </c>
      <c r="BC1542" s="2" t="n">
        <v>821</v>
      </c>
      <c r="BD1542" s="2"/>
      <c r="BE1542" s="2" t="s">
        <v>26800</v>
      </c>
      <c r="BF1542" s="2" t="str">
        <f aca="false">HYPERLINK("http://dx.doi.org/10.1111/1348-0421.12102","http://dx.doi.org/10.1111/1348-0421.12102")</f>
        <v>http://dx.doi.org/10.1111/1348-0421.12102</v>
      </c>
      <c r="BG1542" s="2"/>
      <c r="BH1542" s="2"/>
      <c r="BI1542" s="2" t="n">
        <v>11</v>
      </c>
      <c r="BJ1542" s="2" t="s">
        <v>2364</v>
      </c>
      <c r="BK1542" s="2" t="s">
        <v>100</v>
      </c>
      <c r="BL1542" s="2" t="s">
        <v>2364</v>
      </c>
      <c r="BM1542" s="2" t="s">
        <v>26801</v>
      </c>
      <c r="BN1542" s="2" t="n">
        <v>24117766</v>
      </c>
      <c r="BO1542" s="2" t="s">
        <v>656</v>
      </c>
      <c r="BP1542" s="2"/>
      <c r="BQ1542" s="2"/>
      <c r="BR1542" s="2" t="s">
        <v>104</v>
      </c>
      <c r="BS1542" s="2" t="s">
        <v>26802</v>
      </c>
      <c r="BT1542" s="2" t="str">
        <f aca="false">HYPERLINK("https%3A%2F%2Fwww.webofscience.com%2Fwos%2Fwoscc%2Ffull-record%2FWOS:000328157200003","View Full Record in Web of Science")</f>
        <v>View Full Record in Web of Science</v>
      </c>
    </row>
    <row r="1543" customFormat="false" ht="12.75" hidden="false" customHeight="false" outlineLevel="0" collapsed="false">
      <c r="A1543" s="2" t="s">
        <v>72</v>
      </c>
      <c r="B1543" s="2" t="s">
        <v>26803</v>
      </c>
      <c r="C1543" s="2"/>
      <c r="D1543" s="2"/>
      <c r="E1543" s="2"/>
      <c r="F1543" s="2" t="s">
        <v>26804</v>
      </c>
      <c r="G1543" s="2"/>
      <c r="H1543" s="2"/>
      <c r="I1543" s="2" t="s">
        <v>26805</v>
      </c>
      <c r="J1543" s="2" t="s">
        <v>109</v>
      </c>
      <c r="K1543" s="2"/>
      <c r="L1543" s="2"/>
      <c r="M1543" s="2" t="s">
        <v>77</v>
      </c>
      <c r="N1543" s="2" t="s">
        <v>78</v>
      </c>
      <c r="O1543" s="2"/>
      <c r="P1543" s="2"/>
      <c r="Q1543" s="2"/>
      <c r="R1543" s="2"/>
      <c r="S1543" s="2"/>
      <c r="T1543" s="2" t="s">
        <v>26806</v>
      </c>
      <c r="U1543" s="2" t="s">
        <v>26807</v>
      </c>
      <c r="V1543" s="2" t="s">
        <v>26808</v>
      </c>
      <c r="W1543" s="2" t="s">
        <v>26809</v>
      </c>
      <c r="X1543" s="2" t="s">
        <v>26810</v>
      </c>
      <c r="Y1543" s="2" t="s">
        <v>26811</v>
      </c>
      <c r="Z1543" s="2" t="s">
        <v>26812</v>
      </c>
      <c r="AA1543" s="2"/>
      <c r="AB1543" s="2" t="s">
        <v>26813</v>
      </c>
      <c r="AC1543" s="2"/>
      <c r="AD1543" s="2"/>
      <c r="AE1543" s="2"/>
      <c r="AF1543" s="2"/>
      <c r="AG1543" s="2" t="n">
        <v>36</v>
      </c>
      <c r="AH1543" s="2" t="n">
        <v>24</v>
      </c>
      <c r="AI1543" s="2" t="n">
        <v>26</v>
      </c>
      <c r="AJ1543" s="2" t="n">
        <v>0</v>
      </c>
      <c r="AK1543" s="2" t="n">
        <v>3</v>
      </c>
      <c r="AL1543" s="2" t="s">
        <v>122</v>
      </c>
      <c r="AM1543" s="2" t="s">
        <v>123</v>
      </c>
      <c r="AN1543" s="2" t="s">
        <v>124</v>
      </c>
      <c r="AO1543" s="2" t="s">
        <v>125</v>
      </c>
      <c r="AP1543" s="2" t="s">
        <v>126</v>
      </c>
      <c r="AQ1543" s="2"/>
      <c r="AR1543" s="2" t="s">
        <v>127</v>
      </c>
      <c r="AS1543" s="2" t="s">
        <v>128</v>
      </c>
      <c r="AT1543" s="2" t="s">
        <v>97</v>
      </c>
      <c r="AU1543" s="2" t="n">
        <v>2017</v>
      </c>
      <c r="AV1543" s="2" t="n">
        <v>36</v>
      </c>
      <c r="AW1543" s="2" t="n">
        <v>3</v>
      </c>
      <c r="AX1543" s="2"/>
      <c r="AY1543" s="2"/>
      <c r="AZ1543" s="2"/>
      <c r="BA1543" s="2"/>
      <c r="BB1543" s="2" t="n">
        <v>290</v>
      </c>
      <c r="BC1543" s="2" t="n">
        <v>295</v>
      </c>
      <c r="BD1543" s="2"/>
      <c r="BE1543" s="2" t="s">
        <v>26814</v>
      </c>
      <c r="BF1543" s="2" t="str">
        <f aca="false">HYPERLINK("http://dx.doi.org/10.1097/INF.0000000000001421","http://dx.doi.org/10.1097/INF.0000000000001421")</f>
        <v>http://dx.doi.org/10.1097/INF.0000000000001421</v>
      </c>
      <c r="BG1543" s="2"/>
      <c r="BH1543" s="2"/>
      <c r="BI1543" s="2" t="n">
        <v>6</v>
      </c>
      <c r="BJ1543" s="2" t="s">
        <v>134</v>
      </c>
      <c r="BK1543" s="2" t="s">
        <v>100</v>
      </c>
      <c r="BL1543" s="2" t="s">
        <v>134</v>
      </c>
      <c r="BM1543" s="2" t="s">
        <v>26815</v>
      </c>
      <c r="BN1543" s="2" t="n">
        <v>28187115</v>
      </c>
      <c r="BO1543" s="2"/>
      <c r="BP1543" s="2"/>
      <c r="BQ1543" s="2"/>
      <c r="BR1543" s="2" t="s">
        <v>104</v>
      </c>
      <c r="BS1543" s="2" t="s">
        <v>26816</v>
      </c>
      <c r="BT1543" s="2" t="str">
        <f aca="false">HYPERLINK("https%3A%2F%2Fwww.webofscience.com%2Fwos%2Fwoscc%2Ffull-record%2FWOS:000394357300013","View Full Record in Web of Science")</f>
        <v>View Full Record in Web of Science</v>
      </c>
    </row>
    <row r="1544" customFormat="false" ht="12.75" hidden="false" customHeight="false" outlineLevel="0" collapsed="false">
      <c r="A1544" s="2" t="s">
        <v>72</v>
      </c>
      <c r="B1544" s="2" t="s">
        <v>26817</v>
      </c>
      <c r="C1544" s="2"/>
      <c r="D1544" s="2"/>
      <c r="E1544" s="2"/>
      <c r="F1544" s="2" t="s">
        <v>26818</v>
      </c>
      <c r="G1544" s="2"/>
      <c r="H1544" s="2"/>
      <c r="I1544" s="2" t="s">
        <v>26819</v>
      </c>
      <c r="J1544" s="2" t="s">
        <v>8394</v>
      </c>
      <c r="K1544" s="2"/>
      <c r="L1544" s="2"/>
      <c r="M1544" s="2" t="s">
        <v>77</v>
      </c>
      <c r="N1544" s="2" t="s">
        <v>78</v>
      </c>
      <c r="O1544" s="2"/>
      <c r="P1544" s="2"/>
      <c r="Q1544" s="2"/>
      <c r="R1544" s="2"/>
      <c r="S1544" s="2"/>
      <c r="T1544" s="2" t="s">
        <v>26820</v>
      </c>
      <c r="U1544" s="2" t="s">
        <v>26821</v>
      </c>
      <c r="V1544" s="2" t="s">
        <v>26822</v>
      </c>
      <c r="W1544" s="2" t="s">
        <v>26823</v>
      </c>
      <c r="X1544" s="2" t="s">
        <v>26824</v>
      </c>
      <c r="Y1544" s="2" t="s">
        <v>26825</v>
      </c>
      <c r="Z1544" s="2" t="s">
        <v>26826</v>
      </c>
      <c r="AA1544" s="2" t="s">
        <v>26827</v>
      </c>
      <c r="AB1544" s="2" t="s">
        <v>26828</v>
      </c>
      <c r="AC1544" s="2" t="s">
        <v>26829</v>
      </c>
      <c r="AD1544" s="2" t="s">
        <v>26830</v>
      </c>
      <c r="AE1544" s="2" t="s">
        <v>26831</v>
      </c>
      <c r="AF1544" s="2"/>
      <c r="AG1544" s="2" t="n">
        <v>27</v>
      </c>
      <c r="AH1544" s="2" t="n">
        <v>8</v>
      </c>
      <c r="AI1544" s="2" t="n">
        <v>8</v>
      </c>
      <c r="AJ1544" s="2" t="n">
        <v>0</v>
      </c>
      <c r="AK1544" s="2" t="n">
        <v>1</v>
      </c>
      <c r="AL1544" s="2" t="s">
        <v>7639</v>
      </c>
      <c r="AM1544" s="2" t="s">
        <v>783</v>
      </c>
      <c r="AN1544" s="2" t="s">
        <v>7640</v>
      </c>
      <c r="AO1544" s="2" t="s">
        <v>8402</v>
      </c>
      <c r="AP1544" s="2" t="s">
        <v>8403</v>
      </c>
      <c r="AQ1544" s="2"/>
      <c r="AR1544" s="2" t="s">
        <v>8404</v>
      </c>
      <c r="AS1544" s="2" t="s">
        <v>8405</v>
      </c>
      <c r="AT1544" s="2" t="s">
        <v>12139</v>
      </c>
      <c r="AU1544" s="2" t="n">
        <v>2022</v>
      </c>
      <c r="AV1544" s="2" t="n">
        <v>11</v>
      </c>
      <c r="AW1544" s="2" t="n">
        <v>10</v>
      </c>
      <c r="AX1544" s="2"/>
      <c r="AY1544" s="2"/>
      <c r="AZ1544" s="2"/>
      <c r="BA1544" s="2"/>
      <c r="BB1544" s="2" t="n">
        <v>430</v>
      </c>
      <c r="BC1544" s="2" t="n">
        <v>439</v>
      </c>
      <c r="BD1544" s="2"/>
      <c r="BE1544" s="2" t="s">
        <v>26832</v>
      </c>
      <c r="BF1544" s="2" t="str">
        <f aca="false">HYPERLINK("http://dx.doi.org/10.1093/jpids/piac066","http://dx.doi.org/10.1093/jpids/piac066")</f>
        <v>http://dx.doi.org/10.1093/jpids/piac066</v>
      </c>
      <c r="BG1544" s="2"/>
      <c r="BH1544" s="2" t="s">
        <v>12940</v>
      </c>
      <c r="BI1544" s="2" t="n">
        <v>10</v>
      </c>
      <c r="BJ1544" s="2" t="s">
        <v>417</v>
      </c>
      <c r="BK1544" s="2" t="s">
        <v>100</v>
      </c>
      <c r="BL1544" s="2" t="s">
        <v>417</v>
      </c>
      <c r="BM1544" s="2" t="s">
        <v>26833</v>
      </c>
      <c r="BN1544" s="2" t="n">
        <v>35849119</v>
      </c>
      <c r="BO1544" s="2"/>
      <c r="BP1544" s="2"/>
      <c r="BQ1544" s="2"/>
      <c r="BR1544" s="2" t="s">
        <v>104</v>
      </c>
      <c r="BS1544" s="2" t="s">
        <v>26834</v>
      </c>
      <c r="BT1544" s="2" t="str">
        <f aca="false">HYPERLINK("https%3A%2F%2Fwww.webofscience.com%2Fwos%2Fwoscc%2Ffull-record%2FWOS:000826624400001","View Full Record in Web of Science")</f>
        <v>View Full Record in Web of Science</v>
      </c>
    </row>
    <row r="1545" customFormat="false" ht="12.75" hidden="false" customHeight="false" outlineLevel="0" collapsed="false">
      <c r="A1545" s="2" t="s">
        <v>72</v>
      </c>
      <c r="B1545" s="2" t="s">
        <v>26835</v>
      </c>
      <c r="C1545" s="2"/>
      <c r="D1545" s="2"/>
      <c r="E1545" s="2"/>
      <c r="F1545" s="2" t="s">
        <v>26836</v>
      </c>
      <c r="G1545" s="2"/>
      <c r="H1545" s="2"/>
      <c r="I1545" s="2" t="s">
        <v>26837</v>
      </c>
      <c r="J1545" s="2" t="s">
        <v>770</v>
      </c>
      <c r="K1545" s="2"/>
      <c r="L1545" s="2"/>
      <c r="M1545" s="2" t="s">
        <v>77</v>
      </c>
      <c r="N1545" s="2" t="s">
        <v>78</v>
      </c>
      <c r="O1545" s="2"/>
      <c r="P1545" s="2"/>
      <c r="Q1545" s="2"/>
      <c r="R1545" s="2"/>
      <c r="S1545" s="2"/>
      <c r="T1545" s="2" t="s">
        <v>26838</v>
      </c>
      <c r="U1545" s="2" t="s">
        <v>26839</v>
      </c>
      <c r="V1545" s="2" t="s">
        <v>26840</v>
      </c>
      <c r="W1545" s="2" t="s">
        <v>26841</v>
      </c>
      <c r="X1545" s="2" t="s">
        <v>26842</v>
      </c>
      <c r="Y1545" s="2" t="s">
        <v>26843</v>
      </c>
      <c r="Z1545" s="2" t="s">
        <v>26844</v>
      </c>
      <c r="AA1545" s="2" t="s">
        <v>26845</v>
      </c>
      <c r="AB1545" s="2" t="s">
        <v>26846</v>
      </c>
      <c r="AC1545" s="2" t="s">
        <v>26847</v>
      </c>
      <c r="AD1545" s="2" t="s">
        <v>26847</v>
      </c>
      <c r="AE1545" s="2" t="s">
        <v>26848</v>
      </c>
      <c r="AF1545" s="2"/>
      <c r="AG1545" s="2" t="n">
        <v>36</v>
      </c>
      <c r="AH1545" s="2" t="n">
        <v>3</v>
      </c>
      <c r="AI1545" s="2" t="n">
        <v>3</v>
      </c>
      <c r="AJ1545" s="2" t="n">
        <v>0</v>
      </c>
      <c r="AK1545" s="2" t="n">
        <v>5</v>
      </c>
      <c r="AL1545" s="2" t="s">
        <v>782</v>
      </c>
      <c r="AM1545" s="2" t="s">
        <v>783</v>
      </c>
      <c r="AN1545" s="2" t="s">
        <v>784</v>
      </c>
      <c r="AO1545" s="2" t="s">
        <v>785</v>
      </c>
      <c r="AP1545" s="2" t="s">
        <v>786</v>
      </c>
      <c r="AQ1545" s="2"/>
      <c r="AR1545" s="2" t="s">
        <v>787</v>
      </c>
      <c r="AS1545" s="2" t="s">
        <v>788</v>
      </c>
      <c r="AT1545" s="2" t="s">
        <v>692</v>
      </c>
      <c r="AU1545" s="2" t="n">
        <v>2019</v>
      </c>
      <c r="AV1545" s="2" t="n">
        <v>81</v>
      </c>
      <c r="AW1545" s="2"/>
      <c r="AX1545" s="2"/>
      <c r="AY1545" s="2"/>
      <c r="AZ1545" s="2"/>
      <c r="BA1545" s="2"/>
      <c r="BB1545" s="2" t="n">
        <v>176</v>
      </c>
      <c r="BC1545" s="2" t="n">
        <v>183</v>
      </c>
      <c r="BD1545" s="2"/>
      <c r="BE1545" s="2" t="s">
        <v>26849</v>
      </c>
      <c r="BF1545" s="2" t="str">
        <f aca="false">HYPERLINK("http://dx.doi.org/10.1016/j.ijid.2019.02.003","http://dx.doi.org/10.1016/j.ijid.2019.02.003")</f>
        <v>http://dx.doi.org/10.1016/j.ijid.2019.02.003</v>
      </c>
      <c r="BG1545" s="2"/>
      <c r="BH1545" s="2"/>
      <c r="BI1545" s="2" t="n">
        <v>8</v>
      </c>
      <c r="BJ1545" s="2" t="s">
        <v>575</v>
      </c>
      <c r="BK1545" s="2" t="s">
        <v>100</v>
      </c>
      <c r="BL1545" s="2" t="s">
        <v>575</v>
      </c>
      <c r="BM1545" s="2" t="s">
        <v>26850</v>
      </c>
      <c r="BN1545" s="2" t="n">
        <v>30772468</v>
      </c>
      <c r="BO1545" s="2" t="s">
        <v>190</v>
      </c>
      <c r="BP1545" s="2"/>
      <c r="BQ1545" s="2"/>
      <c r="BR1545" s="2" t="s">
        <v>104</v>
      </c>
      <c r="BS1545" s="2" t="s">
        <v>26851</v>
      </c>
      <c r="BT1545" s="2" t="str">
        <f aca="false">HYPERLINK("https%3A%2F%2Fwww.webofscience.com%2Fwos%2Fwoscc%2Ffull-record%2FWOS:000463889700033","View Full Record in Web of Science")</f>
        <v>View Full Record in Web of Science</v>
      </c>
    </row>
    <row r="1546" customFormat="false" ht="12.75" hidden="false" customHeight="false" outlineLevel="0" collapsed="false">
      <c r="A1546" s="2" t="s">
        <v>72</v>
      </c>
      <c r="B1546" s="2" t="s">
        <v>26852</v>
      </c>
      <c r="C1546" s="2"/>
      <c r="D1546" s="2"/>
      <c r="E1546" s="2"/>
      <c r="F1546" s="2" t="s">
        <v>26853</v>
      </c>
      <c r="G1546" s="2"/>
      <c r="H1546" s="2"/>
      <c r="I1546" s="2" t="s">
        <v>26854</v>
      </c>
      <c r="J1546" s="2" t="s">
        <v>20688</v>
      </c>
      <c r="K1546" s="2"/>
      <c r="L1546" s="2"/>
      <c r="M1546" s="2" t="s">
        <v>77</v>
      </c>
      <c r="N1546" s="2" t="s">
        <v>78</v>
      </c>
      <c r="O1546" s="2"/>
      <c r="P1546" s="2"/>
      <c r="Q1546" s="2"/>
      <c r="R1546" s="2"/>
      <c r="S1546" s="2"/>
      <c r="T1546" s="2" t="s">
        <v>26855</v>
      </c>
      <c r="U1546" s="2" t="s">
        <v>26856</v>
      </c>
      <c r="V1546" s="2" t="s">
        <v>26857</v>
      </c>
      <c r="W1546" s="2" t="s">
        <v>26858</v>
      </c>
      <c r="X1546" s="2" t="s">
        <v>26859</v>
      </c>
      <c r="Y1546" s="2" t="s">
        <v>26860</v>
      </c>
      <c r="Z1546" s="2" t="s">
        <v>26861</v>
      </c>
      <c r="AA1546" s="2" t="s">
        <v>26862</v>
      </c>
      <c r="AB1546" s="2" t="s">
        <v>26863</v>
      </c>
      <c r="AC1546" s="2" t="s">
        <v>26864</v>
      </c>
      <c r="AD1546" s="2" t="s">
        <v>26865</v>
      </c>
      <c r="AE1546" s="2" t="s">
        <v>26866</v>
      </c>
      <c r="AF1546" s="2"/>
      <c r="AG1546" s="2" t="n">
        <v>34</v>
      </c>
      <c r="AH1546" s="2" t="n">
        <v>2</v>
      </c>
      <c r="AI1546" s="2" t="n">
        <v>2</v>
      </c>
      <c r="AJ1546" s="2" t="n">
        <v>0</v>
      </c>
      <c r="AK1546" s="2" t="n">
        <v>2</v>
      </c>
      <c r="AL1546" s="2" t="s">
        <v>383</v>
      </c>
      <c r="AM1546" s="2" t="s">
        <v>384</v>
      </c>
      <c r="AN1546" s="2" t="s">
        <v>385</v>
      </c>
      <c r="AO1546" s="2" t="s">
        <v>20695</v>
      </c>
      <c r="AP1546" s="2" t="s">
        <v>20696</v>
      </c>
      <c r="AQ1546" s="2"/>
      <c r="AR1546" s="2" t="s">
        <v>20688</v>
      </c>
      <c r="AS1546" s="2" t="s">
        <v>20697</v>
      </c>
      <c r="AT1546" s="2" t="s">
        <v>446</v>
      </c>
      <c r="AU1546" s="2" t="n">
        <v>2023</v>
      </c>
      <c r="AV1546" s="2" t="n">
        <v>164</v>
      </c>
      <c r="AW1546" s="2" t="n">
        <v>6</v>
      </c>
      <c r="AX1546" s="2"/>
      <c r="AY1546" s="2"/>
      <c r="AZ1546" s="2"/>
      <c r="BA1546" s="2"/>
      <c r="BB1546" s="2" t="n">
        <v>1364</v>
      </c>
      <c r="BC1546" s="2" t="n">
        <v>1377</v>
      </c>
      <c r="BD1546" s="2"/>
      <c r="BE1546" s="2" t="s">
        <v>26867</v>
      </c>
      <c r="BF1546" s="2" t="str">
        <f aca="false">HYPERLINK("http://dx.doi.org/10.1016/j.chest.2023.07.4222","http://dx.doi.org/10.1016/j.chest.2023.07.4222")</f>
        <v>http://dx.doi.org/10.1016/j.chest.2023.07.4222</v>
      </c>
      <c r="BG1546" s="2"/>
      <c r="BH1546" s="2" t="s">
        <v>3590</v>
      </c>
      <c r="BI1546" s="2" t="n">
        <v>14</v>
      </c>
      <c r="BJ1546" s="2" t="s">
        <v>2962</v>
      </c>
      <c r="BK1546" s="2" t="s">
        <v>100</v>
      </c>
      <c r="BL1546" s="2" t="s">
        <v>2963</v>
      </c>
      <c r="BM1546" s="2" t="s">
        <v>26868</v>
      </c>
      <c r="BN1546" s="2" t="n">
        <v>37567412</v>
      </c>
      <c r="BO1546" s="2" t="s">
        <v>656</v>
      </c>
      <c r="BP1546" s="2"/>
      <c r="BQ1546" s="2"/>
      <c r="BR1546" s="2" t="s">
        <v>104</v>
      </c>
      <c r="BS1546" s="2" t="s">
        <v>26869</v>
      </c>
      <c r="BT1546" s="2" t="str">
        <f aca="false">HYPERLINK("https%3A%2F%2Fwww.webofscience.com%2Fwos%2Fwoscc%2Ffull-record%2FWOS:001135859100001","View Full Record in Web of Science")</f>
        <v>View Full Record in Web of Science</v>
      </c>
    </row>
    <row r="1547" customFormat="false" ht="12.75" hidden="false" customHeight="false" outlineLevel="0" collapsed="false">
      <c r="A1547" s="2" t="s">
        <v>72</v>
      </c>
      <c r="B1547" s="2" t="s">
        <v>26870</v>
      </c>
      <c r="C1547" s="2"/>
      <c r="D1547" s="2"/>
      <c r="E1547" s="2"/>
      <c r="F1547" s="2" t="s">
        <v>26871</v>
      </c>
      <c r="G1547" s="2"/>
      <c r="H1547" s="2"/>
      <c r="I1547" s="2" t="s">
        <v>26872</v>
      </c>
      <c r="J1547" s="2" t="s">
        <v>971</v>
      </c>
      <c r="K1547" s="2"/>
      <c r="L1547" s="2"/>
      <c r="M1547" s="2" t="s">
        <v>77</v>
      </c>
      <c r="N1547" s="2" t="s">
        <v>78</v>
      </c>
      <c r="O1547" s="2"/>
      <c r="P1547" s="2"/>
      <c r="Q1547" s="2"/>
      <c r="R1547" s="2"/>
      <c r="S1547" s="2"/>
      <c r="T1547" s="2" t="s">
        <v>26873</v>
      </c>
      <c r="U1547" s="2" t="s">
        <v>26874</v>
      </c>
      <c r="V1547" s="2" t="s">
        <v>26875</v>
      </c>
      <c r="W1547" s="2" t="s">
        <v>26876</v>
      </c>
      <c r="X1547" s="2" t="s">
        <v>1016</v>
      </c>
      <c r="Y1547" s="2" t="s">
        <v>26877</v>
      </c>
      <c r="Z1547" s="2" t="s">
        <v>1018</v>
      </c>
      <c r="AA1547" s="2"/>
      <c r="AB1547" s="2" t="s">
        <v>4580</v>
      </c>
      <c r="AC1547" s="2"/>
      <c r="AD1547" s="2"/>
      <c r="AE1547" s="2"/>
      <c r="AF1547" s="2"/>
      <c r="AG1547" s="2" t="n">
        <v>172</v>
      </c>
      <c r="AH1547" s="2" t="n">
        <v>52</v>
      </c>
      <c r="AI1547" s="2" t="n">
        <v>58</v>
      </c>
      <c r="AJ1547" s="2" t="n">
        <v>0</v>
      </c>
      <c r="AK1547" s="2" t="n">
        <v>20</v>
      </c>
      <c r="AL1547" s="2" t="s">
        <v>957</v>
      </c>
      <c r="AM1547" s="2" t="s">
        <v>123</v>
      </c>
      <c r="AN1547" s="2" t="s">
        <v>958</v>
      </c>
      <c r="AO1547" s="2" t="s">
        <v>982</v>
      </c>
      <c r="AP1547" s="2" t="s">
        <v>983</v>
      </c>
      <c r="AQ1547" s="2"/>
      <c r="AR1547" s="2" t="s">
        <v>984</v>
      </c>
      <c r="AS1547" s="2" t="s">
        <v>985</v>
      </c>
      <c r="AT1547" s="2" t="s">
        <v>97</v>
      </c>
      <c r="AU1547" s="2" t="n">
        <v>2017</v>
      </c>
      <c r="AV1547" s="2" t="n">
        <v>38</v>
      </c>
      <c r="AW1547" s="2" t="n">
        <v>1</v>
      </c>
      <c r="AX1547" s="2"/>
      <c r="AY1547" s="2"/>
      <c r="AZ1547" s="2"/>
      <c r="BA1547" s="2"/>
      <c r="BB1547" s="2" t="n">
        <v>113</v>
      </c>
      <c r="BC1547" s="2" t="s">
        <v>986</v>
      </c>
      <c r="BD1547" s="2"/>
      <c r="BE1547" s="2" t="s">
        <v>26878</v>
      </c>
      <c r="BF1547" s="2" t="str">
        <f aca="false">HYPERLINK("http://dx.doi.org/10.1016/j.ccm.2016.11.013","http://dx.doi.org/10.1016/j.ccm.2016.11.013")</f>
        <v>http://dx.doi.org/10.1016/j.ccm.2016.11.013</v>
      </c>
      <c r="BG1547" s="2"/>
      <c r="BH1547" s="2"/>
      <c r="BI1547" s="2" t="n">
        <v>14</v>
      </c>
      <c r="BJ1547" s="2" t="s">
        <v>338</v>
      </c>
      <c r="BK1547" s="2" t="s">
        <v>100</v>
      </c>
      <c r="BL1547" s="2" t="s">
        <v>338</v>
      </c>
      <c r="BM1547" s="2" t="s">
        <v>988</v>
      </c>
      <c r="BN1547" s="2" t="n">
        <v>28159154</v>
      </c>
      <c r="BO1547" s="2" t="s">
        <v>165</v>
      </c>
      <c r="BP1547" s="2"/>
      <c r="BQ1547" s="2"/>
      <c r="BR1547" s="2" t="s">
        <v>104</v>
      </c>
      <c r="BS1547" s="2" t="s">
        <v>26879</v>
      </c>
      <c r="BT1547" s="2" t="str">
        <f aca="false">HYPERLINK("https%3A%2F%2Fwww.webofscience.com%2Fwos%2Fwoscc%2Ffull-record%2FWOS:000396387100012","View Full Record in Web of Science")</f>
        <v>View Full Record in Web of Science</v>
      </c>
    </row>
    <row r="1548" customFormat="false" ht="12.75" hidden="false" customHeight="false" outlineLevel="0" collapsed="false">
      <c r="A1548" s="2" t="s">
        <v>72</v>
      </c>
      <c r="B1548" s="2" t="s">
        <v>26880</v>
      </c>
      <c r="C1548" s="2"/>
      <c r="D1548" s="2"/>
      <c r="E1548" s="2"/>
      <c r="F1548" s="2" t="s">
        <v>26881</v>
      </c>
      <c r="G1548" s="2"/>
      <c r="H1548" s="2"/>
      <c r="I1548" s="2" t="s">
        <v>26882</v>
      </c>
      <c r="J1548" s="2" t="s">
        <v>11019</v>
      </c>
      <c r="K1548" s="2"/>
      <c r="L1548" s="2"/>
      <c r="M1548" s="2" t="s">
        <v>77</v>
      </c>
      <c r="N1548" s="2" t="s">
        <v>78</v>
      </c>
      <c r="O1548" s="2"/>
      <c r="P1548" s="2"/>
      <c r="Q1548" s="2"/>
      <c r="R1548" s="2"/>
      <c r="S1548" s="2"/>
      <c r="T1548" s="2" t="s">
        <v>26883</v>
      </c>
      <c r="U1548" s="2" t="s">
        <v>26884</v>
      </c>
      <c r="V1548" s="2" t="s">
        <v>26885</v>
      </c>
      <c r="W1548" s="2" t="s">
        <v>26886</v>
      </c>
      <c r="X1548" s="2" t="s">
        <v>26887</v>
      </c>
      <c r="Y1548" s="2" t="s">
        <v>26888</v>
      </c>
      <c r="Z1548" s="2" t="s">
        <v>26889</v>
      </c>
      <c r="AA1548" s="2"/>
      <c r="AB1548" s="2" t="s">
        <v>26890</v>
      </c>
      <c r="AC1548" s="2" t="s">
        <v>26891</v>
      </c>
      <c r="AD1548" s="2" t="s">
        <v>26891</v>
      </c>
      <c r="AE1548" s="2" t="s">
        <v>26892</v>
      </c>
      <c r="AF1548" s="2"/>
      <c r="AG1548" s="2" t="n">
        <v>19</v>
      </c>
      <c r="AH1548" s="2" t="n">
        <v>16</v>
      </c>
      <c r="AI1548" s="2" t="n">
        <v>18</v>
      </c>
      <c r="AJ1548" s="2" t="n">
        <v>0</v>
      </c>
      <c r="AK1548" s="2" t="n">
        <v>6</v>
      </c>
      <c r="AL1548" s="2" t="s">
        <v>154</v>
      </c>
      <c r="AM1548" s="2" t="s">
        <v>155</v>
      </c>
      <c r="AN1548" s="2" t="s">
        <v>156</v>
      </c>
      <c r="AO1548" s="2" t="s">
        <v>11028</v>
      </c>
      <c r="AP1548" s="2" t="s">
        <v>11029</v>
      </c>
      <c r="AQ1548" s="2"/>
      <c r="AR1548" s="2" t="s">
        <v>11030</v>
      </c>
      <c r="AS1548" s="2" t="s">
        <v>11031</v>
      </c>
      <c r="AT1548" s="2" t="s">
        <v>97</v>
      </c>
      <c r="AU1548" s="2" t="n">
        <v>2022</v>
      </c>
      <c r="AV1548" s="2" t="n">
        <v>16</v>
      </c>
      <c r="AW1548" s="2" t="n">
        <v>2</v>
      </c>
      <c r="AX1548" s="2"/>
      <c r="AY1548" s="2"/>
      <c r="AZ1548" s="2"/>
      <c r="BA1548" s="2"/>
      <c r="BB1548" s="2" t="n">
        <v>298</v>
      </c>
      <c r="BC1548" s="2" t="n">
        <v>307</v>
      </c>
      <c r="BD1548" s="2"/>
      <c r="BE1548" s="2" t="s">
        <v>26893</v>
      </c>
      <c r="BF1548" s="2" t="str">
        <f aca="false">HYPERLINK("http://dx.doi.org/10.1111/irv.12928","http://dx.doi.org/10.1111/irv.12928")</f>
        <v>http://dx.doi.org/10.1111/irv.12928</v>
      </c>
      <c r="BG1548" s="2"/>
      <c r="BH1548" s="2" t="s">
        <v>3879</v>
      </c>
      <c r="BI1548" s="2" t="n">
        <v>10</v>
      </c>
      <c r="BJ1548" s="2" t="s">
        <v>8287</v>
      </c>
      <c r="BK1548" s="2" t="s">
        <v>100</v>
      </c>
      <c r="BL1548" s="2" t="s">
        <v>8287</v>
      </c>
      <c r="BM1548" s="2" t="s">
        <v>25174</v>
      </c>
      <c r="BN1548" s="2" t="n">
        <v>34730287</v>
      </c>
      <c r="BO1548" s="2" t="s">
        <v>165</v>
      </c>
      <c r="BP1548" s="2"/>
      <c r="BQ1548" s="2"/>
      <c r="BR1548" s="2" t="s">
        <v>104</v>
      </c>
      <c r="BS1548" s="2" t="s">
        <v>26894</v>
      </c>
      <c r="BT1548" s="2" t="str">
        <f aca="false">HYPERLINK("https%3A%2F%2Fwww.webofscience.com%2Fwos%2Fwoscc%2Ffull-record%2FWOS:000714091100001","View Full Record in Web of Science")</f>
        <v>View Full Record in Web of Science</v>
      </c>
    </row>
    <row r="1549" customFormat="false" ht="12.75" hidden="false" customHeight="false" outlineLevel="0" collapsed="false">
      <c r="A1549" s="2" t="s">
        <v>72</v>
      </c>
      <c r="B1549" s="2" t="s">
        <v>26895</v>
      </c>
      <c r="C1549" s="2"/>
      <c r="D1549" s="2"/>
      <c r="E1549" s="2"/>
      <c r="F1549" s="2" t="s">
        <v>26896</v>
      </c>
      <c r="G1549" s="2"/>
      <c r="H1549" s="2"/>
      <c r="I1549" s="2" t="s">
        <v>26897</v>
      </c>
      <c r="J1549" s="2" t="s">
        <v>7379</v>
      </c>
      <c r="K1549" s="2"/>
      <c r="L1549" s="2"/>
      <c r="M1549" s="2" t="s">
        <v>77</v>
      </c>
      <c r="N1549" s="2" t="s">
        <v>78</v>
      </c>
      <c r="O1549" s="2"/>
      <c r="P1549" s="2"/>
      <c r="Q1549" s="2"/>
      <c r="R1549" s="2"/>
      <c r="S1549" s="2"/>
      <c r="T1549" s="2" t="s">
        <v>26898</v>
      </c>
      <c r="U1549" s="2" t="s">
        <v>26899</v>
      </c>
      <c r="V1549" s="2" t="s">
        <v>26900</v>
      </c>
      <c r="W1549" s="2" t="s">
        <v>26901</v>
      </c>
      <c r="X1549" s="2" t="s">
        <v>26902</v>
      </c>
      <c r="Y1549" s="2" t="s">
        <v>26903</v>
      </c>
      <c r="Z1549" s="2" t="s">
        <v>26904</v>
      </c>
      <c r="AA1549" s="2" t="s">
        <v>26905</v>
      </c>
      <c r="AB1549" s="2" t="s">
        <v>26906</v>
      </c>
      <c r="AC1549" s="2" t="s">
        <v>26907</v>
      </c>
      <c r="AD1549" s="2" t="s">
        <v>25357</v>
      </c>
      <c r="AE1549" s="2" t="s">
        <v>26908</v>
      </c>
      <c r="AF1549" s="2"/>
      <c r="AG1549" s="2" t="n">
        <v>35</v>
      </c>
      <c r="AH1549" s="2" t="n">
        <v>94</v>
      </c>
      <c r="AI1549" s="2" t="n">
        <v>96</v>
      </c>
      <c r="AJ1549" s="2" t="n">
        <v>0</v>
      </c>
      <c r="AK1549" s="2" t="n">
        <v>1</v>
      </c>
      <c r="AL1549" s="2" t="s">
        <v>154</v>
      </c>
      <c r="AM1549" s="2" t="s">
        <v>155</v>
      </c>
      <c r="AN1549" s="2" t="s">
        <v>156</v>
      </c>
      <c r="AO1549" s="2" t="s">
        <v>7389</v>
      </c>
      <c r="AP1549" s="2" t="s">
        <v>7390</v>
      </c>
      <c r="AQ1549" s="2"/>
      <c r="AR1549" s="2" t="s">
        <v>7391</v>
      </c>
      <c r="AS1549" s="2" t="s">
        <v>7392</v>
      </c>
      <c r="AT1549" s="2" t="s">
        <v>390</v>
      </c>
      <c r="AU1549" s="2" t="n">
        <v>2011</v>
      </c>
      <c r="AV1549" s="2" t="n">
        <v>11</v>
      </c>
      <c r="AW1549" s="2" t="n">
        <v>5</v>
      </c>
      <c r="AX1549" s="2"/>
      <c r="AY1549" s="2"/>
      <c r="AZ1549" s="2"/>
      <c r="BA1549" s="2"/>
      <c r="BB1549" s="2" t="n">
        <v>1071</v>
      </c>
      <c r="BC1549" s="2" t="n">
        <v>1078</v>
      </c>
      <c r="BD1549" s="2"/>
      <c r="BE1549" s="2" t="s">
        <v>26909</v>
      </c>
      <c r="BF1549" s="2" t="str">
        <f aca="false">HYPERLINK("http://dx.doi.org/10.1111/j.1600-6143.2011.03490.x","http://dx.doi.org/10.1111/j.1600-6143.2011.03490.x")</f>
        <v>http://dx.doi.org/10.1111/j.1600-6143.2011.03490.x</v>
      </c>
      <c r="BG1549" s="2"/>
      <c r="BH1549" s="2"/>
      <c r="BI1549" s="2" t="n">
        <v>8</v>
      </c>
      <c r="BJ1549" s="2" t="s">
        <v>7394</v>
      </c>
      <c r="BK1549" s="2" t="s">
        <v>100</v>
      </c>
      <c r="BL1549" s="2" t="s">
        <v>7394</v>
      </c>
      <c r="BM1549" s="2" t="s">
        <v>26910</v>
      </c>
      <c r="BN1549" s="2" t="n">
        <v>21521473</v>
      </c>
      <c r="BO1549" s="2" t="s">
        <v>136</v>
      </c>
      <c r="BP1549" s="2"/>
      <c r="BQ1549" s="2"/>
      <c r="BR1549" s="2" t="s">
        <v>104</v>
      </c>
      <c r="BS1549" s="2" t="s">
        <v>26911</v>
      </c>
      <c r="BT1549" s="2" t="str">
        <f aca="false">HYPERLINK("https%3A%2F%2Fwww.webofscience.com%2Fwos%2Fwoscc%2Ffull-record%2FWOS:000289897000030","View Full Record in Web of Science")</f>
        <v>View Full Record in Web of Science</v>
      </c>
    </row>
    <row r="1550" customFormat="false" ht="12.75" hidden="false" customHeight="false" outlineLevel="0" collapsed="false">
      <c r="A1550" s="2" t="s">
        <v>72</v>
      </c>
      <c r="B1550" s="2" t="s">
        <v>26912</v>
      </c>
      <c r="C1550" s="2"/>
      <c r="D1550" s="2"/>
      <c r="E1550" s="2"/>
      <c r="F1550" s="2" t="s">
        <v>26913</v>
      </c>
      <c r="G1550" s="2"/>
      <c r="H1550" s="2"/>
      <c r="I1550" s="2" t="s">
        <v>26914</v>
      </c>
      <c r="J1550" s="2" t="s">
        <v>26915</v>
      </c>
      <c r="K1550" s="2"/>
      <c r="L1550" s="2"/>
      <c r="M1550" s="2" t="s">
        <v>77</v>
      </c>
      <c r="N1550" s="2" t="s">
        <v>78</v>
      </c>
      <c r="O1550" s="2"/>
      <c r="P1550" s="2"/>
      <c r="Q1550" s="2"/>
      <c r="R1550" s="2"/>
      <c r="S1550" s="2"/>
      <c r="T1550" s="2" t="s">
        <v>26916</v>
      </c>
      <c r="U1550" s="2" t="s">
        <v>26917</v>
      </c>
      <c r="V1550" s="2" t="s">
        <v>26918</v>
      </c>
      <c r="W1550" s="2" t="s">
        <v>26919</v>
      </c>
      <c r="X1550" s="2" t="s">
        <v>26920</v>
      </c>
      <c r="Y1550" s="2" t="s">
        <v>26921</v>
      </c>
      <c r="Z1550" s="2" t="s">
        <v>26922</v>
      </c>
      <c r="AA1550" s="2"/>
      <c r="AB1550" s="2"/>
      <c r="AC1550" s="2" t="s">
        <v>26923</v>
      </c>
      <c r="AD1550" s="2" t="s">
        <v>26924</v>
      </c>
      <c r="AE1550" s="2" t="s">
        <v>26925</v>
      </c>
      <c r="AF1550" s="2"/>
      <c r="AG1550" s="2" t="n">
        <v>37</v>
      </c>
      <c r="AH1550" s="2" t="n">
        <v>8</v>
      </c>
      <c r="AI1550" s="2" t="n">
        <v>8</v>
      </c>
      <c r="AJ1550" s="2" t="n">
        <v>0</v>
      </c>
      <c r="AK1550" s="2" t="n">
        <v>3</v>
      </c>
      <c r="AL1550" s="2" t="s">
        <v>782</v>
      </c>
      <c r="AM1550" s="2" t="s">
        <v>783</v>
      </c>
      <c r="AN1550" s="2" t="s">
        <v>784</v>
      </c>
      <c r="AO1550" s="2" t="s">
        <v>26926</v>
      </c>
      <c r="AP1550" s="2" t="s">
        <v>26927</v>
      </c>
      <c r="AQ1550" s="2"/>
      <c r="AR1550" s="2" t="s">
        <v>26915</v>
      </c>
      <c r="AS1550" s="2" t="s">
        <v>26928</v>
      </c>
      <c r="AT1550" s="2" t="s">
        <v>486</v>
      </c>
      <c r="AU1550" s="2" t="n">
        <v>2009</v>
      </c>
      <c r="AV1550" s="2" t="n">
        <v>36</v>
      </c>
      <c r="AW1550" s="2" t="n">
        <v>3</v>
      </c>
      <c r="AX1550" s="2"/>
      <c r="AY1550" s="2"/>
      <c r="AZ1550" s="2"/>
      <c r="BA1550" s="2"/>
      <c r="BB1550" s="2" t="n">
        <v>314</v>
      </c>
      <c r="BC1550" s="2" t="n">
        <v>320</v>
      </c>
      <c r="BD1550" s="2"/>
      <c r="BE1550" s="2" t="s">
        <v>26929</v>
      </c>
      <c r="BF1550" s="2" t="str">
        <f aca="false">HYPERLINK("http://dx.doi.org/10.1016/j.anl.2008.07.001","http://dx.doi.org/10.1016/j.anl.2008.07.001")</f>
        <v>http://dx.doi.org/10.1016/j.anl.2008.07.001</v>
      </c>
      <c r="BG1550" s="2"/>
      <c r="BH1550" s="2"/>
      <c r="BI1550" s="2" t="n">
        <v>7</v>
      </c>
      <c r="BJ1550" s="2" t="s">
        <v>23811</v>
      </c>
      <c r="BK1550" s="2" t="s">
        <v>100</v>
      </c>
      <c r="BL1550" s="2" t="s">
        <v>23811</v>
      </c>
      <c r="BM1550" s="2" t="s">
        <v>26930</v>
      </c>
      <c r="BN1550" s="2" t="n">
        <v>18774249</v>
      </c>
      <c r="BO1550" s="2" t="s">
        <v>165</v>
      </c>
      <c r="BP1550" s="2"/>
      <c r="BQ1550" s="2"/>
      <c r="BR1550" s="2" t="s">
        <v>104</v>
      </c>
      <c r="BS1550" s="2" t="s">
        <v>26931</v>
      </c>
      <c r="BT1550" s="2" t="str">
        <f aca="false">HYPERLINK("https%3A%2F%2Fwww.webofscience.com%2Fwos%2Fwoscc%2Ffull-record%2FWOS:000266083700011","View Full Record in Web of Science")</f>
        <v>View Full Record in Web of Science</v>
      </c>
    </row>
    <row r="1551" customFormat="false" ht="12.75" hidden="false" customHeight="false" outlineLevel="0" collapsed="false">
      <c r="A1551" s="2" t="s">
        <v>72</v>
      </c>
      <c r="B1551" s="2" t="s">
        <v>26932</v>
      </c>
      <c r="C1551" s="2"/>
      <c r="D1551" s="2"/>
      <c r="E1551" s="2"/>
      <c r="F1551" s="2" t="s">
        <v>26933</v>
      </c>
      <c r="G1551" s="2"/>
      <c r="H1551" s="2"/>
      <c r="I1551" s="2" t="s">
        <v>26934</v>
      </c>
      <c r="J1551" s="2" t="s">
        <v>1232</v>
      </c>
      <c r="K1551" s="2"/>
      <c r="L1551" s="2"/>
      <c r="M1551" s="2" t="s">
        <v>77</v>
      </c>
      <c r="N1551" s="2" t="s">
        <v>78</v>
      </c>
      <c r="O1551" s="2"/>
      <c r="P1551" s="2"/>
      <c r="Q1551" s="2"/>
      <c r="R1551" s="2"/>
      <c r="S1551" s="2"/>
      <c r="T1551" s="2" t="s">
        <v>26935</v>
      </c>
      <c r="U1551" s="2" t="s">
        <v>13795</v>
      </c>
      <c r="V1551" s="2" t="s">
        <v>26936</v>
      </c>
      <c r="W1551" s="2" t="s">
        <v>26937</v>
      </c>
      <c r="X1551" s="2"/>
      <c r="Y1551" s="2" t="s">
        <v>26938</v>
      </c>
      <c r="Z1551" s="2" t="s">
        <v>26939</v>
      </c>
      <c r="AA1551" s="2" t="s">
        <v>26940</v>
      </c>
      <c r="AB1551" s="2" t="s">
        <v>26941</v>
      </c>
      <c r="AC1551" s="2"/>
      <c r="AD1551" s="2"/>
      <c r="AE1551" s="2"/>
      <c r="AF1551" s="2"/>
      <c r="AG1551" s="2" t="n">
        <v>13</v>
      </c>
      <c r="AH1551" s="2" t="n">
        <v>0</v>
      </c>
      <c r="AI1551" s="2" t="n">
        <v>0</v>
      </c>
      <c r="AJ1551" s="2" t="n">
        <v>0</v>
      </c>
      <c r="AK1551" s="2" t="n">
        <v>0</v>
      </c>
      <c r="AL1551" s="2" t="s">
        <v>1242</v>
      </c>
      <c r="AM1551" s="2" t="s">
        <v>303</v>
      </c>
      <c r="AN1551" s="2" t="s">
        <v>467</v>
      </c>
      <c r="AO1551" s="2"/>
      <c r="AP1551" s="2" t="s">
        <v>1243</v>
      </c>
      <c r="AQ1551" s="2"/>
      <c r="AR1551" s="2" t="s">
        <v>1244</v>
      </c>
      <c r="AS1551" s="2" t="s">
        <v>1245</v>
      </c>
      <c r="AT1551" s="2" t="s">
        <v>12753</v>
      </c>
      <c r="AU1551" s="2" t="n">
        <v>2020</v>
      </c>
      <c r="AV1551" s="2" t="n">
        <v>12</v>
      </c>
      <c r="AW1551" s="2" t="n">
        <v>6</v>
      </c>
      <c r="AX1551" s="2"/>
      <c r="AY1551" s="2"/>
      <c r="AZ1551" s="2"/>
      <c r="BA1551" s="2"/>
      <c r="BB1551" s="2"/>
      <c r="BC1551" s="2"/>
      <c r="BD1551" s="2" t="s">
        <v>26942</v>
      </c>
      <c r="BE1551" s="2" t="s">
        <v>26943</v>
      </c>
      <c r="BF1551" s="2" t="str">
        <f aca="false">HYPERLINK("http://dx.doi.org/10.7759/cureus.8454","http://dx.doi.org/10.7759/cureus.8454")</f>
        <v>http://dx.doi.org/10.7759/cureus.8454</v>
      </c>
      <c r="BG1551" s="2"/>
      <c r="BH1551" s="2"/>
      <c r="BI1551" s="2" t="n">
        <v>6</v>
      </c>
      <c r="BJ1551" s="2" t="s">
        <v>363</v>
      </c>
      <c r="BK1551" s="2" t="s">
        <v>339</v>
      </c>
      <c r="BL1551" s="2" t="s">
        <v>364</v>
      </c>
      <c r="BM1551" s="2" t="s">
        <v>26944</v>
      </c>
      <c r="BN1551" s="2" t="n">
        <v>32528782</v>
      </c>
      <c r="BO1551" s="2" t="s">
        <v>103</v>
      </c>
      <c r="BP1551" s="2"/>
      <c r="BQ1551" s="2"/>
      <c r="BR1551" s="2" t="s">
        <v>104</v>
      </c>
      <c r="BS1551" s="2" t="s">
        <v>26945</v>
      </c>
      <c r="BT1551" s="2" t="str">
        <f aca="false">HYPERLINK("https%3A%2F%2Fwww.webofscience.com%2Fwos%2Fwoscc%2Ffull-record%2FWOS:000538370300006","View Full Record in Web of Science")</f>
        <v>View Full Record in Web of Science</v>
      </c>
    </row>
    <row r="1552" customFormat="false" ht="12.75" hidden="false" customHeight="false" outlineLevel="0" collapsed="false">
      <c r="A1552" s="2" t="s">
        <v>72</v>
      </c>
      <c r="B1552" s="2" t="s">
        <v>26946</v>
      </c>
      <c r="C1552" s="2"/>
      <c r="D1552" s="2"/>
      <c r="E1552" s="2"/>
      <c r="F1552" s="2" t="s">
        <v>26947</v>
      </c>
      <c r="G1552" s="2"/>
      <c r="H1552" s="2"/>
      <c r="I1552" s="2" t="s">
        <v>26948</v>
      </c>
      <c r="J1552" s="2" t="s">
        <v>1692</v>
      </c>
      <c r="K1552" s="2"/>
      <c r="L1552" s="2"/>
      <c r="M1552" s="2" t="s">
        <v>77</v>
      </c>
      <c r="N1552" s="2" t="s">
        <v>78</v>
      </c>
      <c r="O1552" s="2"/>
      <c r="P1552" s="2"/>
      <c r="Q1552" s="2"/>
      <c r="R1552" s="2"/>
      <c r="S1552" s="2"/>
      <c r="T1552" s="2" t="s">
        <v>26949</v>
      </c>
      <c r="U1552" s="2" t="s">
        <v>26950</v>
      </c>
      <c r="V1552" s="2" t="s">
        <v>26951</v>
      </c>
      <c r="W1552" s="2" t="s">
        <v>26952</v>
      </c>
      <c r="X1552" s="2" t="s">
        <v>26953</v>
      </c>
      <c r="Y1552" s="2" t="s">
        <v>26954</v>
      </c>
      <c r="Z1552" s="2" t="s">
        <v>26955</v>
      </c>
      <c r="AA1552" s="2" t="s">
        <v>26956</v>
      </c>
      <c r="AB1552" s="2"/>
      <c r="AC1552" s="2" t="s">
        <v>26957</v>
      </c>
      <c r="AD1552" s="2" t="s">
        <v>26958</v>
      </c>
      <c r="AE1552" s="2" t="s">
        <v>26959</v>
      </c>
      <c r="AF1552" s="2"/>
      <c r="AG1552" s="2" t="n">
        <v>27</v>
      </c>
      <c r="AH1552" s="2" t="n">
        <v>0</v>
      </c>
      <c r="AI1552" s="2" t="n">
        <v>0</v>
      </c>
      <c r="AJ1552" s="2" t="n">
        <v>0</v>
      </c>
      <c r="AK1552" s="2" t="n">
        <v>6</v>
      </c>
      <c r="AL1552" s="2" t="s">
        <v>1704</v>
      </c>
      <c r="AM1552" s="2" t="s">
        <v>1705</v>
      </c>
      <c r="AN1552" s="2" t="s">
        <v>1706</v>
      </c>
      <c r="AO1552" s="2"/>
      <c r="AP1552" s="2" t="s">
        <v>1707</v>
      </c>
      <c r="AQ1552" s="2"/>
      <c r="AR1552" s="2" t="s">
        <v>1692</v>
      </c>
      <c r="AS1552" s="2" t="s">
        <v>1708</v>
      </c>
      <c r="AT1552" s="2" t="s">
        <v>97</v>
      </c>
      <c r="AU1552" s="2" t="n">
        <v>2023</v>
      </c>
      <c r="AV1552" s="2" t="n">
        <v>9</v>
      </c>
      <c r="AW1552" s="2" t="n">
        <v>3</v>
      </c>
      <c r="AX1552" s="2"/>
      <c r="AY1552" s="2"/>
      <c r="AZ1552" s="2"/>
      <c r="BA1552" s="2"/>
      <c r="BB1552" s="2"/>
      <c r="BC1552" s="2"/>
      <c r="BD1552" s="2" t="s">
        <v>26960</v>
      </c>
      <c r="BE1552" s="2" t="s">
        <v>26961</v>
      </c>
      <c r="BF1552" s="2" t="str">
        <f aca="false">HYPERLINK("http://dx.doi.org/10.1016/j.heliyon.2023.e14422","http://dx.doi.org/10.1016/j.heliyon.2023.e14422")</f>
        <v>http://dx.doi.org/10.1016/j.heliyon.2023.e14422</v>
      </c>
      <c r="BG1552" s="2"/>
      <c r="BH1552" s="2" t="s">
        <v>5450</v>
      </c>
      <c r="BI1552" s="2" t="n">
        <v>8</v>
      </c>
      <c r="BJ1552" s="2" t="s">
        <v>1658</v>
      </c>
      <c r="BK1552" s="2" t="s">
        <v>100</v>
      </c>
      <c r="BL1552" s="2" t="s">
        <v>1659</v>
      </c>
      <c r="BM1552" s="2" t="s">
        <v>26962</v>
      </c>
      <c r="BN1552" s="2" t="n">
        <v>36967868</v>
      </c>
      <c r="BO1552" s="2" t="s">
        <v>103</v>
      </c>
      <c r="BP1552" s="2"/>
      <c r="BQ1552" s="2"/>
      <c r="BR1552" s="2" t="s">
        <v>104</v>
      </c>
      <c r="BS1552" s="2" t="s">
        <v>26963</v>
      </c>
      <c r="BT1552" s="2" t="str">
        <f aca="false">HYPERLINK("https%3A%2F%2Fwww.webofscience.com%2Fwos%2Fwoscc%2Ffull-record%2FWOS:000970259000001","View Full Record in Web of Science")</f>
        <v>View Full Record in Web of Science</v>
      </c>
    </row>
    <row r="1553" customFormat="false" ht="12.75" hidden="false" customHeight="false" outlineLevel="0" collapsed="false">
      <c r="A1553" s="2" t="s">
        <v>72</v>
      </c>
      <c r="B1553" s="2" t="s">
        <v>26964</v>
      </c>
      <c r="C1553" s="2"/>
      <c r="D1553" s="2"/>
      <c r="E1553" s="2"/>
      <c r="F1553" s="2" t="s">
        <v>26965</v>
      </c>
      <c r="G1553" s="2"/>
      <c r="H1553" s="2"/>
      <c r="I1553" s="2" t="s">
        <v>26966</v>
      </c>
      <c r="J1553" s="2" t="s">
        <v>2021</v>
      </c>
      <c r="K1553" s="2"/>
      <c r="L1553" s="2"/>
      <c r="M1553" s="2" t="s">
        <v>77</v>
      </c>
      <c r="N1553" s="2" t="s">
        <v>78</v>
      </c>
      <c r="O1553" s="2"/>
      <c r="P1553" s="2"/>
      <c r="Q1553" s="2"/>
      <c r="R1553" s="2"/>
      <c r="S1553" s="2"/>
      <c r="T1553" s="2" t="s">
        <v>26967</v>
      </c>
      <c r="U1553" s="2" t="s">
        <v>26968</v>
      </c>
      <c r="V1553" s="2" t="s">
        <v>26969</v>
      </c>
      <c r="W1553" s="2" t="s">
        <v>26970</v>
      </c>
      <c r="X1553" s="2" t="s">
        <v>5772</v>
      </c>
      <c r="Y1553" s="2" t="s">
        <v>12731</v>
      </c>
      <c r="Z1553" s="2" t="s">
        <v>12732</v>
      </c>
      <c r="AA1553" s="2" t="s">
        <v>26971</v>
      </c>
      <c r="AB1553" s="2" t="s">
        <v>26972</v>
      </c>
      <c r="AC1553" s="2" t="s">
        <v>26973</v>
      </c>
      <c r="AD1553" s="2" t="s">
        <v>11195</v>
      </c>
      <c r="AE1553" s="2" t="s">
        <v>26974</v>
      </c>
      <c r="AF1553" s="2"/>
      <c r="AG1553" s="2" t="n">
        <v>30</v>
      </c>
      <c r="AH1553" s="2" t="n">
        <v>72</v>
      </c>
      <c r="AI1553" s="2" t="n">
        <v>78</v>
      </c>
      <c r="AJ1553" s="2" t="n">
        <v>0</v>
      </c>
      <c r="AK1553" s="2" t="n">
        <v>10</v>
      </c>
      <c r="AL1553" s="2" t="s">
        <v>527</v>
      </c>
      <c r="AM1553" s="2" t="s">
        <v>528</v>
      </c>
      <c r="AN1553" s="2" t="s">
        <v>529</v>
      </c>
      <c r="AO1553" s="2" t="s">
        <v>2033</v>
      </c>
      <c r="AP1553" s="2" t="s">
        <v>2034</v>
      </c>
      <c r="AQ1553" s="2"/>
      <c r="AR1553" s="2" t="s">
        <v>2035</v>
      </c>
      <c r="AS1553" s="2" t="s">
        <v>2036</v>
      </c>
      <c r="AT1553" s="2" t="s">
        <v>15557</v>
      </c>
      <c r="AU1553" s="2" t="n">
        <v>2015</v>
      </c>
      <c r="AV1553" s="2" t="n">
        <v>60</v>
      </c>
      <c r="AW1553" s="2" t="n">
        <v>1</v>
      </c>
      <c r="AX1553" s="2"/>
      <c r="AY1553" s="2"/>
      <c r="AZ1553" s="2"/>
      <c r="BA1553" s="2"/>
      <c r="BB1553" s="2" t="n">
        <v>1</v>
      </c>
      <c r="BC1553" s="2" t="n">
        <v>9</v>
      </c>
      <c r="BD1553" s="2"/>
      <c r="BE1553" s="2" t="s">
        <v>26975</v>
      </c>
      <c r="BF1553" s="2" t="str">
        <f aca="false">HYPERLINK("http://dx.doi.org/10.1093/cid/ciu714","http://dx.doi.org/10.1093/cid/ciu714")</f>
        <v>http://dx.doi.org/10.1093/cid/ciu714</v>
      </c>
      <c r="BG1553" s="2"/>
      <c r="BH1553" s="2"/>
      <c r="BI1553" s="2" t="n">
        <v>9</v>
      </c>
      <c r="BJ1553" s="2" t="s">
        <v>536</v>
      </c>
      <c r="BK1553" s="2" t="s">
        <v>100</v>
      </c>
      <c r="BL1553" s="2" t="s">
        <v>536</v>
      </c>
      <c r="BM1553" s="2" t="s">
        <v>26976</v>
      </c>
      <c r="BN1553" s="2" t="n">
        <v>25205769</v>
      </c>
      <c r="BO1553" s="2" t="s">
        <v>1267</v>
      </c>
      <c r="BP1553" s="2"/>
      <c r="BQ1553" s="2"/>
      <c r="BR1553" s="2" t="s">
        <v>104</v>
      </c>
      <c r="BS1553" s="2" t="s">
        <v>26977</v>
      </c>
      <c r="BT1553" s="2" t="str">
        <f aca="false">HYPERLINK("https%3A%2F%2Fwww.webofscience.com%2Fwos%2Fwoscc%2Ffull-record%2FWOS:000349668300002","View Full Record in Web of Science")</f>
        <v>View Full Record in Web of Science</v>
      </c>
    </row>
    <row r="1554" customFormat="false" ht="12.75" hidden="false" customHeight="false" outlineLevel="0" collapsed="false">
      <c r="A1554" s="2" t="s">
        <v>72</v>
      </c>
      <c r="B1554" s="2" t="s">
        <v>26978</v>
      </c>
      <c r="C1554" s="2"/>
      <c r="D1554" s="2"/>
      <c r="E1554" s="2"/>
      <c r="F1554" s="2" t="s">
        <v>26979</v>
      </c>
      <c r="G1554" s="2"/>
      <c r="H1554" s="2"/>
      <c r="I1554" s="2" t="s">
        <v>26980</v>
      </c>
      <c r="J1554" s="2" t="s">
        <v>109</v>
      </c>
      <c r="K1554" s="2"/>
      <c r="L1554" s="2"/>
      <c r="M1554" s="2" t="s">
        <v>77</v>
      </c>
      <c r="N1554" s="2" t="s">
        <v>78</v>
      </c>
      <c r="O1554" s="2"/>
      <c r="P1554" s="2"/>
      <c r="Q1554" s="2"/>
      <c r="R1554" s="2"/>
      <c r="S1554" s="2"/>
      <c r="T1554" s="2" t="s">
        <v>26981</v>
      </c>
      <c r="U1554" s="2" t="s">
        <v>26982</v>
      </c>
      <c r="V1554" s="2" t="s">
        <v>26983</v>
      </c>
      <c r="W1554" s="2" t="s">
        <v>26984</v>
      </c>
      <c r="X1554" s="2" t="s">
        <v>25853</v>
      </c>
      <c r="Y1554" s="2" t="s">
        <v>26985</v>
      </c>
      <c r="Z1554" s="2" t="s">
        <v>26986</v>
      </c>
      <c r="AA1554" s="2" t="s">
        <v>26987</v>
      </c>
      <c r="AB1554" s="2" t="s">
        <v>26988</v>
      </c>
      <c r="AC1554" s="2"/>
      <c r="AD1554" s="2"/>
      <c r="AE1554" s="2"/>
      <c r="AF1554" s="2"/>
      <c r="AG1554" s="2" t="n">
        <v>49</v>
      </c>
      <c r="AH1554" s="2" t="n">
        <v>7</v>
      </c>
      <c r="AI1554" s="2" t="n">
        <v>7</v>
      </c>
      <c r="AJ1554" s="2" t="n">
        <v>0</v>
      </c>
      <c r="AK1554" s="2" t="n">
        <v>2</v>
      </c>
      <c r="AL1554" s="2" t="s">
        <v>122</v>
      </c>
      <c r="AM1554" s="2" t="s">
        <v>123</v>
      </c>
      <c r="AN1554" s="2" t="s">
        <v>124</v>
      </c>
      <c r="AO1554" s="2" t="s">
        <v>125</v>
      </c>
      <c r="AP1554" s="2" t="s">
        <v>126</v>
      </c>
      <c r="AQ1554" s="2"/>
      <c r="AR1554" s="2" t="s">
        <v>127</v>
      </c>
      <c r="AS1554" s="2" t="s">
        <v>128</v>
      </c>
      <c r="AT1554" s="2" t="s">
        <v>185</v>
      </c>
      <c r="AU1554" s="2" t="n">
        <v>2020</v>
      </c>
      <c r="AV1554" s="2" t="n">
        <v>39</v>
      </c>
      <c r="AW1554" s="2" t="n">
        <v>8</v>
      </c>
      <c r="AX1554" s="2"/>
      <c r="AY1554" s="2"/>
      <c r="AZ1554" s="2"/>
      <c r="BA1554" s="2"/>
      <c r="BB1554" s="2" t="n">
        <v>687</v>
      </c>
      <c r="BC1554" s="2" t="n">
        <v>693</v>
      </c>
      <c r="BD1554" s="2"/>
      <c r="BE1554" s="2" t="s">
        <v>26989</v>
      </c>
      <c r="BF1554" s="2" t="str">
        <f aca="false">HYPERLINK("http://dx.doi.org/10.1097/INF.0000000000002668","http://dx.doi.org/10.1097/INF.0000000000002668")</f>
        <v>http://dx.doi.org/10.1097/INF.0000000000002668</v>
      </c>
      <c r="BG1554" s="2"/>
      <c r="BH1554" s="2"/>
      <c r="BI1554" s="2" t="n">
        <v>7</v>
      </c>
      <c r="BJ1554" s="2" t="s">
        <v>134</v>
      </c>
      <c r="BK1554" s="2" t="s">
        <v>100</v>
      </c>
      <c r="BL1554" s="2" t="s">
        <v>134</v>
      </c>
      <c r="BM1554" s="2" t="s">
        <v>4096</v>
      </c>
      <c r="BN1554" s="2" t="n">
        <v>32221164</v>
      </c>
      <c r="BO1554" s="2" t="s">
        <v>765</v>
      </c>
      <c r="BP1554" s="2"/>
      <c r="BQ1554" s="2"/>
      <c r="BR1554" s="2" t="s">
        <v>104</v>
      </c>
      <c r="BS1554" s="2" t="s">
        <v>26990</v>
      </c>
      <c r="BT1554" s="2" t="str">
        <f aca="false">HYPERLINK("https%3A%2F%2Fwww.webofscience.com%2Fwos%2Fwoscc%2Ffull-record%2FWOS:000561886700021","View Full Record in Web of Science")</f>
        <v>View Full Record in Web of Science</v>
      </c>
    </row>
    <row r="1555" customFormat="false" ht="12.75" hidden="false" customHeight="false" outlineLevel="0" collapsed="false">
      <c r="A1555" s="2" t="s">
        <v>72</v>
      </c>
      <c r="B1555" s="2" t="s">
        <v>26991</v>
      </c>
      <c r="C1555" s="2"/>
      <c r="D1555" s="2"/>
      <c r="E1555" s="2"/>
      <c r="F1555" s="2" t="s">
        <v>26992</v>
      </c>
      <c r="G1555" s="2"/>
      <c r="H1555" s="2"/>
      <c r="I1555" s="2" t="s">
        <v>26993</v>
      </c>
      <c r="J1555" s="2" t="s">
        <v>26994</v>
      </c>
      <c r="K1555" s="2"/>
      <c r="L1555" s="2"/>
      <c r="M1555" s="2" t="s">
        <v>77</v>
      </c>
      <c r="N1555" s="2" t="s">
        <v>78</v>
      </c>
      <c r="O1555" s="2"/>
      <c r="P1555" s="2"/>
      <c r="Q1555" s="2"/>
      <c r="R1555" s="2"/>
      <c r="S1555" s="2"/>
      <c r="T1555" s="2" t="s">
        <v>26995</v>
      </c>
      <c r="U1555" s="2" t="s">
        <v>26996</v>
      </c>
      <c r="V1555" s="2" t="s">
        <v>26997</v>
      </c>
      <c r="W1555" s="2" t="s">
        <v>26998</v>
      </c>
      <c r="X1555" s="2" t="s">
        <v>26999</v>
      </c>
      <c r="Y1555" s="2" t="s">
        <v>27000</v>
      </c>
      <c r="Z1555" s="2" t="s">
        <v>9464</v>
      </c>
      <c r="AA1555" s="2"/>
      <c r="AB1555" s="2"/>
      <c r="AC1555" s="2" t="s">
        <v>27001</v>
      </c>
      <c r="AD1555" s="2" t="s">
        <v>27002</v>
      </c>
      <c r="AE1555" s="2" t="s">
        <v>27003</v>
      </c>
      <c r="AF1555" s="2"/>
      <c r="AG1555" s="2" t="n">
        <v>18</v>
      </c>
      <c r="AH1555" s="2" t="n">
        <v>4</v>
      </c>
      <c r="AI1555" s="2" t="n">
        <v>7</v>
      </c>
      <c r="AJ1555" s="2" t="n">
        <v>0</v>
      </c>
      <c r="AK1555" s="2" t="n">
        <v>9</v>
      </c>
      <c r="AL1555" s="2" t="s">
        <v>8933</v>
      </c>
      <c r="AM1555" s="2" t="s">
        <v>1345</v>
      </c>
      <c r="AN1555" s="2" t="s">
        <v>8934</v>
      </c>
      <c r="AO1555" s="2" t="s">
        <v>27004</v>
      </c>
      <c r="AP1555" s="2" t="s">
        <v>27005</v>
      </c>
      <c r="AQ1555" s="2"/>
      <c r="AR1555" s="2" t="s">
        <v>27006</v>
      </c>
      <c r="AS1555" s="2" t="s">
        <v>27007</v>
      </c>
      <c r="AT1555" s="2" t="s">
        <v>336</v>
      </c>
      <c r="AU1555" s="2" t="n">
        <v>2012</v>
      </c>
      <c r="AV1555" s="2" t="n">
        <v>49</v>
      </c>
      <c r="AW1555" s="2" t="n">
        <v>10</v>
      </c>
      <c r="AX1555" s="2"/>
      <c r="AY1555" s="2"/>
      <c r="AZ1555" s="2"/>
      <c r="BA1555" s="2"/>
      <c r="BB1555" s="2" t="n">
        <v>825</v>
      </c>
      <c r="BC1555" s="2" t="n">
        <v>828</v>
      </c>
      <c r="BD1555" s="2"/>
      <c r="BE1555" s="2" t="s">
        <v>27008</v>
      </c>
      <c r="BF1555" s="2" t="str">
        <f aca="false">HYPERLINK("http://dx.doi.org/10.1007/s13312-012-0194-1","http://dx.doi.org/10.1007/s13312-012-0194-1")</f>
        <v>http://dx.doi.org/10.1007/s13312-012-0194-1</v>
      </c>
      <c r="BG1555" s="2"/>
      <c r="BH1555" s="2"/>
      <c r="BI1555" s="2" t="n">
        <v>4</v>
      </c>
      <c r="BJ1555" s="2" t="s">
        <v>601</v>
      </c>
      <c r="BK1555" s="2" t="s">
        <v>100</v>
      </c>
      <c r="BL1555" s="2" t="s">
        <v>601</v>
      </c>
      <c r="BM1555" s="2" t="s">
        <v>27009</v>
      </c>
      <c r="BN1555" s="2" t="n">
        <v>22728623</v>
      </c>
      <c r="BO1555" s="2" t="s">
        <v>136</v>
      </c>
      <c r="BP1555" s="2"/>
      <c r="BQ1555" s="2"/>
      <c r="BR1555" s="2" t="s">
        <v>104</v>
      </c>
      <c r="BS1555" s="2" t="s">
        <v>27010</v>
      </c>
      <c r="BT1555" s="2" t="str">
        <f aca="false">HYPERLINK("https%3A%2F%2Fwww.webofscience.com%2Fwos%2Fwoscc%2Ffull-record%2FWOS:000310324300009","View Full Record in Web of Science")</f>
        <v>View Full Record in Web of Science</v>
      </c>
    </row>
    <row r="1556" customFormat="false" ht="12.75" hidden="false" customHeight="false" outlineLevel="0" collapsed="false">
      <c r="A1556" s="2" t="s">
        <v>72</v>
      </c>
      <c r="B1556" s="2" t="s">
        <v>27011</v>
      </c>
      <c r="C1556" s="2"/>
      <c r="D1556" s="2"/>
      <c r="E1556" s="2"/>
      <c r="F1556" s="2" t="s">
        <v>27012</v>
      </c>
      <c r="G1556" s="2"/>
      <c r="H1556" s="2"/>
      <c r="I1556" s="2" t="s">
        <v>27013</v>
      </c>
      <c r="J1556" s="2" t="s">
        <v>27014</v>
      </c>
      <c r="K1556" s="2"/>
      <c r="L1556" s="2"/>
      <c r="M1556" s="2" t="s">
        <v>77</v>
      </c>
      <c r="N1556" s="2" t="s">
        <v>78</v>
      </c>
      <c r="O1556" s="2"/>
      <c r="P1556" s="2"/>
      <c r="Q1556" s="2"/>
      <c r="R1556" s="2"/>
      <c r="S1556" s="2"/>
      <c r="T1556" s="2" t="s">
        <v>27015</v>
      </c>
      <c r="U1556" s="2" t="s">
        <v>27016</v>
      </c>
      <c r="V1556" s="2" t="s">
        <v>27017</v>
      </c>
      <c r="W1556" s="2" t="s">
        <v>27018</v>
      </c>
      <c r="X1556" s="2" t="s">
        <v>27019</v>
      </c>
      <c r="Y1556" s="2" t="s">
        <v>27020</v>
      </c>
      <c r="Z1556" s="2" t="s">
        <v>27021</v>
      </c>
      <c r="AA1556" s="2" t="s">
        <v>27022</v>
      </c>
      <c r="AB1556" s="2" t="s">
        <v>27023</v>
      </c>
      <c r="AC1556" s="2"/>
      <c r="AD1556" s="2"/>
      <c r="AE1556" s="2"/>
      <c r="AF1556" s="2"/>
      <c r="AG1556" s="2" t="n">
        <v>40</v>
      </c>
      <c r="AH1556" s="2" t="n">
        <v>11</v>
      </c>
      <c r="AI1556" s="2" t="n">
        <v>11</v>
      </c>
      <c r="AJ1556" s="2" t="n">
        <v>0</v>
      </c>
      <c r="AK1556" s="2" t="n">
        <v>5</v>
      </c>
      <c r="AL1556" s="2" t="s">
        <v>22965</v>
      </c>
      <c r="AM1556" s="2" t="s">
        <v>246</v>
      </c>
      <c r="AN1556" s="2" t="s">
        <v>22966</v>
      </c>
      <c r="AO1556" s="2" t="s">
        <v>27024</v>
      </c>
      <c r="AP1556" s="2" t="s">
        <v>27025</v>
      </c>
      <c r="AQ1556" s="2"/>
      <c r="AR1556" s="2" t="s">
        <v>27026</v>
      </c>
      <c r="AS1556" s="2" t="s">
        <v>27027</v>
      </c>
      <c r="AT1556" s="2" t="s">
        <v>804</v>
      </c>
      <c r="AU1556" s="2" t="n">
        <v>2021</v>
      </c>
      <c r="AV1556" s="2" t="n">
        <v>45</v>
      </c>
      <c r="AW1556" s="2" t="n">
        <v>8</v>
      </c>
      <c r="AX1556" s="2"/>
      <c r="AY1556" s="2"/>
      <c r="AZ1556" s="2"/>
      <c r="BA1556" s="2"/>
      <c r="BB1556" s="2" t="n">
        <v>447</v>
      </c>
      <c r="BC1556" s="2" t="n">
        <v>458</v>
      </c>
      <c r="BD1556" s="2"/>
      <c r="BE1556" s="2" t="s">
        <v>27028</v>
      </c>
      <c r="BF1556" s="2" t="str">
        <f aca="false">HYPERLINK("http://dx.doi.org/10.1016/j.medin.2020.04.023","http://dx.doi.org/10.1016/j.medin.2020.04.023")</f>
        <v>http://dx.doi.org/10.1016/j.medin.2020.04.023</v>
      </c>
      <c r="BG1556" s="2"/>
      <c r="BH1556" s="2" t="s">
        <v>3158</v>
      </c>
      <c r="BI1556" s="2" t="n">
        <v>12</v>
      </c>
      <c r="BJ1556" s="2" t="s">
        <v>473</v>
      </c>
      <c r="BK1556" s="2" t="s">
        <v>100</v>
      </c>
      <c r="BL1556" s="2" t="s">
        <v>364</v>
      </c>
      <c r="BM1556" s="2" t="s">
        <v>27029</v>
      </c>
      <c r="BN1556" s="2" t="n">
        <v>32405129</v>
      </c>
      <c r="BO1556" s="2" t="s">
        <v>165</v>
      </c>
      <c r="BP1556" s="2"/>
      <c r="BQ1556" s="2"/>
      <c r="BR1556" s="2" t="s">
        <v>104</v>
      </c>
      <c r="BS1556" s="2" t="s">
        <v>27030</v>
      </c>
      <c r="BT1556" s="2" t="str">
        <f aca="false">HYPERLINK("https%3A%2F%2Fwww.webofscience.com%2Fwos%2Fwoscc%2Ffull-record%2FWOS:000712422600009","View Full Record in Web of Science")</f>
        <v>View Full Record in Web of Science</v>
      </c>
    </row>
    <row r="1557" customFormat="false" ht="12.75" hidden="false" customHeight="false" outlineLevel="0" collapsed="false">
      <c r="A1557" s="2" t="s">
        <v>72</v>
      </c>
      <c r="B1557" s="2" t="s">
        <v>27031</v>
      </c>
      <c r="C1557" s="2"/>
      <c r="D1557" s="2"/>
      <c r="E1557" s="2"/>
      <c r="F1557" s="2" t="s">
        <v>27032</v>
      </c>
      <c r="G1557" s="2"/>
      <c r="H1557" s="2"/>
      <c r="I1557" s="2" t="s">
        <v>27033</v>
      </c>
      <c r="J1557" s="2" t="s">
        <v>7206</v>
      </c>
      <c r="K1557" s="2"/>
      <c r="L1557" s="2"/>
      <c r="M1557" s="2" t="s">
        <v>77</v>
      </c>
      <c r="N1557" s="2" t="s">
        <v>78</v>
      </c>
      <c r="O1557" s="2"/>
      <c r="P1557" s="2"/>
      <c r="Q1557" s="2"/>
      <c r="R1557" s="2"/>
      <c r="S1557" s="2"/>
      <c r="T1557" s="2" t="s">
        <v>27034</v>
      </c>
      <c r="U1557" s="2" t="s">
        <v>27035</v>
      </c>
      <c r="V1557" s="2" t="s">
        <v>27036</v>
      </c>
      <c r="W1557" s="2" t="s">
        <v>27037</v>
      </c>
      <c r="X1557" s="2" t="s">
        <v>27038</v>
      </c>
      <c r="Y1557" s="2" t="s">
        <v>27039</v>
      </c>
      <c r="Z1557" s="2" t="s">
        <v>27040</v>
      </c>
      <c r="AA1557" s="2" t="s">
        <v>27041</v>
      </c>
      <c r="AB1557" s="2"/>
      <c r="AC1557" s="2"/>
      <c r="AD1557" s="2"/>
      <c r="AE1557" s="2"/>
      <c r="AF1557" s="2"/>
      <c r="AG1557" s="2" t="n">
        <v>29</v>
      </c>
      <c r="AH1557" s="2" t="n">
        <v>8</v>
      </c>
      <c r="AI1557" s="2" t="n">
        <v>8</v>
      </c>
      <c r="AJ1557" s="2" t="n">
        <v>0</v>
      </c>
      <c r="AK1557" s="2" t="n">
        <v>1</v>
      </c>
      <c r="AL1557" s="2" t="s">
        <v>592</v>
      </c>
      <c r="AM1557" s="2" t="s">
        <v>593</v>
      </c>
      <c r="AN1557" s="2" t="s">
        <v>859</v>
      </c>
      <c r="AO1557" s="2" t="s">
        <v>7215</v>
      </c>
      <c r="AP1557" s="2" t="s">
        <v>7216</v>
      </c>
      <c r="AQ1557" s="2"/>
      <c r="AR1557" s="2" t="s">
        <v>7217</v>
      </c>
      <c r="AS1557" s="2" t="s">
        <v>7218</v>
      </c>
      <c r="AT1557" s="2" t="s">
        <v>97</v>
      </c>
      <c r="AU1557" s="2" t="n">
        <v>2016</v>
      </c>
      <c r="AV1557" s="2" t="n">
        <v>64</v>
      </c>
      <c r="AW1557" s="2" t="n">
        <v>1</v>
      </c>
      <c r="AX1557" s="2"/>
      <c r="AY1557" s="2"/>
      <c r="AZ1557" s="2"/>
      <c r="BA1557" s="2"/>
      <c r="BB1557" s="2" t="n">
        <v>13</v>
      </c>
      <c r="BC1557" s="2" t="n">
        <v>19</v>
      </c>
      <c r="BD1557" s="2"/>
      <c r="BE1557" s="2" t="s">
        <v>27042</v>
      </c>
      <c r="BF1557" s="2" t="str">
        <f aca="false">HYPERLINK("http://dx.doi.org/10.1016/j.epag.2015.11.005","http://dx.doi.org/10.1016/j.epag.2015.11.005")</f>
        <v>http://dx.doi.org/10.1016/j.epag.2015.11.005</v>
      </c>
      <c r="BG1557" s="2"/>
      <c r="BH1557" s="2"/>
      <c r="BI1557" s="2" t="n">
        <v>7</v>
      </c>
      <c r="BJ1557" s="2" t="s">
        <v>601</v>
      </c>
      <c r="BK1557" s="2" t="s">
        <v>339</v>
      </c>
      <c r="BL1557" s="2" t="s">
        <v>601</v>
      </c>
      <c r="BM1557" s="2" t="s">
        <v>27043</v>
      </c>
      <c r="BN1557" s="2" t="n">
        <v>32288487</v>
      </c>
      <c r="BO1557" s="2" t="s">
        <v>103</v>
      </c>
      <c r="BP1557" s="2"/>
      <c r="BQ1557" s="2"/>
      <c r="BR1557" s="2" t="s">
        <v>104</v>
      </c>
      <c r="BS1557" s="2" t="s">
        <v>27044</v>
      </c>
      <c r="BT1557" s="2" t="str">
        <f aca="false">HYPERLINK("https%3A%2F%2Fwww.webofscience.com%2Fwos%2Fwoscc%2Ffull-record%2FWOS:000382580200003","View Full Record in Web of Science")</f>
        <v>View Full Record in Web of Science</v>
      </c>
    </row>
    <row r="1558" customFormat="false" ht="12.75" hidden="false" customHeight="false" outlineLevel="0" collapsed="false">
      <c r="A1558" s="2" t="s">
        <v>72</v>
      </c>
      <c r="B1558" s="2" t="s">
        <v>27045</v>
      </c>
      <c r="C1558" s="2"/>
      <c r="D1558" s="2"/>
      <c r="E1558" s="2"/>
      <c r="F1558" s="2" t="s">
        <v>27046</v>
      </c>
      <c r="G1558" s="2"/>
      <c r="H1558" s="2"/>
      <c r="I1558" s="2" t="s">
        <v>27047</v>
      </c>
      <c r="J1558" s="2" t="s">
        <v>9323</v>
      </c>
      <c r="K1558" s="2"/>
      <c r="L1558" s="2"/>
      <c r="M1558" s="2" t="s">
        <v>77</v>
      </c>
      <c r="N1558" s="2" t="s">
        <v>78</v>
      </c>
      <c r="O1558" s="2"/>
      <c r="P1558" s="2"/>
      <c r="Q1558" s="2"/>
      <c r="R1558" s="2"/>
      <c r="S1558" s="2"/>
      <c r="T1558" s="2" t="s">
        <v>27048</v>
      </c>
      <c r="U1558" s="2" t="s">
        <v>27049</v>
      </c>
      <c r="V1558" s="2" t="s">
        <v>27050</v>
      </c>
      <c r="W1558" s="2" t="s">
        <v>27051</v>
      </c>
      <c r="X1558" s="2" t="s">
        <v>27052</v>
      </c>
      <c r="Y1558" s="2" t="s">
        <v>27053</v>
      </c>
      <c r="Z1558" s="2" t="s">
        <v>12369</v>
      </c>
      <c r="AA1558" s="2" t="s">
        <v>27054</v>
      </c>
      <c r="AB1558" s="2" t="s">
        <v>27055</v>
      </c>
      <c r="AC1558" s="2" t="s">
        <v>27056</v>
      </c>
      <c r="AD1558" s="2" t="s">
        <v>27057</v>
      </c>
      <c r="AE1558" s="2" t="s">
        <v>27058</v>
      </c>
      <c r="AF1558" s="2"/>
      <c r="AG1558" s="2" t="n">
        <v>21</v>
      </c>
      <c r="AH1558" s="2" t="n">
        <v>39</v>
      </c>
      <c r="AI1558" s="2" t="n">
        <v>47</v>
      </c>
      <c r="AJ1558" s="2" t="n">
        <v>0</v>
      </c>
      <c r="AK1558" s="2" t="n">
        <v>3</v>
      </c>
      <c r="AL1558" s="2" t="s">
        <v>383</v>
      </c>
      <c r="AM1558" s="2" t="s">
        <v>384</v>
      </c>
      <c r="AN1558" s="2" t="s">
        <v>385</v>
      </c>
      <c r="AO1558" s="2" t="s">
        <v>9333</v>
      </c>
      <c r="AP1558" s="2" t="s">
        <v>9334</v>
      </c>
      <c r="AQ1558" s="2"/>
      <c r="AR1558" s="2" t="s">
        <v>9335</v>
      </c>
      <c r="AS1558" s="2" t="s">
        <v>9336</v>
      </c>
      <c r="AT1558" s="2" t="s">
        <v>864</v>
      </c>
      <c r="AU1558" s="2" t="n">
        <v>2014</v>
      </c>
      <c r="AV1558" s="2" t="n">
        <v>32</v>
      </c>
      <c r="AW1558" s="2" t="n">
        <v>1</v>
      </c>
      <c r="AX1558" s="2"/>
      <c r="AY1558" s="2"/>
      <c r="AZ1558" s="2"/>
      <c r="BA1558" s="2"/>
      <c r="BB1558" s="2" t="n">
        <v>13</v>
      </c>
      <c r="BC1558" s="2" t="n">
        <v>18</v>
      </c>
      <c r="BD1558" s="2"/>
      <c r="BE1558" s="2" t="s">
        <v>27059</v>
      </c>
      <c r="BF1558" s="2" t="str">
        <f aca="false">HYPERLINK("http://dx.doi.org/10.4103/0255-0857.124288","http://dx.doi.org/10.4103/0255-0857.124288")</f>
        <v>http://dx.doi.org/10.4103/0255-0857.124288</v>
      </c>
      <c r="BG1558" s="2"/>
      <c r="BH1558" s="2"/>
      <c r="BI1558" s="2" t="n">
        <v>6</v>
      </c>
      <c r="BJ1558" s="2" t="s">
        <v>628</v>
      </c>
      <c r="BK1558" s="2" t="s">
        <v>100</v>
      </c>
      <c r="BL1558" s="2" t="s">
        <v>628</v>
      </c>
      <c r="BM1558" s="2" t="s">
        <v>27060</v>
      </c>
      <c r="BN1558" s="2" t="n">
        <v>24399381</v>
      </c>
      <c r="BO1558" s="2" t="s">
        <v>1355</v>
      </c>
      <c r="BP1558" s="2"/>
      <c r="BQ1558" s="2"/>
      <c r="BR1558" s="2" t="s">
        <v>104</v>
      </c>
      <c r="BS1558" s="2" t="s">
        <v>27061</v>
      </c>
      <c r="BT1558" s="2" t="str">
        <f aca="false">HYPERLINK("https%3A%2F%2Fwww.webofscience.com%2Fwos%2Fwoscc%2Ffull-record%2FWOS:000331696300004","View Full Record in Web of Science")</f>
        <v>View Full Record in Web of Science</v>
      </c>
    </row>
    <row r="1559" customFormat="false" ht="12.75" hidden="false" customHeight="false" outlineLevel="0" collapsed="false">
      <c r="A1559" s="2" t="s">
        <v>72</v>
      </c>
      <c r="B1559" s="2" t="s">
        <v>27062</v>
      </c>
      <c r="C1559" s="2"/>
      <c r="D1559" s="2"/>
      <c r="E1559" s="2"/>
      <c r="F1559" s="2" t="s">
        <v>27063</v>
      </c>
      <c r="G1559" s="2"/>
      <c r="H1559" s="2"/>
      <c r="I1559" s="2" t="s">
        <v>27064</v>
      </c>
      <c r="J1559" s="2" t="s">
        <v>7244</v>
      </c>
      <c r="K1559" s="2"/>
      <c r="L1559" s="2"/>
      <c r="M1559" s="2" t="s">
        <v>77</v>
      </c>
      <c r="N1559" s="2" t="s">
        <v>78</v>
      </c>
      <c r="O1559" s="2"/>
      <c r="P1559" s="2"/>
      <c r="Q1559" s="2"/>
      <c r="R1559" s="2"/>
      <c r="S1559" s="2"/>
      <c r="T1559" s="2" t="s">
        <v>27065</v>
      </c>
      <c r="U1559" s="2" t="s">
        <v>27066</v>
      </c>
      <c r="V1559" s="2" t="s">
        <v>27067</v>
      </c>
      <c r="W1559" s="2" t="s">
        <v>27068</v>
      </c>
      <c r="X1559" s="2" t="s">
        <v>27069</v>
      </c>
      <c r="Y1559" s="2" t="s">
        <v>27070</v>
      </c>
      <c r="Z1559" s="2" t="s">
        <v>5844</v>
      </c>
      <c r="AA1559" s="2" t="s">
        <v>27071</v>
      </c>
      <c r="AB1559" s="2"/>
      <c r="AC1559" s="2" t="s">
        <v>27072</v>
      </c>
      <c r="AD1559" s="2" t="s">
        <v>27073</v>
      </c>
      <c r="AE1559" s="2" t="s">
        <v>27074</v>
      </c>
      <c r="AF1559" s="2"/>
      <c r="AG1559" s="2" t="n">
        <v>30</v>
      </c>
      <c r="AH1559" s="2" t="n">
        <v>33</v>
      </c>
      <c r="AI1559" s="2" t="n">
        <v>39</v>
      </c>
      <c r="AJ1559" s="2" t="n">
        <v>0</v>
      </c>
      <c r="AK1559" s="2" t="n">
        <v>4</v>
      </c>
      <c r="AL1559" s="2" t="s">
        <v>3813</v>
      </c>
      <c r="AM1559" s="2" t="s">
        <v>4498</v>
      </c>
      <c r="AN1559" s="2" t="s">
        <v>4499</v>
      </c>
      <c r="AO1559" s="2" t="s">
        <v>7252</v>
      </c>
      <c r="AP1559" s="2"/>
      <c r="AQ1559" s="2"/>
      <c r="AR1559" s="2" t="s">
        <v>7254</v>
      </c>
      <c r="AS1559" s="2" t="s">
        <v>7255</v>
      </c>
      <c r="AT1559" s="2" t="s">
        <v>161</v>
      </c>
      <c r="AU1559" s="2" t="n">
        <v>2012</v>
      </c>
      <c r="AV1559" s="2" t="n">
        <v>18</v>
      </c>
      <c r="AW1559" s="2" t="n">
        <v>1</v>
      </c>
      <c r="AX1559" s="2"/>
      <c r="AY1559" s="2"/>
      <c r="AZ1559" s="2"/>
      <c r="BA1559" s="2"/>
      <c r="BB1559" s="2" t="n">
        <v>74</v>
      </c>
      <c r="BC1559" s="2" t="n">
        <v>80</v>
      </c>
      <c r="BD1559" s="2"/>
      <c r="BE1559" s="2" t="s">
        <v>27075</v>
      </c>
      <c r="BF1559" s="2" t="str">
        <f aca="false">HYPERLINK("http://dx.doi.org/10.1111/j.1469-0691.2011.03541.x","http://dx.doi.org/10.1111/j.1469-0691.2011.03541.x")</f>
        <v>http://dx.doi.org/10.1111/j.1469-0691.2011.03541.x</v>
      </c>
      <c r="BG1559" s="2"/>
      <c r="BH1559" s="2"/>
      <c r="BI1559" s="2" t="n">
        <v>7</v>
      </c>
      <c r="BJ1559" s="2" t="s">
        <v>1467</v>
      </c>
      <c r="BK1559" s="2" t="s">
        <v>100</v>
      </c>
      <c r="BL1559" s="2" t="s">
        <v>1467</v>
      </c>
      <c r="BM1559" s="2" t="s">
        <v>27076</v>
      </c>
      <c r="BN1559" s="2" t="n">
        <v>21767329</v>
      </c>
      <c r="BO1559" s="2" t="s">
        <v>165</v>
      </c>
      <c r="BP1559" s="2"/>
      <c r="BQ1559" s="2"/>
      <c r="BR1559" s="2" t="s">
        <v>104</v>
      </c>
      <c r="BS1559" s="2" t="s">
        <v>27077</v>
      </c>
      <c r="BT1559" s="2" t="str">
        <f aca="false">HYPERLINK("https%3A%2F%2Fwww.webofscience.com%2Fwos%2Fwoscc%2Ffull-record%2FWOS:000298061500016","View Full Record in Web of Science")</f>
        <v>View Full Record in Web of Science</v>
      </c>
    </row>
    <row r="1560" customFormat="false" ht="12.75" hidden="false" customHeight="false" outlineLevel="0" collapsed="false">
      <c r="A1560" s="2" t="s">
        <v>72</v>
      </c>
      <c r="B1560" s="2" t="s">
        <v>27078</v>
      </c>
      <c r="C1560" s="2"/>
      <c r="D1560" s="2"/>
      <c r="E1560" s="2"/>
      <c r="F1560" s="2" t="s">
        <v>27079</v>
      </c>
      <c r="G1560" s="2"/>
      <c r="H1560" s="2"/>
      <c r="I1560" s="2" t="s">
        <v>27080</v>
      </c>
      <c r="J1560" s="2" t="s">
        <v>846</v>
      </c>
      <c r="K1560" s="2"/>
      <c r="L1560" s="2"/>
      <c r="M1560" s="2" t="s">
        <v>77</v>
      </c>
      <c r="N1560" s="2" t="s">
        <v>78</v>
      </c>
      <c r="O1560" s="2"/>
      <c r="P1560" s="2"/>
      <c r="Q1560" s="2"/>
      <c r="R1560" s="2"/>
      <c r="S1560" s="2"/>
      <c r="T1560" s="2" t="s">
        <v>27081</v>
      </c>
      <c r="U1560" s="2" t="s">
        <v>27082</v>
      </c>
      <c r="V1560" s="2" t="s">
        <v>27083</v>
      </c>
      <c r="W1560" s="2" t="s">
        <v>27084</v>
      </c>
      <c r="X1560" s="2" t="s">
        <v>6500</v>
      </c>
      <c r="Y1560" s="2" t="s">
        <v>27085</v>
      </c>
      <c r="Z1560" s="2" t="s">
        <v>6502</v>
      </c>
      <c r="AA1560" s="2" t="s">
        <v>27086</v>
      </c>
      <c r="AB1560" s="2" t="s">
        <v>27087</v>
      </c>
      <c r="AC1560" s="2" t="s">
        <v>27088</v>
      </c>
      <c r="AD1560" s="2" t="s">
        <v>27089</v>
      </c>
      <c r="AE1560" s="2" t="s">
        <v>27090</v>
      </c>
      <c r="AF1560" s="2"/>
      <c r="AG1560" s="2" t="n">
        <v>50</v>
      </c>
      <c r="AH1560" s="2" t="n">
        <v>18</v>
      </c>
      <c r="AI1560" s="2" t="n">
        <v>23</v>
      </c>
      <c r="AJ1560" s="2" t="n">
        <v>0</v>
      </c>
      <c r="AK1560" s="2" t="n">
        <v>4</v>
      </c>
      <c r="AL1560" s="2" t="s">
        <v>592</v>
      </c>
      <c r="AM1560" s="2" t="s">
        <v>593</v>
      </c>
      <c r="AN1560" s="2" t="s">
        <v>859</v>
      </c>
      <c r="AO1560" s="2" t="s">
        <v>860</v>
      </c>
      <c r="AP1560" s="2" t="s">
        <v>861</v>
      </c>
      <c r="AQ1560" s="2"/>
      <c r="AR1560" s="2" t="s">
        <v>862</v>
      </c>
      <c r="AS1560" s="2" t="s">
        <v>863</v>
      </c>
      <c r="AT1560" s="2" t="s">
        <v>161</v>
      </c>
      <c r="AU1560" s="2" t="n">
        <v>2019</v>
      </c>
      <c r="AV1560" s="2" t="n">
        <v>50</v>
      </c>
      <c r="AW1560" s="2" t="n">
        <v>1</v>
      </c>
      <c r="AX1560" s="2"/>
      <c r="AY1560" s="2"/>
      <c r="AZ1560" s="2"/>
      <c r="BA1560" s="2"/>
      <c r="BB1560" s="2" t="n">
        <v>117</v>
      </c>
      <c r="BC1560" s="2" t="n">
        <v>125</v>
      </c>
      <c r="BD1560" s="2"/>
      <c r="BE1560" s="2" t="s">
        <v>27091</v>
      </c>
      <c r="BF1560" s="2" t="str">
        <f aca="false">HYPERLINK("http://dx.doi.org/10.1007/s42770-018-0033-2","http://dx.doi.org/10.1007/s42770-018-0033-2")</f>
        <v>http://dx.doi.org/10.1007/s42770-018-0033-2</v>
      </c>
      <c r="BG1560" s="2"/>
      <c r="BH1560" s="2"/>
      <c r="BI1560" s="2" t="n">
        <v>9</v>
      </c>
      <c r="BJ1560" s="2" t="s">
        <v>211</v>
      </c>
      <c r="BK1560" s="2" t="s">
        <v>100</v>
      </c>
      <c r="BL1560" s="2" t="s">
        <v>211</v>
      </c>
      <c r="BM1560" s="2" t="s">
        <v>1996</v>
      </c>
      <c r="BN1560" s="2" t="n">
        <v>30637646</v>
      </c>
      <c r="BO1560" s="2" t="s">
        <v>1267</v>
      </c>
      <c r="BP1560" s="2"/>
      <c r="BQ1560" s="2"/>
      <c r="BR1560" s="2" t="s">
        <v>104</v>
      </c>
      <c r="BS1560" s="2" t="s">
        <v>27092</v>
      </c>
      <c r="BT1560" s="2" t="str">
        <f aca="false">HYPERLINK("https%3A%2F%2Fwww.webofscience.com%2Fwos%2Fwoscc%2Ffull-record%2FWOS:000466778000012","View Full Record in Web of Science")</f>
        <v>View Full Record in Web of Science</v>
      </c>
    </row>
    <row r="1561" customFormat="false" ht="12.75" hidden="false" customHeight="false" outlineLevel="0" collapsed="false">
      <c r="A1561" s="2" t="s">
        <v>72</v>
      </c>
      <c r="B1561" s="2" t="s">
        <v>27093</v>
      </c>
      <c r="C1561" s="2"/>
      <c r="D1561" s="2"/>
      <c r="E1561" s="2"/>
      <c r="F1561" s="2" t="s">
        <v>27094</v>
      </c>
      <c r="G1561" s="2"/>
      <c r="H1561" s="2"/>
      <c r="I1561" s="2" t="s">
        <v>27095</v>
      </c>
      <c r="J1561" s="2" t="s">
        <v>557</v>
      </c>
      <c r="K1561" s="2"/>
      <c r="L1561" s="2"/>
      <c r="M1561" s="2" t="s">
        <v>77</v>
      </c>
      <c r="N1561" s="2" t="s">
        <v>78</v>
      </c>
      <c r="O1561" s="2"/>
      <c r="P1561" s="2"/>
      <c r="Q1561" s="2"/>
      <c r="R1561" s="2"/>
      <c r="S1561" s="2"/>
      <c r="T1561" s="2" t="s">
        <v>27096</v>
      </c>
      <c r="U1561" s="2" t="s">
        <v>27097</v>
      </c>
      <c r="V1561" s="2" t="s">
        <v>27098</v>
      </c>
      <c r="W1561" s="2" t="s">
        <v>27099</v>
      </c>
      <c r="X1561" s="2" t="s">
        <v>9708</v>
      </c>
      <c r="Y1561" s="2" t="s">
        <v>27100</v>
      </c>
      <c r="Z1561" s="2" t="s">
        <v>27101</v>
      </c>
      <c r="AA1561" s="2" t="s">
        <v>27102</v>
      </c>
      <c r="AB1561" s="2" t="s">
        <v>27103</v>
      </c>
      <c r="AC1561" s="2" t="s">
        <v>27104</v>
      </c>
      <c r="AD1561" s="2" t="s">
        <v>27105</v>
      </c>
      <c r="AE1561" s="2" t="s">
        <v>27106</v>
      </c>
      <c r="AF1561" s="2"/>
      <c r="AG1561" s="2" t="n">
        <v>104</v>
      </c>
      <c r="AH1561" s="2" t="n">
        <v>8</v>
      </c>
      <c r="AI1561" s="2" t="n">
        <v>9</v>
      </c>
      <c r="AJ1561" s="2" t="n">
        <v>1</v>
      </c>
      <c r="AK1561" s="2" t="n">
        <v>9</v>
      </c>
      <c r="AL1561" s="2" t="s">
        <v>302</v>
      </c>
      <c r="AM1561" s="2" t="s">
        <v>303</v>
      </c>
      <c r="AN1561" s="2" t="s">
        <v>304</v>
      </c>
      <c r="AO1561" s="2"/>
      <c r="AP1561" s="2" t="s">
        <v>570</v>
      </c>
      <c r="AQ1561" s="2"/>
      <c r="AR1561" s="2" t="s">
        <v>571</v>
      </c>
      <c r="AS1561" s="2" t="s">
        <v>572</v>
      </c>
      <c r="AT1561" s="2" t="s">
        <v>10866</v>
      </c>
      <c r="AU1561" s="2" t="n">
        <v>2022</v>
      </c>
      <c r="AV1561" s="2" t="n">
        <v>22</v>
      </c>
      <c r="AW1561" s="2" t="n">
        <v>1</v>
      </c>
      <c r="AX1561" s="2"/>
      <c r="AY1561" s="2"/>
      <c r="AZ1561" s="2"/>
      <c r="BA1561" s="2"/>
      <c r="BB1561" s="2"/>
      <c r="BC1561" s="2"/>
      <c r="BD1561" s="2" t="n">
        <v>350</v>
      </c>
      <c r="BE1561" s="2" t="s">
        <v>27107</v>
      </c>
      <c r="BF1561" s="2" t="str">
        <f aca="false">HYPERLINK("http://dx.doi.org/10.1186/s12879-022-07342-1","http://dx.doi.org/10.1186/s12879-022-07342-1")</f>
        <v>http://dx.doi.org/10.1186/s12879-022-07342-1</v>
      </c>
      <c r="BG1561" s="2"/>
      <c r="BH1561" s="2"/>
      <c r="BI1561" s="2" t="n">
        <v>17</v>
      </c>
      <c r="BJ1561" s="2" t="s">
        <v>575</v>
      </c>
      <c r="BK1561" s="2" t="s">
        <v>100</v>
      </c>
      <c r="BL1561" s="2" t="s">
        <v>575</v>
      </c>
      <c r="BM1561" s="2" t="s">
        <v>27108</v>
      </c>
      <c r="BN1561" s="2" t="n">
        <v>35395744</v>
      </c>
      <c r="BO1561" s="2" t="s">
        <v>14604</v>
      </c>
      <c r="BP1561" s="2"/>
      <c r="BQ1561" s="2"/>
      <c r="BR1561" s="2" t="s">
        <v>104</v>
      </c>
      <c r="BS1561" s="2" t="s">
        <v>27109</v>
      </c>
      <c r="BT1561" s="2" t="str">
        <f aca="false">HYPERLINK("https%3A%2F%2Fwww.webofscience.com%2Fwos%2Fwoscc%2Ffull-record%2FWOS:000779592300001","View Full Record in Web of Science")</f>
        <v>View Full Record in Web of Science</v>
      </c>
    </row>
    <row r="1562" customFormat="false" ht="12.75" hidden="false" customHeight="false" outlineLevel="0" collapsed="false">
      <c r="A1562" s="2" t="s">
        <v>72</v>
      </c>
      <c r="B1562" s="2" t="s">
        <v>27110</v>
      </c>
      <c r="C1562" s="2"/>
      <c r="D1562" s="2"/>
      <c r="E1562" s="2"/>
      <c r="F1562" s="2" t="s">
        <v>27111</v>
      </c>
      <c r="G1562" s="2"/>
      <c r="H1562" s="2"/>
      <c r="I1562" s="2" t="s">
        <v>27112</v>
      </c>
      <c r="J1562" s="2" t="s">
        <v>11019</v>
      </c>
      <c r="K1562" s="2"/>
      <c r="L1562" s="2"/>
      <c r="M1562" s="2" t="s">
        <v>77</v>
      </c>
      <c r="N1562" s="2" t="s">
        <v>78</v>
      </c>
      <c r="O1562" s="2"/>
      <c r="P1562" s="2"/>
      <c r="Q1562" s="2"/>
      <c r="R1562" s="2"/>
      <c r="S1562" s="2"/>
      <c r="T1562" s="2" t="s">
        <v>27113</v>
      </c>
      <c r="U1562" s="2" t="s">
        <v>27114</v>
      </c>
      <c r="V1562" s="2" t="s">
        <v>27115</v>
      </c>
      <c r="W1562" s="2" t="s">
        <v>27116</v>
      </c>
      <c r="X1562" s="2" t="s">
        <v>14874</v>
      </c>
      <c r="Y1562" s="2" t="s">
        <v>14875</v>
      </c>
      <c r="Z1562" s="2" t="s">
        <v>8990</v>
      </c>
      <c r="AA1562" s="2" t="s">
        <v>14876</v>
      </c>
      <c r="AB1562" s="2" t="s">
        <v>27117</v>
      </c>
      <c r="AC1562" s="2" t="s">
        <v>27118</v>
      </c>
      <c r="AD1562" s="2" t="s">
        <v>27119</v>
      </c>
      <c r="AE1562" s="2" t="s">
        <v>27120</v>
      </c>
      <c r="AF1562" s="2"/>
      <c r="AG1562" s="2" t="n">
        <v>52</v>
      </c>
      <c r="AH1562" s="2" t="n">
        <v>35</v>
      </c>
      <c r="AI1562" s="2" t="n">
        <v>37</v>
      </c>
      <c r="AJ1562" s="2" t="n">
        <v>0</v>
      </c>
      <c r="AK1562" s="2" t="n">
        <v>6</v>
      </c>
      <c r="AL1562" s="2" t="s">
        <v>154</v>
      </c>
      <c r="AM1562" s="2" t="s">
        <v>155</v>
      </c>
      <c r="AN1562" s="2" t="s">
        <v>156</v>
      </c>
      <c r="AO1562" s="2" t="s">
        <v>11028</v>
      </c>
      <c r="AP1562" s="2" t="s">
        <v>11029</v>
      </c>
      <c r="AQ1562" s="2"/>
      <c r="AR1562" s="2" t="s">
        <v>11030</v>
      </c>
      <c r="AS1562" s="2" t="s">
        <v>11031</v>
      </c>
      <c r="AT1562" s="2" t="s">
        <v>804</v>
      </c>
      <c r="AU1562" s="2" t="n">
        <v>2013</v>
      </c>
      <c r="AV1562" s="2" t="n">
        <v>7</v>
      </c>
      <c r="AW1562" s="2" t="n">
        <v>6</v>
      </c>
      <c r="AX1562" s="2"/>
      <c r="AY1562" s="2"/>
      <c r="AZ1562" s="2"/>
      <c r="BA1562" s="2"/>
      <c r="BB1562" s="2" t="n">
        <v>1070</v>
      </c>
      <c r="BC1562" s="2" t="n">
        <v>1078</v>
      </c>
      <c r="BD1562" s="2"/>
      <c r="BE1562" s="2" t="s">
        <v>27121</v>
      </c>
      <c r="BF1562" s="2" t="str">
        <f aca="false">HYPERLINK("http://dx.doi.org/10.1111/irv.12135","http://dx.doi.org/10.1111/irv.12135")</f>
        <v>http://dx.doi.org/10.1111/irv.12135</v>
      </c>
      <c r="BG1562" s="2"/>
      <c r="BH1562" s="2"/>
      <c r="BI1562" s="2" t="n">
        <v>9</v>
      </c>
      <c r="BJ1562" s="2" t="s">
        <v>8287</v>
      </c>
      <c r="BK1562" s="2" t="s">
        <v>100</v>
      </c>
      <c r="BL1562" s="2" t="s">
        <v>8287</v>
      </c>
      <c r="BM1562" s="2" t="s">
        <v>21021</v>
      </c>
      <c r="BN1562" s="2" t="n">
        <v>23796419</v>
      </c>
      <c r="BO1562" s="2" t="s">
        <v>136</v>
      </c>
      <c r="BP1562" s="2"/>
      <c r="BQ1562" s="2"/>
      <c r="BR1562" s="2" t="s">
        <v>104</v>
      </c>
      <c r="BS1562" s="2" t="s">
        <v>27122</v>
      </c>
      <c r="BT1562" s="2" t="str">
        <f aca="false">HYPERLINK("https%3A%2F%2Fwww.webofscience.com%2Fwos%2Fwoscc%2Ffull-record%2FWOS:000331001400029","View Full Record in Web of Science")</f>
        <v>View Full Record in Web of Science</v>
      </c>
    </row>
    <row r="1563" customFormat="false" ht="12.75" hidden="false" customHeight="false" outlineLevel="0" collapsed="false">
      <c r="A1563" s="2" t="s">
        <v>72</v>
      </c>
      <c r="B1563" s="2" t="s">
        <v>27123</v>
      </c>
      <c r="C1563" s="2"/>
      <c r="D1563" s="2"/>
      <c r="E1563" s="2"/>
      <c r="F1563" s="2" t="s">
        <v>27124</v>
      </c>
      <c r="G1563" s="2"/>
      <c r="H1563" s="2"/>
      <c r="I1563" s="2" t="s">
        <v>27125</v>
      </c>
      <c r="J1563" s="2" t="s">
        <v>141</v>
      </c>
      <c r="K1563" s="2"/>
      <c r="L1563" s="2"/>
      <c r="M1563" s="2" t="s">
        <v>77</v>
      </c>
      <c r="N1563" s="2" t="s">
        <v>78</v>
      </c>
      <c r="O1563" s="2"/>
      <c r="P1563" s="2"/>
      <c r="Q1563" s="2"/>
      <c r="R1563" s="2"/>
      <c r="S1563" s="2"/>
      <c r="T1563" s="2" t="s">
        <v>27126</v>
      </c>
      <c r="U1563" s="2" t="s">
        <v>27127</v>
      </c>
      <c r="V1563" s="2" t="s">
        <v>27128</v>
      </c>
      <c r="W1563" s="2" t="s">
        <v>27129</v>
      </c>
      <c r="X1563" s="2" t="s">
        <v>15941</v>
      </c>
      <c r="Y1563" s="2" t="s">
        <v>27130</v>
      </c>
      <c r="Z1563" s="2" t="s">
        <v>5844</v>
      </c>
      <c r="AA1563" s="2"/>
      <c r="AB1563" s="2"/>
      <c r="AC1563" s="2" t="s">
        <v>15067</v>
      </c>
      <c r="AD1563" s="2" t="s">
        <v>15068</v>
      </c>
      <c r="AE1563" s="2" t="s">
        <v>27131</v>
      </c>
      <c r="AF1563" s="2"/>
      <c r="AG1563" s="2" t="n">
        <v>33</v>
      </c>
      <c r="AH1563" s="2" t="n">
        <v>12</v>
      </c>
      <c r="AI1563" s="2" t="n">
        <v>15</v>
      </c>
      <c r="AJ1563" s="2" t="n">
        <v>0</v>
      </c>
      <c r="AK1563" s="2" t="n">
        <v>10</v>
      </c>
      <c r="AL1563" s="2" t="s">
        <v>154</v>
      </c>
      <c r="AM1563" s="2" t="s">
        <v>155</v>
      </c>
      <c r="AN1563" s="2" t="s">
        <v>156</v>
      </c>
      <c r="AO1563" s="2" t="s">
        <v>157</v>
      </c>
      <c r="AP1563" s="2" t="s">
        <v>158</v>
      </c>
      <c r="AQ1563" s="2"/>
      <c r="AR1563" s="2" t="s">
        <v>159</v>
      </c>
      <c r="AS1563" s="2" t="s">
        <v>160</v>
      </c>
      <c r="AT1563" s="2" t="s">
        <v>97</v>
      </c>
      <c r="AU1563" s="2" t="n">
        <v>2013</v>
      </c>
      <c r="AV1563" s="2" t="n">
        <v>85</v>
      </c>
      <c r="AW1563" s="2" t="n">
        <v>3</v>
      </c>
      <c r="AX1563" s="2"/>
      <c r="AY1563" s="2"/>
      <c r="AZ1563" s="2"/>
      <c r="BA1563" s="2"/>
      <c r="BB1563" s="2" t="n">
        <v>546</v>
      </c>
      <c r="BC1563" s="2" t="n">
        <v>553</v>
      </c>
      <c r="BD1563" s="2"/>
      <c r="BE1563" s="2" t="s">
        <v>27132</v>
      </c>
      <c r="BF1563" s="2" t="str">
        <f aca="false">HYPERLINK("http://dx.doi.org/10.1002/jmv.23501","http://dx.doi.org/10.1002/jmv.23501")</f>
        <v>http://dx.doi.org/10.1002/jmv.23501</v>
      </c>
      <c r="BG1563" s="2"/>
      <c r="BH1563" s="2"/>
      <c r="BI1563" s="2" t="n">
        <v>8</v>
      </c>
      <c r="BJ1563" s="2" t="s">
        <v>163</v>
      </c>
      <c r="BK1563" s="2" t="s">
        <v>100</v>
      </c>
      <c r="BL1563" s="2" t="s">
        <v>163</v>
      </c>
      <c r="BM1563" s="2" t="s">
        <v>12892</v>
      </c>
      <c r="BN1563" s="2" t="n">
        <v>23296388</v>
      </c>
      <c r="BO1563" s="2" t="s">
        <v>165</v>
      </c>
      <c r="BP1563" s="2"/>
      <c r="BQ1563" s="2"/>
      <c r="BR1563" s="2" t="s">
        <v>104</v>
      </c>
      <c r="BS1563" s="2" t="s">
        <v>27133</v>
      </c>
      <c r="BT1563" s="2" t="str">
        <f aca="false">HYPERLINK("https%3A%2F%2Fwww.webofscience.com%2Fwos%2Fwoscc%2Ffull-record%2FWOS:000313946600024","View Full Record in Web of Science")</f>
        <v>View Full Record in Web of Science</v>
      </c>
    </row>
    <row r="1564" customFormat="false" ht="12.75" hidden="false" customHeight="false" outlineLevel="0" collapsed="false">
      <c r="A1564" s="2" t="s">
        <v>72</v>
      </c>
      <c r="B1564" s="2" t="s">
        <v>27134</v>
      </c>
      <c r="C1564" s="2"/>
      <c r="D1564" s="2"/>
      <c r="E1564" s="2"/>
      <c r="F1564" s="2" t="s">
        <v>27135</v>
      </c>
      <c r="G1564" s="2"/>
      <c r="H1564" s="2"/>
      <c r="I1564" s="2" t="s">
        <v>27136</v>
      </c>
      <c r="J1564" s="2" t="s">
        <v>141</v>
      </c>
      <c r="K1564" s="2"/>
      <c r="L1564" s="2"/>
      <c r="M1564" s="2" t="s">
        <v>77</v>
      </c>
      <c r="N1564" s="2" t="s">
        <v>78</v>
      </c>
      <c r="O1564" s="2"/>
      <c r="P1564" s="2"/>
      <c r="Q1564" s="2"/>
      <c r="R1564" s="2"/>
      <c r="S1564" s="2"/>
      <c r="T1564" s="2" t="s">
        <v>27137</v>
      </c>
      <c r="U1564" s="2" t="s">
        <v>27138</v>
      </c>
      <c r="V1564" s="2" t="s">
        <v>27139</v>
      </c>
      <c r="W1564" s="2" t="s">
        <v>27140</v>
      </c>
      <c r="X1564" s="2" t="s">
        <v>12669</v>
      </c>
      <c r="Y1564" s="2" t="s">
        <v>27141</v>
      </c>
      <c r="Z1564" s="2" t="s">
        <v>27142</v>
      </c>
      <c r="AA1564" s="2" t="s">
        <v>23654</v>
      </c>
      <c r="AB1564" s="2"/>
      <c r="AC1564" s="2" t="s">
        <v>27143</v>
      </c>
      <c r="AD1564" s="2" t="s">
        <v>27144</v>
      </c>
      <c r="AE1564" s="2" t="s">
        <v>27145</v>
      </c>
      <c r="AF1564" s="2"/>
      <c r="AG1564" s="2" t="n">
        <v>21</v>
      </c>
      <c r="AH1564" s="2" t="n">
        <v>6</v>
      </c>
      <c r="AI1564" s="2" t="n">
        <v>7</v>
      </c>
      <c r="AJ1564" s="2" t="n">
        <v>0</v>
      </c>
      <c r="AK1564" s="2" t="n">
        <v>8</v>
      </c>
      <c r="AL1564" s="2" t="s">
        <v>154</v>
      </c>
      <c r="AM1564" s="2" t="s">
        <v>155</v>
      </c>
      <c r="AN1564" s="2" t="s">
        <v>156</v>
      </c>
      <c r="AO1564" s="2" t="s">
        <v>157</v>
      </c>
      <c r="AP1564" s="2" t="s">
        <v>158</v>
      </c>
      <c r="AQ1564" s="2"/>
      <c r="AR1564" s="2" t="s">
        <v>159</v>
      </c>
      <c r="AS1564" s="2" t="s">
        <v>160</v>
      </c>
      <c r="AT1564" s="2" t="s">
        <v>692</v>
      </c>
      <c r="AU1564" s="2" t="n">
        <v>2019</v>
      </c>
      <c r="AV1564" s="2" t="n">
        <v>91</v>
      </c>
      <c r="AW1564" s="2" t="n">
        <v>4</v>
      </c>
      <c r="AX1564" s="2"/>
      <c r="AY1564" s="2"/>
      <c r="AZ1564" s="2"/>
      <c r="BA1564" s="2"/>
      <c r="BB1564" s="2" t="n">
        <v>564</v>
      </c>
      <c r="BC1564" s="2" t="n">
        <v>569</v>
      </c>
      <c r="BD1564" s="2"/>
      <c r="BE1564" s="2" t="s">
        <v>27146</v>
      </c>
      <c r="BF1564" s="2" t="str">
        <f aca="false">HYPERLINK("http://dx.doi.org/10.1002/jmv.25350","http://dx.doi.org/10.1002/jmv.25350")</f>
        <v>http://dx.doi.org/10.1002/jmv.25350</v>
      </c>
      <c r="BG1564" s="2"/>
      <c r="BH1564" s="2"/>
      <c r="BI1564" s="2" t="n">
        <v>6</v>
      </c>
      <c r="BJ1564" s="2" t="s">
        <v>163</v>
      </c>
      <c r="BK1564" s="2" t="s">
        <v>100</v>
      </c>
      <c r="BL1564" s="2" t="s">
        <v>163</v>
      </c>
      <c r="BM1564" s="2" t="s">
        <v>18133</v>
      </c>
      <c r="BN1564" s="2" t="n">
        <v>30358912</v>
      </c>
      <c r="BO1564" s="2" t="s">
        <v>165</v>
      </c>
      <c r="BP1564" s="2"/>
      <c r="BQ1564" s="2"/>
      <c r="BR1564" s="2" t="s">
        <v>104</v>
      </c>
      <c r="BS1564" s="2" t="s">
        <v>27147</v>
      </c>
      <c r="BT1564" s="2" t="str">
        <f aca="false">HYPERLINK("https%3A%2F%2Fwww.webofscience.com%2Fwos%2Fwoscc%2Ffull-record%2FWOS:000458577200007","View Full Record in Web of Science")</f>
        <v>View Full Record in Web of Science</v>
      </c>
    </row>
    <row r="1565" customFormat="false" ht="12.75" hidden="false" customHeight="false" outlineLevel="0" collapsed="false">
      <c r="A1565" s="2" t="s">
        <v>72</v>
      </c>
      <c r="B1565" s="2" t="s">
        <v>27148</v>
      </c>
      <c r="C1565" s="2"/>
      <c r="D1565" s="2"/>
      <c r="E1565" s="2"/>
      <c r="F1565" s="2" t="s">
        <v>27149</v>
      </c>
      <c r="G1565" s="2"/>
      <c r="H1565" s="2"/>
      <c r="I1565" s="2" t="s">
        <v>27150</v>
      </c>
      <c r="J1565" s="2" t="s">
        <v>20688</v>
      </c>
      <c r="K1565" s="2"/>
      <c r="L1565" s="2"/>
      <c r="M1565" s="2" t="s">
        <v>77</v>
      </c>
      <c r="N1565" s="2" t="s">
        <v>78</v>
      </c>
      <c r="O1565" s="2"/>
      <c r="P1565" s="2"/>
      <c r="Q1565" s="2"/>
      <c r="R1565" s="2"/>
      <c r="S1565" s="2"/>
      <c r="T1565" s="2" t="s">
        <v>27151</v>
      </c>
      <c r="U1565" s="2" t="s">
        <v>27152</v>
      </c>
      <c r="V1565" s="2" t="s">
        <v>27153</v>
      </c>
      <c r="W1565" s="2" t="s">
        <v>27154</v>
      </c>
      <c r="X1565" s="2" t="s">
        <v>27155</v>
      </c>
      <c r="Y1565" s="2" t="s">
        <v>27156</v>
      </c>
      <c r="Z1565" s="2" t="s">
        <v>27157</v>
      </c>
      <c r="AA1565" s="2"/>
      <c r="AB1565" s="2"/>
      <c r="AC1565" s="2"/>
      <c r="AD1565" s="2"/>
      <c r="AE1565" s="2"/>
      <c r="AF1565" s="2"/>
      <c r="AG1565" s="2" t="n">
        <v>76</v>
      </c>
      <c r="AH1565" s="2" t="n">
        <v>37</v>
      </c>
      <c r="AI1565" s="2" t="n">
        <v>38</v>
      </c>
      <c r="AJ1565" s="2" t="n">
        <v>0</v>
      </c>
      <c r="AK1565" s="2" t="n">
        <v>4</v>
      </c>
      <c r="AL1565" s="2" t="s">
        <v>383</v>
      </c>
      <c r="AM1565" s="2" t="s">
        <v>384</v>
      </c>
      <c r="AN1565" s="2" t="s">
        <v>385</v>
      </c>
      <c r="AO1565" s="2" t="s">
        <v>20695</v>
      </c>
      <c r="AP1565" s="2" t="s">
        <v>20696</v>
      </c>
      <c r="AQ1565" s="2"/>
      <c r="AR1565" s="2" t="s">
        <v>20688</v>
      </c>
      <c r="AS1565" s="2" t="s">
        <v>20697</v>
      </c>
      <c r="AT1565" s="2" t="s">
        <v>390</v>
      </c>
      <c r="AU1565" s="2" t="n">
        <v>2008</v>
      </c>
      <c r="AV1565" s="2" t="n">
        <v>133</v>
      </c>
      <c r="AW1565" s="2" t="n">
        <v>5</v>
      </c>
      <c r="AX1565" s="2"/>
      <c r="AY1565" s="2"/>
      <c r="AZ1565" s="2"/>
      <c r="BA1565" s="2"/>
      <c r="BB1565" s="2" t="n">
        <v>1221</v>
      </c>
      <c r="BC1565" s="2" t="n">
        <v>1231</v>
      </c>
      <c r="BD1565" s="2"/>
      <c r="BE1565" s="2" t="s">
        <v>27158</v>
      </c>
      <c r="BF1565" s="2" t="str">
        <f aca="false">HYPERLINK("http://dx.doi.org/10.1378/chest.07-0778","http://dx.doi.org/10.1378/chest.07-0778")</f>
        <v>http://dx.doi.org/10.1378/chest.07-0778</v>
      </c>
      <c r="BG1565" s="2"/>
      <c r="BH1565" s="2"/>
      <c r="BI1565" s="2" t="n">
        <v>11</v>
      </c>
      <c r="BJ1565" s="2" t="s">
        <v>2962</v>
      </c>
      <c r="BK1565" s="2" t="s">
        <v>100</v>
      </c>
      <c r="BL1565" s="2" t="s">
        <v>2963</v>
      </c>
      <c r="BM1565" s="2" t="s">
        <v>27159</v>
      </c>
      <c r="BN1565" s="2" t="n">
        <v>18460521</v>
      </c>
      <c r="BO1565" s="2" t="s">
        <v>165</v>
      </c>
      <c r="BP1565" s="2"/>
      <c r="BQ1565" s="2"/>
      <c r="BR1565" s="2" t="s">
        <v>104</v>
      </c>
      <c r="BS1565" s="2" t="s">
        <v>27160</v>
      </c>
      <c r="BT1565" s="2" t="str">
        <f aca="false">HYPERLINK("https%3A%2F%2Fwww.webofscience.com%2Fwos%2Fwoscc%2Ffull-record%2FWOS:000255807600032","View Full Record in Web of Science")</f>
        <v>View Full Record in Web of Science</v>
      </c>
    </row>
    <row r="1566" customFormat="false" ht="12.75" hidden="false" customHeight="false" outlineLevel="0" collapsed="false">
      <c r="A1566" s="2" t="s">
        <v>72</v>
      </c>
      <c r="B1566" s="2" t="s">
        <v>27161</v>
      </c>
      <c r="C1566" s="2"/>
      <c r="D1566" s="2"/>
      <c r="E1566" s="2"/>
      <c r="F1566" s="2" t="s">
        <v>27162</v>
      </c>
      <c r="G1566" s="2"/>
      <c r="H1566" s="2"/>
      <c r="I1566" s="2" t="s">
        <v>27163</v>
      </c>
      <c r="J1566" s="2" t="s">
        <v>20688</v>
      </c>
      <c r="K1566" s="2"/>
      <c r="L1566" s="2"/>
      <c r="M1566" s="2" t="s">
        <v>77</v>
      </c>
      <c r="N1566" s="2" t="s">
        <v>78</v>
      </c>
      <c r="O1566" s="2"/>
      <c r="P1566" s="2"/>
      <c r="Q1566" s="2"/>
      <c r="R1566" s="2"/>
      <c r="S1566" s="2"/>
      <c r="T1566" s="2" t="s">
        <v>27164</v>
      </c>
      <c r="U1566" s="2" t="s">
        <v>27165</v>
      </c>
      <c r="V1566" s="2" t="s">
        <v>27166</v>
      </c>
      <c r="W1566" s="2" t="s">
        <v>27167</v>
      </c>
      <c r="X1566" s="2" t="s">
        <v>27168</v>
      </c>
      <c r="Y1566" s="2" t="s">
        <v>27169</v>
      </c>
      <c r="Z1566" s="2" t="s">
        <v>27170</v>
      </c>
      <c r="AA1566" s="2" t="s">
        <v>27171</v>
      </c>
      <c r="AB1566" s="2" t="s">
        <v>27172</v>
      </c>
      <c r="AC1566" s="2"/>
      <c r="AD1566" s="2"/>
      <c r="AE1566" s="2"/>
      <c r="AF1566" s="2"/>
      <c r="AG1566" s="2" t="n">
        <v>49</v>
      </c>
      <c r="AH1566" s="2" t="n">
        <v>85</v>
      </c>
      <c r="AI1566" s="2" t="n">
        <v>87</v>
      </c>
      <c r="AJ1566" s="2" t="n">
        <v>0</v>
      </c>
      <c r="AK1566" s="2" t="n">
        <v>5</v>
      </c>
      <c r="AL1566" s="2" t="s">
        <v>383</v>
      </c>
      <c r="AM1566" s="2" t="s">
        <v>384</v>
      </c>
      <c r="AN1566" s="2" t="s">
        <v>385</v>
      </c>
      <c r="AO1566" s="2" t="s">
        <v>20695</v>
      </c>
      <c r="AP1566" s="2" t="s">
        <v>20696</v>
      </c>
      <c r="AQ1566" s="2"/>
      <c r="AR1566" s="2" t="s">
        <v>20688</v>
      </c>
      <c r="AS1566" s="2" t="s">
        <v>20697</v>
      </c>
      <c r="AT1566" s="2" t="s">
        <v>129</v>
      </c>
      <c r="AU1566" s="2" t="n">
        <v>2007</v>
      </c>
      <c r="AV1566" s="2" t="n">
        <v>132</v>
      </c>
      <c r="AW1566" s="2" t="n">
        <v>3</v>
      </c>
      <c r="AX1566" s="2"/>
      <c r="AY1566" s="2"/>
      <c r="AZ1566" s="2"/>
      <c r="BA1566" s="2"/>
      <c r="BB1566" s="2" t="n">
        <v>900</v>
      </c>
      <c r="BC1566" s="2" t="n">
        <v>908</v>
      </c>
      <c r="BD1566" s="2"/>
      <c r="BE1566" s="2" t="s">
        <v>27173</v>
      </c>
      <c r="BF1566" s="2" t="str">
        <f aca="false">HYPERLINK("http://dx.doi.org/10.1378/chest.07-0530","http://dx.doi.org/10.1378/chest.07-0530")</f>
        <v>http://dx.doi.org/10.1378/chest.07-0530</v>
      </c>
      <c r="BG1566" s="2"/>
      <c r="BH1566" s="2"/>
      <c r="BI1566" s="2" t="n">
        <v>9</v>
      </c>
      <c r="BJ1566" s="2" t="s">
        <v>2962</v>
      </c>
      <c r="BK1566" s="2" t="s">
        <v>100</v>
      </c>
      <c r="BL1566" s="2" t="s">
        <v>2963</v>
      </c>
      <c r="BM1566" s="2" t="s">
        <v>27174</v>
      </c>
      <c r="BN1566" s="2" t="n">
        <v>17573516</v>
      </c>
      <c r="BO1566" s="2" t="s">
        <v>136</v>
      </c>
      <c r="BP1566" s="2"/>
      <c r="BQ1566" s="2"/>
      <c r="BR1566" s="2" t="s">
        <v>104</v>
      </c>
      <c r="BS1566" s="2" t="s">
        <v>27175</v>
      </c>
      <c r="BT1566" s="2" t="str">
        <f aca="false">HYPERLINK("https%3A%2F%2Fwww.webofscience.com%2Fwos%2Fwoscc%2Ffull-record%2FWOS:000249742100029","View Full Record in Web of Science")</f>
        <v>View Full Record in Web of Science</v>
      </c>
    </row>
    <row r="1567" customFormat="false" ht="12.75" hidden="false" customHeight="false" outlineLevel="0" collapsed="false">
      <c r="A1567" s="2" t="s">
        <v>72</v>
      </c>
      <c r="B1567" s="2" t="s">
        <v>27176</v>
      </c>
      <c r="C1567" s="2"/>
      <c r="D1567" s="2"/>
      <c r="E1567" s="2"/>
      <c r="F1567" s="2" t="s">
        <v>27177</v>
      </c>
      <c r="G1567" s="2"/>
      <c r="H1567" s="2"/>
      <c r="I1567" s="2" t="s">
        <v>27178</v>
      </c>
      <c r="J1567" s="2" t="s">
        <v>8664</v>
      </c>
      <c r="K1567" s="2"/>
      <c r="L1567" s="2"/>
      <c r="M1567" s="2" t="s">
        <v>77</v>
      </c>
      <c r="N1567" s="2" t="s">
        <v>78</v>
      </c>
      <c r="O1567" s="2"/>
      <c r="P1567" s="2"/>
      <c r="Q1567" s="2"/>
      <c r="R1567" s="2"/>
      <c r="S1567" s="2"/>
      <c r="T1567" s="2" t="s">
        <v>27179</v>
      </c>
      <c r="U1567" s="2"/>
      <c r="V1567" s="2"/>
      <c r="W1567" s="2" t="s">
        <v>27180</v>
      </c>
      <c r="X1567" s="2" t="s">
        <v>27181</v>
      </c>
      <c r="Y1567" s="2" t="s">
        <v>27182</v>
      </c>
      <c r="Z1567" s="2" t="s">
        <v>27183</v>
      </c>
      <c r="AA1567" s="2" t="s">
        <v>27184</v>
      </c>
      <c r="AB1567" s="2" t="s">
        <v>27185</v>
      </c>
      <c r="AC1567" s="2"/>
      <c r="AD1567" s="2"/>
      <c r="AE1567" s="2"/>
      <c r="AF1567" s="2"/>
      <c r="AG1567" s="2" t="n">
        <v>10</v>
      </c>
      <c r="AH1567" s="2" t="n">
        <v>9</v>
      </c>
      <c r="AI1567" s="2" t="n">
        <v>9</v>
      </c>
      <c r="AJ1567" s="2" t="n">
        <v>0</v>
      </c>
      <c r="AK1567" s="2" t="n">
        <v>0</v>
      </c>
      <c r="AL1567" s="2" t="s">
        <v>154</v>
      </c>
      <c r="AM1567" s="2" t="s">
        <v>155</v>
      </c>
      <c r="AN1567" s="2" t="s">
        <v>156</v>
      </c>
      <c r="AO1567" s="2" t="s">
        <v>8673</v>
      </c>
      <c r="AP1567" s="2" t="s">
        <v>8674</v>
      </c>
      <c r="AQ1567" s="2"/>
      <c r="AR1567" s="2" t="s">
        <v>8675</v>
      </c>
      <c r="AS1567" s="2" t="s">
        <v>8676</v>
      </c>
      <c r="AT1567" s="2" t="s">
        <v>185</v>
      </c>
      <c r="AU1567" s="2" t="n">
        <v>2008</v>
      </c>
      <c r="AV1567" s="2" t="n">
        <v>50</v>
      </c>
      <c r="AW1567" s="2" t="n">
        <v>4</v>
      </c>
      <c r="AX1567" s="2"/>
      <c r="AY1567" s="2"/>
      <c r="AZ1567" s="2"/>
      <c r="BA1567" s="2"/>
      <c r="BB1567" s="2" t="n">
        <v>589</v>
      </c>
      <c r="BC1567" s="2" t="n">
        <v>591</v>
      </c>
      <c r="BD1567" s="2"/>
      <c r="BE1567" s="2" t="s">
        <v>27186</v>
      </c>
      <c r="BF1567" s="2" t="str">
        <f aca="false">HYPERLINK("http://dx.doi.org/10.1111/j.1442-200X.2008.02673.x","http://dx.doi.org/10.1111/j.1442-200X.2008.02673.x")</f>
        <v>http://dx.doi.org/10.1111/j.1442-200X.2008.02673.x</v>
      </c>
      <c r="BG1567" s="2"/>
      <c r="BH1567" s="2"/>
      <c r="BI1567" s="2" t="n">
        <v>3</v>
      </c>
      <c r="BJ1567" s="2" t="s">
        <v>601</v>
      </c>
      <c r="BK1567" s="2" t="s">
        <v>100</v>
      </c>
      <c r="BL1567" s="2" t="s">
        <v>601</v>
      </c>
      <c r="BM1567" s="2" t="s">
        <v>27187</v>
      </c>
      <c r="BN1567" s="2" t="n">
        <v>18937761</v>
      </c>
      <c r="BO1567" s="2" t="s">
        <v>1267</v>
      </c>
      <c r="BP1567" s="2"/>
      <c r="BQ1567" s="2"/>
      <c r="BR1567" s="2" t="s">
        <v>104</v>
      </c>
      <c r="BS1567" s="2" t="s">
        <v>27188</v>
      </c>
      <c r="BT1567" s="2" t="str">
        <f aca="false">HYPERLINK("https%3A%2F%2Fwww.webofscience.com%2Fwos%2Fwoscc%2Ffull-record%2FWOS:000258732300037","View Full Record in Web of Science")</f>
        <v>View Full Record in Web of Science</v>
      </c>
    </row>
    <row r="1568" customFormat="false" ht="12.75" hidden="false" customHeight="false" outlineLevel="0" collapsed="false">
      <c r="A1568" s="2" t="s">
        <v>72</v>
      </c>
      <c r="B1568" s="2" t="s">
        <v>27189</v>
      </c>
      <c r="C1568" s="2"/>
      <c r="D1568" s="2"/>
      <c r="E1568" s="2"/>
      <c r="F1568" s="2" t="s">
        <v>27190</v>
      </c>
      <c r="G1568" s="2"/>
      <c r="H1568" s="2" t="s">
        <v>27191</v>
      </c>
      <c r="I1568" s="2" t="s">
        <v>27192</v>
      </c>
      <c r="J1568" s="2" t="s">
        <v>1290</v>
      </c>
      <c r="K1568" s="2"/>
      <c r="L1568" s="2"/>
      <c r="M1568" s="2" t="s">
        <v>77</v>
      </c>
      <c r="N1568" s="2" t="s">
        <v>78</v>
      </c>
      <c r="O1568" s="2"/>
      <c r="P1568" s="2"/>
      <c r="Q1568" s="2"/>
      <c r="R1568" s="2"/>
      <c r="S1568" s="2"/>
      <c r="T1568" s="2" t="s">
        <v>27193</v>
      </c>
      <c r="U1568" s="2" t="s">
        <v>27194</v>
      </c>
      <c r="V1568" s="2" t="s">
        <v>27195</v>
      </c>
      <c r="W1568" s="2" t="s">
        <v>27196</v>
      </c>
      <c r="X1568" s="2" t="s">
        <v>27197</v>
      </c>
      <c r="Y1568" s="2" t="s">
        <v>27198</v>
      </c>
      <c r="Z1568" s="2" t="s">
        <v>27199</v>
      </c>
      <c r="AA1568" s="2" t="s">
        <v>27200</v>
      </c>
      <c r="AB1568" s="2" t="s">
        <v>27201</v>
      </c>
      <c r="AC1568" s="2"/>
      <c r="AD1568" s="2"/>
      <c r="AE1568" s="2"/>
      <c r="AF1568" s="2"/>
      <c r="AG1568" s="2" t="n">
        <v>47</v>
      </c>
      <c r="AH1568" s="2" t="n">
        <v>19</v>
      </c>
      <c r="AI1568" s="2" t="n">
        <v>20</v>
      </c>
      <c r="AJ1568" s="2" t="n">
        <v>0</v>
      </c>
      <c r="AK1568" s="2" t="n">
        <v>11</v>
      </c>
      <c r="AL1568" s="2" t="s">
        <v>154</v>
      </c>
      <c r="AM1568" s="2" t="s">
        <v>155</v>
      </c>
      <c r="AN1568" s="2" t="s">
        <v>156</v>
      </c>
      <c r="AO1568" s="2" t="s">
        <v>1302</v>
      </c>
      <c r="AP1568" s="2" t="s">
        <v>1303</v>
      </c>
      <c r="AQ1568" s="2"/>
      <c r="AR1568" s="2" t="s">
        <v>1304</v>
      </c>
      <c r="AS1568" s="2" t="s">
        <v>1305</v>
      </c>
      <c r="AT1568" s="2" t="s">
        <v>97</v>
      </c>
      <c r="AU1568" s="2" t="n">
        <v>2018</v>
      </c>
      <c r="AV1568" s="2" t="n">
        <v>53</v>
      </c>
      <c r="AW1568" s="2" t="n">
        <v>3</v>
      </c>
      <c r="AX1568" s="2"/>
      <c r="AY1568" s="2"/>
      <c r="AZ1568" s="2"/>
      <c r="BA1568" s="2"/>
      <c r="BB1568" s="2" t="n">
        <v>358</v>
      </c>
      <c r="BC1568" s="2" t="n">
        <v>365</v>
      </c>
      <c r="BD1568" s="2"/>
      <c r="BE1568" s="2" t="s">
        <v>27202</v>
      </c>
      <c r="BF1568" s="2" t="str">
        <f aca="false">HYPERLINK("http://dx.doi.org/10.1002/ppul.23945","http://dx.doi.org/10.1002/ppul.23945")</f>
        <v>http://dx.doi.org/10.1002/ppul.23945</v>
      </c>
      <c r="BG1568" s="2"/>
      <c r="BH1568" s="2"/>
      <c r="BI1568" s="2" t="n">
        <v>8</v>
      </c>
      <c r="BJ1568" s="2" t="s">
        <v>1307</v>
      </c>
      <c r="BK1568" s="2" t="s">
        <v>100</v>
      </c>
      <c r="BL1568" s="2" t="s">
        <v>1307</v>
      </c>
      <c r="BM1568" s="2" t="s">
        <v>27203</v>
      </c>
      <c r="BN1568" s="2" t="n">
        <v>29327810</v>
      </c>
      <c r="BO1568" s="2"/>
      <c r="BP1568" s="2"/>
      <c r="BQ1568" s="2"/>
      <c r="BR1568" s="2" t="s">
        <v>104</v>
      </c>
      <c r="BS1568" s="2" t="s">
        <v>27204</v>
      </c>
      <c r="BT1568" s="2" t="str">
        <f aca="false">HYPERLINK("https%3A%2F%2Fwww.webofscience.com%2Fwos%2Fwoscc%2Ffull-record%2FWOS:000425450000016","View Full Record in Web of Science")</f>
        <v>View Full Record in Web of Science</v>
      </c>
    </row>
    <row r="1569" customFormat="false" ht="12.75" hidden="false" customHeight="false" outlineLevel="0" collapsed="false">
      <c r="A1569" s="2" t="s">
        <v>72</v>
      </c>
      <c r="B1569" s="2" t="s">
        <v>27205</v>
      </c>
      <c r="C1569" s="2"/>
      <c r="D1569" s="2"/>
      <c r="E1569" s="2"/>
      <c r="F1569" s="2" t="s">
        <v>27206</v>
      </c>
      <c r="G1569" s="2"/>
      <c r="H1569" s="2"/>
      <c r="I1569" s="2" t="s">
        <v>27207</v>
      </c>
      <c r="J1569" s="2" t="s">
        <v>3657</v>
      </c>
      <c r="K1569" s="2"/>
      <c r="L1569" s="2"/>
      <c r="M1569" s="2" t="s">
        <v>77</v>
      </c>
      <c r="N1569" s="2" t="s">
        <v>78</v>
      </c>
      <c r="O1569" s="2"/>
      <c r="P1569" s="2"/>
      <c r="Q1569" s="2"/>
      <c r="R1569" s="2"/>
      <c r="S1569" s="2"/>
      <c r="T1569" s="2" t="s">
        <v>27208</v>
      </c>
      <c r="U1569" s="2" t="s">
        <v>27209</v>
      </c>
      <c r="V1569" s="2" t="s">
        <v>27210</v>
      </c>
      <c r="W1569" s="2" t="s">
        <v>27211</v>
      </c>
      <c r="X1569" s="2" t="s">
        <v>27212</v>
      </c>
      <c r="Y1569" s="2" t="s">
        <v>27213</v>
      </c>
      <c r="Z1569" s="2" t="s">
        <v>27214</v>
      </c>
      <c r="AA1569" s="2" t="s">
        <v>27215</v>
      </c>
      <c r="AB1569" s="2" t="s">
        <v>27216</v>
      </c>
      <c r="AC1569" s="2"/>
      <c r="AD1569" s="2"/>
      <c r="AE1569" s="2"/>
      <c r="AF1569" s="2"/>
      <c r="AG1569" s="2" t="n">
        <v>18</v>
      </c>
      <c r="AH1569" s="2" t="n">
        <v>12</v>
      </c>
      <c r="AI1569" s="2" t="n">
        <v>14</v>
      </c>
      <c r="AJ1569" s="2" t="n">
        <v>0</v>
      </c>
      <c r="AK1569" s="2" t="n">
        <v>6</v>
      </c>
      <c r="AL1569" s="2" t="s">
        <v>3667</v>
      </c>
      <c r="AM1569" s="2" t="s">
        <v>3668</v>
      </c>
      <c r="AN1569" s="2" t="s">
        <v>3669</v>
      </c>
      <c r="AO1569" s="2" t="s">
        <v>3670</v>
      </c>
      <c r="AP1569" s="2"/>
      <c r="AQ1569" s="2"/>
      <c r="AR1569" s="2" t="s">
        <v>3671</v>
      </c>
      <c r="AS1569" s="2" t="s">
        <v>3672</v>
      </c>
      <c r="AT1569" s="2" t="s">
        <v>2882</v>
      </c>
      <c r="AU1569" s="2" t="n">
        <v>2014</v>
      </c>
      <c r="AV1569" s="2" t="n">
        <v>56</v>
      </c>
      <c r="AW1569" s="2" t="n">
        <v>6</v>
      </c>
      <c r="AX1569" s="2"/>
      <c r="AY1569" s="2"/>
      <c r="AZ1569" s="2"/>
      <c r="BA1569" s="2"/>
      <c r="BB1569" s="2" t="n">
        <v>592</v>
      </c>
      <c r="BC1569" s="2" t="n">
        <v>596</v>
      </c>
      <c r="BD1569" s="2"/>
      <c r="BE1569" s="2"/>
      <c r="BF1569" s="2"/>
      <c r="BG1569" s="2"/>
      <c r="BH1569" s="2"/>
      <c r="BI1569" s="2" t="n">
        <v>5</v>
      </c>
      <c r="BJ1569" s="2" t="s">
        <v>601</v>
      </c>
      <c r="BK1569" s="2" t="s">
        <v>100</v>
      </c>
      <c r="BL1569" s="2" t="s">
        <v>601</v>
      </c>
      <c r="BM1569" s="2" t="s">
        <v>27217</v>
      </c>
      <c r="BN1569" s="2" t="n">
        <v>26388588</v>
      </c>
      <c r="BO1569" s="2"/>
      <c r="BP1569" s="2"/>
      <c r="BQ1569" s="2"/>
      <c r="BR1569" s="2" t="s">
        <v>104</v>
      </c>
      <c r="BS1569" s="2" t="s">
        <v>27218</v>
      </c>
      <c r="BT1569" s="2" t="str">
        <f aca="false">HYPERLINK("https%3A%2F%2Fwww.webofscience.com%2Fwos%2Fwoscc%2Ffull-record%2FWOS:000365352700003","View Full Record in Web of Science")</f>
        <v>View Full Record in Web of Science</v>
      </c>
    </row>
    <row r="1570" customFormat="false" ht="12.75" hidden="false" customHeight="false" outlineLevel="0" collapsed="false">
      <c r="A1570" s="2" t="s">
        <v>72</v>
      </c>
      <c r="B1570" s="2" t="s">
        <v>27219</v>
      </c>
      <c r="C1570" s="2"/>
      <c r="D1570" s="2"/>
      <c r="E1570" s="2"/>
      <c r="F1570" s="2" t="s">
        <v>27220</v>
      </c>
      <c r="G1570" s="2"/>
      <c r="H1570" s="2"/>
      <c r="I1570" s="2" t="s">
        <v>27221</v>
      </c>
      <c r="J1570" s="2" t="s">
        <v>27222</v>
      </c>
      <c r="K1570" s="2"/>
      <c r="L1570" s="2"/>
      <c r="M1570" s="2" t="s">
        <v>77</v>
      </c>
      <c r="N1570" s="2" t="s">
        <v>78</v>
      </c>
      <c r="O1570" s="2"/>
      <c r="P1570" s="2"/>
      <c r="Q1570" s="2"/>
      <c r="R1570" s="2"/>
      <c r="S1570" s="2"/>
      <c r="T1570" s="2" t="s">
        <v>27223</v>
      </c>
      <c r="U1570" s="2" t="s">
        <v>27224</v>
      </c>
      <c r="V1570" s="2" t="s">
        <v>27225</v>
      </c>
      <c r="W1570" s="2" t="s">
        <v>27226</v>
      </c>
      <c r="X1570" s="2" t="s">
        <v>27227</v>
      </c>
      <c r="Y1570" s="2" t="s">
        <v>27228</v>
      </c>
      <c r="Z1570" s="2" t="s">
        <v>27229</v>
      </c>
      <c r="AA1570" s="2" t="s">
        <v>27230</v>
      </c>
      <c r="AB1570" s="2" t="s">
        <v>27231</v>
      </c>
      <c r="AC1570" s="2"/>
      <c r="AD1570" s="2"/>
      <c r="AE1570" s="2"/>
      <c r="AF1570" s="2"/>
      <c r="AG1570" s="2" t="n">
        <v>98</v>
      </c>
      <c r="AH1570" s="2" t="n">
        <v>12</v>
      </c>
      <c r="AI1570" s="2" t="n">
        <v>14</v>
      </c>
      <c r="AJ1570" s="2" t="n">
        <v>0</v>
      </c>
      <c r="AK1570" s="2" t="n">
        <v>14</v>
      </c>
      <c r="AL1570" s="2" t="s">
        <v>4598</v>
      </c>
      <c r="AM1570" s="2" t="s">
        <v>4599</v>
      </c>
      <c r="AN1570" s="2" t="s">
        <v>4600</v>
      </c>
      <c r="AO1570" s="2" t="s">
        <v>27232</v>
      </c>
      <c r="AP1570" s="2" t="s">
        <v>27233</v>
      </c>
      <c r="AQ1570" s="2"/>
      <c r="AR1570" s="2" t="s">
        <v>27234</v>
      </c>
      <c r="AS1570" s="2" t="s">
        <v>27235</v>
      </c>
      <c r="AT1570" s="2"/>
      <c r="AU1570" s="2" t="n">
        <v>2016</v>
      </c>
      <c r="AV1570" s="2" t="n">
        <v>17</v>
      </c>
      <c r="AW1570" s="2" t="n">
        <v>2</v>
      </c>
      <c r="AX1570" s="2"/>
      <c r="AY1570" s="2"/>
      <c r="AZ1570" s="2"/>
      <c r="BA1570" s="2"/>
      <c r="BB1570" s="2" t="n">
        <v>156</v>
      </c>
      <c r="BC1570" s="2" t="n">
        <v>167</v>
      </c>
      <c r="BD1570" s="2"/>
      <c r="BE1570" s="2" t="s">
        <v>27236</v>
      </c>
      <c r="BF1570" s="2" t="str">
        <f aca="false">HYPERLINK("http://dx.doi.org/10.2174/1389200217666151210124713","http://dx.doi.org/10.2174/1389200217666151210124713")</f>
        <v>http://dx.doi.org/10.2174/1389200217666151210124713</v>
      </c>
      <c r="BG1570" s="2"/>
      <c r="BH1570" s="2"/>
      <c r="BI1570" s="2" t="n">
        <v>12</v>
      </c>
      <c r="BJ1570" s="2" t="s">
        <v>27237</v>
      </c>
      <c r="BK1570" s="2" t="s">
        <v>100</v>
      </c>
      <c r="BL1570" s="2" t="s">
        <v>27237</v>
      </c>
      <c r="BM1570" s="2" t="s">
        <v>27238</v>
      </c>
      <c r="BN1570" s="2" t="n">
        <v>26651980</v>
      </c>
      <c r="BO1570" s="2"/>
      <c r="BP1570" s="2"/>
      <c r="BQ1570" s="2"/>
      <c r="BR1570" s="2" t="s">
        <v>104</v>
      </c>
      <c r="BS1570" s="2" t="s">
        <v>27239</v>
      </c>
      <c r="BT1570" s="2" t="str">
        <f aca="false">HYPERLINK("https%3A%2F%2Fwww.webofscience.com%2Fwos%2Fwoscc%2Ffull-record%2FWOS:000372113700007","View Full Record in Web of Science")</f>
        <v>View Full Record in Web of Science</v>
      </c>
    </row>
    <row r="1571" customFormat="false" ht="12.75" hidden="false" customHeight="false" outlineLevel="0" collapsed="false">
      <c r="A1571" s="2" t="s">
        <v>72</v>
      </c>
      <c r="B1571" s="2" t="s">
        <v>27240</v>
      </c>
      <c r="C1571" s="2"/>
      <c r="D1571" s="2"/>
      <c r="E1571" s="2"/>
      <c r="F1571" s="2" t="s">
        <v>27241</v>
      </c>
      <c r="G1571" s="2"/>
      <c r="H1571" s="2"/>
      <c r="I1571" s="2" t="s">
        <v>27242</v>
      </c>
      <c r="J1571" s="2" t="s">
        <v>21348</v>
      </c>
      <c r="K1571" s="2"/>
      <c r="L1571" s="2"/>
      <c r="M1571" s="2" t="s">
        <v>77</v>
      </c>
      <c r="N1571" s="2" t="s">
        <v>78</v>
      </c>
      <c r="O1571" s="2"/>
      <c r="P1571" s="2"/>
      <c r="Q1571" s="2"/>
      <c r="R1571" s="2"/>
      <c r="S1571" s="2"/>
      <c r="T1571" s="2" t="s">
        <v>27243</v>
      </c>
      <c r="U1571" s="2" t="s">
        <v>27244</v>
      </c>
      <c r="V1571" s="2" t="s">
        <v>27245</v>
      </c>
      <c r="W1571" s="2" t="s">
        <v>27246</v>
      </c>
      <c r="X1571" s="2" t="s">
        <v>18496</v>
      </c>
      <c r="Y1571" s="2" t="s">
        <v>27247</v>
      </c>
      <c r="Z1571" s="2" t="s">
        <v>27248</v>
      </c>
      <c r="AA1571" s="2" t="s">
        <v>21909</v>
      </c>
      <c r="AB1571" s="2"/>
      <c r="AC1571" s="2" t="s">
        <v>27249</v>
      </c>
      <c r="AD1571" s="2" t="s">
        <v>27250</v>
      </c>
      <c r="AE1571" s="2" t="s">
        <v>27251</v>
      </c>
      <c r="AF1571" s="2"/>
      <c r="AG1571" s="2" t="n">
        <v>32</v>
      </c>
      <c r="AH1571" s="2" t="n">
        <v>15</v>
      </c>
      <c r="AI1571" s="2" t="n">
        <v>17</v>
      </c>
      <c r="AJ1571" s="2" t="n">
        <v>0</v>
      </c>
      <c r="AK1571" s="2" t="n">
        <v>10</v>
      </c>
      <c r="AL1571" s="2" t="s">
        <v>3150</v>
      </c>
      <c r="AM1571" s="2" t="s">
        <v>3151</v>
      </c>
      <c r="AN1571" s="2" t="s">
        <v>3152</v>
      </c>
      <c r="AO1571" s="2" t="s">
        <v>21361</v>
      </c>
      <c r="AP1571" s="2" t="s">
        <v>27252</v>
      </c>
      <c r="AQ1571" s="2"/>
      <c r="AR1571" s="2" t="s">
        <v>21362</v>
      </c>
      <c r="AS1571" s="2" t="s">
        <v>21363</v>
      </c>
      <c r="AT1571" s="2" t="s">
        <v>599</v>
      </c>
      <c r="AU1571" s="2" t="n">
        <v>2014</v>
      </c>
      <c r="AV1571" s="2" t="n">
        <v>113</v>
      </c>
      <c r="AW1571" s="2" t="n">
        <v>7</v>
      </c>
      <c r="AX1571" s="2"/>
      <c r="AY1571" s="2"/>
      <c r="AZ1571" s="2"/>
      <c r="BA1571" s="2"/>
      <c r="BB1571" s="2" t="n">
        <v>463</v>
      </c>
      <c r="BC1571" s="2" t="n">
        <v>469</v>
      </c>
      <c r="BD1571" s="2"/>
      <c r="BE1571" s="2" t="s">
        <v>27253</v>
      </c>
      <c r="BF1571" s="2" t="str">
        <f aca="false">HYPERLINK("http://dx.doi.org/10.1016/j.jfma.2012.12.013","http://dx.doi.org/10.1016/j.jfma.2012.12.013")</f>
        <v>http://dx.doi.org/10.1016/j.jfma.2012.12.013</v>
      </c>
      <c r="BG1571" s="2"/>
      <c r="BH1571" s="2"/>
      <c r="BI1571" s="2" t="n">
        <v>7</v>
      </c>
      <c r="BJ1571" s="2" t="s">
        <v>363</v>
      </c>
      <c r="BK1571" s="2" t="s">
        <v>100</v>
      </c>
      <c r="BL1571" s="2" t="s">
        <v>364</v>
      </c>
      <c r="BM1571" s="2" t="s">
        <v>27254</v>
      </c>
      <c r="BN1571" s="2" t="n">
        <v>24961189</v>
      </c>
      <c r="BO1571" s="2" t="s">
        <v>393</v>
      </c>
      <c r="BP1571" s="2"/>
      <c r="BQ1571" s="2"/>
      <c r="BR1571" s="2" t="s">
        <v>104</v>
      </c>
      <c r="BS1571" s="2" t="s">
        <v>27255</v>
      </c>
      <c r="BT1571" s="2" t="str">
        <f aca="false">HYPERLINK("https%3A%2F%2Fwww.webofscience.com%2Fwos%2Fwoscc%2Ffull-record%2FWOS:000339088000011","View Full Record in Web of Science")</f>
        <v>View Full Record in Web of Science</v>
      </c>
    </row>
    <row r="1572" customFormat="false" ht="12.75" hidden="false" customHeight="false" outlineLevel="0" collapsed="false">
      <c r="A1572" s="2" t="s">
        <v>72</v>
      </c>
      <c r="B1572" s="2" t="s">
        <v>27256</v>
      </c>
      <c r="C1572" s="2"/>
      <c r="D1572" s="2"/>
      <c r="E1572" s="2"/>
      <c r="F1572" s="2" t="s">
        <v>27257</v>
      </c>
      <c r="G1572" s="2"/>
      <c r="H1572" s="2"/>
      <c r="I1572" s="2" t="s">
        <v>27258</v>
      </c>
      <c r="J1572" s="2" t="s">
        <v>9159</v>
      </c>
      <c r="K1572" s="2"/>
      <c r="L1572" s="2"/>
      <c r="M1572" s="2" t="s">
        <v>77</v>
      </c>
      <c r="N1572" s="2" t="s">
        <v>78</v>
      </c>
      <c r="O1572" s="2"/>
      <c r="P1572" s="2"/>
      <c r="Q1572" s="2"/>
      <c r="R1572" s="2"/>
      <c r="S1572" s="2"/>
      <c r="T1572" s="2" t="s">
        <v>27259</v>
      </c>
      <c r="U1572" s="2" t="s">
        <v>27260</v>
      </c>
      <c r="V1572" s="2" t="s">
        <v>27261</v>
      </c>
      <c r="W1572" s="2" t="s">
        <v>27262</v>
      </c>
      <c r="X1572" s="2" t="s">
        <v>27263</v>
      </c>
      <c r="Y1572" s="2" t="s">
        <v>27264</v>
      </c>
      <c r="Z1572" s="2" t="s">
        <v>27265</v>
      </c>
      <c r="AA1572" s="2" t="s">
        <v>27266</v>
      </c>
      <c r="AB1572" s="2" t="s">
        <v>27267</v>
      </c>
      <c r="AC1572" s="2" t="s">
        <v>27268</v>
      </c>
      <c r="AD1572" s="2" t="s">
        <v>27268</v>
      </c>
      <c r="AE1572" s="2" t="s">
        <v>27269</v>
      </c>
      <c r="AF1572" s="2"/>
      <c r="AG1572" s="2" t="n">
        <v>48</v>
      </c>
      <c r="AH1572" s="2" t="n">
        <v>3</v>
      </c>
      <c r="AI1572" s="2" t="n">
        <v>3</v>
      </c>
      <c r="AJ1572" s="2" t="n">
        <v>0</v>
      </c>
      <c r="AK1572" s="2" t="n">
        <v>0</v>
      </c>
      <c r="AL1572" s="2" t="s">
        <v>9169</v>
      </c>
      <c r="AM1572" s="2" t="s">
        <v>9170</v>
      </c>
      <c r="AN1572" s="2" t="s">
        <v>9171</v>
      </c>
      <c r="AO1572" s="2" t="s">
        <v>9172</v>
      </c>
      <c r="AP1572" s="2" t="s">
        <v>9173</v>
      </c>
      <c r="AQ1572" s="2"/>
      <c r="AR1572" s="2" t="s">
        <v>9174</v>
      </c>
      <c r="AS1572" s="2" t="s">
        <v>9175</v>
      </c>
      <c r="AT1572" s="2" t="s">
        <v>804</v>
      </c>
      <c r="AU1572" s="2" t="n">
        <v>2021</v>
      </c>
      <c r="AV1572" s="2" t="n">
        <v>25</v>
      </c>
      <c r="AW1572" s="2" t="n">
        <v>11</v>
      </c>
      <c r="AX1572" s="2"/>
      <c r="AY1572" s="2"/>
      <c r="AZ1572" s="2"/>
      <c r="BA1572" s="2"/>
      <c r="BB1572" s="2" t="n">
        <v>1301</v>
      </c>
      <c r="BC1572" s="2" t="n">
        <v>1307</v>
      </c>
      <c r="BD1572" s="2"/>
      <c r="BE1572" s="2" t="s">
        <v>27270</v>
      </c>
      <c r="BF1572" s="2" t="str">
        <f aca="false">HYPERLINK("http://dx.doi.org/10.5005/jp-journals-10071-24016","http://dx.doi.org/10.5005/jp-journals-10071-24016")</f>
        <v>http://dx.doi.org/10.5005/jp-journals-10071-24016</v>
      </c>
      <c r="BG1572" s="2"/>
      <c r="BH1572" s="2"/>
      <c r="BI1572" s="2" t="n">
        <v>7</v>
      </c>
      <c r="BJ1572" s="2" t="s">
        <v>473</v>
      </c>
      <c r="BK1572" s="2" t="s">
        <v>339</v>
      </c>
      <c r="BL1572" s="2" t="s">
        <v>364</v>
      </c>
      <c r="BM1572" s="2" t="s">
        <v>27271</v>
      </c>
      <c r="BN1572" s="2" t="n">
        <v>34866830</v>
      </c>
      <c r="BO1572" s="2" t="s">
        <v>5702</v>
      </c>
      <c r="BP1572" s="2"/>
      <c r="BQ1572" s="2"/>
      <c r="BR1572" s="2" t="s">
        <v>104</v>
      </c>
      <c r="BS1572" s="2" t="s">
        <v>27272</v>
      </c>
      <c r="BT1572" s="2" t="str">
        <f aca="false">HYPERLINK("https%3A%2F%2Fwww.webofscience.com%2Fwos%2Fwoscc%2Ffull-record%2FWOS:000717959500017","View Full Record in Web of Science")</f>
        <v>View Full Record in Web of Science</v>
      </c>
    </row>
    <row r="1573" customFormat="false" ht="12.75" hidden="false" customHeight="false" outlineLevel="0" collapsed="false">
      <c r="A1573" s="2" t="s">
        <v>72</v>
      </c>
      <c r="B1573" s="2" t="s">
        <v>27273</v>
      </c>
      <c r="C1573" s="2"/>
      <c r="D1573" s="2"/>
      <c r="E1573" s="2"/>
      <c r="F1573" s="2" t="s">
        <v>27274</v>
      </c>
      <c r="G1573" s="2"/>
      <c r="H1573" s="2"/>
      <c r="I1573" s="2" t="s">
        <v>27275</v>
      </c>
      <c r="J1573" s="2" t="s">
        <v>24209</v>
      </c>
      <c r="K1573" s="2"/>
      <c r="L1573" s="2"/>
      <c r="M1573" s="2" t="s">
        <v>77</v>
      </c>
      <c r="N1573" s="2" t="s">
        <v>78</v>
      </c>
      <c r="O1573" s="2"/>
      <c r="P1573" s="2"/>
      <c r="Q1573" s="2"/>
      <c r="R1573" s="2"/>
      <c r="S1573" s="2"/>
      <c r="T1573" s="2" t="s">
        <v>27276</v>
      </c>
      <c r="U1573" s="2" t="s">
        <v>27277</v>
      </c>
      <c r="V1573" s="2" t="s">
        <v>27278</v>
      </c>
      <c r="W1573" s="2" t="s">
        <v>27279</v>
      </c>
      <c r="X1573" s="2"/>
      <c r="Y1573" s="2" t="s">
        <v>27280</v>
      </c>
      <c r="Z1573" s="2" t="s">
        <v>27281</v>
      </c>
      <c r="AA1573" s="2" t="s">
        <v>27282</v>
      </c>
      <c r="AB1573" s="2"/>
      <c r="AC1573" s="2"/>
      <c r="AD1573" s="2"/>
      <c r="AE1573" s="2"/>
      <c r="AF1573" s="2"/>
      <c r="AG1573" s="2" t="n">
        <v>34</v>
      </c>
      <c r="AH1573" s="2" t="n">
        <v>1</v>
      </c>
      <c r="AI1573" s="2" t="n">
        <v>2</v>
      </c>
      <c r="AJ1573" s="2" t="n">
        <v>1</v>
      </c>
      <c r="AK1573" s="2" t="n">
        <v>4</v>
      </c>
      <c r="AL1573" s="2" t="s">
        <v>122</v>
      </c>
      <c r="AM1573" s="2" t="s">
        <v>123</v>
      </c>
      <c r="AN1573" s="2" t="s">
        <v>124</v>
      </c>
      <c r="AO1573" s="2" t="s">
        <v>24221</v>
      </c>
      <c r="AP1573" s="2" t="s">
        <v>24222</v>
      </c>
      <c r="AQ1573" s="2"/>
      <c r="AR1573" s="2" t="s">
        <v>24209</v>
      </c>
      <c r="AS1573" s="2" t="s">
        <v>24223</v>
      </c>
      <c r="AT1573" s="2" t="s">
        <v>17720</v>
      </c>
      <c r="AU1573" s="2" t="n">
        <v>2021</v>
      </c>
      <c r="AV1573" s="2" t="n">
        <v>100</v>
      </c>
      <c r="AW1573" s="2" t="n">
        <v>25</v>
      </c>
      <c r="AX1573" s="2"/>
      <c r="AY1573" s="2"/>
      <c r="AZ1573" s="2"/>
      <c r="BA1573" s="2"/>
      <c r="BB1573" s="2"/>
      <c r="BC1573" s="2"/>
      <c r="BD1573" s="2"/>
      <c r="BE1573" s="2" t="s">
        <v>27283</v>
      </c>
      <c r="BF1573" s="2" t="str">
        <f aca="false">HYPERLINK("http://dx.doi.org/10.1097/MD.0000000000026446","http://dx.doi.org/10.1097/MD.0000000000026446")</f>
        <v>http://dx.doi.org/10.1097/MD.0000000000026446</v>
      </c>
      <c r="BG1573" s="2"/>
      <c r="BH1573" s="2"/>
      <c r="BI1573" s="2" t="n">
        <v>7</v>
      </c>
      <c r="BJ1573" s="2" t="s">
        <v>363</v>
      </c>
      <c r="BK1573" s="2" t="s">
        <v>100</v>
      </c>
      <c r="BL1573" s="2" t="s">
        <v>364</v>
      </c>
      <c r="BM1573" s="2" t="s">
        <v>27284</v>
      </c>
      <c r="BN1573" s="2" t="n">
        <v>34160438</v>
      </c>
      <c r="BO1573" s="2" t="s">
        <v>190</v>
      </c>
      <c r="BP1573" s="2"/>
      <c r="BQ1573" s="2"/>
      <c r="BR1573" s="2" t="s">
        <v>104</v>
      </c>
      <c r="BS1573" s="2" t="s">
        <v>27285</v>
      </c>
      <c r="BT1573" s="2" t="str">
        <f aca="false">HYPERLINK("https%3A%2F%2Fwww.webofscience.com%2Fwos%2Fwoscc%2Ffull-record%2FWOS:000664672200061","View Full Record in Web of Science")</f>
        <v>View Full Record in Web of Science</v>
      </c>
    </row>
    <row r="1574" customFormat="false" ht="12.75" hidden="false" customHeight="false" outlineLevel="0" collapsed="false">
      <c r="A1574" s="2" t="s">
        <v>72</v>
      </c>
      <c r="B1574" s="2" t="s">
        <v>27286</v>
      </c>
      <c r="C1574" s="2"/>
      <c r="D1574" s="2"/>
      <c r="E1574" s="2"/>
      <c r="F1574" s="2" t="s">
        <v>27287</v>
      </c>
      <c r="G1574" s="2"/>
      <c r="H1574" s="2"/>
      <c r="I1574" s="2" t="s">
        <v>27288</v>
      </c>
      <c r="J1574" s="2" t="s">
        <v>2820</v>
      </c>
      <c r="K1574" s="2"/>
      <c r="L1574" s="2"/>
      <c r="M1574" s="2" t="s">
        <v>77</v>
      </c>
      <c r="N1574" s="2" t="s">
        <v>78</v>
      </c>
      <c r="O1574" s="2"/>
      <c r="P1574" s="2"/>
      <c r="Q1574" s="2"/>
      <c r="R1574" s="2"/>
      <c r="S1574" s="2"/>
      <c r="T1574" s="2" t="s">
        <v>27289</v>
      </c>
      <c r="U1574" s="2" t="s">
        <v>27290</v>
      </c>
      <c r="V1574" s="2" t="s">
        <v>27291</v>
      </c>
      <c r="W1574" s="2" t="s">
        <v>27292</v>
      </c>
      <c r="X1574" s="2" t="s">
        <v>27293</v>
      </c>
      <c r="Y1574" s="2" t="s">
        <v>27294</v>
      </c>
      <c r="Z1574" s="2" t="s">
        <v>27295</v>
      </c>
      <c r="AA1574" s="2" t="s">
        <v>27296</v>
      </c>
      <c r="AB1574" s="2" t="s">
        <v>27297</v>
      </c>
      <c r="AC1574" s="2" t="s">
        <v>27298</v>
      </c>
      <c r="AD1574" s="2" t="s">
        <v>27299</v>
      </c>
      <c r="AE1574" s="2" t="s">
        <v>27300</v>
      </c>
      <c r="AF1574" s="2"/>
      <c r="AG1574" s="2" t="n">
        <v>34</v>
      </c>
      <c r="AH1574" s="2" t="n">
        <v>160</v>
      </c>
      <c r="AI1574" s="2" t="n">
        <v>172</v>
      </c>
      <c r="AJ1574" s="2" t="n">
        <v>0</v>
      </c>
      <c r="AK1574" s="2" t="n">
        <v>6</v>
      </c>
      <c r="AL1574" s="2" t="s">
        <v>919</v>
      </c>
      <c r="AM1574" s="2" t="s">
        <v>593</v>
      </c>
      <c r="AN1574" s="2" t="s">
        <v>920</v>
      </c>
      <c r="AO1574" s="2" t="s">
        <v>2833</v>
      </c>
      <c r="AP1574" s="2" t="s">
        <v>2834</v>
      </c>
      <c r="AQ1574" s="2"/>
      <c r="AR1574" s="2" t="s">
        <v>2835</v>
      </c>
      <c r="AS1574" s="2" t="s">
        <v>2836</v>
      </c>
      <c r="AT1574" s="2" t="s">
        <v>486</v>
      </c>
      <c r="AU1574" s="2" t="n">
        <v>2012</v>
      </c>
      <c r="AV1574" s="2" t="n">
        <v>129</v>
      </c>
      <c r="AW1574" s="2" t="n">
        <v>6</v>
      </c>
      <c r="AX1574" s="2"/>
      <c r="AY1574" s="2"/>
      <c r="AZ1574" s="2"/>
      <c r="BA1574" s="2"/>
      <c r="BB1574" s="2" t="n">
        <v>1499</v>
      </c>
      <c r="BC1574" s="2" t="s">
        <v>986</v>
      </c>
      <c r="BD1574" s="2"/>
      <c r="BE1574" s="2" t="s">
        <v>27301</v>
      </c>
      <c r="BF1574" s="2" t="str">
        <f aca="false">HYPERLINK("http://dx.doi.org/10.1016/j.jaci.2012.03.040","http://dx.doi.org/10.1016/j.jaci.2012.03.040")</f>
        <v>http://dx.doi.org/10.1016/j.jaci.2012.03.040</v>
      </c>
      <c r="BG1574" s="2"/>
      <c r="BH1574" s="2"/>
      <c r="BI1574" s="2" t="n">
        <v>12</v>
      </c>
      <c r="BJ1574" s="2" t="s">
        <v>254</v>
      </c>
      <c r="BK1574" s="2" t="s">
        <v>100</v>
      </c>
      <c r="BL1574" s="2" t="s">
        <v>254</v>
      </c>
      <c r="BM1574" s="2" t="s">
        <v>27302</v>
      </c>
      <c r="BN1574" s="2" t="n">
        <v>22560151</v>
      </c>
      <c r="BO1574" s="2" t="s">
        <v>2839</v>
      </c>
      <c r="BP1574" s="2"/>
      <c r="BQ1574" s="2"/>
      <c r="BR1574" s="2" t="s">
        <v>104</v>
      </c>
      <c r="BS1574" s="2" t="s">
        <v>27303</v>
      </c>
      <c r="BT1574" s="2" t="str">
        <f aca="false">HYPERLINK("https%3A%2F%2Fwww.webofscience.com%2Fwos%2Fwoscc%2Ffull-record%2FWOS:000304764600009","View Full Record in Web of Science")</f>
        <v>View Full Record in Web of Science</v>
      </c>
    </row>
    <row r="1575" customFormat="false" ht="12.75" hidden="false" customHeight="false" outlineLevel="0" collapsed="false">
      <c r="A1575" s="2" t="s">
        <v>72</v>
      </c>
      <c r="B1575" s="2" t="s">
        <v>27304</v>
      </c>
      <c r="C1575" s="2"/>
      <c r="D1575" s="2"/>
      <c r="E1575" s="2"/>
      <c r="F1575" s="2" t="s">
        <v>27305</v>
      </c>
      <c r="G1575" s="2"/>
      <c r="H1575" s="2"/>
      <c r="I1575" s="2" t="s">
        <v>27306</v>
      </c>
      <c r="J1575" s="2" t="s">
        <v>24105</v>
      </c>
      <c r="K1575" s="2"/>
      <c r="L1575" s="2"/>
      <c r="M1575" s="2" t="s">
        <v>77</v>
      </c>
      <c r="N1575" s="2" t="s">
        <v>78</v>
      </c>
      <c r="O1575" s="2"/>
      <c r="P1575" s="2"/>
      <c r="Q1575" s="2"/>
      <c r="R1575" s="2"/>
      <c r="S1575" s="2"/>
      <c r="T1575" s="2" t="s">
        <v>27307</v>
      </c>
      <c r="U1575" s="2" t="s">
        <v>27308</v>
      </c>
      <c r="V1575" s="2" t="s">
        <v>27309</v>
      </c>
      <c r="W1575" s="2" t="s">
        <v>27310</v>
      </c>
      <c r="X1575" s="2" t="s">
        <v>27311</v>
      </c>
      <c r="Y1575" s="2" t="s">
        <v>27312</v>
      </c>
      <c r="Z1575" s="2" t="s">
        <v>27313</v>
      </c>
      <c r="AA1575" s="2" t="s">
        <v>27314</v>
      </c>
      <c r="AB1575" s="2" t="s">
        <v>27315</v>
      </c>
      <c r="AC1575" s="2"/>
      <c r="AD1575" s="2"/>
      <c r="AE1575" s="2"/>
      <c r="AF1575" s="2"/>
      <c r="AG1575" s="2" t="n">
        <v>21</v>
      </c>
      <c r="AH1575" s="2" t="n">
        <v>0</v>
      </c>
      <c r="AI1575" s="2" t="n">
        <v>0</v>
      </c>
      <c r="AJ1575" s="2" t="n">
        <v>0</v>
      </c>
      <c r="AK1575" s="2" t="n">
        <v>4</v>
      </c>
      <c r="AL1575" s="2" t="s">
        <v>27316</v>
      </c>
      <c r="AM1575" s="2" t="s">
        <v>2438</v>
      </c>
      <c r="AN1575" s="2" t="s">
        <v>27317</v>
      </c>
      <c r="AO1575" s="2" t="s">
        <v>24115</v>
      </c>
      <c r="AP1575" s="2" t="s">
        <v>27318</v>
      </c>
      <c r="AQ1575" s="2"/>
      <c r="AR1575" s="2" t="s">
        <v>24116</v>
      </c>
      <c r="AS1575" s="2" t="s">
        <v>24117</v>
      </c>
      <c r="AT1575" s="2" t="s">
        <v>692</v>
      </c>
      <c r="AU1575" s="2" t="n">
        <v>2022</v>
      </c>
      <c r="AV1575" s="2" t="n">
        <v>21</v>
      </c>
      <c r="AW1575" s="2" t="n">
        <v>2</v>
      </c>
      <c r="AX1575" s="2"/>
      <c r="AY1575" s="2"/>
      <c r="AZ1575" s="2"/>
      <c r="BA1575" s="2"/>
      <c r="BB1575" s="2" t="n">
        <v>112</v>
      </c>
      <c r="BC1575" s="2" t="n">
        <v>118</v>
      </c>
      <c r="BD1575" s="2"/>
      <c r="BE1575" s="2" t="s">
        <v>27319</v>
      </c>
      <c r="BF1575" s="2" t="str">
        <f aca="false">HYPERLINK("http://dx.doi.org/10.18502/ijaai.v21i2.9219","http://dx.doi.org/10.18502/ijaai.v21i2.9219")</f>
        <v>http://dx.doi.org/10.18502/ijaai.v21i2.9219</v>
      </c>
      <c r="BG1575" s="2"/>
      <c r="BH1575" s="2"/>
      <c r="BI1575" s="2" t="n">
        <v>7</v>
      </c>
      <c r="BJ1575" s="2" t="s">
        <v>254</v>
      </c>
      <c r="BK1575" s="2" t="s">
        <v>100</v>
      </c>
      <c r="BL1575" s="2" t="s">
        <v>254</v>
      </c>
      <c r="BM1575" s="2" t="s">
        <v>27320</v>
      </c>
      <c r="BN1575" s="2" t="n">
        <v>35490265</v>
      </c>
      <c r="BO1575" s="2" t="s">
        <v>1355</v>
      </c>
      <c r="BP1575" s="2"/>
      <c r="BQ1575" s="2"/>
      <c r="BR1575" s="2" t="s">
        <v>104</v>
      </c>
      <c r="BS1575" s="2" t="s">
        <v>27321</v>
      </c>
      <c r="BT1575" s="2" t="str">
        <f aca="false">HYPERLINK("https%3A%2F%2Fwww.webofscience.com%2Fwos%2Fwoscc%2Ffull-record%2FWOS:000791830000002","View Full Record in Web of Science")</f>
        <v>View Full Record in Web of Science</v>
      </c>
    </row>
    <row r="1576" customFormat="false" ht="12.75" hidden="false" customHeight="false" outlineLevel="0" collapsed="false">
      <c r="A1576" s="2" t="s">
        <v>72</v>
      </c>
      <c r="B1576" s="2" t="s">
        <v>27322</v>
      </c>
      <c r="C1576" s="2"/>
      <c r="D1576" s="2"/>
      <c r="E1576" s="2"/>
      <c r="F1576" s="2" t="s">
        <v>27323</v>
      </c>
      <c r="G1576" s="2"/>
      <c r="H1576" s="2"/>
      <c r="I1576" s="2" t="s">
        <v>27324</v>
      </c>
      <c r="J1576" s="2" t="s">
        <v>3719</v>
      </c>
      <c r="K1576" s="2"/>
      <c r="L1576" s="2"/>
      <c r="M1576" s="2" t="s">
        <v>77</v>
      </c>
      <c r="N1576" s="2" t="s">
        <v>78</v>
      </c>
      <c r="O1576" s="2"/>
      <c r="P1576" s="2"/>
      <c r="Q1576" s="2"/>
      <c r="R1576" s="2"/>
      <c r="S1576" s="2"/>
      <c r="T1576" s="2" t="s">
        <v>27325</v>
      </c>
      <c r="U1576" s="2" t="s">
        <v>27326</v>
      </c>
      <c r="V1576" s="2" t="s">
        <v>27327</v>
      </c>
      <c r="W1576" s="2" t="s">
        <v>27328</v>
      </c>
      <c r="X1576" s="2" t="s">
        <v>27329</v>
      </c>
      <c r="Y1576" s="2" t="s">
        <v>27330</v>
      </c>
      <c r="Z1576" s="2" t="s">
        <v>27331</v>
      </c>
      <c r="AA1576" s="2" t="s">
        <v>27332</v>
      </c>
      <c r="AB1576" s="2" t="s">
        <v>27333</v>
      </c>
      <c r="AC1576" s="2" t="s">
        <v>27334</v>
      </c>
      <c r="AD1576" s="2" t="s">
        <v>27335</v>
      </c>
      <c r="AE1576" s="2" t="s">
        <v>27336</v>
      </c>
      <c r="AF1576" s="2"/>
      <c r="AG1576" s="2" t="n">
        <v>24</v>
      </c>
      <c r="AH1576" s="2" t="n">
        <v>89</v>
      </c>
      <c r="AI1576" s="2" t="n">
        <v>99</v>
      </c>
      <c r="AJ1576" s="2" t="n">
        <v>0</v>
      </c>
      <c r="AK1576" s="2" t="n">
        <v>18</v>
      </c>
      <c r="AL1576" s="2" t="s">
        <v>3584</v>
      </c>
      <c r="AM1576" s="2" t="s">
        <v>303</v>
      </c>
      <c r="AN1576" s="2" t="s">
        <v>3585</v>
      </c>
      <c r="AO1576" s="2" t="s">
        <v>3732</v>
      </c>
      <c r="AP1576" s="2" t="s">
        <v>4677</v>
      </c>
      <c r="AQ1576" s="2"/>
      <c r="AR1576" s="2" t="s">
        <v>3733</v>
      </c>
      <c r="AS1576" s="2" t="s">
        <v>3734</v>
      </c>
      <c r="AT1576" s="2" t="s">
        <v>161</v>
      </c>
      <c r="AU1576" s="2" t="n">
        <v>2017</v>
      </c>
      <c r="AV1576" s="2" t="n">
        <v>74</v>
      </c>
      <c r="AW1576" s="2" t="n">
        <v>1</v>
      </c>
      <c r="AX1576" s="2"/>
      <c r="AY1576" s="2"/>
      <c r="AZ1576" s="2"/>
      <c r="BA1576" s="2"/>
      <c r="BB1576" s="2" t="n">
        <v>29</v>
      </c>
      <c r="BC1576" s="2" t="n">
        <v>41</v>
      </c>
      <c r="BD1576" s="2"/>
      <c r="BE1576" s="2" t="s">
        <v>27337</v>
      </c>
      <c r="BF1576" s="2" t="str">
        <f aca="false">HYPERLINK("http://dx.doi.org/10.1016/j.jinf.2016.09.003","http://dx.doi.org/10.1016/j.jinf.2016.09.003")</f>
        <v>http://dx.doi.org/10.1016/j.jinf.2016.09.003</v>
      </c>
      <c r="BG1576" s="2"/>
      <c r="BH1576" s="2"/>
      <c r="BI1576" s="2" t="n">
        <v>13</v>
      </c>
      <c r="BJ1576" s="2" t="s">
        <v>575</v>
      </c>
      <c r="BK1576" s="2" t="s">
        <v>100</v>
      </c>
      <c r="BL1576" s="2" t="s">
        <v>575</v>
      </c>
      <c r="BM1576" s="2" t="s">
        <v>27338</v>
      </c>
      <c r="BN1576" s="2" t="n">
        <v>27667752</v>
      </c>
      <c r="BO1576" s="2" t="s">
        <v>165</v>
      </c>
      <c r="BP1576" s="2"/>
      <c r="BQ1576" s="2"/>
      <c r="BR1576" s="2" t="s">
        <v>104</v>
      </c>
      <c r="BS1576" s="2" t="s">
        <v>27339</v>
      </c>
      <c r="BT1576" s="2" t="str">
        <f aca="false">HYPERLINK("https%3A%2F%2Fwww.webofscience.com%2Fwos%2Fwoscc%2Ffull-record%2FWOS:000396367000004","View Full Record in Web of Science")</f>
        <v>View Full Record in Web of Science</v>
      </c>
    </row>
    <row r="1577" customFormat="false" ht="12.75" hidden="false" customHeight="false" outlineLevel="0" collapsed="false">
      <c r="A1577" s="2" t="s">
        <v>72</v>
      </c>
      <c r="B1577" s="2" t="s">
        <v>27340</v>
      </c>
      <c r="C1577" s="2"/>
      <c r="D1577" s="2"/>
      <c r="E1577" s="2"/>
      <c r="F1577" s="2" t="s">
        <v>27341</v>
      </c>
      <c r="G1577" s="2"/>
      <c r="H1577" s="2"/>
      <c r="I1577" s="2" t="s">
        <v>27342</v>
      </c>
      <c r="J1577" s="2" t="s">
        <v>6822</v>
      </c>
      <c r="K1577" s="2"/>
      <c r="L1577" s="2"/>
      <c r="M1577" s="2" t="s">
        <v>77</v>
      </c>
      <c r="N1577" s="2" t="s">
        <v>78</v>
      </c>
      <c r="O1577" s="2"/>
      <c r="P1577" s="2"/>
      <c r="Q1577" s="2"/>
      <c r="R1577" s="2"/>
      <c r="S1577" s="2"/>
      <c r="T1577" s="2" t="s">
        <v>27343</v>
      </c>
      <c r="U1577" s="2" t="s">
        <v>27344</v>
      </c>
      <c r="V1577" s="2" t="s">
        <v>27345</v>
      </c>
      <c r="W1577" s="2" t="s">
        <v>27346</v>
      </c>
      <c r="X1577" s="2" t="s">
        <v>27347</v>
      </c>
      <c r="Y1577" s="2" t="s">
        <v>27348</v>
      </c>
      <c r="Z1577" s="2" t="s">
        <v>27349</v>
      </c>
      <c r="AA1577" s="2" t="s">
        <v>27350</v>
      </c>
      <c r="AB1577" s="2" t="s">
        <v>27351</v>
      </c>
      <c r="AC1577" s="2"/>
      <c r="AD1577" s="2"/>
      <c r="AE1577" s="2"/>
      <c r="AF1577" s="2"/>
      <c r="AG1577" s="2" t="n">
        <v>39</v>
      </c>
      <c r="AH1577" s="2" t="n">
        <v>9</v>
      </c>
      <c r="AI1577" s="2" t="n">
        <v>9</v>
      </c>
      <c r="AJ1577" s="2" t="n">
        <v>0</v>
      </c>
      <c r="AK1577" s="2" t="n">
        <v>0</v>
      </c>
      <c r="AL1577" s="2" t="s">
        <v>6833</v>
      </c>
      <c r="AM1577" s="2" t="s">
        <v>593</v>
      </c>
      <c r="AN1577" s="2" t="s">
        <v>6834</v>
      </c>
      <c r="AO1577" s="2" t="s">
        <v>6835</v>
      </c>
      <c r="AP1577" s="2" t="s">
        <v>6836</v>
      </c>
      <c r="AQ1577" s="2"/>
      <c r="AR1577" s="2" t="s">
        <v>6837</v>
      </c>
      <c r="AS1577" s="2" t="s">
        <v>6838</v>
      </c>
      <c r="AT1577" s="2"/>
      <c r="AU1577" s="2" t="n">
        <v>2019</v>
      </c>
      <c r="AV1577" s="2" t="n">
        <v>147</v>
      </c>
      <c r="AW1577" s="2"/>
      <c r="AX1577" s="2"/>
      <c r="AY1577" s="2"/>
      <c r="AZ1577" s="2"/>
      <c r="BA1577" s="2"/>
      <c r="BB1577" s="2"/>
      <c r="BC1577" s="2"/>
      <c r="BD1577" s="2" t="s">
        <v>27352</v>
      </c>
      <c r="BE1577" s="2" t="s">
        <v>27353</v>
      </c>
      <c r="BF1577" s="2" t="str">
        <f aca="false">HYPERLINK("http://dx.doi.org/10.1017/S095026881900195X","http://dx.doi.org/10.1017/S095026881900195X")</f>
        <v>http://dx.doi.org/10.1017/S095026881900195X</v>
      </c>
      <c r="BG1577" s="2"/>
      <c r="BH1577" s="2"/>
      <c r="BI1577" s="2" t="n">
        <v>9</v>
      </c>
      <c r="BJ1577" s="2" t="s">
        <v>2113</v>
      </c>
      <c r="BK1577" s="2" t="s">
        <v>100</v>
      </c>
      <c r="BL1577" s="2" t="s">
        <v>2113</v>
      </c>
      <c r="BM1577" s="2" t="s">
        <v>27354</v>
      </c>
      <c r="BN1577" s="2" t="n">
        <v>31775940</v>
      </c>
      <c r="BO1577" s="2" t="s">
        <v>136</v>
      </c>
      <c r="BP1577" s="2"/>
      <c r="BQ1577" s="2"/>
      <c r="BR1577" s="2" t="s">
        <v>104</v>
      </c>
      <c r="BS1577" s="2" t="s">
        <v>27355</v>
      </c>
      <c r="BT1577" s="2" t="str">
        <f aca="false">HYPERLINK("https%3A%2F%2Fwww.webofscience.com%2Fwos%2Fwoscc%2Ffull-record%2FWOS:000967126200001","View Full Record in Web of Science")</f>
        <v>View Full Record in Web of Science</v>
      </c>
    </row>
    <row r="1578" customFormat="false" ht="12.75" hidden="false" customHeight="false" outlineLevel="0" collapsed="false">
      <c r="A1578" s="2" t="s">
        <v>72</v>
      </c>
      <c r="B1578" s="2" t="s">
        <v>27356</v>
      </c>
      <c r="C1578" s="2"/>
      <c r="D1578" s="2"/>
      <c r="E1578" s="2"/>
      <c r="F1578" s="2" t="s">
        <v>27357</v>
      </c>
      <c r="G1578" s="2"/>
      <c r="H1578" s="2"/>
      <c r="I1578" s="2" t="s">
        <v>27358</v>
      </c>
      <c r="J1578" s="2" t="s">
        <v>11019</v>
      </c>
      <c r="K1578" s="2"/>
      <c r="L1578" s="2"/>
      <c r="M1578" s="2" t="s">
        <v>77</v>
      </c>
      <c r="N1578" s="2" t="s">
        <v>78</v>
      </c>
      <c r="O1578" s="2"/>
      <c r="P1578" s="2"/>
      <c r="Q1578" s="2"/>
      <c r="R1578" s="2"/>
      <c r="S1578" s="2"/>
      <c r="T1578" s="2" t="s">
        <v>27359</v>
      </c>
      <c r="U1578" s="2" t="s">
        <v>27360</v>
      </c>
      <c r="V1578" s="2" t="s">
        <v>27361</v>
      </c>
      <c r="W1578" s="2" t="s">
        <v>27362</v>
      </c>
      <c r="X1578" s="2" t="s">
        <v>27363</v>
      </c>
      <c r="Y1578" s="2" t="s">
        <v>27364</v>
      </c>
      <c r="Z1578" s="2" t="s">
        <v>5144</v>
      </c>
      <c r="AA1578" s="2"/>
      <c r="AB1578" s="2"/>
      <c r="AC1578" s="2"/>
      <c r="AD1578" s="2"/>
      <c r="AE1578" s="2"/>
      <c r="AF1578" s="2"/>
      <c r="AG1578" s="2" t="n">
        <v>33</v>
      </c>
      <c r="AH1578" s="2" t="n">
        <v>38</v>
      </c>
      <c r="AI1578" s="2" t="n">
        <v>41</v>
      </c>
      <c r="AJ1578" s="2" t="n">
        <v>0</v>
      </c>
      <c r="AK1578" s="2" t="n">
        <v>4</v>
      </c>
      <c r="AL1578" s="2" t="s">
        <v>3813</v>
      </c>
      <c r="AM1578" s="2" t="s">
        <v>155</v>
      </c>
      <c r="AN1578" s="2" t="s">
        <v>156</v>
      </c>
      <c r="AO1578" s="2" t="s">
        <v>11028</v>
      </c>
      <c r="AP1578" s="2" t="s">
        <v>11029</v>
      </c>
      <c r="AQ1578" s="2"/>
      <c r="AR1578" s="2" t="s">
        <v>11030</v>
      </c>
      <c r="AS1578" s="2" t="s">
        <v>11031</v>
      </c>
      <c r="AT1578" s="2" t="s">
        <v>599</v>
      </c>
      <c r="AU1578" s="2" t="n">
        <v>2014</v>
      </c>
      <c r="AV1578" s="2" t="n">
        <v>8</v>
      </c>
      <c r="AW1578" s="2" t="n">
        <v>4</v>
      </c>
      <c r="AX1578" s="2"/>
      <c r="AY1578" s="2"/>
      <c r="AZ1578" s="2"/>
      <c r="BA1578" s="2"/>
      <c r="BB1578" s="2" t="n">
        <v>422</v>
      </c>
      <c r="BC1578" s="2" t="n">
        <v>430</v>
      </c>
      <c r="BD1578" s="2"/>
      <c r="BE1578" s="2" t="s">
        <v>27365</v>
      </c>
      <c r="BF1578" s="2" t="str">
        <f aca="false">HYPERLINK("http://dx.doi.org/10.1111/irv.12249","http://dx.doi.org/10.1111/irv.12249")</f>
        <v>http://dx.doi.org/10.1111/irv.12249</v>
      </c>
      <c r="BG1578" s="2"/>
      <c r="BH1578" s="2"/>
      <c r="BI1578" s="2" t="n">
        <v>9</v>
      </c>
      <c r="BJ1578" s="2" t="s">
        <v>8287</v>
      </c>
      <c r="BK1578" s="2" t="s">
        <v>100</v>
      </c>
      <c r="BL1578" s="2" t="s">
        <v>8287</v>
      </c>
      <c r="BM1578" s="2" t="s">
        <v>21055</v>
      </c>
      <c r="BN1578" s="2" t="n">
        <v>24698156</v>
      </c>
      <c r="BO1578" s="2" t="s">
        <v>103</v>
      </c>
      <c r="BP1578" s="2"/>
      <c r="BQ1578" s="2"/>
      <c r="BR1578" s="2" t="s">
        <v>104</v>
      </c>
      <c r="BS1578" s="2" t="s">
        <v>27366</v>
      </c>
      <c r="BT1578" s="2" t="str">
        <f aca="false">HYPERLINK("https%3A%2F%2Fwww.webofscience.com%2Fwos%2Fwoscc%2Ffull-record%2FWOS:000337608700005","View Full Record in Web of Science")</f>
        <v>View Full Record in Web of Science</v>
      </c>
    </row>
    <row r="1579" customFormat="false" ht="12.75" hidden="false" customHeight="false" outlineLevel="0" collapsed="false">
      <c r="A1579" s="2" t="s">
        <v>72</v>
      </c>
      <c r="B1579" s="2" t="s">
        <v>27367</v>
      </c>
      <c r="C1579" s="2"/>
      <c r="D1579" s="2"/>
      <c r="E1579" s="2"/>
      <c r="F1579" s="2" t="s">
        <v>27368</v>
      </c>
      <c r="G1579" s="2"/>
      <c r="H1579" s="2"/>
      <c r="I1579" s="2" t="s">
        <v>27369</v>
      </c>
      <c r="J1579" s="2" t="s">
        <v>8412</v>
      </c>
      <c r="K1579" s="2"/>
      <c r="L1579" s="2"/>
      <c r="M1579" s="2" t="s">
        <v>77</v>
      </c>
      <c r="N1579" s="2" t="s">
        <v>78</v>
      </c>
      <c r="O1579" s="2"/>
      <c r="P1579" s="2"/>
      <c r="Q1579" s="2"/>
      <c r="R1579" s="2"/>
      <c r="S1579" s="2"/>
      <c r="T1579" s="2" t="s">
        <v>27370</v>
      </c>
      <c r="U1579" s="2" t="s">
        <v>27371</v>
      </c>
      <c r="V1579" s="2" t="s">
        <v>27372</v>
      </c>
      <c r="W1579" s="2" t="s">
        <v>27373</v>
      </c>
      <c r="X1579" s="2" t="s">
        <v>2591</v>
      </c>
      <c r="Y1579" s="2" t="s">
        <v>27374</v>
      </c>
      <c r="Z1579" s="2" t="s">
        <v>2593</v>
      </c>
      <c r="AA1579" s="2" t="s">
        <v>2594</v>
      </c>
      <c r="AB1579" s="2" t="s">
        <v>2595</v>
      </c>
      <c r="AC1579" s="2" t="s">
        <v>27375</v>
      </c>
      <c r="AD1579" s="2" t="s">
        <v>27376</v>
      </c>
      <c r="AE1579" s="2" t="s">
        <v>2598</v>
      </c>
      <c r="AF1579" s="2"/>
      <c r="AG1579" s="2" t="n">
        <v>35</v>
      </c>
      <c r="AH1579" s="2" t="n">
        <v>3</v>
      </c>
      <c r="AI1579" s="2" t="n">
        <v>3</v>
      </c>
      <c r="AJ1579" s="2" t="n">
        <v>0</v>
      </c>
      <c r="AK1579" s="2" t="n">
        <v>0</v>
      </c>
      <c r="AL1579" s="2" t="s">
        <v>620</v>
      </c>
      <c r="AM1579" s="2" t="s">
        <v>621</v>
      </c>
      <c r="AN1579" s="2" t="s">
        <v>622</v>
      </c>
      <c r="AO1579" s="2"/>
      <c r="AP1579" s="2" t="s">
        <v>8425</v>
      </c>
      <c r="AQ1579" s="2"/>
      <c r="AR1579" s="2" t="s">
        <v>8426</v>
      </c>
      <c r="AS1579" s="2" t="s">
        <v>8427</v>
      </c>
      <c r="AT1579" s="2" t="s">
        <v>27377</v>
      </c>
      <c r="AU1579" s="2" t="n">
        <v>2024</v>
      </c>
      <c r="AV1579" s="2" t="n">
        <v>15</v>
      </c>
      <c r="AW1579" s="2"/>
      <c r="AX1579" s="2"/>
      <c r="AY1579" s="2"/>
      <c r="AZ1579" s="2"/>
      <c r="BA1579" s="2"/>
      <c r="BB1579" s="2"/>
      <c r="BC1579" s="2"/>
      <c r="BD1579" s="2" t="n">
        <v>1342328</v>
      </c>
      <c r="BE1579" s="2" t="s">
        <v>27378</v>
      </c>
      <c r="BF1579" s="2" t="str">
        <f aca="false">HYPERLINK("http://dx.doi.org/10.3389/fmicb.2024.1342328","http://dx.doi.org/10.3389/fmicb.2024.1342328")</f>
        <v>http://dx.doi.org/10.3389/fmicb.2024.1342328</v>
      </c>
      <c r="BG1579" s="2"/>
      <c r="BH1579" s="2"/>
      <c r="BI1579" s="2" t="n">
        <v>19</v>
      </c>
      <c r="BJ1579" s="2" t="s">
        <v>211</v>
      </c>
      <c r="BK1579" s="2" t="s">
        <v>100</v>
      </c>
      <c r="BL1579" s="2" t="s">
        <v>211</v>
      </c>
      <c r="BM1579" s="2" t="s">
        <v>27379</v>
      </c>
      <c r="BN1579" s="2" t="n">
        <v>38655085</v>
      </c>
      <c r="BO1579" s="2" t="s">
        <v>165</v>
      </c>
      <c r="BP1579" s="2"/>
      <c r="BQ1579" s="2"/>
      <c r="BR1579" s="2" t="s">
        <v>104</v>
      </c>
      <c r="BS1579" s="2" t="s">
        <v>27380</v>
      </c>
      <c r="BT1579" s="2" t="str">
        <f aca="false">HYPERLINK("https%3A%2F%2Fwww.webofscience.com%2Fwos%2Fwoscc%2Ffull-record%2FWOS:001206489300001","View Full Record in Web of Science")</f>
        <v>View Full Record in Web of Science</v>
      </c>
    </row>
    <row r="1580" customFormat="false" ht="12.75" hidden="false" customHeight="false" outlineLevel="0" collapsed="false">
      <c r="A1580" s="2" t="s">
        <v>72</v>
      </c>
      <c r="B1580" s="2" t="s">
        <v>27381</v>
      </c>
      <c r="C1580" s="2"/>
      <c r="D1580" s="2"/>
      <c r="E1580" s="2"/>
      <c r="F1580" s="2" t="s">
        <v>27382</v>
      </c>
      <c r="G1580" s="2"/>
      <c r="H1580" s="2"/>
      <c r="I1580" s="2" t="s">
        <v>27383</v>
      </c>
      <c r="J1580" s="2" t="s">
        <v>27384</v>
      </c>
      <c r="K1580" s="2"/>
      <c r="L1580" s="2"/>
      <c r="M1580" s="2" t="s">
        <v>77</v>
      </c>
      <c r="N1580" s="2" t="s">
        <v>78</v>
      </c>
      <c r="O1580" s="2"/>
      <c r="P1580" s="2"/>
      <c r="Q1580" s="2"/>
      <c r="R1580" s="2"/>
      <c r="S1580" s="2"/>
      <c r="T1580" s="2" t="s">
        <v>27385</v>
      </c>
      <c r="U1580" s="2" t="s">
        <v>27386</v>
      </c>
      <c r="V1580" s="2" t="s">
        <v>27387</v>
      </c>
      <c r="W1580" s="2" t="s">
        <v>27388</v>
      </c>
      <c r="X1580" s="2" t="s">
        <v>27389</v>
      </c>
      <c r="Y1580" s="2" t="s">
        <v>27390</v>
      </c>
      <c r="Z1580" s="2" t="s">
        <v>27391</v>
      </c>
      <c r="AA1580" s="2"/>
      <c r="AB1580" s="2"/>
      <c r="AC1580" s="2" t="s">
        <v>27392</v>
      </c>
      <c r="AD1580" s="2" t="s">
        <v>27393</v>
      </c>
      <c r="AE1580" s="2" t="s">
        <v>27394</v>
      </c>
      <c r="AF1580" s="2"/>
      <c r="AG1580" s="2" t="n">
        <v>35</v>
      </c>
      <c r="AH1580" s="2" t="n">
        <v>11</v>
      </c>
      <c r="AI1580" s="2" t="n">
        <v>11</v>
      </c>
      <c r="AJ1580" s="2" t="n">
        <v>0</v>
      </c>
      <c r="AK1580" s="2" t="n">
        <v>24</v>
      </c>
      <c r="AL1580" s="2" t="s">
        <v>2788</v>
      </c>
      <c r="AM1580" s="2" t="s">
        <v>2789</v>
      </c>
      <c r="AN1580" s="2" t="s">
        <v>2790</v>
      </c>
      <c r="AO1580" s="2" t="s">
        <v>27395</v>
      </c>
      <c r="AP1580" s="2" t="s">
        <v>27396</v>
      </c>
      <c r="AQ1580" s="2"/>
      <c r="AR1580" s="2" t="s">
        <v>27397</v>
      </c>
      <c r="AS1580" s="2" t="s">
        <v>27398</v>
      </c>
      <c r="AT1580" s="2" t="s">
        <v>446</v>
      </c>
      <c r="AU1580" s="2" t="n">
        <v>2016</v>
      </c>
      <c r="AV1580" s="2" t="n">
        <v>31</v>
      </c>
      <c r="AW1580" s="2"/>
      <c r="AX1580" s="2"/>
      <c r="AY1580" s="2" t="n">
        <v>2</v>
      </c>
      <c r="AZ1580" s="2"/>
      <c r="BA1580" s="2"/>
      <c r="BB1580" s="2" t="n">
        <v>123</v>
      </c>
      <c r="BC1580" s="2" t="n">
        <v>129</v>
      </c>
      <c r="BD1580" s="2"/>
      <c r="BE1580" s="2" t="s">
        <v>27399</v>
      </c>
      <c r="BF1580" s="2" t="str">
        <f aca="false">HYPERLINK("http://dx.doi.org/10.1080/14756366.2016.1193732","http://dx.doi.org/10.1080/14756366.2016.1193732")</f>
        <v>http://dx.doi.org/10.1080/14756366.2016.1193732</v>
      </c>
      <c r="BG1580" s="2"/>
      <c r="BH1580" s="2"/>
      <c r="BI1580" s="2" t="n">
        <v>7</v>
      </c>
      <c r="BJ1580" s="2" t="s">
        <v>27400</v>
      </c>
      <c r="BK1580" s="2" t="s">
        <v>100</v>
      </c>
      <c r="BL1580" s="2" t="s">
        <v>27237</v>
      </c>
      <c r="BM1580" s="2" t="s">
        <v>27401</v>
      </c>
      <c r="BN1580" s="2" t="n">
        <v>27277342</v>
      </c>
      <c r="BO1580" s="2" t="s">
        <v>656</v>
      </c>
      <c r="BP1580" s="2"/>
      <c r="BQ1580" s="2"/>
      <c r="BR1580" s="2" t="s">
        <v>104</v>
      </c>
      <c r="BS1580" s="2" t="s">
        <v>27402</v>
      </c>
      <c r="BT1580" s="2" t="str">
        <f aca="false">HYPERLINK("https%3A%2F%2Fwww.webofscience.com%2Fwos%2Fwoscc%2Ffull-record%2FWOS:000390410800015","View Full Record in Web of Science")</f>
        <v>View Full Record in Web of Science</v>
      </c>
    </row>
    <row r="1581" customFormat="false" ht="12.75" hidden="false" customHeight="false" outlineLevel="0" collapsed="false">
      <c r="A1581" s="2" t="s">
        <v>72</v>
      </c>
      <c r="B1581" s="2" t="s">
        <v>27403</v>
      </c>
      <c r="C1581" s="2"/>
      <c r="D1581" s="2"/>
      <c r="E1581" s="2"/>
      <c r="F1581" s="2" t="s">
        <v>27404</v>
      </c>
      <c r="G1581" s="2"/>
      <c r="H1581" s="2"/>
      <c r="I1581" s="2" t="s">
        <v>27405</v>
      </c>
      <c r="J1581" s="2" t="s">
        <v>27406</v>
      </c>
      <c r="K1581" s="2"/>
      <c r="L1581" s="2"/>
      <c r="M1581" s="2" t="s">
        <v>77</v>
      </c>
      <c r="N1581" s="2" t="s">
        <v>78</v>
      </c>
      <c r="O1581" s="2"/>
      <c r="P1581" s="2"/>
      <c r="Q1581" s="2"/>
      <c r="R1581" s="2"/>
      <c r="S1581" s="2"/>
      <c r="T1581" s="2" t="s">
        <v>27407</v>
      </c>
      <c r="U1581" s="2"/>
      <c r="V1581" s="2" t="s">
        <v>27408</v>
      </c>
      <c r="W1581" s="2" t="s">
        <v>27409</v>
      </c>
      <c r="X1581" s="2"/>
      <c r="Y1581" s="2" t="s">
        <v>27410</v>
      </c>
      <c r="Z1581" s="2" t="s">
        <v>27411</v>
      </c>
      <c r="AA1581" s="2"/>
      <c r="AB1581" s="2"/>
      <c r="AC1581" s="2"/>
      <c r="AD1581" s="2"/>
      <c r="AE1581" s="2"/>
      <c r="AF1581" s="2"/>
      <c r="AG1581" s="2" t="n">
        <v>21</v>
      </c>
      <c r="AH1581" s="2" t="n">
        <v>0</v>
      </c>
      <c r="AI1581" s="2" t="n">
        <v>0</v>
      </c>
      <c r="AJ1581" s="2" t="n">
        <v>0</v>
      </c>
      <c r="AK1581" s="2" t="n">
        <v>2</v>
      </c>
      <c r="AL1581" s="2" t="s">
        <v>27412</v>
      </c>
      <c r="AM1581" s="2" t="s">
        <v>27413</v>
      </c>
      <c r="AN1581" s="2" t="s">
        <v>27414</v>
      </c>
      <c r="AO1581" s="2"/>
      <c r="AP1581" s="2" t="s">
        <v>27415</v>
      </c>
      <c r="AQ1581" s="2"/>
      <c r="AR1581" s="2" t="s">
        <v>27416</v>
      </c>
      <c r="AS1581" s="2" t="s">
        <v>27417</v>
      </c>
      <c r="AT1581" s="2" t="s">
        <v>97</v>
      </c>
      <c r="AU1581" s="2" t="n">
        <v>2023</v>
      </c>
      <c r="AV1581" s="2" t="n">
        <v>24</v>
      </c>
      <c r="AW1581" s="2" t="n">
        <v>2</v>
      </c>
      <c r="AX1581" s="2"/>
      <c r="AY1581" s="2"/>
      <c r="AZ1581" s="2"/>
      <c r="BA1581" s="2"/>
      <c r="BB1581" s="2" t="n">
        <v>91</v>
      </c>
      <c r="BC1581" s="2" t="n">
        <v>95</v>
      </c>
      <c r="BD1581" s="2"/>
      <c r="BE1581" s="2" t="s">
        <v>27418</v>
      </c>
      <c r="BF1581" s="2" t="str">
        <f aca="false">HYPERLINK("http://dx.doi.org/10.5152/ThoracResPract.2023.22187","http://dx.doi.org/10.5152/ThoracResPract.2023.22187")</f>
        <v>http://dx.doi.org/10.5152/ThoracResPract.2023.22187</v>
      </c>
      <c r="BG1581" s="2"/>
      <c r="BH1581" s="2"/>
      <c r="BI1581" s="2" t="n">
        <v>50</v>
      </c>
      <c r="BJ1581" s="2" t="s">
        <v>338</v>
      </c>
      <c r="BK1581" s="2" t="s">
        <v>339</v>
      </c>
      <c r="BL1581" s="2" t="s">
        <v>338</v>
      </c>
      <c r="BM1581" s="2" t="s">
        <v>27419</v>
      </c>
      <c r="BN1581" s="2" t="n">
        <v>37503645</v>
      </c>
      <c r="BO1581" s="2" t="s">
        <v>103</v>
      </c>
      <c r="BP1581" s="2"/>
      <c r="BQ1581" s="2"/>
      <c r="BR1581" s="2" t="s">
        <v>104</v>
      </c>
      <c r="BS1581" s="2" t="s">
        <v>27420</v>
      </c>
      <c r="BT1581" s="2" t="str">
        <f aca="false">HYPERLINK("https%3A%2F%2Fwww.webofscience.com%2Fwos%2Fwoscc%2Ffull-record%2FWOS:001011106100006","View Full Record in Web of Science")</f>
        <v>View Full Record in Web of Science</v>
      </c>
    </row>
    <row r="1582" customFormat="false" ht="12.75" hidden="false" customHeight="false" outlineLevel="0" collapsed="false">
      <c r="A1582" s="2" t="s">
        <v>72</v>
      </c>
      <c r="B1582" s="2" t="s">
        <v>27421</v>
      </c>
      <c r="C1582" s="2"/>
      <c r="D1582" s="2"/>
      <c r="E1582" s="2"/>
      <c r="F1582" s="2" t="s">
        <v>27422</v>
      </c>
      <c r="G1582" s="2"/>
      <c r="H1582" s="2" t="s">
        <v>27423</v>
      </c>
      <c r="I1582" s="2" t="s">
        <v>27424</v>
      </c>
      <c r="J1582" s="2" t="s">
        <v>7244</v>
      </c>
      <c r="K1582" s="2"/>
      <c r="L1582" s="2"/>
      <c r="M1582" s="2" t="s">
        <v>77</v>
      </c>
      <c r="N1582" s="2" t="s">
        <v>78</v>
      </c>
      <c r="O1582" s="2"/>
      <c r="P1582" s="2"/>
      <c r="Q1582" s="2"/>
      <c r="R1582" s="2"/>
      <c r="S1582" s="2"/>
      <c r="T1582" s="2" t="s">
        <v>27425</v>
      </c>
      <c r="U1582" s="2" t="s">
        <v>27426</v>
      </c>
      <c r="V1582" s="2" t="s">
        <v>27427</v>
      </c>
      <c r="W1582" s="2" t="s">
        <v>27428</v>
      </c>
      <c r="X1582" s="2" t="s">
        <v>27429</v>
      </c>
      <c r="Y1582" s="2" t="s">
        <v>27430</v>
      </c>
      <c r="Z1582" s="2" t="s">
        <v>27431</v>
      </c>
      <c r="AA1582" s="2" t="s">
        <v>27432</v>
      </c>
      <c r="AB1582" s="2"/>
      <c r="AC1582" s="2" t="s">
        <v>5440</v>
      </c>
      <c r="AD1582" s="2" t="s">
        <v>5441</v>
      </c>
      <c r="AE1582" s="2" t="s">
        <v>27433</v>
      </c>
      <c r="AF1582" s="2"/>
      <c r="AG1582" s="2" t="n">
        <v>23</v>
      </c>
      <c r="AH1582" s="2" t="n">
        <v>18</v>
      </c>
      <c r="AI1582" s="2" t="n">
        <v>19</v>
      </c>
      <c r="AJ1582" s="2" t="n">
        <v>0</v>
      </c>
      <c r="AK1582" s="2" t="n">
        <v>7</v>
      </c>
      <c r="AL1582" s="2" t="s">
        <v>782</v>
      </c>
      <c r="AM1582" s="2" t="s">
        <v>783</v>
      </c>
      <c r="AN1582" s="2" t="s">
        <v>784</v>
      </c>
      <c r="AO1582" s="2" t="s">
        <v>7252</v>
      </c>
      <c r="AP1582" s="2" t="s">
        <v>7253</v>
      </c>
      <c r="AQ1582" s="2"/>
      <c r="AR1582" s="2" t="s">
        <v>7254</v>
      </c>
      <c r="AS1582" s="2" t="s">
        <v>7255</v>
      </c>
      <c r="AT1582" s="2" t="s">
        <v>599</v>
      </c>
      <c r="AU1582" s="2" t="n">
        <v>2018</v>
      </c>
      <c r="AV1582" s="2" t="n">
        <v>24</v>
      </c>
      <c r="AW1582" s="2" t="n">
        <v>7</v>
      </c>
      <c r="AX1582" s="2"/>
      <c r="AY1582" s="2"/>
      <c r="AZ1582" s="2"/>
      <c r="BA1582" s="2"/>
      <c r="BB1582" s="2" t="n">
        <v>764</v>
      </c>
      <c r="BC1582" s="2" t="n">
        <v>770</v>
      </c>
      <c r="BD1582" s="2"/>
      <c r="BE1582" s="2" t="s">
        <v>27434</v>
      </c>
      <c r="BF1582" s="2" t="str">
        <f aca="false">HYPERLINK("http://dx.doi.org/10.1016/j.cmi.2017.10.006","http://dx.doi.org/10.1016/j.cmi.2017.10.006")</f>
        <v>http://dx.doi.org/10.1016/j.cmi.2017.10.006</v>
      </c>
      <c r="BG1582" s="2"/>
      <c r="BH1582" s="2"/>
      <c r="BI1582" s="2" t="n">
        <v>7</v>
      </c>
      <c r="BJ1582" s="2" t="s">
        <v>1467</v>
      </c>
      <c r="BK1582" s="2" t="s">
        <v>100</v>
      </c>
      <c r="BL1582" s="2" t="s">
        <v>1467</v>
      </c>
      <c r="BM1582" s="2" t="s">
        <v>27435</v>
      </c>
      <c r="BN1582" s="2" t="n">
        <v>29050992</v>
      </c>
      <c r="BO1582" s="2" t="s">
        <v>136</v>
      </c>
      <c r="BP1582" s="2"/>
      <c r="BQ1582" s="2"/>
      <c r="BR1582" s="2" t="s">
        <v>104</v>
      </c>
      <c r="BS1582" s="2" t="s">
        <v>27436</v>
      </c>
      <c r="BT1582" s="2" t="str">
        <f aca="false">HYPERLINK("https%3A%2F%2Fwww.webofscience.com%2Fwos%2Fwoscc%2Ffull-record%2FWOS:000436640800018","View Full Record in Web of Science")</f>
        <v>View Full Record in Web of Science</v>
      </c>
    </row>
    <row r="1583" s="5" customFormat="true" ht="12.75" hidden="false" customHeight="false" outlineLevel="0" collapsed="false">
      <c r="A1583" s="4" t="s">
        <v>72</v>
      </c>
      <c r="B1583" s="4" t="s">
        <v>20685</v>
      </c>
      <c r="C1583" s="4"/>
      <c r="D1583" s="4"/>
      <c r="E1583" s="4"/>
      <c r="F1583" s="4" t="s">
        <v>20686</v>
      </c>
      <c r="G1583" s="4"/>
      <c r="H1583" s="4"/>
      <c r="I1583" s="4" t="s">
        <v>27437</v>
      </c>
      <c r="J1583" s="4" t="s">
        <v>2021</v>
      </c>
      <c r="K1583" s="4"/>
      <c r="L1583" s="4"/>
      <c r="M1583" s="4" t="s">
        <v>77</v>
      </c>
      <c r="N1583" s="4" t="s">
        <v>78</v>
      </c>
      <c r="O1583" s="4"/>
      <c r="P1583" s="4"/>
      <c r="Q1583" s="4"/>
      <c r="R1583" s="4"/>
      <c r="S1583" s="4"/>
      <c r="T1583" s="1" t="s">
        <v>27438</v>
      </c>
      <c r="U1583" s="4" t="s">
        <v>27439</v>
      </c>
      <c r="V1583" s="4" t="s">
        <v>27440</v>
      </c>
      <c r="W1583" s="4" t="s">
        <v>27441</v>
      </c>
      <c r="X1583" s="4" t="s">
        <v>27442</v>
      </c>
      <c r="Y1583" s="4" t="s">
        <v>27443</v>
      </c>
      <c r="Z1583" s="4" t="s">
        <v>20694</v>
      </c>
      <c r="AA1583" s="4"/>
      <c r="AB1583" s="4"/>
      <c r="AC1583" s="4"/>
      <c r="AD1583" s="4"/>
      <c r="AE1583" s="4"/>
      <c r="AF1583" s="4"/>
      <c r="AG1583" s="4" t="n">
        <v>17</v>
      </c>
      <c r="AH1583" s="4" t="n">
        <v>45</v>
      </c>
      <c r="AI1583" s="4" t="n">
        <v>47</v>
      </c>
      <c r="AJ1583" s="4" t="n">
        <v>0</v>
      </c>
      <c r="AK1583" s="4" t="n">
        <v>1</v>
      </c>
      <c r="AL1583" s="4" t="s">
        <v>27444</v>
      </c>
      <c r="AM1583" s="4" t="s">
        <v>20223</v>
      </c>
      <c r="AN1583" s="4" t="s">
        <v>27445</v>
      </c>
      <c r="AO1583" s="4" t="s">
        <v>2033</v>
      </c>
      <c r="AP1583" s="4"/>
      <c r="AQ1583" s="4"/>
      <c r="AR1583" s="4" t="s">
        <v>2035</v>
      </c>
      <c r="AS1583" s="4" t="s">
        <v>2036</v>
      </c>
      <c r="AT1583" s="4" t="s">
        <v>1818</v>
      </c>
      <c r="AU1583" s="4" t="n">
        <v>2008</v>
      </c>
      <c r="AV1583" s="4" t="n">
        <v>46</v>
      </c>
      <c r="AW1583" s="4" t="n">
        <v>4</v>
      </c>
      <c r="AX1583" s="4"/>
      <c r="AY1583" s="4"/>
      <c r="AZ1583" s="4"/>
      <c r="BA1583" s="4"/>
      <c r="BB1583" s="4" t="n">
        <v>571</v>
      </c>
      <c r="BC1583" s="4" t="n">
        <v>574</v>
      </c>
      <c r="BD1583" s="4"/>
      <c r="BE1583" s="4" t="s">
        <v>27446</v>
      </c>
      <c r="BF1583" s="4" t="str">
        <f aca="false">HYPERLINK("http://dx.doi.org/10.1086/526776","http://dx.doi.org/10.1086/526776")</f>
        <v>http://dx.doi.org/10.1086/526776</v>
      </c>
      <c r="BG1583" s="4"/>
      <c r="BH1583" s="4"/>
      <c r="BI1583" s="4" t="n">
        <v>4</v>
      </c>
      <c r="BJ1583" s="4" t="s">
        <v>536</v>
      </c>
      <c r="BK1583" s="4" t="s">
        <v>100</v>
      </c>
      <c r="BL1583" s="4" t="s">
        <v>536</v>
      </c>
      <c r="BM1583" s="4" t="s">
        <v>27447</v>
      </c>
      <c r="BN1583" s="4" t="n">
        <v>18194097</v>
      </c>
      <c r="BO1583" s="4" t="s">
        <v>656</v>
      </c>
      <c r="BP1583" s="4"/>
      <c r="BQ1583" s="4"/>
      <c r="BR1583" s="4" t="s">
        <v>104</v>
      </c>
      <c r="BS1583" s="4" t="s">
        <v>27448</v>
      </c>
      <c r="BT1583" s="4" t="str">
        <f aca="false">HYPERLINK("https%3A%2F%2Fwww.webofscience.com%2Fwos%2Fwoscc%2Ffull-record%2FWOS:000252617600015","View Full Record in Web of Science")</f>
        <v>View Full Record in Web of Science</v>
      </c>
    </row>
    <row r="1584" s="5" customFormat="true" ht="12.75" hidden="false" customHeight="false" outlineLevel="0" collapsed="false">
      <c r="A1584" s="4" t="s">
        <v>72</v>
      </c>
      <c r="B1584" s="4" t="s">
        <v>27449</v>
      </c>
      <c r="C1584" s="4"/>
      <c r="D1584" s="4"/>
      <c r="E1584" s="4"/>
      <c r="F1584" s="4" t="s">
        <v>27450</v>
      </c>
      <c r="G1584" s="4"/>
      <c r="H1584" s="4" t="s">
        <v>27451</v>
      </c>
      <c r="I1584" s="4" t="s">
        <v>27452</v>
      </c>
      <c r="J1584" s="4" t="s">
        <v>27453</v>
      </c>
      <c r="K1584" s="4"/>
      <c r="L1584" s="4"/>
      <c r="M1584" s="4" t="s">
        <v>77</v>
      </c>
      <c r="N1584" s="4" t="s">
        <v>78</v>
      </c>
      <c r="O1584" s="4"/>
      <c r="P1584" s="4"/>
      <c r="Q1584" s="4"/>
      <c r="R1584" s="4"/>
      <c r="S1584" s="4"/>
      <c r="T1584" s="1" t="s">
        <v>27454</v>
      </c>
      <c r="U1584" s="4" t="s">
        <v>27455</v>
      </c>
      <c r="V1584" s="4" t="s">
        <v>27456</v>
      </c>
      <c r="W1584" s="4" t="s">
        <v>27457</v>
      </c>
      <c r="X1584" s="4" t="s">
        <v>27458</v>
      </c>
      <c r="Y1584" s="4" t="s">
        <v>27459</v>
      </c>
      <c r="Z1584" s="4" t="s">
        <v>27460</v>
      </c>
      <c r="AA1584" s="4" t="s">
        <v>27461</v>
      </c>
      <c r="AB1584" s="4" t="s">
        <v>27462</v>
      </c>
      <c r="AC1584" s="4"/>
      <c r="AD1584" s="4"/>
      <c r="AE1584" s="4"/>
      <c r="AF1584" s="4"/>
      <c r="AG1584" s="4" t="n">
        <v>22</v>
      </c>
      <c r="AH1584" s="4" t="n">
        <v>12</v>
      </c>
      <c r="AI1584" s="4" t="n">
        <v>15</v>
      </c>
      <c r="AJ1584" s="4" t="n">
        <v>0</v>
      </c>
      <c r="AK1584" s="4" t="n">
        <v>1</v>
      </c>
      <c r="AL1584" s="4" t="s">
        <v>27463</v>
      </c>
      <c r="AM1584" s="4" t="s">
        <v>16252</v>
      </c>
      <c r="AN1584" s="4" t="s">
        <v>27464</v>
      </c>
      <c r="AO1584" s="4" t="s">
        <v>27465</v>
      </c>
      <c r="AP1584" s="4" t="s">
        <v>27466</v>
      </c>
      <c r="AQ1584" s="4"/>
      <c r="AR1584" s="4" t="s">
        <v>27467</v>
      </c>
      <c r="AS1584" s="4" t="s">
        <v>27468</v>
      </c>
      <c r="AT1584" s="4" t="s">
        <v>599</v>
      </c>
      <c r="AU1584" s="4" t="n">
        <v>2019</v>
      </c>
      <c r="AV1584" s="4" t="n">
        <v>72</v>
      </c>
      <c r="AW1584" s="4" t="n">
        <v>4</v>
      </c>
      <c r="AX1584" s="4"/>
      <c r="AY1584" s="4"/>
      <c r="AZ1584" s="4"/>
      <c r="BA1584" s="4"/>
      <c r="BB1584" s="4" t="n">
        <v>237</v>
      </c>
      <c r="BC1584" s="4" t="n">
        <v>242</v>
      </c>
      <c r="BD1584" s="4"/>
      <c r="BE1584" s="4" t="s">
        <v>27469</v>
      </c>
      <c r="BF1584" s="4" t="str">
        <f aca="false">HYPERLINK("http://dx.doi.org/10.7883/yoken.JJID.2018.480","http://dx.doi.org/10.7883/yoken.JJID.2018.480")</f>
        <v>http://dx.doi.org/10.7883/yoken.JJID.2018.480</v>
      </c>
      <c r="BG1584" s="4"/>
      <c r="BH1584" s="4"/>
      <c r="BI1584" s="4" t="n">
        <v>6</v>
      </c>
      <c r="BJ1584" s="4" t="s">
        <v>575</v>
      </c>
      <c r="BK1584" s="4" t="s">
        <v>100</v>
      </c>
      <c r="BL1584" s="4" t="s">
        <v>575</v>
      </c>
      <c r="BM1584" s="4" t="s">
        <v>27470</v>
      </c>
      <c r="BN1584" s="4" t="n">
        <v>30814460</v>
      </c>
      <c r="BO1584" s="4" t="s">
        <v>1355</v>
      </c>
      <c r="BP1584" s="4"/>
      <c r="BQ1584" s="4"/>
      <c r="BR1584" s="4" t="s">
        <v>104</v>
      </c>
      <c r="BS1584" s="4" t="s">
        <v>27471</v>
      </c>
      <c r="BT1584" s="4" t="str">
        <f aca="false">HYPERLINK("https%3A%2F%2Fwww.webofscience.com%2Fwos%2Fwoscc%2Ffull-record%2FWOS:000480370400005","View Full Record in Web of Science")</f>
        <v>View Full Record in Web of Science</v>
      </c>
    </row>
    <row r="1585" s="5" customFormat="true" ht="12.75" hidden="false" customHeight="false" outlineLevel="0" collapsed="false">
      <c r="A1585" s="4" t="s">
        <v>72</v>
      </c>
      <c r="B1585" s="4" t="s">
        <v>27472</v>
      </c>
      <c r="C1585" s="4"/>
      <c r="D1585" s="4"/>
      <c r="E1585" s="4"/>
      <c r="F1585" s="4" t="s">
        <v>27473</v>
      </c>
      <c r="G1585" s="4"/>
      <c r="H1585" s="4" t="s">
        <v>12250</v>
      </c>
      <c r="I1585" s="4" t="s">
        <v>27474</v>
      </c>
      <c r="J1585" s="4" t="s">
        <v>27475</v>
      </c>
      <c r="K1585" s="4"/>
      <c r="L1585" s="4"/>
      <c r="M1585" s="4" t="s">
        <v>77</v>
      </c>
      <c r="N1585" s="4" t="s">
        <v>78</v>
      </c>
      <c r="O1585" s="4"/>
      <c r="P1585" s="4"/>
      <c r="Q1585" s="4"/>
      <c r="R1585" s="4"/>
      <c r="S1585" s="4"/>
      <c r="T1585" s="1" t="s">
        <v>27476</v>
      </c>
      <c r="U1585" s="4" t="s">
        <v>27477</v>
      </c>
      <c r="V1585" s="4" t="s">
        <v>27478</v>
      </c>
      <c r="W1585" s="4" t="s">
        <v>27479</v>
      </c>
      <c r="X1585" s="4" t="s">
        <v>27480</v>
      </c>
      <c r="Y1585" s="4" t="s">
        <v>27481</v>
      </c>
      <c r="Z1585" s="4" t="s">
        <v>6724</v>
      </c>
      <c r="AA1585" s="4" t="s">
        <v>12258</v>
      </c>
      <c r="AB1585" s="4" t="s">
        <v>12259</v>
      </c>
      <c r="AC1585" s="4" t="s">
        <v>27482</v>
      </c>
      <c r="AD1585" s="4" t="s">
        <v>27483</v>
      </c>
      <c r="AE1585" s="4" t="s">
        <v>27484</v>
      </c>
      <c r="AF1585" s="4"/>
      <c r="AG1585" s="4" t="n">
        <v>55</v>
      </c>
      <c r="AH1585" s="4" t="n">
        <v>229</v>
      </c>
      <c r="AI1585" s="4" t="n">
        <v>263</v>
      </c>
      <c r="AJ1585" s="4" t="n">
        <v>0</v>
      </c>
      <c r="AK1585" s="4" t="n">
        <v>15</v>
      </c>
      <c r="AL1585" s="4" t="s">
        <v>27485</v>
      </c>
      <c r="AM1585" s="4" t="s">
        <v>27486</v>
      </c>
      <c r="AN1585" s="4" t="s">
        <v>27487</v>
      </c>
      <c r="AO1585" s="4" t="s">
        <v>27488</v>
      </c>
      <c r="AP1585" s="4"/>
      <c r="AQ1585" s="4"/>
      <c r="AR1585" s="4" t="s">
        <v>27489</v>
      </c>
      <c r="AS1585" s="4" t="s">
        <v>27490</v>
      </c>
      <c r="AT1585" s="4" t="s">
        <v>7607</v>
      </c>
      <c r="AU1585" s="4" t="n">
        <v>2013</v>
      </c>
      <c r="AV1585" s="4" t="n">
        <v>368</v>
      </c>
      <c r="AW1585" s="4" t="n">
        <v>7</v>
      </c>
      <c r="AX1585" s="4"/>
      <c r="AY1585" s="4"/>
      <c r="AZ1585" s="4"/>
      <c r="BA1585" s="4"/>
      <c r="BB1585" s="4" t="n">
        <v>633</v>
      </c>
      <c r="BC1585" s="4" t="n">
        <v>643</v>
      </c>
      <c r="BD1585" s="4"/>
      <c r="BE1585" s="4" t="s">
        <v>27491</v>
      </c>
      <c r="BF1585" s="4" t="str">
        <f aca="false">HYPERLINK("http://dx.doi.org/10.1056/NEJMoa1204630","http://dx.doi.org/10.1056/NEJMoa1204630")</f>
        <v>http://dx.doi.org/10.1056/NEJMoa1204630</v>
      </c>
      <c r="BG1585" s="4"/>
      <c r="BH1585" s="4"/>
      <c r="BI1585" s="4" t="n">
        <v>11</v>
      </c>
      <c r="BJ1585" s="4" t="s">
        <v>363</v>
      </c>
      <c r="BK1585" s="4" t="s">
        <v>100</v>
      </c>
      <c r="BL1585" s="4" t="s">
        <v>364</v>
      </c>
      <c r="BM1585" s="4" t="s">
        <v>27492</v>
      </c>
      <c r="BN1585" s="4" t="n">
        <v>23406028</v>
      </c>
      <c r="BO1585" s="4" t="s">
        <v>5372</v>
      </c>
      <c r="BP1585" s="4"/>
      <c r="BQ1585" s="4"/>
      <c r="BR1585" s="4" t="s">
        <v>104</v>
      </c>
      <c r="BS1585" s="4" t="s">
        <v>27493</v>
      </c>
      <c r="BT1585" s="4" t="str">
        <f aca="false">HYPERLINK("https%3A%2F%2Fwww.webofscience.com%2Fwos%2Fwoscc%2Ffull-record%2FWOS:000322659600008","View Full Record in Web of Science")</f>
        <v>View Full Record in Web of Science</v>
      </c>
    </row>
    <row r="1586" s="5" customFormat="true" ht="12.75" hidden="false" customHeight="false" outlineLevel="0" collapsed="false">
      <c r="A1586" s="4" t="s">
        <v>72</v>
      </c>
      <c r="B1586" s="4" t="s">
        <v>27494</v>
      </c>
      <c r="C1586" s="4"/>
      <c r="D1586" s="4"/>
      <c r="E1586" s="4"/>
      <c r="F1586" s="4" t="s">
        <v>27495</v>
      </c>
      <c r="G1586" s="4"/>
      <c r="H1586" s="4"/>
      <c r="I1586" s="4" t="s">
        <v>27496</v>
      </c>
      <c r="J1586" s="4" t="s">
        <v>27497</v>
      </c>
      <c r="K1586" s="4"/>
      <c r="L1586" s="4"/>
      <c r="M1586" s="4" t="s">
        <v>77</v>
      </c>
      <c r="N1586" s="4" t="s">
        <v>78</v>
      </c>
      <c r="O1586" s="4"/>
      <c r="P1586" s="4"/>
      <c r="Q1586" s="4"/>
      <c r="R1586" s="4"/>
      <c r="S1586" s="4"/>
      <c r="T1586" s="1" t="s">
        <v>27498</v>
      </c>
      <c r="U1586" s="4" t="s">
        <v>27499</v>
      </c>
      <c r="V1586" s="4" t="s">
        <v>27500</v>
      </c>
      <c r="W1586" s="4" t="s">
        <v>27501</v>
      </c>
      <c r="X1586" s="4" t="s">
        <v>14856</v>
      </c>
      <c r="Y1586" s="4" t="s">
        <v>27502</v>
      </c>
      <c r="Z1586" s="4" t="s">
        <v>10668</v>
      </c>
      <c r="AA1586" s="4"/>
      <c r="AB1586" s="4" t="s">
        <v>21117</v>
      </c>
      <c r="AC1586" s="4" t="s">
        <v>27503</v>
      </c>
      <c r="AD1586" s="4" t="s">
        <v>27504</v>
      </c>
      <c r="AE1586" s="4" t="s">
        <v>27505</v>
      </c>
      <c r="AF1586" s="4"/>
      <c r="AG1586" s="4" t="n">
        <v>60</v>
      </c>
      <c r="AH1586" s="4" t="n">
        <v>23</v>
      </c>
      <c r="AI1586" s="4" t="n">
        <v>25</v>
      </c>
      <c r="AJ1586" s="4" t="n">
        <v>0</v>
      </c>
      <c r="AK1586" s="4" t="n">
        <v>0</v>
      </c>
      <c r="AL1586" s="4" t="s">
        <v>27506</v>
      </c>
      <c r="AM1586" s="4" t="s">
        <v>27507</v>
      </c>
      <c r="AN1586" s="4" t="s">
        <v>27508</v>
      </c>
      <c r="AO1586" s="4" t="s">
        <v>27509</v>
      </c>
      <c r="AP1586" s="4"/>
      <c r="AQ1586" s="4"/>
      <c r="AR1586" s="4" t="s">
        <v>27497</v>
      </c>
      <c r="AS1586" s="4" t="s">
        <v>27510</v>
      </c>
      <c r="AT1586" s="4" t="s">
        <v>5979</v>
      </c>
      <c r="AU1586" s="4" t="n">
        <v>2012</v>
      </c>
      <c r="AV1586" s="4" t="n">
        <v>7</v>
      </c>
      <c r="AW1586" s="4" t="n">
        <v>5</v>
      </c>
      <c r="AX1586" s="4"/>
      <c r="AY1586" s="4"/>
      <c r="AZ1586" s="4"/>
      <c r="BA1586" s="4"/>
      <c r="BB1586" s="4"/>
      <c r="BC1586" s="4"/>
      <c r="BD1586" s="4" t="s">
        <v>27511</v>
      </c>
      <c r="BE1586" s="4" t="s">
        <v>27512</v>
      </c>
      <c r="BF1586" s="4" t="str">
        <f aca="false">HYPERLINK("http://dx.doi.org/10.1371/journal.pone.0037173","http://dx.doi.org/10.1371/journal.pone.0037173")</f>
        <v>http://dx.doi.org/10.1371/journal.pone.0037173</v>
      </c>
      <c r="BG1586" s="4"/>
      <c r="BH1586" s="4"/>
      <c r="BI1586" s="4" t="n">
        <v>10</v>
      </c>
      <c r="BJ1586" s="4" t="s">
        <v>1658</v>
      </c>
      <c r="BK1586" s="4" t="s">
        <v>100</v>
      </c>
      <c r="BL1586" s="4" t="s">
        <v>1659</v>
      </c>
      <c r="BM1586" s="4" t="s">
        <v>27513</v>
      </c>
      <c r="BN1586" s="4" t="n">
        <v>22606349</v>
      </c>
      <c r="BO1586" s="4" t="s">
        <v>11315</v>
      </c>
      <c r="BP1586" s="4"/>
      <c r="BQ1586" s="4"/>
      <c r="BR1586" s="4" t="s">
        <v>104</v>
      </c>
      <c r="BS1586" s="4" t="s">
        <v>27514</v>
      </c>
      <c r="BT1586" s="4" t="str">
        <f aca="false">HYPERLINK("https%3A%2F%2Fwww.webofscience.com%2Fwos%2Fwoscc%2Ffull-record%2FWOS:000305339400075","View Full Record in Web of Science")</f>
        <v>View Full Record in Web of Science</v>
      </c>
    </row>
    <row r="1587" s="5" customFormat="true" ht="12.75" hidden="false" customHeight="false" outlineLevel="0" collapsed="false">
      <c r="A1587" s="4" t="s">
        <v>72</v>
      </c>
      <c r="B1587" s="4" t="s">
        <v>27515</v>
      </c>
      <c r="C1587" s="4"/>
      <c r="D1587" s="4"/>
      <c r="E1587" s="4"/>
      <c r="F1587" s="4" t="s">
        <v>27515</v>
      </c>
      <c r="G1587" s="4"/>
      <c r="H1587" s="4"/>
      <c r="I1587" s="4" t="s">
        <v>27516</v>
      </c>
      <c r="J1587" s="4" t="s">
        <v>514</v>
      </c>
      <c r="K1587" s="4"/>
      <c r="L1587" s="4"/>
      <c r="M1587" s="4" t="s">
        <v>77</v>
      </c>
      <c r="N1587" s="4" t="s">
        <v>78</v>
      </c>
      <c r="O1587" s="4"/>
      <c r="P1587" s="4"/>
      <c r="Q1587" s="4"/>
      <c r="R1587" s="4"/>
      <c r="S1587" s="4"/>
      <c r="T1587" s="1" t="s">
        <v>27517</v>
      </c>
      <c r="U1587" s="4" t="s">
        <v>27518</v>
      </c>
      <c r="V1587" s="4" t="s">
        <v>27519</v>
      </c>
      <c r="W1587" s="4" t="s">
        <v>27520</v>
      </c>
      <c r="X1587" s="4" t="s">
        <v>27521</v>
      </c>
      <c r="Y1587" s="4" t="s">
        <v>27522</v>
      </c>
      <c r="Z1587" s="4" t="s">
        <v>2827</v>
      </c>
      <c r="AA1587" s="4" t="s">
        <v>27523</v>
      </c>
      <c r="AB1587" s="4" t="s">
        <v>27524</v>
      </c>
      <c r="AC1587" s="4" t="s">
        <v>27525</v>
      </c>
      <c r="AD1587" s="4" t="s">
        <v>9670</v>
      </c>
      <c r="AE1587" s="4"/>
      <c r="AF1587" s="4"/>
      <c r="AG1587" s="4" t="n">
        <v>17</v>
      </c>
      <c r="AH1587" s="4" t="n">
        <v>117</v>
      </c>
      <c r="AI1587" s="4" t="n">
        <v>135</v>
      </c>
      <c r="AJ1587" s="4" t="n">
        <v>0</v>
      </c>
      <c r="AK1587" s="4" t="n">
        <v>2</v>
      </c>
      <c r="AL1587" s="4" t="s">
        <v>527</v>
      </c>
      <c r="AM1587" s="4" t="s">
        <v>528</v>
      </c>
      <c r="AN1587" s="4" t="s">
        <v>529</v>
      </c>
      <c r="AO1587" s="4" t="s">
        <v>530</v>
      </c>
      <c r="AP1587" s="4" t="s">
        <v>531</v>
      </c>
      <c r="AQ1587" s="4"/>
      <c r="AR1587" s="4" t="s">
        <v>532</v>
      </c>
      <c r="AS1587" s="4" t="s">
        <v>533</v>
      </c>
      <c r="AT1587" s="4" t="s">
        <v>5685</v>
      </c>
      <c r="AU1587" s="4" t="n">
        <v>2005</v>
      </c>
      <c r="AV1587" s="4" t="n">
        <v>192</v>
      </c>
      <c r="AW1587" s="4" t="n">
        <v>7</v>
      </c>
      <c r="AX1587" s="4"/>
      <c r="AY1587" s="4"/>
      <c r="AZ1587" s="4"/>
      <c r="BA1587" s="4"/>
      <c r="BB1587" s="4" t="n">
        <v>1149</v>
      </c>
      <c r="BC1587" s="4" t="n">
        <v>1153</v>
      </c>
      <c r="BD1587" s="4"/>
      <c r="BE1587" s="4" t="s">
        <v>27526</v>
      </c>
      <c r="BF1587" s="4" t="str">
        <f aca="false">HYPERLINK("http://dx.doi.org/10.1086/444392","http://dx.doi.org/10.1086/444392")</f>
        <v>http://dx.doi.org/10.1086/444392</v>
      </c>
      <c r="BG1587" s="4"/>
      <c r="BH1587" s="4"/>
      <c r="BI1587" s="4" t="n">
        <v>5</v>
      </c>
      <c r="BJ1587" s="4" t="s">
        <v>536</v>
      </c>
      <c r="BK1587" s="4" t="s">
        <v>100</v>
      </c>
      <c r="BL1587" s="4" t="s">
        <v>536</v>
      </c>
      <c r="BM1587" s="4" t="s">
        <v>27527</v>
      </c>
      <c r="BN1587" s="4" t="n">
        <v>16136455</v>
      </c>
      <c r="BO1587" s="4" t="s">
        <v>4062</v>
      </c>
      <c r="BP1587" s="4"/>
      <c r="BQ1587" s="4"/>
      <c r="BR1587" s="4" t="s">
        <v>104</v>
      </c>
      <c r="BS1587" s="4" t="s">
        <v>27528</v>
      </c>
      <c r="BT1587" s="4" t="str">
        <f aca="false">HYPERLINK("https%3A%2F%2Fwww.webofscience.com%2Fwos%2Fwoscc%2Ffull-record%2FWOS:000231623700004","View Full Record in Web of Science")</f>
        <v>View Full Record in Web of Science</v>
      </c>
    </row>
    <row r="1588" s="5" customFormat="true" ht="12.75" hidden="false" customHeight="false" outlineLevel="0" collapsed="false">
      <c r="A1588" s="4" t="s">
        <v>72</v>
      </c>
      <c r="B1588" s="4" t="s">
        <v>27529</v>
      </c>
      <c r="C1588" s="4"/>
      <c r="D1588" s="4"/>
      <c r="E1588" s="4"/>
      <c r="F1588" s="4" t="s">
        <v>27530</v>
      </c>
      <c r="G1588" s="4"/>
      <c r="H1588" s="4"/>
      <c r="I1588" s="4" t="s">
        <v>27531</v>
      </c>
      <c r="J1588" s="4" t="s">
        <v>27532</v>
      </c>
      <c r="K1588" s="4"/>
      <c r="L1588" s="4"/>
      <c r="M1588" s="4" t="s">
        <v>77</v>
      </c>
      <c r="N1588" s="4" t="s">
        <v>78</v>
      </c>
      <c r="O1588" s="4"/>
      <c r="P1588" s="4"/>
      <c r="Q1588" s="4"/>
      <c r="R1588" s="4"/>
      <c r="S1588" s="4"/>
      <c r="T1588" s="1" t="s">
        <v>27533</v>
      </c>
      <c r="U1588" s="4" t="s">
        <v>27534</v>
      </c>
      <c r="V1588" s="4" t="s">
        <v>27535</v>
      </c>
      <c r="W1588" s="4" t="s">
        <v>27536</v>
      </c>
      <c r="X1588" s="4" t="s">
        <v>27537</v>
      </c>
      <c r="Y1588" s="4" t="s">
        <v>27538</v>
      </c>
      <c r="Z1588" s="4" t="s">
        <v>27539</v>
      </c>
      <c r="AA1588" s="4" t="s">
        <v>27540</v>
      </c>
      <c r="AB1588" s="4"/>
      <c r="AC1588" s="4"/>
      <c r="AD1588" s="4"/>
      <c r="AE1588" s="4"/>
      <c r="AF1588" s="4"/>
      <c r="AG1588" s="4" t="n">
        <v>30</v>
      </c>
      <c r="AH1588" s="4" t="n">
        <v>8</v>
      </c>
      <c r="AI1588" s="4" t="n">
        <v>9</v>
      </c>
      <c r="AJ1588" s="4" t="n">
        <v>0</v>
      </c>
      <c r="AK1588" s="4" t="n">
        <v>0</v>
      </c>
      <c r="AL1588" s="4" t="s">
        <v>1565</v>
      </c>
      <c r="AM1588" s="4" t="s">
        <v>1566</v>
      </c>
      <c r="AN1588" s="4" t="s">
        <v>1567</v>
      </c>
      <c r="AO1588" s="4" t="s">
        <v>27541</v>
      </c>
      <c r="AP1588" s="4"/>
      <c r="AQ1588" s="4"/>
      <c r="AR1588" s="4" t="s">
        <v>27532</v>
      </c>
      <c r="AS1588" s="4" t="s">
        <v>27542</v>
      </c>
      <c r="AT1588" s="4" t="s">
        <v>336</v>
      </c>
      <c r="AU1588" s="4" t="n">
        <v>2016</v>
      </c>
      <c r="AV1588" s="4" t="n">
        <v>23</v>
      </c>
      <c r="AW1588" s="4" t="n">
        <v>4</v>
      </c>
      <c r="AX1588" s="4"/>
      <c r="AY1588" s="4"/>
      <c r="AZ1588" s="4"/>
      <c r="BA1588" s="4"/>
      <c r="BB1588" s="4" t="n">
        <v>442</v>
      </c>
      <c r="BC1588" s="4" t="n">
        <v>445</v>
      </c>
      <c r="BD1588" s="4"/>
      <c r="BE1588" s="4" t="s">
        <v>27543</v>
      </c>
      <c r="BF1588" s="4" t="str">
        <f aca="false">HYPERLINK("http://dx.doi.org/10.1177/107327481602300416","http://dx.doi.org/10.1177/107327481602300416")</f>
        <v>http://dx.doi.org/10.1177/107327481602300416</v>
      </c>
      <c r="BG1588" s="4"/>
      <c r="BH1588" s="4"/>
      <c r="BI1588" s="4" t="n">
        <v>4</v>
      </c>
      <c r="BJ1588" s="4" t="s">
        <v>9139</v>
      </c>
      <c r="BK1588" s="4" t="s">
        <v>100</v>
      </c>
      <c r="BL1588" s="4" t="s">
        <v>9139</v>
      </c>
      <c r="BM1588" s="4" t="s">
        <v>27544</v>
      </c>
      <c r="BN1588" s="4" t="n">
        <v>27842334</v>
      </c>
      <c r="BO1588" s="4" t="s">
        <v>656</v>
      </c>
      <c r="BP1588" s="4"/>
      <c r="BQ1588" s="4"/>
      <c r="BR1588" s="4" t="s">
        <v>104</v>
      </c>
      <c r="BS1588" s="4" t="s">
        <v>27545</v>
      </c>
      <c r="BT1588" s="4" t="str">
        <f aca="false">HYPERLINK("https%3A%2F%2Fwww.webofscience.com%2Fwos%2Fwoscc%2Ffull-record%2FWOS:000386879700015","View Full Record in Web of Science")</f>
        <v>View Full Record in Web of Science</v>
      </c>
    </row>
    <row r="1589" s="5" customFormat="true" ht="12.75" hidden="false" customHeight="false" outlineLevel="0" collapsed="false">
      <c r="A1589" s="4" t="s">
        <v>72</v>
      </c>
      <c r="B1589" s="4" t="s">
        <v>27546</v>
      </c>
      <c r="C1589" s="4"/>
      <c r="D1589" s="4"/>
      <c r="E1589" s="4"/>
      <c r="F1589" s="4" t="s">
        <v>27546</v>
      </c>
      <c r="G1589" s="4"/>
      <c r="H1589" s="4"/>
      <c r="I1589" s="4" t="s">
        <v>27547</v>
      </c>
      <c r="J1589" s="4" t="s">
        <v>27548</v>
      </c>
      <c r="K1589" s="4"/>
      <c r="L1589" s="4"/>
      <c r="M1589" s="4" t="s">
        <v>77</v>
      </c>
      <c r="N1589" s="4" t="s">
        <v>78</v>
      </c>
      <c r="O1589" s="4"/>
      <c r="P1589" s="4"/>
      <c r="Q1589" s="4"/>
      <c r="R1589" s="4"/>
      <c r="S1589" s="4"/>
      <c r="T1589" s="1" t="s">
        <v>27549</v>
      </c>
      <c r="U1589" s="4" t="s">
        <v>27550</v>
      </c>
      <c r="V1589" s="4" t="s">
        <v>27551</v>
      </c>
      <c r="W1589" s="4" t="s">
        <v>27552</v>
      </c>
      <c r="X1589" s="4" t="s">
        <v>27553</v>
      </c>
      <c r="Y1589" s="4" t="s">
        <v>27554</v>
      </c>
      <c r="Z1589" s="4" t="s">
        <v>27555</v>
      </c>
      <c r="AA1589" s="4" t="s">
        <v>27556</v>
      </c>
      <c r="AB1589" s="4" t="s">
        <v>27557</v>
      </c>
      <c r="AC1589" s="4" t="s">
        <v>27558</v>
      </c>
      <c r="AD1589" s="4" t="s">
        <v>27559</v>
      </c>
      <c r="AE1589" s="4"/>
      <c r="AF1589" s="4"/>
      <c r="AG1589" s="4" t="n">
        <v>20</v>
      </c>
      <c r="AH1589" s="4" t="n">
        <v>193</v>
      </c>
      <c r="AI1589" s="4" t="n">
        <v>209</v>
      </c>
      <c r="AJ1589" s="4" t="n">
        <v>0</v>
      </c>
      <c r="AK1589" s="4" t="n">
        <v>1</v>
      </c>
      <c r="AL1589" s="4" t="s">
        <v>27560</v>
      </c>
      <c r="AM1589" s="4" t="s">
        <v>27561</v>
      </c>
      <c r="AN1589" s="4" t="s">
        <v>27562</v>
      </c>
      <c r="AO1589" s="4" t="s">
        <v>27563</v>
      </c>
      <c r="AP1589" s="4" t="s">
        <v>27564</v>
      </c>
      <c r="AQ1589" s="4"/>
      <c r="AR1589" s="4" t="s">
        <v>27565</v>
      </c>
      <c r="AS1589" s="4" t="s">
        <v>27566</v>
      </c>
      <c r="AT1589" s="4" t="s">
        <v>692</v>
      </c>
      <c r="AU1589" s="4" t="n">
        <v>2004</v>
      </c>
      <c r="AV1589" s="4" t="n">
        <v>10</v>
      </c>
      <c r="AW1589" s="4" t="n">
        <v>4</v>
      </c>
      <c r="AX1589" s="4"/>
      <c r="AY1589" s="4"/>
      <c r="AZ1589" s="4"/>
      <c r="BA1589" s="4"/>
      <c r="BB1589" s="4" t="n">
        <v>700</v>
      </c>
      <c r="BC1589" s="4" t="n">
        <v>705</v>
      </c>
      <c r="BD1589" s="4"/>
      <c r="BE1589" s="4" t="s">
        <v>27567</v>
      </c>
      <c r="BF1589" s="4" t="str">
        <f aca="false">HYPERLINK("http://dx.doi.org/10.3201/eid1004.030555","http://dx.doi.org/10.3201/eid1004.030555")</f>
        <v>http://dx.doi.org/10.3201/eid1004.030555</v>
      </c>
      <c r="BG1589" s="4"/>
      <c r="BH1589" s="4"/>
      <c r="BI1589" s="4" t="n">
        <v>6</v>
      </c>
      <c r="BJ1589" s="4" t="s">
        <v>965</v>
      </c>
      <c r="BK1589" s="4" t="s">
        <v>100</v>
      </c>
      <c r="BL1589" s="4" t="s">
        <v>965</v>
      </c>
      <c r="BM1589" s="4" t="s">
        <v>27568</v>
      </c>
      <c r="BN1589" s="4" t="n">
        <v>15200863</v>
      </c>
      <c r="BO1589" s="4" t="s">
        <v>103</v>
      </c>
      <c r="BP1589" s="4"/>
      <c r="BQ1589" s="4"/>
      <c r="BR1589" s="4" t="s">
        <v>104</v>
      </c>
      <c r="BS1589" s="4" t="s">
        <v>27569</v>
      </c>
      <c r="BT1589" s="4" t="str">
        <f aca="false">HYPERLINK("https%3A%2F%2Fwww.webofscience.com%2Fwos%2Fwoscc%2Ffull-record%2FWOS:000220578600022","View Full Record in Web of Science")</f>
        <v>View Full Record in Web of Science</v>
      </c>
    </row>
    <row r="1590" s="5" customFormat="true" ht="12.75" hidden="false" customHeight="false" outlineLevel="0" collapsed="false">
      <c r="A1590" s="4" t="s">
        <v>72</v>
      </c>
      <c r="B1590" s="4" t="s">
        <v>27570</v>
      </c>
      <c r="C1590" s="4"/>
      <c r="D1590" s="4"/>
      <c r="E1590" s="4"/>
      <c r="F1590" s="4" t="s">
        <v>27571</v>
      </c>
      <c r="G1590" s="4"/>
      <c r="H1590" s="4"/>
      <c r="I1590" s="4" t="s">
        <v>27572</v>
      </c>
      <c r="J1590" s="4" t="s">
        <v>8945</v>
      </c>
      <c r="K1590" s="4"/>
      <c r="L1590" s="4"/>
      <c r="M1590" s="4" t="s">
        <v>77</v>
      </c>
      <c r="N1590" s="4" t="s">
        <v>78</v>
      </c>
      <c r="O1590" s="4"/>
      <c r="P1590" s="4"/>
      <c r="Q1590" s="4"/>
      <c r="R1590" s="4"/>
      <c r="S1590" s="4"/>
      <c r="T1590" s="1" t="s">
        <v>27573</v>
      </c>
      <c r="U1590" s="4" t="s">
        <v>27574</v>
      </c>
      <c r="V1590" s="4" t="s">
        <v>27575</v>
      </c>
      <c r="W1590" s="4" t="s">
        <v>27576</v>
      </c>
      <c r="X1590" s="4" t="s">
        <v>18496</v>
      </c>
      <c r="Y1590" s="4" t="s">
        <v>27577</v>
      </c>
      <c r="Z1590" s="4" t="s">
        <v>27578</v>
      </c>
      <c r="AA1590" s="4" t="s">
        <v>27579</v>
      </c>
      <c r="AB1590" s="4"/>
      <c r="AC1590" s="4" t="s">
        <v>27580</v>
      </c>
      <c r="AD1590" s="4" t="s">
        <v>27581</v>
      </c>
      <c r="AE1590" s="4" t="s">
        <v>27582</v>
      </c>
      <c r="AF1590" s="4"/>
      <c r="AG1590" s="4" t="n">
        <v>25</v>
      </c>
      <c r="AH1590" s="4" t="n">
        <v>17</v>
      </c>
      <c r="AI1590" s="4" t="n">
        <v>22</v>
      </c>
      <c r="AJ1590" s="4" t="n">
        <v>0</v>
      </c>
      <c r="AK1590" s="4" t="n">
        <v>6</v>
      </c>
      <c r="AL1590" s="4" t="s">
        <v>8957</v>
      </c>
      <c r="AM1590" s="4" t="s">
        <v>303</v>
      </c>
      <c r="AN1590" s="4" t="s">
        <v>8958</v>
      </c>
      <c r="AO1590" s="4" t="s">
        <v>8959</v>
      </c>
      <c r="AP1590" s="4" t="s">
        <v>8960</v>
      </c>
      <c r="AQ1590" s="4"/>
      <c r="AR1590" s="4" t="s">
        <v>8961</v>
      </c>
      <c r="AS1590" s="4" t="s">
        <v>8962</v>
      </c>
      <c r="AT1590" s="4"/>
      <c r="AU1590" s="4" t="n">
        <v>2009</v>
      </c>
      <c r="AV1590" s="4" t="n">
        <v>41</v>
      </c>
      <c r="AW1590" s="4" t="n">
        <v>10</v>
      </c>
      <c r="AX1590" s="4"/>
      <c r="AY1590" s="4"/>
      <c r="AZ1590" s="4"/>
      <c r="BA1590" s="4"/>
      <c r="BB1590" s="4" t="n">
        <v>735</v>
      </c>
      <c r="BC1590" s="4" t="n">
        <v>744</v>
      </c>
      <c r="BD1590" s="4"/>
      <c r="BE1590" s="4" t="s">
        <v>27583</v>
      </c>
      <c r="BF1590" s="4" t="str">
        <f aca="false">HYPERLINK("http://dx.doi.org/10.1080/00365540903148264","http://dx.doi.org/10.1080/00365540903148264")</f>
        <v>http://dx.doi.org/10.1080/00365540903148264</v>
      </c>
      <c r="BG1590" s="4"/>
      <c r="BH1590" s="4"/>
      <c r="BI1590" s="4" t="n">
        <v>10</v>
      </c>
      <c r="BJ1590" s="4" t="s">
        <v>575</v>
      </c>
      <c r="BK1590" s="4" t="s">
        <v>100</v>
      </c>
      <c r="BL1590" s="4" t="s">
        <v>575</v>
      </c>
      <c r="BM1590" s="4" t="s">
        <v>27584</v>
      </c>
      <c r="BN1590" s="4" t="n">
        <v>19685378</v>
      </c>
      <c r="BO1590" s="4"/>
      <c r="BP1590" s="4"/>
      <c r="BQ1590" s="4"/>
      <c r="BR1590" s="4" t="s">
        <v>104</v>
      </c>
      <c r="BS1590" s="4" t="s">
        <v>27585</v>
      </c>
      <c r="BT1590" s="4" t="str">
        <f aca="false">HYPERLINK("https%3A%2F%2Fwww.webofscience.com%2Fwos%2Fwoscc%2Ffull-record%2FWOS:000271468600005","View Full Record in Web of Science")</f>
        <v>View Full Record in Web of Science</v>
      </c>
    </row>
    <row r="1591" s="5" customFormat="true" ht="12.75" hidden="false" customHeight="false" outlineLevel="0" collapsed="false">
      <c r="A1591" s="4" t="s">
        <v>72</v>
      </c>
      <c r="B1591" s="4" t="s">
        <v>27586</v>
      </c>
      <c r="C1591" s="4"/>
      <c r="D1591" s="4"/>
      <c r="E1591" s="4"/>
      <c r="F1591" s="4" t="s">
        <v>27587</v>
      </c>
      <c r="G1591" s="4"/>
      <c r="H1591" s="4"/>
      <c r="I1591" s="4" t="s">
        <v>27588</v>
      </c>
      <c r="J1591" s="4" t="s">
        <v>514</v>
      </c>
      <c r="K1591" s="4"/>
      <c r="L1591" s="4"/>
      <c r="M1591" s="4" t="s">
        <v>77</v>
      </c>
      <c r="N1591" s="4" t="s">
        <v>78</v>
      </c>
      <c r="O1591" s="4"/>
      <c r="P1591" s="4"/>
      <c r="Q1591" s="4"/>
      <c r="R1591" s="4"/>
      <c r="S1591" s="4"/>
      <c r="T1591" s="1" t="s">
        <v>27589</v>
      </c>
      <c r="U1591" s="4" t="s">
        <v>27590</v>
      </c>
      <c r="V1591" s="4" t="s">
        <v>27591</v>
      </c>
      <c r="W1591" s="4" t="s">
        <v>27592</v>
      </c>
      <c r="X1591" s="4" t="s">
        <v>27593</v>
      </c>
      <c r="Y1591" s="4" t="s">
        <v>27594</v>
      </c>
      <c r="Z1591" s="4" t="s">
        <v>27595</v>
      </c>
      <c r="AA1591" s="4" t="s">
        <v>27596</v>
      </c>
      <c r="AB1591" s="4" t="s">
        <v>27597</v>
      </c>
      <c r="AC1591" s="4"/>
      <c r="AD1591" s="4"/>
      <c r="AE1591" s="4"/>
      <c r="AF1591" s="4"/>
      <c r="AG1591" s="4" t="n">
        <v>36</v>
      </c>
      <c r="AH1591" s="4" t="n">
        <v>16</v>
      </c>
      <c r="AI1591" s="4" t="n">
        <v>21</v>
      </c>
      <c r="AJ1591" s="4" t="n">
        <v>0</v>
      </c>
      <c r="AK1591" s="4" t="n">
        <v>2</v>
      </c>
      <c r="AL1591" s="4" t="s">
        <v>27444</v>
      </c>
      <c r="AM1591" s="4" t="s">
        <v>20223</v>
      </c>
      <c r="AN1591" s="4" t="s">
        <v>27445</v>
      </c>
      <c r="AO1591" s="4" t="s">
        <v>530</v>
      </c>
      <c r="AP1591" s="4"/>
      <c r="AQ1591" s="4"/>
      <c r="AR1591" s="4" t="s">
        <v>532</v>
      </c>
      <c r="AS1591" s="4" t="s">
        <v>533</v>
      </c>
      <c r="AT1591" s="4" t="s">
        <v>1818</v>
      </c>
      <c r="AU1591" s="4" t="n">
        <v>2008</v>
      </c>
      <c r="AV1591" s="4" t="n">
        <v>197</v>
      </c>
      <c r="AW1591" s="4" t="n">
        <v>4</v>
      </c>
      <c r="AX1591" s="4"/>
      <c r="AY1591" s="4"/>
      <c r="AZ1591" s="4"/>
      <c r="BA1591" s="4"/>
      <c r="BB1591" s="4" t="n">
        <v>584</v>
      </c>
      <c r="BC1591" s="4" t="n">
        <v>592</v>
      </c>
      <c r="BD1591" s="4"/>
      <c r="BE1591" s="4" t="s">
        <v>27598</v>
      </c>
      <c r="BF1591" s="4" t="str">
        <f aca="false">HYPERLINK("http://dx.doi.org/10.1086/526536","http://dx.doi.org/10.1086/526536")</f>
        <v>http://dx.doi.org/10.1086/526536</v>
      </c>
      <c r="BG1591" s="4"/>
      <c r="BH1591" s="4"/>
      <c r="BI1591" s="4" t="n">
        <v>9</v>
      </c>
      <c r="BJ1591" s="4" t="s">
        <v>536</v>
      </c>
      <c r="BK1591" s="4" t="s">
        <v>100</v>
      </c>
      <c r="BL1591" s="4" t="s">
        <v>536</v>
      </c>
      <c r="BM1591" s="4" t="s">
        <v>27599</v>
      </c>
      <c r="BN1591" s="4" t="n">
        <v>18240952</v>
      </c>
      <c r="BO1591" s="4" t="s">
        <v>656</v>
      </c>
      <c r="BP1591" s="4"/>
      <c r="BQ1591" s="4"/>
      <c r="BR1591" s="4" t="s">
        <v>104</v>
      </c>
      <c r="BS1591" s="4" t="s">
        <v>27600</v>
      </c>
      <c r="BT1591" s="4" t="str">
        <f aca="false">HYPERLINK("https%3A%2F%2Fwww.webofscience.com%2Fwos%2Fwoscc%2Ffull-record%2FWOS:000253191600014","View Full Record in Web of Science")</f>
        <v>View Full Record in Web of Science</v>
      </c>
    </row>
    <row r="1592" s="5" customFormat="true" ht="12.75" hidden="false" customHeight="false" outlineLevel="0" collapsed="false">
      <c r="A1592" s="4" t="s">
        <v>72</v>
      </c>
      <c r="B1592" s="4" t="s">
        <v>27601</v>
      </c>
      <c r="C1592" s="4"/>
      <c r="D1592" s="4"/>
      <c r="E1592" s="4"/>
      <c r="F1592" s="4" t="s">
        <v>27602</v>
      </c>
      <c r="G1592" s="4"/>
      <c r="H1592" s="4"/>
      <c r="I1592" s="4" t="s">
        <v>27603</v>
      </c>
      <c r="J1592" s="4" t="s">
        <v>13758</v>
      </c>
      <c r="K1592" s="4"/>
      <c r="L1592" s="4"/>
      <c r="M1592" s="4" t="s">
        <v>77</v>
      </c>
      <c r="N1592" s="4" t="s">
        <v>78</v>
      </c>
      <c r="O1592" s="4"/>
      <c r="P1592" s="4"/>
      <c r="Q1592" s="4"/>
      <c r="R1592" s="4"/>
      <c r="S1592" s="4"/>
      <c r="T1592" s="1" t="s">
        <v>27604</v>
      </c>
      <c r="U1592" s="4" t="s">
        <v>27605</v>
      </c>
      <c r="V1592" s="4" t="s">
        <v>27606</v>
      </c>
      <c r="W1592" s="4" t="s">
        <v>27607</v>
      </c>
      <c r="X1592" s="4" t="s">
        <v>18496</v>
      </c>
      <c r="Y1592" s="4" t="s">
        <v>27608</v>
      </c>
      <c r="Z1592" s="4" t="s">
        <v>27248</v>
      </c>
      <c r="AA1592" s="4" t="s">
        <v>27609</v>
      </c>
      <c r="AB1592" s="4"/>
      <c r="AC1592" s="4" t="s">
        <v>27580</v>
      </c>
      <c r="AD1592" s="4" t="s">
        <v>27581</v>
      </c>
      <c r="AE1592" s="4" t="s">
        <v>27582</v>
      </c>
      <c r="AF1592" s="4"/>
      <c r="AG1592" s="4" t="n">
        <v>42</v>
      </c>
      <c r="AH1592" s="4" t="n">
        <v>27</v>
      </c>
      <c r="AI1592" s="4" t="n">
        <v>28</v>
      </c>
      <c r="AJ1592" s="4" t="n">
        <v>0</v>
      </c>
      <c r="AK1592" s="4" t="n">
        <v>11</v>
      </c>
      <c r="AL1592" s="4" t="s">
        <v>13769</v>
      </c>
      <c r="AM1592" s="4" t="s">
        <v>16554</v>
      </c>
      <c r="AN1592" s="4" t="s">
        <v>16555</v>
      </c>
      <c r="AO1592" s="4" t="s">
        <v>13772</v>
      </c>
      <c r="AP1592" s="4" t="s">
        <v>13773</v>
      </c>
      <c r="AQ1592" s="4"/>
      <c r="AR1592" s="4" t="s">
        <v>13774</v>
      </c>
      <c r="AS1592" s="4" t="s">
        <v>13775</v>
      </c>
      <c r="AT1592" s="4" t="s">
        <v>1041</v>
      </c>
      <c r="AU1592" s="4" t="n">
        <v>2013</v>
      </c>
      <c r="AV1592" s="4" t="n">
        <v>158</v>
      </c>
      <c r="AW1592" s="4" t="n">
        <v>2</v>
      </c>
      <c r="AX1592" s="4"/>
      <c r="AY1592" s="4"/>
      <c r="AZ1592" s="4"/>
      <c r="BA1592" s="4"/>
      <c r="BB1592" s="4" t="n">
        <v>417</v>
      </c>
      <c r="BC1592" s="4" t="n">
        <v>424</v>
      </c>
      <c r="BD1592" s="4"/>
      <c r="BE1592" s="4" t="s">
        <v>27610</v>
      </c>
      <c r="BF1592" s="4" t="str">
        <f aca="false">HYPERLINK("http://dx.doi.org/10.1007/s00705-012-1492-7","http://dx.doi.org/10.1007/s00705-012-1492-7")</f>
        <v>http://dx.doi.org/10.1007/s00705-012-1492-7</v>
      </c>
      <c r="BG1592" s="4"/>
      <c r="BH1592" s="4"/>
      <c r="BI1592" s="4" t="n">
        <v>8</v>
      </c>
      <c r="BJ1592" s="4" t="s">
        <v>163</v>
      </c>
      <c r="BK1592" s="4" t="s">
        <v>100</v>
      </c>
      <c r="BL1592" s="4" t="s">
        <v>163</v>
      </c>
      <c r="BM1592" s="4" t="s">
        <v>27611</v>
      </c>
      <c r="BN1592" s="4" t="n">
        <v>23074040</v>
      </c>
      <c r="BO1592" s="4" t="s">
        <v>4062</v>
      </c>
      <c r="BP1592" s="4"/>
      <c r="BQ1592" s="4"/>
      <c r="BR1592" s="4" t="s">
        <v>104</v>
      </c>
      <c r="BS1592" s="4" t="s">
        <v>27612</v>
      </c>
      <c r="BT1592" s="4" t="str">
        <f aca="false">HYPERLINK("https%3A%2F%2Fwww.webofscience.com%2Fwos%2Fwoscc%2Ffull-record%2FWOS:000314035600011","View Full Record in Web of Science")</f>
        <v>View Full Record in Web of Science</v>
      </c>
    </row>
    <row r="1593" s="5" customFormat="true" ht="12.75" hidden="false" customHeight="false" outlineLevel="0" collapsed="false">
      <c r="A1593" s="4" t="s">
        <v>72</v>
      </c>
      <c r="B1593" s="4" t="s">
        <v>27613</v>
      </c>
      <c r="C1593" s="4"/>
      <c r="D1593" s="4"/>
      <c r="E1593" s="4"/>
      <c r="F1593" s="4" t="s">
        <v>27614</v>
      </c>
      <c r="G1593" s="4"/>
      <c r="H1593" s="4"/>
      <c r="I1593" s="4" t="s">
        <v>27615</v>
      </c>
      <c r="J1593" s="4" t="s">
        <v>742</v>
      </c>
      <c r="K1593" s="4"/>
      <c r="L1593" s="4"/>
      <c r="M1593" s="4" t="s">
        <v>77</v>
      </c>
      <c r="N1593" s="4" t="s">
        <v>78</v>
      </c>
      <c r="O1593" s="4"/>
      <c r="P1593" s="4"/>
      <c r="Q1593" s="4"/>
      <c r="R1593" s="4"/>
      <c r="S1593" s="4"/>
      <c r="T1593" s="1" t="s">
        <v>27616</v>
      </c>
      <c r="U1593" s="4" t="s">
        <v>27617</v>
      </c>
      <c r="V1593" s="4" t="s">
        <v>27618</v>
      </c>
      <c r="W1593" s="4" t="s">
        <v>27619</v>
      </c>
      <c r="X1593" s="4" t="s">
        <v>14856</v>
      </c>
      <c r="Y1593" s="4" t="s">
        <v>27620</v>
      </c>
      <c r="Z1593" s="4" t="s">
        <v>10668</v>
      </c>
      <c r="AA1593" s="4"/>
      <c r="AB1593" s="4" t="s">
        <v>27621</v>
      </c>
      <c r="AC1593" s="4" t="s">
        <v>27622</v>
      </c>
      <c r="AD1593" s="4" t="s">
        <v>27623</v>
      </c>
      <c r="AE1593" s="4" t="s">
        <v>27624</v>
      </c>
      <c r="AF1593" s="4"/>
      <c r="AG1593" s="4" t="n">
        <v>56</v>
      </c>
      <c r="AH1593" s="4" t="n">
        <v>45</v>
      </c>
      <c r="AI1593" s="4" t="n">
        <v>51</v>
      </c>
      <c r="AJ1593" s="4" t="n">
        <v>0</v>
      </c>
      <c r="AK1593" s="4" t="n">
        <v>3</v>
      </c>
      <c r="AL1593" s="4" t="s">
        <v>755</v>
      </c>
      <c r="AM1593" s="4" t="s">
        <v>273</v>
      </c>
      <c r="AN1593" s="4" t="s">
        <v>756</v>
      </c>
      <c r="AO1593" s="4" t="s">
        <v>757</v>
      </c>
      <c r="AP1593" s="4" t="s">
        <v>758</v>
      </c>
      <c r="AQ1593" s="4"/>
      <c r="AR1593" s="4" t="s">
        <v>759</v>
      </c>
      <c r="AS1593" s="4" t="s">
        <v>760</v>
      </c>
      <c r="AT1593" s="4" t="s">
        <v>161</v>
      </c>
      <c r="AU1593" s="4" t="n">
        <v>2013</v>
      </c>
      <c r="AV1593" s="4" t="n">
        <v>87</v>
      </c>
      <c r="AW1593" s="4" t="n">
        <v>2</v>
      </c>
      <c r="AX1593" s="4"/>
      <c r="AY1593" s="4"/>
      <c r="AZ1593" s="4"/>
      <c r="BA1593" s="4"/>
      <c r="BB1593" s="4" t="n">
        <v>1242</v>
      </c>
      <c r="BC1593" s="4" t="n">
        <v>1251</v>
      </c>
      <c r="BD1593" s="4"/>
      <c r="BE1593" s="4" t="s">
        <v>27625</v>
      </c>
      <c r="BF1593" s="4" t="str">
        <f aca="false">HYPERLINK("http://dx.doi.org/10.1128/JVI.01213-12","http://dx.doi.org/10.1128/JVI.01213-12")</f>
        <v>http://dx.doi.org/10.1128/JVI.01213-12</v>
      </c>
      <c r="BG1593" s="4"/>
      <c r="BH1593" s="4"/>
      <c r="BI1593" s="4" t="n">
        <v>10</v>
      </c>
      <c r="BJ1593" s="4" t="s">
        <v>163</v>
      </c>
      <c r="BK1593" s="4" t="s">
        <v>100</v>
      </c>
      <c r="BL1593" s="4" t="s">
        <v>163</v>
      </c>
      <c r="BM1593" s="4" t="s">
        <v>27626</v>
      </c>
      <c r="BN1593" s="4" t="n">
        <v>23152520</v>
      </c>
      <c r="BO1593" s="4" t="s">
        <v>538</v>
      </c>
      <c r="BP1593" s="4"/>
      <c r="BQ1593" s="4"/>
      <c r="BR1593" s="4" t="s">
        <v>104</v>
      </c>
      <c r="BS1593" s="4" t="s">
        <v>27627</v>
      </c>
      <c r="BT1593" s="4" t="str">
        <f aca="false">HYPERLINK("https%3A%2F%2Fwww.webofscience.com%2Fwos%2Fwoscc%2Ffull-record%2FWOS:000312934400050","View Full Record in Web of Science")</f>
        <v>View Full Record in Web of Science</v>
      </c>
    </row>
    <row r="1594" s="5" customFormat="true" ht="12.75" hidden="false" customHeight="false" outlineLevel="0" collapsed="false">
      <c r="A1594" s="4" t="s">
        <v>72</v>
      </c>
      <c r="B1594" s="4" t="s">
        <v>27628</v>
      </c>
      <c r="C1594" s="4"/>
      <c r="D1594" s="4"/>
      <c r="E1594" s="4"/>
      <c r="F1594" s="4" t="s">
        <v>27629</v>
      </c>
      <c r="G1594" s="4"/>
      <c r="H1594" s="4"/>
      <c r="I1594" s="4" t="s">
        <v>27630</v>
      </c>
      <c r="J1594" s="4" t="s">
        <v>27453</v>
      </c>
      <c r="K1594" s="4"/>
      <c r="L1594" s="4"/>
      <c r="M1594" s="4" t="s">
        <v>77</v>
      </c>
      <c r="N1594" s="4" t="s">
        <v>78</v>
      </c>
      <c r="O1594" s="4"/>
      <c r="P1594" s="4"/>
      <c r="Q1594" s="4"/>
      <c r="R1594" s="4"/>
      <c r="S1594" s="4"/>
      <c r="T1594" s="1" t="s">
        <v>27631</v>
      </c>
      <c r="U1594" s="4" t="s">
        <v>27632</v>
      </c>
      <c r="V1594" s="4" t="s">
        <v>27633</v>
      </c>
      <c r="W1594" s="4" t="s">
        <v>27634</v>
      </c>
      <c r="X1594" s="4" t="s">
        <v>18496</v>
      </c>
      <c r="Y1594" s="4" t="s">
        <v>21907</v>
      </c>
      <c r="Z1594" s="4" t="s">
        <v>27248</v>
      </c>
      <c r="AA1594" s="4" t="s">
        <v>27635</v>
      </c>
      <c r="AB1594" s="4" t="s">
        <v>16633</v>
      </c>
      <c r="AC1594" s="4" t="s">
        <v>27636</v>
      </c>
      <c r="AD1594" s="4" t="s">
        <v>27637</v>
      </c>
      <c r="AE1594" s="4" t="s">
        <v>27638</v>
      </c>
      <c r="AF1594" s="4"/>
      <c r="AG1594" s="4" t="n">
        <v>30</v>
      </c>
      <c r="AH1594" s="4" t="n">
        <v>3</v>
      </c>
      <c r="AI1594" s="4" t="n">
        <v>4</v>
      </c>
      <c r="AJ1594" s="4" t="n">
        <v>1</v>
      </c>
      <c r="AK1594" s="4" t="n">
        <v>5</v>
      </c>
      <c r="AL1594" s="4" t="s">
        <v>27463</v>
      </c>
      <c r="AM1594" s="4" t="s">
        <v>16252</v>
      </c>
      <c r="AN1594" s="4" t="s">
        <v>27464</v>
      </c>
      <c r="AO1594" s="4" t="s">
        <v>27465</v>
      </c>
      <c r="AP1594" s="4" t="s">
        <v>27466</v>
      </c>
      <c r="AQ1594" s="4"/>
      <c r="AR1594" s="4" t="s">
        <v>27467</v>
      </c>
      <c r="AS1594" s="4" t="s">
        <v>27468</v>
      </c>
      <c r="AT1594" s="4" t="s">
        <v>97</v>
      </c>
      <c r="AU1594" s="4" t="n">
        <v>2017</v>
      </c>
      <c r="AV1594" s="4" t="n">
        <v>70</v>
      </c>
      <c r="AW1594" s="4" t="n">
        <v>2</v>
      </c>
      <c r="AX1594" s="4"/>
      <c r="AY1594" s="4"/>
      <c r="AZ1594" s="4"/>
      <c r="BA1594" s="4"/>
      <c r="BB1594" s="4" t="n">
        <v>161</v>
      </c>
      <c r="BC1594" s="4" t="n">
        <v>166</v>
      </c>
      <c r="BD1594" s="4"/>
      <c r="BE1594" s="4" t="s">
        <v>27639</v>
      </c>
      <c r="BF1594" s="4" t="str">
        <f aca="false">HYPERLINK("http://dx.doi.org/10.7883/yoken.JJID.2016.047","http://dx.doi.org/10.7883/yoken.JJID.2016.047")</f>
        <v>http://dx.doi.org/10.7883/yoken.JJID.2016.047</v>
      </c>
      <c r="BG1594" s="4"/>
      <c r="BH1594" s="4"/>
      <c r="BI1594" s="4" t="n">
        <v>6</v>
      </c>
      <c r="BJ1594" s="4" t="s">
        <v>575</v>
      </c>
      <c r="BK1594" s="4" t="s">
        <v>100</v>
      </c>
      <c r="BL1594" s="4" t="s">
        <v>575</v>
      </c>
      <c r="BM1594" s="4" t="s">
        <v>27640</v>
      </c>
      <c r="BN1594" s="4" t="n">
        <v>27357989</v>
      </c>
      <c r="BO1594" s="4" t="s">
        <v>1355</v>
      </c>
      <c r="BP1594" s="4"/>
      <c r="BQ1594" s="4"/>
      <c r="BR1594" s="4" t="s">
        <v>104</v>
      </c>
      <c r="BS1594" s="4" t="s">
        <v>27641</v>
      </c>
      <c r="BT1594" s="4" t="str">
        <f aca="false">HYPERLINK("https%3A%2F%2Fwww.webofscience.com%2Fwos%2Fwoscc%2Ffull-record%2FWOS:000398335400007","View Full Record in Web of Science")</f>
        <v>View Full Record in Web of Science</v>
      </c>
    </row>
    <row r="1595" s="5" customFormat="true" ht="12.75" hidden="false" customHeight="false" outlineLevel="0" collapsed="false">
      <c r="A1595" s="4" t="s">
        <v>72</v>
      </c>
      <c r="B1595" s="4" t="s">
        <v>27642</v>
      </c>
      <c r="C1595" s="4"/>
      <c r="D1595" s="4"/>
      <c r="E1595" s="4"/>
      <c r="F1595" s="4" t="s">
        <v>27643</v>
      </c>
      <c r="G1595" s="4"/>
      <c r="H1595" s="4"/>
      <c r="I1595" s="4" t="s">
        <v>27644</v>
      </c>
      <c r="J1595" s="4" t="s">
        <v>7145</v>
      </c>
      <c r="K1595" s="4"/>
      <c r="L1595" s="4"/>
      <c r="M1595" s="4" t="s">
        <v>77</v>
      </c>
      <c r="N1595" s="4" t="s">
        <v>78</v>
      </c>
      <c r="O1595" s="4"/>
      <c r="P1595" s="4"/>
      <c r="Q1595" s="4"/>
      <c r="R1595" s="4"/>
      <c r="S1595" s="4"/>
      <c r="T1595" s="1" t="s">
        <v>27645</v>
      </c>
      <c r="U1595" s="4" t="s">
        <v>27646</v>
      </c>
      <c r="V1595" s="4" t="s">
        <v>27647</v>
      </c>
      <c r="W1595" s="4" t="s">
        <v>27648</v>
      </c>
      <c r="X1595" s="4" t="s">
        <v>27649</v>
      </c>
      <c r="Y1595" s="4" t="s">
        <v>27650</v>
      </c>
      <c r="Z1595" s="4" t="s">
        <v>14651</v>
      </c>
      <c r="AA1595" s="4" t="s">
        <v>27651</v>
      </c>
      <c r="AB1595" s="4"/>
      <c r="AC1595" s="4" t="s">
        <v>27652</v>
      </c>
      <c r="AD1595" s="4" t="s">
        <v>27653</v>
      </c>
      <c r="AE1595" s="4" t="s">
        <v>27654</v>
      </c>
      <c r="AF1595" s="4"/>
      <c r="AG1595" s="4" t="n">
        <v>43</v>
      </c>
      <c r="AH1595" s="4" t="n">
        <v>13</v>
      </c>
      <c r="AI1595" s="4" t="n">
        <v>16</v>
      </c>
      <c r="AJ1595" s="4" t="n">
        <v>2</v>
      </c>
      <c r="AK1595" s="4" t="n">
        <v>9</v>
      </c>
      <c r="AL1595" s="4" t="s">
        <v>3426</v>
      </c>
      <c r="AM1595" s="4" t="s">
        <v>303</v>
      </c>
      <c r="AN1595" s="4" t="s">
        <v>3427</v>
      </c>
      <c r="AO1595" s="4" t="s">
        <v>7158</v>
      </c>
      <c r="AP1595" s="4" t="s">
        <v>7159</v>
      </c>
      <c r="AQ1595" s="4"/>
      <c r="AR1595" s="4" t="s">
        <v>7160</v>
      </c>
      <c r="AS1595" s="4" t="s">
        <v>7161</v>
      </c>
      <c r="AT1595" s="4" t="s">
        <v>185</v>
      </c>
      <c r="AU1595" s="4" t="n">
        <v>2015</v>
      </c>
      <c r="AV1595" s="4" t="n">
        <v>96</v>
      </c>
      <c r="AW1595" s="4"/>
      <c r="AX1595" s="4" t="n">
        <v>8</v>
      </c>
      <c r="AY1595" s="4"/>
      <c r="AZ1595" s="4"/>
      <c r="BA1595" s="4"/>
      <c r="BB1595" s="4" t="n">
        <v>2104</v>
      </c>
      <c r="BC1595" s="4" t="n">
        <v>2113</v>
      </c>
      <c r="BD1595" s="4"/>
      <c r="BE1595" s="4" t="s">
        <v>27655</v>
      </c>
      <c r="BF1595" s="4" t="str">
        <f aca="false">HYPERLINK("http://dx.doi.org/10.1099/vir.0.000178","http://dx.doi.org/10.1099/vir.0.000178")</f>
        <v>http://dx.doi.org/10.1099/vir.0.000178</v>
      </c>
      <c r="BG1595" s="4"/>
      <c r="BH1595" s="4"/>
      <c r="BI1595" s="4" t="n">
        <v>10</v>
      </c>
      <c r="BJ1595" s="4" t="s">
        <v>7163</v>
      </c>
      <c r="BK1595" s="4" t="s">
        <v>100</v>
      </c>
      <c r="BL1595" s="4" t="s">
        <v>7163</v>
      </c>
      <c r="BM1595" s="4" t="s">
        <v>27656</v>
      </c>
      <c r="BN1595" s="4" t="n">
        <v>25953917</v>
      </c>
      <c r="BO1595" s="4" t="s">
        <v>538</v>
      </c>
      <c r="BP1595" s="4"/>
      <c r="BQ1595" s="4"/>
      <c r="BR1595" s="4" t="s">
        <v>104</v>
      </c>
      <c r="BS1595" s="4" t="s">
        <v>27657</v>
      </c>
      <c r="BT1595" s="4" t="str">
        <f aca="false">HYPERLINK("https%3A%2F%2Fwww.webofscience.com%2Fwos%2Fwoscc%2Ffull-record%2FWOS:000362243000014","View Full Record in Web of Science")</f>
        <v>View Full Record in Web of Science</v>
      </c>
    </row>
    <row r="1596" s="5" customFormat="true" ht="12.75" hidden="false" customHeight="false" outlineLevel="0" collapsed="false">
      <c r="A1596" s="4" t="s">
        <v>72</v>
      </c>
      <c r="B1596" s="4" t="s">
        <v>27658</v>
      </c>
      <c r="C1596" s="4"/>
      <c r="D1596" s="4"/>
      <c r="E1596" s="4"/>
      <c r="F1596" s="4" t="s">
        <v>27659</v>
      </c>
      <c r="G1596" s="4"/>
      <c r="H1596" s="4"/>
      <c r="I1596" s="4" t="s">
        <v>27660</v>
      </c>
      <c r="J1596" s="4" t="s">
        <v>742</v>
      </c>
      <c r="K1596" s="4"/>
      <c r="L1596" s="4"/>
      <c r="M1596" s="4" t="s">
        <v>77</v>
      </c>
      <c r="N1596" s="4" t="s">
        <v>78</v>
      </c>
      <c r="O1596" s="4"/>
      <c r="P1596" s="4"/>
      <c r="Q1596" s="4"/>
      <c r="R1596" s="4"/>
      <c r="S1596" s="4"/>
      <c r="T1596" s="1" t="s">
        <v>27661</v>
      </c>
      <c r="U1596" s="4" t="s">
        <v>27662</v>
      </c>
      <c r="V1596" s="4" t="s">
        <v>27663</v>
      </c>
      <c r="W1596" s="4" t="s">
        <v>27664</v>
      </c>
      <c r="X1596" s="4" t="s">
        <v>27665</v>
      </c>
      <c r="Y1596" s="4" t="s">
        <v>27666</v>
      </c>
      <c r="Z1596" s="4" t="s">
        <v>14892</v>
      </c>
      <c r="AA1596" s="4" t="s">
        <v>27667</v>
      </c>
      <c r="AB1596" s="4" t="s">
        <v>27668</v>
      </c>
      <c r="AC1596" s="4" t="s">
        <v>27669</v>
      </c>
      <c r="AD1596" s="4" t="s">
        <v>27670</v>
      </c>
      <c r="AE1596" s="4" t="s">
        <v>27671</v>
      </c>
      <c r="AF1596" s="4"/>
      <c r="AG1596" s="4" t="n">
        <v>72</v>
      </c>
      <c r="AH1596" s="4" t="n">
        <v>77</v>
      </c>
      <c r="AI1596" s="4" t="n">
        <v>94</v>
      </c>
      <c r="AJ1596" s="4" t="n">
        <v>1</v>
      </c>
      <c r="AK1596" s="4" t="n">
        <v>7</v>
      </c>
      <c r="AL1596" s="4" t="s">
        <v>755</v>
      </c>
      <c r="AM1596" s="4" t="s">
        <v>273</v>
      </c>
      <c r="AN1596" s="4" t="s">
        <v>756</v>
      </c>
      <c r="AO1596" s="4" t="s">
        <v>757</v>
      </c>
      <c r="AP1596" s="4" t="s">
        <v>758</v>
      </c>
      <c r="AQ1596" s="4"/>
      <c r="AR1596" s="4" t="s">
        <v>759</v>
      </c>
      <c r="AS1596" s="4" t="s">
        <v>760</v>
      </c>
      <c r="AT1596" s="4" t="s">
        <v>97</v>
      </c>
      <c r="AU1596" s="4" t="n">
        <v>2012</v>
      </c>
      <c r="AV1596" s="4" t="n">
        <v>86</v>
      </c>
      <c r="AW1596" s="4" t="n">
        <v>6</v>
      </c>
      <c r="AX1596" s="4"/>
      <c r="AY1596" s="4"/>
      <c r="AZ1596" s="4"/>
      <c r="BA1596" s="4"/>
      <c r="BB1596" s="4" t="n">
        <v>3230</v>
      </c>
      <c r="BC1596" s="4" t="n">
        <v>3243</v>
      </c>
      <c r="BD1596" s="4"/>
      <c r="BE1596" s="4" t="s">
        <v>27672</v>
      </c>
      <c r="BF1596" s="4" t="str">
        <f aca="false">HYPERLINK("http://dx.doi.org/10.1128/JVI.06706-11","http://dx.doi.org/10.1128/JVI.06706-11")</f>
        <v>http://dx.doi.org/10.1128/JVI.06706-11</v>
      </c>
      <c r="BG1596" s="4"/>
      <c r="BH1596" s="4"/>
      <c r="BI1596" s="4" t="n">
        <v>14</v>
      </c>
      <c r="BJ1596" s="4" t="s">
        <v>163</v>
      </c>
      <c r="BK1596" s="4" t="s">
        <v>100</v>
      </c>
      <c r="BL1596" s="4" t="s">
        <v>163</v>
      </c>
      <c r="BM1596" s="4" t="s">
        <v>27673</v>
      </c>
      <c r="BN1596" s="4" t="n">
        <v>22238303</v>
      </c>
      <c r="BO1596" s="4" t="s">
        <v>1267</v>
      </c>
      <c r="BP1596" s="4"/>
      <c r="BQ1596" s="4"/>
      <c r="BR1596" s="4" t="s">
        <v>104</v>
      </c>
      <c r="BS1596" s="4" t="s">
        <v>27674</v>
      </c>
      <c r="BT1596" s="4" t="str">
        <f aca="false">HYPERLINK("https%3A%2F%2Fwww.webofscience.com%2Fwos%2Fwoscc%2Ffull-record%2FWOS:000300634100031","View Full Record in Web of Science")</f>
        <v>View Full Record in Web of Science</v>
      </c>
    </row>
    <row r="1597" s="5" customFormat="true" ht="12.75" hidden="false" customHeight="false" outlineLevel="0" collapsed="false">
      <c r="A1597" s="4" t="s">
        <v>72</v>
      </c>
      <c r="B1597" s="4" t="s">
        <v>27675</v>
      </c>
      <c r="C1597" s="4"/>
      <c r="D1597" s="4"/>
      <c r="E1597" s="4"/>
      <c r="F1597" s="4" t="s">
        <v>27676</v>
      </c>
      <c r="G1597" s="4"/>
      <c r="H1597" s="4"/>
      <c r="I1597" s="4" t="s">
        <v>27677</v>
      </c>
      <c r="J1597" s="4" t="s">
        <v>27453</v>
      </c>
      <c r="K1597" s="4"/>
      <c r="L1597" s="4"/>
      <c r="M1597" s="4" t="s">
        <v>77</v>
      </c>
      <c r="N1597" s="4" t="s">
        <v>78</v>
      </c>
      <c r="O1597" s="4"/>
      <c r="P1597" s="4"/>
      <c r="Q1597" s="4"/>
      <c r="R1597" s="4"/>
      <c r="S1597" s="4"/>
      <c r="T1597" s="1" t="s">
        <v>27678</v>
      </c>
      <c r="U1597" s="4" t="s">
        <v>27679</v>
      </c>
      <c r="V1597" s="4" t="s">
        <v>27680</v>
      </c>
      <c r="W1597" s="4" t="s">
        <v>27681</v>
      </c>
      <c r="X1597" s="4" t="s">
        <v>27682</v>
      </c>
      <c r="Y1597" s="4" t="s">
        <v>27683</v>
      </c>
      <c r="Z1597" s="4" t="s">
        <v>27684</v>
      </c>
      <c r="AA1597" s="4"/>
      <c r="AB1597" s="4"/>
      <c r="AC1597" s="4" t="s">
        <v>27685</v>
      </c>
      <c r="AD1597" s="4" t="s">
        <v>27686</v>
      </c>
      <c r="AE1597" s="4" t="s">
        <v>27687</v>
      </c>
      <c r="AF1597" s="4"/>
      <c r="AG1597" s="4" t="n">
        <v>9</v>
      </c>
      <c r="AH1597" s="4" t="n">
        <v>12</v>
      </c>
      <c r="AI1597" s="4" t="n">
        <v>15</v>
      </c>
      <c r="AJ1597" s="4" t="n">
        <v>0</v>
      </c>
      <c r="AK1597" s="4" t="n">
        <v>0</v>
      </c>
      <c r="AL1597" s="4" t="s">
        <v>27463</v>
      </c>
      <c r="AM1597" s="4" t="s">
        <v>16252</v>
      </c>
      <c r="AN1597" s="4" t="s">
        <v>27464</v>
      </c>
      <c r="AO1597" s="4" t="s">
        <v>27465</v>
      </c>
      <c r="AP1597" s="4" t="s">
        <v>27466</v>
      </c>
      <c r="AQ1597" s="4"/>
      <c r="AR1597" s="4" t="s">
        <v>27467</v>
      </c>
      <c r="AS1597" s="4" t="s">
        <v>27468</v>
      </c>
      <c r="AT1597" s="4" t="s">
        <v>390</v>
      </c>
      <c r="AU1597" s="4" t="n">
        <v>2014</v>
      </c>
      <c r="AV1597" s="4" t="n">
        <v>67</v>
      </c>
      <c r="AW1597" s="4" t="n">
        <v>3</v>
      </c>
      <c r="AX1597" s="4"/>
      <c r="AY1597" s="4"/>
      <c r="AZ1597" s="4"/>
      <c r="BA1597" s="4"/>
      <c r="BB1597" s="4" t="n">
        <v>213</v>
      </c>
      <c r="BC1597" s="4" t="n">
        <v>215</v>
      </c>
      <c r="BD1597" s="4"/>
      <c r="BE1597" s="4" t="s">
        <v>27688</v>
      </c>
      <c r="BF1597" s="4" t="str">
        <f aca="false">HYPERLINK("http://dx.doi.org/10.7883/yoken.67.213","http://dx.doi.org/10.7883/yoken.67.213")</f>
        <v>http://dx.doi.org/10.7883/yoken.67.213</v>
      </c>
      <c r="BG1597" s="4"/>
      <c r="BH1597" s="4"/>
      <c r="BI1597" s="4" t="n">
        <v>3</v>
      </c>
      <c r="BJ1597" s="4" t="s">
        <v>575</v>
      </c>
      <c r="BK1597" s="4" t="s">
        <v>100</v>
      </c>
      <c r="BL1597" s="4" t="s">
        <v>575</v>
      </c>
      <c r="BM1597" s="4" t="s">
        <v>27689</v>
      </c>
      <c r="BN1597" s="4" t="n">
        <v>24858612</v>
      </c>
      <c r="BO1597" s="4" t="s">
        <v>656</v>
      </c>
      <c r="BP1597" s="4"/>
      <c r="BQ1597" s="4"/>
      <c r="BR1597" s="4" t="s">
        <v>104</v>
      </c>
      <c r="BS1597" s="4" t="s">
        <v>27690</v>
      </c>
      <c r="BT1597" s="4" t="str">
        <f aca="false">HYPERLINK("https%3A%2F%2Fwww.webofscience.com%2Fwos%2Fwoscc%2Ffull-record%2FWOS:000336821700011","View Full Record in Web of Science")</f>
        <v>View Full Record in Web of Science</v>
      </c>
    </row>
    <row r="1598" s="5" customFormat="true" ht="12.75" hidden="false" customHeight="false" outlineLevel="0" collapsed="false">
      <c r="A1598" s="4" t="s">
        <v>72</v>
      </c>
      <c r="B1598" s="4" t="s">
        <v>27691</v>
      </c>
      <c r="C1598" s="4"/>
      <c r="D1598" s="4"/>
      <c r="E1598" s="4"/>
      <c r="F1598" s="4" t="s">
        <v>27691</v>
      </c>
      <c r="G1598" s="4"/>
      <c r="H1598" s="4"/>
      <c r="I1598" s="4" t="s">
        <v>27692</v>
      </c>
      <c r="J1598" s="4" t="s">
        <v>742</v>
      </c>
      <c r="K1598" s="4"/>
      <c r="L1598" s="4"/>
      <c r="M1598" s="4" t="s">
        <v>77</v>
      </c>
      <c r="N1598" s="4" t="s">
        <v>78</v>
      </c>
      <c r="O1598" s="4"/>
      <c r="P1598" s="4"/>
      <c r="Q1598" s="4"/>
      <c r="R1598" s="4"/>
      <c r="S1598" s="4"/>
      <c r="T1598" s="1" t="s">
        <v>27693</v>
      </c>
      <c r="U1598" s="4" t="s">
        <v>27694</v>
      </c>
      <c r="V1598" s="4" t="s">
        <v>27695</v>
      </c>
      <c r="W1598" s="4" t="s">
        <v>27696</v>
      </c>
      <c r="X1598" s="4" t="s">
        <v>27697</v>
      </c>
      <c r="Y1598" s="4" t="s">
        <v>27698</v>
      </c>
      <c r="Z1598" s="4" t="s">
        <v>27699</v>
      </c>
      <c r="AA1598" s="4" t="s">
        <v>13534</v>
      </c>
      <c r="AB1598" s="4" t="s">
        <v>13535</v>
      </c>
      <c r="AC1598" s="4"/>
      <c r="AD1598" s="4"/>
      <c r="AE1598" s="4"/>
      <c r="AF1598" s="4"/>
      <c r="AG1598" s="4" t="n">
        <v>52</v>
      </c>
      <c r="AH1598" s="4" t="n">
        <v>75</v>
      </c>
      <c r="AI1598" s="4" t="n">
        <v>90</v>
      </c>
      <c r="AJ1598" s="4" t="n">
        <v>0</v>
      </c>
      <c r="AK1598" s="4" t="n">
        <v>4</v>
      </c>
      <c r="AL1598" s="4" t="s">
        <v>755</v>
      </c>
      <c r="AM1598" s="4" t="s">
        <v>273</v>
      </c>
      <c r="AN1598" s="4" t="s">
        <v>756</v>
      </c>
      <c r="AO1598" s="4" t="s">
        <v>757</v>
      </c>
      <c r="AP1598" s="4" t="s">
        <v>758</v>
      </c>
      <c r="AQ1598" s="4"/>
      <c r="AR1598" s="4" t="s">
        <v>759</v>
      </c>
      <c r="AS1598" s="4" t="s">
        <v>760</v>
      </c>
      <c r="AT1598" s="4" t="s">
        <v>390</v>
      </c>
      <c r="AU1598" s="4" t="n">
        <v>2005</v>
      </c>
      <c r="AV1598" s="4" t="n">
        <v>79</v>
      </c>
      <c r="AW1598" s="4" t="n">
        <v>10</v>
      </c>
      <c r="AX1598" s="4"/>
      <c r="AY1598" s="4"/>
      <c r="AZ1598" s="4"/>
      <c r="BA1598" s="4"/>
      <c r="BB1598" s="4" t="n">
        <v>5971</v>
      </c>
      <c r="BC1598" s="4" t="n">
        <v>5978</v>
      </c>
      <c r="BD1598" s="4"/>
      <c r="BE1598" s="4" t="s">
        <v>27700</v>
      </c>
      <c r="BF1598" s="4" t="str">
        <f aca="false">HYPERLINK("http://dx.doi.org/10.1128/JVI.79.10.5971-5978.2005","http://dx.doi.org/10.1128/JVI.79.10.5971-5978.2005")</f>
        <v>http://dx.doi.org/10.1128/JVI.79.10.5971-5978.2005</v>
      </c>
      <c r="BG1598" s="4"/>
      <c r="BH1598" s="4"/>
      <c r="BI1598" s="4" t="n">
        <v>8</v>
      </c>
      <c r="BJ1598" s="4" t="s">
        <v>163</v>
      </c>
      <c r="BK1598" s="4" t="s">
        <v>100</v>
      </c>
      <c r="BL1598" s="4" t="s">
        <v>163</v>
      </c>
      <c r="BM1598" s="4" t="s">
        <v>27701</v>
      </c>
      <c r="BN1598" s="4" t="n">
        <v>15857983</v>
      </c>
      <c r="BO1598" s="4" t="s">
        <v>165</v>
      </c>
      <c r="BP1598" s="4"/>
      <c r="BQ1598" s="4"/>
      <c r="BR1598" s="4" t="s">
        <v>104</v>
      </c>
      <c r="BS1598" s="4" t="s">
        <v>27702</v>
      </c>
      <c r="BT1598" s="4" t="str">
        <f aca="false">HYPERLINK("https%3A%2F%2Fwww.webofscience.com%2Fwos%2Fwoscc%2Ffull-record%2FWOS:000228814400010","View Full Record in Web of Science")</f>
        <v>View Full Record in Web of Science</v>
      </c>
    </row>
    <row r="1599" s="5" customFormat="true" ht="12.75" hidden="false" customHeight="false" outlineLevel="0" collapsed="false">
      <c r="A1599" s="4" t="s">
        <v>72</v>
      </c>
      <c r="B1599" s="4" t="s">
        <v>27703</v>
      </c>
      <c r="C1599" s="4"/>
      <c r="D1599" s="4"/>
      <c r="E1599" s="4"/>
      <c r="F1599" s="4" t="s">
        <v>27704</v>
      </c>
      <c r="G1599" s="4"/>
      <c r="H1599" s="4"/>
      <c r="I1599" s="4" t="s">
        <v>27705</v>
      </c>
      <c r="J1599" s="4" t="s">
        <v>2222</v>
      </c>
      <c r="K1599" s="4"/>
      <c r="L1599" s="4"/>
      <c r="M1599" s="4" t="s">
        <v>77</v>
      </c>
      <c r="N1599" s="4" t="s">
        <v>78</v>
      </c>
      <c r="O1599" s="4"/>
      <c r="P1599" s="4"/>
      <c r="Q1599" s="4"/>
      <c r="R1599" s="4"/>
      <c r="S1599" s="4"/>
      <c r="T1599" s="1" t="s">
        <v>27706</v>
      </c>
      <c r="U1599" s="4" t="s">
        <v>27707</v>
      </c>
      <c r="V1599" s="4" t="s">
        <v>27708</v>
      </c>
      <c r="W1599" s="4" t="s">
        <v>27709</v>
      </c>
      <c r="X1599" s="4" t="s">
        <v>27710</v>
      </c>
      <c r="Y1599" s="4" t="s">
        <v>27711</v>
      </c>
      <c r="Z1599" s="4" t="s">
        <v>27712</v>
      </c>
      <c r="AA1599" s="4" t="s">
        <v>27713</v>
      </c>
      <c r="AB1599" s="4" t="s">
        <v>27714</v>
      </c>
      <c r="AC1599" s="4"/>
      <c r="AD1599" s="4"/>
      <c r="AE1599" s="4"/>
      <c r="AF1599" s="4"/>
      <c r="AG1599" s="4" t="n">
        <v>18</v>
      </c>
      <c r="AH1599" s="4" t="n">
        <v>33</v>
      </c>
      <c r="AI1599" s="4" t="n">
        <v>38</v>
      </c>
      <c r="AJ1599" s="4" t="n">
        <v>0</v>
      </c>
      <c r="AK1599" s="4" t="n">
        <v>1</v>
      </c>
      <c r="AL1599" s="4" t="s">
        <v>755</v>
      </c>
      <c r="AM1599" s="4" t="s">
        <v>273</v>
      </c>
      <c r="AN1599" s="4" t="s">
        <v>756</v>
      </c>
      <c r="AO1599" s="4" t="s">
        <v>2234</v>
      </c>
      <c r="AP1599" s="4" t="s">
        <v>2235</v>
      </c>
      <c r="AQ1599" s="4"/>
      <c r="AR1599" s="4" t="s">
        <v>2236</v>
      </c>
      <c r="AS1599" s="4" t="s">
        <v>2237</v>
      </c>
      <c r="AT1599" s="4" t="s">
        <v>692</v>
      </c>
      <c r="AU1599" s="4" t="n">
        <v>2009</v>
      </c>
      <c r="AV1599" s="4" t="n">
        <v>47</v>
      </c>
      <c r="AW1599" s="4" t="n">
        <v>4</v>
      </c>
      <c r="AX1599" s="4"/>
      <c r="AY1599" s="4"/>
      <c r="AZ1599" s="4"/>
      <c r="BA1599" s="4"/>
      <c r="BB1599" s="4" t="n">
        <v>1221</v>
      </c>
      <c r="BC1599" s="4" t="n">
        <v>1224</v>
      </c>
      <c r="BD1599" s="4"/>
      <c r="BE1599" s="4" t="s">
        <v>27715</v>
      </c>
      <c r="BF1599" s="4" t="str">
        <f aca="false">HYPERLINK("http://dx.doi.org/10.1128/JCM.01959-08","http://dx.doi.org/10.1128/JCM.01959-08")</f>
        <v>http://dx.doi.org/10.1128/JCM.01959-08</v>
      </c>
      <c r="BG1599" s="4"/>
      <c r="BH1599" s="4"/>
      <c r="BI1599" s="4" t="n">
        <v>4</v>
      </c>
      <c r="BJ1599" s="4" t="s">
        <v>211</v>
      </c>
      <c r="BK1599" s="4" t="s">
        <v>100</v>
      </c>
      <c r="BL1599" s="4" t="s">
        <v>211</v>
      </c>
      <c r="BM1599" s="4" t="s">
        <v>27716</v>
      </c>
      <c r="BN1599" s="4" t="n">
        <v>19213698</v>
      </c>
      <c r="BO1599" s="4" t="s">
        <v>1267</v>
      </c>
      <c r="BP1599" s="4"/>
      <c r="BQ1599" s="4"/>
      <c r="BR1599" s="4" t="s">
        <v>104</v>
      </c>
      <c r="BS1599" s="4" t="s">
        <v>27717</v>
      </c>
      <c r="BT1599" s="4" t="str">
        <f aca="false">HYPERLINK("https%3A%2F%2Fwww.webofscience.com%2Fwos%2Fwoscc%2Ffull-record%2FWOS:000264797000053","View Full Record in Web of Science")</f>
        <v>View Full Record in Web of Science</v>
      </c>
    </row>
    <row r="1600" s="5" customFormat="true" ht="12.75" hidden="false" customHeight="false" outlineLevel="0" collapsed="false">
      <c r="A1600" s="4" t="s">
        <v>72</v>
      </c>
      <c r="B1600" s="4" t="s">
        <v>27718</v>
      </c>
      <c r="C1600" s="4"/>
      <c r="D1600" s="4"/>
      <c r="E1600" s="4"/>
      <c r="F1600" s="4" t="s">
        <v>27719</v>
      </c>
      <c r="G1600" s="4"/>
      <c r="H1600" s="4"/>
      <c r="I1600" s="4" t="s">
        <v>27720</v>
      </c>
      <c r="J1600" s="4" t="s">
        <v>27497</v>
      </c>
      <c r="K1600" s="4"/>
      <c r="L1600" s="4"/>
      <c r="M1600" s="4" t="s">
        <v>77</v>
      </c>
      <c r="N1600" s="4" t="s">
        <v>78</v>
      </c>
      <c r="O1600" s="4"/>
      <c r="P1600" s="4"/>
      <c r="Q1600" s="4"/>
      <c r="R1600" s="4"/>
      <c r="S1600" s="4"/>
      <c r="T1600" s="1" t="s">
        <v>27721</v>
      </c>
      <c r="U1600" s="4" t="s">
        <v>27722</v>
      </c>
      <c r="V1600" s="4" t="s">
        <v>27723</v>
      </c>
      <c r="W1600" s="4" t="s">
        <v>27724</v>
      </c>
      <c r="X1600" s="4" t="s">
        <v>27363</v>
      </c>
      <c r="Y1600" s="4" t="s">
        <v>27725</v>
      </c>
      <c r="Z1600" s="4" t="s">
        <v>5144</v>
      </c>
      <c r="AA1600" s="4"/>
      <c r="AB1600" s="4"/>
      <c r="AC1600" s="4"/>
      <c r="AD1600" s="4"/>
      <c r="AE1600" s="4"/>
      <c r="AF1600" s="4"/>
      <c r="AG1600" s="4" t="n">
        <v>35</v>
      </c>
      <c r="AH1600" s="4" t="n">
        <v>15</v>
      </c>
      <c r="AI1600" s="4" t="n">
        <v>15</v>
      </c>
      <c r="AJ1600" s="4" t="n">
        <v>0</v>
      </c>
      <c r="AK1600" s="4" t="n">
        <v>1</v>
      </c>
      <c r="AL1600" s="4" t="s">
        <v>27506</v>
      </c>
      <c r="AM1600" s="4" t="s">
        <v>27507</v>
      </c>
      <c r="AN1600" s="4" t="s">
        <v>27508</v>
      </c>
      <c r="AO1600" s="4" t="s">
        <v>27509</v>
      </c>
      <c r="AP1600" s="4"/>
      <c r="AQ1600" s="4"/>
      <c r="AR1600" s="4" t="s">
        <v>27497</v>
      </c>
      <c r="AS1600" s="4" t="s">
        <v>27510</v>
      </c>
      <c r="AT1600" s="4" t="s">
        <v>27726</v>
      </c>
      <c r="AU1600" s="4" t="n">
        <v>2012</v>
      </c>
      <c r="AV1600" s="4" t="n">
        <v>7</v>
      </c>
      <c r="AW1600" s="4" t="n">
        <v>4</v>
      </c>
      <c r="AX1600" s="4"/>
      <c r="AY1600" s="4"/>
      <c r="AZ1600" s="4"/>
      <c r="BA1600" s="4"/>
      <c r="BB1600" s="4"/>
      <c r="BC1600" s="4"/>
      <c r="BD1600" s="4" t="s">
        <v>27727</v>
      </c>
      <c r="BE1600" s="4" t="s">
        <v>27728</v>
      </c>
      <c r="BF1600" s="4" t="str">
        <f aca="false">HYPERLINK("http://dx.doi.org/10.1371/journal.pone.0034750","http://dx.doi.org/10.1371/journal.pone.0034750")</f>
        <v>http://dx.doi.org/10.1371/journal.pone.0034750</v>
      </c>
      <c r="BG1600" s="4"/>
      <c r="BH1600" s="4"/>
      <c r="BI1600" s="4" t="n">
        <v>6</v>
      </c>
      <c r="BJ1600" s="4" t="s">
        <v>1658</v>
      </c>
      <c r="BK1600" s="4" t="s">
        <v>100</v>
      </c>
      <c r="BL1600" s="4" t="s">
        <v>1659</v>
      </c>
      <c r="BM1600" s="4" t="s">
        <v>27729</v>
      </c>
      <c r="BN1600" s="4" t="n">
        <v>22496855</v>
      </c>
      <c r="BO1600" s="4" t="s">
        <v>341</v>
      </c>
      <c r="BP1600" s="4"/>
      <c r="BQ1600" s="4"/>
      <c r="BR1600" s="4" t="s">
        <v>104</v>
      </c>
      <c r="BS1600" s="4" t="s">
        <v>27730</v>
      </c>
      <c r="BT1600" s="4" t="str">
        <f aca="false">HYPERLINK("https%3A%2F%2Fwww.webofscience.com%2Fwos%2Fwoscc%2Ffull-record%2FWOS:000304855200076","View Full Record in Web of Science")</f>
        <v>View Full Record in Web of Science</v>
      </c>
    </row>
    <row r="1601" s="5" customFormat="true" ht="12.75" hidden="false" customHeight="false" outlineLevel="0" collapsed="false">
      <c r="A1601" s="4" t="s">
        <v>72</v>
      </c>
      <c r="B1601" s="4" t="s">
        <v>27731</v>
      </c>
      <c r="C1601" s="4"/>
      <c r="D1601" s="4"/>
      <c r="E1601" s="4"/>
      <c r="F1601" s="4" t="s">
        <v>27732</v>
      </c>
      <c r="G1601" s="4"/>
      <c r="H1601" s="4"/>
      <c r="I1601" s="4" t="s">
        <v>27733</v>
      </c>
      <c r="J1601" s="4" t="s">
        <v>742</v>
      </c>
      <c r="K1601" s="4"/>
      <c r="L1601" s="4"/>
      <c r="M1601" s="4" t="s">
        <v>77</v>
      </c>
      <c r="N1601" s="4" t="s">
        <v>78</v>
      </c>
      <c r="O1601" s="4"/>
      <c r="P1601" s="4"/>
      <c r="Q1601" s="4"/>
      <c r="R1601" s="4"/>
      <c r="S1601" s="4"/>
      <c r="T1601" s="1" t="s">
        <v>27734</v>
      </c>
      <c r="U1601" s="4" t="s">
        <v>27735</v>
      </c>
      <c r="V1601" s="4" t="s">
        <v>27736</v>
      </c>
      <c r="W1601" s="4" t="s">
        <v>27737</v>
      </c>
      <c r="X1601" s="4" t="s">
        <v>27738</v>
      </c>
      <c r="Y1601" s="4" t="s">
        <v>14891</v>
      </c>
      <c r="Z1601" s="4" t="s">
        <v>14892</v>
      </c>
      <c r="AA1601" s="4" t="s">
        <v>27739</v>
      </c>
      <c r="AB1601" s="4"/>
      <c r="AC1601" s="4" t="s">
        <v>27740</v>
      </c>
      <c r="AD1601" s="4" t="s">
        <v>27741</v>
      </c>
      <c r="AE1601" s="4" t="s">
        <v>27742</v>
      </c>
      <c r="AF1601" s="4"/>
      <c r="AG1601" s="4" t="n">
        <v>74</v>
      </c>
      <c r="AH1601" s="4" t="n">
        <v>43</v>
      </c>
      <c r="AI1601" s="4" t="n">
        <v>51</v>
      </c>
      <c r="AJ1601" s="4" t="n">
        <v>2</v>
      </c>
      <c r="AK1601" s="4" t="n">
        <v>11</v>
      </c>
      <c r="AL1601" s="4" t="s">
        <v>755</v>
      </c>
      <c r="AM1601" s="4" t="s">
        <v>273</v>
      </c>
      <c r="AN1601" s="4" t="s">
        <v>756</v>
      </c>
      <c r="AO1601" s="4" t="s">
        <v>757</v>
      </c>
      <c r="AP1601" s="4" t="s">
        <v>758</v>
      </c>
      <c r="AQ1601" s="4"/>
      <c r="AR1601" s="4" t="s">
        <v>759</v>
      </c>
      <c r="AS1601" s="4" t="s">
        <v>760</v>
      </c>
      <c r="AT1601" s="4" t="s">
        <v>336</v>
      </c>
      <c r="AU1601" s="4" t="n">
        <v>2016</v>
      </c>
      <c r="AV1601" s="4" t="n">
        <v>90</v>
      </c>
      <c r="AW1601" s="4" t="n">
        <v>20</v>
      </c>
      <c r="AX1601" s="4"/>
      <c r="AY1601" s="4"/>
      <c r="AZ1601" s="4"/>
      <c r="BA1601" s="4"/>
      <c r="BB1601" s="4" t="n">
        <v>9237</v>
      </c>
      <c r="BC1601" s="4" t="n">
        <v>9250</v>
      </c>
      <c r="BD1601" s="4"/>
      <c r="BE1601" s="4" t="s">
        <v>27743</v>
      </c>
      <c r="BF1601" s="4" t="str">
        <f aca="false">HYPERLINK("http://dx.doi.org/10.1128/JVI.01362-16","http://dx.doi.org/10.1128/JVI.01362-16")</f>
        <v>http://dx.doi.org/10.1128/JVI.01362-16</v>
      </c>
      <c r="BG1601" s="4"/>
      <c r="BH1601" s="4"/>
      <c r="BI1601" s="4" t="n">
        <v>14</v>
      </c>
      <c r="BJ1601" s="4" t="s">
        <v>163</v>
      </c>
      <c r="BK1601" s="4" t="s">
        <v>100</v>
      </c>
      <c r="BL1601" s="4" t="s">
        <v>163</v>
      </c>
      <c r="BM1601" s="4" t="s">
        <v>27744</v>
      </c>
      <c r="BN1601" s="4" t="n">
        <v>27489270</v>
      </c>
      <c r="BO1601" s="4" t="s">
        <v>1267</v>
      </c>
      <c r="BP1601" s="4"/>
      <c r="BQ1601" s="4"/>
      <c r="BR1601" s="4" t="s">
        <v>104</v>
      </c>
      <c r="BS1601" s="4" t="s">
        <v>27745</v>
      </c>
      <c r="BT1601" s="4" t="str">
        <f aca="false">HYPERLINK("https%3A%2F%2Fwww.webofscience.com%2Fwos%2Fwoscc%2Ffull-record%2FWOS:000384574900010","View Full Record in Web of Science")</f>
        <v>View Full Record in Web of Science</v>
      </c>
    </row>
    <row r="1602" s="5" customFormat="true" ht="12.75" hidden="false" customHeight="false" outlineLevel="0" collapsed="false">
      <c r="A1602" s="4" t="s">
        <v>72</v>
      </c>
      <c r="B1602" s="4" t="s">
        <v>27746</v>
      </c>
      <c r="C1602" s="4"/>
      <c r="D1602" s="4"/>
      <c r="E1602" s="4"/>
      <c r="F1602" s="4" t="s">
        <v>27747</v>
      </c>
      <c r="G1602" s="4"/>
      <c r="H1602" s="4" t="s">
        <v>12250</v>
      </c>
      <c r="I1602" s="4" t="s">
        <v>27748</v>
      </c>
      <c r="J1602" s="4" t="s">
        <v>514</v>
      </c>
      <c r="K1602" s="4"/>
      <c r="L1602" s="4"/>
      <c r="M1602" s="4" t="s">
        <v>77</v>
      </c>
      <c r="N1602" s="4" t="s">
        <v>78</v>
      </c>
      <c r="O1602" s="4"/>
      <c r="P1602" s="4"/>
      <c r="Q1602" s="4"/>
      <c r="R1602" s="4"/>
      <c r="S1602" s="4"/>
      <c r="T1602" s="1" t="s">
        <v>27749</v>
      </c>
      <c r="U1602" s="4" t="s">
        <v>27750</v>
      </c>
      <c r="V1602" s="4" t="s">
        <v>27751</v>
      </c>
      <c r="W1602" s="4" t="s">
        <v>27752</v>
      </c>
      <c r="X1602" s="4" t="s">
        <v>27753</v>
      </c>
      <c r="Y1602" s="4" t="s">
        <v>9632</v>
      </c>
      <c r="Z1602" s="4" t="s">
        <v>6724</v>
      </c>
      <c r="AA1602" s="4" t="s">
        <v>27754</v>
      </c>
      <c r="AB1602" s="4" t="s">
        <v>27755</v>
      </c>
      <c r="AC1602" s="4" t="s">
        <v>27756</v>
      </c>
      <c r="AD1602" s="4" t="s">
        <v>27757</v>
      </c>
      <c r="AE1602" s="4" t="s">
        <v>27758</v>
      </c>
      <c r="AF1602" s="4"/>
      <c r="AG1602" s="4" t="n">
        <v>50</v>
      </c>
      <c r="AH1602" s="4" t="n">
        <v>82</v>
      </c>
      <c r="AI1602" s="4" t="n">
        <v>91</v>
      </c>
      <c r="AJ1602" s="4" t="n">
        <v>0</v>
      </c>
      <c r="AK1602" s="4" t="n">
        <v>2</v>
      </c>
      <c r="AL1602" s="4" t="s">
        <v>527</v>
      </c>
      <c r="AM1602" s="4" t="s">
        <v>528</v>
      </c>
      <c r="AN1602" s="4" t="s">
        <v>529</v>
      </c>
      <c r="AO1602" s="4" t="s">
        <v>530</v>
      </c>
      <c r="AP1602" s="4" t="s">
        <v>531</v>
      </c>
      <c r="AQ1602" s="4"/>
      <c r="AR1602" s="4" t="s">
        <v>532</v>
      </c>
      <c r="AS1602" s="4" t="s">
        <v>533</v>
      </c>
      <c r="AT1602" s="4" t="s">
        <v>2037</v>
      </c>
      <c r="AU1602" s="4" t="n">
        <v>2010</v>
      </c>
      <c r="AV1602" s="4" t="n">
        <v>201</v>
      </c>
      <c r="AW1602" s="4" t="n">
        <v>12</v>
      </c>
      <c r="AX1602" s="4"/>
      <c r="AY1602" s="4"/>
      <c r="AZ1602" s="4"/>
      <c r="BA1602" s="4"/>
      <c r="BB1602" s="4" t="n">
        <v>1890</v>
      </c>
      <c r="BC1602" s="4" t="n">
        <v>1898</v>
      </c>
      <c r="BD1602" s="4"/>
      <c r="BE1602" s="4" t="s">
        <v>27759</v>
      </c>
      <c r="BF1602" s="4" t="str">
        <f aca="false">HYPERLINK("http://dx.doi.org/10.1086/652782","http://dx.doi.org/10.1086/652782")</f>
        <v>http://dx.doi.org/10.1086/652782</v>
      </c>
      <c r="BG1602" s="4"/>
      <c r="BH1602" s="4"/>
      <c r="BI1602" s="4" t="n">
        <v>9</v>
      </c>
      <c r="BJ1602" s="4" t="s">
        <v>536</v>
      </c>
      <c r="BK1602" s="4" t="s">
        <v>100</v>
      </c>
      <c r="BL1602" s="4" t="s">
        <v>536</v>
      </c>
      <c r="BM1602" s="4" t="s">
        <v>27760</v>
      </c>
      <c r="BN1602" s="4" t="n">
        <v>20446850</v>
      </c>
      <c r="BO1602" s="4" t="s">
        <v>393</v>
      </c>
      <c r="BP1602" s="4"/>
      <c r="BQ1602" s="4"/>
      <c r="BR1602" s="4" t="s">
        <v>104</v>
      </c>
      <c r="BS1602" s="4" t="s">
        <v>27761</v>
      </c>
      <c r="BT1602" s="4" t="str">
        <f aca="false">HYPERLINK("https%3A%2F%2Fwww.webofscience.com%2Fwos%2Fwoscc%2Ffull-record%2FWOS:000277687900015","View Full Record in Web of Science")</f>
        <v>View Full Record in Web of Science</v>
      </c>
    </row>
    <row r="1603" s="5" customFormat="true" ht="12.75" hidden="false" customHeight="false" outlineLevel="0" collapsed="false">
      <c r="A1603" s="4" t="s">
        <v>72</v>
      </c>
      <c r="B1603" s="4" t="s">
        <v>27762</v>
      </c>
      <c r="C1603" s="4"/>
      <c r="D1603" s="4"/>
      <c r="E1603" s="4"/>
      <c r="F1603" s="4" t="s">
        <v>27763</v>
      </c>
      <c r="G1603" s="4"/>
      <c r="H1603" s="4"/>
      <c r="I1603" s="4" t="s">
        <v>27764</v>
      </c>
      <c r="J1603" s="4" t="s">
        <v>2222</v>
      </c>
      <c r="K1603" s="4"/>
      <c r="L1603" s="4"/>
      <c r="M1603" s="4" t="s">
        <v>77</v>
      </c>
      <c r="N1603" s="4" t="s">
        <v>78</v>
      </c>
      <c r="O1603" s="4"/>
      <c r="P1603" s="4"/>
      <c r="Q1603" s="4"/>
      <c r="R1603" s="4"/>
      <c r="S1603" s="4"/>
      <c r="T1603" s="1" t="s">
        <v>27765</v>
      </c>
      <c r="U1603" s="4" t="s">
        <v>27766</v>
      </c>
      <c r="V1603" s="4" t="s">
        <v>27767</v>
      </c>
      <c r="W1603" s="4" t="s">
        <v>27768</v>
      </c>
      <c r="X1603" s="4" t="s">
        <v>27769</v>
      </c>
      <c r="Y1603" s="4" t="s">
        <v>27770</v>
      </c>
      <c r="Z1603" s="4" t="s">
        <v>27771</v>
      </c>
      <c r="AA1603" s="4" t="s">
        <v>27772</v>
      </c>
      <c r="AB1603" s="4" t="s">
        <v>27773</v>
      </c>
      <c r="AC1603" s="4" t="s">
        <v>27774</v>
      </c>
      <c r="AD1603" s="4" t="s">
        <v>24241</v>
      </c>
      <c r="AE1603" s="4"/>
      <c r="AF1603" s="4"/>
      <c r="AG1603" s="4" t="n">
        <v>28</v>
      </c>
      <c r="AH1603" s="4" t="n">
        <v>62</v>
      </c>
      <c r="AI1603" s="4" t="n">
        <v>68</v>
      </c>
      <c r="AJ1603" s="4" t="n">
        <v>1</v>
      </c>
      <c r="AK1603" s="4" t="n">
        <v>3</v>
      </c>
      <c r="AL1603" s="4" t="s">
        <v>755</v>
      </c>
      <c r="AM1603" s="4" t="s">
        <v>273</v>
      </c>
      <c r="AN1603" s="4" t="s">
        <v>756</v>
      </c>
      <c r="AO1603" s="4" t="s">
        <v>2234</v>
      </c>
      <c r="AP1603" s="4"/>
      <c r="AQ1603" s="4"/>
      <c r="AR1603" s="4" t="s">
        <v>2236</v>
      </c>
      <c r="AS1603" s="4" t="s">
        <v>2237</v>
      </c>
      <c r="AT1603" s="4" t="s">
        <v>1041</v>
      </c>
      <c r="AU1603" s="4" t="n">
        <v>2007</v>
      </c>
      <c r="AV1603" s="4" t="n">
        <v>45</v>
      </c>
      <c r="AW1603" s="4" t="n">
        <v>2</v>
      </c>
      <c r="AX1603" s="4"/>
      <c r="AY1603" s="4"/>
      <c r="AZ1603" s="4"/>
      <c r="BA1603" s="4"/>
      <c r="BB1603" s="4" t="n">
        <v>548</v>
      </c>
      <c r="BC1603" s="4" t="n">
        <v>552</v>
      </c>
      <c r="BD1603" s="4"/>
      <c r="BE1603" s="4" t="s">
        <v>27775</v>
      </c>
      <c r="BF1603" s="4" t="str">
        <f aca="false">HYPERLINK("http://dx.doi.org/10.1128/JCM.01621-06","http://dx.doi.org/10.1128/JCM.01621-06")</f>
        <v>http://dx.doi.org/10.1128/JCM.01621-06</v>
      </c>
      <c r="BG1603" s="4"/>
      <c r="BH1603" s="4"/>
      <c r="BI1603" s="4" t="n">
        <v>5</v>
      </c>
      <c r="BJ1603" s="4" t="s">
        <v>211</v>
      </c>
      <c r="BK1603" s="4" t="s">
        <v>100</v>
      </c>
      <c r="BL1603" s="4" t="s">
        <v>211</v>
      </c>
      <c r="BM1603" s="4" t="s">
        <v>27776</v>
      </c>
      <c r="BN1603" s="4" t="n">
        <v>17065270</v>
      </c>
      <c r="BO1603" s="4" t="s">
        <v>165</v>
      </c>
      <c r="BP1603" s="4"/>
      <c r="BQ1603" s="4"/>
      <c r="BR1603" s="4" t="s">
        <v>104</v>
      </c>
      <c r="BS1603" s="4" t="s">
        <v>27777</v>
      </c>
      <c r="BT1603" s="4" t="str">
        <f aca="false">HYPERLINK("https%3A%2F%2Fwww.webofscience.com%2Fwos%2Fwoscc%2Ffull-record%2FWOS:000244270000046","View Full Record in Web of Science")</f>
        <v>View Full Record in Web of Science</v>
      </c>
    </row>
    <row r="1604" s="5" customFormat="true" ht="12.75" hidden="false" customHeight="false" outlineLevel="0" collapsed="false">
      <c r="A1604" s="4" t="s">
        <v>72</v>
      </c>
      <c r="B1604" s="4" t="s">
        <v>27778</v>
      </c>
      <c r="C1604" s="4"/>
      <c r="D1604" s="4"/>
      <c r="E1604" s="4"/>
      <c r="F1604" s="4" t="s">
        <v>27779</v>
      </c>
      <c r="G1604" s="4"/>
      <c r="H1604" s="4"/>
      <c r="I1604" s="4" t="s">
        <v>27780</v>
      </c>
      <c r="J1604" s="4" t="s">
        <v>742</v>
      </c>
      <c r="K1604" s="4"/>
      <c r="L1604" s="4"/>
      <c r="M1604" s="4" t="s">
        <v>77</v>
      </c>
      <c r="N1604" s="4" t="s">
        <v>78</v>
      </c>
      <c r="O1604" s="4"/>
      <c r="P1604" s="4"/>
      <c r="Q1604" s="4"/>
      <c r="R1604" s="4"/>
      <c r="S1604" s="4"/>
      <c r="T1604" s="1" t="s">
        <v>27781</v>
      </c>
      <c r="U1604" s="4" t="s">
        <v>27782</v>
      </c>
      <c r="V1604" s="4" t="s">
        <v>27783</v>
      </c>
      <c r="W1604" s="4" t="s">
        <v>27784</v>
      </c>
      <c r="X1604" s="4" t="s">
        <v>27785</v>
      </c>
      <c r="Y1604" s="4" t="s">
        <v>27786</v>
      </c>
      <c r="Z1604" s="4" t="s">
        <v>27787</v>
      </c>
      <c r="AA1604" s="4" t="s">
        <v>27788</v>
      </c>
      <c r="AB1604" s="4" t="s">
        <v>27789</v>
      </c>
      <c r="AC1604" s="4" t="s">
        <v>27790</v>
      </c>
      <c r="AD1604" s="4" t="s">
        <v>27791</v>
      </c>
      <c r="AE1604" s="4" t="s">
        <v>27792</v>
      </c>
      <c r="AF1604" s="4"/>
      <c r="AG1604" s="4" t="n">
        <v>64</v>
      </c>
      <c r="AH1604" s="4" t="n">
        <v>10</v>
      </c>
      <c r="AI1604" s="4" t="n">
        <v>11</v>
      </c>
      <c r="AJ1604" s="4" t="n">
        <v>0</v>
      </c>
      <c r="AK1604" s="4" t="n">
        <v>2</v>
      </c>
      <c r="AL1604" s="4" t="s">
        <v>755</v>
      </c>
      <c r="AM1604" s="4" t="s">
        <v>273</v>
      </c>
      <c r="AN1604" s="4" t="s">
        <v>756</v>
      </c>
      <c r="AO1604" s="4" t="s">
        <v>757</v>
      </c>
      <c r="AP1604" s="4" t="s">
        <v>758</v>
      </c>
      <c r="AQ1604" s="4"/>
      <c r="AR1604" s="4" t="s">
        <v>759</v>
      </c>
      <c r="AS1604" s="4" t="s">
        <v>760</v>
      </c>
      <c r="AT1604" s="4" t="s">
        <v>129</v>
      </c>
      <c r="AU1604" s="4" t="n">
        <v>2016</v>
      </c>
      <c r="AV1604" s="4" t="n">
        <v>90</v>
      </c>
      <c r="AW1604" s="4" t="n">
        <v>17</v>
      </c>
      <c r="AX1604" s="4"/>
      <c r="AY1604" s="4"/>
      <c r="AZ1604" s="4"/>
      <c r="BA1604" s="4"/>
      <c r="BB1604" s="4" t="n">
        <v>7848</v>
      </c>
      <c r="BC1604" s="4" t="n">
        <v>7863</v>
      </c>
      <c r="BD1604" s="4"/>
      <c r="BE1604" s="4" t="s">
        <v>27793</v>
      </c>
      <c r="BF1604" s="4" t="str">
        <f aca="false">HYPERLINK("http://dx.doi.org/10.1128/JVI.00537-16","http://dx.doi.org/10.1128/JVI.00537-16")</f>
        <v>http://dx.doi.org/10.1128/JVI.00537-16</v>
      </c>
      <c r="BG1604" s="4"/>
      <c r="BH1604" s="4"/>
      <c r="BI1604" s="4" t="n">
        <v>16</v>
      </c>
      <c r="BJ1604" s="4" t="s">
        <v>163</v>
      </c>
      <c r="BK1604" s="4" t="s">
        <v>100</v>
      </c>
      <c r="BL1604" s="4" t="s">
        <v>163</v>
      </c>
      <c r="BM1604" s="4" t="s">
        <v>27794</v>
      </c>
      <c r="BN1604" s="4" t="n">
        <v>27334579</v>
      </c>
      <c r="BO1604" s="4" t="s">
        <v>538</v>
      </c>
      <c r="BP1604" s="4"/>
      <c r="BQ1604" s="4"/>
      <c r="BR1604" s="4" t="s">
        <v>104</v>
      </c>
      <c r="BS1604" s="4" t="s">
        <v>27795</v>
      </c>
      <c r="BT1604" s="4" t="str">
        <f aca="false">HYPERLINK("https%3A%2F%2Fwww.webofscience.com%2Fwos%2Fwoscc%2Ffull-record%2FWOS:000382306800023","View Full Record in Web of Science")</f>
        <v>View Full Record in Web of Science</v>
      </c>
    </row>
    <row r="1605" s="5" customFormat="true" ht="12.75" hidden="false" customHeight="false" outlineLevel="0" collapsed="false">
      <c r="A1605" s="4" t="s">
        <v>72</v>
      </c>
      <c r="B1605" s="4" t="s">
        <v>27796</v>
      </c>
      <c r="C1605" s="4"/>
      <c r="D1605" s="4"/>
      <c r="E1605" s="4"/>
      <c r="F1605" s="4" t="s">
        <v>27797</v>
      </c>
      <c r="G1605" s="4"/>
      <c r="H1605" s="4"/>
      <c r="I1605" s="4" t="s">
        <v>27798</v>
      </c>
      <c r="J1605" s="4" t="s">
        <v>27799</v>
      </c>
      <c r="K1605" s="4"/>
      <c r="L1605" s="4"/>
      <c r="M1605" s="4" t="s">
        <v>77</v>
      </c>
      <c r="N1605" s="4" t="s">
        <v>78</v>
      </c>
      <c r="O1605" s="4"/>
      <c r="P1605" s="4"/>
      <c r="Q1605" s="4"/>
      <c r="R1605" s="4"/>
      <c r="S1605" s="4"/>
      <c r="T1605" s="1" t="s">
        <v>27800</v>
      </c>
      <c r="U1605" s="4" t="s">
        <v>27801</v>
      </c>
      <c r="V1605" s="4" t="s">
        <v>27802</v>
      </c>
      <c r="W1605" s="4" t="s">
        <v>27803</v>
      </c>
      <c r="X1605" s="4" t="s">
        <v>27804</v>
      </c>
      <c r="Y1605" s="4" t="s">
        <v>27805</v>
      </c>
      <c r="Z1605" s="4" t="s">
        <v>27806</v>
      </c>
      <c r="AA1605" s="4" t="s">
        <v>21962</v>
      </c>
      <c r="AB1605" s="4" t="s">
        <v>27807</v>
      </c>
      <c r="AC1605" s="4"/>
      <c r="AD1605" s="4"/>
      <c r="AE1605" s="4"/>
      <c r="AF1605" s="4"/>
      <c r="AG1605" s="4" t="n">
        <v>23</v>
      </c>
      <c r="AH1605" s="4" t="n">
        <v>1</v>
      </c>
      <c r="AI1605" s="4" t="n">
        <v>1</v>
      </c>
      <c r="AJ1605" s="4" t="n">
        <v>0</v>
      </c>
      <c r="AK1605" s="4" t="n">
        <v>3</v>
      </c>
      <c r="AL1605" s="4" t="s">
        <v>27808</v>
      </c>
      <c r="AM1605" s="4" t="s">
        <v>303</v>
      </c>
      <c r="AN1605" s="4" t="s">
        <v>27809</v>
      </c>
      <c r="AO1605" s="4" t="s">
        <v>27810</v>
      </c>
      <c r="AP1605" s="4" t="s">
        <v>27811</v>
      </c>
      <c r="AQ1605" s="4"/>
      <c r="AR1605" s="4" t="s">
        <v>27812</v>
      </c>
      <c r="AS1605" s="4" t="s">
        <v>27813</v>
      </c>
      <c r="AT1605" s="4"/>
      <c r="AU1605" s="4" t="n">
        <v>2016</v>
      </c>
      <c r="AV1605" s="4" t="n">
        <v>2016</v>
      </c>
      <c r="AW1605" s="4"/>
      <c r="AX1605" s="4"/>
      <c r="AY1605" s="4"/>
      <c r="AZ1605" s="4"/>
      <c r="BA1605" s="4"/>
      <c r="BB1605" s="4"/>
      <c r="BC1605" s="4"/>
      <c r="BD1605" s="4" t="n">
        <v>7021943</v>
      </c>
      <c r="BE1605" s="4" t="s">
        <v>27814</v>
      </c>
      <c r="BF1605" s="4" t="str">
        <f aca="false">HYPERLINK("http://dx.doi.org/10.1155/2016/7021943","http://dx.doi.org/10.1155/2016/7021943")</f>
        <v>http://dx.doi.org/10.1155/2016/7021943</v>
      </c>
      <c r="BG1605" s="4"/>
      <c r="BH1605" s="4"/>
      <c r="BI1605" s="4" t="n">
        <v>6</v>
      </c>
      <c r="BJ1605" s="4" t="s">
        <v>601</v>
      </c>
      <c r="BK1605" s="4" t="s">
        <v>339</v>
      </c>
      <c r="BL1605" s="4" t="s">
        <v>601</v>
      </c>
      <c r="BM1605" s="4" t="s">
        <v>27815</v>
      </c>
      <c r="BN1605" s="4" t="n">
        <v>26925109</v>
      </c>
      <c r="BO1605" s="4" t="s">
        <v>14604</v>
      </c>
      <c r="BP1605" s="4"/>
      <c r="BQ1605" s="4"/>
      <c r="BR1605" s="4" t="s">
        <v>104</v>
      </c>
      <c r="BS1605" s="4" t="s">
        <v>27816</v>
      </c>
      <c r="BT1605" s="4" t="str">
        <f aca="false">HYPERLINK("https%3A%2F%2Fwww.webofscience.com%2Fwos%2Fwoscc%2Ffull-record%2FWOS:000377865300001","View Full Record in Web of Science")</f>
        <v>View Full Record in Web of Science</v>
      </c>
    </row>
    <row r="1606" s="5" customFormat="true" ht="12.75" hidden="false" customHeight="false" outlineLevel="0" collapsed="false">
      <c r="A1606" s="4" t="s">
        <v>72</v>
      </c>
      <c r="B1606" s="4" t="s">
        <v>27817</v>
      </c>
      <c r="C1606" s="4"/>
      <c r="D1606" s="4"/>
      <c r="E1606" s="4"/>
      <c r="F1606" s="4" t="s">
        <v>27818</v>
      </c>
      <c r="G1606" s="4"/>
      <c r="H1606" s="4"/>
      <c r="I1606" s="4" t="s">
        <v>27819</v>
      </c>
      <c r="J1606" s="4" t="s">
        <v>27820</v>
      </c>
      <c r="K1606" s="4"/>
      <c r="L1606" s="4"/>
      <c r="M1606" s="4" t="s">
        <v>77</v>
      </c>
      <c r="N1606" s="4" t="s">
        <v>78</v>
      </c>
      <c r="O1606" s="4"/>
      <c r="P1606" s="4"/>
      <c r="Q1606" s="4"/>
      <c r="R1606" s="4"/>
      <c r="S1606" s="4"/>
      <c r="T1606" s="1" t="s">
        <v>27821</v>
      </c>
      <c r="U1606" s="4" t="s">
        <v>27822</v>
      </c>
      <c r="V1606" s="4" t="s">
        <v>27823</v>
      </c>
      <c r="W1606" s="4" t="s">
        <v>27824</v>
      </c>
      <c r="X1606" s="4" t="s">
        <v>27825</v>
      </c>
      <c r="Y1606" s="4" t="s">
        <v>27826</v>
      </c>
      <c r="Z1606" s="4" t="s">
        <v>16991</v>
      </c>
      <c r="AA1606" s="4" t="s">
        <v>27827</v>
      </c>
      <c r="AB1606" s="4" t="s">
        <v>27828</v>
      </c>
      <c r="AC1606" s="4" t="s">
        <v>27829</v>
      </c>
      <c r="AD1606" s="4" t="s">
        <v>17864</v>
      </c>
      <c r="AE1606" s="4" t="s">
        <v>27830</v>
      </c>
      <c r="AF1606" s="4"/>
      <c r="AG1606" s="4" t="n">
        <v>73</v>
      </c>
      <c r="AH1606" s="4" t="n">
        <v>14</v>
      </c>
      <c r="AI1606" s="4" t="n">
        <v>14</v>
      </c>
      <c r="AJ1606" s="4" t="n">
        <v>2</v>
      </c>
      <c r="AK1606" s="4" t="n">
        <v>3</v>
      </c>
      <c r="AL1606" s="4" t="s">
        <v>27506</v>
      </c>
      <c r="AM1606" s="4" t="s">
        <v>27507</v>
      </c>
      <c r="AN1606" s="4" t="s">
        <v>27508</v>
      </c>
      <c r="AO1606" s="4" t="s">
        <v>27831</v>
      </c>
      <c r="AP1606" s="4" t="s">
        <v>27832</v>
      </c>
      <c r="AQ1606" s="4"/>
      <c r="AR1606" s="4" t="s">
        <v>27833</v>
      </c>
      <c r="AS1606" s="4" t="s">
        <v>27834</v>
      </c>
      <c r="AT1606" s="4" t="s">
        <v>692</v>
      </c>
      <c r="AU1606" s="4" t="n">
        <v>2019</v>
      </c>
      <c r="AV1606" s="4" t="n">
        <v>15</v>
      </c>
      <c r="AW1606" s="4" t="n">
        <v>4</v>
      </c>
      <c r="AX1606" s="4"/>
      <c r="AY1606" s="4"/>
      <c r="AZ1606" s="4"/>
      <c r="BA1606" s="4"/>
      <c r="BB1606" s="4"/>
      <c r="BC1606" s="4"/>
      <c r="BD1606" s="4" t="s">
        <v>27835</v>
      </c>
      <c r="BE1606" s="4" t="s">
        <v>27836</v>
      </c>
      <c r="BF1606" s="4" t="str">
        <f aca="false">HYPERLINK("http://dx.doi.org/10.1371/journal.ppat.1007689","http://dx.doi.org/10.1371/journal.ppat.1007689")</f>
        <v>http://dx.doi.org/10.1371/journal.ppat.1007689</v>
      </c>
      <c r="BG1606" s="4"/>
      <c r="BH1606" s="4"/>
      <c r="BI1606" s="4" t="n">
        <v>24</v>
      </c>
      <c r="BJ1606" s="4" t="s">
        <v>27837</v>
      </c>
      <c r="BK1606" s="4" t="s">
        <v>100</v>
      </c>
      <c r="BL1606" s="4" t="s">
        <v>27837</v>
      </c>
      <c r="BM1606" s="4" t="s">
        <v>27838</v>
      </c>
      <c r="BN1606" s="4" t="n">
        <v>30964929</v>
      </c>
      <c r="BO1606" s="4" t="s">
        <v>2582</v>
      </c>
      <c r="BP1606" s="4"/>
      <c r="BQ1606" s="4"/>
      <c r="BR1606" s="4" t="s">
        <v>104</v>
      </c>
      <c r="BS1606" s="4" t="s">
        <v>27839</v>
      </c>
      <c r="BT1606" s="4" t="str">
        <f aca="false">HYPERLINK("https%3A%2F%2Fwww.webofscience.com%2Fwos%2Fwoscc%2Ffull-record%2FWOS:000466742700025","View Full Record in Web of Science")</f>
        <v>View Full Record in Web of Science</v>
      </c>
    </row>
    <row r="1607" s="5" customFormat="true" ht="12.75" hidden="false" customHeight="false" outlineLevel="0" collapsed="false">
      <c r="A1607" s="4" t="s">
        <v>72</v>
      </c>
      <c r="B1607" s="4" t="s">
        <v>27840</v>
      </c>
      <c r="C1607" s="4"/>
      <c r="D1607" s="4"/>
      <c r="E1607" s="4"/>
      <c r="F1607" s="4" t="s">
        <v>27841</v>
      </c>
      <c r="G1607" s="4"/>
      <c r="H1607" s="4"/>
      <c r="I1607" s="4" t="s">
        <v>27842</v>
      </c>
      <c r="J1607" s="4" t="s">
        <v>27548</v>
      </c>
      <c r="K1607" s="4"/>
      <c r="L1607" s="4"/>
      <c r="M1607" s="4" t="s">
        <v>77</v>
      </c>
      <c r="N1607" s="4" t="s">
        <v>78</v>
      </c>
      <c r="O1607" s="4"/>
      <c r="P1607" s="4"/>
      <c r="Q1607" s="4"/>
      <c r="R1607" s="4"/>
      <c r="S1607" s="4"/>
      <c r="T1607" s="1" t="s">
        <v>27843</v>
      </c>
      <c r="U1607" s="4" t="s">
        <v>27844</v>
      </c>
      <c r="V1607" s="4" t="s">
        <v>27845</v>
      </c>
      <c r="W1607" s="4" t="s">
        <v>27846</v>
      </c>
      <c r="X1607" s="4" t="s">
        <v>27847</v>
      </c>
      <c r="Y1607" s="4" t="s">
        <v>27848</v>
      </c>
      <c r="Z1607" s="4" t="s">
        <v>16569</v>
      </c>
      <c r="AA1607" s="4" t="s">
        <v>27849</v>
      </c>
      <c r="AB1607" s="4" t="s">
        <v>27850</v>
      </c>
      <c r="AC1607" s="4"/>
      <c r="AD1607" s="4"/>
      <c r="AE1607" s="4"/>
      <c r="AF1607" s="4"/>
      <c r="AG1607" s="4" t="n">
        <v>36</v>
      </c>
      <c r="AH1607" s="4" t="n">
        <v>11</v>
      </c>
      <c r="AI1607" s="4" t="n">
        <v>11</v>
      </c>
      <c r="AJ1607" s="4" t="n">
        <v>0</v>
      </c>
      <c r="AK1607" s="4" t="n">
        <v>2</v>
      </c>
      <c r="AL1607" s="4" t="s">
        <v>27851</v>
      </c>
      <c r="AM1607" s="4" t="s">
        <v>27561</v>
      </c>
      <c r="AN1607" s="4" t="s">
        <v>27562</v>
      </c>
      <c r="AO1607" s="4" t="s">
        <v>27563</v>
      </c>
      <c r="AP1607" s="4" t="s">
        <v>27564</v>
      </c>
      <c r="AQ1607" s="4"/>
      <c r="AR1607" s="4" t="s">
        <v>27565</v>
      </c>
      <c r="AS1607" s="4" t="s">
        <v>27566</v>
      </c>
      <c r="AT1607" s="4" t="s">
        <v>161</v>
      </c>
      <c r="AU1607" s="4" t="n">
        <v>2019</v>
      </c>
      <c r="AV1607" s="4" t="n">
        <v>25</v>
      </c>
      <c r="AW1607" s="4" t="n">
        <v>1</v>
      </c>
      <c r="AX1607" s="4"/>
      <c r="AY1607" s="4"/>
      <c r="AZ1607" s="4"/>
      <c r="BA1607" s="4"/>
      <c r="BB1607" s="4" t="n">
        <v>15</v>
      </c>
      <c r="BC1607" s="4" t="n">
        <v>24</v>
      </c>
      <c r="BD1607" s="4"/>
      <c r="BE1607" s="4" t="s">
        <v>27852</v>
      </c>
      <c r="BF1607" s="4" t="str">
        <f aca="false">HYPERLINK("http://dx.doi.org/10.3201/eid2501.181131","http://dx.doi.org/10.3201/eid2501.181131")</f>
        <v>http://dx.doi.org/10.3201/eid2501.181131</v>
      </c>
      <c r="BG1607" s="4"/>
      <c r="BH1607" s="4"/>
      <c r="BI1607" s="4" t="n">
        <v>10</v>
      </c>
      <c r="BJ1607" s="4" t="s">
        <v>965</v>
      </c>
      <c r="BK1607" s="4" t="s">
        <v>100</v>
      </c>
      <c r="BL1607" s="4" t="s">
        <v>965</v>
      </c>
      <c r="BM1607" s="4" t="s">
        <v>27853</v>
      </c>
      <c r="BN1607" s="4" t="n">
        <v>30560776</v>
      </c>
      <c r="BO1607" s="4" t="s">
        <v>103</v>
      </c>
      <c r="BP1607" s="4"/>
      <c r="BQ1607" s="4"/>
      <c r="BR1607" s="4" t="s">
        <v>104</v>
      </c>
      <c r="BS1607" s="4" t="s">
        <v>27854</v>
      </c>
      <c r="BT1607" s="4" t="str">
        <f aca="false">HYPERLINK("https%3A%2F%2Fwww.webofscience.com%2Fwos%2Fwoscc%2Ffull-record%2FWOS:000453546600003","View Full Record in Web of Science")</f>
        <v>View Full Record in Web of Science</v>
      </c>
    </row>
    <row r="1608" s="5" customFormat="true" ht="12.75" hidden="false" customHeight="false" outlineLevel="0" collapsed="false">
      <c r="A1608" s="4" t="s">
        <v>72</v>
      </c>
      <c r="B1608" s="4" t="s">
        <v>27855</v>
      </c>
      <c r="C1608" s="4"/>
      <c r="D1608" s="4"/>
      <c r="E1608" s="4"/>
      <c r="F1608" s="4" t="s">
        <v>27856</v>
      </c>
      <c r="G1608" s="4"/>
      <c r="H1608" s="4"/>
      <c r="I1608" s="4" t="s">
        <v>27857</v>
      </c>
      <c r="J1608" s="4" t="s">
        <v>742</v>
      </c>
      <c r="K1608" s="4"/>
      <c r="L1608" s="4"/>
      <c r="M1608" s="4" t="s">
        <v>77</v>
      </c>
      <c r="N1608" s="4" t="s">
        <v>78</v>
      </c>
      <c r="O1608" s="4"/>
      <c r="P1608" s="4"/>
      <c r="Q1608" s="4"/>
      <c r="R1608" s="4"/>
      <c r="S1608" s="4"/>
      <c r="T1608" s="1" t="s">
        <v>27858</v>
      </c>
      <c r="U1608" s="4" t="s">
        <v>27859</v>
      </c>
      <c r="V1608" s="4" t="s">
        <v>27860</v>
      </c>
      <c r="W1608" s="4" t="s">
        <v>27861</v>
      </c>
      <c r="X1608" s="4" t="s">
        <v>14856</v>
      </c>
      <c r="Y1608" s="4" t="s">
        <v>27620</v>
      </c>
      <c r="Z1608" s="4" t="s">
        <v>10668</v>
      </c>
      <c r="AA1608" s="4"/>
      <c r="AB1608" s="4" t="s">
        <v>27862</v>
      </c>
      <c r="AC1608" s="4" t="s">
        <v>27863</v>
      </c>
      <c r="AD1608" s="4" t="s">
        <v>27864</v>
      </c>
      <c r="AE1608" s="4" t="s">
        <v>27865</v>
      </c>
      <c r="AF1608" s="4"/>
      <c r="AG1608" s="4" t="n">
        <v>55</v>
      </c>
      <c r="AH1608" s="4" t="n">
        <v>49</v>
      </c>
      <c r="AI1608" s="4" t="n">
        <v>50</v>
      </c>
      <c r="AJ1608" s="4" t="n">
        <v>0</v>
      </c>
      <c r="AK1608" s="4" t="n">
        <v>6</v>
      </c>
      <c r="AL1608" s="4" t="s">
        <v>755</v>
      </c>
      <c r="AM1608" s="4" t="s">
        <v>273</v>
      </c>
      <c r="AN1608" s="4" t="s">
        <v>756</v>
      </c>
      <c r="AO1608" s="4" t="s">
        <v>757</v>
      </c>
      <c r="AP1608" s="4" t="s">
        <v>758</v>
      </c>
      <c r="AQ1608" s="4"/>
      <c r="AR1608" s="4" t="s">
        <v>759</v>
      </c>
      <c r="AS1608" s="4" t="s">
        <v>760</v>
      </c>
      <c r="AT1608" s="4" t="s">
        <v>161</v>
      </c>
      <c r="AU1608" s="4" t="n">
        <v>2015</v>
      </c>
      <c r="AV1608" s="4" t="n">
        <v>89</v>
      </c>
      <c r="AW1608" s="4" t="n">
        <v>1</v>
      </c>
      <c r="AX1608" s="4"/>
      <c r="AY1608" s="4"/>
      <c r="AZ1608" s="4"/>
      <c r="BA1608" s="4"/>
      <c r="BB1608" s="4" t="n">
        <v>730</v>
      </c>
      <c r="BC1608" s="4" t="n">
        <v>742</v>
      </c>
      <c r="BD1608" s="4"/>
      <c r="BE1608" s="4" t="s">
        <v>27866</v>
      </c>
      <c r="BF1608" s="4" t="str">
        <f aca="false">HYPERLINK("http://dx.doi.org/10.1128/JVI.02897-14","http://dx.doi.org/10.1128/JVI.02897-14")</f>
        <v>http://dx.doi.org/10.1128/JVI.02897-14</v>
      </c>
      <c r="BG1608" s="4"/>
      <c r="BH1608" s="4"/>
      <c r="BI1608" s="4" t="n">
        <v>13</v>
      </c>
      <c r="BJ1608" s="4" t="s">
        <v>163</v>
      </c>
      <c r="BK1608" s="4" t="s">
        <v>100</v>
      </c>
      <c r="BL1608" s="4" t="s">
        <v>163</v>
      </c>
      <c r="BM1608" s="4" t="s">
        <v>27867</v>
      </c>
      <c r="BN1608" s="4" t="n">
        <v>25355870</v>
      </c>
      <c r="BO1608" s="4" t="s">
        <v>538</v>
      </c>
      <c r="BP1608" s="4"/>
      <c r="BQ1608" s="4"/>
      <c r="BR1608" s="4" t="s">
        <v>104</v>
      </c>
      <c r="BS1608" s="4" t="s">
        <v>27868</v>
      </c>
      <c r="BT1608" s="4" t="str">
        <f aca="false">HYPERLINK("https%3A%2F%2Fwww.webofscience.com%2Fwos%2Fwoscc%2Ffull-record%2FWOS:000347176100061","View Full Record in Web of Science")</f>
        <v>View Full Record in Web of Science</v>
      </c>
    </row>
    <row r="1609" s="5" customFormat="true" ht="12.75" hidden="false" customHeight="false" outlineLevel="0" collapsed="false">
      <c r="A1609" s="4" t="s">
        <v>72</v>
      </c>
      <c r="B1609" s="4" t="s">
        <v>27869</v>
      </c>
      <c r="C1609" s="4"/>
      <c r="D1609" s="4"/>
      <c r="E1609" s="4"/>
      <c r="F1609" s="4" t="s">
        <v>27870</v>
      </c>
      <c r="G1609" s="4"/>
      <c r="H1609" s="4"/>
      <c r="I1609" s="4" t="s">
        <v>27871</v>
      </c>
      <c r="J1609" s="4" t="s">
        <v>6395</v>
      </c>
      <c r="K1609" s="4"/>
      <c r="L1609" s="4"/>
      <c r="M1609" s="4" t="s">
        <v>77</v>
      </c>
      <c r="N1609" s="4" t="s">
        <v>78</v>
      </c>
      <c r="O1609" s="4"/>
      <c r="P1609" s="4"/>
      <c r="Q1609" s="4"/>
      <c r="R1609" s="4"/>
      <c r="S1609" s="4"/>
      <c r="T1609" s="1" t="s">
        <v>27872</v>
      </c>
      <c r="U1609" s="4" t="s">
        <v>27873</v>
      </c>
      <c r="V1609" s="4" t="s">
        <v>27874</v>
      </c>
      <c r="W1609" s="4" t="s">
        <v>27875</v>
      </c>
      <c r="X1609" s="4" t="s">
        <v>15751</v>
      </c>
      <c r="Y1609" s="4" t="s">
        <v>27876</v>
      </c>
      <c r="Z1609" s="4" t="s">
        <v>14684</v>
      </c>
      <c r="AA1609" s="4"/>
      <c r="AB1609" s="4" t="s">
        <v>27877</v>
      </c>
      <c r="AC1609" s="4" t="s">
        <v>27878</v>
      </c>
      <c r="AD1609" s="4" t="s">
        <v>14687</v>
      </c>
      <c r="AE1609" s="4" t="s">
        <v>27879</v>
      </c>
      <c r="AF1609" s="4"/>
      <c r="AG1609" s="4" t="n">
        <v>48</v>
      </c>
      <c r="AH1609" s="4" t="n">
        <v>12</v>
      </c>
      <c r="AI1609" s="4" t="n">
        <v>15</v>
      </c>
      <c r="AJ1609" s="4" t="n">
        <v>2</v>
      </c>
      <c r="AK1609" s="4" t="n">
        <v>5</v>
      </c>
      <c r="AL1609" s="4" t="s">
        <v>6405</v>
      </c>
      <c r="AM1609" s="4" t="s">
        <v>6406</v>
      </c>
      <c r="AN1609" s="4" t="s">
        <v>6407</v>
      </c>
      <c r="AO1609" s="4" t="s">
        <v>6408</v>
      </c>
      <c r="AP1609" s="4"/>
      <c r="AQ1609" s="4"/>
      <c r="AR1609" s="4" t="s">
        <v>6409</v>
      </c>
      <c r="AS1609" s="4" t="s">
        <v>6410</v>
      </c>
      <c r="AT1609" s="4" t="s">
        <v>27880</v>
      </c>
      <c r="AU1609" s="4" t="n">
        <v>2018</v>
      </c>
      <c r="AV1609" s="4" t="n">
        <v>8</v>
      </c>
      <c r="AW1609" s="4"/>
      <c r="AX1609" s="4"/>
      <c r="AY1609" s="4"/>
      <c r="AZ1609" s="4"/>
      <c r="BA1609" s="4"/>
      <c r="BB1609" s="4"/>
      <c r="BC1609" s="4"/>
      <c r="BD1609" s="4" t="n">
        <v>883</v>
      </c>
      <c r="BE1609" s="4" t="s">
        <v>27881</v>
      </c>
      <c r="BF1609" s="4" t="str">
        <f aca="false">HYPERLINK("http://dx.doi.org/10.1038/s41598-018-19225-0","http://dx.doi.org/10.1038/s41598-018-19225-0")</f>
        <v>http://dx.doi.org/10.1038/s41598-018-19225-0</v>
      </c>
      <c r="BG1609" s="4"/>
      <c r="BH1609" s="4"/>
      <c r="BI1609" s="4" t="n">
        <v>11</v>
      </c>
      <c r="BJ1609" s="4" t="s">
        <v>1658</v>
      </c>
      <c r="BK1609" s="4" t="s">
        <v>100</v>
      </c>
      <c r="BL1609" s="4" t="s">
        <v>1659</v>
      </c>
      <c r="BM1609" s="4" t="s">
        <v>27882</v>
      </c>
      <c r="BN1609" s="4" t="n">
        <v>29343779</v>
      </c>
      <c r="BO1609" s="4" t="s">
        <v>103</v>
      </c>
      <c r="BP1609" s="4"/>
      <c r="BQ1609" s="4"/>
      <c r="BR1609" s="4" t="s">
        <v>104</v>
      </c>
      <c r="BS1609" s="4" t="s">
        <v>27883</v>
      </c>
      <c r="BT1609" s="4" t="str">
        <f aca="false">HYPERLINK("https%3A%2F%2Fwww.webofscience.com%2Fwos%2Fwoscc%2Ffull-record%2FWOS:000422716900017","View Full Record in Web of Science")</f>
        <v>View Full Record in Web of Science</v>
      </c>
    </row>
    <row r="1610" s="5" customFormat="true" ht="12.75" hidden="false" customHeight="false" outlineLevel="0" collapsed="false">
      <c r="A1610" s="4" t="s">
        <v>72</v>
      </c>
      <c r="B1610" s="4" t="s">
        <v>27884</v>
      </c>
      <c r="C1610" s="4"/>
      <c r="D1610" s="4"/>
      <c r="E1610" s="4"/>
      <c r="F1610" s="4" t="s">
        <v>27885</v>
      </c>
      <c r="G1610" s="4"/>
      <c r="H1610" s="4"/>
      <c r="I1610" s="4" t="s">
        <v>27886</v>
      </c>
      <c r="J1610" s="4" t="s">
        <v>742</v>
      </c>
      <c r="K1610" s="4"/>
      <c r="L1610" s="4"/>
      <c r="M1610" s="4" t="s">
        <v>77</v>
      </c>
      <c r="N1610" s="4" t="s">
        <v>78</v>
      </c>
      <c r="O1610" s="4"/>
      <c r="P1610" s="4"/>
      <c r="Q1610" s="4"/>
      <c r="R1610" s="4"/>
      <c r="S1610" s="4"/>
      <c r="T1610" s="1" t="s">
        <v>27887</v>
      </c>
      <c r="U1610" s="4" t="s">
        <v>27888</v>
      </c>
      <c r="V1610" s="4" t="s">
        <v>27889</v>
      </c>
      <c r="W1610" s="4" t="s">
        <v>27890</v>
      </c>
      <c r="X1610" s="4" t="s">
        <v>23263</v>
      </c>
      <c r="Y1610" s="4" t="s">
        <v>27891</v>
      </c>
      <c r="Z1610" s="4" t="s">
        <v>27892</v>
      </c>
      <c r="AA1610" s="4"/>
      <c r="AB1610" s="4" t="s">
        <v>16218</v>
      </c>
      <c r="AC1610" s="4" t="s">
        <v>27893</v>
      </c>
      <c r="AD1610" s="4" t="s">
        <v>27893</v>
      </c>
      <c r="AE1610" s="4" t="s">
        <v>27894</v>
      </c>
      <c r="AF1610" s="4"/>
      <c r="AG1610" s="4" t="n">
        <v>37</v>
      </c>
      <c r="AH1610" s="4" t="n">
        <v>48</v>
      </c>
      <c r="AI1610" s="4" t="n">
        <v>63</v>
      </c>
      <c r="AJ1610" s="4" t="n">
        <v>0</v>
      </c>
      <c r="AK1610" s="4" t="n">
        <v>6</v>
      </c>
      <c r="AL1610" s="4" t="s">
        <v>755</v>
      </c>
      <c r="AM1610" s="4" t="s">
        <v>273</v>
      </c>
      <c r="AN1610" s="4" t="s">
        <v>756</v>
      </c>
      <c r="AO1610" s="4" t="s">
        <v>757</v>
      </c>
      <c r="AP1610" s="4" t="s">
        <v>758</v>
      </c>
      <c r="AQ1610" s="4"/>
      <c r="AR1610" s="4" t="s">
        <v>759</v>
      </c>
      <c r="AS1610" s="4" t="s">
        <v>760</v>
      </c>
      <c r="AT1610" s="4" t="s">
        <v>446</v>
      </c>
      <c r="AU1610" s="4" t="n">
        <v>2008</v>
      </c>
      <c r="AV1610" s="4" t="n">
        <v>82</v>
      </c>
      <c r="AW1610" s="4" t="n">
        <v>23</v>
      </c>
      <c r="AX1610" s="4"/>
      <c r="AY1610" s="4"/>
      <c r="AZ1610" s="4"/>
      <c r="BA1610" s="4"/>
      <c r="BB1610" s="4" t="n">
        <v>11767</v>
      </c>
      <c r="BC1610" s="4" t="n">
        <v>11774</v>
      </c>
      <c r="BD1610" s="4"/>
      <c r="BE1610" s="4" t="s">
        <v>27895</v>
      </c>
      <c r="BF1610" s="4" t="str">
        <f aca="false">HYPERLINK("http://dx.doi.org/10.1128/JVI.01208-08","http://dx.doi.org/10.1128/JVI.01208-08")</f>
        <v>http://dx.doi.org/10.1128/JVI.01208-08</v>
      </c>
      <c r="BG1610" s="4"/>
      <c r="BH1610" s="4"/>
      <c r="BI1610" s="4" t="n">
        <v>8</v>
      </c>
      <c r="BJ1610" s="4" t="s">
        <v>163</v>
      </c>
      <c r="BK1610" s="4" t="s">
        <v>100</v>
      </c>
      <c r="BL1610" s="4" t="s">
        <v>163</v>
      </c>
      <c r="BM1610" s="4" t="s">
        <v>27896</v>
      </c>
      <c r="BN1610" s="4" t="n">
        <v>18786997</v>
      </c>
      <c r="BO1610" s="4" t="s">
        <v>165</v>
      </c>
      <c r="BP1610" s="4"/>
      <c r="BQ1610" s="4"/>
      <c r="BR1610" s="4" t="s">
        <v>104</v>
      </c>
      <c r="BS1610" s="4" t="s">
        <v>27897</v>
      </c>
      <c r="BT1610" s="4" t="str">
        <f aca="false">HYPERLINK("https%3A%2F%2Fwww.webofscience.com%2Fwos%2Fwoscc%2Ffull-record%2FWOS:000260789700028","View Full Record in Web of Science")</f>
        <v>View Full Record in Web of Science</v>
      </c>
    </row>
    <row r="1611" s="5" customFormat="true" ht="12.75" hidden="false" customHeight="false" outlineLevel="0" collapsed="false">
      <c r="A1611" s="4" t="s">
        <v>72</v>
      </c>
      <c r="B1611" s="4" t="s">
        <v>27898</v>
      </c>
      <c r="C1611" s="4"/>
      <c r="D1611" s="4"/>
      <c r="E1611" s="4"/>
      <c r="F1611" s="4" t="s">
        <v>27899</v>
      </c>
      <c r="G1611" s="4"/>
      <c r="H1611" s="4"/>
      <c r="I1611" s="4" t="s">
        <v>27900</v>
      </c>
      <c r="J1611" s="4" t="s">
        <v>2222</v>
      </c>
      <c r="K1611" s="4"/>
      <c r="L1611" s="4"/>
      <c r="M1611" s="4" t="s">
        <v>77</v>
      </c>
      <c r="N1611" s="4" t="s">
        <v>78</v>
      </c>
      <c r="O1611" s="4"/>
      <c r="P1611" s="4"/>
      <c r="Q1611" s="4"/>
      <c r="R1611" s="4"/>
      <c r="S1611" s="4"/>
      <c r="T1611" s="1" t="s">
        <v>27901</v>
      </c>
      <c r="U1611" s="4" t="s">
        <v>27902</v>
      </c>
      <c r="V1611" s="4" t="s">
        <v>27903</v>
      </c>
      <c r="W1611" s="4" t="s">
        <v>27904</v>
      </c>
      <c r="X1611" s="4" t="s">
        <v>27905</v>
      </c>
      <c r="Y1611" s="4" t="s">
        <v>27906</v>
      </c>
      <c r="Z1611" s="4" t="s">
        <v>9937</v>
      </c>
      <c r="AA1611" s="4" t="s">
        <v>14909</v>
      </c>
      <c r="AB1611" s="4"/>
      <c r="AC1611" s="4" t="s">
        <v>27907</v>
      </c>
      <c r="AD1611" s="4" t="s">
        <v>27907</v>
      </c>
      <c r="AE1611" s="4" t="s">
        <v>27908</v>
      </c>
      <c r="AF1611" s="4"/>
      <c r="AG1611" s="4" t="n">
        <v>24</v>
      </c>
      <c r="AH1611" s="4" t="n">
        <v>31</v>
      </c>
      <c r="AI1611" s="4" t="n">
        <v>35</v>
      </c>
      <c r="AJ1611" s="4" t="n">
        <v>0</v>
      </c>
      <c r="AK1611" s="4" t="n">
        <v>7</v>
      </c>
      <c r="AL1611" s="4" t="s">
        <v>755</v>
      </c>
      <c r="AM1611" s="4" t="s">
        <v>273</v>
      </c>
      <c r="AN1611" s="4" t="s">
        <v>756</v>
      </c>
      <c r="AO1611" s="4" t="s">
        <v>2234</v>
      </c>
      <c r="AP1611" s="4"/>
      <c r="AQ1611" s="4"/>
      <c r="AR1611" s="4" t="s">
        <v>2236</v>
      </c>
      <c r="AS1611" s="4" t="s">
        <v>2237</v>
      </c>
      <c r="AT1611" s="4" t="s">
        <v>129</v>
      </c>
      <c r="AU1611" s="4" t="n">
        <v>2009</v>
      </c>
      <c r="AV1611" s="4" t="n">
        <v>47</v>
      </c>
      <c r="AW1611" s="4" t="n">
        <v>9</v>
      </c>
      <c r="AX1611" s="4"/>
      <c r="AY1611" s="4"/>
      <c r="AZ1611" s="4"/>
      <c r="BA1611" s="4"/>
      <c r="BB1611" s="4" t="n">
        <v>2981</v>
      </c>
      <c r="BC1611" s="4" t="n">
        <v>2984</v>
      </c>
      <c r="BD1611" s="4"/>
      <c r="BE1611" s="4" t="s">
        <v>27909</v>
      </c>
      <c r="BF1611" s="4" t="str">
        <f aca="false">HYPERLINK("http://dx.doi.org/10.1128/JCM.00321-09","http://dx.doi.org/10.1128/JCM.00321-09")</f>
        <v>http://dx.doi.org/10.1128/JCM.00321-09</v>
      </c>
      <c r="BG1611" s="4"/>
      <c r="BH1611" s="4"/>
      <c r="BI1611" s="4" t="n">
        <v>4</v>
      </c>
      <c r="BJ1611" s="4" t="s">
        <v>211</v>
      </c>
      <c r="BK1611" s="4" t="s">
        <v>100</v>
      </c>
      <c r="BL1611" s="4" t="s">
        <v>211</v>
      </c>
      <c r="BM1611" s="4" t="s">
        <v>27910</v>
      </c>
      <c r="BN1611" s="4" t="n">
        <v>19571031</v>
      </c>
      <c r="BO1611" s="4" t="s">
        <v>165</v>
      </c>
      <c r="BP1611" s="4"/>
      <c r="BQ1611" s="4"/>
      <c r="BR1611" s="4" t="s">
        <v>104</v>
      </c>
      <c r="BS1611" s="4" t="s">
        <v>27911</v>
      </c>
      <c r="BT1611" s="4" t="str">
        <f aca="false">HYPERLINK("https%3A%2F%2Fwww.webofscience.com%2Fwos%2Fwoscc%2Ffull-record%2FWOS:000269439600043","View Full Record in Web of Science")</f>
        <v>View Full Record in Web of Science</v>
      </c>
    </row>
    <row r="1612" s="5" customFormat="true" ht="12.75" hidden="false" customHeight="false" outlineLevel="0" collapsed="false">
      <c r="A1612" s="4" t="s">
        <v>72</v>
      </c>
      <c r="B1612" s="4" t="s">
        <v>27912</v>
      </c>
      <c r="C1612" s="4"/>
      <c r="D1612" s="4"/>
      <c r="E1612" s="4"/>
      <c r="F1612" s="4" t="s">
        <v>27913</v>
      </c>
      <c r="G1612" s="4"/>
      <c r="H1612" s="4"/>
      <c r="I1612" s="4" t="s">
        <v>27914</v>
      </c>
      <c r="J1612" s="4" t="s">
        <v>27915</v>
      </c>
      <c r="K1612" s="4"/>
      <c r="L1612" s="4"/>
      <c r="M1612" s="4" t="s">
        <v>77</v>
      </c>
      <c r="N1612" s="4" t="s">
        <v>78</v>
      </c>
      <c r="O1612" s="4"/>
      <c r="P1612" s="4"/>
      <c r="Q1612" s="4"/>
      <c r="R1612" s="4"/>
      <c r="S1612" s="4"/>
      <c r="T1612" s="1" t="s">
        <v>27916</v>
      </c>
      <c r="U1612" s="4" t="s">
        <v>27917</v>
      </c>
      <c r="V1612" s="4" t="s">
        <v>27918</v>
      </c>
      <c r="W1612" s="4" t="s">
        <v>27919</v>
      </c>
      <c r="X1612" s="4" t="s">
        <v>27920</v>
      </c>
      <c r="Y1612" s="4" t="s">
        <v>27921</v>
      </c>
      <c r="Z1612" s="4" t="s">
        <v>9188</v>
      </c>
      <c r="AA1612" s="4" t="s">
        <v>27922</v>
      </c>
      <c r="AB1612" s="4" t="s">
        <v>27923</v>
      </c>
      <c r="AC1612" s="4" t="s">
        <v>27924</v>
      </c>
      <c r="AD1612" s="4" t="s">
        <v>27925</v>
      </c>
      <c r="AE1612" s="4" t="s">
        <v>27926</v>
      </c>
      <c r="AF1612" s="4"/>
      <c r="AG1612" s="4" t="n">
        <v>36</v>
      </c>
      <c r="AH1612" s="4" t="n">
        <v>35</v>
      </c>
      <c r="AI1612" s="4" t="n">
        <v>40</v>
      </c>
      <c r="AJ1612" s="4" t="n">
        <v>0</v>
      </c>
      <c r="AK1612" s="4" t="n">
        <v>13</v>
      </c>
      <c r="AL1612" s="4" t="s">
        <v>27927</v>
      </c>
      <c r="AM1612" s="4" t="s">
        <v>27928</v>
      </c>
      <c r="AN1612" s="4" t="s">
        <v>27929</v>
      </c>
      <c r="AO1612" s="4" t="s">
        <v>27930</v>
      </c>
      <c r="AP1612" s="4" t="s">
        <v>27931</v>
      </c>
      <c r="AQ1612" s="4"/>
      <c r="AR1612" s="4" t="s">
        <v>27932</v>
      </c>
      <c r="AS1612" s="4" t="s">
        <v>27933</v>
      </c>
      <c r="AT1612" s="4" t="s">
        <v>15557</v>
      </c>
      <c r="AU1612" s="4" t="n">
        <v>2014</v>
      </c>
      <c r="AV1612" s="4" t="n">
        <v>192</v>
      </c>
      <c r="AW1612" s="4" t="n">
        <v>1</v>
      </c>
      <c r="AX1612" s="4"/>
      <c r="AY1612" s="4"/>
      <c r="AZ1612" s="4"/>
      <c r="BA1612" s="4"/>
      <c r="BB1612" s="4" t="n">
        <v>214</v>
      </c>
      <c r="BC1612" s="4" t="n">
        <v>223</v>
      </c>
      <c r="BD1612" s="4"/>
      <c r="BE1612" s="4" t="s">
        <v>27934</v>
      </c>
      <c r="BF1612" s="4" t="str">
        <f aca="false">HYPERLINK("http://dx.doi.org/10.4049/jimmunol.1300118","http://dx.doi.org/10.4049/jimmunol.1300118")</f>
        <v>http://dx.doi.org/10.4049/jimmunol.1300118</v>
      </c>
      <c r="BG1612" s="4"/>
      <c r="BH1612" s="4"/>
      <c r="BI1612" s="4" t="n">
        <v>10</v>
      </c>
      <c r="BJ1612" s="4" t="s">
        <v>628</v>
      </c>
      <c r="BK1612" s="4" t="s">
        <v>100</v>
      </c>
      <c r="BL1612" s="4" t="s">
        <v>628</v>
      </c>
      <c r="BM1612" s="4" t="s">
        <v>27935</v>
      </c>
      <c r="BN1612" s="4" t="n">
        <v>24319265</v>
      </c>
      <c r="BO1612" s="4" t="s">
        <v>656</v>
      </c>
      <c r="BP1612" s="4"/>
      <c r="BQ1612" s="4"/>
      <c r="BR1612" s="4" t="s">
        <v>104</v>
      </c>
      <c r="BS1612" s="4" t="s">
        <v>27936</v>
      </c>
      <c r="BT1612" s="4" t="str">
        <f aca="false">HYPERLINK("https%3A%2F%2Fwww.webofscience.com%2Fwos%2Fwoscc%2Ffull-record%2FWOS:000328950700023","View Full Record in Web of Science")</f>
        <v>View Full Record in Web of Science</v>
      </c>
    </row>
    <row r="1613" s="5" customFormat="true" ht="12.75" hidden="false" customHeight="false" outlineLevel="0" collapsed="false">
      <c r="A1613" s="4" t="s">
        <v>72</v>
      </c>
      <c r="B1613" s="4" t="s">
        <v>27937</v>
      </c>
      <c r="C1613" s="4"/>
      <c r="D1613" s="4"/>
      <c r="E1613" s="4"/>
      <c r="F1613" s="4" t="s">
        <v>27938</v>
      </c>
      <c r="G1613" s="4"/>
      <c r="H1613" s="4"/>
      <c r="I1613" s="4" t="s">
        <v>27939</v>
      </c>
      <c r="J1613" s="4" t="s">
        <v>6822</v>
      </c>
      <c r="K1613" s="4"/>
      <c r="L1613" s="4"/>
      <c r="M1613" s="4" t="s">
        <v>77</v>
      </c>
      <c r="N1613" s="4" t="s">
        <v>78</v>
      </c>
      <c r="O1613" s="4"/>
      <c r="P1613" s="4"/>
      <c r="Q1613" s="4"/>
      <c r="R1613" s="4"/>
      <c r="S1613" s="4"/>
      <c r="T1613" s="1" t="s">
        <v>27940</v>
      </c>
      <c r="U1613" s="4" t="s">
        <v>27941</v>
      </c>
      <c r="V1613" s="4" t="s">
        <v>27942</v>
      </c>
      <c r="W1613" s="4" t="s">
        <v>27943</v>
      </c>
      <c r="X1613" s="4" t="s">
        <v>27944</v>
      </c>
      <c r="Y1613" s="4" t="s">
        <v>27945</v>
      </c>
      <c r="Z1613" s="4" t="s">
        <v>27946</v>
      </c>
      <c r="AA1613" s="4"/>
      <c r="AB1613" s="4" t="s">
        <v>1261</v>
      </c>
      <c r="AC1613" s="4" t="s">
        <v>1262</v>
      </c>
      <c r="AD1613" s="4" t="s">
        <v>1263</v>
      </c>
      <c r="AE1613" s="4" t="s">
        <v>27947</v>
      </c>
      <c r="AF1613" s="4"/>
      <c r="AG1613" s="4" t="n">
        <v>26</v>
      </c>
      <c r="AH1613" s="4" t="n">
        <v>18</v>
      </c>
      <c r="AI1613" s="4" t="n">
        <v>20</v>
      </c>
      <c r="AJ1613" s="4" t="n">
        <v>0</v>
      </c>
      <c r="AK1613" s="4" t="n">
        <v>0</v>
      </c>
      <c r="AL1613" s="4" t="s">
        <v>6833</v>
      </c>
      <c r="AM1613" s="4" t="s">
        <v>593</v>
      </c>
      <c r="AN1613" s="4" t="s">
        <v>6834</v>
      </c>
      <c r="AO1613" s="4" t="s">
        <v>6835</v>
      </c>
      <c r="AP1613" s="4" t="s">
        <v>6836</v>
      </c>
      <c r="AQ1613" s="4"/>
      <c r="AR1613" s="4" t="s">
        <v>6837</v>
      </c>
      <c r="AS1613" s="4" t="s">
        <v>6838</v>
      </c>
      <c r="AT1613" s="4" t="s">
        <v>161</v>
      </c>
      <c r="AU1613" s="4" t="n">
        <v>2009</v>
      </c>
      <c r="AV1613" s="4" t="n">
        <v>137</v>
      </c>
      <c r="AW1613" s="4" t="n">
        <v>1</v>
      </c>
      <c r="AX1613" s="4"/>
      <c r="AY1613" s="4"/>
      <c r="AZ1613" s="4"/>
      <c r="BA1613" s="4"/>
      <c r="BB1613" s="4" t="n">
        <v>66</v>
      </c>
      <c r="BC1613" s="4" t="n">
        <v>72</v>
      </c>
      <c r="BD1613" s="4"/>
      <c r="BE1613" s="4" t="s">
        <v>27948</v>
      </c>
      <c r="BF1613" s="4" t="str">
        <f aca="false">HYPERLINK("http://dx.doi.org/10.1017/S0950268808000666","http://dx.doi.org/10.1017/S0950268808000666")</f>
        <v>http://dx.doi.org/10.1017/S0950268808000666</v>
      </c>
      <c r="BG1613" s="4"/>
      <c r="BH1613" s="4"/>
      <c r="BI1613" s="4" t="n">
        <v>7</v>
      </c>
      <c r="BJ1613" s="4" t="s">
        <v>2113</v>
      </c>
      <c r="BK1613" s="4" t="s">
        <v>100</v>
      </c>
      <c r="BL1613" s="4" t="s">
        <v>2113</v>
      </c>
      <c r="BM1613" s="4" t="s">
        <v>27949</v>
      </c>
      <c r="BN1613" s="4" t="n">
        <v>18419854</v>
      </c>
      <c r="BO1613" s="4" t="s">
        <v>1903</v>
      </c>
      <c r="BP1613" s="4"/>
      <c r="BQ1613" s="4"/>
      <c r="BR1613" s="4" t="s">
        <v>104</v>
      </c>
      <c r="BS1613" s="4" t="s">
        <v>27950</v>
      </c>
      <c r="BT1613" s="4" t="str">
        <f aca="false">HYPERLINK("https%3A%2F%2Fwww.webofscience.com%2Fwos%2Fwoscc%2Ffull-record%2FWOS:000262067800007","View Full Record in Web of Science")</f>
        <v>View Full Record in Web of Science</v>
      </c>
    </row>
    <row r="1614" s="5" customFormat="true" ht="12.75" hidden="false" customHeight="false" outlineLevel="0" collapsed="false">
      <c r="A1614" s="4" t="s">
        <v>72</v>
      </c>
      <c r="B1614" s="4" t="s">
        <v>27951</v>
      </c>
      <c r="C1614" s="4"/>
      <c r="D1614" s="4"/>
      <c r="E1614" s="4"/>
      <c r="F1614" s="4" t="s">
        <v>27951</v>
      </c>
      <c r="G1614" s="4"/>
      <c r="H1614" s="4"/>
      <c r="I1614" s="4" t="s">
        <v>27952</v>
      </c>
      <c r="J1614" s="4" t="s">
        <v>27548</v>
      </c>
      <c r="K1614" s="4"/>
      <c r="L1614" s="4"/>
      <c r="M1614" s="4" t="s">
        <v>77</v>
      </c>
      <c r="N1614" s="4" t="s">
        <v>78</v>
      </c>
      <c r="O1614" s="4"/>
      <c r="P1614" s="4"/>
      <c r="Q1614" s="4"/>
      <c r="R1614" s="4"/>
      <c r="S1614" s="4"/>
      <c r="T1614" s="1" t="s">
        <v>27953</v>
      </c>
      <c r="U1614" s="4" t="s">
        <v>27954</v>
      </c>
      <c r="V1614" s="4" t="s">
        <v>27955</v>
      </c>
      <c r="W1614" s="4" t="s">
        <v>27956</v>
      </c>
      <c r="X1614" s="4" t="s">
        <v>14440</v>
      </c>
      <c r="Y1614" s="4" t="s">
        <v>27957</v>
      </c>
      <c r="Z1614" s="4"/>
      <c r="AA1614" s="4" t="s">
        <v>27958</v>
      </c>
      <c r="AB1614" s="4" t="s">
        <v>27959</v>
      </c>
      <c r="AC1614" s="4"/>
      <c r="AD1614" s="4"/>
      <c r="AE1614" s="4"/>
      <c r="AF1614" s="4"/>
      <c r="AG1614" s="4" t="n">
        <v>20</v>
      </c>
      <c r="AH1614" s="4" t="n">
        <v>310</v>
      </c>
      <c r="AI1614" s="4" t="n">
        <v>373</v>
      </c>
      <c r="AJ1614" s="4" t="n">
        <v>0</v>
      </c>
      <c r="AK1614" s="4" t="n">
        <v>2</v>
      </c>
      <c r="AL1614" s="4" t="s">
        <v>27960</v>
      </c>
      <c r="AM1614" s="4" t="s">
        <v>27561</v>
      </c>
      <c r="AN1614" s="4" t="s">
        <v>27961</v>
      </c>
      <c r="AO1614" s="4" t="s">
        <v>27563</v>
      </c>
      <c r="AP1614" s="4"/>
      <c r="AQ1614" s="4"/>
      <c r="AR1614" s="4" t="s">
        <v>27565</v>
      </c>
      <c r="AS1614" s="4" t="s">
        <v>27566</v>
      </c>
      <c r="AT1614" s="4" t="s">
        <v>486</v>
      </c>
      <c r="AU1614" s="4" t="n">
        <v>2003</v>
      </c>
      <c r="AV1614" s="4" t="n">
        <v>9</v>
      </c>
      <c r="AW1614" s="4" t="n">
        <v>6</v>
      </c>
      <c r="AX1614" s="4"/>
      <c r="AY1614" s="4"/>
      <c r="AZ1614" s="4"/>
      <c r="BA1614" s="4"/>
      <c r="BB1614" s="4" t="n">
        <v>628</v>
      </c>
      <c r="BC1614" s="4" t="n">
        <v>633</v>
      </c>
      <c r="BD1614" s="4"/>
      <c r="BE1614" s="4" t="s">
        <v>27962</v>
      </c>
      <c r="BF1614" s="4"/>
      <c r="BG1614" s="4"/>
      <c r="BH1614" s="4"/>
      <c r="BI1614" s="4" t="n">
        <v>6</v>
      </c>
      <c r="BJ1614" s="4" t="s">
        <v>965</v>
      </c>
      <c r="BK1614" s="4" t="s">
        <v>100</v>
      </c>
      <c r="BL1614" s="4" t="s">
        <v>965</v>
      </c>
      <c r="BM1614" s="4" t="s">
        <v>27963</v>
      </c>
      <c r="BN1614" s="4" t="n">
        <v>12781000</v>
      </c>
      <c r="BO1614" s="4"/>
      <c r="BP1614" s="4"/>
      <c r="BQ1614" s="4"/>
      <c r="BR1614" s="4" t="s">
        <v>104</v>
      </c>
      <c r="BS1614" s="4" t="s">
        <v>27964</v>
      </c>
      <c r="BT1614" s="4" t="str">
        <f aca="false">HYPERLINK("https%3A%2F%2Fwww.webofscience.com%2Fwos%2Fwoscc%2Ffull-record%2FWOS:000183291900003","View Full Record in Web of Science")</f>
        <v>View Full Record in Web of Science</v>
      </c>
    </row>
    <row r="1615" s="5" customFormat="true" ht="12.75" hidden="false" customHeight="false" outlineLevel="0" collapsed="false">
      <c r="A1615" s="4" t="s">
        <v>72</v>
      </c>
      <c r="B1615" s="4" t="s">
        <v>27965</v>
      </c>
      <c r="C1615" s="4"/>
      <c r="D1615" s="4"/>
      <c r="E1615" s="4"/>
      <c r="F1615" s="4" t="s">
        <v>27965</v>
      </c>
      <c r="G1615" s="4"/>
      <c r="H1615" s="4"/>
      <c r="I1615" s="4" t="s">
        <v>27966</v>
      </c>
      <c r="J1615" s="4" t="s">
        <v>742</v>
      </c>
      <c r="K1615" s="4"/>
      <c r="L1615" s="4"/>
      <c r="M1615" s="4" t="s">
        <v>77</v>
      </c>
      <c r="N1615" s="4" t="s">
        <v>78</v>
      </c>
      <c r="O1615" s="4"/>
      <c r="P1615" s="4"/>
      <c r="Q1615" s="4"/>
      <c r="R1615" s="4"/>
      <c r="S1615" s="4"/>
      <c r="T1615" s="1" t="s">
        <v>27967</v>
      </c>
      <c r="U1615" s="4" t="s">
        <v>27968</v>
      </c>
      <c r="V1615" s="4" t="s">
        <v>27969</v>
      </c>
      <c r="W1615" s="4" t="s">
        <v>27970</v>
      </c>
      <c r="X1615" s="4" t="s">
        <v>27971</v>
      </c>
      <c r="Y1615" s="4" t="s">
        <v>27972</v>
      </c>
      <c r="Z1615" s="4" t="s">
        <v>27973</v>
      </c>
      <c r="AA1615" s="4" t="s">
        <v>27974</v>
      </c>
      <c r="AB1615" s="4" t="s">
        <v>2953</v>
      </c>
      <c r="AC1615" s="4"/>
      <c r="AD1615" s="4"/>
      <c r="AE1615" s="4"/>
      <c r="AF1615" s="4"/>
      <c r="AG1615" s="4" t="n">
        <v>57</v>
      </c>
      <c r="AH1615" s="4" t="n">
        <v>59</v>
      </c>
      <c r="AI1615" s="4" t="n">
        <v>70</v>
      </c>
      <c r="AJ1615" s="4" t="n">
        <v>0</v>
      </c>
      <c r="AK1615" s="4" t="n">
        <v>2</v>
      </c>
      <c r="AL1615" s="4" t="s">
        <v>755</v>
      </c>
      <c r="AM1615" s="4" t="s">
        <v>273</v>
      </c>
      <c r="AN1615" s="4" t="s">
        <v>756</v>
      </c>
      <c r="AO1615" s="4" t="s">
        <v>757</v>
      </c>
      <c r="AP1615" s="4" t="s">
        <v>758</v>
      </c>
      <c r="AQ1615" s="4"/>
      <c r="AR1615" s="4" t="s">
        <v>759</v>
      </c>
      <c r="AS1615" s="4" t="s">
        <v>760</v>
      </c>
      <c r="AT1615" s="4" t="s">
        <v>1041</v>
      </c>
      <c r="AU1615" s="4" t="n">
        <v>2006</v>
      </c>
      <c r="AV1615" s="4" t="n">
        <v>80</v>
      </c>
      <c r="AW1615" s="4" t="n">
        <v>4</v>
      </c>
      <c r="AX1615" s="4"/>
      <c r="AY1615" s="4"/>
      <c r="AZ1615" s="4"/>
      <c r="BA1615" s="4"/>
      <c r="BB1615" s="4" t="n">
        <v>2034</v>
      </c>
      <c r="BC1615" s="4" t="n">
        <v>2044</v>
      </c>
      <c r="BD1615" s="4"/>
      <c r="BE1615" s="4" t="s">
        <v>27975</v>
      </c>
      <c r="BF1615" s="4" t="str">
        <f aca="false">HYPERLINK("http://dx.doi.org/10.1128/JVI.80.4.2034-2044.2006","http://dx.doi.org/10.1128/JVI.80.4.2034-2044.2006")</f>
        <v>http://dx.doi.org/10.1128/JVI.80.4.2034-2044.2006</v>
      </c>
      <c r="BG1615" s="4"/>
      <c r="BH1615" s="4"/>
      <c r="BI1615" s="4" t="n">
        <v>11</v>
      </c>
      <c r="BJ1615" s="4" t="s">
        <v>163</v>
      </c>
      <c r="BK1615" s="4" t="s">
        <v>100</v>
      </c>
      <c r="BL1615" s="4" t="s">
        <v>163</v>
      </c>
      <c r="BM1615" s="4" t="s">
        <v>27976</v>
      </c>
      <c r="BN1615" s="4" t="n">
        <v>16439559</v>
      </c>
      <c r="BO1615" s="4" t="s">
        <v>165</v>
      </c>
      <c r="BP1615" s="4"/>
      <c r="BQ1615" s="4"/>
      <c r="BR1615" s="4" t="s">
        <v>104</v>
      </c>
      <c r="BS1615" s="4" t="s">
        <v>27977</v>
      </c>
      <c r="BT1615" s="4" t="str">
        <f aca="false">HYPERLINK("https%3A%2F%2Fwww.webofscience.com%2Fwos%2Fwoscc%2Ffull-record%2FWOS:000235248500042","View Full Record in Web of Science")</f>
        <v>View Full Record in Web of Science</v>
      </c>
    </row>
    <row r="1616" s="5" customFormat="true" ht="12.75" hidden="false" customHeight="false" outlineLevel="0" collapsed="false">
      <c r="A1616" s="4" t="s">
        <v>72</v>
      </c>
      <c r="B1616" s="4" t="s">
        <v>27978</v>
      </c>
      <c r="C1616" s="4"/>
      <c r="D1616" s="4"/>
      <c r="E1616" s="4"/>
      <c r="F1616" s="4" t="s">
        <v>27979</v>
      </c>
      <c r="G1616" s="4"/>
      <c r="H1616" s="4"/>
      <c r="I1616" s="4" t="s">
        <v>27980</v>
      </c>
      <c r="J1616" s="4" t="s">
        <v>514</v>
      </c>
      <c r="K1616" s="4"/>
      <c r="L1616" s="4"/>
      <c r="M1616" s="4" t="s">
        <v>77</v>
      </c>
      <c r="N1616" s="4" t="s">
        <v>78</v>
      </c>
      <c r="O1616" s="4"/>
      <c r="P1616" s="4"/>
      <c r="Q1616" s="4"/>
      <c r="R1616" s="4"/>
      <c r="S1616" s="4"/>
      <c r="T1616" s="1" t="s">
        <v>27981</v>
      </c>
      <c r="U1616" s="4" t="s">
        <v>27982</v>
      </c>
      <c r="V1616" s="4" t="s">
        <v>27983</v>
      </c>
      <c r="W1616" s="4" t="s">
        <v>27984</v>
      </c>
      <c r="X1616" s="4" t="s">
        <v>27985</v>
      </c>
      <c r="Y1616" s="4" t="s">
        <v>27986</v>
      </c>
      <c r="Z1616" s="4" t="s">
        <v>428</v>
      </c>
      <c r="AA1616" s="4" t="s">
        <v>27987</v>
      </c>
      <c r="AB1616" s="4" t="s">
        <v>27988</v>
      </c>
      <c r="AC1616" s="4"/>
      <c r="AD1616" s="4"/>
      <c r="AE1616" s="4"/>
      <c r="AF1616" s="4"/>
      <c r="AG1616" s="4" t="n">
        <v>15</v>
      </c>
      <c r="AH1616" s="4" t="n">
        <v>71</v>
      </c>
      <c r="AI1616" s="4" t="n">
        <v>80</v>
      </c>
      <c r="AJ1616" s="4" t="n">
        <v>1</v>
      </c>
      <c r="AK1616" s="4" t="n">
        <v>1</v>
      </c>
      <c r="AL1616" s="4" t="s">
        <v>527</v>
      </c>
      <c r="AM1616" s="4" t="s">
        <v>528</v>
      </c>
      <c r="AN1616" s="4" t="s">
        <v>529</v>
      </c>
      <c r="AO1616" s="4" t="s">
        <v>530</v>
      </c>
      <c r="AP1616" s="4" t="s">
        <v>531</v>
      </c>
      <c r="AQ1616" s="4"/>
      <c r="AR1616" s="4" t="s">
        <v>532</v>
      </c>
      <c r="AS1616" s="4" t="s">
        <v>533</v>
      </c>
      <c r="AT1616" s="4" t="s">
        <v>2037</v>
      </c>
      <c r="AU1616" s="4" t="n">
        <v>2006</v>
      </c>
      <c r="AV1616" s="4" t="n">
        <v>193</v>
      </c>
      <c r="AW1616" s="4" t="n">
        <v>12</v>
      </c>
      <c r="AX1616" s="4"/>
      <c r="AY1616" s="4"/>
      <c r="AZ1616" s="4"/>
      <c r="BA1616" s="4"/>
      <c r="BB1616" s="4" t="n">
        <v>1630</v>
      </c>
      <c r="BC1616" s="4" t="n">
        <v>1633</v>
      </c>
      <c r="BD1616" s="4"/>
      <c r="BE1616" s="4" t="s">
        <v>27989</v>
      </c>
      <c r="BF1616" s="4" t="str">
        <f aca="false">HYPERLINK("http://dx.doi.org/10.1086/504260","http://dx.doi.org/10.1086/504260")</f>
        <v>http://dx.doi.org/10.1086/504260</v>
      </c>
      <c r="BG1616" s="4"/>
      <c r="BH1616" s="4"/>
      <c r="BI1616" s="4" t="n">
        <v>4</v>
      </c>
      <c r="BJ1616" s="4" t="s">
        <v>536</v>
      </c>
      <c r="BK1616" s="4" t="s">
        <v>100</v>
      </c>
      <c r="BL1616" s="4" t="s">
        <v>536</v>
      </c>
      <c r="BM1616" s="4" t="s">
        <v>27990</v>
      </c>
      <c r="BN1616" s="4" t="n">
        <v>16703505</v>
      </c>
      <c r="BO1616" s="4" t="s">
        <v>656</v>
      </c>
      <c r="BP1616" s="4"/>
      <c r="BQ1616" s="4"/>
      <c r="BR1616" s="4" t="s">
        <v>104</v>
      </c>
      <c r="BS1616" s="4" t="s">
        <v>27991</v>
      </c>
      <c r="BT1616" s="4" t="str">
        <f aca="false">HYPERLINK("https%3A%2F%2Fwww.webofscience.com%2Fwos%2Fwoscc%2Ffull-record%2FWOS:000237553400004","View Full Record in Web of Science")</f>
        <v>View Full Record in Web of Science</v>
      </c>
    </row>
    <row r="1617" s="5" customFormat="true" ht="12.75" hidden="false" customHeight="false" outlineLevel="0" collapsed="false">
      <c r="A1617" s="4" t="s">
        <v>72</v>
      </c>
      <c r="B1617" s="4" t="s">
        <v>27992</v>
      </c>
      <c r="C1617" s="4"/>
      <c r="D1617" s="4"/>
      <c r="E1617" s="4"/>
      <c r="F1617" s="4" t="s">
        <v>27992</v>
      </c>
      <c r="G1617" s="4"/>
      <c r="H1617" s="4"/>
      <c r="I1617" s="4" t="s">
        <v>27993</v>
      </c>
      <c r="J1617" s="4" t="s">
        <v>514</v>
      </c>
      <c r="K1617" s="4"/>
      <c r="L1617" s="4"/>
      <c r="M1617" s="4" t="s">
        <v>77</v>
      </c>
      <c r="N1617" s="4" t="s">
        <v>78</v>
      </c>
      <c r="O1617" s="4"/>
      <c r="P1617" s="4"/>
      <c r="Q1617" s="4"/>
      <c r="R1617" s="4"/>
      <c r="S1617" s="4"/>
      <c r="T1617" s="1" t="s">
        <v>27994</v>
      </c>
      <c r="U1617" s="4" t="s">
        <v>27995</v>
      </c>
      <c r="V1617" s="4" t="s">
        <v>27996</v>
      </c>
      <c r="W1617" s="4" t="s">
        <v>27997</v>
      </c>
      <c r="X1617" s="4" t="s">
        <v>27998</v>
      </c>
      <c r="Y1617" s="4" t="s">
        <v>27999</v>
      </c>
      <c r="Z1617" s="4" t="s">
        <v>28000</v>
      </c>
      <c r="AA1617" s="4" t="s">
        <v>28001</v>
      </c>
      <c r="AB1617" s="4"/>
      <c r="AC1617" s="4"/>
      <c r="AD1617" s="4"/>
      <c r="AE1617" s="4"/>
      <c r="AF1617" s="4"/>
      <c r="AG1617" s="4" t="n">
        <v>40</v>
      </c>
      <c r="AH1617" s="4" t="n">
        <v>77</v>
      </c>
      <c r="AI1617" s="4" t="n">
        <v>86</v>
      </c>
      <c r="AJ1617" s="4" t="n">
        <v>0</v>
      </c>
      <c r="AK1617" s="4" t="n">
        <v>0</v>
      </c>
      <c r="AL1617" s="4" t="s">
        <v>527</v>
      </c>
      <c r="AM1617" s="4" t="s">
        <v>528</v>
      </c>
      <c r="AN1617" s="4" t="s">
        <v>529</v>
      </c>
      <c r="AO1617" s="4" t="s">
        <v>530</v>
      </c>
      <c r="AP1617" s="4" t="s">
        <v>531</v>
      </c>
      <c r="AQ1617" s="4"/>
      <c r="AR1617" s="4" t="s">
        <v>532</v>
      </c>
      <c r="AS1617" s="4" t="s">
        <v>533</v>
      </c>
      <c r="AT1617" s="4" t="s">
        <v>8806</v>
      </c>
      <c r="AU1617" s="4" t="n">
        <v>2004</v>
      </c>
      <c r="AV1617" s="4" t="n">
        <v>190</v>
      </c>
      <c r="AW1617" s="4" t="n">
        <v>1</v>
      </c>
      <c r="AX1617" s="4"/>
      <c r="AY1617" s="4"/>
      <c r="AZ1617" s="4"/>
      <c r="BA1617" s="4"/>
      <c r="BB1617" s="4" t="n">
        <v>20</v>
      </c>
      <c r="BC1617" s="4" t="n">
        <v>26</v>
      </c>
      <c r="BD1617" s="4"/>
      <c r="BE1617" s="4" t="s">
        <v>28002</v>
      </c>
      <c r="BF1617" s="4" t="str">
        <f aca="false">HYPERLINK("http://dx.doi.org/10.1086/421120","http://dx.doi.org/10.1086/421120")</f>
        <v>http://dx.doi.org/10.1086/421120</v>
      </c>
      <c r="BG1617" s="4"/>
      <c r="BH1617" s="4"/>
      <c r="BI1617" s="4" t="n">
        <v>7</v>
      </c>
      <c r="BJ1617" s="4" t="s">
        <v>536</v>
      </c>
      <c r="BK1617" s="4" t="s">
        <v>100</v>
      </c>
      <c r="BL1617" s="4" t="s">
        <v>536</v>
      </c>
      <c r="BM1617" s="4" t="s">
        <v>28003</v>
      </c>
      <c r="BN1617" s="4" t="n">
        <v>15195239</v>
      </c>
      <c r="BO1617" s="4" t="s">
        <v>656</v>
      </c>
      <c r="BP1617" s="4"/>
      <c r="BQ1617" s="4"/>
      <c r="BR1617" s="4" t="s">
        <v>104</v>
      </c>
      <c r="BS1617" s="4" t="s">
        <v>28004</v>
      </c>
      <c r="BT1617" s="4" t="str">
        <f aca="false">HYPERLINK("https%3A%2F%2Fwww.webofscience.com%2Fwos%2Fwoscc%2Ffull-record%2FWOS:000222002700003","View Full Record in Web of Science")</f>
        <v>View Full Record in Web of Science</v>
      </c>
    </row>
    <row r="1618" s="5" customFormat="true" ht="12.75" hidden="false" customHeight="false" outlineLevel="0" collapsed="false">
      <c r="A1618" s="4" t="s">
        <v>72</v>
      </c>
      <c r="B1618" s="4" t="s">
        <v>28005</v>
      </c>
      <c r="C1618" s="4"/>
      <c r="D1618" s="4"/>
      <c r="E1618" s="4"/>
      <c r="F1618" s="4" t="s">
        <v>28005</v>
      </c>
      <c r="G1618" s="4"/>
      <c r="H1618" s="4"/>
      <c r="I1618" s="4" t="s">
        <v>28006</v>
      </c>
      <c r="J1618" s="4" t="s">
        <v>28007</v>
      </c>
      <c r="K1618" s="4"/>
      <c r="L1618" s="4"/>
      <c r="M1618" s="4" t="s">
        <v>77</v>
      </c>
      <c r="N1618" s="4" t="s">
        <v>78</v>
      </c>
      <c r="O1618" s="4"/>
      <c r="P1618" s="4"/>
      <c r="Q1618" s="4"/>
      <c r="R1618" s="4"/>
      <c r="S1618" s="4"/>
      <c r="T1618" s="1" t="s">
        <v>28008</v>
      </c>
      <c r="U1618" s="4" t="s">
        <v>28009</v>
      </c>
      <c r="V1618" s="4" t="s">
        <v>28010</v>
      </c>
      <c r="W1618" s="4" t="s">
        <v>28011</v>
      </c>
      <c r="X1618" s="4" t="s">
        <v>13851</v>
      </c>
      <c r="Y1618" s="4" t="s">
        <v>28012</v>
      </c>
      <c r="Z1618" s="4" t="s">
        <v>28013</v>
      </c>
      <c r="AA1618" s="4" t="s">
        <v>13854</v>
      </c>
      <c r="AB1618" s="4" t="s">
        <v>13855</v>
      </c>
      <c r="AC1618" s="4"/>
      <c r="AD1618" s="4"/>
      <c r="AE1618" s="4"/>
      <c r="AF1618" s="4"/>
      <c r="AG1618" s="4" t="n">
        <v>25</v>
      </c>
      <c r="AH1618" s="4" t="n">
        <v>14</v>
      </c>
      <c r="AI1618" s="4" t="n">
        <v>22</v>
      </c>
      <c r="AJ1618" s="4" t="n">
        <v>0</v>
      </c>
      <c r="AK1618" s="4" t="n">
        <v>2</v>
      </c>
      <c r="AL1618" s="4" t="s">
        <v>5523</v>
      </c>
      <c r="AM1618" s="4" t="s">
        <v>5524</v>
      </c>
      <c r="AN1618" s="4" t="s">
        <v>5525</v>
      </c>
      <c r="AO1618" s="4" t="s">
        <v>28014</v>
      </c>
      <c r="AP1618" s="4" t="s">
        <v>28015</v>
      </c>
      <c r="AQ1618" s="4"/>
      <c r="AR1618" s="4" t="s">
        <v>28007</v>
      </c>
      <c r="AS1618" s="4" t="s">
        <v>28016</v>
      </c>
      <c r="AT1618" s="4" t="s">
        <v>185</v>
      </c>
      <c r="AU1618" s="4" t="n">
        <v>2005</v>
      </c>
      <c r="AV1618" s="4" t="n">
        <v>24</v>
      </c>
      <c r="AW1618" s="4" t="n">
        <v>4</v>
      </c>
      <c r="AX1618" s="4"/>
      <c r="AY1618" s="4"/>
      <c r="AZ1618" s="4"/>
      <c r="BA1618" s="4"/>
      <c r="BB1618" s="4" t="n">
        <v>201</v>
      </c>
      <c r="BC1618" s="4" t="n">
        <v>205</v>
      </c>
      <c r="BD1618" s="4"/>
      <c r="BE1618" s="4" t="s">
        <v>28017</v>
      </c>
      <c r="BF1618" s="4" t="str">
        <f aca="false">HYPERLINK("http://dx.doi.org/10.1089/hyb.2005.24.201","http://dx.doi.org/10.1089/hyb.2005.24.201")</f>
        <v>http://dx.doi.org/10.1089/hyb.2005.24.201</v>
      </c>
      <c r="BG1618" s="4"/>
      <c r="BH1618" s="4"/>
      <c r="BI1618" s="4" t="n">
        <v>5</v>
      </c>
      <c r="BJ1618" s="4" t="s">
        <v>28018</v>
      </c>
      <c r="BK1618" s="4" t="s">
        <v>100</v>
      </c>
      <c r="BL1618" s="4" t="s">
        <v>28019</v>
      </c>
      <c r="BM1618" s="4" t="s">
        <v>28020</v>
      </c>
      <c r="BN1618" s="4" t="n">
        <v>16120026</v>
      </c>
      <c r="BO1618" s="4"/>
      <c r="BP1618" s="4"/>
      <c r="BQ1618" s="4"/>
      <c r="BR1618" s="4" t="s">
        <v>104</v>
      </c>
      <c r="BS1618" s="4" t="s">
        <v>28021</v>
      </c>
      <c r="BT1618" s="4" t="str">
        <f aca="false">HYPERLINK("https%3A%2F%2Fwww.webofscience.com%2Fwos%2Fwoscc%2Ffull-record%2FWOS:000231507900005","View Full Record in Web of Science")</f>
        <v>View Full Record in Web of Science</v>
      </c>
    </row>
    <row r="1619" s="5" customFormat="true" ht="12.75" hidden="false" customHeight="false" outlineLevel="0" collapsed="false">
      <c r="A1619" s="4" t="s">
        <v>72</v>
      </c>
      <c r="B1619" s="4" t="s">
        <v>28022</v>
      </c>
      <c r="C1619" s="4"/>
      <c r="D1619" s="4"/>
      <c r="E1619" s="4"/>
      <c r="F1619" s="4" t="s">
        <v>28022</v>
      </c>
      <c r="G1619" s="4"/>
      <c r="H1619" s="4"/>
      <c r="I1619" s="4" t="s">
        <v>28023</v>
      </c>
      <c r="J1619" s="4" t="s">
        <v>742</v>
      </c>
      <c r="K1619" s="4"/>
      <c r="L1619" s="4"/>
      <c r="M1619" s="4" t="s">
        <v>77</v>
      </c>
      <c r="N1619" s="4" t="s">
        <v>78</v>
      </c>
      <c r="O1619" s="4"/>
      <c r="P1619" s="4"/>
      <c r="Q1619" s="4"/>
      <c r="R1619" s="4"/>
      <c r="S1619" s="4"/>
      <c r="T1619" s="1" t="s">
        <v>28024</v>
      </c>
      <c r="U1619" s="4" t="s">
        <v>28025</v>
      </c>
      <c r="V1619" s="4" t="s">
        <v>28026</v>
      </c>
      <c r="W1619" s="4" t="s">
        <v>28027</v>
      </c>
      <c r="X1619" s="4" t="s">
        <v>2614</v>
      </c>
      <c r="Y1619" s="4" t="s">
        <v>19441</v>
      </c>
      <c r="Z1619" s="4" t="s">
        <v>19442</v>
      </c>
      <c r="AA1619" s="4" t="s">
        <v>2617</v>
      </c>
      <c r="AB1619" s="4" t="s">
        <v>21117</v>
      </c>
      <c r="AC1619" s="4" t="s">
        <v>28028</v>
      </c>
      <c r="AD1619" s="4" t="s">
        <v>19446</v>
      </c>
      <c r="AE1619" s="4"/>
      <c r="AF1619" s="4"/>
      <c r="AG1619" s="4" t="n">
        <v>32</v>
      </c>
      <c r="AH1619" s="4" t="n">
        <v>82</v>
      </c>
      <c r="AI1619" s="4" t="n">
        <v>91</v>
      </c>
      <c r="AJ1619" s="4" t="n">
        <v>0</v>
      </c>
      <c r="AK1619" s="4" t="n">
        <v>2</v>
      </c>
      <c r="AL1619" s="4" t="s">
        <v>755</v>
      </c>
      <c r="AM1619" s="4" t="s">
        <v>273</v>
      </c>
      <c r="AN1619" s="4" t="s">
        <v>756</v>
      </c>
      <c r="AO1619" s="4" t="s">
        <v>757</v>
      </c>
      <c r="AP1619" s="4" t="s">
        <v>758</v>
      </c>
      <c r="AQ1619" s="4"/>
      <c r="AR1619" s="4" t="s">
        <v>759</v>
      </c>
      <c r="AS1619" s="4" t="s">
        <v>760</v>
      </c>
      <c r="AT1619" s="4" t="s">
        <v>446</v>
      </c>
      <c r="AU1619" s="4" t="n">
        <v>2005</v>
      </c>
      <c r="AV1619" s="4" t="n">
        <v>79</v>
      </c>
      <c r="AW1619" s="4" t="n">
        <v>23</v>
      </c>
      <c r="AX1619" s="4"/>
      <c r="AY1619" s="4"/>
      <c r="AZ1619" s="4"/>
      <c r="BA1619" s="4"/>
      <c r="BB1619" s="4" t="n">
        <v>14992</v>
      </c>
      <c r="BC1619" s="4" t="n">
        <v>14997</v>
      </c>
      <c r="BD1619" s="4"/>
      <c r="BE1619" s="4" t="s">
        <v>28029</v>
      </c>
      <c r="BF1619" s="4" t="str">
        <f aca="false">HYPERLINK("http://dx.doi.org/10.1128/JVI.79.23.14992-14997.2005","http://dx.doi.org/10.1128/JVI.79.23.14992-14997.2005")</f>
        <v>http://dx.doi.org/10.1128/JVI.79.23.14992-14997.2005</v>
      </c>
      <c r="BG1619" s="4"/>
      <c r="BH1619" s="4"/>
      <c r="BI1619" s="4" t="n">
        <v>6</v>
      </c>
      <c r="BJ1619" s="4" t="s">
        <v>163</v>
      </c>
      <c r="BK1619" s="4" t="s">
        <v>100</v>
      </c>
      <c r="BL1619" s="4" t="s">
        <v>163</v>
      </c>
      <c r="BM1619" s="4" t="s">
        <v>28030</v>
      </c>
      <c r="BN1619" s="4" t="n">
        <v>16282501</v>
      </c>
      <c r="BO1619" s="4" t="s">
        <v>165</v>
      </c>
      <c r="BP1619" s="4"/>
      <c r="BQ1619" s="4"/>
      <c r="BR1619" s="4" t="s">
        <v>104</v>
      </c>
      <c r="BS1619" s="4" t="s">
        <v>28031</v>
      </c>
      <c r="BT1619" s="4" t="str">
        <f aca="false">HYPERLINK("https%3A%2F%2Fwww.webofscience.com%2Fwos%2Fwoscc%2Ffull-record%2FWOS:000233279300056","View Full Record in Web of Science")</f>
        <v>View Full Record in Web of Science</v>
      </c>
    </row>
    <row r="1620" s="5" customFormat="true" ht="12.75" hidden="false" customHeight="false" outlineLevel="0" collapsed="false">
      <c r="A1620" s="4" t="s">
        <v>72</v>
      </c>
      <c r="B1620" s="4" t="s">
        <v>28032</v>
      </c>
      <c r="C1620" s="4"/>
      <c r="D1620" s="4"/>
      <c r="E1620" s="4"/>
      <c r="F1620" s="4" t="s">
        <v>28033</v>
      </c>
      <c r="G1620" s="4"/>
      <c r="H1620" s="4"/>
      <c r="I1620" s="4" t="s">
        <v>28034</v>
      </c>
      <c r="J1620" s="4" t="s">
        <v>7145</v>
      </c>
      <c r="K1620" s="4"/>
      <c r="L1620" s="4"/>
      <c r="M1620" s="4" t="s">
        <v>77</v>
      </c>
      <c r="N1620" s="4" t="s">
        <v>78</v>
      </c>
      <c r="O1620" s="4"/>
      <c r="P1620" s="4"/>
      <c r="Q1620" s="4"/>
      <c r="R1620" s="4"/>
      <c r="S1620" s="4"/>
      <c r="T1620" s="1" t="s">
        <v>28035</v>
      </c>
      <c r="U1620" s="4" t="s">
        <v>28036</v>
      </c>
      <c r="V1620" s="4" t="s">
        <v>28037</v>
      </c>
      <c r="W1620" s="4" t="s">
        <v>28038</v>
      </c>
      <c r="X1620" s="4" t="s">
        <v>8071</v>
      </c>
      <c r="Y1620" s="4" t="s">
        <v>28039</v>
      </c>
      <c r="Z1620" s="4" t="s">
        <v>12585</v>
      </c>
      <c r="AA1620" s="4" t="s">
        <v>28040</v>
      </c>
      <c r="AB1620" s="4" t="s">
        <v>28041</v>
      </c>
      <c r="AC1620" s="4"/>
      <c r="AD1620" s="4"/>
      <c r="AE1620" s="4"/>
      <c r="AF1620" s="4"/>
      <c r="AG1620" s="4" t="n">
        <v>31</v>
      </c>
      <c r="AH1620" s="4" t="n">
        <v>37</v>
      </c>
      <c r="AI1620" s="4" t="n">
        <v>39</v>
      </c>
      <c r="AJ1620" s="4" t="n">
        <v>0</v>
      </c>
      <c r="AK1620" s="4" t="n">
        <v>4</v>
      </c>
      <c r="AL1620" s="4" t="s">
        <v>3426</v>
      </c>
      <c r="AM1620" s="4" t="s">
        <v>303</v>
      </c>
      <c r="AN1620" s="4" t="s">
        <v>3427</v>
      </c>
      <c r="AO1620" s="4" t="s">
        <v>7158</v>
      </c>
      <c r="AP1620" s="4" t="s">
        <v>7159</v>
      </c>
      <c r="AQ1620" s="4"/>
      <c r="AR1620" s="4" t="s">
        <v>7160</v>
      </c>
      <c r="AS1620" s="4" t="s">
        <v>7161</v>
      </c>
      <c r="AT1620" s="4" t="s">
        <v>692</v>
      </c>
      <c r="AU1620" s="4" t="n">
        <v>2007</v>
      </c>
      <c r="AV1620" s="4" t="n">
        <v>88</v>
      </c>
      <c r="AW1620" s="4"/>
      <c r="AX1620" s="4" t="n">
        <v>4</v>
      </c>
      <c r="AY1620" s="4"/>
      <c r="AZ1620" s="4"/>
      <c r="BA1620" s="4"/>
      <c r="BB1620" s="4" t="n">
        <v>1251</v>
      </c>
      <c r="BC1620" s="4" t="n">
        <v>1259</v>
      </c>
      <c r="BD1620" s="4"/>
      <c r="BE1620" s="4" t="s">
        <v>28042</v>
      </c>
      <c r="BF1620" s="4" t="str">
        <f aca="false">HYPERLINK("http://dx.doi.org/10.1099/vir.0.82663-0","http://dx.doi.org/10.1099/vir.0.82663-0")</f>
        <v>http://dx.doi.org/10.1099/vir.0.82663-0</v>
      </c>
      <c r="BG1620" s="4"/>
      <c r="BH1620" s="4"/>
      <c r="BI1620" s="4" t="n">
        <v>9</v>
      </c>
      <c r="BJ1620" s="4" t="s">
        <v>7163</v>
      </c>
      <c r="BK1620" s="4" t="s">
        <v>100</v>
      </c>
      <c r="BL1620" s="4" t="s">
        <v>7163</v>
      </c>
      <c r="BM1620" s="4" t="s">
        <v>28043</v>
      </c>
      <c r="BN1620" s="4" t="n">
        <v>17374769</v>
      </c>
      <c r="BO1620" s="4" t="s">
        <v>656</v>
      </c>
      <c r="BP1620" s="4"/>
      <c r="BQ1620" s="4"/>
      <c r="BR1620" s="4" t="s">
        <v>104</v>
      </c>
      <c r="BS1620" s="4" t="s">
        <v>28044</v>
      </c>
      <c r="BT1620" s="4" t="str">
        <f aca="false">HYPERLINK("https%3A%2F%2Fwww.webofscience.com%2Fwos%2Fwoscc%2Ffull-record%2FWOS:000245493500020","View Full Record in Web of Science")</f>
        <v>View Full Record in Web of Science</v>
      </c>
    </row>
    <row r="1621" s="5" customFormat="true" ht="12.75" hidden="false" customHeight="false" outlineLevel="0" collapsed="false">
      <c r="A1621" s="4" t="s">
        <v>72</v>
      </c>
      <c r="B1621" s="4" t="s">
        <v>28045</v>
      </c>
      <c r="C1621" s="4"/>
      <c r="D1621" s="4"/>
      <c r="E1621" s="4"/>
      <c r="F1621" s="4" t="s">
        <v>28046</v>
      </c>
      <c r="G1621" s="4"/>
      <c r="H1621" s="4"/>
      <c r="I1621" s="4" t="s">
        <v>28047</v>
      </c>
      <c r="J1621" s="4" t="s">
        <v>10086</v>
      </c>
      <c r="K1621" s="4"/>
      <c r="L1621" s="4"/>
      <c r="M1621" s="4" t="s">
        <v>77</v>
      </c>
      <c r="N1621" s="4" t="s">
        <v>78</v>
      </c>
      <c r="O1621" s="4"/>
      <c r="P1621" s="4"/>
      <c r="Q1621" s="4"/>
      <c r="R1621" s="4"/>
      <c r="S1621" s="4"/>
      <c r="T1621" s="1" t="s">
        <v>28048</v>
      </c>
      <c r="U1621" s="4" t="s">
        <v>28049</v>
      </c>
      <c r="V1621" s="4" t="s">
        <v>28050</v>
      </c>
      <c r="W1621" s="4" t="s">
        <v>28051</v>
      </c>
      <c r="X1621" s="4" t="s">
        <v>28052</v>
      </c>
      <c r="Y1621" s="4" t="s">
        <v>28053</v>
      </c>
      <c r="Z1621" s="4" t="s">
        <v>16569</v>
      </c>
      <c r="AA1621" s="4" t="s">
        <v>28054</v>
      </c>
      <c r="AB1621" s="4" t="s">
        <v>28055</v>
      </c>
      <c r="AC1621" s="4"/>
      <c r="AD1621" s="4"/>
      <c r="AE1621" s="4"/>
      <c r="AF1621" s="4"/>
      <c r="AG1621" s="4" t="n">
        <v>18</v>
      </c>
      <c r="AH1621" s="4" t="n">
        <v>14</v>
      </c>
      <c r="AI1621" s="4" t="n">
        <v>15</v>
      </c>
      <c r="AJ1621" s="4" t="n">
        <v>0</v>
      </c>
      <c r="AK1621" s="4" t="n">
        <v>2</v>
      </c>
      <c r="AL1621" s="4" t="s">
        <v>122</v>
      </c>
      <c r="AM1621" s="4" t="s">
        <v>123</v>
      </c>
      <c r="AN1621" s="4" t="s">
        <v>124</v>
      </c>
      <c r="AO1621" s="4" t="s">
        <v>10096</v>
      </c>
      <c r="AP1621" s="4" t="s">
        <v>10097</v>
      </c>
      <c r="AQ1621" s="4"/>
      <c r="AR1621" s="4" t="s">
        <v>10086</v>
      </c>
      <c r="AS1621" s="4" t="s">
        <v>10098</v>
      </c>
      <c r="AT1621" s="4" t="s">
        <v>692</v>
      </c>
      <c r="AU1621" s="4" t="n">
        <v>2018</v>
      </c>
      <c r="AV1621" s="4" t="n">
        <v>102</v>
      </c>
      <c r="AW1621" s="4" t="n">
        <v>4</v>
      </c>
      <c r="AX1621" s="4"/>
      <c r="AY1621" s="4"/>
      <c r="AZ1621" s="4"/>
      <c r="BA1621" s="4"/>
      <c r="BB1621" s="4" t="n">
        <v>699</v>
      </c>
      <c r="BC1621" s="4" t="n">
        <v>706</v>
      </c>
      <c r="BD1621" s="4"/>
      <c r="BE1621" s="4" t="s">
        <v>28056</v>
      </c>
      <c r="BF1621" s="4" t="str">
        <f aca="false">HYPERLINK("http://dx.doi.org/10.1097/TP.0000000000001965","http://dx.doi.org/10.1097/TP.0000000000001965")</f>
        <v>http://dx.doi.org/10.1097/TP.0000000000001965</v>
      </c>
      <c r="BG1621" s="4"/>
      <c r="BH1621" s="4"/>
      <c r="BI1621" s="4" t="n">
        <v>8</v>
      </c>
      <c r="BJ1621" s="4" t="s">
        <v>10100</v>
      </c>
      <c r="BK1621" s="4" t="s">
        <v>100</v>
      </c>
      <c r="BL1621" s="4" t="s">
        <v>10100</v>
      </c>
      <c r="BM1621" s="4" t="s">
        <v>28057</v>
      </c>
      <c r="BN1621" s="4" t="n">
        <v>28957844</v>
      </c>
      <c r="BO1621" s="4"/>
      <c r="BP1621" s="4"/>
      <c r="BQ1621" s="4"/>
      <c r="BR1621" s="4" t="s">
        <v>104</v>
      </c>
      <c r="BS1621" s="4" t="s">
        <v>28058</v>
      </c>
      <c r="BT1621" s="4" t="str">
        <f aca="false">HYPERLINK("https%3A%2F%2Fwww.webofscience.com%2Fwos%2Fwoscc%2Ffull-record%2FWOS:000428942200040","View Full Record in Web of Science")</f>
        <v>View Full Record in Web of Science</v>
      </c>
    </row>
    <row r="1622" s="5" customFormat="true" ht="12.75" hidden="false" customHeight="false" outlineLevel="0" collapsed="false">
      <c r="A1622" s="4" t="s">
        <v>72</v>
      </c>
      <c r="B1622" s="4" t="s">
        <v>28059</v>
      </c>
      <c r="C1622" s="4"/>
      <c r="D1622" s="4"/>
      <c r="E1622" s="4"/>
      <c r="F1622" s="4" t="s">
        <v>28060</v>
      </c>
      <c r="G1622" s="4"/>
      <c r="H1622" s="4"/>
      <c r="I1622" s="4" t="s">
        <v>28061</v>
      </c>
      <c r="J1622" s="4" t="s">
        <v>27497</v>
      </c>
      <c r="K1622" s="4"/>
      <c r="L1622" s="4"/>
      <c r="M1622" s="4" t="s">
        <v>77</v>
      </c>
      <c r="N1622" s="4" t="s">
        <v>78</v>
      </c>
      <c r="O1622" s="4"/>
      <c r="P1622" s="4"/>
      <c r="Q1622" s="4"/>
      <c r="R1622" s="4"/>
      <c r="S1622" s="4"/>
      <c r="T1622" s="1" t="s">
        <v>28062</v>
      </c>
      <c r="U1622" s="4" t="s">
        <v>28063</v>
      </c>
      <c r="V1622" s="4" t="s">
        <v>28064</v>
      </c>
      <c r="W1622" s="4" t="s">
        <v>28065</v>
      </c>
      <c r="X1622" s="4" t="s">
        <v>28066</v>
      </c>
      <c r="Y1622" s="4" t="s">
        <v>28067</v>
      </c>
      <c r="Z1622" s="4" t="s">
        <v>28068</v>
      </c>
      <c r="AA1622" s="4" t="s">
        <v>28069</v>
      </c>
      <c r="AB1622" s="4" t="s">
        <v>13535</v>
      </c>
      <c r="AC1622" s="4" t="s">
        <v>12902</v>
      </c>
      <c r="AD1622" s="4" t="s">
        <v>12903</v>
      </c>
      <c r="AE1622" s="4" t="s">
        <v>28070</v>
      </c>
      <c r="AF1622" s="4"/>
      <c r="AG1622" s="4" t="n">
        <v>47</v>
      </c>
      <c r="AH1622" s="4" t="n">
        <v>28</v>
      </c>
      <c r="AI1622" s="4" t="n">
        <v>34</v>
      </c>
      <c r="AJ1622" s="4" t="n">
        <v>1</v>
      </c>
      <c r="AK1622" s="4" t="n">
        <v>8</v>
      </c>
      <c r="AL1622" s="4" t="s">
        <v>27506</v>
      </c>
      <c r="AM1622" s="4" t="s">
        <v>27507</v>
      </c>
      <c r="AN1622" s="4" t="s">
        <v>27508</v>
      </c>
      <c r="AO1622" s="4" t="s">
        <v>27509</v>
      </c>
      <c r="AP1622" s="4"/>
      <c r="AQ1622" s="4"/>
      <c r="AR1622" s="4" t="s">
        <v>27497</v>
      </c>
      <c r="AS1622" s="4" t="s">
        <v>27510</v>
      </c>
      <c r="AT1622" s="4" t="s">
        <v>28071</v>
      </c>
      <c r="AU1622" s="4" t="n">
        <v>2013</v>
      </c>
      <c r="AV1622" s="4" t="n">
        <v>8</v>
      </c>
      <c r="AW1622" s="4" t="n">
        <v>9</v>
      </c>
      <c r="AX1622" s="4"/>
      <c r="AY1622" s="4"/>
      <c r="AZ1622" s="4"/>
      <c r="BA1622" s="4"/>
      <c r="BB1622" s="4"/>
      <c r="BC1622" s="4"/>
      <c r="BD1622" s="4" t="s">
        <v>28072</v>
      </c>
      <c r="BE1622" s="4" t="s">
        <v>28073</v>
      </c>
      <c r="BF1622" s="4" t="str">
        <f aca="false">HYPERLINK("http://dx.doi.org/10.1371/journal.pone.0073488","http://dx.doi.org/10.1371/journal.pone.0073488")</f>
        <v>http://dx.doi.org/10.1371/journal.pone.0073488</v>
      </c>
      <c r="BG1622" s="4"/>
      <c r="BH1622" s="4"/>
      <c r="BI1622" s="4" t="n">
        <v>10</v>
      </c>
      <c r="BJ1622" s="4" t="s">
        <v>1658</v>
      </c>
      <c r="BK1622" s="4" t="s">
        <v>100</v>
      </c>
      <c r="BL1622" s="4" t="s">
        <v>1659</v>
      </c>
      <c r="BM1622" s="4" t="s">
        <v>28074</v>
      </c>
      <c r="BN1622" s="4" t="n">
        <v>24039959</v>
      </c>
      <c r="BO1622" s="4" t="s">
        <v>103</v>
      </c>
      <c r="BP1622" s="4"/>
      <c r="BQ1622" s="4"/>
      <c r="BR1622" s="4" t="s">
        <v>104</v>
      </c>
      <c r="BS1622" s="4" t="s">
        <v>28075</v>
      </c>
      <c r="BT1622" s="4" t="str">
        <f aca="false">HYPERLINK("https%3A%2F%2Fwww.webofscience.com%2Fwos%2Fwoscc%2Ffull-record%2FWOS:000326405300080","View Full Record in Web of Science")</f>
        <v>View Full Record in Web of Science</v>
      </c>
    </row>
    <row r="1623" s="5" customFormat="true" ht="12.75" hidden="false" customHeight="false" outlineLevel="0" collapsed="false">
      <c r="A1623" s="4" t="s">
        <v>72</v>
      </c>
      <c r="B1623" s="4" t="s">
        <v>28076</v>
      </c>
      <c r="C1623" s="4"/>
      <c r="D1623" s="4"/>
      <c r="E1623" s="4"/>
      <c r="F1623" s="4" t="s">
        <v>28077</v>
      </c>
      <c r="G1623" s="4"/>
      <c r="H1623" s="4"/>
      <c r="I1623" s="4" t="s">
        <v>28078</v>
      </c>
      <c r="J1623" s="4" t="s">
        <v>2021</v>
      </c>
      <c r="K1623" s="4"/>
      <c r="L1623" s="4"/>
      <c r="M1623" s="4" t="s">
        <v>77</v>
      </c>
      <c r="N1623" s="4" t="s">
        <v>78</v>
      </c>
      <c r="O1623" s="4"/>
      <c r="P1623" s="4"/>
      <c r="Q1623" s="4"/>
      <c r="R1623" s="4"/>
      <c r="S1623" s="4"/>
      <c r="T1623" s="1" t="s">
        <v>28079</v>
      </c>
      <c r="U1623" s="4" t="s">
        <v>28080</v>
      </c>
      <c r="V1623" s="4" t="s">
        <v>28081</v>
      </c>
      <c r="W1623" s="4" t="s">
        <v>28082</v>
      </c>
      <c r="X1623" s="4" t="s">
        <v>28083</v>
      </c>
      <c r="Y1623" s="4" t="s">
        <v>28084</v>
      </c>
      <c r="Z1623" s="4" t="s">
        <v>12355</v>
      </c>
      <c r="AA1623" s="4"/>
      <c r="AB1623" s="4" t="s">
        <v>2414</v>
      </c>
      <c r="AC1623" s="4"/>
      <c r="AD1623" s="4"/>
      <c r="AE1623" s="4"/>
      <c r="AF1623" s="4"/>
      <c r="AG1623" s="4" t="n">
        <v>27</v>
      </c>
      <c r="AH1623" s="4" t="n">
        <v>150</v>
      </c>
      <c r="AI1623" s="4" t="n">
        <v>159</v>
      </c>
      <c r="AJ1623" s="4" t="n">
        <v>0</v>
      </c>
      <c r="AK1623" s="4" t="n">
        <v>5</v>
      </c>
      <c r="AL1623" s="4" t="s">
        <v>527</v>
      </c>
      <c r="AM1623" s="4" t="s">
        <v>528</v>
      </c>
      <c r="AN1623" s="4" t="s">
        <v>529</v>
      </c>
      <c r="AO1623" s="4" t="s">
        <v>2033</v>
      </c>
      <c r="AP1623" s="4" t="s">
        <v>2034</v>
      </c>
      <c r="AQ1623" s="4"/>
      <c r="AR1623" s="4" t="s">
        <v>2035</v>
      </c>
      <c r="AS1623" s="4" t="s">
        <v>2036</v>
      </c>
      <c r="AT1623" s="4" t="s">
        <v>2640</v>
      </c>
      <c r="AU1623" s="4" t="n">
        <v>2007</v>
      </c>
      <c r="AV1623" s="4" t="n">
        <v>44</v>
      </c>
      <c r="AW1623" s="4" t="n">
        <v>9</v>
      </c>
      <c r="AX1623" s="4"/>
      <c r="AY1623" s="4"/>
      <c r="AZ1623" s="4"/>
      <c r="BA1623" s="4"/>
      <c r="BB1623" s="4" t="n">
        <v>1152</v>
      </c>
      <c r="BC1623" s="4" t="n">
        <v>1158</v>
      </c>
      <c r="BD1623" s="4"/>
      <c r="BE1623" s="4" t="s">
        <v>28085</v>
      </c>
      <c r="BF1623" s="4" t="str">
        <f aca="false">HYPERLINK("http://dx.doi.org/10.1086/513204","http://dx.doi.org/10.1086/513204")</f>
        <v>http://dx.doi.org/10.1086/513204</v>
      </c>
      <c r="BG1623" s="4"/>
      <c r="BH1623" s="4"/>
      <c r="BI1623" s="4" t="n">
        <v>7</v>
      </c>
      <c r="BJ1623" s="4" t="s">
        <v>536</v>
      </c>
      <c r="BK1623" s="4" t="s">
        <v>100</v>
      </c>
      <c r="BL1623" s="4" t="s">
        <v>536</v>
      </c>
      <c r="BM1623" s="4" t="s">
        <v>28086</v>
      </c>
      <c r="BN1623" s="4" t="n">
        <v>17407031</v>
      </c>
      <c r="BO1623" s="4" t="s">
        <v>656</v>
      </c>
      <c r="BP1623" s="4"/>
      <c r="BQ1623" s="4"/>
      <c r="BR1623" s="4" t="s">
        <v>104</v>
      </c>
      <c r="BS1623" s="4" t="s">
        <v>28087</v>
      </c>
      <c r="BT1623" s="4" t="str">
        <f aca="false">HYPERLINK("https%3A%2F%2Fwww.webofscience.com%2Fwos%2Fwoscc%2Ffull-record%2FWOS:000245405400003","View Full Record in Web of Science")</f>
        <v>View Full Record in Web of Science</v>
      </c>
    </row>
    <row r="1624" s="5" customFormat="true" ht="12.75" hidden="false" customHeight="false" outlineLevel="0" collapsed="false">
      <c r="A1624" s="4" t="s">
        <v>72</v>
      </c>
      <c r="B1624" s="4" t="s">
        <v>28088</v>
      </c>
      <c r="C1624" s="4"/>
      <c r="D1624" s="4"/>
      <c r="E1624" s="4"/>
      <c r="F1624" s="4" t="s">
        <v>28089</v>
      </c>
      <c r="G1624" s="4"/>
      <c r="H1624" s="4"/>
      <c r="I1624" s="4" t="s">
        <v>28090</v>
      </c>
      <c r="J1624" s="4" t="s">
        <v>28091</v>
      </c>
      <c r="K1624" s="4"/>
      <c r="L1624" s="4"/>
      <c r="M1624" s="4" t="s">
        <v>77</v>
      </c>
      <c r="N1624" s="4" t="s">
        <v>78</v>
      </c>
      <c r="O1624" s="4"/>
      <c r="P1624" s="4"/>
      <c r="Q1624" s="4"/>
      <c r="R1624" s="4"/>
      <c r="S1624" s="4"/>
      <c r="T1624" s="0"/>
      <c r="U1624" s="4" t="s">
        <v>12549</v>
      </c>
      <c r="V1624" s="4" t="s">
        <v>28092</v>
      </c>
      <c r="W1624" s="4" t="s">
        <v>28093</v>
      </c>
      <c r="X1624" s="4" t="s">
        <v>28094</v>
      </c>
      <c r="Y1624" s="4" t="s">
        <v>28095</v>
      </c>
      <c r="Z1624" s="4" t="s">
        <v>14494</v>
      </c>
      <c r="AA1624" s="4" t="s">
        <v>12391</v>
      </c>
      <c r="AB1624" s="4"/>
      <c r="AC1624" s="4"/>
      <c r="AD1624" s="4"/>
      <c r="AE1624" s="4"/>
      <c r="AF1624" s="4"/>
      <c r="AG1624" s="4" t="n">
        <v>10</v>
      </c>
      <c r="AH1624" s="4" t="n">
        <v>11</v>
      </c>
      <c r="AI1624" s="4" t="n">
        <v>12</v>
      </c>
      <c r="AJ1624" s="4" t="n">
        <v>0</v>
      </c>
      <c r="AK1624" s="4" t="n">
        <v>0</v>
      </c>
      <c r="AL1624" s="4" t="s">
        <v>28096</v>
      </c>
      <c r="AM1624" s="4" t="s">
        <v>28097</v>
      </c>
      <c r="AN1624" s="4" t="s">
        <v>28098</v>
      </c>
      <c r="AO1624" s="4" t="s">
        <v>28099</v>
      </c>
      <c r="AP1624" s="4" t="s">
        <v>28100</v>
      </c>
      <c r="AQ1624" s="4"/>
      <c r="AR1624" s="4" t="s">
        <v>28101</v>
      </c>
      <c r="AS1624" s="4" t="s">
        <v>28102</v>
      </c>
      <c r="AT1624" s="4" t="s">
        <v>446</v>
      </c>
      <c r="AU1624" s="4" t="n">
        <v>2006</v>
      </c>
      <c r="AV1624" s="4" t="n">
        <v>47</v>
      </c>
      <c r="AW1624" s="4" t="n">
        <v>6</v>
      </c>
      <c r="AX1624" s="4"/>
      <c r="AY1624" s="4"/>
      <c r="AZ1624" s="4"/>
      <c r="BA1624" s="4"/>
      <c r="BB1624" s="4" t="n">
        <v>878</v>
      </c>
      <c r="BC1624" s="4" t="n">
        <v>881</v>
      </c>
      <c r="BD1624" s="4"/>
      <c r="BE1624" s="4"/>
      <c r="BF1624" s="4"/>
      <c r="BG1624" s="4"/>
      <c r="BH1624" s="4"/>
      <c r="BI1624" s="4" t="n">
        <v>4</v>
      </c>
      <c r="BJ1624" s="4" t="s">
        <v>363</v>
      </c>
      <c r="BK1624" s="4" t="s">
        <v>100</v>
      </c>
      <c r="BL1624" s="4" t="s">
        <v>364</v>
      </c>
      <c r="BM1624" s="4" t="s">
        <v>28103</v>
      </c>
      <c r="BN1624" s="4" t="n">
        <v>17167860</v>
      </c>
      <c r="BO1624" s="4"/>
      <c r="BP1624" s="4"/>
      <c r="BQ1624" s="4"/>
      <c r="BR1624" s="4" t="s">
        <v>104</v>
      </c>
      <c r="BS1624" s="4" t="s">
        <v>28104</v>
      </c>
      <c r="BT1624" s="4" t="str">
        <f aca="false">HYPERLINK("https%3A%2F%2Fwww.webofscience.com%2Fwos%2Fwoscc%2Ffull-record%2FWOS:000243266800011","View Full Record in Web of Science")</f>
        <v>View Full Record in Web of Science</v>
      </c>
    </row>
    <row r="1625" s="5" customFormat="true" ht="12.75" hidden="false" customHeight="false" outlineLevel="0" collapsed="false">
      <c r="A1625" s="4" t="s">
        <v>72</v>
      </c>
      <c r="B1625" s="4" t="s">
        <v>28105</v>
      </c>
      <c r="C1625" s="4"/>
      <c r="D1625" s="4"/>
      <c r="E1625" s="4"/>
      <c r="F1625" s="4" t="s">
        <v>28105</v>
      </c>
      <c r="G1625" s="4"/>
      <c r="H1625" s="4"/>
      <c r="I1625" s="4" t="s">
        <v>28106</v>
      </c>
      <c r="J1625" s="4" t="s">
        <v>514</v>
      </c>
      <c r="K1625" s="4"/>
      <c r="L1625" s="4"/>
      <c r="M1625" s="4" t="s">
        <v>77</v>
      </c>
      <c r="N1625" s="4" t="s">
        <v>78</v>
      </c>
      <c r="O1625" s="4"/>
      <c r="P1625" s="4"/>
      <c r="Q1625" s="4"/>
      <c r="R1625" s="4"/>
      <c r="S1625" s="4"/>
      <c r="T1625" s="1" t="s">
        <v>28107</v>
      </c>
      <c r="U1625" s="4" t="s">
        <v>28108</v>
      </c>
      <c r="V1625" s="4" t="s">
        <v>28109</v>
      </c>
      <c r="W1625" s="4" t="s">
        <v>28110</v>
      </c>
      <c r="X1625" s="4" t="s">
        <v>28111</v>
      </c>
      <c r="Y1625" s="4" t="s">
        <v>28112</v>
      </c>
      <c r="Z1625" s="4" t="s">
        <v>28113</v>
      </c>
      <c r="AA1625" s="4" t="s">
        <v>28114</v>
      </c>
      <c r="AB1625" s="4" t="s">
        <v>15768</v>
      </c>
      <c r="AC1625" s="4"/>
      <c r="AD1625" s="4"/>
      <c r="AE1625" s="4"/>
      <c r="AF1625" s="4"/>
      <c r="AG1625" s="4" t="n">
        <v>32</v>
      </c>
      <c r="AH1625" s="4" t="n">
        <v>65</v>
      </c>
      <c r="AI1625" s="4" t="n">
        <v>72</v>
      </c>
      <c r="AJ1625" s="4" t="n">
        <v>0</v>
      </c>
      <c r="AK1625" s="4" t="n">
        <v>2</v>
      </c>
      <c r="AL1625" s="4" t="s">
        <v>527</v>
      </c>
      <c r="AM1625" s="4" t="s">
        <v>528</v>
      </c>
      <c r="AN1625" s="4" t="s">
        <v>529</v>
      </c>
      <c r="AO1625" s="4" t="s">
        <v>530</v>
      </c>
      <c r="AP1625" s="4" t="s">
        <v>531</v>
      </c>
      <c r="AQ1625" s="4"/>
      <c r="AR1625" s="4" t="s">
        <v>532</v>
      </c>
      <c r="AS1625" s="4" t="s">
        <v>533</v>
      </c>
      <c r="AT1625" s="4" t="s">
        <v>5247</v>
      </c>
      <c r="AU1625" s="4" t="n">
        <v>2005</v>
      </c>
      <c r="AV1625" s="4" t="n">
        <v>192</v>
      </c>
      <c r="AW1625" s="4" t="n">
        <v>6</v>
      </c>
      <c r="AX1625" s="4"/>
      <c r="AY1625" s="4"/>
      <c r="AZ1625" s="4"/>
      <c r="BA1625" s="4"/>
      <c r="BB1625" s="4" t="n">
        <v>1052</v>
      </c>
      <c r="BC1625" s="4" t="n">
        <v>1060</v>
      </c>
      <c r="BD1625" s="4"/>
      <c r="BE1625" s="4" t="s">
        <v>28115</v>
      </c>
      <c r="BF1625" s="4" t="str">
        <f aca="false">HYPERLINK("http://dx.doi.org/10.1086/432728","http://dx.doi.org/10.1086/432728")</f>
        <v>http://dx.doi.org/10.1086/432728</v>
      </c>
      <c r="BG1625" s="4"/>
      <c r="BH1625" s="4"/>
      <c r="BI1625" s="4" t="n">
        <v>9</v>
      </c>
      <c r="BJ1625" s="4" t="s">
        <v>536</v>
      </c>
      <c r="BK1625" s="4" t="s">
        <v>100</v>
      </c>
      <c r="BL1625" s="4" t="s">
        <v>536</v>
      </c>
      <c r="BM1625" s="4" t="s">
        <v>28116</v>
      </c>
      <c r="BN1625" s="4" t="n">
        <v>16107959</v>
      </c>
      <c r="BO1625" s="4" t="s">
        <v>538</v>
      </c>
      <c r="BP1625" s="4"/>
      <c r="BQ1625" s="4"/>
      <c r="BR1625" s="4" t="s">
        <v>104</v>
      </c>
      <c r="BS1625" s="4" t="s">
        <v>28117</v>
      </c>
      <c r="BT1625" s="4" t="str">
        <f aca="false">HYPERLINK("https%3A%2F%2Fwww.webofscience.com%2Fwos%2Fwoscc%2Ffull-record%2FWOS:000231623600016","View Full Record in Web of Science")</f>
        <v>View Full Record in Web of Science</v>
      </c>
    </row>
    <row r="1626" s="5" customFormat="true" ht="12.75" hidden="false" customHeight="false" outlineLevel="0" collapsed="false">
      <c r="A1626" s="4" t="s">
        <v>72</v>
      </c>
      <c r="B1626" s="4" t="s">
        <v>28118</v>
      </c>
      <c r="C1626" s="4"/>
      <c r="D1626" s="4"/>
      <c r="E1626" s="4"/>
      <c r="F1626" s="4" t="s">
        <v>28119</v>
      </c>
      <c r="G1626" s="4"/>
      <c r="H1626" s="4"/>
      <c r="I1626" s="4" t="s">
        <v>28120</v>
      </c>
      <c r="J1626" s="4" t="s">
        <v>27548</v>
      </c>
      <c r="K1626" s="4"/>
      <c r="L1626" s="4"/>
      <c r="M1626" s="4" t="s">
        <v>77</v>
      </c>
      <c r="N1626" s="4" t="s">
        <v>78</v>
      </c>
      <c r="O1626" s="4"/>
      <c r="P1626" s="4"/>
      <c r="Q1626" s="4"/>
      <c r="R1626" s="4"/>
      <c r="S1626" s="4"/>
      <c r="T1626" s="1" t="s">
        <v>28121</v>
      </c>
      <c r="U1626" s="4" t="s">
        <v>28122</v>
      </c>
      <c r="V1626" s="4" t="s">
        <v>28123</v>
      </c>
      <c r="W1626" s="4" t="s">
        <v>28124</v>
      </c>
      <c r="X1626" s="4" t="s">
        <v>25015</v>
      </c>
      <c r="Y1626" s="4" t="s">
        <v>28125</v>
      </c>
      <c r="Z1626" s="4"/>
      <c r="AA1626" s="4"/>
      <c r="AB1626" s="4" t="s">
        <v>28126</v>
      </c>
      <c r="AC1626" s="4"/>
      <c r="AD1626" s="4"/>
      <c r="AE1626" s="4"/>
      <c r="AF1626" s="4"/>
      <c r="AG1626" s="4" t="n">
        <v>31</v>
      </c>
      <c r="AH1626" s="4" t="n">
        <v>66</v>
      </c>
      <c r="AI1626" s="4" t="n">
        <v>74</v>
      </c>
      <c r="AJ1626" s="4" t="n">
        <v>0</v>
      </c>
      <c r="AK1626" s="4" t="n">
        <v>1</v>
      </c>
      <c r="AL1626" s="4" t="s">
        <v>27960</v>
      </c>
      <c r="AM1626" s="4" t="s">
        <v>27561</v>
      </c>
      <c r="AN1626" s="4" t="s">
        <v>27961</v>
      </c>
      <c r="AO1626" s="4" t="s">
        <v>27563</v>
      </c>
      <c r="AP1626" s="4"/>
      <c r="AQ1626" s="4"/>
      <c r="AR1626" s="4" t="s">
        <v>27565</v>
      </c>
      <c r="AS1626" s="4" t="s">
        <v>27566</v>
      </c>
      <c r="AT1626" s="4" t="s">
        <v>161</v>
      </c>
      <c r="AU1626" s="4" t="n">
        <v>2008</v>
      </c>
      <c r="AV1626" s="4" t="n">
        <v>14</v>
      </c>
      <c r="AW1626" s="4" t="n">
        <v>1</v>
      </c>
      <c r="AX1626" s="4"/>
      <c r="AY1626" s="4"/>
      <c r="AZ1626" s="4"/>
      <c r="BA1626" s="4"/>
      <c r="BB1626" s="4" t="n">
        <v>101</v>
      </c>
      <c r="BC1626" s="4" t="n">
        <v>106</v>
      </c>
      <c r="BD1626" s="4"/>
      <c r="BE1626" s="4" t="s">
        <v>28127</v>
      </c>
      <c r="BF1626" s="4" t="str">
        <f aca="false">HYPERLINK("http://dx.doi.org/10.3201/eid1401.070251","http://dx.doi.org/10.3201/eid1401.070251")</f>
        <v>http://dx.doi.org/10.3201/eid1401.070251</v>
      </c>
      <c r="BG1626" s="4"/>
      <c r="BH1626" s="4"/>
      <c r="BI1626" s="4" t="n">
        <v>6</v>
      </c>
      <c r="BJ1626" s="4" t="s">
        <v>965</v>
      </c>
      <c r="BK1626" s="4" t="s">
        <v>100</v>
      </c>
      <c r="BL1626" s="4" t="s">
        <v>965</v>
      </c>
      <c r="BM1626" s="4" t="s">
        <v>28128</v>
      </c>
      <c r="BN1626" s="4" t="n">
        <v>18258088</v>
      </c>
      <c r="BO1626" s="4" t="s">
        <v>190</v>
      </c>
      <c r="BP1626" s="4"/>
      <c r="BQ1626" s="4"/>
      <c r="BR1626" s="4" t="s">
        <v>104</v>
      </c>
      <c r="BS1626" s="4" t="s">
        <v>28129</v>
      </c>
      <c r="BT1626" s="4" t="str">
        <f aca="false">HYPERLINK("https%3A%2F%2Fwww.webofscience.com%2Fwos%2Fwoscc%2Ffull-record%2FWOS:000252142000020","View Full Record in Web of Science")</f>
        <v>View Full Record in Web of Science</v>
      </c>
    </row>
    <row r="1627" s="5" customFormat="true" ht="12.75" hidden="false" customHeight="false" outlineLevel="0" collapsed="false">
      <c r="A1627" s="4" t="s">
        <v>72</v>
      </c>
      <c r="B1627" s="4" t="s">
        <v>28130</v>
      </c>
      <c r="C1627" s="4"/>
      <c r="D1627" s="4"/>
      <c r="E1627" s="4"/>
      <c r="F1627" s="4" t="s">
        <v>28130</v>
      </c>
      <c r="G1627" s="4"/>
      <c r="H1627" s="4"/>
      <c r="I1627" s="4" t="s">
        <v>28131</v>
      </c>
      <c r="J1627" s="4" t="s">
        <v>742</v>
      </c>
      <c r="K1627" s="4"/>
      <c r="L1627" s="4"/>
      <c r="M1627" s="4" t="s">
        <v>77</v>
      </c>
      <c r="N1627" s="4" t="s">
        <v>78</v>
      </c>
      <c r="O1627" s="4"/>
      <c r="P1627" s="4"/>
      <c r="Q1627" s="4"/>
      <c r="R1627" s="4"/>
      <c r="S1627" s="4"/>
      <c r="T1627" s="1" t="s">
        <v>28132</v>
      </c>
      <c r="U1627" s="4" t="s">
        <v>28133</v>
      </c>
      <c r="V1627" s="4" t="s">
        <v>28134</v>
      </c>
      <c r="W1627" s="4" t="s">
        <v>28135</v>
      </c>
      <c r="X1627" s="4" t="s">
        <v>28136</v>
      </c>
      <c r="Y1627" s="4" t="s">
        <v>28137</v>
      </c>
      <c r="Z1627" s="4" t="s">
        <v>13533</v>
      </c>
      <c r="AA1627" s="4" t="s">
        <v>13534</v>
      </c>
      <c r="AB1627" s="4" t="s">
        <v>28138</v>
      </c>
      <c r="AC1627" s="4"/>
      <c r="AD1627" s="4"/>
      <c r="AE1627" s="4"/>
      <c r="AF1627" s="4"/>
      <c r="AG1627" s="4" t="n">
        <v>51</v>
      </c>
      <c r="AH1627" s="4" t="n">
        <v>89</v>
      </c>
      <c r="AI1627" s="4" t="n">
        <v>104</v>
      </c>
      <c r="AJ1627" s="4" t="n">
        <v>0</v>
      </c>
      <c r="AK1627" s="4" t="n">
        <v>2</v>
      </c>
      <c r="AL1627" s="4" t="s">
        <v>755</v>
      </c>
      <c r="AM1627" s="4" t="s">
        <v>273</v>
      </c>
      <c r="AN1627" s="4" t="s">
        <v>756</v>
      </c>
      <c r="AO1627" s="4" t="s">
        <v>757</v>
      </c>
      <c r="AP1627" s="4" t="s">
        <v>758</v>
      </c>
      <c r="AQ1627" s="4"/>
      <c r="AR1627" s="4" t="s">
        <v>759</v>
      </c>
      <c r="AS1627" s="4" t="s">
        <v>760</v>
      </c>
      <c r="AT1627" s="4" t="s">
        <v>446</v>
      </c>
      <c r="AU1627" s="4" t="n">
        <v>2004</v>
      </c>
      <c r="AV1627" s="4" t="n">
        <v>78</v>
      </c>
      <c r="AW1627" s="4" t="n">
        <v>24</v>
      </c>
      <c r="AX1627" s="4"/>
      <c r="AY1627" s="4"/>
      <c r="AZ1627" s="4"/>
      <c r="BA1627" s="4"/>
      <c r="BB1627" s="4" t="n">
        <v>14003</v>
      </c>
      <c r="BC1627" s="4" t="n">
        <v>14011</v>
      </c>
      <c r="BD1627" s="4"/>
      <c r="BE1627" s="4" t="s">
        <v>28139</v>
      </c>
      <c r="BF1627" s="4" t="str">
        <f aca="false">HYPERLINK("http://dx.doi.org/10.1128/JVI.78.24.14003-14011.2004","http://dx.doi.org/10.1128/JVI.78.24.14003-14011.2004")</f>
        <v>http://dx.doi.org/10.1128/JVI.78.24.14003-14011.2004</v>
      </c>
      <c r="BG1627" s="4"/>
      <c r="BH1627" s="4"/>
      <c r="BI1627" s="4" t="n">
        <v>9</v>
      </c>
      <c r="BJ1627" s="4" t="s">
        <v>163</v>
      </c>
      <c r="BK1627" s="4" t="s">
        <v>100</v>
      </c>
      <c r="BL1627" s="4" t="s">
        <v>163</v>
      </c>
      <c r="BM1627" s="4" t="s">
        <v>28140</v>
      </c>
      <c r="BN1627" s="4" t="n">
        <v>15564507</v>
      </c>
      <c r="BO1627" s="4" t="s">
        <v>165</v>
      </c>
      <c r="BP1627" s="4"/>
      <c r="BQ1627" s="4"/>
      <c r="BR1627" s="4" t="s">
        <v>104</v>
      </c>
      <c r="BS1627" s="4" t="s">
        <v>28141</v>
      </c>
      <c r="BT1627" s="4" t="str">
        <f aca="false">HYPERLINK("https%3A%2F%2Fwww.webofscience.com%2Fwos%2Fwoscc%2Ffull-record%2FWOS:000225409900058","View Full Record in Web of Science")</f>
        <v>View Full Record in Web of Science</v>
      </c>
    </row>
    <row r="1628" s="5" customFormat="true" ht="12.75" hidden="false" customHeight="false" outlineLevel="0" collapsed="false">
      <c r="A1628" s="4" t="s">
        <v>72</v>
      </c>
      <c r="B1628" s="4" t="s">
        <v>28142</v>
      </c>
      <c r="C1628" s="4"/>
      <c r="D1628" s="4"/>
      <c r="E1628" s="4"/>
      <c r="F1628" s="4" t="s">
        <v>28143</v>
      </c>
      <c r="G1628" s="4"/>
      <c r="H1628" s="4"/>
      <c r="I1628" s="4" t="s">
        <v>28144</v>
      </c>
      <c r="J1628" s="4" t="s">
        <v>27497</v>
      </c>
      <c r="K1628" s="4"/>
      <c r="L1628" s="4"/>
      <c r="M1628" s="4" t="s">
        <v>77</v>
      </c>
      <c r="N1628" s="4" t="s">
        <v>78</v>
      </c>
      <c r="O1628" s="4"/>
      <c r="P1628" s="4"/>
      <c r="Q1628" s="4"/>
      <c r="R1628" s="4"/>
      <c r="S1628" s="4"/>
      <c r="T1628" s="1" t="s">
        <v>28145</v>
      </c>
      <c r="U1628" s="4" t="s">
        <v>28146</v>
      </c>
      <c r="V1628" s="4" t="s">
        <v>28147</v>
      </c>
      <c r="W1628" s="4" t="s">
        <v>28148</v>
      </c>
      <c r="X1628" s="4" t="s">
        <v>28149</v>
      </c>
      <c r="Y1628" s="4" t="s">
        <v>28150</v>
      </c>
      <c r="Z1628" s="4" t="s">
        <v>28151</v>
      </c>
      <c r="AA1628" s="4" t="s">
        <v>2617</v>
      </c>
      <c r="AB1628" s="4"/>
      <c r="AC1628" s="4" t="s">
        <v>28152</v>
      </c>
      <c r="AD1628" s="4" t="s">
        <v>28153</v>
      </c>
      <c r="AE1628" s="4" t="s">
        <v>28154</v>
      </c>
      <c r="AF1628" s="4"/>
      <c r="AG1628" s="4" t="n">
        <v>84</v>
      </c>
      <c r="AH1628" s="4" t="n">
        <v>4</v>
      </c>
      <c r="AI1628" s="4" t="n">
        <v>5</v>
      </c>
      <c r="AJ1628" s="4" t="n">
        <v>0</v>
      </c>
      <c r="AK1628" s="4" t="n">
        <v>2</v>
      </c>
      <c r="AL1628" s="4" t="s">
        <v>27506</v>
      </c>
      <c r="AM1628" s="4" t="s">
        <v>27507</v>
      </c>
      <c r="AN1628" s="4" t="s">
        <v>27508</v>
      </c>
      <c r="AO1628" s="4" t="s">
        <v>27509</v>
      </c>
      <c r="AP1628" s="4"/>
      <c r="AQ1628" s="4"/>
      <c r="AR1628" s="4" t="s">
        <v>27497</v>
      </c>
      <c r="AS1628" s="4" t="s">
        <v>27510</v>
      </c>
      <c r="AT1628" s="4" t="s">
        <v>28155</v>
      </c>
      <c r="AU1628" s="4" t="n">
        <v>2014</v>
      </c>
      <c r="AV1628" s="4" t="n">
        <v>9</v>
      </c>
      <c r="AW1628" s="4" t="n">
        <v>6</v>
      </c>
      <c r="AX1628" s="4"/>
      <c r="AY1628" s="4"/>
      <c r="AZ1628" s="4"/>
      <c r="BA1628" s="4"/>
      <c r="BB1628" s="4"/>
      <c r="BC1628" s="4"/>
      <c r="BD1628" s="4" t="s">
        <v>28156</v>
      </c>
      <c r="BE1628" s="4" t="s">
        <v>28157</v>
      </c>
      <c r="BF1628" s="4" t="str">
        <f aca="false">HYPERLINK("http://dx.doi.org/10.1371/journal.pone.0099227","http://dx.doi.org/10.1371/journal.pone.0099227")</f>
        <v>http://dx.doi.org/10.1371/journal.pone.0099227</v>
      </c>
      <c r="BG1628" s="4"/>
      <c r="BH1628" s="4"/>
      <c r="BI1628" s="4" t="n">
        <v>14</v>
      </c>
      <c r="BJ1628" s="4" t="s">
        <v>1658</v>
      </c>
      <c r="BK1628" s="4" t="s">
        <v>100</v>
      </c>
      <c r="BL1628" s="4" t="s">
        <v>1659</v>
      </c>
      <c r="BM1628" s="4" t="s">
        <v>28158</v>
      </c>
      <c r="BN1628" s="4" t="n">
        <v>24918929</v>
      </c>
      <c r="BO1628" s="4" t="s">
        <v>2582</v>
      </c>
      <c r="BP1628" s="4"/>
      <c r="BQ1628" s="4"/>
      <c r="BR1628" s="4" t="s">
        <v>104</v>
      </c>
      <c r="BS1628" s="4" t="s">
        <v>28159</v>
      </c>
      <c r="BT1628" s="4" t="str">
        <f aca="false">HYPERLINK("https%3A%2F%2Fwww.webofscience.com%2Fwos%2Fwoscc%2Ffull-record%2FWOS:000338631000062","View Full Record in Web of Science")</f>
        <v>View Full Record in Web of Science</v>
      </c>
    </row>
    <row r="1629" s="5" customFormat="true" ht="12.75" hidden="false" customHeight="false" outlineLevel="0" collapsed="false">
      <c r="A1629" s="4" t="s">
        <v>72</v>
      </c>
      <c r="B1629" s="4" t="s">
        <v>28160</v>
      </c>
      <c r="C1629" s="4"/>
      <c r="D1629" s="4"/>
      <c r="E1629" s="4"/>
      <c r="F1629" s="4" t="s">
        <v>28160</v>
      </c>
      <c r="G1629" s="4"/>
      <c r="H1629" s="4"/>
      <c r="I1629" s="4" t="s">
        <v>28161</v>
      </c>
      <c r="J1629" s="4" t="s">
        <v>2222</v>
      </c>
      <c r="K1629" s="4"/>
      <c r="L1629" s="4"/>
      <c r="M1629" s="4" t="s">
        <v>77</v>
      </c>
      <c r="N1629" s="4" t="s">
        <v>78</v>
      </c>
      <c r="O1629" s="4"/>
      <c r="P1629" s="4"/>
      <c r="Q1629" s="4"/>
      <c r="R1629" s="4"/>
      <c r="S1629" s="4"/>
      <c r="T1629" s="1" t="s">
        <v>28162</v>
      </c>
      <c r="U1629" s="4" t="s">
        <v>28163</v>
      </c>
      <c r="V1629" s="4" t="s">
        <v>28164</v>
      </c>
      <c r="W1629" s="4" t="s">
        <v>28165</v>
      </c>
      <c r="X1629" s="4" t="s">
        <v>28166</v>
      </c>
      <c r="Y1629" s="4" t="s">
        <v>28167</v>
      </c>
      <c r="Z1629" s="4" t="s">
        <v>28168</v>
      </c>
      <c r="AA1629" s="4"/>
      <c r="AB1629" s="4"/>
      <c r="AC1629" s="4"/>
      <c r="AD1629" s="4"/>
      <c r="AE1629" s="4"/>
      <c r="AF1629" s="4"/>
      <c r="AG1629" s="4" t="n">
        <v>27</v>
      </c>
      <c r="AH1629" s="4" t="n">
        <v>46</v>
      </c>
      <c r="AI1629" s="4" t="n">
        <v>51</v>
      </c>
      <c r="AJ1629" s="4" t="n">
        <v>0</v>
      </c>
      <c r="AK1629" s="4" t="n">
        <v>0</v>
      </c>
      <c r="AL1629" s="4" t="s">
        <v>755</v>
      </c>
      <c r="AM1629" s="4" t="s">
        <v>273</v>
      </c>
      <c r="AN1629" s="4" t="s">
        <v>756</v>
      </c>
      <c r="AO1629" s="4" t="s">
        <v>2234</v>
      </c>
      <c r="AP1629" s="4" t="s">
        <v>2235</v>
      </c>
      <c r="AQ1629" s="4"/>
      <c r="AR1629" s="4" t="s">
        <v>2236</v>
      </c>
      <c r="AS1629" s="4" t="s">
        <v>2237</v>
      </c>
      <c r="AT1629" s="4" t="s">
        <v>804</v>
      </c>
      <c r="AU1629" s="4" t="n">
        <v>2005</v>
      </c>
      <c r="AV1629" s="4" t="n">
        <v>43</v>
      </c>
      <c r="AW1629" s="4" t="n">
        <v>11</v>
      </c>
      <c r="AX1629" s="4"/>
      <c r="AY1629" s="4"/>
      <c r="AZ1629" s="4"/>
      <c r="BA1629" s="4"/>
      <c r="BB1629" s="4" t="n">
        <v>5520</v>
      </c>
      <c r="BC1629" s="4" t="n">
        <v>5525</v>
      </c>
      <c r="BD1629" s="4"/>
      <c r="BE1629" s="4" t="s">
        <v>28169</v>
      </c>
      <c r="BF1629" s="4" t="str">
        <f aca="false">HYPERLINK("http://dx.doi.org/10.1128/JCM.43.11.5520-5525.2005","http://dx.doi.org/10.1128/JCM.43.11.5520-5525.2005")</f>
        <v>http://dx.doi.org/10.1128/JCM.43.11.5520-5525.2005</v>
      </c>
      <c r="BG1629" s="4"/>
      <c r="BH1629" s="4"/>
      <c r="BI1629" s="4" t="n">
        <v>6</v>
      </c>
      <c r="BJ1629" s="4" t="s">
        <v>211</v>
      </c>
      <c r="BK1629" s="4" t="s">
        <v>100</v>
      </c>
      <c r="BL1629" s="4" t="s">
        <v>211</v>
      </c>
      <c r="BM1629" s="4" t="s">
        <v>28170</v>
      </c>
      <c r="BN1629" s="4" t="n">
        <v>16272480</v>
      </c>
      <c r="BO1629" s="4" t="s">
        <v>1089</v>
      </c>
      <c r="BP1629" s="4"/>
      <c r="BQ1629" s="4"/>
      <c r="BR1629" s="4" t="s">
        <v>104</v>
      </c>
      <c r="BS1629" s="4" t="s">
        <v>28171</v>
      </c>
      <c r="BT1629" s="4" t="str">
        <f aca="false">HYPERLINK("https%3A%2F%2Fwww.webofscience.com%2Fwos%2Fwoscc%2Ffull-record%2FWOS:000233312200018","View Full Record in Web of Science")</f>
        <v>View Full Record in Web of Science</v>
      </c>
    </row>
    <row r="1630" s="5" customFormat="true" ht="12.75" hidden="false" customHeight="false" outlineLevel="0" collapsed="false">
      <c r="A1630" s="4" t="s">
        <v>72</v>
      </c>
      <c r="B1630" s="4" t="s">
        <v>28172</v>
      </c>
      <c r="C1630" s="4"/>
      <c r="D1630" s="4"/>
      <c r="E1630" s="4"/>
      <c r="F1630" s="4" t="s">
        <v>28173</v>
      </c>
      <c r="G1630" s="4"/>
      <c r="H1630" s="4"/>
      <c r="I1630" s="4" t="s">
        <v>28174</v>
      </c>
      <c r="J1630" s="4" t="s">
        <v>27820</v>
      </c>
      <c r="K1630" s="4"/>
      <c r="L1630" s="4"/>
      <c r="M1630" s="4" t="s">
        <v>77</v>
      </c>
      <c r="N1630" s="4" t="s">
        <v>78</v>
      </c>
      <c r="O1630" s="4"/>
      <c r="P1630" s="4"/>
      <c r="Q1630" s="4"/>
      <c r="R1630" s="4"/>
      <c r="S1630" s="4"/>
      <c r="T1630" s="1" t="s">
        <v>28175</v>
      </c>
      <c r="U1630" s="4" t="s">
        <v>28176</v>
      </c>
      <c r="V1630" s="4" t="s">
        <v>28177</v>
      </c>
      <c r="W1630" s="4" t="s">
        <v>28178</v>
      </c>
      <c r="X1630" s="4" t="s">
        <v>6979</v>
      </c>
      <c r="Y1630" s="4" t="s">
        <v>28179</v>
      </c>
      <c r="Z1630" s="4" t="s">
        <v>2573</v>
      </c>
      <c r="AA1630" s="4" t="s">
        <v>2574</v>
      </c>
      <c r="AB1630" s="4" t="s">
        <v>28180</v>
      </c>
      <c r="AC1630" s="4" t="s">
        <v>28181</v>
      </c>
      <c r="AD1630" s="4" t="s">
        <v>28182</v>
      </c>
      <c r="AE1630" s="4" t="s">
        <v>28183</v>
      </c>
      <c r="AF1630" s="4"/>
      <c r="AG1630" s="4" t="n">
        <v>74</v>
      </c>
      <c r="AH1630" s="4" t="n">
        <v>24</v>
      </c>
      <c r="AI1630" s="4" t="n">
        <v>32</v>
      </c>
      <c r="AJ1630" s="4" t="n">
        <v>1</v>
      </c>
      <c r="AK1630" s="4" t="n">
        <v>4</v>
      </c>
      <c r="AL1630" s="4" t="s">
        <v>27506</v>
      </c>
      <c r="AM1630" s="4" t="s">
        <v>27507</v>
      </c>
      <c r="AN1630" s="4" t="s">
        <v>27508</v>
      </c>
      <c r="AO1630" s="4" t="s">
        <v>27831</v>
      </c>
      <c r="AP1630" s="4" t="s">
        <v>27832</v>
      </c>
      <c r="AQ1630" s="4"/>
      <c r="AR1630" s="4" t="s">
        <v>27833</v>
      </c>
      <c r="AS1630" s="4" t="s">
        <v>27834</v>
      </c>
      <c r="AT1630" s="4" t="s">
        <v>336</v>
      </c>
      <c r="AU1630" s="4" t="n">
        <v>2020</v>
      </c>
      <c r="AV1630" s="4" t="n">
        <v>16</v>
      </c>
      <c r="AW1630" s="4" t="n">
        <v>10</v>
      </c>
      <c r="AX1630" s="4"/>
      <c r="AY1630" s="4"/>
      <c r="AZ1630" s="4"/>
      <c r="BA1630" s="4"/>
      <c r="BB1630" s="4"/>
      <c r="BC1630" s="4"/>
      <c r="BD1630" s="4" t="s">
        <v>28184</v>
      </c>
      <c r="BE1630" s="4" t="s">
        <v>28185</v>
      </c>
      <c r="BF1630" s="4" t="str">
        <f aca="false">HYPERLINK("http://dx.doi.org/10.1371/journal.ppat.1008942","http://dx.doi.org/10.1371/journal.ppat.1008942")</f>
        <v>http://dx.doi.org/10.1371/journal.ppat.1008942</v>
      </c>
      <c r="BG1630" s="4"/>
      <c r="BH1630" s="4"/>
      <c r="BI1630" s="4" t="n">
        <v>22</v>
      </c>
      <c r="BJ1630" s="4" t="s">
        <v>27837</v>
      </c>
      <c r="BK1630" s="4" t="s">
        <v>100</v>
      </c>
      <c r="BL1630" s="4" t="s">
        <v>27837</v>
      </c>
      <c r="BM1630" s="4" t="s">
        <v>28186</v>
      </c>
      <c r="BN1630" s="4" t="n">
        <v>33035266</v>
      </c>
      <c r="BO1630" s="4" t="s">
        <v>14604</v>
      </c>
      <c r="BP1630" s="4"/>
      <c r="BQ1630" s="4"/>
      <c r="BR1630" s="4" t="s">
        <v>104</v>
      </c>
      <c r="BS1630" s="4" t="s">
        <v>28187</v>
      </c>
      <c r="BT1630" s="4" t="str">
        <f aca="false">HYPERLINK("https%3A%2F%2Fwww.webofscience.com%2Fwos%2Fwoscc%2Ffull-record%2FWOS:000581804900001","View Full Record in Web of Science")</f>
        <v>View Full Record in Web of Science</v>
      </c>
    </row>
    <row r="1631" s="5" customFormat="true" ht="12.75" hidden="false" customHeight="false" outlineLevel="0" collapsed="false">
      <c r="A1631" s="4" t="s">
        <v>72</v>
      </c>
      <c r="B1631" s="4" t="s">
        <v>28188</v>
      </c>
      <c r="C1631" s="4"/>
      <c r="D1631" s="4"/>
      <c r="E1631" s="4"/>
      <c r="F1631" s="4" t="s">
        <v>28188</v>
      </c>
      <c r="G1631" s="4"/>
      <c r="H1631" s="4"/>
      <c r="I1631" s="4" t="s">
        <v>28189</v>
      </c>
      <c r="J1631" s="4" t="s">
        <v>28190</v>
      </c>
      <c r="K1631" s="4"/>
      <c r="L1631" s="4"/>
      <c r="M1631" s="4" t="s">
        <v>77</v>
      </c>
      <c r="N1631" s="4" t="s">
        <v>78</v>
      </c>
      <c r="O1631" s="4"/>
      <c r="P1631" s="4"/>
      <c r="Q1631" s="4"/>
      <c r="R1631" s="4"/>
      <c r="S1631" s="4"/>
      <c r="T1631" s="1" t="s">
        <v>28191</v>
      </c>
      <c r="U1631" s="4" t="s">
        <v>28192</v>
      </c>
      <c r="V1631" s="4" t="s">
        <v>28193</v>
      </c>
      <c r="W1631" s="4" t="s">
        <v>28194</v>
      </c>
      <c r="X1631" s="4" t="s">
        <v>19637</v>
      </c>
      <c r="Y1631" s="4" t="s">
        <v>8072</v>
      </c>
      <c r="Z1631" s="4" t="s">
        <v>28195</v>
      </c>
      <c r="AA1631" s="4" t="s">
        <v>8074</v>
      </c>
      <c r="AB1631" s="4" t="s">
        <v>28196</v>
      </c>
      <c r="AC1631" s="4"/>
      <c r="AD1631" s="4"/>
      <c r="AE1631" s="4"/>
      <c r="AF1631" s="4"/>
      <c r="AG1631" s="4" t="n">
        <v>33</v>
      </c>
      <c r="AH1631" s="4" t="n">
        <v>106</v>
      </c>
      <c r="AI1631" s="4" t="n">
        <v>125</v>
      </c>
      <c r="AJ1631" s="4" t="n">
        <v>0</v>
      </c>
      <c r="AK1631" s="4" t="n">
        <v>1</v>
      </c>
      <c r="AL1631" s="4" t="s">
        <v>1460</v>
      </c>
      <c r="AM1631" s="4" t="s">
        <v>593</v>
      </c>
      <c r="AN1631" s="4" t="s">
        <v>2088</v>
      </c>
      <c r="AO1631" s="4" t="s">
        <v>28197</v>
      </c>
      <c r="AP1631" s="4" t="s">
        <v>28198</v>
      </c>
      <c r="AQ1631" s="4"/>
      <c r="AR1631" s="4" t="s">
        <v>28199</v>
      </c>
      <c r="AS1631" s="4" t="s">
        <v>28200</v>
      </c>
      <c r="AT1631" s="4" t="s">
        <v>486</v>
      </c>
      <c r="AU1631" s="4" t="n">
        <v>2004</v>
      </c>
      <c r="AV1631" s="4" t="n">
        <v>164</v>
      </c>
      <c r="AW1631" s="4" t="n">
        <v>6</v>
      </c>
      <c r="AX1631" s="4"/>
      <c r="AY1631" s="4"/>
      <c r="AZ1631" s="4"/>
      <c r="BA1631" s="4"/>
      <c r="BB1631" s="4" t="n">
        <v>1893</v>
      </c>
      <c r="BC1631" s="4" t="n">
        <v>1900</v>
      </c>
      <c r="BD1631" s="4"/>
      <c r="BE1631" s="4" t="s">
        <v>28201</v>
      </c>
      <c r="BF1631" s="4" t="str">
        <f aca="false">HYPERLINK("http://dx.doi.org/10.1016/S0002-9440(10)63750-9","http://dx.doi.org/10.1016/S0002-9440(10)63750-9")</f>
        <v>http://dx.doi.org/10.1016/S0002-9440(10)63750-9</v>
      </c>
      <c r="BG1631" s="4"/>
      <c r="BH1631" s="4"/>
      <c r="BI1631" s="4" t="n">
        <v>8</v>
      </c>
      <c r="BJ1631" s="4" t="s">
        <v>6585</v>
      </c>
      <c r="BK1631" s="4" t="s">
        <v>100</v>
      </c>
      <c r="BL1631" s="4" t="s">
        <v>6585</v>
      </c>
      <c r="BM1631" s="4" t="s">
        <v>28202</v>
      </c>
      <c r="BN1631" s="4" t="n">
        <v>15161626</v>
      </c>
      <c r="BO1631" s="4" t="s">
        <v>28203</v>
      </c>
      <c r="BP1631" s="4"/>
      <c r="BQ1631" s="4"/>
      <c r="BR1631" s="4" t="s">
        <v>104</v>
      </c>
      <c r="BS1631" s="4" t="s">
        <v>28204</v>
      </c>
      <c r="BT1631" s="4" t="str">
        <f aca="false">HYPERLINK("https%3A%2F%2Fwww.webofscience.com%2Fwos%2Fwoscc%2Ffull-record%2FWOS:000221601000004","View Full Record in Web of Science")</f>
        <v>View Full Record in Web of Science</v>
      </c>
    </row>
    <row r="1632" s="5" customFormat="true" ht="12.75" hidden="false" customHeight="false" outlineLevel="0" collapsed="false">
      <c r="A1632" s="4" t="s">
        <v>72</v>
      </c>
      <c r="B1632" s="4" t="s">
        <v>28205</v>
      </c>
      <c r="C1632" s="4"/>
      <c r="D1632" s="4"/>
      <c r="E1632" s="4"/>
      <c r="F1632" s="4" t="s">
        <v>28206</v>
      </c>
      <c r="G1632" s="4"/>
      <c r="H1632" s="4"/>
      <c r="I1632" s="4" t="s">
        <v>28207</v>
      </c>
      <c r="J1632" s="4" t="s">
        <v>28208</v>
      </c>
      <c r="K1632" s="4"/>
      <c r="L1632" s="4"/>
      <c r="M1632" s="4" t="s">
        <v>77</v>
      </c>
      <c r="N1632" s="4" t="s">
        <v>78</v>
      </c>
      <c r="O1632" s="4"/>
      <c r="P1632" s="4"/>
      <c r="Q1632" s="4"/>
      <c r="R1632" s="4"/>
      <c r="S1632" s="4"/>
      <c r="T1632" s="1" t="s">
        <v>28209</v>
      </c>
      <c r="U1632" s="4" t="s">
        <v>28210</v>
      </c>
      <c r="V1632" s="4" t="s">
        <v>28211</v>
      </c>
      <c r="W1632" s="4" t="s">
        <v>28212</v>
      </c>
      <c r="X1632" s="4" t="s">
        <v>14682</v>
      </c>
      <c r="Y1632" s="4" t="s">
        <v>28213</v>
      </c>
      <c r="Z1632" s="4" t="s">
        <v>28214</v>
      </c>
      <c r="AA1632" s="4"/>
      <c r="AB1632" s="4" t="s">
        <v>27877</v>
      </c>
      <c r="AC1632" s="4" t="s">
        <v>28215</v>
      </c>
      <c r="AD1632" s="4" t="s">
        <v>28216</v>
      </c>
      <c r="AE1632" s="4" t="s">
        <v>28217</v>
      </c>
      <c r="AF1632" s="4"/>
      <c r="AG1632" s="4" t="n">
        <v>63</v>
      </c>
      <c r="AH1632" s="4" t="n">
        <v>5</v>
      </c>
      <c r="AI1632" s="4" t="n">
        <v>6</v>
      </c>
      <c r="AJ1632" s="4" t="n">
        <v>2</v>
      </c>
      <c r="AK1632" s="4" t="n">
        <v>4</v>
      </c>
      <c r="AL1632" s="4" t="s">
        <v>27808</v>
      </c>
      <c r="AM1632" s="4" t="s">
        <v>303</v>
      </c>
      <c r="AN1632" s="4" t="s">
        <v>27809</v>
      </c>
      <c r="AO1632" s="4" t="s">
        <v>28218</v>
      </c>
      <c r="AP1632" s="4" t="s">
        <v>28219</v>
      </c>
      <c r="AQ1632" s="4"/>
      <c r="AR1632" s="4" t="s">
        <v>28220</v>
      </c>
      <c r="AS1632" s="4" t="s">
        <v>28221</v>
      </c>
      <c r="AT1632" s="4" t="s">
        <v>2144</v>
      </c>
      <c r="AU1632" s="4" t="n">
        <v>2019</v>
      </c>
      <c r="AV1632" s="4" t="n">
        <v>2019</v>
      </c>
      <c r="AW1632" s="4"/>
      <c r="AX1632" s="4"/>
      <c r="AY1632" s="4"/>
      <c r="AZ1632" s="4"/>
      <c r="BA1632" s="4"/>
      <c r="BB1632" s="4"/>
      <c r="BC1632" s="4"/>
      <c r="BD1632" s="4" t="n">
        <v>4964239</v>
      </c>
      <c r="BE1632" s="4" t="s">
        <v>28222</v>
      </c>
      <c r="BF1632" s="4" t="str">
        <f aca="false">HYPERLINK("http://dx.doi.org/10.1155/2019/4964239","http://dx.doi.org/10.1155/2019/4964239")</f>
        <v>http://dx.doi.org/10.1155/2019/4964239</v>
      </c>
      <c r="BG1632" s="4"/>
      <c r="BH1632" s="4"/>
      <c r="BI1632" s="4" t="n">
        <v>13</v>
      </c>
      <c r="BJ1632" s="4" t="s">
        <v>12162</v>
      </c>
      <c r="BK1632" s="4" t="s">
        <v>100</v>
      </c>
      <c r="BL1632" s="4" t="s">
        <v>12162</v>
      </c>
      <c r="BM1632" s="4" t="s">
        <v>28223</v>
      </c>
      <c r="BN1632" s="4" t="n">
        <v>31686982</v>
      </c>
      <c r="BO1632" s="4" t="s">
        <v>103</v>
      </c>
      <c r="BP1632" s="4"/>
      <c r="BQ1632" s="4"/>
      <c r="BR1632" s="4" t="s">
        <v>104</v>
      </c>
      <c r="BS1632" s="4" t="s">
        <v>28224</v>
      </c>
      <c r="BT1632" s="4" t="str">
        <f aca="false">HYPERLINK("https%3A%2F%2Fwww.webofscience.com%2Fwos%2Fwoscc%2Ffull-record%2FWOS:000493203300001","View Full Record in Web of Science")</f>
        <v>View Full Record in Web of Science</v>
      </c>
    </row>
    <row r="1633" s="5" customFormat="true" ht="12.75" hidden="false" customHeight="false" outlineLevel="0" collapsed="false">
      <c r="A1633" s="4" t="s">
        <v>72</v>
      </c>
      <c r="B1633" s="4" t="s">
        <v>28225</v>
      </c>
      <c r="C1633" s="4"/>
      <c r="D1633" s="4"/>
      <c r="E1633" s="4"/>
      <c r="F1633" s="4" t="s">
        <v>28226</v>
      </c>
      <c r="G1633" s="4"/>
      <c r="H1633" s="4"/>
      <c r="I1633" s="4" t="s">
        <v>28227</v>
      </c>
      <c r="J1633" s="4" t="s">
        <v>27497</v>
      </c>
      <c r="K1633" s="4"/>
      <c r="L1633" s="4"/>
      <c r="M1633" s="4" t="s">
        <v>77</v>
      </c>
      <c r="N1633" s="4" t="s">
        <v>78</v>
      </c>
      <c r="O1633" s="4"/>
      <c r="P1633" s="4"/>
      <c r="Q1633" s="4"/>
      <c r="R1633" s="4"/>
      <c r="S1633" s="4"/>
      <c r="T1633" s="1" t="s">
        <v>28228</v>
      </c>
      <c r="U1633" s="4" t="s">
        <v>28229</v>
      </c>
      <c r="V1633" s="4" t="s">
        <v>28230</v>
      </c>
      <c r="W1633" s="4" t="s">
        <v>28231</v>
      </c>
      <c r="X1633" s="4" t="s">
        <v>28232</v>
      </c>
      <c r="Y1633" s="4" t="s">
        <v>28233</v>
      </c>
      <c r="Z1633" s="4" t="s">
        <v>12355</v>
      </c>
      <c r="AA1633" s="4" t="s">
        <v>28234</v>
      </c>
      <c r="AB1633" s="4" t="s">
        <v>28235</v>
      </c>
      <c r="AC1633" s="4" t="s">
        <v>28236</v>
      </c>
      <c r="AD1633" s="4" t="s">
        <v>23709</v>
      </c>
      <c r="AE1633" s="4" t="s">
        <v>28237</v>
      </c>
      <c r="AF1633" s="4"/>
      <c r="AG1633" s="4" t="n">
        <v>80</v>
      </c>
      <c r="AH1633" s="4" t="n">
        <v>31</v>
      </c>
      <c r="AI1633" s="4" t="n">
        <v>39</v>
      </c>
      <c r="AJ1633" s="4" t="n">
        <v>0</v>
      </c>
      <c r="AK1633" s="4" t="n">
        <v>9</v>
      </c>
      <c r="AL1633" s="4" t="s">
        <v>27506</v>
      </c>
      <c r="AM1633" s="4" t="s">
        <v>27507</v>
      </c>
      <c r="AN1633" s="4" t="s">
        <v>27508</v>
      </c>
      <c r="AO1633" s="4" t="s">
        <v>27509</v>
      </c>
      <c r="AP1633" s="4"/>
      <c r="AQ1633" s="4"/>
      <c r="AR1633" s="4" t="s">
        <v>27497</v>
      </c>
      <c r="AS1633" s="4" t="s">
        <v>27510</v>
      </c>
      <c r="AT1633" s="4" t="s">
        <v>28238</v>
      </c>
      <c r="AU1633" s="4" t="n">
        <v>2013</v>
      </c>
      <c r="AV1633" s="4" t="n">
        <v>8</v>
      </c>
      <c r="AW1633" s="4" t="n">
        <v>8</v>
      </c>
      <c r="AX1633" s="4"/>
      <c r="AY1633" s="4"/>
      <c r="AZ1633" s="4"/>
      <c r="BA1633" s="4"/>
      <c r="BB1633" s="4"/>
      <c r="BC1633" s="4"/>
      <c r="BD1633" s="4" t="s">
        <v>28239</v>
      </c>
      <c r="BE1633" s="4" t="s">
        <v>28240</v>
      </c>
      <c r="BF1633" s="4" t="str">
        <f aca="false">HYPERLINK("http://dx.doi.org/10.1371/journal.pone.0072529","http://dx.doi.org/10.1371/journal.pone.0072529")</f>
        <v>http://dx.doi.org/10.1371/journal.pone.0072529</v>
      </c>
      <c r="BG1633" s="4"/>
      <c r="BH1633" s="4"/>
      <c r="BI1633" s="4" t="n">
        <v>13</v>
      </c>
      <c r="BJ1633" s="4" t="s">
        <v>1658</v>
      </c>
      <c r="BK1633" s="4" t="s">
        <v>100</v>
      </c>
      <c r="BL1633" s="4" t="s">
        <v>1659</v>
      </c>
      <c r="BM1633" s="4" t="s">
        <v>28241</v>
      </c>
      <c r="BN1633" s="4" t="n">
        <v>24015257</v>
      </c>
      <c r="BO1633" s="4" t="s">
        <v>341</v>
      </c>
      <c r="BP1633" s="4"/>
      <c r="BQ1633" s="4"/>
      <c r="BR1633" s="4" t="s">
        <v>104</v>
      </c>
      <c r="BS1633" s="4" t="s">
        <v>28242</v>
      </c>
      <c r="BT1633" s="4" t="str">
        <f aca="false">HYPERLINK("https%3A%2F%2Fwww.webofscience.com%2Fwos%2Fwoscc%2Ffull-record%2FWOS:000323733800062","View Full Record in Web of Science")</f>
        <v>View Full Record in Web of Science</v>
      </c>
    </row>
    <row r="1634" s="5" customFormat="true" ht="12.75" hidden="false" customHeight="false" outlineLevel="0" collapsed="false">
      <c r="A1634" s="4" t="s">
        <v>72</v>
      </c>
      <c r="B1634" s="4" t="s">
        <v>28243</v>
      </c>
      <c r="C1634" s="4"/>
      <c r="D1634" s="4"/>
      <c r="E1634" s="4"/>
      <c r="F1634" s="4" t="s">
        <v>28244</v>
      </c>
      <c r="G1634" s="4"/>
      <c r="H1634" s="4"/>
      <c r="I1634" s="4" t="s">
        <v>28245</v>
      </c>
      <c r="J1634" s="4" t="s">
        <v>28246</v>
      </c>
      <c r="K1634" s="4"/>
      <c r="L1634" s="4"/>
      <c r="M1634" s="4" t="s">
        <v>77</v>
      </c>
      <c r="N1634" s="4" t="s">
        <v>78</v>
      </c>
      <c r="O1634" s="4"/>
      <c r="P1634" s="4"/>
      <c r="Q1634" s="4"/>
      <c r="R1634" s="4"/>
      <c r="S1634" s="4"/>
      <c r="T1634" s="1" t="s">
        <v>28247</v>
      </c>
      <c r="U1634" s="4" t="s">
        <v>28248</v>
      </c>
      <c r="V1634" s="4" t="s">
        <v>28249</v>
      </c>
      <c r="W1634" s="4" t="s">
        <v>28250</v>
      </c>
      <c r="X1634" s="4" t="s">
        <v>28251</v>
      </c>
      <c r="Y1634" s="4" t="s">
        <v>28252</v>
      </c>
      <c r="Z1634" s="4" t="s">
        <v>28253</v>
      </c>
      <c r="AA1634" s="4"/>
      <c r="AB1634" s="4" t="s">
        <v>28254</v>
      </c>
      <c r="AC1634" s="4"/>
      <c r="AD1634" s="4"/>
      <c r="AE1634" s="4"/>
      <c r="AF1634" s="4"/>
      <c r="AG1634" s="4" t="n">
        <v>75</v>
      </c>
      <c r="AH1634" s="4" t="n">
        <v>9</v>
      </c>
      <c r="AI1634" s="4" t="n">
        <v>13</v>
      </c>
      <c r="AJ1634" s="4" t="n">
        <v>0</v>
      </c>
      <c r="AK1634" s="4" t="n">
        <v>4</v>
      </c>
      <c r="AL1634" s="4" t="s">
        <v>6405</v>
      </c>
      <c r="AM1634" s="4" t="s">
        <v>6406</v>
      </c>
      <c r="AN1634" s="4" t="s">
        <v>6407</v>
      </c>
      <c r="AO1634" s="4"/>
      <c r="AP1634" s="4" t="s">
        <v>28255</v>
      </c>
      <c r="AQ1634" s="4"/>
      <c r="AR1634" s="4" t="s">
        <v>28256</v>
      </c>
      <c r="AS1634" s="4" t="s">
        <v>28257</v>
      </c>
      <c r="AT1634" s="4" t="s">
        <v>28258</v>
      </c>
      <c r="AU1634" s="4" t="n">
        <v>2022</v>
      </c>
      <c r="AV1634" s="4" t="n">
        <v>13</v>
      </c>
      <c r="AW1634" s="4" t="n">
        <v>1</v>
      </c>
      <c r="AX1634" s="4"/>
      <c r="AY1634" s="4"/>
      <c r="AZ1634" s="4"/>
      <c r="BA1634" s="4"/>
      <c r="BB1634" s="4"/>
      <c r="BC1634" s="4"/>
      <c r="BD1634" s="4" t="n">
        <v>2546</v>
      </c>
      <c r="BE1634" s="4" t="s">
        <v>28259</v>
      </c>
      <c r="BF1634" s="4" t="str">
        <f aca="false">HYPERLINK("http://dx.doi.org/10.1038/s41467-022-30205-x","http://dx.doi.org/10.1038/s41467-022-30205-x")</f>
        <v>http://dx.doi.org/10.1038/s41467-022-30205-x</v>
      </c>
      <c r="BG1634" s="4"/>
      <c r="BH1634" s="4"/>
      <c r="BI1634" s="4" t="n">
        <v>13</v>
      </c>
      <c r="BJ1634" s="4" t="s">
        <v>1658</v>
      </c>
      <c r="BK1634" s="4" t="s">
        <v>100</v>
      </c>
      <c r="BL1634" s="4" t="s">
        <v>1659</v>
      </c>
      <c r="BM1634" s="4" t="s">
        <v>28260</v>
      </c>
      <c r="BN1634" s="4" t="n">
        <v>35538099</v>
      </c>
      <c r="BO1634" s="4" t="s">
        <v>103</v>
      </c>
      <c r="BP1634" s="4"/>
      <c r="BQ1634" s="4"/>
      <c r="BR1634" s="4" t="s">
        <v>104</v>
      </c>
      <c r="BS1634" s="4" t="s">
        <v>28261</v>
      </c>
      <c r="BT1634" s="4" t="str">
        <f aca="false">HYPERLINK("https%3A%2F%2Fwww.webofscience.com%2Fwos%2Fwoscc%2Ffull-record%2FWOS:000793456800025","View Full Record in Web of Science")</f>
        <v>View Full Record in Web of Science</v>
      </c>
    </row>
    <row r="1635" s="5" customFormat="true" ht="12.75" hidden="false" customHeight="false" outlineLevel="0" collapsed="false">
      <c r="A1635" s="4" t="s">
        <v>72</v>
      </c>
      <c r="B1635" s="4" t="s">
        <v>28262</v>
      </c>
      <c r="C1635" s="4"/>
      <c r="D1635" s="4"/>
      <c r="E1635" s="4"/>
      <c r="F1635" s="4" t="s">
        <v>28262</v>
      </c>
      <c r="G1635" s="4"/>
      <c r="H1635" s="4"/>
      <c r="I1635" s="4" t="s">
        <v>28263</v>
      </c>
      <c r="J1635" s="4" t="s">
        <v>742</v>
      </c>
      <c r="K1635" s="4"/>
      <c r="L1635" s="4"/>
      <c r="M1635" s="4" t="s">
        <v>77</v>
      </c>
      <c r="N1635" s="4" t="s">
        <v>78</v>
      </c>
      <c r="O1635" s="4"/>
      <c r="P1635" s="4"/>
      <c r="Q1635" s="4"/>
      <c r="R1635" s="4"/>
      <c r="S1635" s="4"/>
      <c r="T1635" s="1" t="s">
        <v>28264</v>
      </c>
      <c r="U1635" s="4" t="s">
        <v>28265</v>
      </c>
      <c r="V1635" s="4" t="s">
        <v>28266</v>
      </c>
      <c r="W1635" s="4" t="s">
        <v>28267</v>
      </c>
      <c r="X1635" s="4" t="s">
        <v>4262</v>
      </c>
      <c r="Y1635" s="4" t="s">
        <v>8037</v>
      </c>
      <c r="Z1635" s="4" t="s">
        <v>6724</v>
      </c>
      <c r="AA1635" s="4" t="s">
        <v>28268</v>
      </c>
      <c r="AB1635" s="4" t="s">
        <v>28269</v>
      </c>
      <c r="AC1635" s="4" t="s">
        <v>28270</v>
      </c>
      <c r="AD1635" s="4" t="s">
        <v>2416</v>
      </c>
      <c r="AE1635" s="4"/>
      <c r="AF1635" s="4"/>
      <c r="AG1635" s="4" t="n">
        <v>56</v>
      </c>
      <c r="AH1635" s="4" t="n">
        <v>95</v>
      </c>
      <c r="AI1635" s="4" t="n">
        <v>113</v>
      </c>
      <c r="AJ1635" s="4" t="n">
        <v>0</v>
      </c>
      <c r="AK1635" s="4" t="n">
        <v>2</v>
      </c>
      <c r="AL1635" s="4" t="s">
        <v>755</v>
      </c>
      <c r="AM1635" s="4" t="s">
        <v>273</v>
      </c>
      <c r="AN1635" s="4" t="s">
        <v>756</v>
      </c>
      <c r="AO1635" s="4" t="s">
        <v>757</v>
      </c>
      <c r="AP1635" s="4"/>
      <c r="AQ1635" s="4"/>
      <c r="AR1635" s="4" t="s">
        <v>759</v>
      </c>
      <c r="AS1635" s="4" t="s">
        <v>760</v>
      </c>
      <c r="AT1635" s="4" t="s">
        <v>129</v>
      </c>
      <c r="AU1635" s="4" t="n">
        <v>2005</v>
      </c>
      <c r="AV1635" s="4" t="n">
        <v>79</v>
      </c>
      <c r="AW1635" s="4" t="n">
        <v>17</v>
      </c>
      <c r="AX1635" s="4"/>
      <c r="AY1635" s="4"/>
      <c r="AZ1635" s="4"/>
      <c r="BA1635" s="4"/>
      <c r="BB1635" s="4" t="n">
        <v>10944</v>
      </c>
      <c r="BC1635" s="4" t="n">
        <v>10951</v>
      </c>
      <c r="BD1635" s="4"/>
      <c r="BE1635" s="4" t="s">
        <v>28271</v>
      </c>
      <c r="BF1635" s="4" t="str">
        <f aca="false">HYPERLINK("http://dx.doi.org/10.1128/JVI.79.17.10944-10951.2005","http://dx.doi.org/10.1128/JVI.79.17.10944-10951.2005")</f>
        <v>http://dx.doi.org/10.1128/JVI.79.17.10944-10951.2005</v>
      </c>
      <c r="BG1635" s="4"/>
      <c r="BH1635" s="4"/>
      <c r="BI1635" s="4" t="n">
        <v>8</v>
      </c>
      <c r="BJ1635" s="4" t="s">
        <v>163</v>
      </c>
      <c r="BK1635" s="4" t="s">
        <v>100</v>
      </c>
      <c r="BL1635" s="4" t="s">
        <v>163</v>
      </c>
      <c r="BM1635" s="4" t="s">
        <v>28272</v>
      </c>
      <c r="BN1635" s="4" t="n">
        <v>16103146</v>
      </c>
      <c r="BO1635" s="4" t="s">
        <v>165</v>
      </c>
      <c r="BP1635" s="4"/>
      <c r="BQ1635" s="4"/>
      <c r="BR1635" s="4" t="s">
        <v>104</v>
      </c>
      <c r="BS1635" s="4" t="s">
        <v>28273</v>
      </c>
      <c r="BT1635" s="4" t="str">
        <f aca="false">HYPERLINK("https%3A%2F%2Fwww.webofscience.com%2Fwos%2Fwoscc%2Ffull-record%2FWOS:000231303900010","View Full Record in Web of Science")</f>
        <v>View Full Record in Web of Science</v>
      </c>
    </row>
    <row r="1636" s="5" customFormat="true" ht="12.75" hidden="false" customHeight="false" outlineLevel="0" collapsed="false">
      <c r="A1636" s="4" t="s">
        <v>72</v>
      </c>
      <c r="B1636" s="4" t="s">
        <v>28274</v>
      </c>
      <c r="C1636" s="4"/>
      <c r="D1636" s="4"/>
      <c r="E1636" s="4"/>
      <c r="F1636" s="4" t="s">
        <v>28275</v>
      </c>
      <c r="G1636" s="4"/>
      <c r="H1636" s="4"/>
      <c r="I1636" s="4" t="s">
        <v>28276</v>
      </c>
      <c r="J1636" s="4" t="s">
        <v>742</v>
      </c>
      <c r="K1636" s="4"/>
      <c r="L1636" s="4"/>
      <c r="M1636" s="4" t="s">
        <v>77</v>
      </c>
      <c r="N1636" s="4" t="s">
        <v>78</v>
      </c>
      <c r="O1636" s="4"/>
      <c r="P1636" s="4"/>
      <c r="Q1636" s="4"/>
      <c r="R1636" s="4"/>
      <c r="S1636" s="4"/>
      <c r="T1636" s="1" t="s">
        <v>28277</v>
      </c>
      <c r="U1636" s="4" t="s">
        <v>28278</v>
      </c>
      <c r="V1636" s="4" t="s">
        <v>28279</v>
      </c>
      <c r="W1636" s="4" t="s">
        <v>28280</v>
      </c>
      <c r="X1636" s="4" t="s">
        <v>2825</v>
      </c>
      <c r="Y1636" s="4" t="s">
        <v>28281</v>
      </c>
      <c r="Z1636" s="4" t="s">
        <v>6724</v>
      </c>
      <c r="AA1636" s="4" t="s">
        <v>28282</v>
      </c>
      <c r="AB1636" s="4" t="s">
        <v>28269</v>
      </c>
      <c r="AC1636" s="4" t="s">
        <v>28283</v>
      </c>
      <c r="AD1636" s="4" t="s">
        <v>2416</v>
      </c>
      <c r="AE1636" s="4"/>
      <c r="AF1636" s="4"/>
      <c r="AG1636" s="4" t="n">
        <v>54</v>
      </c>
      <c r="AH1636" s="4" t="n">
        <v>68</v>
      </c>
      <c r="AI1636" s="4" t="n">
        <v>85</v>
      </c>
      <c r="AJ1636" s="4" t="n">
        <v>0</v>
      </c>
      <c r="AK1636" s="4" t="n">
        <v>1</v>
      </c>
      <c r="AL1636" s="4" t="s">
        <v>755</v>
      </c>
      <c r="AM1636" s="4" t="s">
        <v>273</v>
      </c>
      <c r="AN1636" s="4" t="s">
        <v>756</v>
      </c>
      <c r="AO1636" s="4" t="s">
        <v>757</v>
      </c>
      <c r="AP1636" s="4"/>
      <c r="AQ1636" s="4"/>
      <c r="AR1636" s="4" t="s">
        <v>759</v>
      </c>
      <c r="AS1636" s="4" t="s">
        <v>760</v>
      </c>
      <c r="AT1636" s="4" t="s">
        <v>161</v>
      </c>
      <c r="AU1636" s="4" t="n">
        <v>2007</v>
      </c>
      <c r="AV1636" s="4" t="n">
        <v>81</v>
      </c>
      <c r="AW1636" s="4" t="n">
        <v>2</v>
      </c>
      <c r="AX1636" s="4"/>
      <c r="AY1636" s="4"/>
      <c r="AZ1636" s="4"/>
      <c r="BA1636" s="4"/>
      <c r="BB1636" s="4" t="n">
        <v>698</v>
      </c>
      <c r="BC1636" s="4" t="n">
        <v>707</v>
      </c>
      <c r="BD1636" s="4"/>
      <c r="BE1636" s="4" t="s">
        <v>28284</v>
      </c>
      <c r="BF1636" s="4" t="str">
        <f aca="false">HYPERLINK("http://dx.doi.org/10.1128/JVI.00844-06","http://dx.doi.org/10.1128/JVI.00844-06")</f>
        <v>http://dx.doi.org/10.1128/JVI.00844-06</v>
      </c>
      <c r="BG1636" s="4"/>
      <c r="BH1636" s="4"/>
      <c r="BI1636" s="4" t="n">
        <v>10</v>
      </c>
      <c r="BJ1636" s="4" t="s">
        <v>163</v>
      </c>
      <c r="BK1636" s="4" t="s">
        <v>100</v>
      </c>
      <c r="BL1636" s="4" t="s">
        <v>163</v>
      </c>
      <c r="BM1636" s="4" t="s">
        <v>28285</v>
      </c>
      <c r="BN1636" s="4" t="n">
        <v>17050599</v>
      </c>
      <c r="BO1636" s="4" t="s">
        <v>1089</v>
      </c>
      <c r="BP1636" s="4"/>
      <c r="BQ1636" s="4"/>
      <c r="BR1636" s="4" t="s">
        <v>104</v>
      </c>
      <c r="BS1636" s="4" t="s">
        <v>28286</v>
      </c>
      <c r="BT1636" s="4" t="str">
        <f aca="false">HYPERLINK("https%3A%2F%2Fwww.webofscience.com%2Fwos%2Fwoscc%2Ffull-record%2FWOS:000243350100027","View Full Record in Web of Science")</f>
        <v>View Full Record in Web of Science</v>
      </c>
    </row>
    <row r="1637" s="5" customFormat="true" ht="12.75" hidden="false" customHeight="false" outlineLevel="0" collapsed="false">
      <c r="A1637" s="4" t="s">
        <v>72</v>
      </c>
      <c r="B1637" s="4" t="s">
        <v>28287</v>
      </c>
      <c r="C1637" s="4"/>
      <c r="D1637" s="4"/>
      <c r="E1637" s="4"/>
      <c r="F1637" s="4" t="s">
        <v>28288</v>
      </c>
      <c r="G1637" s="4"/>
      <c r="H1637" s="4"/>
      <c r="I1637" s="4" t="s">
        <v>28289</v>
      </c>
      <c r="J1637" s="4" t="s">
        <v>27497</v>
      </c>
      <c r="K1637" s="4"/>
      <c r="L1637" s="4"/>
      <c r="M1637" s="4" t="s">
        <v>77</v>
      </c>
      <c r="N1637" s="4" t="s">
        <v>78</v>
      </c>
      <c r="O1637" s="4"/>
      <c r="P1637" s="4"/>
      <c r="Q1637" s="4"/>
      <c r="R1637" s="4"/>
      <c r="S1637" s="4"/>
      <c r="T1637" s="1" t="s">
        <v>28290</v>
      </c>
      <c r="U1637" s="4" t="s">
        <v>28291</v>
      </c>
      <c r="V1637" s="4" t="s">
        <v>28292</v>
      </c>
      <c r="W1637" s="4" t="s">
        <v>28293</v>
      </c>
      <c r="X1637" s="4" t="s">
        <v>28294</v>
      </c>
      <c r="Y1637" s="4" t="s">
        <v>28295</v>
      </c>
      <c r="Z1637" s="4" t="s">
        <v>28296</v>
      </c>
      <c r="AA1637" s="4" t="s">
        <v>28297</v>
      </c>
      <c r="AB1637" s="4" t="s">
        <v>28298</v>
      </c>
      <c r="AC1637" s="4" t="s">
        <v>28299</v>
      </c>
      <c r="AD1637" s="4" t="s">
        <v>28300</v>
      </c>
      <c r="AE1637" s="4" t="s">
        <v>28301</v>
      </c>
      <c r="AF1637" s="4"/>
      <c r="AG1637" s="4" t="n">
        <v>33</v>
      </c>
      <c r="AH1637" s="4" t="n">
        <v>19</v>
      </c>
      <c r="AI1637" s="4" t="n">
        <v>20</v>
      </c>
      <c r="AJ1637" s="4" t="n">
        <v>0</v>
      </c>
      <c r="AK1637" s="4" t="n">
        <v>12</v>
      </c>
      <c r="AL1637" s="4" t="s">
        <v>27506</v>
      </c>
      <c r="AM1637" s="4" t="s">
        <v>27507</v>
      </c>
      <c r="AN1637" s="4" t="s">
        <v>27508</v>
      </c>
      <c r="AO1637" s="4" t="s">
        <v>27509</v>
      </c>
      <c r="AP1637" s="4"/>
      <c r="AQ1637" s="4"/>
      <c r="AR1637" s="4" t="s">
        <v>27497</v>
      </c>
      <c r="AS1637" s="4" t="s">
        <v>27510</v>
      </c>
      <c r="AT1637" s="4" t="s">
        <v>28302</v>
      </c>
      <c r="AU1637" s="4" t="n">
        <v>2019</v>
      </c>
      <c r="AV1637" s="4" t="n">
        <v>14</v>
      </c>
      <c r="AW1637" s="4" t="n">
        <v>3</v>
      </c>
      <c r="AX1637" s="4"/>
      <c r="AY1637" s="4"/>
      <c r="AZ1637" s="4"/>
      <c r="BA1637" s="4"/>
      <c r="BB1637" s="4"/>
      <c r="BC1637" s="4"/>
      <c r="BD1637" s="4" t="s">
        <v>28303</v>
      </c>
      <c r="BE1637" s="4" t="s">
        <v>28304</v>
      </c>
      <c r="BF1637" s="4" t="str">
        <f aca="false">HYPERLINK("http://dx.doi.org/10.1371/journal.pone.0214646","http://dx.doi.org/10.1371/journal.pone.0214646")</f>
        <v>http://dx.doi.org/10.1371/journal.pone.0214646</v>
      </c>
      <c r="BG1637" s="4"/>
      <c r="BH1637" s="4"/>
      <c r="BI1637" s="4" t="n">
        <v>14</v>
      </c>
      <c r="BJ1637" s="4" t="s">
        <v>1658</v>
      </c>
      <c r="BK1637" s="4" t="s">
        <v>100</v>
      </c>
      <c r="BL1637" s="4" t="s">
        <v>1659</v>
      </c>
      <c r="BM1637" s="4" t="s">
        <v>28305</v>
      </c>
      <c r="BN1637" s="4" t="n">
        <v>30921418</v>
      </c>
      <c r="BO1637" s="4" t="s">
        <v>6349</v>
      </c>
      <c r="BP1637" s="4"/>
      <c r="BQ1637" s="4"/>
      <c r="BR1637" s="4" t="s">
        <v>104</v>
      </c>
      <c r="BS1637" s="4" t="s">
        <v>28306</v>
      </c>
      <c r="BT1637" s="4" t="str">
        <f aca="false">HYPERLINK("https%3A%2F%2Fwww.webofscience.com%2Fwos%2Fwoscc%2Ffull-record%2FWOS:000462594000102","View Full Record in Web of Science")</f>
        <v>View Full Record in Web of Science</v>
      </c>
    </row>
    <row r="1638" s="5" customFormat="true" ht="12.75" hidden="false" customHeight="false" outlineLevel="0" collapsed="false">
      <c r="A1638" s="4" t="s">
        <v>72</v>
      </c>
      <c r="B1638" s="4" t="s">
        <v>28307</v>
      </c>
      <c r="C1638" s="4"/>
      <c r="D1638" s="4"/>
      <c r="E1638" s="4"/>
      <c r="F1638" s="4" t="s">
        <v>28308</v>
      </c>
      <c r="G1638" s="4"/>
      <c r="H1638" s="4"/>
      <c r="I1638" s="4" t="s">
        <v>28309</v>
      </c>
      <c r="J1638" s="4" t="s">
        <v>28310</v>
      </c>
      <c r="K1638" s="4"/>
      <c r="L1638" s="4"/>
      <c r="M1638" s="4" t="s">
        <v>77</v>
      </c>
      <c r="N1638" s="4" t="s">
        <v>78</v>
      </c>
      <c r="O1638" s="4"/>
      <c r="P1638" s="4"/>
      <c r="Q1638" s="4"/>
      <c r="R1638" s="4"/>
      <c r="S1638" s="4"/>
      <c r="T1638" s="1" t="s">
        <v>28311</v>
      </c>
      <c r="U1638" s="4" t="s">
        <v>28312</v>
      </c>
      <c r="V1638" s="4" t="s">
        <v>28313</v>
      </c>
      <c r="W1638" s="4" t="s">
        <v>28314</v>
      </c>
      <c r="X1638" s="4" t="s">
        <v>28315</v>
      </c>
      <c r="Y1638" s="4" t="s">
        <v>28316</v>
      </c>
      <c r="Z1638" s="4" t="s">
        <v>28317</v>
      </c>
      <c r="AA1638" s="4" t="s">
        <v>28318</v>
      </c>
      <c r="AB1638" s="4" t="s">
        <v>28319</v>
      </c>
      <c r="AC1638" s="4"/>
      <c r="AD1638" s="4"/>
      <c r="AE1638" s="4"/>
      <c r="AF1638" s="4"/>
      <c r="AG1638" s="4" t="n">
        <v>36</v>
      </c>
      <c r="AH1638" s="4" t="n">
        <v>46</v>
      </c>
      <c r="AI1638" s="4" t="n">
        <v>54</v>
      </c>
      <c r="AJ1638" s="4" t="n">
        <v>0</v>
      </c>
      <c r="AK1638" s="4" t="n">
        <v>6</v>
      </c>
      <c r="AL1638" s="4" t="s">
        <v>2337</v>
      </c>
      <c r="AM1638" s="4" t="s">
        <v>303</v>
      </c>
      <c r="AN1638" s="4" t="s">
        <v>28320</v>
      </c>
      <c r="AO1638" s="4" t="s">
        <v>28321</v>
      </c>
      <c r="AP1638" s="4"/>
      <c r="AQ1638" s="4"/>
      <c r="AR1638" s="4" t="s">
        <v>28322</v>
      </c>
      <c r="AS1638" s="4" t="s">
        <v>28323</v>
      </c>
      <c r="AT1638" s="4" t="s">
        <v>16772</v>
      </c>
      <c r="AU1638" s="4" t="n">
        <v>2007</v>
      </c>
      <c r="AV1638" s="4" t="n">
        <v>8</v>
      </c>
      <c r="AW1638" s="4"/>
      <c r="AX1638" s="4"/>
      <c r="AY1638" s="4"/>
      <c r="AZ1638" s="4"/>
      <c r="BA1638" s="4"/>
      <c r="BB1638" s="4"/>
      <c r="BC1638" s="4"/>
      <c r="BD1638" s="4" t="n">
        <v>6</v>
      </c>
      <c r="BE1638" s="4" t="s">
        <v>28324</v>
      </c>
      <c r="BF1638" s="4" t="str">
        <f aca="false">HYPERLINK("http://dx.doi.org/10.1186/1465-9921-8-6","http://dx.doi.org/10.1186/1465-9921-8-6")</f>
        <v>http://dx.doi.org/10.1186/1465-9921-8-6</v>
      </c>
      <c r="BG1638" s="4"/>
      <c r="BH1638" s="4"/>
      <c r="BI1638" s="4" t="n">
        <v>10</v>
      </c>
      <c r="BJ1638" s="4" t="s">
        <v>338</v>
      </c>
      <c r="BK1638" s="4" t="s">
        <v>100</v>
      </c>
      <c r="BL1638" s="4" t="s">
        <v>338</v>
      </c>
      <c r="BM1638" s="4" t="s">
        <v>28325</v>
      </c>
      <c r="BN1638" s="4" t="n">
        <v>17257445</v>
      </c>
      <c r="BO1638" s="4" t="s">
        <v>190</v>
      </c>
      <c r="BP1638" s="4"/>
      <c r="BQ1638" s="4"/>
      <c r="BR1638" s="4" t="s">
        <v>104</v>
      </c>
      <c r="BS1638" s="4" t="s">
        <v>28326</v>
      </c>
      <c r="BT1638" s="4" t="str">
        <f aca="false">HYPERLINK("https%3A%2F%2Fwww.webofscience.com%2Fwos%2Fwoscc%2Ffull-record%2FWOS:000244018600001","View Full Record in Web of Science")</f>
        <v>View Full Record in Web of Science</v>
      </c>
    </row>
    <row r="1639" s="5" customFormat="true" ht="12.75" hidden="false" customHeight="false" outlineLevel="0" collapsed="false">
      <c r="A1639" s="4" t="s">
        <v>72</v>
      </c>
      <c r="B1639" s="4" t="s">
        <v>28327</v>
      </c>
      <c r="C1639" s="4"/>
      <c r="D1639" s="4"/>
      <c r="E1639" s="4"/>
      <c r="F1639" s="4" t="s">
        <v>28327</v>
      </c>
      <c r="G1639" s="4"/>
      <c r="H1639" s="4"/>
      <c r="I1639" s="4" t="s">
        <v>28328</v>
      </c>
      <c r="J1639" s="4" t="s">
        <v>27548</v>
      </c>
      <c r="K1639" s="4"/>
      <c r="L1639" s="4"/>
      <c r="M1639" s="4" t="s">
        <v>77</v>
      </c>
      <c r="N1639" s="4" t="s">
        <v>78</v>
      </c>
      <c r="O1639" s="4"/>
      <c r="P1639" s="4"/>
      <c r="Q1639" s="4"/>
      <c r="R1639" s="4"/>
      <c r="S1639" s="4"/>
      <c r="T1639" s="1" t="s">
        <v>28329</v>
      </c>
      <c r="U1639" s="4" t="s">
        <v>28330</v>
      </c>
      <c r="V1639" s="4" t="s">
        <v>28331</v>
      </c>
      <c r="W1639" s="4" t="s">
        <v>28332</v>
      </c>
      <c r="X1639" s="4" t="s">
        <v>28333</v>
      </c>
      <c r="Y1639" s="4" t="s">
        <v>28334</v>
      </c>
      <c r="Z1639" s="4"/>
      <c r="AA1639" s="4" t="s">
        <v>28335</v>
      </c>
      <c r="AB1639" s="4"/>
      <c r="AC1639" s="4"/>
      <c r="AD1639" s="4"/>
      <c r="AE1639" s="4"/>
      <c r="AF1639" s="4"/>
      <c r="AG1639" s="4" t="n">
        <v>14</v>
      </c>
      <c r="AH1639" s="4" t="n">
        <v>230</v>
      </c>
      <c r="AI1639" s="4" t="n">
        <v>256</v>
      </c>
      <c r="AJ1639" s="4" t="n">
        <v>0</v>
      </c>
      <c r="AK1639" s="4" t="n">
        <v>1</v>
      </c>
      <c r="AL1639" s="4" t="s">
        <v>27960</v>
      </c>
      <c r="AM1639" s="4" t="s">
        <v>27561</v>
      </c>
      <c r="AN1639" s="4" t="s">
        <v>27961</v>
      </c>
      <c r="AO1639" s="4" t="s">
        <v>27563</v>
      </c>
      <c r="AP1639" s="4"/>
      <c r="AQ1639" s="4"/>
      <c r="AR1639" s="4" t="s">
        <v>27565</v>
      </c>
      <c r="AS1639" s="4" t="s">
        <v>27566</v>
      </c>
      <c r="AT1639" s="4" t="s">
        <v>129</v>
      </c>
      <c r="AU1639" s="4" t="n">
        <v>2002</v>
      </c>
      <c r="AV1639" s="4" t="n">
        <v>8</v>
      </c>
      <c r="AW1639" s="4" t="n">
        <v>9</v>
      </c>
      <c r="AX1639" s="4"/>
      <c r="AY1639" s="4"/>
      <c r="AZ1639" s="4"/>
      <c r="BA1639" s="4"/>
      <c r="BB1639" s="4" t="n">
        <v>897</v>
      </c>
      <c r="BC1639" s="4" t="n">
        <v>901</v>
      </c>
      <c r="BD1639" s="4"/>
      <c r="BE1639" s="4" t="s">
        <v>28336</v>
      </c>
      <c r="BF1639" s="4" t="str">
        <f aca="false">HYPERLINK("http://dx.doi.org/10.3201/eid0809.020084","http://dx.doi.org/10.3201/eid0809.020084")</f>
        <v>http://dx.doi.org/10.3201/eid0809.020084</v>
      </c>
      <c r="BG1639" s="4"/>
      <c r="BH1639" s="4"/>
      <c r="BI1639" s="4" t="n">
        <v>5</v>
      </c>
      <c r="BJ1639" s="4" t="s">
        <v>965</v>
      </c>
      <c r="BK1639" s="4" t="s">
        <v>100</v>
      </c>
      <c r="BL1639" s="4" t="s">
        <v>965</v>
      </c>
      <c r="BM1639" s="4" t="s">
        <v>28337</v>
      </c>
      <c r="BN1639" s="4" t="n">
        <v>12194763</v>
      </c>
      <c r="BO1639" s="4" t="s">
        <v>103</v>
      </c>
      <c r="BP1639" s="4"/>
      <c r="BQ1639" s="4"/>
      <c r="BR1639" s="4" t="s">
        <v>104</v>
      </c>
      <c r="BS1639" s="4" t="s">
        <v>28338</v>
      </c>
      <c r="BT1639" s="4" t="str">
        <f aca="false">HYPERLINK("https%3A%2F%2Fwww.webofscience.com%2Fwos%2Fwoscc%2Ffull-record%2FWOS:000177728700003","View Full Record in Web of Science")</f>
        <v>View Full Record in Web of Science</v>
      </c>
    </row>
    <row r="1640" s="5" customFormat="true" ht="12.75" hidden="false" customHeight="false" outlineLevel="0" collapsed="false">
      <c r="A1640" s="4" t="s">
        <v>72</v>
      </c>
      <c r="B1640" s="4" t="s">
        <v>28339</v>
      </c>
      <c r="C1640" s="4"/>
      <c r="D1640" s="4"/>
      <c r="E1640" s="4"/>
      <c r="F1640" s="4" t="s">
        <v>28340</v>
      </c>
      <c r="G1640" s="4"/>
      <c r="H1640" s="4"/>
      <c r="I1640" s="4" t="s">
        <v>28341</v>
      </c>
      <c r="J1640" s="4" t="s">
        <v>27497</v>
      </c>
      <c r="K1640" s="4"/>
      <c r="L1640" s="4"/>
      <c r="M1640" s="4" t="s">
        <v>77</v>
      </c>
      <c r="N1640" s="4" t="s">
        <v>78</v>
      </c>
      <c r="O1640" s="4"/>
      <c r="P1640" s="4"/>
      <c r="Q1640" s="4"/>
      <c r="R1640" s="4"/>
      <c r="S1640" s="4"/>
      <c r="T1640" s="1" t="s">
        <v>28342</v>
      </c>
      <c r="U1640" s="4" t="s">
        <v>28343</v>
      </c>
      <c r="V1640" s="4" t="s">
        <v>28344</v>
      </c>
      <c r="W1640" s="4" t="s">
        <v>28345</v>
      </c>
      <c r="X1640" s="4" t="s">
        <v>5772</v>
      </c>
      <c r="Y1640" s="4" t="s">
        <v>28346</v>
      </c>
      <c r="Z1640" s="4" t="s">
        <v>28347</v>
      </c>
      <c r="AA1640" s="4" t="s">
        <v>27651</v>
      </c>
      <c r="AB1640" s="4"/>
      <c r="AC1640" s="4" t="s">
        <v>28348</v>
      </c>
      <c r="AD1640" s="4" t="s">
        <v>28349</v>
      </c>
      <c r="AE1640" s="4" t="s">
        <v>28350</v>
      </c>
      <c r="AF1640" s="4"/>
      <c r="AG1640" s="4" t="n">
        <v>62</v>
      </c>
      <c r="AH1640" s="4" t="n">
        <v>30</v>
      </c>
      <c r="AI1640" s="4" t="n">
        <v>35</v>
      </c>
      <c r="AJ1640" s="4" t="n">
        <v>0</v>
      </c>
      <c r="AK1640" s="4" t="n">
        <v>1</v>
      </c>
      <c r="AL1640" s="4" t="s">
        <v>27506</v>
      </c>
      <c r="AM1640" s="4" t="s">
        <v>27507</v>
      </c>
      <c r="AN1640" s="4" t="s">
        <v>27508</v>
      </c>
      <c r="AO1640" s="4" t="s">
        <v>27509</v>
      </c>
      <c r="AP1640" s="4"/>
      <c r="AQ1640" s="4"/>
      <c r="AR1640" s="4" t="s">
        <v>27497</v>
      </c>
      <c r="AS1640" s="4" t="s">
        <v>27510</v>
      </c>
      <c r="AT1640" s="4" t="s">
        <v>28351</v>
      </c>
      <c r="AU1640" s="4" t="n">
        <v>2011</v>
      </c>
      <c r="AV1640" s="4" t="n">
        <v>6</v>
      </c>
      <c r="AW1640" s="4" t="n">
        <v>9</v>
      </c>
      <c r="AX1640" s="4"/>
      <c r="AY1640" s="4"/>
      <c r="AZ1640" s="4"/>
      <c r="BA1640" s="4"/>
      <c r="BB1640" s="4"/>
      <c r="BC1640" s="4"/>
      <c r="BD1640" s="4" t="s">
        <v>28352</v>
      </c>
      <c r="BE1640" s="4" t="s">
        <v>28353</v>
      </c>
      <c r="BF1640" s="4" t="str">
        <f aca="false">HYPERLINK("http://dx.doi.org/10.1371/journal.pone.0024496","http://dx.doi.org/10.1371/journal.pone.0024496")</f>
        <v>http://dx.doi.org/10.1371/journal.pone.0024496</v>
      </c>
      <c r="BG1640" s="4"/>
      <c r="BH1640" s="4"/>
      <c r="BI1640" s="4" t="n">
        <v>11</v>
      </c>
      <c r="BJ1640" s="4" t="s">
        <v>1658</v>
      </c>
      <c r="BK1640" s="4" t="s">
        <v>100</v>
      </c>
      <c r="BL1640" s="4" t="s">
        <v>1659</v>
      </c>
      <c r="BM1640" s="4" t="s">
        <v>28354</v>
      </c>
      <c r="BN1640" s="4" t="n">
        <v>21949722</v>
      </c>
      <c r="BO1640" s="4" t="s">
        <v>6349</v>
      </c>
      <c r="BP1640" s="4"/>
      <c r="BQ1640" s="4"/>
      <c r="BR1640" s="4" t="s">
        <v>104</v>
      </c>
      <c r="BS1640" s="4" t="s">
        <v>28355</v>
      </c>
      <c r="BT1640" s="4" t="str">
        <f aca="false">HYPERLINK("https%3A%2F%2Fwww.webofscience.com%2Fwos%2Fwoscc%2Ffull-record%2FWOS:000295257900018","View Full Record in Web of Science")</f>
        <v>View Full Record in Web of Science</v>
      </c>
    </row>
    <row r="1641" s="5" customFormat="true" ht="12.75" hidden="false" customHeight="false" outlineLevel="0" collapsed="false">
      <c r="A1641" s="4" t="s">
        <v>72</v>
      </c>
      <c r="B1641" s="4" t="s">
        <v>28356</v>
      </c>
      <c r="C1641" s="4"/>
      <c r="D1641" s="4"/>
      <c r="E1641" s="4"/>
      <c r="F1641" s="4" t="s">
        <v>28356</v>
      </c>
      <c r="G1641" s="4"/>
      <c r="H1641" s="4"/>
      <c r="I1641" s="4" t="s">
        <v>28357</v>
      </c>
      <c r="J1641" s="4" t="s">
        <v>28358</v>
      </c>
      <c r="K1641" s="4"/>
      <c r="L1641" s="4"/>
      <c r="M1641" s="4" t="s">
        <v>77</v>
      </c>
      <c r="N1641" s="4" t="s">
        <v>78</v>
      </c>
      <c r="O1641" s="4"/>
      <c r="P1641" s="4"/>
      <c r="Q1641" s="4"/>
      <c r="R1641" s="4"/>
      <c r="S1641" s="4"/>
      <c r="T1641" s="1" t="s">
        <v>28359</v>
      </c>
      <c r="U1641" s="4" t="s">
        <v>28360</v>
      </c>
      <c r="V1641" s="4" t="s">
        <v>28361</v>
      </c>
      <c r="W1641" s="4" t="s">
        <v>13850</v>
      </c>
      <c r="X1641" s="4" t="s">
        <v>13851</v>
      </c>
      <c r="Y1641" s="4" t="s">
        <v>17884</v>
      </c>
      <c r="Z1641" s="4" t="s">
        <v>13853</v>
      </c>
      <c r="AA1641" s="4" t="s">
        <v>13854</v>
      </c>
      <c r="AB1641" s="4" t="s">
        <v>28362</v>
      </c>
      <c r="AC1641" s="4"/>
      <c r="AD1641" s="4"/>
      <c r="AE1641" s="4"/>
      <c r="AF1641" s="4"/>
      <c r="AG1641" s="4" t="n">
        <v>29</v>
      </c>
      <c r="AH1641" s="4" t="n">
        <v>19</v>
      </c>
      <c r="AI1641" s="4" t="n">
        <v>24</v>
      </c>
      <c r="AJ1641" s="4" t="n">
        <v>0</v>
      </c>
      <c r="AK1641" s="4" t="n">
        <v>1</v>
      </c>
      <c r="AL1641" s="4" t="s">
        <v>755</v>
      </c>
      <c r="AM1641" s="4" t="s">
        <v>273</v>
      </c>
      <c r="AN1641" s="4" t="s">
        <v>756</v>
      </c>
      <c r="AO1641" s="4" t="s">
        <v>28363</v>
      </c>
      <c r="AP1641" s="4"/>
      <c r="AQ1641" s="4"/>
      <c r="AR1641" s="4" t="s">
        <v>28364</v>
      </c>
      <c r="AS1641" s="4" t="s">
        <v>28365</v>
      </c>
      <c r="AT1641" s="4" t="s">
        <v>161</v>
      </c>
      <c r="AU1641" s="4" t="n">
        <v>2005</v>
      </c>
      <c r="AV1641" s="4" t="n">
        <v>12</v>
      </c>
      <c r="AW1641" s="4" t="n">
        <v>1</v>
      </c>
      <c r="AX1641" s="4"/>
      <c r="AY1641" s="4"/>
      <c r="AZ1641" s="4"/>
      <c r="BA1641" s="4"/>
      <c r="BB1641" s="4" t="n">
        <v>202</v>
      </c>
      <c r="BC1641" s="4" t="n">
        <v>205</v>
      </c>
      <c r="BD1641" s="4"/>
      <c r="BE1641" s="4" t="s">
        <v>28366</v>
      </c>
      <c r="BF1641" s="4" t="str">
        <f aca="false">HYPERLINK("http://dx.doi.org/10.1128/CDLI.12.1.202-205.2005","http://dx.doi.org/10.1128/CDLI.12.1.202-205.2005")</f>
        <v>http://dx.doi.org/10.1128/CDLI.12.1.202-205.2005</v>
      </c>
      <c r="BG1641" s="4"/>
      <c r="BH1641" s="4"/>
      <c r="BI1641" s="4" t="n">
        <v>4</v>
      </c>
      <c r="BJ1641" s="4" t="s">
        <v>536</v>
      </c>
      <c r="BK1641" s="4" t="s">
        <v>100</v>
      </c>
      <c r="BL1641" s="4" t="s">
        <v>536</v>
      </c>
      <c r="BM1641" s="4" t="s">
        <v>28367</v>
      </c>
      <c r="BN1641" s="4" t="n">
        <v>15643008</v>
      </c>
      <c r="BO1641" s="4" t="s">
        <v>190</v>
      </c>
      <c r="BP1641" s="4"/>
      <c r="BQ1641" s="4"/>
      <c r="BR1641" s="4" t="s">
        <v>104</v>
      </c>
      <c r="BS1641" s="4" t="s">
        <v>28368</v>
      </c>
      <c r="BT1641" s="4" t="str">
        <f aca="false">HYPERLINK("https%3A%2F%2Fwww.webofscience.com%2Fwos%2Fwoscc%2Ffull-record%2FWOS:000227271800029","View Full Record in Web of Science")</f>
        <v>View Full Record in Web of Science</v>
      </c>
    </row>
    <row r="1642" s="5" customFormat="true" ht="12.75" hidden="false" customHeight="false" outlineLevel="0" collapsed="false">
      <c r="A1642" s="4" t="s">
        <v>72</v>
      </c>
      <c r="B1642" s="4" t="s">
        <v>28369</v>
      </c>
      <c r="C1642" s="4"/>
      <c r="D1642" s="4"/>
      <c r="E1642" s="4"/>
      <c r="F1642" s="4" t="s">
        <v>28370</v>
      </c>
      <c r="G1642" s="4"/>
      <c r="H1642" s="4"/>
      <c r="I1642" s="4" t="s">
        <v>28371</v>
      </c>
      <c r="J1642" s="4" t="s">
        <v>28372</v>
      </c>
      <c r="K1642" s="4"/>
      <c r="L1642" s="4"/>
      <c r="M1642" s="4" t="s">
        <v>77</v>
      </c>
      <c r="N1642" s="4" t="s">
        <v>78</v>
      </c>
      <c r="O1642" s="4"/>
      <c r="P1642" s="4"/>
      <c r="Q1642" s="4"/>
      <c r="R1642" s="4"/>
      <c r="S1642" s="4"/>
      <c r="T1642" s="1" t="s">
        <v>28373</v>
      </c>
      <c r="U1642" s="4" t="s">
        <v>28374</v>
      </c>
      <c r="V1642" s="4" t="s">
        <v>28375</v>
      </c>
      <c r="W1642" s="4" t="s">
        <v>28376</v>
      </c>
      <c r="X1642" s="4" t="s">
        <v>28377</v>
      </c>
      <c r="Y1642" s="4" t="s">
        <v>28378</v>
      </c>
      <c r="Z1642" s="4" t="s">
        <v>28379</v>
      </c>
      <c r="AA1642" s="4" t="s">
        <v>28380</v>
      </c>
      <c r="AB1642" s="4" t="s">
        <v>28381</v>
      </c>
      <c r="AC1642" s="4" t="s">
        <v>28382</v>
      </c>
      <c r="AD1642" s="4" t="s">
        <v>28383</v>
      </c>
      <c r="AE1642" s="4" t="s">
        <v>28384</v>
      </c>
      <c r="AF1642" s="4"/>
      <c r="AG1642" s="4" t="n">
        <v>82</v>
      </c>
      <c r="AH1642" s="4" t="n">
        <v>10</v>
      </c>
      <c r="AI1642" s="4" t="n">
        <v>11</v>
      </c>
      <c r="AJ1642" s="4" t="n">
        <v>5</v>
      </c>
      <c r="AK1642" s="4" t="n">
        <v>9</v>
      </c>
      <c r="AL1642" s="4" t="s">
        <v>1704</v>
      </c>
      <c r="AM1642" s="4" t="s">
        <v>1705</v>
      </c>
      <c r="AN1642" s="4" t="s">
        <v>1706</v>
      </c>
      <c r="AO1642" s="4" t="s">
        <v>28385</v>
      </c>
      <c r="AP1642" s="4"/>
      <c r="AQ1642" s="4"/>
      <c r="AR1642" s="4" t="s">
        <v>28386</v>
      </c>
      <c r="AS1642" s="4" t="s">
        <v>28387</v>
      </c>
      <c r="AT1642" s="4" t="s">
        <v>28388</v>
      </c>
      <c r="AU1642" s="4" t="n">
        <v>2022</v>
      </c>
      <c r="AV1642" s="4" t="n">
        <v>40</v>
      </c>
      <c r="AW1642" s="4" t="n">
        <v>12</v>
      </c>
      <c r="AX1642" s="4"/>
      <c r="AY1642" s="4"/>
      <c r="AZ1642" s="4"/>
      <c r="BA1642" s="4"/>
      <c r="BB1642" s="4"/>
      <c r="BC1642" s="4"/>
      <c r="BD1642" s="4" t="n">
        <v>111399</v>
      </c>
      <c r="BE1642" s="4" t="s">
        <v>28389</v>
      </c>
      <c r="BF1642" s="4" t="str">
        <f aca="false">HYPERLINK("http://dx.doi.org/10.1016/j.celrep.2022.111399","http://dx.doi.org/10.1016/j.celrep.2022.111399")</f>
        <v>http://dx.doi.org/10.1016/j.celrep.2022.111399</v>
      </c>
      <c r="BG1642" s="4"/>
      <c r="BH1642" s="4" t="s">
        <v>6262</v>
      </c>
      <c r="BI1642" s="4" t="n">
        <v>20</v>
      </c>
      <c r="BJ1642" s="4" t="s">
        <v>28390</v>
      </c>
      <c r="BK1642" s="4" t="s">
        <v>100</v>
      </c>
      <c r="BL1642" s="4" t="s">
        <v>28390</v>
      </c>
      <c r="BM1642" s="4" t="s">
        <v>28391</v>
      </c>
      <c r="BN1642" s="4" t="n">
        <v>36130517</v>
      </c>
      <c r="BO1642" s="4" t="s">
        <v>3201</v>
      </c>
      <c r="BP1642" s="4"/>
      <c r="BQ1642" s="4"/>
      <c r="BR1642" s="4" t="s">
        <v>104</v>
      </c>
      <c r="BS1642" s="4" t="s">
        <v>28392</v>
      </c>
      <c r="BT1642" s="4" t="str">
        <f aca="false">HYPERLINK("https%3A%2F%2Fwww.webofscience.com%2Fwos%2Fwoscc%2Ffull-record%2FWOS:000876933100008","View Full Record in Web of Science")</f>
        <v>View Full Record in Web of Science</v>
      </c>
    </row>
    <row r="1643" s="5" customFormat="true" ht="12.75" hidden="false" customHeight="false" outlineLevel="0" collapsed="false">
      <c r="A1643" s="4" t="s">
        <v>72</v>
      </c>
      <c r="B1643" s="4" t="s">
        <v>28393</v>
      </c>
      <c r="C1643" s="4"/>
      <c r="D1643" s="4"/>
      <c r="E1643" s="4"/>
      <c r="F1643" s="4" t="s">
        <v>28394</v>
      </c>
      <c r="G1643" s="4"/>
      <c r="H1643" s="4"/>
      <c r="I1643" s="4" t="s">
        <v>28395</v>
      </c>
      <c r="J1643" s="4" t="s">
        <v>8945</v>
      </c>
      <c r="K1643" s="4"/>
      <c r="L1643" s="4"/>
      <c r="M1643" s="4" t="s">
        <v>77</v>
      </c>
      <c r="N1643" s="4" t="s">
        <v>78</v>
      </c>
      <c r="O1643" s="4"/>
      <c r="P1643" s="4"/>
      <c r="Q1643" s="4"/>
      <c r="R1643" s="4"/>
      <c r="S1643" s="4"/>
      <c r="T1643" s="1" t="s">
        <v>28396</v>
      </c>
      <c r="U1643" s="4" t="s">
        <v>28397</v>
      </c>
      <c r="V1643" s="4" t="s">
        <v>28398</v>
      </c>
      <c r="W1643" s="4" t="s">
        <v>28399</v>
      </c>
      <c r="X1643" s="4" t="s">
        <v>28400</v>
      </c>
      <c r="Y1643" s="4" t="s">
        <v>28401</v>
      </c>
      <c r="Z1643" s="4" t="s">
        <v>28402</v>
      </c>
      <c r="AA1643" s="4" t="s">
        <v>28403</v>
      </c>
      <c r="AB1643" s="4" t="s">
        <v>28404</v>
      </c>
      <c r="AC1643" s="4"/>
      <c r="AD1643" s="4"/>
      <c r="AE1643" s="4"/>
      <c r="AF1643" s="4"/>
      <c r="AG1643" s="4" t="n">
        <v>32</v>
      </c>
      <c r="AH1643" s="4" t="n">
        <v>16</v>
      </c>
      <c r="AI1643" s="4" t="n">
        <v>18</v>
      </c>
      <c r="AJ1643" s="4" t="n">
        <v>0</v>
      </c>
      <c r="AK1643" s="4" t="n">
        <v>1</v>
      </c>
      <c r="AL1643" s="4" t="s">
        <v>8957</v>
      </c>
      <c r="AM1643" s="4" t="s">
        <v>303</v>
      </c>
      <c r="AN1643" s="4" t="s">
        <v>8958</v>
      </c>
      <c r="AO1643" s="4" t="s">
        <v>8959</v>
      </c>
      <c r="AP1643" s="4" t="s">
        <v>8960</v>
      </c>
      <c r="AQ1643" s="4"/>
      <c r="AR1643" s="4" t="s">
        <v>8961</v>
      </c>
      <c r="AS1643" s="4" t="s">
        <v>8962</v>
      </c>
      <c r="AT1643" s="4"/>
      <c r="AU1643" s="4" t="n">
        <v>2008</v>
      </c>
      <c r="AV1643" s="4" t="n">
        <v>40</v>
      </c>
      <c r="AW1643" s="4" t="n">
        <v>10</v>
      </c>
      <c r="AX1643" s="4"/>
      <c r="AY1643" s="4"/>
      <c r="AZ1643" s="4"/>
      <c r="BA1643" s="4"/>
      <c r="BB1643" s="4" t="n">
        <v>821</v>
      </c>
      <c r="BC1643" s="4" t="n">
        <v>826</v>
      </c>
      <c r="BD1643" s="4"/>
      <c r="BE1643" s="4" t="s">
        <v>28405</v>
      </c>
      <c r="BF1643" s="4" t="str">
        <f aca="false">HYPERLINK("http://dx.doi.org/10.1080/00365540802227110","http://dx.doi.org/10.1080/00365540802227110")</f>
        <v>http://dx.doi.org/10.1080/00365540802227110</v>
      </c>
      <c r="BG1643" s="4"/>
      <c r="BH1643" s="4"/>
      <c r="BI1643" s="4" t="n">
        <v>6</v>
      </c>
      <c r="BJ1643" s="4" t="s">
        <v>575</v>
      </c>
      <c r="BK1643" s="4" t="s">
        <v>100</v>
      </c>
      <c r="BL1643" s="4" t="s">
        <v>575</v>
      </c>
      <c r="BM1643" s="4" t="s">
        <v>28406</v>
      </c>
      <c r="BN1643" s="4" t="n">
        <v>18618373</v>
      </c>
      <c r="BO1643" s="4"/>
      <c r="BP1643" s="4"/>
      <c r="BQ1643" s="4"/>
      <c r="BR1643" s="4" t="s">
        <v>104</v>
      </c>
      <c r="BS1643" s="4" t="s">
        <v>28407</v>
      </c>
      <c r="BT1643" s="4" t="str">
        <f aca="false">HYPERLINK("https%3A%2F%2Fwww.webofscience.com%2Fwos%2Fwoscc%2Ffull-record%2FWOS:000259239700009","View Full Record in Web of Science")</f>
        <v>View Full Record in Web of Science</v>
      </c>
    </row>
    <row r="1644" s="5" customFormat="true" ht="12.75" hidden="false" customHeight="false" outlineLevel="0" collapsed="false">
      <c r="A1644" s="4" t="s">
        <v>72</v>
      </c>
      <c r="B1644" s="4" t="s">
        <v>28408</v>
      </c>
      <c r="C1644" s="4"/>
      <c r="D1644" s="4"/>
      <c r="E1644" s="4"/>
      <c r="F1644" s="4" t="s">
        <v>28409</v>
      </c>
      <c r="G1644" s="4"/>
      <c r="H1644" s="4"/>
      <c r="I1644" s="4" t="s">
        <v>28410</v>
      </c>
      <c r="J1644" s="4" t="s">
        <v>742</v>
      </c>
      <c r="K1644" s="4"/>
      <c r="L1644" s="4"/>
      <c r="M1644" s="4" t="s">
        <v>77</v>
      </c>
      <c r="N1644" s="4" t="s">
        <v>78</v>
      </c>
      <c r="O1644" s="4"/>
      <c r="P1644" s="4"/>
      <c r="Q1644" s="4"/>
      <c r="R1644" s="4"/>
      <c r="S1644" s="4"/>
      <c r="T1644" s="1" t="s">
        <v>28411</v>
      </c>
      <c r="U1644" s="4" t="s">
        <v>28412</v>
      </c>
      <c r="V1644" s="4" t="s">
        <v>28413</v>
      </c>
      <c r="W1644" s="4" t="s">
        <v>28414</v>
      </c>
      <c r="X1644" s="4" t="s">
        <v>28415</v>
      </c>
      <c r="Y1644" s="4" t="s">
        <v>28416</v>
      </c>
      <c r="Z1644" s="4" t="s">
        <v>27699</v>
      </c>
      <c r="AA1644" s="4" t="s">
        <v>13534</v>
      </c>
      <c r="AB1644" s="4" t="s">
        <v>28417</v>
      </c>
      <c r="AC1644" s="4" t="s">
        <v>28418</v>
      </c>
      <c r="AD1644" s="4" t="s">
        <v>28418</v>
      </c>
      <c r="AE1644" s="4" t="s">
        <v>28419</v>
      </c>
      <c r="AF1644" s="4"/>
      <c r="AG1644" s="4" t="n">
        <v>80</v>
      </c>
      <c r="AH1644" s="4" t="n">
        <v>28</v>
      </c>
      <c r="AI1644" s="4" t="n">
        <v>31</v>
      </c>
      <c r="AJ1644" s="4" t="n">
        <v>0</v>
      </c>
      <c r="AK1644" s="4" t="n">
        <v>4</v>
      </c>
      <c r="AL1644" s="4" t="s">
        <v>755</v>
      </c>
      <c r="AM1644" s="4" t="s">
        <v>273</v>
      </c>
      <c r="AN1644" s="4" t="s">
        <v>756</v>
      </c>
      <c r="AO1644" s="4" t="s">
        <v>757</v>
      </c>
      <c r="AP1644" s="4" t="s">
        <v>758</v>
      </c>
      <c r="AQ1644" s="4"/>
      <c r="AR1644" s="4" t="s">
        <v>759</v>
      </c>
      <c r="AS1644" s="4" t="s">
        <v>760</v>
      </c>
      <c r="AT1644" s="4" t="s">
        <v>599</v>
      </c>
      <c r="AU1644" s="4" t="n">
        <v>2009</v>
      </c>
      <c r="AV1644" s="4" t="n">
        <v>83</v>
      </c>
      <c r="AW1644" s="4" t="n">
        <v>13</v>
      </c>
      <c r="AX1644" s="4"/>
      <c r="AY1644" s="4"/>
      <c r="AZ1644" s="4"/>
      <c r="BA1644" s="4"/>
      <c r="BB1644" s="4" t="n">
        <v>6837</v>
      </c>
      <c r="BC1644" s="4" t="n">
        <v>6848</v>
      </c>
      <c r="BD1644" s="4"/>
      <c r="BE1644" s="4" t="s">
        <v>28420</v>
      </c>
      <c r="BF1644" s="4" t="str">
        <f aca="false">HYPERLINK("http://dx.doi.org/10.1128/JVI.00379-09","http://dx.doi.org/10.1128/JVI.00379-09")</f>
        <v>http://dx.doi.org/10.1128/JVI.00379-09</v>
      </c>
      <c r="BG1644" s="4"/>
      <c r="BH1644" s="4"/>
      <c r="BI1644" s="4" t="n">
        <v>12</v>
      </c>
      <c r="BJ1644" s="4" t="s">
        <v>163</v>
      </c>
      <c r="BK1644" s="4" t="s">
        <v>100</v>
      </c>
      <c r="BL1644" s="4" t="s">
        <v>163</v>
      </c>
      <c r="BM1644" s="4" t="s">
        <v>28421</v>
      </c>
      <c r="BN1644" s="4" t="n">
        <v>19357175</v>
      </c>
      <c r="BO1644" s="4" t="s">
        <v>165</v>
      </c>
      <c r="BP1644" s="4"/>
      <c r="BQ1644" s="4"/>
      <c r="BR1644" s="4" t="s">
        <v>104</v>
      </c>
      <c r="BS1644" s="4" t="s">
        <v>28422</v>
      </c>
      <c r="BT1644" s="4" t="str">
        <f aca="false">HYPERLINK("https%3A%2F%2Fwww.webofscience.com%2Fwos%2Fwoscc%2Ffull-record%2FWOS:000267354100050","View Full Record in Web of Science")</f>
        <v>View Full Record in Web of Science</v>
      </c>
    </row>
    <row r="1645" s="5" customFormat="true" ht="12.75" hidden="false" customHeight="false" outlineLevel="0" collapsed="false">
      <c r="A1645" s="4" t="s">
        <v>72</v>
      </c>
      <c r="B1645" s="4" t="s">
        <v>28423</v>
      </c>
      <c r="C1645" s="4"/>
      <c r="D1645" s="4"/>
      <c r="E1645" s="4"/>
      <c r="F1645" s="4" t="s">
        <v>28424</v>
      </c>
      <c r="G1645" s="4"/>
      <c r="H1645" s="4"/>
      <c r="I1645" s="4" t="s">
        <v>28425</v>
      </c>
      <c r="J1645" s="4" t="s">
        <v>7145</v>
      </c>
      <c r="K1645" s="4"/>
      <c r="L1645" s="4"/>
      <c r="M1645" s="4" t="s">
        <v>77</v>
      </c>
      <c r="N1645" s="4" t="s">
        <v>78</v>
      </c>
      <c r="O1645" s="4"/>
      <c r="P1645" s="4"/>
      <c r="Q1645" s="4"/>
      <c r="R1645" s="4"/>
      <c r="S1645" s="4"/>
      <c r="T1645" s="1" t="s">
        <v>28426</v>
      </c>
      <c r="U1645" s="4" t="s">
        <v>28427</v>
      </c>
      <c r="V1645" s="4" t="s">
        <v>28428</v>
      </c>
      <c r="W1645" s="4" t="s">
        <v>28429</v>
      </c>
      <c r="X1645" s="4" t="s">
        <v>12353</v>
      </c>
      <c r="Y1645" s="4" t="s">
        <v>28430</v>
      </c>
      <c r="Z1645" s="4" t="s">
        <v>12355</v>
      </c>
      <c r="AA1645" s="4"/>
      <c r="AB1645" s="4" t="s">
        <v>2414</v>
      </c>
      <c r="AC1645" s="4"/>
      <c r="AD1645" s="4"/>
      <c r="AE1645" s="4"/>
      <c r="AF1645" s="4"/>
      <c r="AG1645" s="4" t="n">
        <v>48</v>
      </c>
      <c r="AH1645" s="4" t="n">
        <v>39</v>
      </c>
      <c r="AI1645" s="4" t="n">
        <v>47</v>
      </c>
      <c r="AJ1645" s="4" t="n">
        <v>0</v>
      </c>
      <c r="AK1645" s="4" t="n">
        <v>2</v>
      </c>
      <c r="AL1645" s="4" t="s">
        <v>28431</v>
      </c>
      <c r="AM1645" s="4" t="s">
        <v>28432</v>
      </c>
      <c r="AN1645" s="4" t="s">
        <v>28433</v>
      </c>
      <c r="AO1645" s="4" t="s">
        <v>7158</v>
      </c>
      <c r="AP1645" s="4"/>
      <c r="AQ1645" s="4"/>
      <c r="AR1645" s="4" t="s">
        <v>7160</v>
      </c>
      <c r="AS1645" s="4" t="s">
        <v>7161</v>
      </c>
      <c r="AT1645" s="4" t="s">
        <v>446</v>
      </c>
      <c r="AU1645" s="4" t="n">
        <v>2007</v>
      </c>
      <c r="AV1645" s="4" t="n">
        <v>88</v>
      </c>
      <c r="AW1645" s="4"/>
      <c r="AX1645" s="4" t="n">
        <v>12</v>
      </c>
      <c r="AY1645" s="4"/>
      <c r="AZ1645" s="4"/>
      <c r="BA1645" s="4"/>
      <c r="BB1645" s="4" t="n">
        <v>3391</v>
      </c>
      <c r="BC1645" s="4" t="n">
        <v>3400</v>
      </c>
      <c r="BD1645" s="4"/>
      <c r="BE1645" s="4" t="s">
        <v>28434</v>
      </c>
      <c r="BF1645" s="4" t="str">
        <f aca="false">HYPERLINK("http://dx.doi.org/10.1099/vir.0.83250-0","http://dx.doi.org/10.1099/vir.0.83250-0")</f>
        <v>http://dx.doi.org/10.1099/vir.0.83250-0</v>
      </c>
      <c r="BG1645" s="4"/>
      <c r="BH1645" s="4"/>
      <c r="BI1645" s="4" t="n">
        <v>10</v>
      </c>
      <c r="BJ1645" s="4" t="s">
        <v>7163</v>
      </c>
      <c r="BK1645" s="4" t="s">
        <v>100</v>
      </c>
      <c r="BL1645" s="4" t="s">
        <v>7163</v>
      </c>
      <c r="BM1645" s="4" t="s">
        <v>28435</v>
      </c>
      <c r="BN1645" s="4" t="n">
        <v>18024909</v>
      </c>
      <c r="BO1645" s="4" t="s">
        <v>656</v>
      </c>
      <c r="BP1645" s="4"/>
      <c r="BQ1645" s="4"/>
      <c r="BR1645" s="4" t="s">
        <v>104</v>
      </c>
      <c r="BS1645" s="4" t="s">
        <v>28436</v>
      </c>
      <c r="BT1645" s="4" t="str">
        <f aca="false">HYPERLINK("https%3A%2F%2Fwww.webofscience.com%2Fwos%2Fwoscc%2Ffull-record%2FWOS:000251619500022","View Full Record in Web of Science")</f>
        <v>View Full Record in Web of Science</v>
      </c>
    </row>
    <row r="1646" s="5" customFormat="true" ht="12.75" hidden="false" customHeight="false" outlineLevel="0" collapsed="false">
      <c r="A1646" s="4" t="s">
        <v>72</v>
      </c>
      <c r="B1646" s="4" t="s">
        <v>28437</v>
      </c>
      <c r="C1646" s="4"/>
      <c r="D1646" s="4"/>
      <c r="E1646" s="4"/>
      <c r="F1646" s="4" t="s">
        <v>28437</v>
      </c>
      <c r="G1646" s="4"/>
      <c r="H1646" s="4"/>
      <c r="I1646" s="4" t="s">
        <v>28438</v>
      </c>
      <c r="J1646" s="4" t="s">
        <v>2021</v>
      </c>
      <c r="K1646" s="4"/>
      <c r="L1646" s="4"/>
      <c r="M1646" s="4" t="s">
        <v>77</v>
      </c>
      <c r="N1646" s="4" t="s">
        <v>78</v>
      </c>
      <c r="O1646" s="4"/>
      <c r="P1646" s="4"/>
      <c r="Q1646" s="4"/>
      <c r="R1646" s="4"/>
      <c r="S1646" s="4"/>
      <c r="T1646" s="1" t="s">
        <v>28439</v>
      </c>
      <c r="U1646" s="4" t="s">
        <v>28440</v>
      </c>
      <c r="V1646" s="4" t="s">
        <v>28441</v>
      </c>
      <c r="W1646" s="4" t="s">
        <v>28442</v>
      </c>
      <c r="X1646" s="4" t="s">
        <v>28443</v>
      </c>
      <c r="Y1646" s="4" t="s">
        <v>28444</v>
      </c>
      <c r="Z1646" s="4"/>
      <c r="AA1646" s="4"/>
      <c r="AB1646" s="4" t="s">
        <v>28445</v>
      </c>
      <c r="AC1646" s="4"/>
      <c r="AD1646" s="4"/>
      <c r="AE1646" s="4"/>
      <c r="AF1646" s="4"/>
      <c r="AG1646" s="4" t="n">
        <v>20</v>
      </c>
      <c r="AH1646" s="4" t="n">
        <v>91</v>
      </c>
      <c r="AI1646" s="4" t="n">
        <v>100</v>
      </c>
      <c r="AJ1646" s="4" t="n">
        <v>0</v>
      </c>
      <c r="AK1646" s="4" t="n">
        <v>0</v>
      </c>
      <c r="AL1646" s="4" t="s">
        <v>27444</v>
      </c>
      <c r="AM1646" s="4" t="s">
        <v>20223</v>
      </c>
      <c r="AN1646" s="4" t="s">
        <v>27445</v>
      </c>
      <c r="AO1646" s="4" t="s">
        <v>2033</v>
      </c>
      <c r="AP1646" s="4"/>
      <c r="AQ1646" s="4"/>
      <c r="AR1646" s="4" t="s">
        <v>2035</v>
      </c>
      <c r="AS1646" s="4" t="s">
        <v>2036</v>
      </c>
      <c r="AT1646" s="4" t="s">
        <v>10024</v>
      </c>
      <c r="AU1646" s="4" t="n">
        <v>2003</v>
      </c>
      <c r="AV1646" s="4" t="n">
        <v>37</v>
      </c>
      <c r="AW1646" s="4" t="n">
        <v>12</v>
      </c>
      <c r="AX1646" s="4"/>
      <c r="AY1646" s="4"/>
      <c r="AZ1646" s="4"/>
      <c r="BA1646" s="4"/>
      <c r="BB1646" s="4" t="n">
        <v>1705</v>
      </c>
      <c r="BC1646" s="4" t="n">
        <v>1710</v>
      </c>
      <c r="BD1646" s="4"/>
      <c r="BE1646" s="4" t="s">
        <v>28446</v>
      </c>
      <c r="BF1646" s="4" t="str">
        <f aca="false">HYPERLINK("http://dx.doi.org/10.1086/379771","http://dx.doi.org/10.1086/379771")</f>
        <v>http://dx.doi.org/10.1086/379771</v>
      </c>
      <c r="BG1646" s="4"/>
      <c r="BH1646" s="4"/>
      <c r="BI1646" s="4" t="n">
        <v>6</v>
      </c>
      <c r="BJ1646" s="4" t="s">
        <v>536</v>
      </c>
      <c r="BK1646" s="4" t="s">
        <v>100</v>
      </c>
      <c r="BL1646" s="4" t="s">
        <v>536</v>
      </c>
      <c r="BM1646" s="4" t="s">
        <v>28447</v>
      </c>
      <c r="BN1646" s="4" t="n">
        <v>14689355</v>
      </c>
      <c r="BO1646" s="4" t="s">
        <v>165</v>
      </c>
      <c r="BP1646" s="4"/>
      <c r="BQ1646" s="4"/>
      <c r="BR1646" s="4" t="s">
        <v>104</v>
      </c>
      <c r="BS1646" s="4" t="s">
        <v>28448</v>
      </c>
      <c r="BT1646" s="4" t="str">
        <f aca="false">HYPERLINK("https%3A%2F%2Fwww.webofscience.com%2Fwos%2Fwoscc%2Ffull-record%2FWOS:000186949300029","View Full Record in Web of Science")</f>
        <v>View Full Record in Web of Science</v>
      </c>
    </row>
    <row r="1647" s="5" customFormat="true" ht="12.75" hidden="false" customHeight="false" outlineLevel="0" collapsed="false">
      <c r="A1647" s="4" t="s">
        <v>72</v>
      </c>
      <c r="B1647" s="4" t="s">
        <v>28449</v>
      </c>
      <c r="C1647" s="4"/>
      <c r="D1647" s="4"/>
      <c r="E1647" s="4"/>
      <c r="F1647" s="4" t="s">
        <v>28449</v>
      </c>
      <c r="G1647" s="4"/>
      <c r="H1647" s="4"/>
      <c r="I1647" s="4" t="s">
        <v>28450</v>
      </c>
      <c r="J1647" s="4" t="s">
        <v>2222</v>
      </c>
      <c r="K1647" s="4"/>
      <c r="L1647" s="4"/>
      <c r="M1647" s="4" t="s">
        <v>77</v>
      </c>
      <c r="N1647" s="4" t="s">
        <v>78</v>
      </c>
      <c r="O1647" s="4"/>
      <c r="P1647" s="4"/>
      <c r="Q1647" s="4"/>
      <c r="R1647" s="4"/>
      <c r="S1647" s="4"/>
      <c r="T1647" s="1" t="s">
        <v>28451</v>
      </c>
      <c r="U1647" s="4" t="s">
        <v>796</v>
      </c>
      <c r="V1647" s="4" t="s">
        <v>28452</v>
      </c>
      <c r="W1647" s="4" t="s">
        <v>28453</v>
      </c>
      <c r="X1647" s="4" t="s">
        <v>28454</v>
      </c>
      <c r="Y1647" s="4" t="s">
        <v>28455</v>
      </c>
      <c r="Z1647" s="4"/>
      <c r="AA1647" s="4" t="s">
        <v>28456</v>
      </c>
      <c r="AB1647" s="4" t="s">
        <v>28457</v>
      </c>
      <c r="AC1647" s="4"/>
      <c r="AD1647" s="4"/>
      <c r="AE1647" s="4"/>
      <c r="AF1647" s="4"/>
      <c r="AG1647" s="4" t="n">
        <v>13</v>
      </c>
      <c r="AH1647" s="4" t="n">
        <v>177</v>
      </c>
      <c r="AI1647" s="4" t="n">
        <v>207</v>
      </c>
      <c r="AJ1647" s="4" t="n">
        <v>0</v>
      </c>
      <c r="AK1647" s="4" t="n">
        <v>1</v>
      </c>
      <c r="AL1647" s="4" t="s">
        <v>755</v>
      </c>
      <c r="AM1647" s="4" t="s">
        <v>273</v>
      </c>
      <c r="AN1647" s="4" t="s">
        <v>756</v>
      </c>
      <c r="AO1647" s="4" t="s">
        <v>2234</v>
      </c>
      <c r="AP1647" s="4"/>
      <c r="AQ1647" s="4"/>
      <c r="AR1647" s="4" t="s">
        <v>2236</v>
      </c>
      <c r="AS1647" s="4" t="s">
        <v>2237</v>
      </c>
      <c r="AT1647" s="4" t="s">
        <v>599</v>
      </c>
      <c r="AU1647" s="4" t="n">
        <v>2003</v>
      </c>
      <c r="AV1647" s="4" t="n">
        <v>41</v>
      </c>
      <c r="AW1647" s="4" t="n">
        <v>7</v>
      </c>
      <c r="AX1647" s="4"/>
      <c r="AY1647" s="4"/>
      <c r="AZ1647" s="4"/>
      <c r="BA1647" s="4"/>
      <c r="BB1647" s="4" t="n">
        <v>2987</v>
      </c>
      <c r="BC1647" s="4" t="n">
        <v>2991</v>
      </c>
      <c r="BD1647" s="4"/>
      <c r="BE1647" s="4" t="s">
        <v>28458</v>
      </c>
      <c r="BF1647" s="4" t="str">
        <f aca="false">HYPERLINK("http://dx.doi.org/10.1128/JCM.41.7.2987-2991.2003","http://dx.doi.org/10.1128/JCM.41.7.2987-2991.2003")</f>
        <v>http://dx.doi.org/10.1128/JCM.41.7.2987-2991.2003</v>
      </c>
      <c r="BG1647" s="4"/>
      <c r="BH1647" s="4"/>
      <c r="BI1647" s="4" t="n">
        <v>5</v>
      </c>
      <c r="BJ1647" s="4" t="s">
        <v>211</v>
      </c>
      <c r="BK1647" s="4" t="s">
        <v>100</v>
      </c>
      <c r="BL1647" s="4" t="s">
        <v>211</v>
      </c>
      <c r="BM1647" s="4" t="s">
        <v>28459</v>
      </c>
      <c r="BN1647" s="4" t="n">
        <v>12843031</v>
      </c>
      <c r="BO1647" s="4" t="s">
        <v>165</v>
      </c>
      <c r="BP1647" s="4"/>
      <c r="BQ1647" s="4"/>
      <c r="BR1647" s="4" t="s">
        <v>104</v>
      </c>
      <c r="BS1647" s="4" t="s">
        <v>28460</v>
      </c>
      <c r="BT1647" s="4" t="str">
        <f aca="false">HYPERLINK("https%3A%2F%2Fwww.webofscience.com%2Fwos%2Fwoscc%2Ffull-record%2FWOS:000184170800028","View Full Record in Web of Science")</f>
        <v>View Full Record in Web of Science</v>
      </c>
    </row>
    <row r="1648" s="5" customFormat="true" ht="12.75" hidden="false" customHeight="false" outlineLevel="0" collapsed="false">
      <c r="A1648" s="4" t="s">
        <v>72</v>
      </c>
      <c r="B1648" s="4" t="s">
        <v>28461</v>
      </c>
      <c r="C1648" s="4"/>
      <c r="D1648" s="4"/>
      <c r="E1648" s="4"/>
      <c r="F1648" s="4" t="s">
        <v>28462</v>
      </c>
      <c r="G1648" s="4"/>
      <c r="H1648" s="4"/>
      <c r="I1648" s="4" t="s">
        <v>28463</v>
      </c>
      <c r="J1648" s="4" t="s">
        <v>742</v>
      </c>
      <c r="K1648" s="4"/>
      <c r="L1648" s="4"/>
      <c r="M1648" s="4" t="s">
        <v>77</v>
      </c>
      <c r="N1648" s="4" t="s">
        <v>78</v>
      </c>
      <c r="O1648" s="4"/>
      <c r="P1648" s="4"/>
      <c r="Q1648" s="4"/>
      <c r="R1648" s="4"/>
      <c r="S1648" s="4"/>
      <c r="T1648" s="1" t="s">
        <v>28464</v>
      </c>
      <c r="U1648" s="4" t="s">
        <v>28465</v>
      </c>
      <c r="V1648" s="4" t="s">
        <v>28466</v>
      </c>
      <c r="W1648" s="4" t="s">
        <v>28467</v>
      </c>
      <c r="X1648" s="4" t="s">
        <v>4262</v>
      </c>
      <c r="Y1648" s="4" t="s">
        <v>28468</v>
      </c>
      <c r="Z1648" s="4" t="s">
        <v>6724</v>
      </c>
      <c r="AA1648" s="4" t="s">
        <v>750</v>
      </c>
      <c r="AB1648" s="4" t="s">
        <v>2851</v>
      </c>
      <c r="AC1648" s="4" t="s">
        <v>28469</v>
      </c>
      <c r="AD1648" s="4" t="s">
        <v>28470</v>
      </c>
      <c r="AE1648" s="4" t="s">
        <v>28471</v>
      </c>
      <c r="AF1648" s="4"/>
      <c r="AG1648" s="4" t="n">
        <v>41</v>
      </c>
      <c r="AH1648" s="4" t="n">
        <v>58</v>
      </c>
      <c r="AI1648" s="4" t="n">
        <v>71</v>
      </c>
      <c r="AJ1648" s="4" t="n">
        <v>0</v>
      </c>
      <c r="AK1648" s="4" t="n">
        <v>9</v>
      </c>
      <c r="AL1648" s="4" t="s">
        <v>755</v>
      </c>
      <c r="AM1648" s="4" t="s">
        <v>273</v>
      </c>
      <c r="AN1648" s="4" t="s">
        <v>756</v>
      </c>
      <c r="AO1648" s="4" t="s">
        <v>757</v>
      </c>
      <c r="AP1648" s="4"/>
      <c r="AQ1648" s="4"/>
      <c r="AR1648" s="4" t="s">
        <v>759</v>
      </c>
      <c r="AS1648" s="4" t="s">
        <v>760</v>
      </c>
      <c r="AT1648" s="4" t="s">
        <v>804</v>
      </c>
      <c r="AU1648" s="4" t="n">
        <v>2012</v>
      </c>
      <c r="AV1648" s="4" t="n">
        <v>86</v>
      </c>
      <c r="AW1648" s="4" t="n">
        <v>22</v>
      </c>
      <c r="AX1648" s="4"/>
      <c r="AY1648" s="4"/>
      <c r="AZ1648" s="4"/>
      <c r="BA1648" s="4"/>
      <c r="BB1648" s="4" t="n">
        <v>12148</v>
      </c>
      <c r="BC1648" s="4" t="n">
        <v>12160</v>
      </c>
      <c r="BD1648" s="4"/>
      <c r="BE1648" s="4" t="s">
        <v>28472</v>
      </c>
      <c r="BF1648" s="4" t="str">
        <f aca="false">HYPERLINK("http://dx.doi.org/10.1128/JVI.01133-12","http://dx.doi.org/10.1128/JVI.01133-12")</f>
        <v>http://dx.doi.org/10.1128/JVI.01133-12</v>
      </c>
      <c r="BG1648" s="4"/>
      <c r="BH1648" s="4"/>
      <c r="BI1648" s="4" t="n">
        <v>13</v>
      </c>
      <c r="BJ1648" s="4" t="s">
        <v>163</v>
      </c>
      <c r="BK1648" s="4" t="s">
        <v>100</v>
      </c>
      <c r="BL1648" s="4" t="s">
        <v>163</v>
      </c>
      <c r="BM1648" s="4" t="s">
        <v>28473</v>
      </c>
      <c r="BN1648" s="4" t="n">
        <v>22933271</v>
      </c>
      <c r="BO1648" s="4" t="s">
        <v>1267</v>
      </c>
      <c r="BP1648" s="4"/>
      <c r="BQ1648" s="4"/>
      <c r="BR1648" s="4" t="s">
        <v>104</v>
      </c>
      <c r="BS1648" s="4" t="s">
        <v>28474</v>
      </c>
      <c r="BT1648" s="4" t="str">
        <f aca="false">HYPERLINK("https%3A%2F%2Fwww.webofscience.com%2Fwos%2Fwoscc%2Ffull-record%2FWOS:000310356400017","View Full Record in Web of Science")</f>
        <v>View Full Record in Web of Science</v>
      </c>
    </row>
    <row r="1649" s="5" customFormat="true" ht="12.75" hidden="false" customHeight="false" outlineLevel="0" collapsed="false">
      <c r="A1649" s="4" t="s">
        <v>72</v>
      </c>
      <c r="B1649" s="4" t="s">
        <v>28475</v>
      </c>
      <c r="C1649" s="4"/>
      <c r="D1649" s="4"/>
      <c r="E1649" s="4"/>
      <c r="F1649" s="4" t="s">
        <v>28476</v>
      </c>
      <c r="G1649" s="4"/>
      <c r="H1649" s="4"/>
      <c r="I1649" s="4" t="s">
        <v>28477</v>
      </c>
      <c r="J1649" s="4" t="s">
        <v>742</v>
      </c>
      <c r="K1649" s="4"/>
      <c r="L1649" s="4"/>
      <c r="M1649" s="4" t="s">
        <v>77</v>
      </c>
      <c r="N1649" s="4" t="s">
        <v>78</v>
      </c>
      <c r="O1649" s="4"/>
      <c r="P1649" s="4"/>
      <c r="Q1649" s="4"/>
      <c r="R1649" s="4"/>
      <c r="S1649" s="4"/>
      <c r="T1649" s="1" t="s">
        <v>28478</v>
      </c>
      <c r="U1649" s="4" t="s">
        <v>28479</v>
      </c>
      <c r="V1649" s="4" t="s">
        <v>28480</v>
      </c>
      <c r="W1649" s="4" t="s">
        <v>28481</v>
      </c>
      <c r="X1649" s="4" t="s">
        <v>28482</v>
      </c>
      <c r="Y1649" s="4" t="s">
        <v>28483</v>
      </c>
      <c r="Z1649" s="4" t="s">
        <v>6724</v>
      </c>
      <c r="AA1649" s="4" t="s">
        <v>750</v>
      </c>
      <c r="AB1649" s="4" t="s">
        <v>28484</v>
      </c>
      <c r="AC1649" s="4" t="s">
        <v>28485</v>
      </c>
      <c r="AD1649" s="4" t="s">
        <v>28486</v>
      </c>
      <c r="AE1649" s="4" t="s">
        <v>28487</v>
      </c>
      <c r="AF1649" s="4"/>
      <c r="AG1649" s="4" t="n">
        <v>78</v>
      </c>
      <c r="AH1649" s="4" t="n">
        <v>29</v>
      </c>
      <c r="AI1649" s="4" t="n">
        <v>38</v>
      </c>
      <c r="AJ1649" s="4" t="n">
        <v>0</v>
      </c>
      <c r="AK1649" s="4" t="n">
        <v>1</v>
      </c>
      <c r="AL1649" s="4" t="s">
        <v>755</v>
      </c>
      <c r="AM1649" s="4" t="s">
        <v>273</v>
      </c>
      <c r="AN1649" s="4" t="s">
        <v>756</v>
      </c>
      <c r="AO1649" s="4" t="s">
        <v>757</v>
      </c>
      <c r="AP1649" s="4" t="s">
        <v>758</v>
      </c>
      <c r="AQ1649" s="4"/>
      <c r="AR1649" s="4" t="s">
        <v>759</v>
      </c>
      <c r="AS1649" s="4" t="s">
        <v>760</v>
      </c>
      <c r="AT1649" s="4" t="s">
        <v>692</v>
      </c>
      <c r="AU1649" s="4" t="n">
        <v>2015</v>
      </c>
      <c r="AV1649" s="4" t="n">
        <v>89</v>
      </c>
      <c r="AW1649" s="4" t="n">
        <v>8</v>
      </c>
      <c r="AX1649" s="4"/>
      <c r="AY1649" s="4"/>
      <c r="AZ1649" s="4"/>
      <c r="BA1649" s="4"/>
      <c r="BB1649" s="4" t="n">
        <v>4405</v>
      </c>
      <c r="BC1649" s="4" t="n">
        <v>4420</v>
      </c>
      <c r="BD1649" s="4"/>
      <c r="BE1649" s="4" t="s">
        <v>28488</v>
      </c>
      <c r="BF1649" s="4" t="str">
        <f aca="false">HYPERLINK("http://dx.doi.org/10.1128/JVI.03275-14","http://dx.doi.org/10.1128/JVI.03275-14")</f>
        <v>http://dx.doi.org/10.1128/JVI.03275-14</v>
      </c>
      <c r="BG1649" s="4"/>
      <c r="BH1649" s="4"/>
      <c r="BI1649" s="4" t="n">
        <v>16</v>
      </c>
      <c r="BJ1649" s="4" t="s">
        <v>163</v>
      </c>
      <c r="BK1649" s="4" t="s">
        <v>100</v>
      </c>
      <c r="BL1649" s="4" t="s">
        <v>163</v>
      </c>
      <c r="BM1649" s="4" t="s">
        <v>28489</v>
      </c>
      <c r="BN1649" s="4" t="n">
        <v>25653440</v>
      </c>
      <c r="BO1649" s="4" t="s">
        <v>1267</v>
      </c>
      <c r="BP1649" s="4"/>
      <c r="BQ1649" s="4"/>
      <c r="BR1649" s="4" t="s">
        <v>104</v>
      </c>
      <c r="BS1649" s="4" t="s">
        <v>28490</v>
      </c>
      <c r="BT1649" s="4" t="str">
        <f aca="false">HYPERLINK("https%3A%2F%2Fwww.webofscience.com%2Fwos%2Fwoscc%2Ffull-record%2FWOS:000352218400031","View Full Record in Web of Science")</f>
        <v>View Full Record in Web of Science</v>
      </c>
    </row>
    <row r="1650" s="5" customFormat="true" ht="12.75" hidden="false" customHeight="false" outlineLevel="0" collapsed="false">
      <c r="A1650" s="4" t="s">
        <v>72</v>
      </c>
      <c r="B1650" s="4" t="s">
        <v>28491</v>
      </c>
      <c r="C1650" s="4"/>
      <c r="D1650" s="4"/>
      <c r="E1650" s="4"/>
      <c r="F1650" s="4" t="s">
        <v>28492</v>
      </c>
      <c r="G1650" s="4"/>
      <c r="H1650" s="4"/>
      <c r="I1650" s="4" t="s">
        <v>28493</v>
      </c>
      <c r="J1650" s="4" t="s">
        <v>7060</v>
      </c>
      <c r="K1650" s="4"/>
      <c r="L1650" s="4"/>
      <c r="M1650" s="4" t="s">
        <v>77</v>
      </c>
      <c r="N1650" s="4" t="s">
        <v>78</v>
      </c>
      <c r="O1650" s="4"/>
      <c r="P1650" s="4"/>
      <c r="Q1650" s="4"/>
      <c r="R1650" s="4"/>
      <c r="S1650" s="4"/>
      <c r="T1650" s="1" t="s">
        <v>28494</v>
      </c>
      <c r="U1650" s="4" t="s">
        <v>28495</v>
      </c>
      <c r="V1650" s="4" t="s">
        <v>28496</v>
      </c>
      <c r="W1650" s="4" t="s">
        <v>28497</v>
      </c>
      <c r="X1650" s="4" t="s">
        <v>28498</v>
      </c>
      <c r="Y1650" s="4" t="s">
        <v>28499</v>
      </c>
      <c r="Z1650" s="4" t="s">
        <v>28500</v>
      </c>
      <c r="AA1650" s="4" t="s">
        <v>28501</v>
      </c>
      <c r="AB1650" s="4"/>
      <c r="AC1650" s="4" t="s">
        <v>28502</v>
      </c>
      <c r="AD1650" s="4" t="s">
        <v>28502</v>
      </c>
      <c r="AE1650" s="4" t="s">
        <v>28503</v>
      </c>
      <c r="AF1650" s="4"/>
      <c r="AG1650" s="4" t="n">
        <v>24</v>
      </c>
      <c r="AH1650" s="4" t="n">
        <v>38</v>
      </c>
      <c r="AI1650" s="4" t="n">
        <v>40</v>
      </c>
      <c r="AJ1650" s="4" t="n">
        <v>1</v>
      </c>
      <c r="AK1650" s="4" t="n">
        <v>1</v>
      </c>
      <c r="AL1650" s="4" t="s">
        <v>7073</v>
      </c>
      <c r="AM1650" s="4" t="s">
        <v>7074</v>
      </c>
      <c r="AN1650" s="4" t="s">
        <v>7075</v>
      </c>
      <c r="AO1650" s="4" t="s">
        <v>7076</v>
      </c>
      <c r="AP1650" s="4" t="s">
        <v>7291</v>
      </c>
      <c r="AQ1650" s="4"/>
      <c r="AR1650" s="4" t="s">
        <v>7060</v>
      </c>
      <c r="AS1650" s="4" t="s">
        <v>601</v>
      </c>
      <c r="AT1650" s="4" t="s">
        <v>390</v>
      </c>
      <c r="AU1650" s="4" t="n">
        <v>2016</v>
      </c>
      <c r="AV1650" s="4" t="n">
        <v>137</v>
      </c>
      <c r="AW1650" s="4" t="n">
        <v>5</v>
      </c>
      <c r="AX1650" s="4"/>
      <c r="AY1650" s="4"/>
      <c r="AZ1650" s="4"/>
      <c r="BA1650" s="4"/>
      <c r="BB1650" s="4"/>
      <c r="BC1650" s="4"/>
      <c r="BD1650" s="4" t="s">
        <v>28504</v>
      </c>
      <c r="BE1650" s="4" t="s">
        <v>28505</v>
      </c>
      <c r="BF1650" s="4" t="str">
        <f aca="false">HYPERLINK("http://dx.doi.org/10.1542/peds.2015-2927","http://dx.doi.org/10.1542/peds.2015-2927")</f>
        <v>http://dx.doi.org/10.1542/peds.2015-2927</v>
      </c>
      <c r="BG1650" s="4"/>
      <c r="BH1650" s="4"/>
      <c r="BI1650" s="4" t="n">
        <v>7</v>
      </c>
      <c r="BJ1650" s="4" t="s">
        <v>601</v>
      </c>
      <c r="BK1650" s="4" t="s">
        <v>100</v>
      </c>
      <c r="BL1650" s="4" t="s">
        <v>601</v>
      </c>
      <c r="BM1650" s="4" t="s">
        <v>28506</v>
      </c>
      <c r="BN1650" s="4" t="n">
        <v>27244790</v>
      </c>
      <c r="BO1650" s="4" t="s">
        <v>656</v>
      </c>
      <c r="BP1650" s="4"/>
      <c r="BQ1650" s="4"/>
      <c r="BR1650" s="4" t="s">
        <v>104</v>
      </c>
      <c r="BS1650" s="4" t="s">
        <v>28507</v>
      </c>
      <c r="BT1650" s="4" t="str">
        <f aca="false">HYPERLINK("https%3A%2F%2Fwww.webofscience.com%2Fwos%2Fwoscc%2Ffull-record%2FWOS:000375214300016","View Full Record in Web of Science")</f>
        <v>View Full Record in Web of Science</v>
      </c>
    </row>
    <row r="1651" s="5" customFormat="true" ht="12.75" hidden="false" customHeight="false" outlineLevel="0" collapsed="false">
      <c r="A1651" s="4" t="s">
        <v>72</v>
      </c>
      <c r="B1651" s="4" t="s">
        <v>28508</v>
      </c>
      <c r="C1651" s="4"/>
      <c r="D1651" s="4"/>
      <c r="E1651" s="4"/>
      <c r="F1651" s="4" t="s">
        <v>28509</v>
      </c>
      <c r="G1651" s="4"/>
      <c r="H1651" s="4"/>
      <c r="I1651" s="4" t="s">
        <v>28510</v>
      </c>
      <c r="J1651" s="4" t="s">
        <v>27497</v>
      </c>
      <c r="K1651" s="4"/>
      <c r="L1651" s="4"/>
      <c r="M1651" s="4" t="s">
        <v>77</v>
      </c>
      <c r="N1651" s="4" t="s">
        <v>78</v>
      </c>
      <c r="O1651" s="4"/>
      <c r="P1651" s="4"/>
      <c r="Q1651" s="4"/>
      <c r="R1651" s="4"/>
      <c r="S1651" s="4"/>
      <c r="T1651" s="1" t="s">
        <v>28511</v>
      </c>
      <c r="U1651" s="4" t="s">
        <v>28512</v>
      </c>
      <c r="V1651" s="4" t="s">
        <v>28513</v>
      </c>
      <c r="W1651" s="4" t="s">
        <v>28514</v>
      </c>
      <c r="X1651" s="4" t="s">
        <v>28515</v>
      </c>
      <c r="Y1651" s="4" t="s">
        <v>28516</v>
      </c>
      <c r="Z1651" s="4" t="s">
        <v>28517</v>
      </c>
      <c r="AA1651" s="4" t="s">
        <v>28518</v>
      </c>
      <c r="AB1651" s="4" t="s">
        <v>28519</v>
      </c>
      <c r="AC1651" s="4" t="s">
        <v>28520</v>
      </c>
      <c r="AD1651" s="4" t="s">
        <v>28520</v>
      </c>
      <c r="AE1651" s="4" t="s">
        <v>28521</v>
      </c>
      <c r="AF1651" s="4"/>
      <c r="AG1651" s="4" t="n">
        <v>45</v>
      </c>
      <c r="AH1651" s="4" t="n">
        <v>11</v>
      </c>
      <c r="AI1651" s="4" t="n">
        <v>18</v>
      </c>
      <c r="AJ1651" s="4" t="n">
        <v>1</v>
      </c>
      <c r="AK1651" s="4" t="n">
        <v>4</v>
      </c>
      <c r="AL1651" s="4" t="s">
        <v>27506</v>
      </c>
      <c r="AM1651" s="4" t="s">
        <v>27507</v>
      </c>
      <c r="AN1651" s="4" t="s">
        <v>28522</v>
      </c>
      <c r="AO1651" s="4" t="s">
        <v>27509</v>
      </c>
      <c r="AP1651" s="4"/>
      <c r="AQ1651" s="4"/>
      <c r="AR1651" s="4" t="s">
        <v>27497</v>
      </c>
      <c r="AS1651" s="4" t="s">
        <v>27510</v>
      </c>
      <c r="AT1651" s="4" t="s">
        <v>7095</v>
      </c>
      <c r="AU1651" s="4" t="n">
        <v>2011</v>
      </c>
      <c r="AV1651" s="4" t="n">
        <v>6</v>
      </c>
      <c r="AW1651" s="4" t="n">
        <v>3</v>
      </c>
      <c r="AX1651" s="4"/>
      <c r="AY1651" s="4"/>
      <c r="AZ1651" s="4"/>
      <c r="BA1651" s="4"/>
      <c r="BB1651" s="4"/>
      <c r="BC1651" s="4"/>
      <c r="BD1651" s="4" t="s">
        <v>28523</v>
      </c>
      <c r="BE1651" s="4" t="s">
        <v>28524</v>
      </c>
      <c r="BF1651" s="4" t="str">
        <f aca="false">HYPERLINK("http://dx.doi.org/10.1371/journal.pone.0017818","http://dx.doi.org/10.1371/journal.pone.0017818")</f>
        <v>http://dx.doi.org/10.1371/journal.pone.0017818</v>
      </c>
      <c r="BG1651" s="4"/>
      <c r="BH1651" s="4"/>
      <c r="BI1651" s="4" t="n">
        <v>10</v>
      </c>
      <c r="BJ1651" s="4" t="s">
        <v>1658</v>
      </c>
      <c r="BK1651" s="4" t="s">
        <v>100</v>
      </c>
      <c r="BL1651" s="4" t="s">
        <v>1659</v>
      </c>
      <c r="BM1651" s="4" t="s">
        <v>28525</v>
      </c>
      <c r="BN1651" s="4" t="n">
        <v>21412439</v>
      </c>
      <c r="BO1651" s="4" t="s">
        <v>6349</v>
      </c>
      <c r="BP1651" s="4"/>
      <c r="BQ1651" s="4"/>
      <c r="BR1651" s="4" t="s">
        <v>104</v>
      </c>
      <c r="BS1651" s="4" t="s">
        <v>28526</v>
      </c>
      <c r="BT1651" s="4" t="str">
        <f aca="false">HYPERLINK("https%3A%2F%2Fwww.webofscience.com%2Fwos%2Fwoscc%2Ffull-record%2FWOS:000288247800032","View Full Record in Web of Science")</f>
        <v>View Full Record in Web of Science</v>
      </c>
    </row>
    <row r="1652" s="5" customFormat="true" ht="12.75" hidden="false" customHeight="false" outlineLevel="0" collapsed="false">
      <c r="A1652" s="4" t="s">
        <v>72</v>
      </c>
      <c r="B1652" s="4" t="s">
        <v>28527</v>
      </c>
      <c r="C1652" s="4"/>
      <c r="D1652" s="4"/>
      <c r="E1652" s="4"/>
      <c r="F1652" s="4" t="s">
        <v>28528</v>
      </c>
      <c r="G1652" s="4"/>
      <c r="H1652" s="4"/>
      <c r="I1652" s="4" t="s">
        <v>28529</v>
      </c>
      <c r="J1652" s="4" t="s">
        <v>27497</v>
      </c>
      <c r="K1652" s="4"/>
      <c r="L1652" s="4"/>
      <c r="M1652" s="4" t="s">
        <v>77</v>
      </c>
      <c r="N1652" s="4" t="s">
        <v>78</v>
      </c>
      <c r="O1652" s="4"/>
      <c r="P1652" s="4"/>
      <c r="Q1652" s="4"/>
      <c r="R1652" s="4"/>
      <c r="S1652" s="4"/>
      <c r="T1652" s="1" t="s">
        <v>28530</v>
      </c>
      <c r="U1652" s="4" t="s">
        <v>28531</v>
      </c>
      <c r="V1652" s="4" t="s">
        <v>28532</v>
      </c>
      <c r="W1652" s="4" t="s">
        <v>28533</v>
      </c>
      <c r="X1652" s="4" t="s">
        <v>28534</v>
      </c>
      <c r="Y1652" s="4" t="s">
        <v>28535</v>
      </c>
      <c r="Z1652" s="4" t="s">
        <v>28536</v>
      </c>
      <c r="AA1652" s="4" t="s">
        <v>28537</v>
      </c>
      <c r="AB1652" s="4" t="s">
        <v>28538</v>
      </c>
      <c r="AC1652" s="4" t="s">
        <v>28539</v>
      </c>
      <c r="AD1652" s="4" t="s">
        <v>28540</v>
      </c>
      <c r="AE1652" s="4" t="s">
        <v>28541</v>
      </c>
      <c r="AF1652" s="4"/>
      <c r="AG1652" s="4" t="n">
        <v>44</v>
      </c>
      <c r="AH1652" s="4" t="n">
        <v>8</v>
      </c>
      <c r="AI1652" s="4" t="n">
        <v>8</v>
      </c>
      <c r="AJ1652" s="4" t="n">
        <v>1</v>
      </c>
      <c r="AK1652" s="4" t="n">
        <v>2</v>
      </c>
      <c r="AL1652" s="4" t="s">
        <v>27506</v>
      </c>
      <c r="AM1652" s="4" t="s">
        <v>27507</v>
      </c>
      <c r="AN1652" s="4" t="s">
        <v>27508</v>
      </c>
      <c r="AO1652" s="4" t="s">
        <v>27509</v>
      </c>
      <c r="AP1652" s="4"/>
      <c r="AQ1652" s="4"/>
      <c r="AR1652" s="4" t="s">
        <v>27497</v>
      </c>
      <c r="AS1652" s="4" t="s">
        <v>27510</v>
      </c>
      <c r="AT1652" s="4" t="s">
        <v>28542</v>
      </c>
      <c r="AU1652" s="4" t="n">
        <v>2020</v>
      </c>
      <c r="AV1652" s="4" t="n">
        <v>15</v>
      </c>
      <c r="AW1652" s="4" t="n">
        <v>12</v>
      </c>
      <c r="AX1652" s="4"/>
      <c r="AY1652" s="4"/>
      <c r="AZ1652" s="4"/>
      <c r="BA1652" s="4"/>
      <c r="BB1652" s="4"/>
      <c r="BC1652" s="4"/>
      <c r="BD1652" s="4" t="s">
        <v>28543</v>
      </c>
      <c r="BE1652" s="4" t="s">
        <v>28544</v>
      </c>
      <c r="BF1652" s="4" t="str">
        <f aca="false">HYPERLINK("http://dx.doi.org/10.1371/journal.pone.0244093","http://dx.doi.org/10.1371/journal.pone.0244093")</f>
        <v>http://dx.doi.org/10.1371/journal.pone.0244093</v>
      </c>
      <c r="BG1652" s="4"/>
      <c r="BH1652" s="4"/>
      <c r="BI1652" s="4" t="n">
        <v>12</v>
      </c>
      <c r="BJ1652" s="4" t="s">
        <v>1658</v>
      </c>
      <c r="BK1652" s="4" t="s">
        <v>100</v>
      </c>
      <c r="BL1652" s="4" t="s">
        <v>1659</v>
      </c>
      <c r="BM1652" s="4" t="s">
        <v>28545</v>
      </c>
      <c r="BN1652" s="4" t="n">
        <v>33370354</v>
      </c>
      <c r="BO1652" s="4" t="s">
        <v>103</v>
      </c>
      <c r="BP1652" s="4"/>
      <c r="BQ1652" s="4"/>
      <c r="BR1652" s="4" t="s">
        <v>104</v>
      </c>
      <c r="BS1652" s="4" t="s">
        <v>28546</v>
      </c>
      <c r="BT1652" s="4" t="str">
        <f aca="false">HYPERLINK("https%3A%2F%2Fwww.webofscience.com%2Fwos%2Fwoscc%2Ffull-record%2FWOS:000603611900106","View Full Record in Web of Science")</f>
        <v>View Full Record in Web of Science</v>
      </c>
    </row>
    <row r="1653" s="5" customFormat="true" ht="12.75" hidden="false" customHeight="false" outlineLevel="0" collapsed="false">
      <c r="A1653" s="4" t="s">
        <v>72</v>
      </c>
      <c r="B1653" s="4" t="s">
        <v>28547</v>
      </c>
      <c r="C1653" s="4"/>
      <c r="D1653" s="4"/>
      <c r="E1653" s="4"/>
      <c r="F1653" s="4" t="s">
        <v>28548</v>
      </c>
      <c r="G1653" s="4"/>
      <c r="H1653" s="4"/>
      <c r="I1653" s="4" t="s">
        <v>28549</v>
      </c>
      <c r="J1653" s="4" t="s">
        <v>28550</v>
      </c>
      <c r="K1653" s="4"/>
      <c r="L1653" s="4"/>
      <c r="M1653" s="4" t="s">
        <v>77</v>
      </c>
      <c r="N1653" s="4" t="s">
        <v>78</v>
      </c>
      <c r="O1653" s="4"/>
      <c r="P1653" s="4"/>
      <c r="Q1653" s="4"/>
      <c r="R1653" s="4"/>
      <c r="S1653" s="4"/>
      <c r="T1653" s="1" t="s">
        <v>28551</v>
      </c>
      <c r="U1653" s="4" t="s">
        <v>28552</v>
      </c>
      <c r="V1653" s="4" t="s">
        <v>28553</v>
      </c>
      <c r="W1653" s="4" t="s">
        <v>28554</v>
      </c>
      <c r="X1653" s="4" t="s">
        <v>28555</v>
      </c>
      <c r="Y1653" s="4" t="s">
        <v>28556</v>
      </c>
      <c r="Z1653" s="4" t="s">
        <v>24130</v>
      </c>
      <c r="AA1653" s="4" t="s">
        <v>7034</v>
      </c>
      <c r="AB1653" s="4" t="s">
        <v>28557</v>
      </c>
      <c r="AC1653" s="4" t="s">
        <v>28558</v>
      </c>
      <c r="AD1653" s="4" t="s">
        <v>28559</v>
      </c>
      <c r="AE1653" s="4" t="s">
        <v>28560</v>
      </c>
      <c r="AF1653" s="4"/>
      <c r="AG1653" s="4" t="n">
        <v>33</v>
      </c>
      <c r="AH1653" s="4" t="n">
        <v>26</v>
      </c>
      <c r="AI1653" s="4" t="n">
        <v>29</v>
      </c>
      <c r="AJ1653" s="4" t="n">
        <v>0</v>
      </c>
      <c r="AK1653" s="4" t="n">
        <v>0</v>
      </c>
      <c r="AL1653" s="4" t="s">
        <v>1242</v>
      </c>
      <c r="AM1653" s="4" t="s">
        <v>303</v>
      </c>
      <c r="AN1653" s="4" t="s">
        <v>467</v>
      </c>
      <c r="AO1653" s="4" t="s">
        <v>28561</v>
      </c>
      <c r="AP1653" s="4" t="s">
        <v>28562</v>
      </c>
      <c r="AQ1653" s="4"/>
      <c r="AR1653" s="4" t="s">
        <v>28563</v>
      </c>
      <c r="AS1653" s="4" t="s">
        <v>28564</v>
      </c>
      <c r="AT1653" s="4" t="s">
        <v>336</v>
      </c>
      <c r="AU1653" s="4" t="n">
        <v>2015</v>
      </c>
      <c r="AV1653" s="4" t="n">
        <v>78</v>
      </c>
      <c r="AW1653" s="4" t="n">
        <v>4</v>
      </c>
      <c r="AX1653" s="4"/>
      <c r="AY1653" s="4"/>
      <c r="AZ1653" s="4"/>
      <c r="BA1653" s="4"/>
      <c r="BB1653" s="4" t="n">
        <v>389</v>
      </c>
      <c r="BC1653" s="4" t="n">
        <v>394</v>
      </c>
      <c r="BD1653" s="4"/>
      <c r="BE1653" s="4" t="s">
        <v>28565</v>
      </c>
      <c r="BF1653" s="4" t="str">
        <f aca="false">HYPERLINK("http://dx.doi.org/10.1038/pr.2015.113","http://dx.doi.org/10.1038/pr.2015.113")</f>
        <v>http://dx.doi.org/10.1038/pr.2015.113</v>
      </c>
      <c r="BG1653" s="4"/>
      <c r="BH1653" s="4"/>
      <c r="BI1653" s="4" t="n">
        <v>6</v>
      </c>
      <c r="BJ1653" s="4" t="s">
        <v>601</v>
      </c>
      <c r="BK1653" s="4" t="s">
        <v>100</v>
      </c>
      <c r="BL1653" s="4" t="s">
        <v>601</v>
      </c>
      <c r="BM1653" s="4" t="s">
        <v>28566</v>
      </c>
      <c r="BN1653" s="4" t="n">
        <v>26086642</v>
      </c>
      <c r="BO1653" s="4" t="s">
        <v>5372</v>
      </c>
      <c r="BP1653" s="4"/>
      <c r="BQ1653" s="4"/>
      <c r="BR1653" s="4" t="s">
        <v>104</v>
      </c>
      <c r="BS1653" s="4" t="s">
        <v>28567</v>
      </c>
      <c r="BT1653" s="4" t="str">
        <f aca="false">HYPERLINK("https%3A%2F%2Fwww.webofscience.com%2Fwos%2Fwoscc%2Ffull-record%2FWOS:000362388900005","View Full Record in Web of Science")</f>
        <v>View Full Record in Web of Science</v>
      </c>
    </row>
    <row r="1654" s="5" customFormat="true" ht="12.75" hidden="false" customHeight="false" outlineLevel="0" collapsed="false">
      <c r="A1654" s="4" t="s">
        <v>72</v>
      </c>
      <c r="B1654" s="4" t="s">
        <v>28568</v>
      </c>
      <c r="C1654" s="4"/>
      <c r="D1654" s="4"/>
      <c r="E1654" s="4"/>
      <c r="F1654" s="4" t="s">
        <v>28569</v>
      </c>
      <c r="G1654" s="4"/>
      <c r="H1654" s="4"/>
      <c r="I1654" s="4" t="s">
        <v>28570</v>
      </c>
      <c r="J1654" s="4" t="s">
        <v>742</v>
      </c>
      <c r="K1654" s="4"/>
      <c r="L1654" s="4"/>
      <c r="M1654" s="4" t="s">
        <v>77</v>
      </c>
      <c r="N1654" s="4" t="s">
        <v>78</v>
      </c>
      <c r="O1654" s="4"/>
      <c r="P1654" s="4"/>
      <c r="Q1654" s="4"/>
      <c r="R1654" s="4"/>
      <c r="S1654" s="4"/>
      <c r="T1654" s="1" t="s">
        <v>28571</v>
      </c>
      <c r="U1654" s="4" t="s">
        <v>28572</v>
      </c>
      <c r="V1654" s="4" t="s">
        <v>28573</v>
      </c>
      <c r="W1654" s="4" t="s">
        <v>28574</v>
      </c>
      <c r="X1654" s="4" t="s">
        <v>28575</v>
      </c>
      <c r="Y1654" s="4" t="s">
        <v>14112</v>
      </c>
      <c r="Z1654" s="4" t="s">
        <v>14113</v>
      </c>
      <c r="AA1654" s="4" t="s">
        <v>17643</v>
      </c>
      <c r="AB1654" s="4" t="s">
        <v>21117</v>
      </c>
      <c r="AC1654" s="4" t="s">
        <v>28576</v>
      </c>
      <c r="AD1654" s="4" t="s">
        <v>28577</v>
      </c>
      <c r="AE1654" s="4" t="s">
        <v>28578</v>
      </c>
      <c r="AF1654" s="4"/>
      <c r="AG1654" s="4" t="n">
        <v>34</v>
      </c>
      <c r="AH1654" s="4" t="n">
        <v>67</v>
      </c>
      <c r="AI1654" s="4" t="n">
        <v>79</v>
      </c>
      <c r="AJ1654" s="4" t="n">
        <v>0</v>
      </c>
      <c r="AK1654" s="4" t="n">
        <v>1</v>
      </c>
      <c r="AL1654" s="4" t="s">
        <v>755</v>
      </c>
      <c r="AM1654" s="4" t="s">
        <v>273</v>
      </c>
      <c r="AN1654" s="4" t="s">
        <v>756</v>
      </c>
      <c r="AO1654" s="4" t="s">
        <v>757</v>
      </c>
      <c r="AP1654" s="4"/>
      <c r="AQ1654" s="4"/>
      <c r="AR1654" s="4" t="s">
        <v>759</v>
      </c>
      <c r="AS1654" s="4" t="s">
        <v>760</v>
      </c>
      <c r="AT1654" s="4" t="s">
        <v>129</v>
      </c>
      <c r="AU1654" s="4" t="n">
        <v>2008</v>
      </c>
      <c r="AV1654" s="4" t="n">
        <v>82</v>
      </c>
      <c r="AW1654" s="4" t="n">
        <v>17</v>
      </c>
      <c r="AX1654" s="4"/>
      <c r="AY1654" s="4"/>
      <c r="AZ1654" s="4"/>
      <c r="BA1654" s="4"/>
      <c r="BB1654" s="4" t="n">
        <v>8560</v>
      </c>
      <c r="BC1654" s="4" t="n">
        <v>8569</v>
      </c>
      <c r="BD1654" s="4"/>
      <c r="BE1654" s="4" t="s">
        <v>28579</v>
      </c>
      <c r="BF1654" s="4" t="str">
        <f aca="false">HYPERLINK("http://dx.doi.org/10.1128/JVI.00699-08","http://dx.doi.org/10.1128/JVI.00699-08")</f>
        <v>http://dx.doi.org/10.1128/JVI.00699-08</v>
      </c>
      <c r="BG1654" s="4"/>
      <c r="BH1654" s="4"/>
      <c r="BI1654" s="4" t="n">
        <v>10</v>
      </c>
      <c r="BJ1654" s="4" t="s">
        <v>163</v>
      </c>
      <c r="BK1654" s="4" t="s">
        <v>100</v>
      </c>
      <c r="BL1654" s="4" t="s">
        <v>163</v>
      </c>
      <c r="BM1654" s="4" t="s">
        <v>28580</v>
      </c>
      <c r="BN1654" s="4" t="n">
        <v>18562525</v>
      </c>
      <c r="BO1654" s="4" t="s">
        <v>165</v>
      </c>
      <c r="BP1654" s="4"/>
      <c r="BQ1654" s="4"/>
      <c r="BR1654" s="4" t="s">
        <v>104</v>
      </c>
      <c r="BS1654" s="4" t="s">
        <v>28581</v>
      </c>
      <c r="BT1654" s="4" t="str">
        <f aca="false">HYPERLINK("https%3A%2F%2Fwww.webofscience.com%2Fwos%2Fwoscc%2Ffull-record%2FWOS:000258603600031","View Full Record in Web of Science")</f>
        <v>View Full Record in Web of Science</v>
      </c>
    </row>
    <row r="1655" s="5" customFormat="true" ht="12.75" hidden="false" customHeight="false" outlineLevel="0" collapsed="false">
      <c r="A1655" s="4" t="s">
        <v>72</v>
      </c>
      <c r="B1655" s="4" t="s">
        <v>28582</v>
      </c>
      <c r="C1655" s="4"/>
      <c r="D1655" s="4"/>
      <c r="E1655" s="4"/>
      <c r="F1655" s="4" t="s">
        <v>28583</v>
      </c>
      <c r="G1655" s="4"/>
      <c r="H1655" s="4"/>
      <c r="I1655" s="4" t="s">
        <v>28584</v>
      </c>
      <c r="J1655" s="4" t="s">
        <v>2222</v>
      </c>
      <c r="K1655" s="4"/>
      <c r="L1655" s="4"/>
      <c r="M1655" s="4" t="s">
        <v>77</v>
      </c>
      <c r="N1655" s="4" t="s">
        <v>78</v>
      </c>
      <c r="O1655" s="4"/>
      <c r="P1655" s="4"/>
      <c r="Q1655" s="4"/>
      <c r="R1655" s="4"/>
      <c r="S1655" s="4"/>
      <c r="T1655" s="1" t="s">
        <v>28585</v>
      </c>
      <c r="U1655" s="4" t="s">
        <v>28586</v>
      </c>
      <c r="V1655" s="4" t="s">
        <v>28587</v>
      </c>
      <c r="W1655" s="4" t="s">
        <v>28588</v>
      </c>
      <c r="X1655" s="4" t="s">
        <v>9462</v>
      </c>
      <c r="Y1655" s="4" t="s">
        <v>28589</v>
      </c>
      <c r="Z1655" s="4" t="s">
        <v>9464</v>
      </c>
      <c r="AA1655" s="4" t="s">
        <v>28590</v>
      </c>
      <c r="AB1655" s="4"/>
      <c r="AC1655" s="4" t="s">
        <v>28591</v>
      </c>
      <c r="AD1655" s="4" t="s">
        <v>28592</v>
      </c>
      <c r="AE1655" s="4" t="s">
        <v>28593</v>
      </c>
      <c r="AF1655" s="4"/>
      <c r="AG1655" s="4" t="n">
        <v>27</v>
      </c>
      <c r="AH1655" s="4" t="n">
        <v>35</v>
      </c>
      <c r="AI1655" s="4" t="n">
        <v>39</v>
      </c>
      <c r="AJ1655" s="4" t="n">
        <v>2</v>
      </c>
      <c r="AK1655" s="4" t="n">
        <v>12</v>
      </c>
      <c r="AL1655" s="4" t="s">
        <v>755</v>
      </c>
      <c r="AM1655" s="4" t="s">
        <v>273</v>
      </c>
      <c r="AN1655" s="4" t="s">
        <v>756</v>
      </c>
      <c r="AO1655" s="4" t="s">
        <v>2234</v>
      </c>
      <c r="AP1655" s="4"/>
      <c r="AQ1655" s="4"/>
      <c r="AR1655" s="4" t="s">
        <v>2236</v>
      </c>
      <c r="AS1655" s="4" t="s">
        <v>2237</v>
      </c>
      <c r="AT1655" s="4" t="s">
        <v>185</v>
      </c>
      <c r="AU1655" s="4" t="n">
        <v>2012</v>
      </c>
      <c r="AV1655" s="4" t="n">
        <v>50</v>
      </c>
      <c r="AW1655" s="4" t="n">
        <v>8</v>
      </c>
      <c r="AX1655" s="4"/>
      <c r="AY1655" s="4"/>
      <c r="AZ1655" s="4"/>
      <c r="BA1655" s="4"/>
      <c r="BB1655" s="4" t="n">
        <v>2714</v>
      </c>
      <c r="BC1655" s="4" t="n">
        <v>2719</v>
      </c>
      <c r="BD1655" s="4"/>
      <c r="BE1655" s="4" t="s">
        <v>28594</v>
      </c>
      <c r="BF1655" s="4" t="str">
        <f aca="false">HYPERLINK("http://dx.doi.org/10.1128/JCM.00809-12","http://dx.doi.org/10.1128/JCM.00809-12")</f>
        <v>http://dx.doi.org/10.1128/JCM.00809-12</v>
      </c>
      <c r="BG1655" s="4"/>
      <c r="BH1655" s="4"/>
      <c r="BI1655" s="4" t="n">
        <v>6</v>
      </c>
      <c r="BJ1655" s="4" t="s">
        <v>211</v>
      </c>
      <c r="BK1655" s="4" t="s">
        <v>100</v>
      </c>
      <c r="BL1655" s="4" t="s">
        <v>211</v>
      </c>
      <c r="BM1655" s="4" t="s">
        <v>28595</v>
      </c>
      <c r="BN1655" s="4" t="n">
        <v>22692746</v>
      </c>
      <c r="BO1655" s="4" t="s">
        <v>538</v>
      </c>
      <c r="BP1655" s="4"/>
      <c r="BQ1655" s="4"/>
      <c r="BR1655" s="4" t="s">
        <v>104</v>
      </c>
      <c r="BS1655" s="4" t="s">
        <v>28596</v>
      </c>
      <c r="BT1655" s="4" t="str">
        <f aca="false">HYPERLINK("https%3A%2F%2Fwww.webofscience.com%2Fwos%2Fwoscc%2Ffull-record%2FWOS:000307378400027","View Full Record in Web of Science")</f>
        <v>View Full Record in Web of Science</v>
      </c>
    </row>
    <row r="1656" s="5" customFormat="true" ht="12.75" hidden="false" customHeight="false" outlineLevel="0" collapsed="false">
      <c r="A1656" s="4" t="s">
        <v>72</v>
      </c>
      <c r="B1656" s="4" t="s">
        <v>28597</v>
      </c>
      <c r="C1656" s="4"/>
      <c r="D1656" s="4"/>
      <c r="E1656" s="4"/>
      <c r="F1656" s="4" t="s">
        <v>28598</v>
      </c>
      <c r="G1656" s="4"/>
      <c r="H1656" s="4"/>
      <c r="I1656" s="4" t="s">
        <v>28599</v>
      </c>
      <c r="J1656" s="4" t="s">
        <v>742</v>
      </c>
      <c r="K1656" s="4"/>
      <c r="L1656" s="4"/>
      <c r="M1656" s="4" t="s">
        <v>77</v>
      </c>
      <c r="N1656" s="4" t="s">
        <v>78</v>
      </c>
      <c r="O1656" s="4"/>
      <c r="P1656" s="4"/>
      <c r="Q1656" s="4"/>
      <c r="R1656" s="4"/>
      <c r="S1656" s="4"/>
      <c r="T1656" s="1" t="s">
        <v>28600</v>
      </c>
      <c r="U1656" s="4" t="s">
        <v>28601</v>
      </c>
      <c r="V1656" s="4" t="s">
        <v>28602</v>
      </c>
      <c r="W1656" s="4" t="s">
        <v>28603</v>
      </c>
      <c r="X1656" s="4" t="s">
        <v>28604</v>
      </c>
      <c r="Y1656" s="4" t="s">
        <v>28605</v>
      </c>
      <c r="Z1656" s="4" t="s">
        <v>14892</v>
      </c>
      <c r="AA1656" s="4" t="s">
        <v>28606</v>
      </c>
      <c r="AB1656" s="4" t="s">
        <v>27668</v>
      </c>
      <c r="AC1656" s="4" t="s">
        <v>28607</v>
      </c>
      <c r="AD1656" s="4" t="s">
        <v>28608</v>
      </c>
      <c r="AE1656" s="4" t="s">
        <v>28609</v>
      </c>
      <c r="AF1656" s="4"/>
      <c r="AG1656" s="4" t="n">
        <v>67</v>
      </c>
      <c r="AH1656" s="4" t="n">
        <v>67</v>
      </c>
      <c r="AI1656" s="4" t="n">
        <v>85</v>
      </c>
      <c r="AJ1656" s="4" t="n">
        <v>0</v>
      </c>
      <c r="AK1656" s="4" t="n">
        <v>3</v>
      </c>
      <c r="AL1656" s="4" t="s">
        <v>755</v>
      </c>
      <c r="AM1656" s="4" t="s">
        <v>273</v>
      </c>
      <c r="AN1656" s="4" t="s">
        <v>756</v>
      </c>
      <c r="AO1656" s="4" t="s">
        <v>757</v>
      </c>
      <c r="AP1656" s="4" t="s">
        <v>758</v>
      </c>
      <c r="AQ1656" s="4"/>
      <c r="AR1656" s="4" t="s">
        <v>759</v>
      </c>
      <c r="AS1656" s="4" t="s">
        <v>760</v>
      </c>
      <c r="AT1656" s="4" t="s">
        <v>3408</v>
      </c>
      <c r="AU1656" s="4" t="n">
        <v>2009</v>
      </c>
      <c r="AV1656" s="4" t="n">
        <v>83</v>
      </c>
      <c r="AW1656" s="4" t="n">
        <v>3</v>
      </c>
      <c r="AX1656" s="4"/>
      <c r="AY1656" s="4"/>
      <c r="AZ1656" s="4"/>
      <c r="BA1656" s="4"/>
      <c r="BB1656" s="4" t="n">
        <v>1511</v>
      </c>
      <c r="BC1656" s="4" t="n">
        <v>1522</v>
      </c>
      <c r="BD1656" s="4"/>
      <c r="BE1656" s="4" t="s">
        <v>28610</v>
      </c>
      <c r="BF1656" s="4" t="str">
        <f aca="false">HYPERLINK("http://dx.doi.org/10.1128/JVI.01381-08","http://dx.doi.org/10.1128/JVI.01381-08")</f>
        <v>http://dx.doi.org/10.1128/JVI.01381-08</v>
      </c>
      <c r="BG1656" s="4"/>
      <c r="BH1656" s="4"/>
      <c r="BI1656" s="4" t="n">
        <v>12</v>
      </c>
      <c r="BJ1656" s="4" t="s">
        <v>163</v>
      </c>
      <c r="BK1656" s="4" t="s">
        <v>100</v>
      </c>
      <c r="BL1656" s="4" t="s">
        <v>163</v>
      </c>
      <c r="BM1656" s="4" t="s">
        <v>28611</v>
      </c>
      <c r="BN1656" s="4" t="n">
        <v>19036821</v>
      </c>
      <c r="BO1656" s="4" t="s">
        <v>165</v>
      </c>
      <c r="BP1656" s="4"/>
      <c r="BQ1656" s="4"/>
      <c r="BR1656" s="4" t="s">
        <v>104</v>
      </c>
      <c r="BS1656" s="4" t="s">
        <v>28612</v>
      </c>
      <c r="BT1656" s="4" t="str">
        <f aca="false">HYPERLINK("https%3A%2F%2Fwww.webofscience.com%2Fwos%2Fwoscc%2Ffull-record%2FWOS:000262325600034","View Full Record in Web of Science")</f>
        <v>View Full Record in Web of Science</v>
      </c>
    </row>
    <row r="1657" s="5" customFormat="true" ht="12.75" hidden="false" customHeight="false" outlineLevel="0" collapsed="false">
      <c r="A1657" s="4" t="s">
        <v>72</v>
      </c>
      <c r="B1657" s="4" t="s">
        <v>28613</v>
      </c>
      <c r="C1657" s="4"/>
      <c r="D1657" s="4"/>
      <c r="E1657" s="4"/>
      <c r="F1657" s="4" t="s">
        <v>28614</v>
      </c>
      <c r="G1657" s="4"/>
      <c r="H1657" s="4"/>
      <c r="I1657" s="4" t="s">
        <v>28615</v>
      </c>
      <c r="J1657" s="4" t="s">
        <v>27497</v>
      </c>
      <c r="K1657" s="4"/>
      <c r="L1657" s="4"/>
      <c r="M1657" s="4" t="s">
        <v>77</v>
      </c>
      <c r="N1657" s="4" t="s">
        <v>78</v>
      </c>
      <c r="O1657" s="4"/>
      <c r="P1657" s="4"/>
      <c r="Q1657" s="4"/>
      <c r="R1657" s="4"/>
      <c r="S1657" s="4"/>
      <c r="T1657" s="1" t="s">
        <v>28616</v>
      </c>
      <c r="U1657" s="4" t="s">
        <v>28617</v>
      </c>
      <c r="V1657" s="4" t="s">
        <v>28618</v>
      </c>
      <c r="W1657" s="4" t="s">
        <v>28619</v>
      </c>
      <c r="X1657" s="4" t="s">
        <v>16723</v>
      </c>
      <c r="Y1657" s="4" t="s">
        <v>28620</v>
      </c>
      <c r="Z1657" s="4" t="s">
        <v>28621</v>
      </c>
      <c r="AA1657" s="4"/>
      <c r="AB1657" s="4" t="s">
        <v>7510</v>
      </c>
      <c r="AC1657" s="4" t="s">
        <v>28622</v>
      </c>
      <c r="AD1657" s="4" t="s">
        <v>28622</v>
      </c>
      <c r="AE1657" s="4" t="s">
        <v>28623</v>
      </c>
      <c r="AF1657" s="4"/>
      <c r="AG1657" s="4" t="n">
        <v>45</v>
      </c>
      <c r="AH1657" s="4" t="n">
        <v>42</v>
      </c>
      <c r="AI1657" s="4" t="n">
        <v>47</v>
      </c>
      <c r="AJ1657" s="4" t="n">
        <v>0</v>
      </c>
      <c r="AK1657" s="4" t="n">
        <v>5</v>
      </c>
      <c r="AL1657" s="4" t="s">
        <v>27506</v>
      </c>
      <c r="AM1657" s="4" t="s">
        <v>27507</v>
      </c>
      <c r="AN1657" s="4" t="s">
        <v>27508</v>
      </c>
      <c r="AO1657" s="4" t="s">
        <v>27509</v>
      </c>
      <c r="AP1657" s="4"/>
      <c r="AQ1657" s="4"/>
      <c r="AR1657" s="4" t="s">
        <v>27497</v>
      </c>
      <c r="AS1657" s="4" t="s">
        <v>27510</v>
      </c>
      <c r="AT1657" s="4" t="s">
        <v>27880</v>
      </c>
      <c r="AU1657" s="4" t="n">
        <v>2017</v>
      </c>
      <c r="AV1657" s="4" t="n">
        <v>12</v>
      </c>
      <c r="AW1657" s="4" t="n">
        <v>1</v>
      </c>
      <c r="AX1657" s="4"/>
      <c r="AY1657" s="4"/>
      <c r="AZ1657" s="4"/>
      <c r="BA1657" s="4"/>
      <c r="BB1657" s="4"/>
      <c r="BC1657" s="4"/>
      <c r="BD1657" s="4" t="s">
        <v>28624</v>
      </c>
      <c r="BE1657" s="4" t="s">
        <v>28625</v>
      </c>
      <c r="BF1657" s="4" t="str">
        <f aca="false">HYPERLINK("http://dx.doi.org/10.1371/journal.pone.0170200","http://dx.doi.org/10.1371/journal.pone.0170200")</f>
        <v>http://dx.doi.org/10.1371/journal.pone.0170200</v>
      </c>
      <c r="BG1657" s="4"/>
      <c r="BH1657" s="4"/>
      <c r="BI1657" s="4" t="n">
        <v>19</v>
      </c>
      <c r="BJ1657" s="4" t="s">
        <v>1658</v>
      </c>
      <c r="BK1657" s="4" t="s">
        <v>100</v>
      </c>
      <c r="BL1657" s="4" t="s">
        <v>1659</v>
      </c>
      <c r="BM1657" s="4" t="s">
        <v>28626</v>
      </c>
      <c r="BN1657" s="4" t="n">
        <v>28095451</v>
      </c>
      <c r="BO1657" s="4" t="s">
        <v>2582</v>
      </c>
      <c r="BP1657" s="4"/>
      <c r="BQ1657" s="4"/>
      <c r="BR1657" s="4" t="s">
        <v>104</v>
      </c>
      <c r="BS1657" s="4" t="s">
        <v>28627</v>
      </c>
      <c r="BT1657" s="4" t="str">
        <f aca="false">HYPERLINK("https%3A%2F%2Fwww.webofscience.com%2Fwos%2Fwoscc%2Ffull-record%2FWOS:000392372300067","View Full Record in Web of Science")</f>
        <v>View Full Record in Web of Science</v>
      </c>
    </row>
    <row r="1658" s="5" customFormat="true" ht="12.75" hidden="false" customHeight="false" outlineLevel="0" collapsed="false">
      <c r="A1658" s="4" t="s">
        <v>72</v>
      </c>
      <c r="B1658" s="4" t="s">
        <v>28628</v>
      </c>
      <c r="C1658" s="4"/>
      <c r="D1658" s="4"/>
      <c r="E1658" s="4"/>
      <c r="F1658" s="4" t="s">
        <v>28629</v>
      </c>
      <c r="G1658" s="4"/>
      <c r="H1658" s="4"/>
      <c r="I1658" s="4" t="s">
        <v>28630</v>
      </c>
      <c r="J1658" s="4" t="s">
        <v>1863</v>
      </c>
      <c r="K1658" s="4"/>
      <c r="L1658" s="4"/>
      <c r="M1658" s="4" t="s">
        <v>77</v>
      </c>
      <c r="N1658" s="4" t="s">
        <v>78</v>
      </c>
      <c r="O1658" s="4"/>
      <c r="P1658" s="4"/>
      <c r="Q1658" s="4"/>
      <c r="R1658" s="4"/>
      <c r="S1658" s="4"/>
      <c r="T1658" s="1" t="s">
        <v>28631</v>
      </c>
      <c r="U1658" s="4" t="s">
        <v>28632</v>
      </c>
      <c r="V1658" s="4" t="s">
        <v>28633</v>
      </c>
      <c r="W1658" s="4" t="s">
        <v>28634</v>
      </c>
      <c r="X1658" s="4" t="s">
        <v>6097</v>
      </c>
      <c r="Y1658" s="4" t="s">
        <v>28635</v>
      </c>
      <c r="Z1658" s="4" t="s">
        <v>28636</v>
      </c>
      <c r="AA1658" s="4"/>
      <c r="AB1658" s="4" t="s">
        <v>6166</v>
      </c>
      <c r="AC1658" s="4"/>
      <c r="AD1658" s="4"/>
      <c r="AE1658" s="4"/>
      <c r="AF1658" s="4"/>
      <c r="AG1658" s="4" t="n">
        <v>27</v>
      </c>
      <c r="AH1658" s="4" t="n">
        <v>23</v>
      </c>
      <c r="AI1658" s="4" t="n">
        <v>27</v>
      </c>
      <c r="AJ1658" s="4" t="n">
        <v>0</v>
      </c>
      <c r="AK1658" s="4" t="n">
        <v>0</v>
      </c>
      <c r="AL1658" s="4" t="s">
        <v>2337</v>
      </c>
      <c r="AM1658" s="4" t="s">
        <v>303</v>
      </c>
      <c r="AN1658" s="4" t="s">
        <v>2338</v>
      </c>
      <c r="AO1658" s="4" t="s">
        <v>1876</v>
      </c>
      <c r="AP1658" s="4"/>
      <c r="AQ1658" s="4"/>
      <c r="AR1658" s="4" t="s">
        <v>1877</v>
      </c>
      <c r="AS1658" s="4" t="s">
        <v>1878</v>
      </c>
      <c r="AT1658" s="4" t="s">
        <v>10905</v>
      </c>
      <c r="AU1658" s="4" t="n">
        <v>2008</v>
      </c>
      <c r="AV1658" s="4" t="n">
        <v>5</v>
      </c>
      <c r="AW1658" s="4"/>
      <c r="AX1658" s="4"/>
      <c r="AY1658" s="4"/>
      <c r="AZ1658" s="4"/>
      <c r="BA1658" s="4"/>
      <c r="BB1658" s="4"/>
      <c r="BC1658" s="4"/>
      <c r="BD1658" s="4" t="n">
        <v>69</v>
      </c>
      <c r="BE1658" s="4" t="s">
        <v>28637</v>
      </c>
      <c r="BF1658" s="4" t="str">
        <f aca="false">HYPERLINK("http://dx.doi.org/10.1186/1743-422X-5-69","http://dx.doi.org/10.1186/1743-422X-5-69")</f>
        <v>http://dx.doi.org/10.1186/1743-422X-5-69</v>
      </c>
      <c r="BG1658" s="4"/>
      <c r="BH1658" s="4"/>
      <c r="BI1658" s="4" t="n">
        <v>14</v>
      </c>
      <c r="BJ1658" s="4" t="s">
        <v>163</v>
      </c>
      <c r="BK1658" s="4" t="s">
        <v>100</v>
      </c>
      <c r="BL1658" s="4" t="s">
        <v>163</v>
      </c>
      <c r="BM1658" s="4" t="s">
        <v>28638</v>
      </c>
      <c r="BN1658" s="4" t="n">
        <v>18519001</v>
      </c>
      <c r="BO1658" s="4" t="s">
        <v>190</v>
      </c>
      <c r="BP1658" s="4"/>
      <c r="BQ1658" s="4"/>
      <c r="BR1658" s="4" t="s">
        <v>104</v>
      </c>
      <c r="BS1658" s="4" t="s">
        <v>28639</v>
      </c>
      <c r="BT1658" s="4" t="str">
        <f aca="false">HYPERLINK("https%3A%2F%2Fwww.webofscience.com%2Fwos%2Fwoscc%2Ffull-record%2FWOS:000256779700001","View Full Record in Web of Science")</f>
        <v>View Full Record in Web of Science</v>
      </c>
    </row>
    <row r="1659" s="5" customFormat="true" ht="12.75" hidden="false" customHeight="false" outlineLevel="0" collapsed="false">
      <c r="A1659" s="4" t="s">
        <v>72</v>
      </c>
      <c r="B1659" s="4" t="s">
        <v>28640</v>
      </c>
      <c r="C1659" s="4"/>
      <c r="D1659" s="4"/>
      <c r="E1659" s="4"/>
      <c r="F1659" s="4" t="s">
        <v>28640</v>
      </c>
      <c r="G1659" s="4"/>
      <c r="H1659" s="4"/>
      <c r="I1659" s="4" t="s">
        <v>28641</v>
      </c>
      <c r="J1659" s="4" t="s">
        <v>28358</v>
      </c>
      <c r="K1659" s="4"/>
      <c r="L1659" s="4"/>
      <c r="M1659" s="4" t="s">
        <v>77</v>
      </c>
      <c r="N1659" s="4" t="s">
        <v>78</v>
      </c>
      <c r="O1659" s="4"/>
      <c r="P1659" s="4"/>
      <c r="Q1659" s="4"/>
      <c r="R1659" s="4"/>
      <c r="S1659" s="4"/>
      <c r="T1659" s="1" t="s">
        <v>28642</v>
      </c>
      <c r="U1659" s="4" t="s">
        <v>28643</v>
      </c>
      <c r="V1659" s="4" t="s">
        <v>28644</v>
      </c>
      <c r="W1659" s="4" t="s">
        <v>28645</v>
      </c>
      <c r="X1659" s="4" t="s">
        <v>12353</v>
      </c>
      <c r="Y1659" s="4" t="s">
        <v>28646</v>
      </c>
      <c r="Z1659" s="4" t="s">
        <v>12355</v>
      </c>
      <c r="AA1659" s="4"/>
      <c r="AB1659" s="4" t="s">
        <v>2414</v>
      </c>
      <c r="AC1659" s="4"/>
      <c r="AD1659" s="4"/>
      <c r="AE1659" s="4"/>
      <c r="AF1659" s="4"/>
      <c r="AG1659" s="4" t="n">
        <v>30</v>
      </c>
      <c r="AH1659" s="4" t="n">
        <v>39</v>
      </c>
      <c r="AI1659" s="4" t="n">
        <v>42</v>
      </c>
      <c r="AJ1659" s="4" t="n">
        <v>0</v>
      </c>
      <c r="AK1659" s="4" t="n">
        <v>2</v>
      </c>
      <c r="AL1659" s="4" t="s">
        <v>755</v>
      </c>
      <c r="AM1659" s="4" t="s">
        <v>273</v>
      </c>
      <c r="AN1659" s="4" t="s">
        <v>756</v>
      </c>
      <c r="AO1659" s="4" t="s">
        <v>28363</v>
      </c>
      <c r="AP1659" s="4"/>
      <c r="AQ1659" s="4"/>
      <c r="AR1659" s="4" t="s">
        <v>28364</v>
      </c>
      <c r="AS1659" s="4" t="s">
        <v>28365</v>
      </c>
      <c r="AT1659" s="4" t="s">
        <v>1041</v>
      </c>
      <c r="AU1659" s="4" t="n">
        <v>2005</v>
      </c>
      <c r="AV1659" s="4" t="n">
        <v>12</v>
      </c>
      <c r="AW1659" s="4" t="n">
        <v>2</v>
      </c>
      <c r="AX1659" s="4"/>
      <c r="AY1659" s="4"/>
      <c r="AZ1659" s="4"/>
      <c r="BA1659" s="4"/>
      <c r="BB1659" s="4" t="n">
        <v>249</v>
      </c>
      <c r="BC1659" s="4" t="n">
        <v>253</v>
      </c>
      <c r="BD1659" s="4"/>
      <c r="BE1659" s="4" t="s">
        <v>28647</v>
      </c>
      <c r="BF1659" s="4" t="str">
        <f aca="false">HYPERLINK("http://dx.doi.org/10.1128/CDLI.12.2.249-253.2005","http://dx.doi.org/10.1128/CDLI.12.2.249-253.2005")</f>
        <v>http://dx.doi.org/10.1128/CDLI.12.2.249-253.2005</v>
      </c>
      <c r="BG1659" s="4"/>
      <c r="BH1659" s="4"/>
      <c r="BI1659" s="4" t="n">
        <v>5</v>
      </c>
      <c r="BJ1659" s="4" t="s">
        <v>536</v>
      </c>
      <c r="BK1659" s="4" t="s">
        <v>100</v>
      </c>
      <c r="BL1659" s="4" t="s">
        <v>536</v>
      </c>
      <c r="BM1659" s="4" t="s">
        <v>28648</v>
      </c>
      <c r="BN1659" s="4" t="n">
        <v>15699418</v>
      </c>
      <c r="BO1659" s="4" t="s">
        <v>165</v>
      </c>
      <c r="BP1659" s="4"/>
      <c r="BQ1659" s="4"/>
      <c r="BR1659" s="4" t="s">
        <v>104</v>
      </c>
      <c r="BS1659" s="4" t="s">
        <v>28649</v>
      </c>
      <c r="BT1659" s="4" t="str">
        <f aca="false">HYPERLINK("https%3A%2F%2Fwww.webofscience.com%2Fwos%2Fwoscc%2Ffull-record%2FWOS:000231196400003","View Full Record in Web of Science")</f>
        <v>View Full Record in Web of Science</v>
      </c>
    </row>
    <row r="1660" s="5" customFormat="true" ht="12.75" hidden="false" customHeight="false" outlineLevel="0" collapsed="false">
      <c r="A1660" s="4" t="s">
        <v>72</v>
      </c>
      <c r="B1660" s="4" t="s">
        <v>28650</v>
      </c>
      <c r="C1660" s="4"/>
      <c r="D1660" s="4"/>
      <c r="E1660" s="4"/>
      <c r="F1660" s="4" t="s">
        <v>28651</v>
      </c>
      <c r="G1660" s="4"/>
      <c r="H1660" s="4"/>
      <c r="I1660" s="4" t="s">
        <v>28652</v>
      </c>
      <c r="J1660" s="4" t="s">
        <v>742</v>
      </c>
      <c r="K1660" s="4"/>
      <c r="L1660" s="4"/>
      <c r="M1660" s="4" t="s">
        <v>77</v>
      </c>
      <c r="N1660" s="4" t="s">
        <v>78</v>
      </c>
      <c r="O1660" s="4"/>
      <c r="P1660" s="4"/>
      <c r="Q1660" s="4"/>
      <c r="R1660" s="4"/>
      <c r="S1660" s="4"/>
      <c r="T1660" s="1" t="s">
        <v>28653</v>
      </c>
      <c r="U1660" s="4" t="s">
        <v>28654</v>
      </c>
      <c r="V1660" s="4" t="s">
        <v>28655</v>
      </c>
      <c r="W1660" s="4" t="s">
        <v>28656</v>
      </c>
      <c r="X1660" s="4" t="s">
        <v>28657</v>
      </c>
      <c r="Y1660" s="4" t="s">
        <v>8037</v>
      </c>
      <c r="Z1660" s="4" t="s">
        <v>6724</v>
      </c>
      <c r="AA1660" s="4" t="s">
        <v>28658</v>
      </c>
      <c r="AB1660" s="4" t="s">
        <v>28659</v>
      </c>
      <c r="AC1660" s="4" t="s">
        <v>28660</v>
      </c>
      <c r="AD1660" s="4" t="s">
        <v>2416</v>
      </c>
      <c r="AE1660" s="4"/>
      <c r="AF1660" s="4"/>
      <c r="AG1660" s="4" t="n">
        <v>90</v>
      </c>
      <c r="AH1660" s="4" t="n">
        <v>53</v>
      </c>
      <c r="AI1660" s="4" t="n">
        <v>69</v>
      </c>
      <c r="AJ1660" s="4" t="n">
        <v>0</v>
      </c>
      <c r="AK1660" s="4" t="n">
        <v>4</v>
      </c>
      <c r="AL1660" s="4" t="s">
        <v>755</v>
      </c>
      <c r="AM1660" s="4" t="s">
        <v>273</v>
      </c>
      <c r="AN1660" s="4" t="s">
        <v>756</v>
      </c>
      <c r="AO1660" s="4" t="s">
        <v>757</v>
      </c>
      <c r="AP1660" s="4" t="s">
        <v>758</v>
      </c>
      <c r="AQ1660" s="4"/>
      <c r="AR1660" s="4" t="s">
        <v>759</v>
      </c>
      <c r="AS1660" s="4" t="s">
        <v>760</v>
      </c>
      <c r="AT1660" s="4" t="s">
        <v>185</v>
      </c>
      <c r="AU1660" s="4" t="n">
        <v>2007</v>
      </c>
      <c r="AV1660" s="4" t="n">
        <v>81</v>
      </c>
      <c r="AW1660" s="4" t="n">
        <v>15</v>
      </c>
      <c r="AX1660" s="4"/>
      <c r="AY1660" s="4"/>
      <c r="AZ1660" s="4"/>
      <c r="BA1660" s="4"/>
      <c r="BB1660" s="4" t="n">
        <v>8315</v>
      </c>
      <c r="BC1660" s="4" t="n">
        <v>8324</v>
      </c>
      <c r="BD1660" s="4"/>
      <c r="BE1660" s="4" t="s">
        <v>28661</v>
      </c>
      <c r="BF1660" s="4" t="str">
        <f aca="false">HYPERLINK("http://dx.doi.org/10.1128/JVI.00106-07","http://dx.doi.org/10.1128/JVI.00106-07")</f>
        <v>http://dx.doi.org/10.1128/JVI.00106-07</v>
      </c>
      <c r="BG1660" s="4"/>
      <c r="BH1660" s="4"/>
      <c r="BI1660" s="4" t="n">
        <v>10</v>
      </c>
      <c r="BJ1660" s="4" t="s">
        <v>163</v>
      </c>
      <c r="BK1660" s="4" t="s">
        <v>100</v>
      </c>
      <c r="BL1660" s="4" t="s">
        <v>163</v>
      </c>
      <c r="BM1660" s="4" t="s">
        <v>28662</v>
      </c>
      <c r="BN1660" s="4" t="n">
        <v>17522220</v>
      </c>
      <c r="BO1660" s="4" t="s">
        <v>165</v>
      </c>
      <c r="BP1660" s="4"/>
      <c r="BQ1660" s="4"/>
      <c r="BR1660" s="4" t="s">
        <v>104</v>
      </c>
      <c r="BS1660" s="4" t="s">
        <v>28663</v>
      </c>
      <c r="BT1660" s="4" t="str">
        <f aca="false">HYPERLINK("https%3A%2F%2Fwww.webofscience.com%2Fwos%2Fwoscc%2Ffull-record%2FWOS:000248027400049","View Full Record in Web of Science")</f>
        <v>View Full Record in Web of Science</v>
      </c>
    </row>
    <row r="1661" s="5" customFormat="true" ht="12.75" hidden="false" customHeight="false" outlineLevel="0" collapsed="false">
      <c r="A1661" s="4" t="s">
        <v>72</v>
      </c>
      <c r="B1661" s="4" t="s">
        <v>28664</v>
      </c>
      <c r="C1661" s="4"/>
      <c r="D1661" s="4"/>
      <c r="E1661" s="4"/>
      <c r="F1661" s="4" t="s">
        <v>28665</v>
      </c>
      <c r="G1661" s="4"/>
      <c r="H1661" s="4"/>
      <c r="I1661" s="4" t="s">
        <v>28666</v>
      </c>
      <c r="J1661" s="4" t="s">
        <v>742</v>
      </c>
      <c r="K1661" s="4"/>
      <c r="L1661" s="4"/>
      <c r="M1661" s="4" t="s">
        <v>77</v>
      </c>
      <c r="N1661" s="4" t="s">
        <v>78</v>
      </c>
      <c r="O1661" s="4"/>
      <c r="P1661" s="4"/>
      <c r="Q1661" s="4"/>
      <c r="R1661" s="4"/>
      <c r="S1661" s="4"/>
      <c r="T1661" s="1" t="s">
        <v>28667</v>
      </c>
      <c r="U1661" s="4" t="s">
        <v>28668</v>
      </c>
      <c r="V1661" s="4" t="s">
        <v>28669</v>
      </c>
      <c r="W1661" s="4" t="s">
        <v>28670</v>
      </c>
      <c r="X1661" s="4" t="s">
        <v>12027</v>
      </c>
      <c r="Y1661" s="4" t="s">
        <v>28671</v>
      </c>
      <c r="Z1661" s="4" t="s">
        <v>14892</v>
      </c>
      <c r="AA1661" s="4" t="s">
        <v>27739</v>
      </c>
      <c r="AB1661" s="4"/>
      <c r="AC1661" s="4" t="s">
        <v>17138</v>
      </c>
      <c r="AD1661" s="4" t="s">
        <v>2416</v>
      </c>
      <c r="AE1661" s="4"/>
      <c r="AF1661" s="4"/>
      <c r="AG1661" s="4" t="n">
        <v>51</v>
      </c>
      <c r="AH1661" s="4" t="n">
        <v>116</v>
      </c>
      <c r="AI1661" s="4" t="n">
        <v>147</v>
      </c>
      <c r="AJ1661" s="4" t="n">
        <v>1</v>
      </c>
      <c r="AK1661" s="4" t="n">
        <v>6</v>
      </c>
      <c r="AL1661" s="4" t="s">
        <v>755</v>
      </c>
      <c r="AM1661" s="4" t="s">
        <v>273</v>
      </c>
      <c r="AN1661" s="4" t="s">
        <v>756</v>
      </c>
      <c r="AO1661" s="4" t="s">
        <v>757</v>
      </c>
      <c r="AP1661" s="4" t="s">
        <v>758</v>
      </c>
      <c r="AQ1661" s="4"/>
      <c r="AR1661" s="4" t="s">
        <v>759</v>
      </c>
      <c r="AS1661" s="4" t="s">
        <v>760</v>
      </c>
      <c r="AT1661" s="4" t="s">
        <v>804</v>
      </c>
      <c r="AU1661" s="4" t="n">
        <v>2006</v>
      </c>
      <c r="AV1661" s="4" t="n">
        <v>80</v>
      </c>
      <c r="AW1661" s="4" t="n">
        <v>22</v>
      </c>
      <c r="AX1661" s="4"/>
      <c r="AY1661" s="4"/>
      <c r="AZ1661" s="4"/>
      <c r="BA1661" s="4"/>
      <c r="BB1661" s="4" t="n">
        <v>10931</v>
      </c>
      <c r="BC1661" s="4" t="n">
        <v>10941</v>
      </c>
      <c r="BD1661" s="4"/>
      <c r="BE1661" s="4" t="s">
        <v>28672</v>
      </c>
      <c r="BF1661" s="4" t="str">
        <f aca="false">HYPERLINK("http://dx.doi.org/10.1128/JVI.01287-06","http://dx.doi.org/10.1128/JVI.01287-06")</f>
        <v>http://dx.doi.org/10.1128/JVI.01287-06</v>
      </c>
      <c r="BG1661" s="4"/>
      <c r="BH1661" s="4"/>
      <c r="BI1661" s="4" t="n">
        <v>11</v>
      </c>
      <c r="BJ1661" s="4" t="s">
        <v>163</v>
      </c>
      <c r="BK1661" s="4" t="s">
        <v>100</v>
      </c>
      <c r="BL1661" s="4" t="s">
        <v>163</v>
      </c>
      <c r="BM1661" s="4" t="s">
        <v>28673</v>
      </c>
      <c r="BN1661" s="4" t="n">
        <v>16971452</v>
      </c>
      <c r="BO1661" s="4" t="s">
        <v>165</v>
      </c>
      <c r="BP1661" s="4"/>
      <c r="BQ1661" s="4"/>
      <c r="BR1661" s="4" t="s">
        <v>104</v>
      </c>
      <c r="BS1661" s="4" t="s">
        <v>28674</v>
      </c>
      <c r="BT1661" s="4" t="str">
        <f aca="false">HYPERLINK("https%3A%2F%2Fwww.webofscience.com%2Fwos%2Fwoscc%2Ffull-record%2FWOS:000241821300003","View Full Record in Web of Science")</f>
        <v>View Full Record in Web of Science</v>
      </c>
    </row>
    <row r="1662" s="5" customFormat="true" ht="12.75" hidden="false" customHeight="false" outlineLevel="0" collapsed="false">
      <c r="A1662" s="4" t="s">
        <v>72</v>
      </c>
      <c r="B1662" s="4" t="s">
        <v>28675</v>
      </c>
      <c r="C1662" s="4"/>
      <c r="D1662" s="4"/>
      <c r="E1662" s="4"/>
      <c r="F1662" s="4" t="s">
        <v>28675</v>
      </c>
      <c r="G1662" s="4"/>
      <c r="H1662" s="4"/>
      <c r="I1662" s="4" t="s">
        <v>28676</v>
      </c>
      <c r="J1662" s="4" t="s">
        <v>2222</v>
      </c>
      <c r="K1662" s="4"/>
      <c r="L1662" s="4"/>
      <c r="M1662" s="4" t="s">
        <v>77</v>
      </c>
      <c r="N1662" s="4" t="s">
        <v>78</v>
      </c>
      <c r="O1662" s="4"/>
      <c r="P1662" s="4"/>
      <c r="Q1662" s="4"/>
      <c r="R1662" s="4"/>
      <c r="S1662" s="4"/>
      <c r="T1662" s="1" t="s">
        <v>28677</v>
      </c>
      <c r="U1662" s="4" t="s">
        <v>28678</v>
      </c>
      <c r="V1662" s="4" t="s">
        <v>28679</v>
      </c>
      <c r="W1662" s="4" t="s">
        <v>28680</v>
      </c>
      <c r="X1662" s="4" t="s">
        <v>28681</v>
      </c>
      <c r="Y1662" s="4" t="s">
        <v>28682</v>
      </c>
      <c r="Z1662" s="4"/>
      <c r="AA1662" s="4"/>
      <c r="AB1662" s="4"/>
      <c r="AC1662" s="4"/>
      <c r="AD1662" s="4"/>
      <c r="AE1662" s="4"/>
      <c r="AF1662" s="4"/>
      <c r="AG1662" s="4" t="n">
        <v>17</v>
      </c>
      <c r="AH1662" s="4" t="n">
        <v>136</v>
      </c>
      <c r="AI1662" s="4" t="n">
        <v>158</v>
      </c>
      <c r="AJ1662" s="4" t="n">
        <v>0</v>
      </c>
      <c r="AK1662" s="4" t="n">
        <v>2</v>
      </c>
      <c r="AL1662" s="4" t="s">
        <v>755</v>
      </c>
      <c r="AM1662" s="4" t="s">
        <v>273</v>
      </c>
      <c r="AN1662" s="4" t="s">
        <v>756</v>
      </c>
      <c r="AO1662" s="4" t="s">
        <v>2234</v>
      </c>
      <c r="AP1662" s="4"/>
      <c r="AQ1662" s="4"/>
      <c r="AR1662" s="4" t="s">
        <v>2236</v>
      </c>
      <c r="AS1662" s="4" t="s">
        <v>2237</v>
      </c>
      <c r="AT1662" s="4" t="s">
        <v>336</v>
      </c>
      <c r="AU1662" s="4" t="n">
        <v>2003</v>
      </c>
      <c r="AV1662" s="4" t="n">
        <v>41</v>
      </c>
      <c r="AW1662" s="4" t="n">
        <v>10</v>
      </c>
      <c r="AX1662" s="4"/>
      <c r="AY1662" s="4"/>
      <c r="AZ1662" s="4"/>
      <c r="BA1662" s="4"/>
      <c r="BB1662" s="4" t="n">
        <v>4642</v>
      </c>
      <c r="BC1662" s="4" t="n">
        <v>4646</v>
      </c>
      <c r="BD1662" s="4"/>
      <c r="BE1662" s="4" t="s">
        <v>28683</v>
      </c>
      <c r="BF1662" s="4" t="str">
        <f aca="false">HYPERLINK("http://dx.doi.org/10.1128/JCM.41.10.4642-4646.2003","http://dx.doi.org/10.1128/JCM.41.10.4642-4646.2003")</f>
        <v>http://dx.doi.org/10.1128/JCM.41.10.4642-4646.2003</v>
      </c>
      <c r="BG1662" s="4"/>
      <c r="BH1662" s="4"/>
      <c r="BI1662" s="4" t="n">
        <v>5</v>
      </c>
      <c r="BJ1662" s="4" t="s">
        <v>211</v>
      </c>
      <c r="BK1662" s="4" t="s">
        <v>100</v>
      </c>
      <c r="BL1662" s="4" t="s">
        <v>211</v>
      </c>
      <c r="BM1662" s="4" t="s">
        <v>28684</v>
      </c>
      <c r="BN1662" s="4" t="n">
        <v>14532196</v>
      </c>
      <c r="BO1662" s="4" t="s">
        <v>1089</v>
      </c>
      <c r="BP1662" s="4"/>
      <c r="BQ1662" s="4"/>
      <c r="BR1662" s="4" t="s">
        <v>104</v>
      </c>
      <c r="BS1662" s="4" t="s">
        <v>28685</v>
      </c>
      <c r="BT1662" s="4" t="str">
        <f aca="false">HYPERLINK("https%3A%2F%2Fwww.webofscience.com%2Fwos%2Fwoscc%2Ffull-record%2FWOS:000185922900024","View Full Record in Web of Science")</f>
        <v>View Full Record in Web of Science</v>
      </c>
    </row>
    <row r="1663" s="5" customFormat="true" ht="12.75" hidden="false" customHeight="false" outlineLevel="0" collapsed="false">
      <c r="A1663" s="4" t="s">
        <v>72</v>
      </c>
      <c r="B1663" s="4" t="s">
        <v>28686</v>
      </c>
      <c r="C1663" s="4"/>
      <c r="D1663" s="4"/>
      <c r="E1663" s="4"/>
      <c r="F1663" s="4" t="s">
        <v>28686</v>
      </c>
      <c r="G1663" s="4"/>
      <c r="H1663" s="4"/>
      <c r="I1663" s="4" t="s">
        <v>28687</v>
      </c>
      <c r="J1663" s="4" t="s">
        <v>514</v>
      </c>
      <c r="K1663" s="4"/>
      <c r="L1663" s="4"/>
      <c r="M1663" s="4" t="s">
        <v>77</v>
      </c>
      <c r="N1663" s="4" t="s">
        <v>78</v>
      </c>
      <c r="O1663" s="4"/>
      <c r="P1663" s="4"/>
      <c r="Q1663" s="4"/>
      <c r="R1663" s="4"/>
      <c r="S1663" s="4"/>
      <c r="T1663" s="1" t="s">
        <v>28688</v>
      </c>
      <c r="U1663" s="4" t="s">
        <v>28689</v>
      </c>
      <c r="V1663" s="4" t="s">
        <v>28690</v>
      </c>
      <c r="W1663" s="4" t="s">
        <v>28691</v>
      </c>
      <c r="X1663" s="4" t="s">
        <v>13580</v>
      </c>
      <c r="Y1663" s="4" t="s">
        <v>28692</v>
      </c>
      <c r="Z1663" s="4" t="s">
        <v>13582</v>
      </c>
      <c r="AA1663" s="4" t="s">
        <v>13583</v>
      </c>
      <c r="AB1663" s="4" t="s">
        <v>13584</v>
      </c>
      <c r="AC1663" s="4"/>
      <c r="AD1663" s="4"/>
      <c r="AE1663" s="4"/>
      <c r="AF1663" s="4"/>
      <c r="AG1663" s="4" t="n">
        <v>25</v>
      </c>
      <c r="AH1663" s="4" t="n">
        <v>81</v>
      </c>
      <c r="AI1663" s="4" t="n">
        <v>88</v>
      </c>
      <c r="AJ1663" s="4" t="n">
        <v>0</v>
      </c>
      <c r="AK1663" s="4" t="n">
        <v>3</v>
      </c>
      <c r="AL1663" s="4" t="s">
        <v>27444</v>
      </c>
      <c r="AM1663" s="4" t="s">
        <v>20223</v>
      </c>
      <c r="AN1663" s="4" t="s">
        <v>27445</v>
      </c>
      <c r="AO1663" s="4" t="s">
        <v>530</v>
      </c>
      <c r="AP1663" s="4"/>
      <c r="AQ1663" s="4"/>
      <c r="AR1663" s="4" t="s">
        <v>532</v>
      </c>
      <c r="AS1663" s="4" t="s">
        <v>533</v>
      </c>
      <c r="AT1663" s="4" t="s">
        <v>2640</v>
      </c>
      <c r="AU1663" s="4" t="n">
        <v>2006</v>
      </c>
      <c r="AV1663" s="4" t="n">
        <v>193</v>
      </c>
      <c r="AW1663" s="4" t="n">
        <v>9</v>
      </c>
      <c r="AX1663" s="4"/>
      <c r="AY1663" s="4"/>
      <c r="AZ1663" s="4"/>
      <c r="BA1663" s="4"/>
      <c r="BB1663" s="4" t="n">
        <v>1236</v>
      </c>
      <c r="BC1663" s="4" t="n">
        <v>1243</v>
      </c>
      <c r="BD1663" s="4"/>
      <c r="BE1663" s="4" t="s">
        <v>28693</v>
      </c>
      <c r="BF1663" s="4" t="str">
        <f aca="false">HYPERLINK("http://dx.doi.org/10.1086/503053","http://dx.doi.org/10.1086/503053")</f>
        <v>http://dx.doi.org/10.1086/503053</v>
      </c>
      <c r="BG1663" s="4"/>
      <c r="BH1663" s="4"/>
      <c r="BI1663" s="4" t="n">
        <v>8</v>
      </c>
      <c r="BJ1663" s="4" t="s">
        <v>536</v>
      </c>
      <c r="BK1663" s="4" t="s">
        <v>100</v>
      </c>
      <c r="BL1663" s="4" t="s">
        <v>536</v>
      </c>
      <c r="BM1663" s="4" t="s">
        <v>28694</v>
      </c>
      <c r="BN1663" s="4" t="n">
        <v>16586360</v>
      </c>
      <c r="BO1663" s="4" t="s">
        <v>656</v>
      </c>
      <c r="BP1663" s="4"/>
      <c r="BQ1663" s="4"/>
      <c r="BR1663" s="4" t="s">
        <v>104</v>
      </c>
      <c r="BS1663" s="4" t="s">
        <v>28695</v>
      </c>
      <c r="BT1663" s="4" t="str">
        <f aca="false">HYPERLINK("https%3A%2F%2Fwww.webofscience.com%2Fwos%2Fwoscc%2Ffull-record%2FWOS:000237053300008","View Full Record in Web of Science")</f>
        <v>View Full Record in Web of Science</v>
      </c>
    </row>
    <row r="1664" s="5" customFormat="true" ht="12.75" hidden="false" customHeight="false" outlineLevel="0" collapsed="false">
      <c r="A1664" s="4" t="s">
        <v>72</v>
      </c>
      <c r="B1664" s="4" t="s">
        <v>28696</v>
      </c>
      <c r="C1664" s="4"/>
      <c r="D1664" s="4"/>
      <c r="E1664" s="4"/>
      <c r="F1664" s="4" t="s">
        <v>28697</v>
      </c>
      <c r="G1664" s="4"/>
      <c r="H1664" s="4"/>
      <c r="I1664" s="4" t="s">
        <v>28698</v>
      </c>
      <c r="J1664" s="4" t="s">
        <v>28699</v>
      </c>
      <c r="K1664" s="4"/>
      <c r="L1664" s="4"/>
      <c r="M1664" s="4" t="s">
        <v>77</v>
      </c>
      <c r="N1664" s="4" t="s">
        <v>78</v>
      </c>
      <c r="O1664" s="4"/>
      <c r="P1664" s="4"/>
      <c r="Q1664" s="4"/>
      <c r="R1664" s="4"/>
      <c r="S1664" s="4"/>
      <c r="T1664" s="1" t="s">
        <v>28700</v>
      </c>
      <c r="U1664" s="4" t="s">
        <v>28701</v>
      </c>
      <c r="V1664" s="4" t="s">
        <v>28702</v>
      </c>
      <c r="W1664" s="4" t="s">
        <v>28703</v>
      </c>
      <c r="X1664" s="4" t="s">
        <v>28704</v>
      </c>
      <c r="Y1664" s="4" t="s">
        <v>16990</v>
      </c>
      <c r="Z1664" s="4" t="s">
        <v>28705</v>
      </c>
      <c r="AA1664" s="4" t="s">
        <v>28706</v>
      </c>
      <c r="AB1664" s="4" t="s">
        <v>28707</v>
      </c>
      <c r="AC1664" s="4" t="s">
        <v>28708</v>
      </c>
      <c r="AD1664" s="4" t="s">
        <v>23709</v>
      </c>
      <c r="AE1664" s="4" t="s">
        <v>28709</v>
      </c>
      <c r="AF1664" s="4"/>
      <c r="AG1664" s="4" t="n">
        <v>63</v>
      </c>
      <c r="AH1664" s="4" t="n">
        <v>14</v>
      </c>
      <c r="AI1664" s="4" t="n">
        <v>17</v>
      </c>
      <c r="AJ1664" s="4" t="n">
        <v>0</v>
      </c>
      <c r="AK1664" s="4" t="n">
        <v>3</v>
      </c>
      <c r="AL1664" s="4" t="s">
        <v>154</v>
      </c>
      <c r="AM1664" s="4" t="s">
        <v>155</v>
      </c>
      <c r="AN1664" s="4" t="s">
        <v>156</v>
      </c>
      <c r="AO1664" s="4" t="s">
        <v>28710</v>
      </c>
      <c r="AP1664" s="4" t="s">
        <v>28711</v>
      </c>
      <c r="AQ1664" s="4"/>
      <c r="AR1664" s="4" t="s">
        <v>28712</v>
      </c>
      <c r="AS1664" s="4" t="s">
        <v>28713</v>
      </c>
      <c r="AT1664" s="4" t="s">
        <v>161</v>
      </c>
      <c r="AU1664" s="4" t="n">
        <v>2018</v>
      </c>
      <c r="AV1664" s="4" t="n">
        <v>175</v>
      </c>
      <c r="AW1664" s="4" t="n">
        <v>2</v>
      </c>
      <c r="AX1664" s="4"/>
      <c r="AY1664" s="4"/>
      <c r="AZ1664" s="4" t="s">
        <v>1627</v>
      </c>
      <c r="BA1664" s="4"/>
      <c r="BB1664" s="4" t="n">
        <v>388</v>
      </c>
      <c r="BC1664" s="4" t="n">
        <v>403</v>
      </c>
      <c r="BD1664" s="4"/>
      <c r="BE1664" s="4" t="s">
        <v>28714</v>
      </c>
      <c r="BF1664" s="4" t="str">
        <f aca="false">HYPERLINK("http://dx.doi.org/10.1111/bph.14084","http://dx.doi.org/10.1111/bph.14084")</f>
        <v>http://dx.doi.org/10.1111/bph.14084</v>
      </c>
      <c r="BG1664" s="4"/>
      <c r="BH1664" s="4"/>
      <c r="BI1664" s="4" t="n">
        <v>16</v>
      </c>
      <c r="BJ1664" s="4" t="s">
        <v>101</v>
      </c>
      <c r="BK1664" s="4" t="s">
        <v>100</v>
      </c>
      <c r="BL1664" s="4" t="s">
        <v>101</v>
      </c>
      <c r="BM1664" s="4" t="s">
        <v>28715</v>
      </c>
      <c r="BN1664" s="4" t="n">
        <v>29105740</v>
      </c>
      <c r="BO1664" s="4" t="s">
        <v>538</v>
      </c>
      <c r="BP1664" s="4"/>
      <c r="BQ1664" s="4"/>
      <c r="BR1664" s="4" t="s">
        <v>104</v>
      </c>
      <c r="BS1664" s="4" t="s">
        <v>28716</v>
      </c>
      <c r="BT1664" s="4" t="str">
        <f aca="false">HYPERLINK("https%3A%2F%2Fwww.webofscience.com%2Fwos%2Fwoscc%2Ffull-record%2FWOS:000419599900017","View Full Record in Web of Science")</f>
        <v>View Full Record in Web of Science</v>
      </c>
    </row>
    <row r="1665" s="5" customFormat="true" ht="12.75" hidden="false" customHeight="false" outlineLevel="0" collapsed="false">
      <c r="A1665" s="4" t="s">
        <v>72</v>
      </c>
      <c r="B1665" s="4" t="s">
        <v>28717</v>
      </c>
      <c r="C1665" s="4"/>
      <c r="D1665" s="4"/>
      <c r="E1665" s="4"/>
      <c r="F1665" s="4" t="s">
        <v>28718</v>
      </c>
      <c r="G1665" s="4"/>
      <c r="H1665" s="4"/>
      <c r="I1665" s="4" t="s">
        <v>28719</v>
      </c>
      <c r="J1665" s="4" t="s">
        <v>28720</v>
      </c>
      <c r="K1665" s="4"/>
      <c r="L1665" s="4"/>
      <c r="M1665" s="4" t="s">
        <v>77</v>
      </c>
      <c r="N1665" s="4" t="s">
        <v>78</v>
      </c>
      <c r="O1665" s="4"/>
      <c r="P1665" s="4"/>
      <c r="Q1665" s="4"/>
      <c r="R1665" s="4"/>
      <c r="S1665" s="4"/>
      <c r="T1665" s="1" t="s">
        <v>28721</v>
      </c>
      <c r="U1665" s="4" t="s">
        <v>28722</v>
      </c>
      <c r="V1665" s="4" t="s">
        <v>28723</v>
      </c>
      <c r="W1665" s="4" t="s">
        <v>28724</v>
      </c>
      <c r="X1665" s="4" t="s">
        <v>28725</v>
      </c>
      <c r="Y1665" s="4" t="s">
        <v>28726</v>
      </c>
      <c r="Z1665" s="4" t="s">
        <v>28727</v>
      </c>
      <c r="AA1665" s="4" t="s">
        <v>28728</v>
      </c>
      <c r="AB1665" s="4"/>
      <c r="AC1665" s="4"/>
      <c r="AD1665" s="4"/>
      <c r="AE1665" s="4"/>
      <c r="AF1665" s="4"/>
      <c r="AG1665" s="4" t="n">
        <v>24</v>
      </c>
      <c r="AH1665" s="4" t="n">
        <v>6</v>
      </c>
      <c r="AI1665" s="4" t="n">
        <v>6</v>
      </c>
      <c r="AJ1665" s="4" t="n">
        <v>0</v>
      </c>
      <c r="AK1665" s="4" t="n">
        <v>0</v>
      </c>
      <c r="AL1665" s="4" t="s">
        <v>27808</v>
      </c>
      <c r="AM1665" s="4" t="s">
        <v>303</v>
      </c>
      <c r="AN1665" s="4" t="s">
        <v>27809</v>
      </c>
      <c r="AO1665" s="4" t="s">
        <v>28729</v>
      </c>
      <c r="AP1665" s="4" t="s">
        <v>28730</v>
      </c>
      <c r="AQ1665" s="4"/>
      <c r="AR1665" s="4" t="s">
        <v>28731</v>
      </c>
      <c r="AS1665" s="4" t="s">
        <v>28732</v>
      </c>
      <c r="AT1665" s="4"/>
      <c r="AU1665" s="4" t="n">
        <v>2015</v>
      </c>
      <c r="AV1665" s="4" t="n">
        <v>2015</v>
      </c>
      <c r="AW1665" s="4"/>
      <c r="AX1665" s="4"/>
      <c r="AY1665" s="4"/>
      <c r="AZ1665" s="4"/>
      <c r="BA1665" s="4"/>
      <c r="BB1665" s="4"/>
      <c r="BC1665" s="4"/>
      <c r="BD1665" s="4" t="n">
        <v>814269</v>
      </c>
      <c r="BE1665" s="4" t="s">
        <v>28733</v>
      </c>
      <c r="BF1665" s="4" t="str">
        <f aca="false">HYPERLINK("http://dx.doi.org/10.1155/2015/814269","http://dx.doi.org/10.1155/2015/814269")</f>
        <v>http://dx.doi.org/10.1155/2015/814269</v>
      </c>
      <c r="BG1665" s="4"/>
      <c r="BH1665" s="4"/>
      <c r="BI1665" s="4" t="n">
        <v>4</v>
      </c>
      <c r="BJ1665" s="4" t="s">
        <v>363</v>
      </c>
      <c r="BK1665" s="4" t="s">
        <v>339</v>
      </c>
      <c r="BL1665" s="4" t="s">
        <v>364</v>
      </c>
      <c r="BM1665" s="4" t="s">
        <v>28734</v>
      </c>
      <c r="BN1665" s="4" t="n">
        <v>26421018</v>
      </c>
      <c r="BO1665" s="4" t="s">
        <v>5702</v>
      </c>
      <c r="BP1665" s="4"/>
      <c r="BQ1665" s="4"/>
      <c r="BR1665" s="4" t="s">
        <v>104</v>
      </c>
      <c r="BS1665" s="4" t="s">
        <v>28735</v>
      </c>
      <c r="BT1665" s="4" t="str">
        <f aca="false">HYPERLINK("https%3A%2F%2Fwww.webofscience.com%2Fwos%2Fwoscc%2Ffull-record%2FWOS:000215278400142","View Full Record in Web of Science")</f>
        <v>View Full Record in Web of Science</v>
      </c>
    </row>
    <row r="1666" s="5" customFormat="true" ht="12.75" hidden="false" customHeight="false" outlineLevel="0" collapsed="false">
      <c r="A1666" s="4" t="s">
        <v>72</v>
      </c>
      <c r="B1666" s="4" t="s">
        <v>28736</v>
      </c>
      <c r="C1666" s="4"/>
      <c r="D1666" s="4"/>
      <c r="E1666" s="4"/>
      <c r="F1666" s="4" t="s">
        <v>28737</v>
      </c>
      <c r="G1666" s="4"/>
      <c r="H1666" s="4"/>
      <c r="I1666" s="4" t="s">
        <v>28738</v>
      </c>
      <c r="J1666" s="4" t="s">
        <v>1863</v>
      </c>
      <c r="K1666" s="4"/>
      <c r="L1666" s="4"/>
      <c r="M1666" s="4" t="s">
        <v>77</v>
      </c>
      <c r="N1666" s="4" t="s">
        <v>78</v>
      </c>
      <c r="O1666" s="4"/>
      <c r="P1666" s="4"/>
      <c r="Q1666" s="4"/>
      <c r="R1666" s="4"/>
      <c r="S1666" s="4"/>
      <c r="T1666" s="1" t="s">
        <v>28739</v>
      </c>
      <c r="U1666" s="4" t="s">
        <v>28740</v>
      </c>
      <c r="V1666" s="4" t="s">
        <v>28741</v>
      </c>
      <c r="W1666" s="4" t="s">
        <v>28742</v>
      </c>
      <c r="X1666" s="4" t="s">
        <v>28743</v>
      </c>
      <c r="Y1666" s="4" t="s">
        <v>28744</v>
      </c>
      <c r="Z1666" s="4" t="s">
        <v>10279</v>
      </c>
      <c r="AA1666" s="4" t="s">
        <v>28745</v>
      </c>
      <c r="AB1666" s="4" t="s">
        <v>28746</v>
      </c>
      <c r="AC1666" s="4" t="s">
        <v>28747</v>
      </c>
      <c r="AD1666" s="4" t="s">
        <v>13345</v>
      </c>
      <c r="AE1666" s="4" t="s">
        <v>28748</v>
      </c>
      <c r="AF1666" s="4"/>
      <c r="AG1666" s="4" t="n">
        <v>32</v>
      </c>
      <c r="AH1666" s="4" t="n">
        <v>39</v>
      </c>
      <c r="AI1666" s="4" t="n">
        <v>46</v>
      </c>
      <c r="AJ1666" s="4" t="n">
        <v>0</v>
      </c>
      <c r="AK1666" s="4" t="n">
        <v>3</v>
      </c>
      <c r="AL1666" s="4" t="s">
        <v>302</v>
      </c>
      <c r="AM1666" s="4" t="s">
        <v>303</v>
      </c>
      <c r="AN1666" s="4" t="s">
        <v>304</v>
      </c>
      <c r="AO1666" s="4" t="s">
        <v>1876</v>
      </c>
      <c r="AP1666" s="4"/>
      <c r="AQ1666" s="4"/>
      <c r="AR1666" s="4" t="s">
        <v>1877</v>
      </c>
      <c r="AS1666" s="4" t="s">
        <v>1878</v>
      </c>
      <c r="AT1666" s="4" t="s">
        <v>5503</v>
      </c>
      <c r="AU1666" s="4" t="n">
        <v>2011</v>
      </c>
      <c r="AV1666" s="4" t="n">
        <v>8</v>
      </c>
      <c r="AW1666" s="4"/>
      <c r="AX1666" s="4"/>
      <c r="AY1666" s="4"/>
      <c r="AZ1666" s="4"/>
      <c r="BA1666" s="4"/>
      <c r="BB1666" s="4"/>
      <c r="BC1666" s="4"/>
      <c r="BD1666" s="4" t="n">
        <v>62</v>
      </c>
      <c r="BE1666" s="4" t="s">
        <v>28749</v>
      </c>
      <c r="BF1666" s="4" t="str">
        <f aca="false">HYPERLINK("http://dx.doi.org/10.1186/1743-422X-8-62","http://dx.doi.org/10.1186/1743-422X-8-62")</f>
        <v>http://dx.doi.org/10.1186/1743-422X-8-62</v>
      </c>
      <c r="BG1666" s="4"/>
      <c r="BH1666" s="4"/>
      <c r="BI1666" s="4" t="n">
        <v>10</v>
      </c>
      <c r="BJ1666" s="4" t="s">
        <v>163</v>
      </c>
      <c r="BK1666" s="4" t="s">
        <v>100</v>
      </c>
      <c r="BL1666" s="4" t="s">
        <v>163</v>
      </c>
      <c r="BM1666" s="4" t="s">
        <v>28750</v>
      </c>
      <c r="BN1666" s="4" t="n">
        <v>21310026</v>
      </c>
      <c r="BO1666" s="4" t="s">
        <v>103</v>
      </c>
      <c r="BP1666" s="4"/>
      <c r="BQ1666" s="4"/>
      <c r="BR1666" s="4" t="s">
        <v>104</v>
      </c>
      <c r="BS1666" s="4" t="s">
        <v>28751</v>
      </c>
      <c r="BT1666" s="4" t="str">
        <f aca="false">HYPERLINK("https%3A%2F%2Fwww.webofscience.com%2Fwos%2Fwoscc%2Ffull-record%2FWOS:000287972200003","View Full Record in Web of Science")</f>
        <v>View Full Record in Web of Science</v>
      </c>
    </row>
    <row r="1667" s="5" customFormat="true" ht="12.75" hidden="false" customHeight="false" outlineLevel="0" collapsed="false">
      <c r="A1667" s="4" t="s">
        <v>72</v>
      </c>
      <c r="B1667" s="4" t="s">
        <v>28752</v>
      </c>
      <c r="C1667" s="4"/>
      <c r="D1667" s="4"/>
      <c r="E1667" s="4"/>
      <c r="F1667" s="4" t="s">
        <v>28753</v>
      </c>
      <c r="G1667" s="4"/>
      <c r="H1667" s="4"/>
      <c r="I1667" s="4" t="s">
        <v>28754</v>
      </c>
      <c r="J1667" s="4" t="s">
        <v>742</v>
      </c>
      <c r="K1667" s="4"/>
      <c r="L1667" s="4"/>
      <c r="M1667" s="4" t="s">
        <v>77</v>
      </c>
      <c r="N1667" s="4" t="s">
        <v>78</v>
      </c>
      <c r="O1667" s="4"/>
      <c r="P1667" s="4"/>
      <c r="Q1667" s="4"/>
      <c r="R1667" s="4"/>
      <c r="S1667" s="4"/>
      <c r="T1667" s="1" t="s">
        <v>28755</v>
      </c>
      <c r="U1667" s="4" t="s">
        <v>28756</v>
      </c>
      <c r="V1667" s="4" t="s">
        <v>28757</v>
      </c>
      <c r="W1667" s="4" t="s">
        <v>28758</v>
      </c>
      <c r="X1667" s="4" t="s">
        <v>28759</v>
      </c>
      <c r="Y1667" s="4" t="s">
        <v>28760</v>
      </c>
      <c r="Z1667" s="4" t="s">
        <v>9866</v>
      </c>
      <c r="AA1667" s="4" t="s">
        <v>15037</v>
      </c>
      <c r="AB1667" s="4" t="s">
        <v>9868</v>
      </c>
      <c r="AC1667" s="4" t="s">
        <v>28761</v>
      </c>
      <c r="AD1667" s="4" t="s">
        <v>28762</v>
      </c>
      <c r="AE1667" s="4" t="s">
        <v>28763</v>
      </c>
      <c r="AF1667" s="4"/>
      <c r="AG1667" s="4" t="n">
        <v>59</v>
      </c>
      <c r="AH1667" s="4" t="n">
        <v>37</v>
      </c>
      <c r="AI1667" s="4" t="n">
        <v>42</v>
      </c>
      <c r="AJ1667" s="4" t="n">
        <v>1</v>
      </c>
      <c r="AK1667" s="4" t="n">
        <v>2</v>
      </c>
      <c r="AL1667" s="4" t="s">
        <v>755</v>
      </c>
      <c r="AM1667" s="4" t="s">
        <v>273</v>
      </c>
      <c r="AN1667" s="4" t="s">
        <v>756</v>
      </c>
      <c r="AO1667" s="4" t="s">
        <v>757</v>
      </c>
      <c r="AP1667" s="4" t="s">
        <v>758</v>
      </c>
      <c r="AQ1667" s="4"/>
      <c r="AR1667" s="4" t="s">
        <v>759</v>
      </c>
      <c r="AS1667" s="4" t="s">
        <v>760</v>
      </c>
      <c r="AT1667" s="4" t="s">
        <v>692</v>
      </c>
      <c r="AU1667" s="4" t="n">
        <v>2009</v>
      </c>
      <c r="AV1667" s="4" t="n">
        <v>83</v>
      </c>
      <c r="AW1667" s="4" t="n">
        <v>7</v>
      </c>
      <c r="AX1667" s="4"/>
      <c r="AY1667" s="4"/>
      <c r="AZ1667" s="4"/>
      <c r="BA1667" s="4"/>
      <c r="BB1667" s="4" t="n">
        <v>3323</v>
      </c>
      <c r="BC1667" s="4" t="n">
        <v>3332</v>
      </c>
      <c r="BD1667" s="4"/>
      <c r="BE1667" s="4" t="s">
        <v>28764</v>
      </c>
      <c r="BF1667" s="4" t="str">
        <f aca="false">HYPERLINK("http://dx.doi.org/10.1128/JVI.02198-08","http://dx.doi.org/10.1128/JVI.02198-08")</f>
        <v>http://dx.doi.org/10.1128/JVI.02198-08</v>
      </c>
      <c r="BG1667" s="4"/>
      <c r="BH1667" s="4"/>
      <c r="BI1667" s="4" t="n">
        <v>10</v>
      </c>
      <c r="BJ1667" s="4" t="s">
        <v>163</v>
      </c>
      <c r="BK1667" s="4" t="s">
        <v>100</v>
      </c>
      <c r="BL1667" s="4" t="s">
        <v>163</v>
      </c>
      <c r="BM1667" s="4" t="s">
        <v>28765</v>
      </c>
      <c r="BN1667" s="4" t="n">
        <v>19144706</v>
      </c>
      <c r="BO1667" s="4" t="s">
        <v>165</v>
      </c>
      <c r="BP1667" s="4"/>
      <c r="BQ1667" s="4"/>
      <c r="BR1667" s="4" t="s">
        <v>104</v>
      </c>
      <c r="BS1667" s="4" t="s">
        <v>28766</v>
      </c>
      <c r="BT1667" s="4" t="str">
        <f aca="false">HYPERLINK("https%3A%2F%2Fwww.webofscience.com%2Fwos%2Fwoscc%2Ffull-record%2FWOS:000264046000048","View Full Record in Web of Science")</f>
        <v>View Full Record in Web of Science</v>
      </c>
    </row>
    <row r="1668" s="5" customFormat="true" ht="12.75" hidden="false" customHeight="false" outlineLevel="0" collapsed="false">
      <c r="A1668" s="4" t="s">
        <v>72</v>
      </c>
      <c r="B1668" s="4" t="s">
        <v>28767</v>
      </c>
      <c r="C1668" s="4"/>
      <c r="D1668" s="4"/>
      <c r="E1668" s="4"/>
      <c r="F1668" s="4" t="s">
        <v>28768</v>
      </c>
      <c r="G1668" s="4"/>
      <c r="H1668" s="4"/>
      <c r="I1668" s="4" t="s">
        <v>28769</v>
      </c>
      <c r="J1668" s="4" t="s">
        <v>2222</v>
      </c>
      <c r="K1668" s="4"/>
      <c r="L1668" s="4"/>
      <c r="M1668" s="4" t="s">
        <v>77</v>
      </c>
      <c r="N1668" s="4" t="s">
        <v>78</v>
      </c>
      <c r="O1668" s="4"/>
      <c r="P1668" s="4"/>
      <c r="Q1668" s="4"/>
      <c r="R1668" s="4"/>
      <c r="S1668" s="4"/>
      <c r="T1668" s="1" t="s">
        <v>28770</v>
      </c>
      <c r="U1668" s="4" t="s">
        <v>28771</v>
      </c>
      <c r="V1668" s="4" t="s">
        <v>28772</v>
      </c>
      <c r="W1668" s="4" t="s">
        <v>28773</v>
      </c>
      <c r="X1668" s="4" t="s">
        <v>9935</v>
      </c>
      <c r="Y1668" s="4" t="s">
        <v>28774</v>
      </c>
      <c r="Z1668" s="4" t="s">
        <v>26599</v>
      </c>
      <c r="AA1668" s="4"/>
      <c r="AB1668" s="4"/>
      <c r="AC1668" s="4"/>
      <c r="AD1668" s="4"/>
      <c r="AE1668" s="4"/>
      <c r="AF1668" s="4"/>
      <c r="AG1668" s="4" t="n">
        <v>36</v>
      </c>
      <c r="AH1668" s="4" t="n">
        <v>30</v>
      </c>
      <c r="AI1668" s="4" t="n">
        <v>33</v>
      </c>
      <c r="AJ1668" s="4" t="n">
        <v>0</v>
      </c>
      <c r="AK1668" s="4" t="n">
        <v>0</v>
      </c>
      <c r="AL1668" s="4" t="s">
        <v>755</v>
      </c>
      <c r="AM1668" s="4" t="s">
        <v>273</v>
      </c>
      <c r="AN1668" s="4" t="s">
        <v>756</v>
      </c>
      <c r="AO1668" s="4" t="s">
        <v>2234</v>
      </c>
      <c r="AP1668" s="4" t="s">
        <v>2235</v>
      </c>
      <c r="AQ1668" s="4"/>
      <c r="AR1668" s="4" t="s">
        <v>2236</v>
      </c>
      <c r="AS1668" s="4" t="s">
        <v>2237</v>
      </c>
      <c r="AT1668" s="4" t="s">
        <v>486</v>
      </c>
      <c r="AU1668" s="4" t="n">
        <v>2007</v>
      </c>
      <c r="AV1668" s="4" t="n">
        <v>45</v>
      </c>
      <c r="AW1668" s="4" t="n">
        <v>6</v>
      </c>
      <c r="AX1668" s="4"/>
      <c r="AY1668" s="4"/>
      <c r="AZ1668" s="4"/>
      <c r="BA1668" s="4"/>
      <c r="BB1668" s="4" t="n">
        <v>1912</v>
      </c>
      <c r="BC1668" s="4" t="n">
        <v>1919</v>
      </c>
      <c r="BD1668" s="4"/>
      <c r="BE1668" s="4" t="s">
        <v>28775</v>
      </c>
      <c r="BF1668" s="4" t="str">
        <f aca="false">HYPERLINK("http://dx.doi.org/10.1128/JCM.01251-06","http://dx.doi.org/10.1128/JCM.01251-06")</f>
        <v>http://dx.doi.org/10.1128/JCM.01251-06</v>
      </c>
      <c r="BG1668" s="4"/>
      <c r="BH1668" s="4"/>
      <c r="BI1668" s="4" t="n">
        <v>8</v>
      </c>
      <c r="BJ1668" s="4" t="s">
        <v>211</v>
      </c>
      <c r="BK1668" s="4" t="s">
        <v>100</v>
      </c>
      <c r="BL1668" s="4" t="s">
        <v>211</v>
      </c>
      <c r="BM1668" s="4" t="s">
        <v>28776</v>
      </c>
      <c r="BN1668" s="4" t="n">
        <v>17460056</v>
      </c>
      <c r="BO1668" s="4" t="s">
        <v>165</v>
      </c>
      <c r="BP1668" s="4"/>
      <c r="BQ1668" s="4"/>
      <c r="BR1668" s="4" t="s">
        <v>104</v>
      </c>
      <c r="BS1668" s="4" t="s">
        <v>28777</v>
      </c>
      <c r="BT1668" s="4" t="str">
        <f aca="false">HYPERLINK("https%3A%2F%2Fwww.webofscience.com%2Fwos%2Fwoscc%2Ffull-record%2FWOS:000247286500037","View Full Record in Web of Science")</f>
        <v>View Full Record in Web of Science</v>
      </c>
    </row>
    <row r="1669" s="5" customFormat="true" ht="12.75" hidden="false" customHeight="false" outlineLevel="0" collapsed="false">
      <c r="A1669" s="4" t="s">
        <v>72</v>
      </c>
      <c r="B1669" s="4" t="s">
        <v>28778</v>
      </c>
      <c r="C1669" s="4"/>
      <c r="D1669" s="4"/>
      <c r="E1669" s="4"/>
      <c r="F1669" s="4" t="s">
        <v>28779</v>
      </c>
      <c r="G1669" s="4"/>
      <c r="H1669" s="4"/>
      <c r="I1669" s="4" t="s">
        <v>28780</v>
      </c>
      <c r="J1669" s="4" t="s">
        <v>28781</v>
      </c>
      <c r="K1669" s="4"/>
      <c r="L1669" s="4"/>
      <c r="M1669" s="4" t="s">
        <v>77</v>
      </c>
      <c r="N1669" s="4" t="s">
        <v>78</v>
      </c>
      <c r="O1669" s="4"/>
      <c r="P1669" s="4"/>
      <c r="Q1669" s="4"/>
      <c r="R1669" s="4"/>
      <c r="S1669" s="4"/>
      <c r="T1669" s="1" t="s">
        <v>28782</v>
      </c>
      <c r="U1669" s="4" t="s">
        <v>28783</v>
      </c>
      <c r="V1669" s="4" t="s">
        <v>28784</v>
      </c>
      <c r="W1669" s="4" t="s">
        <v>28785</v>
      </c>
      <c r="X1669" s="4" t="s">
        <v>28786</v>
      </c>
      <c r="Y1669" s="4" t="s">
        <v>28787</v>
      </c>
      <c r="Z1669" s="4" t="s">
        <v>28788</v>
      </c>
      <c r="AA1669" s="4" t="s">
        <v>28789</v>
      </c>
      <c r="AB1669" s="4" t="s">
        <v>28790</v>
      </c>
      <c r="AC1669" s="4" t="s">
        <v>28791</v>
      </c>
      <c r="AD1669" s="4" t="s">
        <v>28792</v>
      </c>
      <c r="AE1669" s="4" t="s">
        <v>28793</v>
      </c>
      <c r="AF1669" s="4"/>
      <c r="AG1669" s="4" t="n">
        <v>53</v>
      </c>
      <c r="AH1669" s="4" t="n">
        <v>6</v>
      </c>
      <c r="AI1669" s="4" t="n">
        <v>6</v>
      </c>
      <c r="AJ1669" s="4" t="n">
        <v>0</v>
      </c>
      <c r="AK1669" s="4" t="n">
        <v>3</v>
      </c>
      <c r="AL1669" s="4" t="s">
        <v>28794</v>
      </c>
      <c r="AM1669" s="4" t="s">
        <v>28795</v>
      </c>
      <c r="AN1669" s="4" t="s">
        <v>28796</v>
      </c>
      <c r="AO1669" s="4" t="s">
        <v>28797</v>
      </c>
      <c r="AP1669" s="4" t="s">
        <v>28798</v>
      </c>
      <c r="AQ1669" s="4"/>
      <c r="AR1669" s="4" t="s">
        <v>28799</v>
      </c>
      <c r="AS1669" s="4" t="s">
        <v>28800</v>
      </c>
      <c r="AT1669" s="4"/>
      <c r="AU1669" s="4" t="n">
        <v>2013</v>
      </c>
      <c r="AV1669" s="4" t="n">
        <v>17</v>
      </c>
      <c r="AW1669" s="4" t="n">
        <v>2</v>
      </c>
      <c r="AX1669" s="4"/>
      <c r="AY1669" s="4"/>
      <c r="AZ1669" s="4"/>
      <c r="BA1669" s="4"/>
      <c r="BB1669" s="4" t="n">
        <v>107</v>
      </c>
      <c r="BC1669" s="4" t="n">
        <v>115</v>
      </c>
      <c r="BD1669" s="4"/>
      <c r="BE1669" s="4" t="s">
        <v>28801</v>
      </c>
      <c r="BF1669" s="4" t="str">
        <f aca="false">HYPERLINK("http://dx.doi.org/10.1007/s40291-013-0030-y","http://dx.doi.org/10.1007/s40291-013-0030-y")</f>
        <v>http://dx.doi.org/10.1007/s40291-013-0030-y</v>
      </c>
      <c r="BG1669" s="4"/>
      <c r="BH1669" s="4"/>
      <c r="BI1669" s="4" t="n">
        <v>9</v>
      </c>
      <c r="BJ1669" s="4" t="s">
        <v>28802</v>
      </c>
      <c r="BK1669" s="4" t="s">
        <v>100</v>
      </c>
      <c r="BL1669" s="4" t="s">
        <v>28802</v>
      </c>
      <c r="BM1669" s="4" t="s">
        <v>28803</v>
      </c>
      <c r="BN1669" s="4" t="n">
        <v>23559038</v>
      </c>
      <c r="BO1669" s="4" t="s">
        <v>1267</v>
      </c>
      <c r="BP1669" s="4"/>
      <c r="BQ1669" s="4"/>
      <c r="BR1669" s="4" t="s">
        <v>104</v>
      </c>
      <c r="BS1669" s="4" t="s">
        <v>28804</v>
      </c>
      <c r="BT1669" s="4" t="str">
        <f aca="false">HYPERLINK("https%3A%2F%2Fwww.webofscience.com%2Fwos%2Fwoscc%2Ffull-record%2FWOS:000318043900005","View Full Record in Web of Science")</f>
        <v>View Full Record in Web of Science</v>
      </c>
    </row>
    <row r="1670" s="5" customFormat="true" ht="12.75" hidden="false" customHeight="false" outlineLevel="0" collapsed="false">
      <c r="A1670" s="4" t="s">
        <v>72</v>
      </c>
      <c r="B1670" s="4" t="s">
        <v>28805</v>
      </c>
      <c r="C1670" s="4"/>
      <c r="D1670" s="4"/>
      <c r="E1670" s="4"/>
      <c r="F1670" s="4" t="s">
        <v>28806</v>
      </c>
      <c r="G1670" s="4"/>
      <c r="H1670" s="4"/>
      <c r="I1670" s="4" t="s">
        <v>28807</v>
      </c>
      <c r="J1670" s="4" t="s">
        <v>28808</v>
      </c>
      <c r="K1670" s="4"/>
      <c r="L1670" s="4"/>
      <c r="M1670" s="4" t="s">
        <v>77</v>
      </c>
      <c r="N1670" s="4" t="s">
        <v>78</v>
      </c>
      <c r="O1670" s="4"/>
      <c r="P1670" s="4"/>
      <c r="Q1670" s="4"/>
      <c r="R1670" s="4"/>
      <c r="S1670" s="4"/>
      <c r="T1670" s="1" t="s">
        <v>28809</v>
      </c>
      <c r="U1670" s="4" t="s">
        <v>28810</v>
      </c>
      <c r="V1670" s="4" t="s">
        <v>28811</v>
      </c>
      <c r="W1670" s="4" t="s">
        <v>28812</v>
      </c>
      <c r="X1670" s="4" t="s">
        <v>28813</v>
      </c>
      <c r="Y1670" s="4" t="s">
        <v>28814</v>
      </c>
      <c r="Z1670" s="4" t="s">
        <v>28815</v>
      </c>
      <c r="AA1670" s="4" t="s">
        <v>28816</v>
      </c>
      <c r="AB1670" s="4"/>
      <c r="AC1670" s="4"/>
      <c r="AD1670" s="4"/>
      <c r="AE1670" s="4"/>
      <c r="AF1670" s="4"/>
      <c r="AG1670" s="4" t="n">
        <v>11</v>
      </c>
      <c r="AH1670" s="4" t="n">
        <v>16</v>
      </c>
      <c r="AI1670" s="4" t="n">
        <v>16</v>
      </c>
      <c r="AJ1670" s="4" t="n">
        <v>0</v>
      </c>
      <c r="AK1670" s="4" t="n">
        <v>1</v>
      </c>
      <c r="AL1670" s="4" t="s">
        <v>28817</v>
      </c>
      <c r="AM1670" s="4" t="s">
        <v>28818</v>
      </c>
      <c r="AN1670" s="4" t="s">
        <v>28819</v>
      </c>
      <c r="AO1670" s="4" t="s">
        <v>28820</v>
      </c>
      <c r="AP1670" s="4" t="s">
        <v>28821</v>
      </c>
      <c r="AQ1670" s="4"/>
      <c r="AR1670" s="4" t="s">
        <v>28822</v>
      </c>
      <c r="AS1670" s="4" t="s">
        <v>28823</v>
      </c>
      <c r="AT1670" s="4" t="s">
        <v>252</v>
      </c>
      <c r="AU1670" s="4" t="n">
        <v>2011</v>
      </c>
      <c r="AV1670" s="4" t="n">
        <v>31</v>
      </c>
      <c r="AW1670" s="4" t="n">
        <v>5</v>
      </c>
      <c r="AX1670" s="4"/>
      <c r="AY1670" s="4"/>
      <c r="AZ1670" s="4"/>
      <c r="BA1670" s="4"/>
      <c r="BB1670" s="4" t="n">
        <v>523</v>
      </c>
      <c r="BC1670" s="4" t="n">
        <v>527</v>
      </c>
      <c r="BD1670" s="4"/>
      <c r="BE1670" s="4" t="s">
        <v>28824</v>
      </c>
      <c r="BF1670" s="4" t="str">
        <f aca="false">HYPERLINK("http://dx.doi.org/10.4103/0256-4947.84633","http://dx.doi.org/10.4103/0256-4947.84633")</f>
        <v>http://dx.doi.org/10.4103/0256-4947.84633</v>
      </c>
      <c r="BG1670" s="4"/>
      <c r="BH1670" s="4"/>
      <c r="BI1670" s="4" t="n">
        <v>5</v>
      </c>
      <c r="BJ1670" s="4" t="s">
        <v>363</v>
      </c>
      <c r="BK1670" s="4" t="s">
        <v>100</v>
      </c>
      <c r="BL1670" s="4" t="s">
        <v>364</v>
      </c>
      <c r="BM1670" s="4" t="s">
        <v>28825</v>
      </c>
      <c r="BN1670" s="4" t="n">
        <v>21911992</v>
      </c>
      <c r="BO1670" s="4" t="s">
        <v>103</v>
      </c>
      <c r="BP1670" s="4"/>
      <c r="BQ1670" s="4"/>
      <c r="BR1670" s="4" t="s">
        <v>104</v>
      </c>
      <c r="BS1670" s="4" t="s">
        <v>28826</v>
      </c>
      <c r="BT1670" s="4" t="str">
        <f aca="false">HYPERLINK("https%3A%2F%2Fwww.webofscience.com%2Fwos%2Fwoscc%2Ffull-record%2FWOS:000294896700013","View Full Record in Web of Science")</f>
        <v>View Full Record in Web of Science</v>
      </c>
    </row>
    <row r="1671" s="5" customFormat="true" ht="12.75" hidden="false" customHeight="false" outlineLevel="0" collapsed="false">
      <c r="A1671" s="4" t="s">
        <v>72</v>
      </c>
      <c r="B1671" s="4" t="s">
        <v>28827</v>
      </c>
      <c r="C1671" s="4"/>
      <c r="D1671" s="4"/>
      <c r="E1671" s="4"/>
      <c r="F1671" s="4" t="s">
        <v>28828</v>
      </c>
      <c r="G1671" s="4"/>
      <c r="H1671" s="4"/>
      <c r="I1671" s="4" t="s">
        <v>28829</v>
      </c>
      <c r="J1671" s="4" t="s">
        <v>28830</v>
      </c>
      <c r="K1671" s="4"/>
      <c r="L1671" s="4"/>
      <c r="M1671" s="4" t="s">
        <v>77</v>
      </c>
      <c r="N1671" s="4" t="s">
        <v>78</v>
      </c>
      <c r="O1671" s="4"/>
      <c r="P1671" s="4"/>
      <c r="Q1671" s="4"/>
      <c r="R1671" s="4"/>
      <c r="S1671" s="4"/>
      <c r="T1671" s="1" t="s">
        <v>28831</v>
      </c>
      <c r="U1671" s="4" t="s">
        <v>28832</v>
      </c>
      <c r="V1671" s="4" t="s">
        <v>28833</v>
      </c>
      <c r="W1671" s="4" t="s">
        <v>28834</v>
      </c>
      <c r="X1671" s="4" t="s">
        <v>28835</v>
      </c>
      <c r="Y1671" s="4" t="s">
        <v>28836</v>
      </c>
      <c r="Z1671" s="4" t="s">
        <v>28837</v>
      </c>
      <c r="AA1671" s="4"/>
      <c r="AB1671" s="4"/>
      <c r="AC1671" s="4" t="s">
        <v>28838</v>
      </c>
      <c r="AD1671" s="4" t="s">
        <v>525</v>
      </c>
      <c r="AE1671" s="4" t="s">
        <v>28839</v>
      </c>
      <c r="AF1671" s="4"/>
      <c r="AG1671" s="4" t="n">
        <v>30</v>
      </c>
      <c r="AH1671" s="4" t="n">
        <v>137</v>
      </c>
      <c r="AI1671" s="4" t="n">
        <v>147</v>
      </c>
      <c r="AJ1671" s="4" t="n">
        <v>0</v>
      </c>
      <c r="AK1671" s="4" t="n">
        <v>0</v>
      </c>
      <c r="AL1671" s="4" t="s">
        <v>28840</v>
      </c>
      <c r="AM1671" s="4" t="s">
        <v>20223</v>
      </c>
      <c r="AN1671" s="4" t="s">
        <v>28841</v>
      </c>
      <c r="AO1671" s="4" t="s">
        <v>28842</v>
      </c>
      <c r="AP1671" s="4"/>
      <c r="AQ1671" s="4"/>
      <c r="AR1671" s="4" t="s">
        <v>28843</v>
      </c>
      <c r="AS1671" s="4" t="s">
        <v>28844</v>
      </c>
      <c r="AT1671" s="4" t="s">
        <v>28845</v>
      </c>
      <c r="AU1671" s="4" t="n">
        <v>2008</v>
      </c>
      <c r="AV1671" s="4" t="n">
        <v>168</v>
      </c>
      <c r="AW1671" s="4" t="n">
        <v>22</v>
      </c>
      <c r="AX1671" s="4"/>
      <c r="AY1671" s="4"/>
      <c r="AZ1671" s="4"/>
      <c r="BA1671" s="4"/>
      <c r="BB1671" s="4" t="n">
        <v>2489</v>
      </c>
      <c r="BC1671" s="4" t="n">
        <v>2496</v>
      </c>
      <c r="BD1671" s="4"/>
      <c r="BE1671" s="4" t="s">
        <v>28846</v>
      </c>
      <c r="BF1671" s="4" t="str">
        <f aca="false">HYPERLINK("http://dx.doi.org/10.1001/archinte.168.22.2489","http://dx.doi.org/10.1001/archinte.168.22.2489")</f>
        <v>http://dx.doi.org/10.1001/archinte.168.22.2489</v>
      </c>
      <c r="BG1671" s="4"/>
      <c r="BH1671" s="4"/>
      <c r="BI1671" s="4" t="n">
        <v>8</v>
      </c>
      <c r="BJ1671" s="4" t="s">
        <v>363</v>
      </c>
      <c r="BK1671" s="4" t="s">
        <v>100</v>
      </c>
      <c r="BL1671" s="4" t="s">
        <v>364</v>
      </c>
      <c r="BM1671" s="4" t="s">
        <v>28847</v>
      </c>
      <c r="BN1671" s="4" t="n">
        <v>19064834</v>
      </c>
      <c r="BO1671" s="4" t="s">
        <v>695</v>
      </c>
      <c r="BP1671" s="4"/>
      <c r="BQ1671" s="4"/>
      <c r="BR1671" s="4" t="s">
        <v>104</v>
      </c>
      <c r="BS1671" s="4" t="s">
        <v>28848</v>
      </c>
      <c r="BT1671" s="4" t="str">
        <f aca="false">HYPERLINK("https%3A%2F%2Fwww.webofscience.com%2Fwos%2Fwoscc%2Ffull-record%2FWOS:000261486600016","View Full Record in Web of Science")</f>
        <v>View Full Record in Web of Science</v>
      </c>
    </row>
    <row r="1672" s="5" customFormat="true" ht="12.75" hidden="false" customHeight="false" outlineLevel="0" collapsed="false">
      <c r="A1672" s="4" t="s">
        <v>72</v>
      </c>
      <c r="B1672" s="4" t="s">
        <v>28849</v>
      </c>
      <c r="C1672" s="4"/>
      <c r="D1672" s="4"/>
      <c r="E1672" s="4"/>
      <c r="F1672" s="4" t="s">
        <v>28850</v>
      </c>
      <c r="G1672" s="4"/>
      <c r="H1672" s="4"/>
      <c r="I1672" s="4" t="s">
        <v>28851</v>
      </c>
      <c r="J1672" s="4" t="s">
        <v>8394</v>
      </c>
      <c r="K1672" s="4"/>
      <c r="L1672" s="4"/>
      <c r="M1672" s="4" t="s">
        <v>77</v>
      </c>
      <c r="N1672" s="4" t="s">
        <v>78</v>
      </c>
      <c r="O1672" s="4"/>
      <c r="P1672" s="4"/>
      <c r="Q1672" s="4"/>
      <c r="R1672" s="4"/>
      <c r="S1672" s="4"/>
      <c r="T1672" s="1" t="s">
        <v>28852</v>
      </c>
      <c r="U1672" s="4" t="s">
        <v>28853</v>
      </c>
      <c r="V1672" s="4" t="s">
        <v>28854</v>
      </c>
      <c r="W1672" s="4" t="s">
        <v>28855</v>
      </c>
      <c r="X1672" s="4" t="s">
        <v>14937</v>
      </c>
      <c r="Y1672" s="4" t="s">
        <v>28856</v>
      </c>
      <c r="Z1672" s="4" t="s">
        <v>28857</v>
      </c>
      <c r="AA1672" s="4" t="s">
        <v>5583</v>
      </c>
      <c r="AB1672" s="4"/>
      <c r="AC1672" s="4" t="s">
        <v>28858</v>
      </c>
      <c r="AD1672" s="4" t="s">
        <v>18996</v>
      </c>
      <c r="AE1672" s="4" t="s">
        <v>28859</v>
      </c>
      <c r="AF1672" s="4"/>
      <c r="AG1672" s="4" t="n">
        <v>16</v>
      </c>
      <c r="AH1672" s="4" t="n">
        <v>23</v>
      </c>
      <c r="AI1672" s="4" t="n">
        <v>31</v>
      </c>
      <c r="AJ1672" s="4" t="n">
        <v>0</v>
      </c>
      <c r="AK1672" s="4" t="n">
        <v>3</v>
      </c>
      <c r="AL1672" s="4" t="s">
        <v>7639</v>
      </c>
      <c r="AM1672" s="4" t="s">
        <v>783</v>
      </c>
      <c r="AN1672" s="4" t="s">
        <v>7640</v>
      </c>
      <c r="AO1672" s="4" t="s">
        <v>8402</v>
      </c>
      <c r="AP1672" s="4" t="s">
        <v>8403</v>
      </c>
      <c r="AQ1672" s="4"/>
      <c r="AR1672" s="4" t="s">
        <v>8404</v>
      </c>
      <c r="AS1672" s="4" t="s">
        <v>8405</v>
      </c>
      <c r="AT1672" s="4" t="s">
        <v>97</v>
      </c>
      <c r="AU1672" s="4" t="n">
        <v>2018</v>
      </c>
      <c r="AV1672" s="4" t="n">
        <v>7</v>
      </c>
      <c r="AW1672" s="4" t="n">
        <v>1</v>
      </c>
      <c r="AX1672" s="4"/>
      <c r="AY1672" s="4"/>
      <c r="AZ1672" s="4"/>
      <c r="BA1672" s="4"/>
      <c r="BB1672" s="4" t="n">
        <v>86</v>
      </c>
      <c r="BC1672" s="4" t="n">
        <v>89</v>
      </c>
      <c r="BD1672" s="4"/>
      <c r="BE1672" s="4" t="s">
        <v>28860</v>
      </c>
      <c r="BF1672" s="4" t="str">
        <f aca="false">HYPERLINK("http://dx.doi.org/10.1093/jpids/pix006","http://dx.doi.org/10.1093/jpids/pix006")</f>
        <v>http://dx.doi.org/10.1093/jpids/pix006</v>
      </c>
      <c r="BG1672" s="4"/>
      <c r="BH1672" s="4"/>
      <c r="BI1672" s="4" t="n">
        <v>4</v>
      </c>
      <c r="BJ1672" s="4" t="s">
        <v>417</v>
      </c>
      <c r="BK1672" s="4" t="s">
        <v>100</v>
      </c>
      <c r="BL1672" s="4" t="s">
        <v>417</v>
      </c>
      <c r="BM1672" s="4" t="s">
        <v>28861</v>
      </c>
      <c r="BN1672" s="4" t="n">
        <v>28444226</v>
      </c>
      <c r="BO1672" s="4" t="s">
        <v>284</v>
      </c>
      <c r="BP1672" s="4"/>
      <c r="BQ1672" s="4"/>
      <c r="BR1672" s="4" t="s">
        <v>104</v>
      </c>
      <c r="BS1672" s="4" t="s">
        <v>28862</v>
      </c>
      <c r="BT1672" s="4" t="str">
        <f aca="false">HYPERLINK("https%3A%2F%2Fwww.webofscience.com%2Fwos%2Fwoscc%2Ffull-record%2FWOS:000433877400017","View Full Record in Web of Science")</f>
        <v>View Full Record in Web of Science</v>
      </c>
    </row>
    <row r="1673" s="5" customFormat="true" ht="12.75" hidden="false" customHeight="false" outlineLevel="0" collapsed="false">
      <c r="A1673" s="4" t="s">
        <v>72</v>
      </c>
      <c r="B1673" s="4" t="s">
        <v>28863</v>
      </c>
      <c r="C1673" s="4"/>
      <c r="D1673" s="4"/>
      <c r="E1673" s="4"/>
      <c r="F1673" s="4" t="s">
        <v>28864</v>
      </c>
      <c r="G1673" s="4"/>
      <c r="H1673" s="4"/>
      <c r="I1673" s="4" t="s">
        <v>28865</v>
      </c>
      <c r="J1673" s="4" t="s">
        <v>27497</v>
      </c>
      <c r="K1673" s="4"/>
      <c r="L1673" s="4"/>
      <c r="M1673" s="4" t="s">
        <v>77</v>
      </c>
      <c r="N1673" s="4" t="s">
        <v>78</v>
      </c>
      <c r="O1673" s="4"/>
      <c r="P1673" s="4"/>
      <c r="Q1673" s="4"/>
      <c r="R1673" s="4"/>
      <c r="S1673" s="4"/>
      <c r="T1673" s="1" t="s">
        <v>28866</v>
      </c>
      <c r="U1673" s="4" t="s">
        <v>28867</v>
      </c>
      <c r="V1673" s="4" t="s">
        <v>28868</v>
      </c>
      <c r="W1673" s="4" t="s">
        <v>28869</v>
      </c>
      <c r="X1673" s="4" t="s">
        <v>28870</v>
      </c>
      <c r="Y1673" s="4" t="s">
        <v>27650</v>
      </c>
      <c r="Z1673" s="4" t="s">
        <v>14651</v>
      </c>
      <c r="AA1673" s="4" t="s">
        <v>28871</v>
      </c>
      <c r="AB1673" s="4"/>
      <c r="AC1673" s="4" t="s">
        <v>28872</v>
      </c>
      <c r="AD1673" s="4" t="s">
        <v>28873</v>
      </c>
      <c r="AE1673" s="4" t="s">
        <v>28874</v>
      </c>
      <c r="AF1673" s="4"/>
      <c r="AG1673" s="4" t="n">
        <v>43</v>
      </c>
      <c r="AH1673" s="4" t="n">
        <v>25</v>
      </c>
      <c r="AI1673" s="4" t="n">
        <v>27</v>
      </c>
      <c r="AJ1673" s="4" t="n">
        <v>0</v>
      </c>
      <c r="AK1673" s="4" t="n">
        <v>3</v>
      </c>
      <c r="AL1673" s="4" t="s">
        <v>27506</v>
      </c>
      <c r="AM1673" s="4" t="s">
        <v>27507</v>
      </c>
      <c r="AN1673" s="4" t="s">
        <v>27508</v>
      </c>
      <c r="AO1673" s="4" t="s">
        <v>27509</v>
      </c>
      <c r="AP1673" s="4"/>
      <c r="AQ1673" s="4"/>
      <c r="AR1673" s="4" t="s">
        <v>27497</v>
      </c>
      <c r="AS1673" s="4" t="s">
        <v>27510</v>
      </c>
      <c r="AT1673" s="4" t="s">
        <v>7095</v>
      </c>
      <c r="AU1673" s="4" t="n">
        <v>2014</v>
      </c>
      <c r="AV1673" s="4" t="n">
        <v>9</v>
      </c>
      <c r="AW1673" s="4" t="n">
        <v>3</v>
      </c>
      <c r="AX1673" s="4"/>
      <c r="AY1673" s="4"/>
      <c r="AZ1673" s="4"/>
      <c r="BA1673" s="4"/>
      <c r="BB1673" s="4"/>
      <c r="BC1673" s="4"/>
      <c r="BD1673" s="4" t="s">
        <v>28875</v>
      </c>
      <c r="BE1673" s="4" t="s">
        <v>28876</v>
      </c>
      <c r="BF1673" s="4" t="str">
        <f aca="false">HYPERLINK("http://dx.doi.org/10.1371/journal.pone.0091865","http://dx.doi.org/10.1371/journal.pone.0091865")</f>
        <v>http://dx.doi.org/10.1371/journal.pone.0091865</v>
      </c>
      <c r="BG1673" s="4"/>
      <c r="BH1673" s="4"/>
      <c r="BI1673" s="4" t="n">
        <v>9</v>
      </c>
      <c r="BJ1673" s="4" t="s">
        <v>1658</v>
      </c>
      <c r="BK1673" s="4" t="s">
        <v>100</v>
      </c>
      <c r="BL1673" s="4" t="s">
        <v>1659</v>
      </c>
      <c r="BM1673" s="4" t="s">
        <v>28877</v>
      </c>
      <c r="BN1673" s="4" t="n">
        <v>24618691</v>
      </c>
      <c r="BO1673" s="4" t="s">
        <v>6349</v>
      </c>
      <c r="BP1673" s="4"/>
      <c r="BQ1673" s="4"/>
      <c r="BR1673" s="4" t="s">
        <v>104</v>
      </c>
      <c r="BS1673" s="4" t="s">
        <v>28878</v>
      </c>
      <c r="BT1673" s="4" t="str">
        <f aca="false">HYPERLINK("https%3A%2F%2Fwww.webofscience.com%2Fwos%2Fwoscc%2Ffull-record%2FWOS:000332842400137","View Full Record in Web of Science")</f>
        <v>View Full Record in Web of Science</v>
      </c>
    </row>
    <row r="1674" s="5" customFormat="true" ht="12.75" hidden="false" customHeight="false" outlineLevel="0" collapsed="false">
      <c r="A1674" s="4" t="s">
        <v>72</v>
      </c>
      <c r="B1674" s="4" t="s">
        <v>28879</v>
      </c>
      <c r="C1674" s="4"/>
      <c r="D1674" s="4"/>
      <c r="E1674" s="4"/>
      <c r="F1674" s="4" t="s">
        <v>28879</v>
      </c>
      <c r="G1674" s="4"/>
      <c r="H1674" s="4"/>
      <c r="I1674" s="4" t="s">
        <v>28880</v>
      </c>
      <c r="J1674" s="4" t="s">
        <v>27548</v>
      </c>
      <c r="K1674" s="4"/>
      <c r="L1674" s="4"/>
      <c r="M1674" s="4" t="s">
        <v>77</v>
      </c>
      <c r="N1674" s="4" t="s">
        <v>78</v>
      </c>
      <c r="O1674" s="4"/>
      <c r="P1674" s="4"/>
      <c r="Q1674" s="4"/>
      <c r="R1674" s="4"/>
      <c r="S1674" s="4"/>
      <c r="T1674" s="1" t="s">
        <v>28881</v>
      </c>
      <c r="U1674" s="4" t="s">
        <v>28882</v>
      </c>
      <c r="V1674" s="4" t="s">
        <v>28883</v>
      </c>
      <c r="W1674" s="4" t="s">
        <v>28884</v>
      </c>
      <c r="X1674" s="4" t="s">
        <v>28885</v>
      </c>
      <c r="Y1674" s="4" t="s">
        <v>28886</v>
      </c>
      <c r="Z1674" s="4" t="s">
        <v>28887</v>
      </c>
      <c r="AA1674" s="4" t="s">
        <v>3047</v>
      </c>
      <c r="AB1674" s="4" t="s">
        <v>3048</v>
      </c>
      <c r="AC1674" s="4"/>
      <c r="AD1674" s="4"/>
      <c r="AE1674" s="4"/>
      <c r="AF1674" s="4"/>
      <c r="AG1674" s="4" t="n">
        <v>13</v>
      </c>
      <c r="AH1674" s="4" t="n">
        <v>71</v>
      </c>
      <c r="AI1674" s="4" t="n">
        <v>77</v>
      </c>
      <c r="AJ1674" s="4" t="n">
        <v>0</v>
      </c>
      <c r="AK1674" s="4" t="n">
        <v>5</v>
      </c>
      <c r="AL1674" s="4" t="s">
        <v>27851</v>
      </c>
      <c r="AM1674" s="4" t="s">
        <v>27561</v>
      </c>
      <c r="AN1674" s="4" t="s">
        <v>27562</v>
      </c>
      <c r="AO1674" s="4" t="s">
        <v>27563</v>
      </c>
      <c r="AP1674" s="4" t="s">
        <v>27564</v>
      </c>
      <c r="AQ1674" s="4"/>
      <c r="AR1674" s="4" t="s">
        <v>27565</v>
      </c>
      <c r="AS1674" s="4" t="s">
        <v>27566</v>
      </c>
      <c r="AT1674" s="4" t="s">
        <v>97</v>
      </c>
      <c r="AU1674" s="4" t="n">
        <v>2005</v>
      </c>
      <c r="AV1674" s="4" t="n">
        <v>11</v>
      </c>
      <c r="AW1674" s="4" t="n">
        <v>3</v>
      </c>
      <c r="AX1674" s="4"/>
      <c r="AY1674" s="4"/>
      <c r="AZ1674" s="4"/>
      <c r="BA1674" s="4"/>
      <c r="BB1674" s="4" t="n">
        <v>467</v>
      </c>
      <c r="BC1674" s="4" t="n">
        <v>470</v>
      </c>
      <c r="BD1674" s="4"/>
      <c r="BE1674" s="4" t="s">
        <v>28888</v>
      </c>
      <c r="BF1674" s="4" t="str">
        <f aca="false">HYPERLINK("http://dx.doi.org/10.3201/eid1103.040676","http://dx.doi.org/10.3201/eid1103.040676")</f>
        <v>http://dx.doi.org/10.3201/eid1103.040676</v>
      </c>
      <c r="BG1674" s="4"/>
      <c r="BH1674" s="4"/>
      <c r="BI1674" s="4" t="n">
        <v>4</v>
      </c>
      <c r="BJ1674" s="4" t="s">
        <v>965</v>
      </c>
      <c r="BK1674" s="4" t="s">
        <v>100</v>
      </c>
      <c r="BL1674" s="4" t="s">
        <v>965</v>
      </c>
      <c r="BM1674" s="4" t="s">
        <v>28889</v>
      </c>
      <c r="BN1674" s="4" t="n">
        <v>15757568</v>
      </c>
      <c r="BO1674" s="4" t="s">
        <v>2582</v>
      </c>
      <c r="BP1674" s="4"/>
      <c r="BQ1674" s="4"/>
      <c r="BR1674" s="4" t="s">
        <v>104</v>
      </c>
      <c r="BS1674" s="4" t="s">
        <v>28890</v>
      </c>
      <c r="BT1674" s="4" t="str">
        <f aca="false">HYPERLINK("https%3A%2F%2Fwww.webofscience.com%2Fwos%2Fwoscc%2Ffull-record%2FWOS:000227421400021","View Full Record in Web of Science")</f>
        <v>View Full Record in Web of Science</v>
      </c>
    </row>
    <row r="1675" s="5" customFormat="true" ht="12.75" hidden="false" customHeight="false" outlineLevel="0" collapsed="false">
      <c r="A1675" s="4" t="s">
        <v>72</v>
      </c>
      <c r="B1675" s="4" t="s">
        <v>28891</v>
      </c>
      <c r="C1675" s="4"/>
      <c r="D1675" s="4"/>
      <c r="E1675" s="4"/>
      <c r="F1675" s="4" t="s">
        <v>28892</v>
      </c>
      <c r="G1675" s="4"/>
      <c r="H1675" s="4"/>
      <c r="I1675" s="4" t="s">
        <v>28893</v>
      </c>
      <c r="J1675" s="4" t="s">
        <v>514</v>
      </c>
      <c r="K1675" s="4"/>
      <c r="L1675" s="4"/>
      <c r="M1675" s="4" t="s">
        <v>77</v>
      </c>
      <c r="N1675" s="4" t="s">
        <v>78</v>
      </c>
      <c r="O1675" s="4"/>
      <c r="P1675" s="4"/>
      <c r="Q1675" s="4"/>
      <c r="R1675" s="4"/>
      <c r="S1675" s="4"/>
      <c r="T1675" s="1" t="s">
        <v>28894</v>
      </c>
      <c r="U1675" s="4" t="s">
        <v>28895</v>
      </c>
      <c r="V1675" s="4" t="s">
        <v>28896</v>
      </c>
      <c r="W1675" s="4" t="s">
        <v>28897</v>
      </c>
      <c r="X1675" s="4" t="s">
        <v>28898</v>
      </c>
      <c r="Y1675" s="4" t="s">
        <v>28899</v>
      </c>
      <c r="Z1675" s="4" t="s">
        <v>15144</v>
      </c>
      <c r="AA1675" s="4" t="s">
        <v>28900</v>
      </c>
      <c r="AB1675" s="4" t="s">
        <v>28901</v>
      </c>
      <c r="AC1675" s="4"/>
      <c r="AD1675" s="4"/>
      <c r="AE1675" s="4"/>
      <c r="AF1675" s="4"/>
      <c r="AG1675" s="4" t="n">
        <v>53</v>
      </c>
      <c r="AH1675" s="4" t="n">
        <v>76</v>
      </c>
      <c r="AI1675" s="4" t="n">
        <v>91</v>
      </c>
      <c r="AJ1675" s="4" t="n">
        <v>0</v>
      </c>
      <c r="AK1675" s="4" t="n">
        <v>6</v>
      </c>
      <c r="AL1675" s="4" t="s">
        <v>527</v>
      </c>
      <c r="AM1675" s="4" t="s">
        <v>528</v>
      </c>
      <c r="AN1675" s="4" t="s">
        <v>529</v>
      </c>
      <c r="AO1675" s="4" t="s">
        <v>530</v>
      </c>
      <c r="AP1675" s="4" t="s">
        <v>531</v>
      </c>
      <c r="AQ1675" s="4"/>
      <c r="AR1675" s="4" t="s">
        <v>532</v>
      </c>
      <c r="AS1675" s="4" t="s">
        <v>533</v>
      </c>
      <c r="AT1675" s="4" t="s">
        <v>2037</v>
      </c>
      <c r="AU1675" s="4" t="n">
        <v>2006</v>
      </c>
      <c r="AV1675" s="4" t="n">
        <v>193</v>
      </c>
      <c r="AW1675" s="4" t="n">
        <v>12</v>
      </c>
      <c r="AX1675" s="4"/>
      <c r="AY1675" s="4"/>
      <c r="AZ1675" s="4"/>
      <c r="BA1675" s="4"/>
      <c r="BB1675" s="4" t="n">
        <v>1634</v>
      </c>
      <c r="BC1675" s="4" t="n">
        <v>1642</v>
      </c>
      <c r="BD1675" s="4"/>
      <c r="BE1675" s="4" t="s">
        <v>28902</v>
      </c>
      <c r="BF1675" s="4" t="str">
        <f aca="false">HYPERLINK("http://dx.doi.org/10.1086/504262","http://dx.doi.org/10.1086/504262")</f>
        <v>http://dx.doi.org/10.1086/504262</v>
      </c>
      <c r="BG1675" s="4"/>
      <c r="BH1675" s="4"/>
      <c r="BI1675" s="4" t="n">
        <v>9</v>
      </c>
      <c r="BJ1675" s="4" t="s">
        <v>536</v>
      </c>
      <c r="BK1675" s="4" t="s">
        <v>100</v>
      </c>
      <c r="BL1675" s="4" t="s">
        <v>536</v>
      </c>
      <c r="BM1675" s="4" t="s">
        <v>27990</v>
      </c>
      <c r="BN1675" s="4" t="n">
        <v>16703506</v>
      </c>
      <c r="BO1675" s="4" t="s">
        <v>656</v>
      </c>
      <c r="BP1675" s="4"/>
      <c r="BQ1675" s="4"/>
      <c r="BR1675" s="4" t="s">
        <v>104</v>
      </c>
      <c r="BS1675" s="4" t="s">
        <v>28903</v>
      </c>
      <c r="BT1675" s="4" t="str">
        <f aca="false">HYPERLINK("https%3A%2F%2Fwww.webofscience.com%2Fwos%2Fwoscc%2Ffull-record%2FWOS:000237553400005","View Full Record in Web of Science")</f>
        <v>View Full Record in Web of Science</v>
      </c>
    </row>
    <row r="1676" s="5" customFormat="true" ht="12.75" hidden="false" customHeight="false" outlineLevel="0" collapsed="false">
      <c r="A1676" s="4" t="s">
        <v>72</v>
      </c>
      <c r="B1676" s="4" t="s">
        <v>28904</v>
      </c>
      <c r="C1676" s="4"/>
      <c r="D1676" s="4"/>
      <c r="E1676" s="4"/>
      <c r="F1676" s="4" t="s">
        <v>28904</v>
      </c>
      <c r="G1676" s="4"/>
      <c r="H1676" s="4"/>
      <c r="I1676" s="4" t="s">
        <v>28905</v>
      </c>
      <c r="J1676" s="4" t="s">
        <v>27548</v>
      </c>
      <c r="K1676" s="4"/>
      <c r="L1676" s="4"/>
      <c r="M1676" s="4" t="s">
        <v>77</v>
      </c>
      <c r="N1676" s="4" t="s">
        <v>78</v>
      </c>
      <c r="O1676" s="4"/>
      <c r="P1676" s="4"/>
      <c r="Q1676" s="4"/>
      <c r="R1676" s="4"/>
      <c r="S1676" s="4"/>
      <c r="T1676" s="1" t="s">
        <v>28906</v>
      </c>
      <c r="U1676" s="4" t="s">
        <v>28907</v>
      </c>
      <c r="V1676" s="4" t="s">
        <v>28908</v>
      </c>
      <c r="W1676" s="4" t="s">
        <v>28909</v>
      </c>
      <c r="X1676" s="4" t="s">
        <v>28910</v>
      </c>
      <c r="Y1676" s="4" t="s">
        <v>28911</v>
      </c>
      <c r="Z1676" s="4" t="s">
        <v>28912</v>
      </c>
      <c r="AA1676" s="4" t="s">
        <v>28913</v>
      </c>
      <c r="AB1676" s="4" t="s">
        <v>28914</v>
      </c>
      <c r="AC1676" s="4" t="s">
        <v>28915</v>
      </c>
      <c r="AD1676" s="4" t="s">
        <v>28916</v>
      </c>
      <c r="AE1676" s="4"/>
      <c r="AF1676" s="4"/>
      <c r="AG1676" s="4" t="n">
        <v>14</v>
      </c>
      <c r="AH1676" s="4" t="n">
        <v>54</v>
      </c>
      <c r="AI1676" s="4" t="n">
        <v>61</v>
      </c>
      <c r="AJ1676" s="4" t="n">
        <v>0</v>
      </c>
      <c r="AK1676" s="4" t="n">
        <v>1</v>
      </c>
      <c r="AL1676" s="4" t="s">
        <v>27851</v>
      </c>
      <c r="AM1676" s="4" t="s">
        <v>27561</v>
      </c>
      <c r="AN1676" s="4" t="s">
        <v>27562</v>
      </c>
      <c r="AO1676" s="4" t="s">
        <v>27563</v>
      </c>
      <c r="AP1676" s="4" t="s">
        <v>27564</v>
      </c>
      <c r="AQ1676" s="4"/>
      <c r="AR1676" s="4" t="s">
        <v>27565</v>
      </c>
      <c r="AS1676" s="4" t="s">
        <v>27566</v>
      </c>
      <c r="AT1676" s="4" t="s">
        <v>599</v>
      </c>
      <c r="AU1676" s="4" t="n">
        <v>2004</v>
      </c>
      <c r="AV1676" s="4" t="n">
        <v>10</v>
      </c>
      <c r="AW1676" s="4" t="n">
        <v>7</v>
      </c>
      <c r="AX1676" s="4"/>
      <c r="AY1676" s="4"/>
      <c r="AZ1676" s="4"/>
      <c r="BA1676" s="4"/>
      <c r="BB1676" s="4" t="n">
        <v>1318</v>
      </c>
      <c r="BC1676" s="4" t="n">
        <v>1320</v>
      </c>
      <c r="BD1676" s="4"/>
      <c r="BE1676" s="4" t="s">
        <v>28917</v>
      </c>
      <c r="BF1676" s="4" t="str">
        <f aca="false">HYPERLINK("http://dx.doi.org/10.3201/eid1007.030983","http://dx.doi.org/10.3201/eid1007.030983")</f>
        <v>http://dx.doi.org/10.3201/eid1007.030983</v>
      </c>
      <c r="BG1676" s="4"/>
      <c r="BH1676" s="4"/>
      <c r="BI1676" s="4" t="n">
        <v>3</v>
      </c>
      <c r="BJ1676" s="4" t="s">
        <v>965</v>
      </c>
      <c r="BK1676" s="4" t="s">
        <v>100</v>
      </c>
      <c r="BL1676" s="4" t="s">
        <v>965</v>
      </c>
      <c r="BM1676" s="4" t="s">
        <v>28918</v>
      </c>
      <c r="BN1676" s="4" t="n">
        <v>15324559</v>
      </c>
      <c r="BO1676" s="4" t="s">
        <v>190</v>
      </c>
      <c r="BP1676" s="4"/>
      <c r="BQ1676" s="4"/>
      <c r="BR1676" s="4" t="s">
        <v>104</v>
      </c>
      <c r="BS1676" s="4" t="s">
        <v>28919</v>
      </c>
      <c r="BT1676" s="4" t="str">
        <f aca="false">HYPERLINK("https%3A%2F%2Fwww.webofscience.com%2Fwos%2Fwoscc%2Ffull-record%2FWOS:000222456800024","View Full Record in Web of Science")</f>
        <v>View Full Record in Web of Science</v>
      </c>
    </row>
    <row r="1677" s="5" customFormat="true" ht="12.75" hidden="false" customHeight="false" outlineLevel="0" collapsed="false">
      <c r="A1677" s="4" t="s">
        <v>72</v>
      </c>
      <c r="B1677" s="4" t="s">
        <v>28920</v>
      </c>
      <c r="C1677" s="4"/>
      <c r="D1677" s="4"/>
      <c r="E1677" s="4"/>
      <c r="F1677" s="4" t="s">
        <v>28920</v>
      </c>
      <c r="G1677" s="4"/>
      <c r="H1677" s="4"/>
      <c r="I1677" s="4" t="s">
        <v>28921</v>
      </c>
      <c r="J1677" s="4" t="s">
        <v>2222</v>
      </c>
      <c r="K1677" s="4"/>
      <c r="L1677" s="4"/>
      <c r="M1677" s="4" t="s">
        <v>77</v>
      </c>
      <c r="N1677" s="4" t="s">
        <v>78</v>
      </c>
      <c r="O1677" s="4"/>
      <c r="P1677" s="4"/>
      <c r="Q1677" s="4"/>
      <c r="R1677" s="4"/>
      <c r="S1677" s="4"/>
      <c r="T1677" s="1" t="s">
        <v>28922</v>
      </c>
      <c r="U1677" s="4" t="s">
        <v>28923</v>
      </c>
      <c r="V1677" s="4" t="s">
        <v>28924</v>
      </c>
      <c r="W1677" s="4" t="s">
        <v>28925</v>
      </c>
      <c r="X1677" s="4" t="s">
        <v>12119</v>
      </c>
      <c r="Y1677" s="4" t="s">
        <v>17884</v>
      </c>
      <c r="Z1677" s="4" t="s">
        <v>13853</v>
      </c>
      <c r="AA1677" s="4" t="s">
        <v>13854</v>
      </c>
      <c r="AB1677" s="4" t="s">
        <v>13855</v>
      </c>
      <c r="AC1677" s="4"/>
      <c r="AD1677" s="4"/>
      <c r="AE1677" s="4"/>
      <c r="AF1677" s="4"/>
      <c r="AG1677" s="4" t="n">
        <v>20</v>
      </c>
      <c r="AH1677" s="4" t="n">
        <v>44</v>
      </c>
      <c r="AI1677" s="4" t="n">
        <v>47</v>
      </c>
      <c r="AJ1677" s="4" t="n">
        <v>0</v>
      </c>
      <c r="AK1677" s="4" t="n">
        <v>1</v>
      </c>
      <c r="AL1677" s="4" t="s">
        <v>755</v>
      </c>
      <c r="AM1677" s="4" t="s">
        <v>273</v>
      </c>
      <c r="AN1677" s="4" t="s">
        <v>756</v>
      </c>
      <c r="AO1677" s="4" t="s">
        <v>2234</v>
      </c>
      <c r="AP1677" s="4" t="s">
        <v>2235</v>
      </c>
      <c r="AQ1677" s="4"/>
      <c r="AR1677" s="4" t="s">
        <v>2236</v>
      </c>
      <c r="AS1677" s="4" t="s">
        <v>2237</v>
      </c>
      <c r="AT1677" s="4" t="s">
        <v>446</v>
      </c>
      <c r="AU1677" s="4" t="n">
        <v>2004</v>
      </c>
      <c r="AV1677" s="4" t="n">
        <v>42</v>
      </c>
      <c r="AW1677" s="4" t="n">
        <v>12</v>
      </c>
      <c r="AX1677" s="4"/>
      <c r="AY1677" s="4"/>
      <c r="AZ1677" s="4"/>
      <c r="BA1677" s="4"/>
      <c r="BB1677" s="4" t="n">
        <v>5944</v>
      </c>
      <c r="BC1677" s="4" t="n">
        <v>5946</v>
      </c>
      <c r="BD1677" s="4"/>
      <c r="BE1677" s="4" t="s">
        <v>28926</v>
      </c>
      <c r="BF1677" s="4" t="str">
        <f aca="false">HYPERLINK("http://dx.doi.org/10.1128/JCM.42.12.5944-5946.2004","http://dx.doi.org/10.1128/JCM.42.12.5944-5946.2004")</f>
        <v>http://dx.doi.org/10.1128/JCM.42.12.5944-5946.2004</v>
      </c>
      <c r="BG1677" s="4"/>
      <c r="BH1677" s="4"/>
      <c r="BI1677" s="4" t="n">
        <v>3</v>
      </c>
      <c r="BJ1677" s="4" t="s">
        <v>211</v>
      </c>
      <c r="BK1677" s="4" t="s">
        <v>100</v>
      </c>
      <c r="BL1677" s="4" t="s">
        <v>211</v>
      </c>
      <c r="BM1677" s="4" t="s">
        <v>28927</v>
      </c>
      <c r="BN1677" s="4" t="n">
        <v>15583349</v>
      </c>
      <c r="BO1677" s="4" t="s">
        <v>165</v>
      </c>
      <c r="BP1677" s="4"/>
      <c r="BQ1677" s="4"/>
      <c r="BR1677" s="4" t="s">
        <v>104</v>
      </c>
      <c r="BS1677" s="4" t="s">
        <v>28928</v>
      </c>
      <c r="BT1677" s="4" t="str">
        <f aca="false">HYPERLINK("https%3A%2F%2Fwww.webofscience.com%2Fwos%2Fwoscc%2Ffull-record%2FWOS:000226035800088","View Full Record in Web of Science")</f>
        <v>View Full Record in Web of Science</v>
      </c>
    </row>
    <row r="1678" s="5" customFormat="true" ht="12.75" hidden="false" customHeight="false" outlineLevel="0" collapsed="false">
      <c r="A1678" s="4" t="s">
        <v>72</v>
      </c>
      <c r="B1678" s="4" t="s">
        <v>28929</v>
      </c>
      <c r="C1678" s="4"/>
      <c r="D1678" s="4"/>
      <c r="E1678" s="4"/>
      <c r="F1678" s="4" t="s">
        <v>28779</v>
      </c>
      <c r="G1678" s="4"/>
      <c r="H1678" s="4"/>
      <c r="I1678" s="4" t="s">
        <v>28930</v>
      </c>
      <c r="J1678" s="4" t="s">
        <v>28781</v>
      </c>
      <c r="K1678" s="4"/>
      <c r="L1678" s="4"/>
      <c r="M1678" s="4" t="s">
        <v>77</v>
      </c>
      <c r="N1678" s="4" t="s">
        <v>78</v>
      </c>
      <c r="O1678" s="4"/>
      <c r="P1678" s="4"/>
      <c r="Q1678" s="4"/>
      <c r="R1678" s="4"/>
      <c r="S1678" s="4"/>
      <c r="T1678" s="1" t="s">
        <v>28931</v>
      </c>
      <c r="U1678" s="4" t="s">
        <v>28932</v>
      </c>
      <c r="V1678" s="4" t="s">
        <v>28933</v>
      </c>
      <c r="W1678" s="4" t="s">
        <v>28934</v>
      </c>
      <c r="X1678" s="4" t="s">
        <v>28786</v>
      </c>
      <c r="Y1678" s="4" t="s">
        <v>28787</v>
      </c>
      <c r="Z1678" s="4" t="s">
        <v>28788</v>
      </c>
      <c r="AA1678" s="4" t="s">
        <v>28935</v>
      </c>
      <c r="AB1678" s="4" t="s">
        <v>28790</v>
      </c>
      <c r="AC1678" s="4" t="s">
        <v>28791</v>
      </c>
      <c r="AD1678" s="4" t="s">
        <v>28792</v>
      </c>
      <c r="AE1678" s="4" t="s">
        <v>28936</v>
      </c>
      <c r="AF1678" s="4"/>
      <c r="AG1678" s="4" t="n">
        <v>51</v>
      </c>
      <c r="AH1678" s="4" t="n">
        <v>2</v>
      </c>
      <c r="AI1678" s="4" t="n">
        <v>2</v>
      </c>
      <c r="AJ1678" s="4" t="n">
        <v>1</v>
      </c>
      <c r="AK1678" s="4" t="n">
        <v>6</v>
      </c>
      <c r="AL1678" s="4" t="s">
        <v>28794</v>
      </c>
      <c r="AM1678" s="4" t="s">
        <v>28795</v>
      </c>
      <c r="AN1678" s="4" t="s">
        <v>28796</v>
      </c>
      <c r="AO1678" s="4" t="s">
        <v>28797</v>
      </c>
      <c r="AP1678" s="4" t="s">
        <v>28798</v>
      </c>
      <c r="AQ1678" s="4"/>
      <c r="AR1678" s="4" t="s">
        <v>28799</v>
      </c>
      <c r="AS1678" s="4" t="s">
        <v>28800</v>
      </c>
      <c r="AT1678" s="4"/>
      <c r="AU1678" s="4" t="n">
        <v>2013</v>
      </c>
      <c r="AV1678" s="4" t="n">
        <v>17</v>
      </c>
      <c r="AW1678" s="4" t="n">
        <v>4</v>
      </c>
      <c r="AX1678" s="4"/>
      <c r="AY1678" s="4"/>
      <c r="AZ1678" s="4"/>
      <c r="BA1678" s="4"/>
      <c r="BB1678" s="4" t="n">
        <v>247</v>
      </c>
      <c r="BC1678" s="4" t="n">
        <v>255</v>
      </c>
      <c r="BD1678" s="4"/>
      <c r="BE1678" s="4" t="s">
        <v>28937</v>
      </c>
      <c r="BF1678" s="4" t="str">
        <f aca="false">HYPERLINK("http://dx.doi.org/10.1007/s40291-013-0032-9","http://dx.doi.org/10.1007/s40291-013-0032-9")</f>
        <v>http://dx.doi.org/10.1007/s40291-013-0032-9</v>
      </c>
      <c r="BG1678" s="4"/>
      <c r="BH1678" s="4"/>
      <c r="BI1678" s="4" t="n">
        <v>9</v>
      </c>
      <c r="BJ1678" s="4" t="s">
        <v>28802</v>
      </c>
      <c r="BK1678" s="4" t="s">
        <v>100</v>
      </c>
      <c r="BL1678" s="4" t="s">
        <v>28802</v>
      </c>
      <c r="BM1678" s="4" t="s">
        <v>28938</v>
      </c>
      <c r="BN1678" s="4" t="n">
        <v>23559039</v>
      </c>
      <c r="BO1678" s="4"/>
      <c r="BP1678" s="4"/>
      <c r="BQ1678" s="4"/>
      <c r="BR1678" s="4" t="s">
        <v>104</v>
      </c>
      <c r="BS1678" s="4" t="s">
        <v>28939</v>
      </c>
      <c r="BT1678" s="4" t="str">
        <f aca="false">HYPERLINK("https%3A%2F%2Fwww.webofscience.com%2Fwos%2Fwoscc%2Ffull-record%2FWOS:000322019900005","View Full Record in Web of Science")</f>
        <v>View Full Record in Web of Science</v>
      </c>
    </row>
    <row r="1679" s="5" customFormat="true" ht="12.75" hidden="false" customHeight="false" outlineLevel="0" collapsed="false">
      <c r="A1679" s="4" t="s">
        <v>72</v>
      </c>
      <c r="B1679" s="4" t="s">
        <v>28940</v>
      </c>
      <c r="C1679" s="4"/>
      <c r="D1679" s="4"/>
      <c r="E1679" s="4"/>
      <c r="F1679" s="4" t="s">
        <v>28941</v>
      </c>
      <c r="G1679" s="4"/>
      <c r="H1679" s="4"/>
      <c r="I1679" s="4" t="s">
        <v>28942</v>
      </c>
      <c r="J1679" s="4" t="s">
        <v>28943</v>
      </c>
      <c r="K1679" s="4"/>
      <c r="L1679" s="4"/>
      <c r="M1679" s="4" t="s">
        <v>77</v>
      </c>
      <c r="N1679" s="4" t="s">
        <v>78</v>
      </c>
      <c r="O1679" s="4"/>
      <c r="P1679" s="4"/>
      <c r="Q1679" s="4"/>
      <c r="R1679" s="4"/>
      <c r="S1679" s="4"/>
      <c r="T1679" s="0"/>
      <c r="U1679" s="4" t="s">
        <v>28944</v>
      </c>
      <c r="V1679" s="4" t="s">
        <v>28945</v>
      </c>
      <c r="W1679" s="4" t="s">
        <v>28946</v>
      </c>
      <c r="X1679" s="4" t="s">
        <v>28947</v>
      </c>
      <c r="Y1679" s="4" t="s">
        <v>28948</v>
      </c>
      <c r="Z1679" s="4" t="s">
        <v>28949</v>
      </c>
      <c r="AA1679" s="4" t="s">
        <v>28950</v>
      </c>
      <c r="AB1679" s="4" t="s">
        <v>28951</v>
      </c>
      <c r="AC1679" s="4"/>
      <c r="AD1679" s="4"/>
      <c r="AE1679" s="4"/>
      <c r="AF1679" s="4"/>
      <c r="AG1679" s="4" t="n">
        <v>26</v>
      </c>
      <c r="AH1679" s="4" t="n">
        <v>3</v>
      </c>
      <c r="AI1679" s="4" t="n">
        <v>3</v>
      </c>
      <c r="AJ1679" s="4" t="n">
        <v>0</v>
      </c>
      <c r="AK1679" s="4" t="n">
        <v>0</v>
      </c>
      <c r="AL1679" s="4" t="s">
        <v>28952</v>
      </c>
      <c r="AM1679" s="4" t="s">
        <v>28953</v>
      </c>
      <c r="AN1679" s="4" t="s">
        <v>28954</v>
      </c>
      <c r="AO1679" s="4" t="s">
        <v>28955</v>
      </c>
      <c r="AP1679" s="4"/>
      <c r="AQ1679" s="4"/>
      <c r="AR1679" s="4" t="s">
        <v>28943</v>
      </c>
      <c r="AS1679" s="4" t="s">
        <v>28956</v>
      </c>
      <c r="AT1679" s="4" t="s">
        <v>28957</v>
      </c>
      <c r="AU1679" s="4" t="n">
        <v>2012</v>
      </c>
      <c r="AV1679" s="4" t="n">
        <v>17</v>
      </c>
      <c r="AW1679" s="4" t="n">
        <v>15</v>
      </c>
      <c r="AX1679" s="4"/>
      <c r="AY1679" s="4"/>
      <c r="AZ1679" s="4"/>
      <c r="BA1679" s="4"/>
      <c r="BB1679" s="4" t="n">
        <v>32</v>
      </c>
      <c r="BC1679" s="4" t="n">
        <v>39</v>
      </c>
      <c r="BD1679" s="4" t="n">
        <v>20145</v>
      </c>
      <c r="BE1679" s="4"/>
      <c r="BF1679" s="4"/>
      <c r="BG1679" s="4"/>
      <c r="BH1679" s="4"/>
      <c r="BI1679" s="4" t="n">
        <v>8</v>
      </c>
      <c r="BJ1679" s="4" t="s">
        <v>575</v>
      </c>
      <c r="BK1679" s="4" t="s">
        <v>100</v>
      </c>
      <c r="BL1679" s="4" t="s">
        <v>575</v>
      </c>
      <c r="BM1679" s="4" t="s">
        <v>28958</v>
      </c>
      <c r="BN1679" s="4" t="n">
        <v>22516049</v>
      </c>
      <c r="BO1679" s="4"/>
      <c r="BP1679" s="4"/>
      <c r="BQ1679" s="4"/>
      <c r="BR1679" s="4" t="s">
        <v>104</v>
      </c>
      <c r="BS1679" s="4" t="s">
        <v>28959</v>
      </c>
      <c r="BT1679" s="4" t="str">
        <f aca="false">HYPERLINK("https%3A%2F%2Fwww.webofscience.com%2Fwos%2Fwoscc%2Ffull-record%2FWOS:000303242400005","View Full Record in Web of Science")</f>
        <v>View Full Record in Web of Science</v>
      </c>
    </row>
    <row r="1680" s="5" customFormat="true" ht="12.75" hidden="false" customHeight="false" outlineLevel="0" collapsed="false">
      <c r="A1680" s="4" t="s">
        <v>72</v>
      </c>
      <c r="B1680" s="4" t="s">
        <v>28960</v>
      </c>
      <c r="C1680" s="4"/>
      <c r="D1680" s="4"/>
      <c r="E1680" s="4"/>
      <c r="F1680" s="4" t="s">
        <v>28961</v>
      </c>
      <c r="G1680" s="4"/>
      <c r="H1680" s="4"/>
      <c r="I1680" s="4" t="s">
        <v>28962</v>
      </c>
      <c r="J1680" s="4" t="s">
        <v>742</v>
      </c>
      <c r="K1680" s="4"/>
      <c r="L1680" s="4"/>
      <c r="M1680" s="4" t="s">
        <v>77</v>
      </c>
      <c r="N1680" s="4" t="s">
        <v>78</v>
      </c>
      <c r="O1680" s="4"/>
      <c r="P1680" s="4"/>
      <c r="Q1680" s="4"/>
      <c r="R1680" s="4"/>
      <c r="S1680" s="4"/>
      <c r="T1680" s="1" t="s">
        <v>28963</v>
      </c>
      <c r="U1680" s="4" t="s">
        <v>28964</v>
      </c>
      <c r="V1680" s="4" t="s">
        <v>28965</v>
      </c>
      <c r="W1680" s="4" t="s">
        <v>28966</v>
      </c>
      <c r="X1680" s="4" t="s">
        <v>27665</v>
      </c>
      <c r="Y1680" s="4" t="s">
        <v>27666</v>
      </c>
      <c r="Z1680" s="4" t="s">
        <v>14892</v>
      </c>
      <c r="AA1680" s="4" t="s">
        <v>27667</v>
      </c>
      <c r="AB1680" s="4" t="s">
        <v>27668</v>
      </c>
      <c r="AC1680" s="4" t="s">
        <v>28967</v>
      </c>
      <c r="AD1680" s="4" t="s">
        <v>28968</v>
      </c>
      <c r="AE1680" s="4" t="s">
        <v>28969</v>
      </c>
      <c r="AF1680" s="4"/>
      <c r="AG1680" s="4" t="n">
        <v>42</v>
      </c>
      <c r="AH1680" s="4" t="n">
        <v>14</v>
      </c>
      <c r="AI1680" s="4" t="n">
        <v>21</v>
      </c>
      <c r="AJ1680" s="4" t="n">
        <v>0</v>
      </c>
      <c r="AK1680" s="4" t="n">
        <v>5</v>
      </c>
      <c r="AL1680" s="4" t="s">
        <v>755</v>
      </c>
      <c r="AM1680" s="4" t="s">
        <v>273</v>
      </c>
      <c r="AN1680" s="4" t="s">
        <v>756</v>
      </c>
      <c r="AO1680" s="4" t="s">
        <v>757</v>
      </c>
      <c r="AP1680" s="4" t="s">
        <v>758</v>
      </c>
      <c r="AQ1680" s="4"/>
      <c r="AR1680" s="4" t="s">
        <v>759</v>
      </c>
      <c r="AS1680" s="4" t="s">
        <v>760</v>
      </c>
      <c r="AT1680" s="4" t="s">
        <v>129</v>
      </c>
      <c r="AU1680" s="4" t="n">
        <v>2012</v>
      </c>
      <c r="AV1680" s="4" t="n">
        <v>86</v>
      </c>
      <c r="AW1680" s="4" t="n">
        <v>18</v>
      </c>
      <c r="AX1680" s="4"/>
      <c r="AY1680" s="4"/>
      <c r="AZ1680" s="4"/>
      <c r="BA1680" s="4"/>
      <c r="BB1680" s="4" t="n">
        <v>9843</v>
      </c>
      <c r="BC1680" s="4" t="n">
        <v>9853</v>
      </c>
      <c r="BD1680" s="4"/>
      <c r="BE1680" s="4" t="s">
        <v>28970</v>
      </c>
      <c r="BF1680" s="4" t="str">
        <f aca="false">HYPERLINK("http://dx.doi.org/10.1128/JVI.00639-12","http://dx.doi.org/10.1128/JVI.00639-12")</f>
        <v>http://dx.doi.org/10.1128/JVI.00639-12</v>
      </c>
      <c r="BG1680" s="4"/>
      <c r="BH1680" s="4"/>
      <c r="BI1680" s="4" t="n">
        <v>11</v>
      </c>
      <c r="BJ1680" s="4" t="s">
        <v>163</v>
      </c>
      <c r="BK1680" s="4" t="s">
        <v>100</v>
      </c>
      <c r="BL1680" s="4" t="s">
        <v>163</v>
      </c>
      <c r="BM1680" s="4" t="s">
        <v>28971</v>
      </c>
      <c r="BN1680" s="4" t="n">
        <v>22761366</v>
      </c>
      <c r="BO1680" s="4" t="s">
        <v>538</v>
      </c>
      <c r="BP1680" s="4"/>
      <c r="BQ1680" s="4"/>
      <c r="BR1680" s="4" t="s">
        <v>104</v>
      </c>
      <c r="BS1680" s="4" t="s">
        <v>28972</v>
      </c>
      <c r="BT1680" s="4" t="str">
        <f aca="false">HYPERLINK("https%3A%2F%2Fwww.webofscience.com%2Fwos%2Fwoscc%2Ffull-record%2FWOS:000308337500027","View Full Record in Web of Science")</f>
        <v>View Full Record in Web of Science</v>
      </c>
    </row>
    <row r="1681" s="5" customFormat="true" ht="12.75" hidden="false" customHeight="false" outlineLevel="0" collapsed="false">
      <c r="A1681" s="4" t="s">
        <v>72</v>
      </c>
      <c r="B1681" s="4" t="s">
        <v>28973</v>
      </c>
      <c r="C1681" s="4"/>
      <c r="D1681" s="4"/>
      <c r="E1681" s="4"/>
      <c r="F1681" s="4" t="s">
        <v>28974</v>
      </c>
      <c r="G1681" s="4"/>
      <c r="H1681" s="4"/>
      <c r="I1681" s="4" t="s">
        <v>28975</v>
      </c>
      <c r="J1681" s="4" t="s">
        <v>742</v>
      </c>
      <c r="K1681" s="4"/>
      <c r="L1681" s="4"/>
      <c r="M1681" s="4" t="s">
        <v>77</v>
      </c>
      <c r="N1681" s="4" t="s">
        <v>78</v>
      </c>
      <c r="O1681" s="4"/>
      <c r="P1681" s="4"/>
      <c r="Q1681" s="4"/>
      <c r="R1681" s="4"/>
      <c r="S1681" s="4"/>
      <c r="T1681" s="1" t="s">
        <v>28976</v>
      </c>
      <c r="U1681" s="4" t="s">
        <v>28977</v>
      </c>
      <c r="V1681" s="4" t="s">
        <v>28978</v>
      </c>
      <c r="W1681" s="4" t="s">
        <v>28979</v>
      </c>
      <c r="X1681" s="4" t="s">
        <v>28980</v>
      </c>
      <c r="Y1681" s="4" t="s">
        <v>28981</v>
      </c>
      <c r="Z1681" s="4" t="s">
        <v>1366</v>
      </c>
      <c r="AA1681" s="4" t="s">
        <v>28982</v>
      </c>
      <c r="AB1681" s="4" t="s">
        <v>1368</v>
      </c>
      <c r="AC1681" s="4" t="s">
        <v>28983</v>
      </c>
      <c r="AD1681" s="4" t="s">
        <v>28984</v>
      </c>
      <c r="AE1681" s="4" t="s">
        <v>28985</v>
      </c>
      <c r="AF1681" s="4"/>
      <c r="AG1681" s="4" t="n">
        <v>56</v>
      </c>
      <c r="AH1681" s="4" t="n">
        <v>35</v>
      </c>
      <c r="AI1681" s="4" t="n">
        <v>50</v>
      </c>
      <c r="AJ1681" s="4" t="n">
        <v>0</v>
      </c>
      <c r="AK1681" s="4" t="n">
        <v>3</v>
      </c>
      <c r="AL1681" s="4" t="s">
        <v>755</v>
      </c>
      <c r="AM1681" s="4" t="s">
        <v>273</v>
      </c>
      <c r="AN1681" s="4" t="s">
        <v>756</v>
      </c>
      <c r="AO1681" s="4" t="s">
        <v>757</v>
      </c>
      <c r="AP1681" s="4" t="s">
        <v>758</v>
      </c>
      <c r="AQ1681" s="4"/>
      <c r="AR1681" s="4" t="s">
        <v>759</v>
      </c>
      <c r="AS1681" s="4" t="s">
        <v>760</v>
      </c>
      <c r="AT1681" s="4" t="s">
        <v>692</v>
      </c>
      <c r="AU1681" s="4" t="n">
        <v>2014</v>
      </c>
      <c r="AV1681" s="4" t="n">
        <v>88</v>
      </c>
      <c r="AW1681" s="4" t="n">
        <v>8</v>
      </c>
      <c r="AX1681" s="4"/>
      <c r="AY1681" s="4"/>
      <c r="AZ1681" s="4"/>
      <c r="BA1681" s="4"/>
      <c r="BB1681" s="4" t="n">
        <v>4338</v>
      </c>
      <c r="BC1681" s="4" t="n">
        <v>4352</v>
      </c>
      <c r="BD1681" s="4"/>
      <c r="BE1681" s="4" t="s">
        <v>28986</v>
      </c>
      <c r="BF1681" s="4" t="str">
        <f aca="false">HYPERLINK("http://dx.doi.org/10.1128/JVI.03491-13","http://dx.doi.org/10.1128/JVI.03491-13")</f>
        <v>http://dx.doi.org/10.1128/JVI.03491-13</v>
      </c>
      <c r="BG1681" s="4"/>
      <c r="BH1681" s="4"/>
      <c r="BI1681" s="4" t="n">
        <v>15</v>
      </c>
      <c r="BJ1681" s="4" t="s">
        <v>163</v>
      </c>
      <c r="BK1681" s="4" t="s">
        <v>100</v>
      </c>
      <c r="BL1681" s="4" t="s">
        <v>163</v>
      </c>
      <c r="BM1681" s="4" t="s">
        <v>28987</v>
      </c>
      <c r="BN1681" s="4" t="n">
        <v>24478423</v>
      </c>
      <c r="BO1681" s="4" t="s">
        <v>1267</v>
      </c>
      <c r="BP1681" s="4"/>
      <c r="BQ1681" s="4"/>
      <c r="BR1681" s="4" t="s">
        <v>104</v>
      </c>
      <c r="BS1681" s="4" t="s">
        <v>28988</v>
      </c>
      <c r="BT1681" s="4" t="str">
        <f aca="false">HYPERLINK("https%3A%2F%2Fwww.webofscience.com%2Fwos%2Fwoscc%2Ffull-record%2FWOS:000333676400036","View Full Record in Web of Science")</f>
        <v>View Full Record in Web of Science</v>
      </c>
    </row>
    <row r="1682" s="5" customFormat="true" ht="12.75" hidden="false" customHeight="false" outlineLevel="0" collapsed="false">
      <c r="A1682" s="4" t="s">
        <v>72</v>
      </c>
      <c r="B1682" s="4" t="s">
        <v>28989</v>
      </c>
      <c r="C1682" s="4"/>
      <c r="D1682" s="4"/>
      <c r="E1682" s="4"/>
      <c r="F1682" s="4" t="s">
        <v>28990</v>
      </c>
      <c r="G1682" s="4"/>
      <c r="H1682" s="4"/>
      <c r="I1682" s="4" t="s">
        <v>28991</v>
      </c>
      <c r="J1682" s="4" t="s">
        <v>27548</v>
      </c>
      <c r="K1682" s="4"/>
      <c r="L1682" s="4"/>
      <c r="M1682" s="4" t="s">
        <v>77</v>
      </c>
      <c r="N1682" s="4" t="s">
        <v>78</v>
      </c>
      <c r="O1682" s="4"/>
      <c r="P1682" s="4"/>
      <c r="Q1682" s="4"/>
      <c r="R1682" s="4"/>
      <c r="S1682" s="4"/>
      <c r="T1682" s="1" t="s">
        <v>28992</v>
      </c>
      <c r="U1682" s="4" t="s">
        <v>28993</v>
      </c>
      <c r="V1682" s="4" t="s">
        <v>28994</v>
      </c>
      <c r="W1682" s="4" t="s">
        <v>28995</v>
      </c>
      <c r="X1682" s="4" t="s">
        <v>12669</v>
      </c>
      <c r="Y1682" s="4" t="s">
        <v>28996</v>
      </c>
      <c r="Z1682" s="4" t="s">
        <v>28997</v>
      </c>
      <c r="AA1682" s="4" t="s">
        <v>28998</v>
      </c>
      <c r="AB1682" s="4"/>
      <c r="AC1682" s="4" t="s">
        <v>28999</v>
      </c>
      <c r="AD1682" s="4" t="s">
        <v>29000</v>
      </c>
      <c r="AE1682" s="4" t="s">
        <v>29001</v>
      </c>
      <c r="AF1682" s="4"/>
      <c r="AG1682" s="4" t="n">
        <v>15</v>
      </c>
      <c r="AH1682" s="4" t="n">
        <v>13</v>
      </c>
      <c r="AI1682" s="4" t="n">
        <v>19</v>
      </c>
      <c r="AJ1682" s="4" t="n">
        <v>0</v>
      </c>
      <c r="AK1682" s="4" t="n">
        <v>7</v>
      </c>
      <c r="AL1682" s="4" t="s">
        <v>27560</v>
      </c>
      <c r="AM1682" s="4" t="s">
        <v>27561</v>
      </c>
      <c r="AN1682" s="4" t="s">
        <v>27562</v>
      </c>
      <c r="AO1682" s="4" t="s">
        <v>27563</v>
      </c>
      <c r="AP1682" s="4" t="s">
        <v>27564</v>
      </c>
      <c r="AQ1682" s="4"/>
      <c r="AR1682" s="4" t="s">
        <v>27565</v>
      </c>
      <c r="AS1682" s="4" t="s">
        <v>27566</v>
      </c>
      <c r="AT1682" s="4" t="s">
        <v>161</v>
      </c>
      <c r="AU1682" s="4" t="n">
        <v>2021</v>
      </c>
      <c r="AV1682" s="4" t="n">
        <v>27</v>
      </c>
      <c r="AW1682" s="4" t="n">
        <v>1</v>
      </c>
      <c r="AX1682" s="4"/>
      <c r="AY1682" s="4"/>
      <c r="AZ1682" s="4"/>
      <c r="BA1682" s="4"/>
      <c r="BB1682" s="4" t="n">
        <v>275</v>
      </c>
      <c r="BC1682" s="4" t="n">
        <v>277</v>
      </c>
      <c r="BD1682" s="4"/>
      <c r="BE1682" s="4" t="s">
        <v>29002</v>
      </c>
      <c r="BF1682" s="4" t="str">
        <f aca="false">HYPERLINK("http://dx.doi.org/10.3201/eid2701.201043","http://dx.doi.org/10.3201/eid2701.201043")</f>
        <v>http://dx.doi.org/10.3201/eid2701.201043</v>
      </c>
      <c r="BG1682" s="4"/>
      <c r="BH1682" s="4"/>
      <c r="BI1682" s="4" t="n">
        <v>3</v>
      </c>
      <c r="BJ1682" s="4" t="s">
        <v>965</v>
      </c>
      <c r="BK1682" s="4" t="s">
        <v>100</v>
      </c>
      <c r="BL1682" s="4" t="s">
        <v>965</v>
      </c>
      <c r="BM1682" s="4" t="s">
        <v>29003</v>
      </c>
      <c r="BN1682" s="4" t="n">
        <v>33350918</v>
      </c>
      <c r="BO1682" s="4" t="s">
        <v>190</v>
      </c>
      <c r="BP1682" s="4"/>
      <c r="BQ1682" s="4"/>
      <c r="BR1682" s="4" t="s">
        <v>104</v>
      </c>
      <c r="BS1682" s="4" t="s">
        <v>29004</v>
      </c>
      <c r="BT1682" s="4" t="str">
        <f aca="false">HYPERLINK("https%3A%2F%2Fwww.webofscience.com%2Fwos%2Fwoscc%2Ffull-record%2FWOS:000609135300037","View Full Record in Web of Science")</f>
        <v>View Full Record in Web of Science</v>
      </c>
    </row>
    <row r="1683" s="5" customFormat="true" ht="12.75" hidden="false" customHeight="false" outlineLevel="0" collapsed="false">
      <c r="A1683" s="4" t="s">
        <v>72</v>
      </c>
      <c r="B1683" s="4" t="s">
        <v>29005</v>
      </c>
      <c r="C1683" s="4"/>
      <c r="D1683" s="4"/>
      <c r="E1683" s="4"/>
      <c r="F1683" s="4" t="s">
        <v>29005</v>
      </c>
      <c r="G1683" s="4"/>
      <c r="H1683" s="4"/>
      <c r="I1683" s="4" t="s">
        <v>29006</v>
      </c>
      <c r="J1683" s="4" t="s">
        <v>8945</v>
      </c>
      <c r="K1683" s="4"/>
      <c r="L1683" s="4"/>
      <c r="M1683" s="4" t="s">
        <v>77</v>
      </c>
      <c r="N1683" s="4" t="s">
        <v>78</v>
      </c>
      <c r="O1683" s="4"/>
      <c r="P1683" s="4"/>
      <c r="Q1683" s="4"/>
      <c r="R1683" s="4"/>
      <c r="S1683" s="4"/>
      <c r="T1683" s="1" t="s">
        <v>29007</v>
      </c>
      <c r="U1683" s="4"/>
      <c r="V1683" s="4" t="s">
        <v>29008</v>
      </c>
      <c r="W1683" s="4" t="s">
        <v>29009</v>
      </c>
      <c r="X1683" s="4" t="s">
        <v>29010</v>
      </c>
      <c r="Y1683" s="4" t="s">
        <v>29011</v>
      </c>
      <c r="Z1683" s="4"/>
      <c r="AA1683" s="4"/>
      <c r="AB1683" s="4"/>
      <c r="AC1683" s="4"/>
      <c r="AD1683" s="4"/>
      <c r="AE1683" s="4"/>
      <c r="AF1683" s="4"/>
      <c r="AG1683" s="4" t="n">
        <v>5</v>
      </c>
      <c r="AH1683" s="4" t="n">
        <v>11</v>
      </c>
      <c r="AI1683" s="4" t="n">
        <v>12</v>
      </c>
      <c r="AJ1683" s="4" t="n">
        <v>0</v>
      </c>
      <c r="AK1683" s="4" t="n">
        <v>0</v>
      </c>
      <c r="AL1683" s="4" t="s">
        <v>29012</v>
      </c>
      <c r="AM1683" s="4" t="s">
        <v>29013</v>
      </c>
      <c r="AN1683" s="4" t="s">
        <v>29014</v>
      </c>
      <c r="AO1683" s="4" t="s">
        <v>8959</v>
      </c>
      <c r="AP1683" s="4"/>
      <c r="AQ1683" s="4"/>
      <c r="AR1683" s="4" t="s">
        <v>8961</v>
      </c>
      <c r="AS1683" s="4" t="s">
        <v>8962</v>
      </c>
      <c r="AT1683" s="4" t="s">
        <v>336</v>
      </c>
      <c r="AU1683" s="4" t="n">
        <v>2003</v>
      </c>
      <c r="AV1683" s="4" t="n">
        <v>35</v>
      </c>
      <c r="AW1683" s="4" t="n">
        <v>10</v>
      </c>
      <c r="AX1683" s="4"/>
      <c r="AY1683" s="4"/>
      <c r="AZ1683" s="4"/>
      <c r="BA1683" s="4"/>
      <c r="BB1683" s="4" t="n">
        <v>772</v>
      </c>
      <c r="BC1683" s="4" t="n">
        <v>774</v>
      </c>
      <c r="BD1683" s="4"/>
      <c r="BE1683" s="4" t="s">
        <v>29015</v>
      </c>
      <c r="BF1683" s="4" t="str">
        <f aca="false">HYPERLINK("http://dx.doi.org/10.1080/00365540310013306","http://dx.doi.org/10.1080/00365540310013306")</f>
        <v>http://dx.doi.org/10.1080/00365540310013306</v>
      </c>
      <c r="BG1683" s="4"/>
      <c r="BH1683" s="4"/>
      <c r="BI1683" s="4" t="n">
        <v>4</v>
      </c>
      <c r="BJ1683" s="4" t="s">
        <v>575</v>
      </c>
      <c r="BK1683" s="4" t="s">
        <v>100</v>
      </c>
      <c r="BL1683" s="4" t="s">
        <v>575</v>
      </c>
      <c r="BM1683" s="4" t="s">
        <v>29016</v>
      </c>
      <c r="BN1683" s="4" t="n">
        <v>14606624</v>
      </c>
      <c r="BO1683" s="4"/>
      <c r="BP1683" s="4"/>
      <c r="BQ1683" s="4"/>
      <c r="BR1683" s="4" t="s">
        <v>104</v>
      </c>
      <c r="BS1683" s="4" t="s">
        <v>29017</v>
      </c>
      <c r="BT1683" s="4" t="str">
        <f aca="false">HYPERLINK("https%3A%2F%2Fwww.webofscience.com%2Fwos%2Fwoscc%2Ffull-record%2FWOS:000185887100018","View Full Record in Web of Science")</f>
        <v>View Full Record in Web of Science</v>
      </c>
    </row>
    <row r="1684" s="5" customFormat="true" ht="12.75" hidden="false" customHeight="false" outlineLevel="0" collapsed="false">
      <c r="A1684" s="4" t="s">
        <v>72</v>
      </c>
      <c r="B1684" s="4" t="s">
        <v>29018</v>
      </c>
      <c r="C1684" s="4"/>
      <c r="D1684" s="4"/>
      <c r="E1684" s="4"/>
      <c r="F1684" s="4" t="s">
        <v>29018</v>
      </c>
      <c r="G1684" s="4"/>
      <c r="H1684" s="4"/>
      <c r="I1684" s="4" t="s">
        <v>29019</v>
      </c>
      <c r="J1684" s="4" t="s">
        <v>27548</v>
      </c>
      <c r="K1684" s="4"/>
      <c r="L1684" s="4"/>
      <c r="M1684" s="4" t="s">
        <v>77</v>
      </c>
      <c r="N1684" s="4" t="s">
        <v>78</v>
      </c>
      <c r="O1684" s="4"/>
      <c r="P1684" s="4"/>
      <c r="Q1684" s="4"/>
      <c r="R1684" s="4"/>
      <c r="S1684" s="4"/>
      <c r="T1684" s="1" t="s">
        <v>29020</v>
      </c>
      <c r="U1684" s="4" t="s">
        <v>29021</v>
      </c>
      <c r="V1684" s="4" t="s">
        <v>29022</v>
      </c>
      <c r="W1684" s="4" t="s">
        <v>29023</v>
      </c>
      <c r="X1684" s="4" t="s">
        <v>29024</v>
      </c>
      <c r="Y1684" s="4" t="s">
        <v>29025</v>
      </c>
      <c r="Z1684" s="4" t="s">
        <v>29026</v>
      </c>
      <c r="AA1684" s="4"/>
      <c r="AB1684" s="4"/>
      <c r="AC1684" s="4"/>
      <c r="AD1684" s="4"/>
      <c r="AE1684" s="4"/>
      <c r="AF1684" s="4"/>
      <c r="AG1684" s="4" t="n">
        <v>15</v>
      </c>
      <c r="AH1684" s="4" t="n">
        <v>119</v>
      </c>
      <c r="AI1684" s="4" t="n">
        <v>133</v>
      </c>
      <c r="AJ1684" s="4" t="n">
        <v>0</v>
      </c>
      <c r="AK1684" s="4" t="n">
        <v>2</v>
      </c>
      <c r="AL1684" s="4" t="s">
        <v>27960</v>
      </c>
      <c r="AM1684" s="4" t="s">
        <v>27561</v>
      </c>
      <c r="AN1684" s="4" t="s">
        <v>27961</v>
      </c>
      <c r="AO1684" s="4" t="s">
        <v>27563</v>
      </c>
      <c r="AP1684" s="4"/>
      <c r="AQ1684" s="4"/>
      <c r="AR1684" s="4" t="s">
        <v>27565</v>
      </c>
      <c r="AS1684" s="4" t="s">
        <v>27566</v>
      </c>
      <c r="AT1684" s="4" t="s">
        <v>161</v>
      </c>
      <c r="AU1684" s="4" t="n">
        <v>2006</v>
      </c>
      <c r="AV1684" s="4" t="n">
        <v>12</v>
      </c>
      <c r="AW1684" s="4" t="n">
        <v>1</v>
      </c>
      <c r="AX1684" s="4"/>
      <c r="AY1684" s="4"/>
      <c r="AZ1684" s="4"/>
      <c r="BA1684" s="4"/>
      <c r="BB1684" s="4" t="n">
        <v>147</v>
      </c>
      <c r="BC1684" s="4" t="n">
        <v>150</v>
      </c>
      <c r="BD1684" s="4"/>
      <c r="BE1684" s="4" t="s">
        <v>29027</v>
      </c>
      <c r="BF1684" s="4" t="str">
        <f aca="false">HYPERLINK("http://dx.doi.org/10.3201/eid1201.050772","http://dx.doi.org/10.3201/eid1201.050772")</f>
        <v>http://dx.doi.org/10.3201/eid1201.050772</v>
      </c>
      <c r="BG1684" s="4"/>
      <c r="BH1684" s="4"/>
      <c r="BI1684" s="4" t="n">
        <v>4</v>
      </c>
      <c r="BJ1684" s="4" t="s">
        <v>965</v>
      </c>
      <c r="BK1684" s="4" t="s">
        <v>100</v>
      </c>
      <c r="BL1684" s="4" t="s">
        <v>965</v>
      </c>
      <c r="BM1684" s="4" t="s">
        <v>29028</v>
      </c>
      <c r="BN1684" s="4" t="n">
        <v>16494734</v>
      </c>
      <c r="BO1684" s="4" t="s">
        <v>2582</v>
      </c>
      <c r="BP1684" s="4"/>
      <c r="BQ1684" s="4"/>
      <c r="BR1684" s="4" t="s">
        <v>104</v>
      </c>
      <c r="BS1684" s="4" t="s">
        <v>29029</v>
      </c>
      <c r="BT1684" s="4" t="str">
        <f aca="false">HYPERLINK("https%3A%2F%2Fwww.webofscience.com%2Fwos%2Fwoscc%2Ffull-record%2FWOS:000234419700028","View Full Record in Web of Science")</f>
        <v>View Full Record in Web of Science</v>
      </c>
    </row>
    <row r="1685" s="5" customFormat="true" ht="12.75" hidden="false" customHeight="false" outlineLevel="0" collapsed="false">
      <c r="A1685" s="4" t="s">
        <v>72</v>
      </c>
      <c r="B1685" s="4" t="s">
        <v>29030</v>
      </c>
      <c r="C1685" s="4"/>
      <c r="D1685" s="4"/>
      <c r="E1685" s="4"/>
      <c r="F1685" s="4" t="s">
        <v>29031</v>
      </c>
      <c r="G1685" s="4"/>
      <c r="H1685" s="4"/>
      <c r="I1685" s="4" t="s">
        <v>29032</v>
      </c>
      <c r="J1685" s="4" t="s">
        <v>29033</v>
      </c>
      <c r="K1685" s="4"/>
      <c r="L1685" s="4"/>
      <c r="M1685" s="4" t="s">
        <v>77</v>
      </c>
      <c r="N1685" s="4" t="s">
        <v>78</v>
      </c>
      <c r="O1685" s="4"/>
      <c r="P1685" s="4"/>
      <c r="Q1685" s="4"/>
      <c r="R1685" s="4"/>
      <c r="S1685" s="4"/>
      <c r="T1685" s="1" t="s">
        <v>29034</v>
      </c>
      <c r="U1685" s="4" t="s">
        <v>29035</v>
      </c>
      <c r="V1685" s="4" t="s">
        <v>29036</v>
      </c>
      <c r="W1685" s="4" t="s">
        <v>29037</v>
      </c>
      <c r="X1685" s="4" t="s">
        <v>29038</v>
      </c>
      <c r="Y1685" s="4" t="s">
        <v>29039</v>
      </c>
      <c r="Z1685" s="4" t="s">
        <v>29040</v>
      </c>
      <c r="AA1685" s="4" t="s">
        <v>29041</v>
      </c>
      <c r="AB1685" s="4" t="s">
        <v>29042</v>
      </c>
      <c r="AC1685" s="4"/>
      <c r="AD1685" s="4"/>
      <c r="AE1685" s="4"/>
      <c r="AF1685" s="4"/>
      <c r="AG1685" s="4" t="n">
        <v>9</v>
      </c>
      <c r="AH1685" s="4" t="n">
        <v>14</v>
      </c>
      <c r="AI1685" s="4" t="n">
        <v>14</v>
      </c>
      <c r="AJ1685" s="4" t="n">
        <v>0</v>
      </c>
      <c r="AK1685" s="4" t="n">
        <v>0</v>
      </c>
      <c r="AL1685" s="4" t="s">
        <v>29043</v>
      </c>
      <c r="AM1685" s="4" t="s">
        <v>29044</v>
      </c>
      <c r="AN1685" s="4" t="s">
        <v>29045</v>
      </c>
      <c r="AO1685" s="4" t="s">
        <v>29046</v>
      </c>
      <c r="AP1685" s="4"/>
      <c r="AQ1685" s="4"/>
      <c r="AR1685" s="4" t="s">
        <v>29047</v>
      </c>
      <c r="AS1685" s="4" t="s">
        <v>29048</v>
      </c>
      <c r="AT1685" s="4" t="s">
        <v>161</v>
      </c>
      <c r="AU1685" s="4" t="n">
        <v>2007</v>
      </c>
      <c r="AV1685" s="4" t="n">
        <v>76</v>
      </c>
      <c r="AW1685" s="4" t="n">
        <v>1</v>
      </c>
      <c r="AX1685" s="4"/>
      <c r="AY1685" s="4"/>
      <c r="AZ1685" s="4"/>
      <c r="BA1685" s="4"/>
      <c r="BB1685" s="4" t="n">
        <v>182</v>
      </c>
      <c r="BC1685" s="4" t="n">
        <v>183</v>
      </c>
      <c r="BD1685" s="4"/>
      <c r="BE1685" s="4" t="s">
        <v>29049</v>
      </c>
      <c r="BF1685" s="4" t="str">
        <f aca="false">HYPERLINK("http://dx.doi.org/10.4269/ajtmh.2007.76.182","http://dx.doi.org/10.4269/ajtmh.2007.76.182")</f>
        <v>http://dx.doi.org/10.4269/ajtmh.2007.76.182</v>
      </c>
      <c r="BG1685" s="4"/>
      <c r="BH1685" s="4"/>
      <c r="BI1685" s="4" t="n">
        <v>2</v>
      </c>
      <c r="BJ1685" s="4" t="s">
        <v>9015</v>
      </c>
      <c r="BK1685" s="4" t="s">
        <v>100</v>
      </c>
      <c r="BL1685" s="4" t="s">
        <v>9015</v>
      </c>
      <c r="BM1685" s="4" t="s">
        <v>29050</v>
      </c>
      <c r="BN1685" s="4" t="n">
        <v>17255250</v>
      </c>
      <c r="BO1685" s="4" t="s">
        <v>656</v>
      </c>
      <c r="BP1685" s="4"/>
      <c r="BQ1685" s="4"/>
      <c r="BR1685" s="4" t="s">
        <v>104</v>
      </c>
      <c r="BS1685" s="4" t="s">
        <v>29051</v>
      </c>
      <c r="BT1685" s="4" t="str">
        <f aca="false">HYPERLINK("https%3A%2F%2Fwww.webofscience.com%2Fwos%2Fwoscc%2Ffull-record%2FWOS:000243573800031","View Full Record in Web of Science")</f>
        <v>View Full Record in Web of Science</v>
      </c>
    </row>
    <row r="1686" s="5" customFormat="true" ht="12.75" hidden="false" customHeight="false" outlineLevel="0" collapsed="false">
      <c r="A1686" s="4" t="s">
        <v>72</v>
      </c>
      <c r="B1686" s="4" t="s">
        <v>29052</v>
      </c>
      <c r="C1686" s="4"/>
      <c r="D1686" s="4"/>
      <c r="E1686" s="4"/>
      <c r="F1686" s="4" t="s">
        <v>29053</v>
      </c>
      <c r="G1686" s="4"/>
      <c r="H1686" s="4"/>
      <c r="I1686" s="4" t="s">
        <v>29054</v>
      </c>
      <c r="J1686" s="4" t="s">
        <v>29055</v>
      </c>
      <c r="K1686" s="4"/>
      <c r="L1686" s="4"/>
      <c r="M1686" s="4" t="s">
        <v>77</v>
      </c>
      <c r="N1686" s="4" t="s">
        <v>78</v>
      </c>
      <c r="O1686" s="4"/>
      <c r="P1686" s="4"/>
      <c r="Q1686" s="4"/>
      <c r="R1686" s="4"/>
      <c r="S1686" s="4"/>
      <c r="T1686" s="1" t="s">
        <v>29056</v>
      </c>
      <c r="U1686" s="4" t="s">
        <v>29057</v>
      </c>
      <c r="V1686" s="4" t="s">
        <v>29058</v>
      </c>
      <c r="W1686" s="4" t="s">
        <v>29059</v>
      </c>
      <c r="X1686" s="4" t="s">
        <v>10650</v>
      </c>
      <c r="Y1686" s="4" t="s">
        <v>29060</v>
      </c>
      <c r="Z1686" s="4" t="s">
        <v>29061</v>
      </c>
      <c r="AA1686" s="4" t="s">
        <v>29062</v>
      </c>
      <c r="AB1686" s="4" t="s">
        <v>29063</v>
      </c>
      <c r="AC1686" s="4"/>
      <c r="AD1686" s="4"/>
      <c r="AE1686" s="4"/>
      <c r="AF1686" s="4"/>
      <c r="AG1686" s="4" t="n">
        <v>19</v>
      </c>
      <c r="AH1686" s="4" t="n">
        <v>73</v>
      </c>
      <c r="AI1686" s="4" t="n">
        <v>75</v>
      </c>
      <c r="AJ1686" s="4" t="n">
        <v>0</v>
      </c>
      <c r="AK1686" s="4" t="n">
        <v>3</v>
      </c>
      <c r="AL1686" s="4" t="s">
        <v>1460</v>
      </c>
      <c r="AM1686" s="4" t="s">
        <v>593</v>
      </c>
      <c r="AN1686" s="4" t="s">
        <v>1461</v>
      </c>
      <c r="AO1686" s="4" t="s">
        <v>29064</v>
      </c>
      <c r="AP1686" s="4"/>
      <c r="AQ1686" s="4"/>
      <c r="AR1686" s="4" t="s">
        <v>29065</v>
      </c>
      <c r="AS1686" s="4" t="s">
        <v>29066</v>
      </c>
      <c r="AT1686" s="4" t="s">
        <v>185</v>
      </c>
      <c r="AU1686" s="4" t="n">
        <v>2007</v>
      </c>
      <c r="AV1686" s="4" t="n">
        <v>26</v>
      </c>
      <c r="AW1686" s="4" t="n">
        <v>8</v>
      </c>
      <c r="AX1686" s="4"/>
      <c r="AY1686" s="4"/>
      <c r="AZ1686" s="4"/>
      <c r="BA1686" s="4"/>
      <c r="BB1686" s="4" t="n">
        <v>862</v>
      </c>
      <c r="BC1686" s="4" t="n">
        <v>864</v>
      </c>
      <c r="BD1686" s="4"/>
      <c r="BE1686" s="4" t="s">
        <v>29067</v>
      </c>
      <c r="BF1686" s="4" t="str">
        <f aca="false">HYPERLINK("http://dx.doi.org/10.1016/j.healun.2007.05.020","http://dx.doi.org/10.1016/j.healun.2007.05.020")</f>
        <v>http://dx.doi.org/10.1016/j.healun.2007.05.020</v>
      </c>
      <c r="BG1686" s="4"/>
      <c r="BH1686" s="4"/>
      <c r="BI1686" s="4" t="n">
        <v>3</v>
      </c>
      <c r="BJ1686" s="4" t="s">
        <v>29068</v>
      </c>
      <c r="BK1686" s="4" t="s">
        <v>100</v>
      </c>
      <c r="BL1686" s="4" t="s">
        <v>29069</v>
      </c>
      <c r="BM1686" s="4" t="s">
        <v>29070</v>
      </c>
      <c r="BN1686" s="4" t="n">
        <v>17692793</v>
      </c>
      <c r="BO1686" s="4" t="s">
        <v>9673</v>
      </c>
      <c r="BP1686" s="4"/>
      <c r="BQ1686" s="4"/>
      <c r="BR1686" s="4" t="s">
        <v>104</v>
      </c>
      <c r="BS1686" s="4" t="s">
        <v>29071</v>
      </c>
      <c r="BT1686" s="4" t="str">
        <f aca="false">HYPERLINK("https%3A%2F%2Fwww.webofscience.com%2Fwos%2Fwoscc%2Ffull-record%2FWOS:000248992200014","View Full Record in Web of Science")</f>
        <v>View Full Record in Web of Science</v>
      </c>
    </row>
    <row r="1687" s="5" customFormat="true" ht="12.75" hidden="false" customHeight="false" outlineLevel="0" collapsed="false">
      <c r="A1687" s="4" t="s">
        <v>72</v>
      </c>
      <c r="B1687" s="4" t="s">
        <v>29072</v>
      </c>
      <c r="C1687" s="4"/>
      <c r="D1687" s="4"/>
      <c r="E1687" s="4"/>
      <c r="F1687" s="4" t="s">
        <v>29073</v>
      </c>
      <c r="G1687" s="4"/>
      <c r="H1687" s="4"/>
      <c r="I1687" s="4" t="s">
        <v>29074</v>
      </c>
      <c r="J1687" s="4" t="s">
        <v>7145</v>
      </c>
      <c r="K1687" s="4"/>
      <c r="L1687" s="4"/>
      <c r="M1687" s="4" t="s">
        <v>77</v>
      </c>
      <c r="N1687" s="4" t="s">
        <v>78</v>
      </c>
      <c r="O1687" s="4"/>
      <c r="P1687" s="4"/>
      <c r="Q1687" s="4"/>
      <c r="R1687" s="4"/>
      <c r="S1687" s="4"/>
      <c r="T1687" s="1" t="s">
        <v>29075</v>
      </c>
      <c r="U1687" s="4" t="s">
        <v>29076</v>
      </c>
      <c r="V1687" s="4" t="s">
        <v>29077</v>
      </c>
      <c r="W1687" s="4" t="s">
        <v>29078</v>
      </c>
      <c r="X1687" s="4" t="s">
        <v>29079</v>
      </c>
      <c r="Y1687" s="4" t="s">
        <v>29080</v>
      </c>
      <c r="Z1687" s="4" t="s">
        <v>27973</v>
      </c>
      <c r="AA1687" s="4"/>
      <c r="AB1687" s="4" t="s">
        <v>29081</v>
      </c>
      <c r="AC1687" s="4" t="s">
        <v>29082</v>
      </c>
      <c r="AD1687" s="4" t="s">
        <v>25038</v>
      </c>
      <c r="AE1687" s="4" t="s">
        <v>29083</v>
      </c>
      <c r="AF1687" s="4"/>
      <c r="AG1687" s="4" t="n">
        <v>39</v>
      </c>
      <c r="AH1687" s="4" t="n">
        <v>25</v>
      </c>
      <c r="AI1687" s="4" t="n">
        <v>31</v>
      </c>
      <c r="AJ1687" s="4" t="n">
        <v>1</v>
      </c>
      <c r="AK1687" s="4" t="n">
        <v>5</v>
      </c>
      <c r="AL1687" s="4" t="s">
        <v>3426</v>
      </c>
      <c r="AM1687" s="4" t="s">
        <v>303</v>
      </c>
      <c r="AN1687" s="4" t="s">
        <v>3427</v>
      </c>
      <c r="AO1687" s="4" t="s">
        <v>7158</v>
      </c>
      <c r="AP1687" s="4" t="s">
        <v>7159</v>
      </c>
      <c r="AQ1687" s="4"/>
      <c r="AR1687" s="4" t="s">
        <v>7160</v>
      </c>
      <c r="AS1687" s="4" t="s">
        <v>7161</v>
      </c>
      <c r="AT1687" s="4" t="s">
        <v>390</v>
      </c>
      <c r="AU1687" s="4" t="n">
        <v>2010</v>
      </c>
      <c r="AV1687" s="4" t="n">
        <v>91</v>
      </c>
      <c r="AW1687" s="4"/>
      <c r="AX1687" s="4" t="n">
        <v>5</v>
      </c>
      <c r="AY1687" s="4"/>
      <c r="AZ1687" s="4"/>
      <c r="BA1687" s="4"/>
      <c r="BB1687" s="4" t="n">
        <v>1302</v>
      </c>
      <c r="BC1687" s="4" t="n">
        <v>1310</v>
      </c>
      <c r="BD1687" s="4"/>
      <c r="BE1687" s="4" t="s">
        <v>29084</v>
      </c>
      <c r="BF1687" s="4" t="str">
        <f aca="false">HYPERLINK("http://dx.doi.org/10.1099/vir.0.015396-0","http://dx.doi.org/10.1099/vir.0.015396-0")</f>
        <v>http://dx.doi.org/10.1099/vir.0.015396-0</v>
      </c>
      <c r="BG1687" s="4"/>
      <c r="BH1687" s="4"/>
      <c r="BI1687" s="4" t="n">
        <v>9</v>
      </c>
      <c r="BJ1687" s="4" t="s">
        <v>7163</v>
      </c>
      <c r="BK1687" s="4" t="s">
        <v>100</v>
      </c>
      <c r="BL1687" s="4" t="s">
        <v>7163</v>
      </c>
      <c r="BM1687" s="4" t="s">
        <v>29085</v>
      </c>
      <c r="BN1687" s="4" t="n">
        <v>20053825</v>
      </c>
      <c r="BO1687" s="4" t="s">
        <v>656</v>
      </c>
      <c r="BP1687" s="4"/>
      <c r="BQ1687" s="4"/>
      <c r="BR1687" s="4" t="s">
        <v>104</v>
      </c>
      <c r="BS1687" s="4" t="s">
        <v>29086</v>
      </c>
      <c r="BT1687" s="4" t="str">
        <f aca="false">HYPERLINK("https%3A%2F%2Fwww.webofscience.com%2Fwos%2Fwoscc%2Ffull-record%2FWOS:000277761100025","View Full Record in Web of Science")</f>
        <v>View Full Record in Web of Science</v>
      </c>
    </row>
    <row r="1688" s="5" customFormat="true" ht="12.75" hidden="false" customHeight="false" outlineLevel="0" collapsed="false">
      <c r="A1688" s="4" t="s">
        <v>72</v>
      </c>
      <c r="B1688" s="4" t="s">
        <v>29087</v>
      </c>
      <c r="C1688" s="4"/>
      <c r="D1688" s="4"/>
      <c r="E1688" s="4"/>
      <c r="F1688" s="4" t="s">
        <v>29088</v>
      </c>
      <c r="G1688" s="4"/>
      <c r="H1688" s="4"/>
      <c r="I1688" s="4" t="s">
        <v>29089</v>
      </c>
      <c r="J1688" s="4" t="s">
        <v>27453</v>
      </c>
      <c r="K1688" s="4"/>
      <c r="L1688" s="4"/>
      <c r="M1688" s="4" t="s">
        <v>77</v>
      </c>
      <c r="N1688" s="4" t="s">
        <v>78</v>
      </c>
      <c r="O1688" s="4"/>
      <c r="P1688" s="4"/>
      <c r="Q1688" s="4"/>
      <c r="R1688" s="4"/>
      <c r="S1688" s="4"/>
      <c r="T1688" s="1" t="s">
        <v>29090</v>
      </c>
      <c r="U1688" s="4" t="s">
        <v>29091</v>
      </c>
      <c r="V1688" s="4" t="s">
        <v>29092</v>
      </c>
      <c r="W1688" s="4" t="s">
        <v>29093</v>
      </c>
      <c r="X1688" s="4" t="s">
        <v>14065</v>
      </c>
      <c r="Y1688" s="4" t="s">
        <v>29094</v>
      </c>
      <c r="Z1688" s="4" t="s">
        <v>29095</v>
      </c>
      <c r="AA1688" s="4" t="s">
        <v>29096</v>
      </c>
      <c r="AB1688" s="4"/>
      <c r="AC1688" s="4" t="s">
        <v>29097</v>
      </c>
      <c r="AD1688" s="4" t="s">
        <v>29098</v>
      </c>
      <c r="AE1688" s="4" t="s">
        <v>29099</v>
      </c>
      <c r="AF1688" s="4"/>
      <c r="AG1688" s="4" t="n">
        <v>13</v>
      </c>
      <c r="AH1688" s="4" t="n">
        <v>10</v>
      </c>
      <c r="AI1688" s="4" t="n">
        <v>11</v>
      </c>
      <c r="AJ1688" s="4" t="n">
        <v>0</v>
      </c>
      <c r="AK1688" s="4" t="n">
        <v>4</v>
      </c>
      <c r="AL1688" s="4" t="s">
        <v>27463</v>
      </c>
      <c r="AM1688" s="4" t="s">
        <v>16252</v>
      </c>
      <c r="AN1688" s="4" t="s">
        <v>27464</v>
      </c>
      <c r="AO1688" s="4" t="s">
        <v>27465</v>
      </c>
      <c r="AP1688" s="4" t="s">
        <v>27466</v>
      </c>
      <c r="AQ1688" s="4"/>
      <c r="AR1688" s="4" t="s">
        <v>27467</v>
      </c>
      <c r="AS1688" s="4" t="s">
        <v>27468</v>
      </c>
      <c r="AT1688" s="4" t="s">
        <v>390</v>
      </c>
      <c r="AU1688" s="4" t="n">
        <v>2013</v>
      </c>
      <c r="AV1688" s="4" t="n">
        <v>66</v>
      </c>
      <c r="AW1688" s="4" t="n">
        <v>3</v>
      </c>
      <c r="AX1688" s="4"/>
      <c r="AY1688" s="4"/>
      <c r="AZ1688" s="4"/>
      <c r="BA1688" s="4"/>
      <c r="BB1688" s="4" t="n">
        <v>195</v>
      </c>
      <c r="BC1688" s="4" t="n">
        <v>200</v>
      </c>
      <c r="BD1688" s="4"/>
      <c r="BE1688" s="4" t="s">
        <v>29100</v>
      </c>
      <c r="BF1688" s="4" t="str">
        <f aca="false">HYPERLINK("http://dx.doi.org/10.7883/yoken.66.195","http://dx.doi.org/10.7883/yoken.66.195")</f>
        <v>http://dx.doi.org/10.7883/yoken.66.195</v>
      </c>
      <c r="BG1688" s="4"/>
      <c r="BH1688" s="4"/>
      <c r="BI1688" s="4" t="n">
        <v>6</v>
      </c>
      <c r="BJ1688" s="4" t="s">
        <v>575</v>
      </c>
      <c r="BK1688" s="4" t="s">
        <v>100</v>
      </c>
      <c r="BL1688" s="4" t="s">
        <v>575</v>
      </c>
      <c r="BM1688" s="4" t="s">
        <v>29101</v>
      </c>
      <c r="BN1688" s="4" t="n">
        <v>23698479</v>
      </c>
      <c r="BO1688" s="4" t="s">
        <v>656</v>
      </c>
      <c r="BP1688" s="4"/>
      <c r="BQ1688" s="4"/>
      <c r="BR1688" s="4" t="s">
        <v>104</v>
      </c>
      <c r="BS1688" s="4" t="s">
        <v>29102</v>
      </c>
      <c r="BT1688" s="4" t="str">
        <f aca="false">HYPERLINK("https%3A%2F%2Fwww.webofscience.com%2Fwos%2Fwoscc%2Ffull-record%2FWOS:000320094900004","View Full Record in Web of Science")</f>
        <v>View Full Record in Web of Science</v>
      </c>
    </row>
    <row r="1689" s="5" customFormat="true" ht="12.75" hidden="false" customHeight="false" outlineLevel="0" collapsed="false">
      <c r="A1689" s="4" t="s">
        <v>72</v>
      </c>
      <c r="B1689" s="4" t="s">
        <v>29103</v>
      </c>
      <c r="C1689" s="4"/>
      <c r="D1689" s="4"/>
      <c r="E1689" s="4"/>
      <c r="F1689" s="4" t="s">
        <v>29103</v>
      </c>
      <c r="G1689" s="4"/>
      <c r="H1689" s="4"/>
      <c r="I1689" s="4" t="s">
        <v>29104</v>
      </c>
      <c r="J1689" s="4" t="s">
        <v>27548</v>
      </c>
      <c r="K1689" s="4"/>
      <c r="L1689" s="4"/>
      <c r="M1689" s="4" t="s">
        <v>77</v>
      </c>
      <c r="N1689" s="4" t="s">
        <v>78</v>
      </c>
      <c r="O1689" s="4"/>
      <c r="P1689" s="4"/>
      <c r="Q1689" s="4"/>
      <c r="R1689" s="4"/>
      <c r="S1689" s="4"/>
      <c r="T1689" s="1" t="s">
        <v>29105</v>
      </c>
      <c r="U1689" s="4" t="s">
        <v>29106</v>
      </c>
      <c r="V1689" s="4" t="s">
        <v>29107</v>
      </c>
      <c r="W1689" s="4" t="s">
        <v>29108</v>
      </c>
      <c r="X1689" s="4" t="s">
        <v>29109</v>
      </c>
      <c r="Y1689" s="4" t="s">
        <v>25388</v>
      </c>
      <c r="Z1689" s="4"/>
      <c r="AA1689" s="4" t="s">
        <v>29110</v>
      </c>
      <c r="AB1689" s="4" t="s">
        <v>26211</v>
      </c>
      <c r="AC1689" s="4"/>
      <c r="AD1689" s="4"/>
      <c r="AE1689" s="4"/>
      <c r="AF1689" s="4"/>
      <c r="AG1689" s="4" t="n">
        <v>19</v>
      </c>
      <c r="AH1689" s="4" t="n">
        <v>92</v>
      </c>
      <c r="AI1689" s="4" t="n">
        <v>106</v>
      </c>
      <c r="AJ1689" s="4" t="n">
        <v>1</v>
      </c>
      <c r="AK1689" s="4" t="n">
        <v>2</v>
      </c>
      <c r="AL1689" s="4" t="s">
        <v>27960</v>
      </c>
      <c r="AM1689" s="4" t="s">
        <v>27561</v>
      </c>
      <c r="AN1689" s="4" t="s">
        <v>27961</v>
      </c>
      <c r="AO1689" s="4" t="s">
        <v>27563</v>
      </c>
      <c r="AP1689" s="4"/>
      <c r="AQ1689" s="4"/>
      <c r="AR1689" s="4" t="s">
        <v>27565</v>
      </c>
      <c r="AS1689" s="4" t="s">
        <v>27566</v>
      </c>
      <c r="AT1689" s="4" t="s">
        <v>446</v>
      </c>
      <c r="AU1689" s="4" t="n">
        <v>2003</v>
      </c>
      <c r="AV1689" s="4" t="n">
        <v>9</v>
      </c>
      <c r="AW1689" s="4" t="n">
        <v>12</v>
      </c>
      <c r="AX1689" s="4"/>
      <c r="AY1689" s="4"/>
      <c r="AZ1689" s="4"/>
      <c r="BA1689" s="4"/>
      <c r="BB1689" s="4" t="n">
        <v>1626</v>
      </c>
      <c r="BC1689" s="4" t="n">
        <v>1628</v>
      </c>
      <c r="BD1689" s="4"/>
      <c r="BE1689" s="4" t="s">
        <v>29111</v>
      </c>
      <c r="BF1689" s="4" t="str">
        <f aca="false">HYPERLINK("http://dx.doi.org/10.3201/eid0912.030522","http://dx.doi.org/10.3201/eid0912.030522")</f>
        <v>http://dx.doi.org/10.3201/eid0912.030522</v>
      </c>
      <c r="BG1689" s="4"/>
      <c r="BH1689" s="4"/>
      <c r="BI1689" s="4" t="n">
        <v>3</v>
      </c>
      <c r="BJ1689" s="4" t="s">
        <v>965</v>
      </c>
      <c r="BK1689" s="4" t="s">
        <v>100</v>
      </c>
      <c r="BL1689" s="4" t="s">
        <v>965</v>
      </c>
      <c r="BM1689" s="4" t="s">
        <v>29112</v>
      </c>
      <c r="BN1689" s="4" t="n">
        <v>14720409</v>
      </c>
      <c r="BO1689" s="4" t="s">
        <v>29113</v>
      </c>
      <c r="BP1689" s="4"/>
      <c r="BQ1689" s="4"/>
      <c r="BR1689" s="4" t="s">
        <v>104</v>
      </c>
      <c r="BS1689" s="4" t="s">
        <v>29114</v>
      </c>
      <c r="BT1689" s="4" t="str">
        <f aca="false">HYPERLINK("https%3A%2F%2Fwww.webofscience.com%2Fwos%2Fwoscc%2Ffull-record%2FWOS:000187247600023","View Full Record in Web of Science")</f>
        <v>View Full Record in Web of Science</v>
      </c>
    </row>
    <row r="1690" s="5" customFormat="true" ht="12.75" hidden="false" customHeight="false" outlineLevel="0" collapsed="false">
      <c r="A1690" s="4" t="s">
        <v>72</v>
      </c>
      <c r="B1690" s="4" t="s">
        <v>29115</v>
      </c>
      <c r="C1690" s="4"/>
      <c r="D1690" s="4"/>
      <c r="E1690" s="4"/>
      <c r="F1690" s="4" t="s">
        <v>29115</v>
      </c>
      <c r="G1690" s="4"/>
      <c r="H1690" s="4"/>
      <c r="I1690" s="4" t="s">
        <v>29116</v>
      </c>
      <c r="J1690" s="4" t="s">
        <v>2222</v>
      </c>
      <c r="K1690" s="4"/>
      <c r="L1690" s="4"/>
      <c r="M1690" s="4" t="s">
        <v>77</v>
      </c>
      <c r="N1690" s="4" t="s">
        <v>78</v>
      </c>
      <c r="O1690" s="4"/>
      <c r="P1690" s="4"/>
      <c r="Q1690" s="4"/>
      <c r="R1690" s="4"/>
      <c r="S1690" s="4"/>
      <c r="T1690" s="1" t="s">
        <v>29117</v>
      </c>
      <c r="U1690" s="4" t="s">
        <v>29118</v>
      </c>
      <c r="V1690" s="4" t="s">
        <v>29119</v>
      </c>
      <c r="W1690" s="4" t="s">
        <v>29120</v>
      </c>
      <c r="X1690" s="4" t="s">
        <v>16414</v>
      </c>
      <c r="Y1690" s="4" t="s">
        <v>29121</v>
      </c>
      <c r="Z1690" s="4" t="s">
        <v>5566</v>
      </c>
      <c r="AA1690" s="4" t="s">
        <v>29122</v>
      </c>
      <c r="AB1690" s="4" t="s">
        <v>29123</v>
      </c>
      <c r="AC1690" s="4"/>
      <c r="AD1690" s="4"/>
      <c r="AE1690" s="4"/>
      <c r="AF1690" s="4"/>
      <c r="AG1690" s="4" t="n">
        <v>13</v>
      </c>
      <c r="AH1690" s="4" t="n">
        <v>54</v>
      </c>
      <c r="AI1690" s="4" t="n">
        <v>61</v>
      </c>
      <c r="AJ1690" s="4" t="n">
        <v>0</v>
      </c>
      <c r="AK1690" s="4" t="n">
        <v>2</v>
      </c>
      <c r="AL1690" s="4" t="s">
        <v>755</v>
      </c>
      <c r="AM1690" s="4" t="s">
        <v>273</v>
      </c>
      <c r="AN1690" s="4" t="s">
        <v>756</v>
      </c>
      <c r="AO1690" s="4" t="s">
        <v>2234</v>
      </c>
      <c r="AP1690" s="4" t="s">
        <v>2235</v>
      </c>
      <c r="AQ1690" s="4"/>
      <c r="AR1690" s="4" t="s">
        <v>2236</v>
      </c>
      <c r="AS1690" s="4" t="s">
        <v>2237</v>
      </c>
      <c r="AT1690" s="4" t="s">
        <v>599</v>
      </c>
      <c r="AU1690" s="4" t="n">
        <v>2005</v>
      </c>
      <c r="AV1690" s="4" t="n">
        <v>43</v>
      </c>
      <c r="AW1690" s="4" t="n">
        <v>7</v>
      </c>
      <c r="AX1690" s="4"/>
      <c r="AY1690" s="4"/>
      <c r="AZ1690" s="4"/>
      <c r="BA1690" s="4"/>
      <c r="BB1690" s="4" t="n">
        <v>3443</v>
      </c>
      <c r="BC1690" s="4" t="n">
        <v>3446</v>
      </c>
      <c r="BD1690" s="4"/>
      <c r="BE1690" s="4" t="s">
        <v>29124</v>
      </c>
      <c r="BF1690" s="4" t="str">
        <f aca="false">HYPERLINK("http://dx.doi.org/10.1128/JCM.43.7.3443-3446.2005","http://dx.doi.org/10.1128/JCM.43.7.3443-3446.2005")</f>
        <v>http://dx.doi.org/10.1128/JCM.43.7.3443-3446.2005</v>
      </c>
      <c r="BG1690" s="4"/>
      <c r="BH1690" s="4"/>
      <c r="BI1690" s="4" t="n">
        <v>4</v>
      </c>
      <c r="BJ1690" s="4" t="s">
        <v>211</v>
      </c>
      <c r="BK1690" s="4" t="s">
        <v>100</v>
      </c>
      <c r="BL1690" s="4" t="s">
        <v>211</v>
      </c>
      <c r="BM1690" s="4" t="s">
        <v>29125</v>
      </c>
      <c r="BN1690" s="4" t="n">
        <v>16000473</v>
      </c>
      <c r="BO1690" s="4" t="s">
        <v>165</v>
      </c>
      <c r="BP1690" s="4"/>
      <c r="BQ1690" s="4"/>
      <c r="BR1690" s="4" t="s">
        <v>104</v>
      </c>
      <c r="BS1690" s="4" t="s">
        <v>29126</v>
      </c>
      <c r="BT1690" s="4" t="str">
        <f aca="false">HYPERLINK("https%3A%2F%2Fwww.webofscience.com%2Fwos%2Fwoscc%2Ffull-record%2FWOS:000230614900064","View Full Record in Web of Science")</f>
        <v>View Full Record in Web of Science</v>
      </c>
    </row>
    <row r="1691" s="5" customFormat="true" ht="12.75" hidden="false" customHeight="false" outlineLevel="0" collapsed="false">
      <c r="A1691" s="4" t="s">
        <v>72</v>
      </c>
      <c r="B1691" s="4" t="s">
        <v>29127</v>
      </c>
      <c r="C1691" s="4"/>
      <c r="D1691" s="4"/>
      <c r="E1691" s="4"/>
      <c r="F1691" s="4" t="s">
        <v>29128</v>
      </c>
      <c r="G1691" s="4"/>
      <c r="H1691" s="4"/>
      <c r="I1691" s="4" t="s">
        <v>29129</v>
      </c>
      <c r="J1691" s="4" t="s">
        <v>27548</v>
      </c>
      <c r="K1691" s="4"/>
      <c r="L1691" s="4"/>
      <c r="M1691" s="4" t="s">
        <v>77</v>
      </c>
      <c r="N1691" s="4" t="s">
        <v>78</v>
      </c>
      <c r="O1691" s="4"/>
      <c r="P1691" s="4"/>
      <c r="Q1691" s="4"/>
      <c r="R1691" s="4"/>
      <c r="S1691" s="4"/>
      <c r="T1691" s="1" t="s">
        <v>29130</v>
      </c>
      <c r="U1691" s="4" t="s">
        <v>29131</v>
      </c>
      <c r="V1691" s="4" t="s">
        <v>29132</v>
      </c>
      <c r="W1691" s="4" t="s">
        <v>29133</v>
      </c>
      <c r="X1691" s="4" t="s">
        <v>23493</v>
      </c>
      <c r="Y1691" s="4" t="s">
        <v>29134</v>
      </c>
      <c r="Z1691" s="4" t="s">
        <v>12639</v>
      </c>
      <c r="AA1691" s="4" t="s">
        <v>29135</v>
      </c>
      <c r="AB1691" s="4" t="s">
        <v>29136</v>
      </c>
      <c r="AC1691" s="4"/>
      <c r="AD1691" s="4"/>
      <c r="AE1691" s="4"/>
      <c r="AF1691" s="4"/>
      <c r="AG1691" s="4" t="n">
        <v>15</v>
      </c>
      <c r="AH1691" s="4" t="n">
        <v>29</v>
      </c>
      <c r="AI1691" s="4" t="n">
        <v>31</v>
      </c>
      <c r="AJ1691" s="4" t="n">
        <v>0</v>
      </c>
      <c r="AK1691" s="4" t="n">
        <v>1</v>
      </c>
      <c r="AL1691" s="4" t="s">
        <v>27560</v>
      </c>
      <c r="AM1691" s="4" t="s">
        <v>27561</v>
      </c>
      <c r="AN1691" s="4" t="s">
        <v>27562</v>
      </c>
      <c r="AO1691" s="4" t="s">
        <v>27563</v>
      </c>
      <c r="AP1691" s="4" t="s">
        <v>27564</v>
      </c>
      <c r="AQ1691" s="4"/>
      <c r="AR1691" s="4" t="s">
        <v>27565</v>
      </c>
      <c r="AS1691" s="4" t="s">
        <v>27566</v>
      </c>
      <c r="AT1691" s="4" t="s">
        <v>129</v>
      </c>
      <c r="AU1691" s="4" t="n">
        <v>2007</v>
      </c>
      <c r="AV1691" s="4" t="n">
        <v>13</v>
      </c>
      <c r="AW1691" s="4" t="n">
        <v>9</v>
      </c>
      <c r="AX1691" s="4"/>
      <c r="AY1691" s="4"/>
      <c r="AZ1691" s="4"/>
      <c r="BA1691" s="4"/>
      <c r="BB1691" s="4" t="n">
        <v>1396</v>
      </c>
      <c r="BC1691" s="4" t="n">
        <v>1398</v>
      </c>
      <c r="BD1691" s="4"/>
      <c r="BE1691" s="4" t="s">
        <v>29137</v>
      </c>
      <c r="BF1691" s="4" t="str">
        <f aca="false">HYPERLINK("http://dx.doi.org/10.3201/eid1309.070220","http://dx.doi.org/10.3201/eid1309.070220")</f>
        <v>http://dx.doi.org/10.3201/eid1309.070220</v>
      </c>
      <c r="BG1691" s="4"/>
      <c r="BH1691" s="4"/>
      <c r="BI1691" s="4" t="n">
        <v>3</v>
      </c>
      <c r="BJ1691" s="4" t="s">
        <v>965</v>
      </c>
      <c r="BK1691" s="4" t="s">
        <v>100</v>
      </c>
      <c r="BL1691" s="4" t="s">
        <v>965</v>
      </c>
      <c r="BM1691" s="4" t="s">
        <v>29138</v>
      </c>
      <c r="BN1691" s="4" t="n">
        <v>18252120</v>
      </c>
      <c r="BO1691" s="4" t="s">
        <v>2582</v>
      </c>
      <c r="BP1691" s="4"/>
      <c r="BQ1691" s="4"/>
      <c r="BR1691" s="4" t="s">
        <v>104</v>
      </c>
      <c r="BS1691" s="4" t="s">
        <v>29139</v>
      </c>
      <c r="BT1691" s="4" t="str">
        <f aca="false">HYPERLINK("https%3A%2F%2Fwww.webofscience.com%2Fwos%2Fwoscc%2Ffull-record%2FWOS:000249148500025","View Full Record in Web of Science")</f>
        <v>View Full Record in Web of Science</v>
      </c>
    </row>
    <row r="1692" s="5" customFormat="true" ht="12.75" hidden="false" customHeight="false" outlineLevel="0" collapsed="false">
      <c r="A1692" s="4" t="s">
        <v>72</v>
      </c>
      <c r="B1692" s="4" t="s">
        <v>29140</v>
      </c>
      <c r="C1692" s="4"/>
      <c r="D1692" s="4"/>
      <c r="E1692" s="4"/>
      <c r="F1692" s="4" t="s">
        <v>29140</v>
      </c>
      <c r="G1692" s="4"/>
      <c r="H1692" s="4"/>
      <c r="I1692" s="4" t="s">
        <v>29141</v>
      </c>
      <c r="J1692" s="4" t="s">
        <v>2222</v>
      </c>
      <c r="K1692" s="4"/>
      <c r="L1692" s="4"/>
      <c r="M1692" s="4" t="s">
        <v>77</v>
      </c>
      <c r="N1692" s="4" t="s">
        <v>78</v>
      </c>
      <c r="O1692" s="4"/>
      <c r="P1692" s="4"/>
      <c r="Q1692" s="4"/>
      <c r="R1692" s="4"/>
      <c r="S1692" s="4"/>
      <c r="T1692" s="1" t="s">
        <v>29142</v>
      </c>
      <c r="U1692" s="4" t="s">
        <v>29143</v>
      </c>
      <c r="V1692" s="4" t="s">
        <v>29144</v>
      </c>
      <c r="W1692" s="4" t="s">
        <v>29145</v>
      </c>
      <c r="X1692" s="4" t="s">
        <v>29146</v>
      </c>
      <c r="Y1692" s="4" t="s">
        <v>29147</v>
      </c>
      <c r="Z1692" s="4" t="s">
        <v>12355</v>
      </c>
      <c r="AA1692" s="4" t="s">
        <v>29148</v>
      </c>
      <c r="AB1692" s="4" t="s">
        <v>29149</v>
      </c>
      <c r="AC1692" s="4"/>
      <c r="AD1692" s="4"/>
      <c r="AE1692" s="4"/>
      <c r="AF1692" s="4"/>
      <c r="AG1692" s="4" t="n">
        <v>14</v>
      </c>
      <c r="AH1692" s="4" t="n">
        <v>41</v>
      </c>
      <c r="AI1692" s="4" t="n">
        <v>48</v>
      </c>
      <c r="AJ1692" s="4" t="n">
        <v>0</v>
      </c>
      <c r="AK1692" s="4" t="n">
        <v>0</v>
      </c>
      <c r="AL1692" s="4" t="s">
        <v>755</v>
      </c>
      <c r="AM1692" s="4" t="s">
        <v>273</v>
      </c>
      <c r="AN1692" s="4" t="s">
        <v>756</v>
      </c>
      <c r="AO1692" s="4" t="s">
        <v>2234</v>
      </c>
      <c r="AP1692" s="4" t="s">
        <v>2235</v>
      </c>
      <c r="AQ1692" s="4"/>
      <c r="AR1692" s="4" t="s">
        <v>2236</v>
      </c>
      <c r="AS1692" s="4" t="s">
        <v>2237</v>
      </c>
      <c r="AT1692" s="4" t="s">
        <v>161</v>
      </c>
      <c r="AU1692" s="4" t="n">
        <v>2005</v>
      </c>
      <c r="AV1692" s="4" t="n">
        <v>43</v>
      </c>
      <c r="AW1692" s="4" t="n">
        <v>1</v>
      </c>
      <c r="AX1692" s="4"/>
      <c r="AY1692" s="4"/>
      <c r="AZ1692" s="4"/>
      <c r="BA1692" s="4"/>
      <c r="BB1692" s="4" t="n">
        <v>488</v>
      </c>
      <c r="BC1692" s="4" t="n">
        <v>490</v>
      </c>
      <c r="BD1692" s="4"/>
      <c r="BE1692" s="4" t="s">
        <v>29150</v>
      </c>
      <c r="BF1692" s="4" t="str">
        <f aca="false">HYPERLINK("http://dx.doi.org/10.1128/JCM.43.1.488-490.2005","http://dx.doi.org/10.1128/JCM.43.1.488-490.2005")</f>
        <v>http://dx.doi.org/10.1128/JCM.43.1.488-490.2005</v>
      </c>
      <c r="BG1692" s="4"/>
      <c r="BH1692" s="4"/>
      <c r="BI1692" s="4" t="n">
        <v>3</v>
      </c>
      <c r="BJ1692" s="4" t="s">
        <v>211</v>
      </c>
      <c r="BK1692" s="4" t="s">
        <v>100</v>
      </c>
      <c r="BL1692" s="4" t="s">
        <v>211</v>
      </c>
      <c r="BM1692" s="4" t="s">
        <v>29151</v>
      </c>
      <c r="BN1692" s="4" t="n">
        <v>15635023</v>
      </c>
      <c r="BO1692" s="4" t="s">
        <v>538</v>
      </c>
      <c r="BP1692" s="4"/>
      <c r="BQ1692" s="4"/>
      <c r="BR1692" s="4" t="s">
        <v>104</v>
      </c>
      <c r="BS1692" s="4" t="s">
        <v>29152</v>
      </c>
      <c r="BT1692" s="4" t="str">
        <f aca="false">HYPERLINK("https%3A%2F%2Fwww.webofscience.com%2Fwos%2Fwoscc%2Ffull-record%2FWOS:000226380400079","View Full Record in Web of Science")</f>
        <v>View Full Record in Web of Science</v>
      </c>
    </row>
    <row r="1693" s="5" customFormat="true" ht="12.75" hidden="false" customHeight="false" outlineLevel="0" collapsed="false">
      <c r="A1693" s="4" t="s">
        <v>72</v>
      </c>
      <c r="B1693" s="4" t="s">
        <v>29153</v>
      </c>
      <c r="C1693" s="4"/>
      <c r="D1693" s="4"/>
      <c r="E1693" s="4"/>
      <c r="F1693" s="4" t="s">
        <v>29154</v>
      </c>
      <c r="G1693" s="4"/>
      <c r="H1693" s="4"/>
      <c r="I1693" s="4" t="s">
        <v>29155</v>
      </c>
      <c r="J1693" s="4" t="s">
        <v>28190</v>
      </c>
      <c r="K1693" s="4"/>
      <c r="L1693" s="4"/>
      <c r="M1693" s="4" t="s">
        <v>77</v>
      </c>
      <c r="N1693" s="4" t="s">
        <v>78</v>
      </c>
      <c r="O1693" s="4"/>
      <c r="P1693" s="4"/>
      <c r="Q1693" s="4"/>
      <c r="R1693" s="4"/>
      <c r="S1693" s="4"/>
      <c r="T1693" s="1" t="s">
        <v>29156</v>
      </c>
      <c r="U1693" s="4" t="s">
        <v>29157</v>
      </c>
      <c r="V1693" s="4" t="s">
        <v>29158</v>
      </c>
      <c r="W1693" s="4" t="s">
        <v>29159</v>
      </c>
      <c r="X1693" s="4" t="s">
        <v>29160</v>
      </c>
      <c r="Y1693" s="4" t="s">
        <v>29161</v>
      </c>
      <c r="Z1693" s="4" t="s">
        <v>29162</v>
      </c>
      <c r="AA1693" s="4" t="s">
        <v>29163</v>
      </c>
      <c r="AB1693" s="4" t="s">
        <v>29164</v>
      </c>
      <c r="AC1693" s="4" t="s">
        <v>29165</v>
      </c>
      <c r="AD1693" s="4" t="s">
        <v>29166</v>
      </c>
      <c r="AE1693" s="4" t="s">
        <v>29167</v>
      </c>
      <c r="AF1693" s="4"/>
      <c r="AG1693" s="4" t="n">
        <v>44</v>
      </c>
      <c r="AH1693" s="4" t="n">
        <v>22</v>
      </c>
      <c r="AI1693" s="4" t="n">
        <v>28</v>
      </c>
      <c r="AJ1693" s="4" t="n">
        <v>0</v>
      </c>
      <c r="AK1693" s="4" t="n">
        <v>11</v>
      </c>
      <c r="AL1693" s="4" t="s">
        <v>1460</v>
      </c>
      <c r="AM1693" s="4" t="s">
        <v>593</v>
      </c>
      <c r="AN1693" s="4" t="s">
        <v>1461</v>
      </c>
      <c r="AO1693" s="4" t="s">
        <v>28197</v>
      </c>
      <c r="AP1693" s="4" t="s">
        <v>28198</v>
      </c>
      <c r="AQ1693" s="4"/>
      <c r="AR1693" s="4" t="s">
        <v>28199</v>
      </c>
      <c r="AS1693" s="4" t="s">
        <v>28200</v>
      </c>
      <c r="AT1693" s="4" t="s">
        <v>486</v>
      </c>
      <c r="AU1693" s="4" t="n">
        <v>2014</v>
      </c>
      <c r="AV1693" s="4" t="n">
        <v>184</v>
      </c>
      <c r="AW1693" s="4" t="n">
        <v>6</v>
      </c>
      <c r="AX1693" s="4"/>
      <c r="AY1693" s="4"/>
      <c r="AZ1693" s="4"/>
      <c r="BA1693" s="4"/>
      <c r="BB1693" s="4" t="n">
        <v>1795</v>
      </c>
      <c r="BC1693" s="4" t="n">
        <v>1806</v>
      </c>
      <c r="BD1693" s="4"/>
      <c r="BE1693" s="4" t="s">
        <v>29168</v>
      </c>
      <c r="BF1693" s="4" t="str">
        <f aca="false">HYPERLINK("http://dx.doi.org/10.1016/j.ajpath.2014.02.026","http://dx.doi.org/10.1016/j.ajpath.2014.02.026")</f>
        <v>http://dx.doi.org/10.1016/j.ajpath.2014.02.026</v>
      </c>
      <c r="BG1693" s="4"/>
      <c r="BH1693" s="4"/>
      <c r="BI1693" s="4" t="n">
        <v>12</v>
      </c>
      <c r="BJ1693" s="4" t="s">
        <v>6585</v>
      </c>
      <c r="BK1693" s="4" t="s">
        <v>100</v>
      </c>
      <c r="BL1693" s="4" t="s">
        <v>6585</v>
      </c>
      <c r="BM1693" s="4" t="s">
        <v>29169</v>
      </c>
      <c r="BN1693" s="4" t="n">
        <v>24726644</v>
      </c>
      <c r="BO1693" s="4" t="s">
        <v>656</v>
      </c>
      <c r="BP1693" s="4"/>
      <c r="BQ1693" s="4"/>
      <c r="BR1693" s="4" t="s">
        <v>104</v>
      </c>
      <c r="BS1693" s="4" t="s">
        <v>29170</v>
      </c>
      <c r="BT1693" s="4" t="str">
        <f aca="false">HYPERLINK("https%3A%2F%2Fwww.webofscience.com%2Fwos%2Fwoscc%2Ffull-record%2FWOS:000336948700017","View Full Record in Web of Science")</f>
        <v>View Full Record in Web of Science</v>
      </c>
    </row>
    <row r="1694" s="5" customFormat="true" ht="12.75" hidden="false" customHeight="false" outlineLevel="0" collapsed="false">
      <c r="A1694" s="4" t="s">
        <v>72</v>
      </c>
      <c r="B1694" s="4" t="s">
        <v>29171</v>
      </c>
      <c r="C1694" s="4"/>
      <c r="D1694" s="4"/>
      <c r="E1694" s="4"/>
      <c r="F1694" s="4" t="s">
        <v>29171</v>
      </c>
      <c r="G1694" s="4"/>
      <c r="H1694" s="4"/>
      <c r="I1694" s="4" t="s">
        <v>29172</v>
      </c>
      <c r="J1694" s="4" t="s">
        <v>27548</v>
      </c>
      <c r="K1694" s="4"/>
      <c r="L1694" s="4"/>
      <c r="M1694" s="4" t="s">
        <v>77</v>
      </c>
      <c r="N1694" s="4" t="s">
        <v>78</v>
      </c>
      <c r="O1694" s="4"/>
      <c r="P1694" s="4"/>
      <c r="Q1694" s="4"/>
      <c r="R1694" s="4"/>
      <c r="S1694" s="4"/>
      <c r="T1694" s="1" t="s">
        <v>29173</v>
      </c>
      <c r="U1694" s="4" t="s">
        <v>29174</v>
      </c>
      <c r="V1694" s="4" t="s">
        <v>29175</v>
      </c>
      <c r="W1694" s="4" t="s">
        <v>29176</v>
      </c>
      <c r="X1694" s="4" t="s">
        <v>12353</v>
      </c>
      <c r="Y1694" s="4" t="s">
        <v>29177</v>
      </c>
      <c r="Z1694" s="4" t="s">
        <v>29178</v>
      </c>
      <c r="AA1694" s="4"/>
      <c r="AB1694" s="4" t="s">
        <v>2414</v>
      </c>
      <c r="AC1694" s="4"/>
      <c r="AD1694" s="4"/>
      <c r="AE1694" s="4"/>
      <c r="AF1694" s="4"/>
      <c r="AG1694" s="4" t="n">
        <v>12</v>
      </c>
      <c r="AH1694" s="4" t="n">
        <v>178</v>
      </c>
      <c r="AI1694" s="4" t="n">
        <v>200</v>
      </c>
      <c r="AJ1694" s="4" t="n">
        <v>0</v>
      </c>
      <c r="AK1694" s="4" t="n">
        <v>3</v>
      </c>
      <c r="AL1694" s="4" t="s">
        <v>27851</v>
      </c>
      <c r="AM1694" s="4" t="s">
        <v>27561</v>
      </c>
      <c r="AN1694" s="4" t="s">
        <v>27562</v>
      </c>
      <c r="AO1694" s="4" t="s">
        <v>27563</v>
      </c>
      <c r="AP1694" s="4" t="s">
        <v>27564</v>
      </c>
      <c r="AQ1694" s="4"/>
      <c r="AR1694" s="4" t="s">
        <v>27565</v>
      </c>
      <c r="AS1694" s="4" t="s">
        <v>27566</v>
      </c>
      <c r="AT1694" s="4" t="s">
        <v>129</v>
      </c>
      <c r="AU1694" s="4" t="n">
        <v>2002</v>
      </c>
      <c r="AV1694" s="4" t="n">
        <v>8</v>
      </c>
      <c r="AW1694" s="4" t="n">
        <v>9</v>
      </c>
      <c r="AX1694" s="4"/>
      <c r="AY1694" s="4"/>
      <c r="AZ1694" s="4"/>
      <c r="BA1694" s="4"/>
      <c r="BB1694" s="4" t="n">
        <v>976</v>
      </c>
      <c r="BC1694" s="4" t="n">
        <v>978</v>
      </c>
      <c r="BD1694" s="4"/>
      <c r="BE1694" s="4" t="s">
        <v>29179</v>
      </c>
      <c r="BF1694" s="4" t="str">
        <f aca="false">HYPERLINK("http://dx.doi.org/10.3201/eid0809.020238","http://dx.doi.org/10.3201/eid0809.020238")</f>
        <v>http://dx.doi.org/10.3201/eid0809.020238</v>
      </c>
      <c r="BG1694" s="4"/>
      <c r="BH1694" s="4"/>
      <c r="BI1694" s="4" t="n">
        <v>3</v>
      </c>
      <c r="BJ1694" s="4" t="s">
        <v>965</v>
      </c>
      <c r="BK1694" s="4" t="s">
        <v>100</v>
      </c>
      <c r="BL1694" s="4" t="s">
        <v>965</v>
      </c>
      <c r="BM1694" s="4" t="s">
        <v>28337</v>
      </c>
      <c r="BN1694" s="4" t="n">
        <v>12194777</v>
      </c>
      <c r="BO1694" s="4" t="s">
        <v>103</v>
      </c>
      <c r="BP1694" s="4"/>
      <c r="BQ1694" s="4"/>
      <c r="BR1694" s="4" t="s">
        <v>104</v>
      </c>
      <c r="BS1694" s="4" t="s">
        <v>29180</v>
      </c>
      <c r="BT1694" s="4" t="str">
        <f aca="false">HYPERLINK("https%3A%2F%2Fwww.webofscience.com%2Fwos%2Fwoscc%2Ffull-record%2FWOS:000177728700017","View Full Record in Web of Science")</f>
        <v>View Full Record in Web of Science</v>
      </c>
    </row>
    <row r="1695" s="5" customFormat="true" ht="12.75" hidden="false" customHeight="false" outlineLevel="0" collapsed="false">
      <c r="A1695" s="4" t="s">
        <v>72</v>
      </c>
      <c r="B1695" s="4" t="s">
        <v>29181</v>
      </c>
      <c r="C1695" s="4"/>
      <c r="D1695" s="4"/>
      <c r="E1695" s="4"/>
      <c r="F1695" s="4" t="s">
        <v>29182</v>
      </c>
      <c r="G1695" s="4"/>
      <c r="H1695" s="4"/>
      <c r="I1695" s="4" t="s">
        <v>29183</v>
      </c>
      <c r="J1695" s="4" t="s">
        <v>29184</v>
      </c>
      <c r="K1695" s="4"/>
      <c r="L1695" s="4"/>
      <c r="M1695" s="4" t="s">
        <v>77</v>
      </c>
      <c r="N1695" s="4" t="s">
        <v>78</v>
      </c>
      <c r="O1695" s="4"/>
      <c r="P1695" s="4"/>
      <c r="Q1695" s="4"/>
      <c r="R1695" s="4"/>
      <c r="S1695" s="4"/>
      <c r="T1695" s="1" t="s">
        <v>29185</v>
      </c>
      <c r="U1695" s="4" t="s">
        <v>29186</v>
      </c>
      <c r="V1695" s="4" t="s">
        <v>29187</v>
      </c>
      <c r="W1695" s="4" t="s">
        <v>29188</v>
      </c>
      <c r="X1695" s="4" t="s">
        <v>29189</v>
      </c>
      <c r="Y1695" s="4" t="s">
        <v>29190</v>
      </c>
      <c r="Z1695" s="4" t="s">
        <v>29191</v>
      </c>
      <c r="AA1695" s="4" t="s">
        <v>29192</v>
      </c>
      <c r="AB1695" s="4" t="s">
        <v>29193</v>
      </c>
      <c r="AC1695" s="4" t="s">
        <v>29194</v>
      </c>
      <c r="AD1695" s="4" t="s">
        <v>29195</v>
      </c>
      <c r="AE1695" s="4" t="s">
        <v>29196</v>
      </c>
      <c r="AF1695" s="4"/>
      <c r="AG1695" s="4" t="n">
        <v>35</v>
      </c>
      <c r="AH1695" s="4" t="n">
        <v>205</v>
      </c>
      <c r="AI1695" s="4" t="n">
        <v>264</v>
      </c>
      <c r="AJ1695" s="4" t="n">
        <v>1</v>
      </c>
      <c r="AK1695" s="4" t="n">
        <v>49</v>
      </c>
      <c r="AL1695" s="4" t="s">
        <v>29197</v>
      </c>
      <c r="AM1695" s="4" t="s">
        <v>6406</v>
      </c>
      <c r="AN1695" s="4" t="s">
        <v>6407</v>
      </c>
      <c r="AO1695" s="4" t="s">
        <v>29198</v>
      </c>
      <c r="AP1695" s="4" t="s">
        <v>29199</v>
      </c>
      <c r="AQ1695" s="4"/>
      <c r="AR1695" s="4" t="s">
        <v>29184</v>
      </c>
      <c r="AS1695" s="4" t="s">
        <v>29200</v>
      </c>
      <c r="AT1695" s="4" t="s">
        <v>28351</v>
      </c>
      <c r="AU1695" s="4" t="n">
        <v>2013</v>
      </c>
      <c r="AV1695" s="4" t="n">
        <v>501</v>
      </c>
      <c r="AW1695" s="4" t="n">
        <v>7467</v>
      </c>
      <c r="AX1695" s="4"/>
      <c r="AY1695" s="4"/>
      <c r="AZ1695" s="4"/>
      <c r="BA1695" s="4"/>
      <c r="BB1695" s="4" t="n">
        <v>439</v>
      </c>
      <c r="BC1695" s="4" t="s">
        <v>986</v>
      </c>
      <c r="BD1695" s="4"/>
      <c r="BE1695" s="4" t="s">
        <v>29201</v>
      </c>
      <c r="BF1695" s="4" t="str">
        <f aca="false">HYPERLINK("http://dx.doi.org/10.1038/nature12442","http://dx.doi.org/10.1038/nature12442")</f>
        <v>http://dx.doi.org/10.1038/nature12442</v>
      </c>
      <c r="BG1695" s="4"/>
      <c r="BH1695" s="4"/>
      <c r="BI1695" s="4" t="n">
        <v>7</v>
      </c>
      <c r="BJ1695" s="4" t="s">
        <v>1658</v>
      </c>
      <c r="BK1695" s="4" t="s">
        <v>100</v>
      </c>
      <c r="BL1695" s="4" t="s">
        <v>1659</v>
      </c>
      <c r="BM1695" s="4" t="s">
        <v>29202</v>
      </c>
      <c r="BN1695" s="4" t="n">
        <v>23955151</v>
      </c>
      <c r="BO1695" s="4"/>
      <c r="BP1695" s="4"/>
      <c r="BQ1695" s="4"/>
      <c r="BR1695" s="4" t="s">
        <v>104</v>
      </c>
      <c r="BS1695" s="4" t="s">
        <v>29203</v>
      </c>
      <c r="BT1695" s="4" t="str">
        <f aca="false">HYPERLINK("https%3A%2F%2Fwww.webofscience.com%2Fwos%2Fwoscc%2Ffull-record%2FWOS:000324545700050","View Full Record in Web of Science")</f>
        <v>View Full Record in Web of Science</v>
      </c>
    </row>
    <row r="1696" s="5" customFormat="true" ht="12.75" hidden="false" customHeight="false" outlineLevel="0" collapsed="false">
      <c r="A1696" s="4" t="s">
        <v>72</v>
      </c>
      <c r="B1696" s="4" t="s">
        <v>29204</v>
      </c>
      <c r="C1696" s="4"/>
      <c r="D1696" s="4"/>
      <c r="E1696" s="4"/>
      <c r="F1696" s="4" t="s">
        <v>29205</v>
      </c>
      <c r="G1696" s="4"/>
      <c r="H1696" s="4"/>
      <c r="I1696" s="4" t="s">
        <v>29206</v>
      </c>
      <c r="J1696" s="4" t="s">
        <v>493</v>
      </c>
      <c r="K1696" s="4"/>
      <c r="L1696" s="4"/>
      <c r="M1696" s="4" t="s">
        <v>77</v>
      </c>
      <c r="N1696" s="4" t="s">
        <v>78</v>
      </c>
      <c r="O1696" s="4"/>
      <c r="P1696" s="4"/>
      <c r="Q1696" s="4"/>
      <c r="R1696" s="4"/>
      <c r="S1696" s="4"/>
      <c r="T1696" s="1" t="s">
        <v>29207</v>
      </c>
      <c r="U1696" s="4" t="s">
        <v>29208</v>
      </c>
      <c r="V1696" s="4"/>
      <c r="W1696" s="4" t="s">
        <v>29209</v>
      </c>
      <c r="X1696" s="4" t="s">
        <v>29210</v>
      </c>
      <c r="Y1696" s="4" t="s">
        <v>29211</v>
      </c>
      <c r="Z1696" s="4" t="s">
        <v>29212</v>
      </c>
      <c r="AA1696" s="4" t="s">
        <v>4709</v>
      </c>
      <c r="AB1696" s="4" t="s">
        <v>16218</v>
      </c>
      <c r="AC1696" s="4"/>
      <c r="AD1696" s="4"/>
      <c r="AE1696" s="4"/>
      <c r="AF1696" s="4"/>
      <c r="AG1696" s="4" t="n">
        <v>6</v>
      </c>
      <c r="AH1696" s="4" t="n">
        <v>1</v>
      </c>
      <c r="AI1696" s="4" t="n">
        <v>2</v>
      </c>
      <c r="AJ1696" s="4" t="n">
        <v>0</v>
      </c>
      <c r="AK1696" s="4" t="n">
        <v>1</v>
      </c>
      <c r="AL1696" s="4" t="s">
        <v>6201</v>
      </c>
      <c r="AM1696" s="4" t="s">
        <v>92</v>
      </c>
      <c r="AN1696" s="4" t="s">
        <v>29213</v>
      </c>
      <c r="AO1696" s="4" t="s">
        <v>506</v>
      </c>
      <c r="AP1696" s="4"/>
      <c r="AQ1696" s="4"/>
      <c r="AR1696" s="4" t="s">
        <v>493</v>
      </c>
      <c r="AS1696" s="4" t="s">
        <v>507</v>
      </c>
      <c r="AT1696" s="4" t="s">
        <v>336</v>
      </c>
      <c r="AU1696" s="4" t="n">
        <v>2013</v>
      </c>
      <c r="AV1696" s="4" t="n">
        <v>5</v>
      </c>
      <c r="AW1696" s="4" t="n">
        <v>10</v>
      </c>
      <c r="AX1696" s="4"/>
      <c r="AY1696" s="4"/>
      <c r="AZ1696" s="4"/>
      <c r="BA1696" s="4"/>
      <c r="BB1696" s="4" t="n">
        <v>2546</v>
      </c>
      <c r="BC1696" s="4" t="n">
        <v>2547</v>
      </c>
      <c r="BD1696" s="4"/>
      <c r="BE1696" s="4" t="s">
        <v>29214</v>
      </c>
      <c r="BF1696" s="4" t="str">
        <f aca="false">HYPERLINK("http://dx.doi.org/10.3390/v5102546","http://dx.doi.org/10.3390/v5102546")</f>
        <v>http://dx.doi.org/10.3390/v5102546</v>
      </c>
      <c r="BG1696" s="4"/>
      <c r="BH1696" s="4"/>
      <c r="BI1696" s="4" t="n">
        <v>2</v>
      </c>
      <c r="BJ1696" s="4" t="s">
        <v>163</v>
      </c>
      <c r="BK1696" s="4" t="s">
        <v>100</v>
      </c>
      <c r="BL1696" s="4" t="s">
        <v>163</v>
      </c>
      <c r="BM1696" s="4" t="s">
        <v>29215</v>
      </c>
      <c r="BN1696" s="4" t="n">
        <v>24136041</v>
      </c>
      <c r="BO1696" s="4" t="s">
        <v>2582</v>
      </c>
      <c r="BP1696" s="4"/>
      <c r="BQ1696" s="4"/>
      <c r="BR1696" s="4" t="s">
        <v>104</v>
      </c>
      <c r="BS1696" s="4" t="s">
        <v>29216</v>
      </c>
      <c r="BT1696" s="4" t="str">
        <f aca="false">HYPERLINK("https%3A%2F%2Fwww.webofscience.com%2Fwos%2Fwoscc%2Ffull-record%2FWOS:000328626400012","View Full Record in Web of Science")</f>
        <v>View Full Record in Web of Science</v>
      </c>
    </row>
    <row r="1697" s="5" customFormat="true" ht="12.75" hidden="false" customHeight="false" outlineLevel="0" collapsed="false">
      <c r="A1697" s="4" t="s">
        <v>72</v>
      </c>
      <c r="B1697" s="4" t="s">
        <v>29217</v>
      </c>
      <c r="C1697" s="4"/>
      <c r="D1697" s="4"/>
      <c r="E1697" s="4"/>
      <c r="F1697" s="4" t="s">
        <v>29217</v>
      </c>
      <c r="G1697" s="4"/>
      <c r="H1697" s="4"/>
      <c r="I1697" s="4" t="s">
        <v>29218</v>
      </c>
      <c r="J1697" s="4" t="s">
        <v>2222</v>
      </c>
      <c r="K1697" s="4"/>
      <c r="L1697" s="4"/>
      <c r="M1697" s="4" t="s">
        <v>77</v>
      </c>
      <c r="N1697" s="4" t="s">
        <v>78</v>
      </c>
      <c r="O1697" s="4"/>
      <c r="P1697" s="4"/>
      <c r="Q1697" s="4"/>
      <c r="R1697" s="4"/>
      <c r="S1697" s="4"/>
      <c r="T1697" s="1" t="s">
        <v>29219</v>
      </c>
      <c r="U1697" s="4" t="s">
        <v>29220</v>
      </c>
      <c r="V1697" s="4" t="s">
        <v>29221</v>
      </c>
      <c r="W1697" s="4" t="s">
        <v>29222</v>
      </c>
      <c r="X1697" s="4" t="s">
        <v>29223</v>
      </c>
      <c r="Y1697" s="4" t="s">
        <v>29224</v>
      </c>
      <c r="Z1697" s="4" t="s">
        <v>29225</v>
      </c>
      <c r="AA1697" s="4"/>
      <c r="AB1697" s="4"/>
      <c r="AC1697" s="4"/>
      <c r="AD1697" s="4"/>
      <c r="AE1697" s="4"/>
      <c r="AF1697" s="4"/>
      <c r="AG1697" s="4" t="n">
        <v>11</v>
      </c>
      <c r="AH1697" s="4" t="n">
        <v>50</v>
      </c>
      <c r="AI1697" s="4" t="n">
        <v>56</v>
      </c>
      <c r="AJ1697" s="4" t="n">
        <v>0</v>
      </c>
      <c r="AK1697" s="4" t="n">
        <v>0</v>
      </c>
      <c r="AL1697" s="4" t="s">
        <v>755</v>
      </c>
      <c r="AM1697" s="4" t="s">
        <v>273</v>
      </c>
      <c r="AN1697" s="4" t="s">
        <v>756</v>
      </c>
      <c r="AO1697" s="4" t="s">
        <v>2234</v>
      </c>
      <c r="AP1697" s="4"/>
      <c r="AQ1697" s="4"/>
      <c r="AR1697" s="4" t="s">
        <v>2236</v>
      </c>
      <c r="AS1697" s="4" t="s">
        <v>2237</v>
      </c>
      <c r="AT1697" s="4" t="s">
        <v>692</v>
      </c>
      <c r="AU1697" s="4" t="n">
        <v>2005</v>
      </c>
      <c r="AV1697" s="4" t="n">
        <v>43</v>
      </c>
      <c r="AW1697" s="4" t="n">
        <v>4</v>
      </c>
      <c r="AX1697" s="4"/>
      <c r="AY1697" s="4"/>
      <c r="AZ1697" s="4"/>
      <c r="BA1697" s="4"/>
      <c r="BB1697" s="4" t="n">
        <v>1950</v>
      </c>
      <c r="BC1697" s="4" t="n">
        <v>1952</v>
      </c>
      <c r="BD1697" s="4"/>
      <c r="BE1697" s="4" t="s">
        <v>29226</v>
      </c>
      <c r="BF1697" s="4" t="str">
        <f aca="false">HYPERLINK("http://dx.doi.org/10.1128/JCM.43.4.1950-1952.2005","http://dx.doi.org/10.1128/JCM.43.4.1950-1952.2005")</f>
        <v>http://dx.doi.org/10.1128/JCM.43.4.1950-1952.2005</v>
      </c>
      <c r="BG1697" s="4"/>
      <c r="BH1697" s="4"/>
      <c r="BI1697" s="4" t="n">
        <v>3</v>
      </c>
      <c r="BJ1697" s="4" t="s">
        <v>211</v>
      </c>
      <c r="BK1697" s="4" t="s">
        <v>100</v>
      </c>
      <c r="BL1697" s="4" t="s">
        <v>211</v>
      </c>
      <c r="BM1697" s="4" t="s">
        <v>29227</v>
      </c>
      <c r="BN1697" s="4" t="n">
        <v>15815029</v>
      </c>
      <c r="BO1697" s="4" t="s">
        <v>538</v>
      </c>
      <c r="BP1697" s="4"/>
      <c r="BQ1697" s="4"/>
      <c r="BR1697" s="4" t="s">
        <v>104</v>
      </c>
      <c r="BS1697" s="4" t="s">
        <v>29228</v>
      </c>
      <c r="BT1697" s="4" t="str">
        <f aca="false">HYPERLINK("https%3A%2F%2Fwww.webofscience.com%2Fwos%2Fwoscc%2Ffull-record%2FWOS:000228404100072","View Full Record in Web of Science")</f>
        <v>View Full Record in Web of Science</v>
      </c>
    </row>
    <row r="1698" s="5" customFormat="true" ht="12.75" hidden="false" customHeight="false" outlineLevel="0" collapsed="false">
      <c r="A1698" s="4" t="s">
        <v>72</v>
      </c>
      <c r="B1698" s="4" t="s">
        <v>29229</v>
      </c>
      <c r="C1698" s="4"/>
      <c r="D1698" s="4"/>
      <c r="E1698" s="4"/>
      <c r="F1698" s="4" t="s">
        <v>29229</v>
      </c>
      <c r="G1698" s="4"/>
      <c r="H1698" s="4"/>
      <c r="I1698" s="4" t="s">
        <v>29230</v>
      </c>
      <c r="J1698" s="4" t="s">
        <v>27548</v>
      </c>
      <c r="K1698" s="4"/>
      <c r="L1698" s="4"/>
      <c r="M1698" s="4" t="s">
        <v>77</v>
      </c>
      <c r="N1698" s="4" t="s">
        <v>78</v>
      </c>
      <c r="O1698" s="4"/>
      <c r="P1698" s="4"/>
      <c r="Q1698" s="4"/>
      <c r="R1698" s="4"/>
      <c r="S1698" s="4"/>
      <c r="T1698" s="1" t="s">
        <v>29231</v>
      </c>
      <c r="U1698" s="4" t="s">
        <v>29232</v>
      </c>
      <c r="V1698" s="4" t="s">
        <v>29233</v>
      </c>
      <c r="W1698" s="4" t="s">
        <v>29234</v>
      </c>
      <c r="X1698" s="4" t="s">
        <v>29235</v>
      </c>
      <c r="Y1698" s="4" t="s">
        <v>29236</v>
      </c>
      <c r="Z1698" s="4" t="s">
        <v>13032</v>
      </c>
      <c r="AA1698" s="4" t="s">
        <v>29237</v>
      </c>
      <c r="AB1698" s="4" t="s">
        <v>29238</v>
      </c>
      <c r="AC1698" s="4" t="s">
        <v>29239</v>
      </c>
      <c r="AD1698" s="4" t="s">
        <v>2416</v>
      </c>
      <c r="AE1698" s="4"/>
      <c r="AF1698" s="4"/>
      <c r="AG1698" s="4" t="n">
        <v>15</v>
      </c>
      <c r="AH1698" s="4" t="n">
        <v>26</v>
      </c>
      <c r="AI1698" s="4" t="n">
        <v>31</v>
      </c>
      <c r="AJ1698" s="4" t="n">
        <v>0</v>
      </c>
      <c r="AK1698" s="4" t="n">
        <v>1</v>
      </c>
      <c r="AL1698" s="4" t="s">
        <v>27960</v>
      </c>
      <c r="AM1698" s="4" t="s">
        <v>27561</v>
      </c>
      <c r="AN1698" s="4" t="s">
        <v>27961</v>
      </c>
      <c r="AO1698" s="4" t="s">
        <v>27563</v>
      </c>
      <c r="AP1698" s="4"/>
      <c r="AQ1698" s="4"/>
      <c r="AR1698" s="4" t="s">
        <v>27565</v>
      </c>
      <c r="AS1698" s="4" t="s">
        <v>27566</v>
      </c>
      <c r="AT1698" s="4" t="s">
        <v>1041</v>
      </c>
      <c r="AU1698" s="4" t="n">
        <v>2006</v>
      </c>
      <c r="AV1698" s="4" t="n">
        <v>12</v>
      </c>
      <c r="AW1698" s="4" t="n">
        <v>2</v>
      </c>
      <c r="AX1698" s="4"/>
      <c r="AY1698" s="4"/>
      <c r="AZ1698" s="4"/>
      <c r="BA1698" s="4"/>
      <c r="BB1698" s="4" t="n">
        <v>347</v>
      </c>
      <c r="BC1698" s="4" t="n">
        <v>350</v>
      </c>
      <c r="BD1698" s="4"/>
      <c r="BE1698" s="4" t="s">
        <v>29240</v>
      </c>
      <c r="BF1698" s="4" t="str">
        <f aca="false">HYPERLINK("http://dx.doi.org/10.3201/eid1202.051133","http://dx.doi.org/10.3201/eid1202.051133")</f>
        <v>http://dx.doi.org/10.3201/eid1202.051133</v>
      </c>
      <c r="BG1698" s="4"/>
      <c r="BH1698" s="4"/>
      <c r="BI1698" s="4" t="n">
        <v>4</v>
      </c>
      <c r="BJ1698" s="4" t="s">
        <v>965</v>
      </c>
      <c r="BK1698" s="4" t="s">
        <v>100</v>
      </c>
      <c r="BL1698" s="4" t="s">
        <v>965</v>
      </c>
      <c r="BM1698" s="4" t="s">
        <v>29241</v>
      </c>
      <c r="BN1698" s="4" t="n">
        <v>16494771</v>
      </c>
      <c r="BO1698" s="4" t="s">
        <v>29242</v>
      </c>
      <c r="BP1698" s="4"/>
      <c r="BQ1698" s="4"/>
      <c r="BR1698" s="4" t="s">
        <v>104</v>
      </c>
      <c r="BS1698" s="4" t="s">
        <v>29243</v>
      </c>
      <c r="BT1698" s="4" t="str">
        <f aca="false">HYPERLINK("https%3A%2F%2Fwww.webofscience.com%2Fwos%2Fwoscc%2Ffull-record%2FWOS:000235287400032","View Full Record in Web of Science")</f>
        <v>View Full Record in Web of Science</v>
      </c>
    </row>
    <row r="1699" s="5" customFormat="true" ht="12.75" hidden="false" customHeight="false" outlineLevel="0" collapsed="false">
      <c r="A1699" s="4" t="s">
        <v>72</v>
      </c>
      <c r="B1699" s="4" t="s">
        <v>29244</v>
      </c>
      <c r="C1699" s="4"/>
      <c r="D1699" s="4"/>
      <c r="E1699" s="4"/>
      <c r="F1699" s="4" t="s">
        <v>29244</v>
      </c>
      <c r="G1699" s="4"/>
      <c r="H1699" s="4"/>
      <c r="I1699" s="4" t="s">
        <v>29245</v>
      </c>
      <c r="J1699" s="4" t="s">
        <v>514</v>
      </c>
      <c r="K1699" s="4"/>
      <c r="L1699" s="4"/>
      <c r="M1699" s="4" t="s">
        <v>77</v>
      </c>
      <c r="N1699" s="4" t="s">
        <v>78</v>
      </c>
      <c r="O1699" s="4"/>
      <c r="P1699" s="4"/>
      <c r="Q1699" s="4"/>
      <c r="R1699" s="4"/>
      <c r="S1699" s="4"/>
      <c r="T1699" s="1" t="s">
        <v>29246</v>
      </c>
      <c r="U1699" s="4" t="s">
        <v>29247</v>
      </c>
      <c r="V1699" s="4" t="s">
        <v>29248</v>
      </c>
      <c r="W1699" s="4" t="s">
        <v>29249</v>
      </c>
      <c r="X1699" s="4" t="s">
        <v>29250</v>
      </c>
      <c r="Y1699" s="4" t="s">
        <v>29251</v>
      </c>
      <c r="Z1699" s="4" t="s">
        <v>6724</v>
      </c>
      <c r="AA1699" s="4" t="s">
        <v>29252</v>
      </c>
      <c r="AB1699" s="4" t="s">
        <v>29253</v>
      </c>
      <c r="AC1699" s="4" t="s">
        <v>29254</v>
      </c>
      <c r="AD1699" s="4" t="s">
        <v>2416</v>
      </c>
      <c r="AE1699" s="4"/>
      <c r="AF1699" s="4"/>
      <c r="AG1699" s="4" t="n">
        <v>15</v>
      </c>
      <c r="AH1699" s="4" t="n">
        <v>130</v>
      </c>
      <c r="AI1699" s="4" t="n">
        <v>138</v>
      </c>
      <c r="AJ1699" s="4" t="n">
        <v>0</v>
      </c>
      <c r="AK1699" s="4" t="n">
        <v>4</v>
      </c>
      <c r="AL1699" s="4" t="s">
        <v>27444</v>
      </c>
      <c r="AM1699" s="4" t="s">
        <v>20223</v>
      </c>
      <c r="AN1699" s="4" t="s">
        <v>27445</v>
      </c>
      <c r="AO1699" s="4" t="s">
        <v>530</v>
      </c>
      <c r="AP1699" s="4"/>
      <c r="AQ1699" s="4"/>
      <c r="AR1699" s="4" t="s">
        <v>532</v>
      </c>
      <c r="AS1699" s="4" t="s">
        <v>533</v>
      </c>
      <c r="AT1699" s="4" t="s">
        <v>5247</v>
      </c>
      <c r="AU1699" s="4" t="n">
        <v>2005</v>
      </c>
      <c r="AV1699" s="4" t="n">
        <v>192</v>
      </c>
      <c r="AW1699" s="4" t="n">
        <v>6</v>
      </c>
      <c r="AX1699" s="4"/>
      <c r="AY1699" s="4"/>
      <c r="AZ1699" s="4"/>
      <c r="BA1699" s="4"/>
      <c r="BB1699" s="4" t="n">
        <v>1061</v>
      </c>
      <c r="BC1699" s="4" t="n">
        <v>1065</v>
      </c>
      <c r="BD1699" s="4"/>
      <c r="BE1699" s="4" t="s">
        <v>29255</v>
      </c>
      <c r="BF1699" s="4" t="str">
        <f aca="false">HYPERLINK("http://dx.doi.org/10.1086/432732","http://dx.doi.org/10.1086/432732")</f>
        <v>http://dx.doi.org/10.1086/432732</v>
      </c>
      <c r="BG1699" s="4"/>
      <c r="BH1699" s="4"/>
      <c r="BI1699" s="4" t="n">
        <v>5</v>
      </c>
      <c r="BJ1699" s="4" t="s">
        <v>536</v>
      </c>
      <c r="BK1699" s="4" t="s">
        <v>100</v>
      </c>
      <c r="BL1699" s="4" t="s">
        <v>536</v>
      </c>
      <c r="BM1699" s="4" t="s">
        <v>28116</v>
      </c>
      <c r="BN1699" s="4" t="n">
        <v>16107960</v>
      </c>
      <c r="BO1699" s="4" t="s">
        <v>695</v>
      </c>
      <c r="BP1699" s="4"/>
      <c r="BQ1699" s="4"/>
      <c r="BR1699" s="4" t="s">
        <v>104</v>
      </c>
      <c r="BS1699" s="4" t="s">
        <v>29256</v>
      </c>
      <c r="BT1699" s="4" t="str">
        <f aca="false">HYPERLINK("https%3A%2F%2Fwww.webofscience.com%2Fwos%2Fwoscc%2Ffull-record%2FWOS:000231623600017","View Full Record in Web of Science")</f>
        <v>View Full Record in Web of Science</v>
      </c>
    </row>
    <row r="1700" s="5" customFormat="true" ht="12.75" hidden="false" customHeight="false" outlineLevel="0" collapsed="false">
      <c r="A1700" s="4" t="s">
        <v>72</v>
      </c>
      <c r="B1700" s="4" t="s">
        <v>29257</v>
      </c>
      <c r="C1700" s="4"/>
      <c r="D1700" s="4"/>
      <c r="E1700" s="4"/>
      <c r="F1700" s="4" t="s">
        <v>29258</v>
      </c>
      <c r="G1700" s="4"/>
      <c r="H1700" s="4"/>
      <c r="I1700" s="4" t="s">
        <v>29259</v>
      </c>
      <c r="J1700" s="4" t="s">
        <v>7145</v>
      </c>
      <c r="K1700" s="4"/>
      <c r="L1700" s="4"/>
      <c r="M1700" s="4" t="s">
        <v>77</v>
      </c>
      <c r="N1700" s="4" t="s">
        <v>78</v>
      </c>
      <c r="O1700" s="4"/>
      <c r="P1700" s="4"/>
      <c r="Q1700" s="4"/>
      <c r="R1700" s="4"/>
      <c r="S1700" s="4"/>
      <c r="T1700" s="1" t="s">
        <v>29260</v>
      </c>
      <c r="U1700" s="4" t="s">
        <v>29261</v>
      </c>
      <c r="V1700" s="4" t="s">
        <v>29262</v>
      </c>
      <c r="W1700" s="4" t="s">
        <v>29263</v>
      </c>
      <c r="X1700" s="4" t="s">
        <v>29264</v>
      </c>
      <c r="Y1700" s="4" t="s">
        <v>29265</v>
      </c>
      <c r="Z1700" s="4" t="s">
        <v>14113</v>
      </c>
      <c r="AA1700" s="4"/>
      <c r="AB1700" s="4"/>
      <c r="AC1700" s="4" t="s">
        <v>29266</v>
      </c>
      <c r="AD1700" s="4" t="s">
        <v>29267</v>
      </c>
      <c r="AE1700" s="4" t="s">
        <v>29268</v>
      </c>
      <c r="AF1700" s="4"/>
      <c r="AG1700" s="4" t="n">
        <v>15</v>
      </c>
      <c r="AH1700" s="4" t="n">
        <v>9</v>
      </c>
      <c r="AI1700" s="4" t="n">
        <v>9</v>
      </c>
      <c r="AJ1700" s="4" t="n">
        <v>0</v>
      </c>
      <c r="AK1700" s="4" t="n">
        <v>2</v>
      </c>
      <c r="AL1700" s="4" t="s">
        <v>3426</v>
      </c>
      <c r="AM1700" s="4" t="s">
        <v>303</v>
      </c>
      <c r="AN1700" s="4" t="s">
        <v>3427</v>
      </c>
      <c r="AO1700" s="4" t="s">
        <v>7158</v>
      </c>
      <c r="AP1700" s="4" t="s">
        <v>7159</v>
      </c>
      <c r="AQ1700" s="4"/>
      <c r="AR1700" s="4" t="s">
        <v>7160</v>
      </c>
      <c r="AS1700" s="4" t="s">
        <v>7161</v>
      </c>
      <c r="AT1700" s="4" t="s">
        <v>804</v>
      </c>
      <c r="AU1700" s="4" t="n">
        <v>2008</v>
      </c>
      <c r="AV1700" s="4" t="n">
        <v>89</v>
      </c>
      <c r="AW1700" s="4"/>
      <c r="AX1700" s="4" t="n">
        <v>11</v>
      </c>
      <c r="AY1700" s="4"/>
      <c r="AZ1700" s="4"/>
      <c r="BA1700" s="4"/>
      <c r="BB1700" s="4" t="n">
        <v>2709</v>
      </c>
      <c r="BC1700" s="4" t="n">
        <v>2712</v>
      </c>
      <c r="BD1700" s="4"/>
      <c r="BE1700" s="4" t="s">
        <v>29269</v>
      </c>
      <c r="BF1700" s="4" t="str">
        <f aca="false">HYPERLINK("http://dx.doi.org/10.1099/vir.0.2008/003301-0","http://dx.doi.org/10.1099/vir.0.2008/003301-0")</f>
        <v>http://dx.doi.org/10.1099/vir.0.2008/003301-0</v>
      </c>
      <c r="BG1700" s="4"/>
      <c r="BH1700" s="4"/>
      <c r="BI1700" s="4" t="n">
        <v>4</v>
      </c>
      <c r="BJ1700" s="4" t="s">
        <v>7163</v>
      </c>
      <c r="BK1700" s="4" t="s">
        <v>100</v>
      </c>
      <c r="BL1700" s="4" t="s">
        <v>7163</v>
      </c>
      <c r="BM1700" s="4" t="s">
        <v>29270</v>
      </c>
      <c r="BN1700" s="4" t="n">
        <v>18931066</v>
      </c>
      <c r="BO1700" s="4" t="s">
        <v>676</v>
      </c>
      <c r="BP1700" s="4"/>
      <c r="BQ1700" s="4"/>
      <c r="BR1700" s="4" t="s">
        <v>104</v>
      </c>
      <c r="BS1700" s="4" t="s">
        <v>29271</v>
      </c>
      <c r="BT1700" s="4" t="str">
        <f aca="false">HYPERLINK("https%3A%2F%2Fwww.webofscience.com%2Fwos%2Fwoscc%2Ffull-record%2FWOS:000260885500007","View Full Record in Web of Science")</f>
        <v>View Full Record in Web of Science</v>
      </c>
    </row>
    <row r="1701" s="5" customFormat="true" ht="12.75" hidden="false" customHeight="false" outlineLevel="0" collapsed="false">
      <c r="A1701" s="4" t="s">
        <v>72</v>
      </c>
      <c r="B1701" s="4" t="s">
        <v>29272</v>
      </c>
      <c r="C1701" s="4"/>
      <c r="D1701" s="4"/>
      <c r="E1701" s="4"/>
      <c r="F1701" s="4" t="s">
        <v>29273</v>
      </c>
      <c r="G1701" s="4"/>
      <c r="H1701" s="4"/>
      <c r="I1701" s="4" t="s">
        <v>29274</v>
      </c>
      <c r="J1701" s="4" t="s">
        <v>29275</v>
      </c>
      <c r="K1701" s="4"/>
      <c r="L1701" s="4"/>
      <c r="M1701" s="4" t="s">
        <v>77</v>
      </c>
      <c r="N1701" s="4" t="s">
        <v>78</v>
      </c>
      <c r="O1701" s="4"/>
      <c r="P1701" s="4"/>
      <c r="Q1701" s="4"/>
      <c r="R1701" s="4"/>
      <c r="S1701" s="4"/>
      <c r="T1701" s="1" t="s">
        <v>29276</v>
      </c>
      <c r="U1701" s="4"/>
      <c r="V1701" s="4" t="s">
        <v>29277</v>
      </c>
      <c r="W1701" s="4" t="s">
        <v>29278</v>
      </c>
      <c r="X1701" s="4" t="s">
        <v>29279</v>
      </c>
      <c r="Y1701" s="4" t="s">
        <v>29280</v>
      </c>
      <c r="Z1701" s="4" t="s">
        <v>15570</v>
      </c>
      <c r="AA1701" s="4" t="s">
        <v>29281</v>
      </c>
      <c r="AB1701" s="4" t="s">
        <v>29282</v>
      </c>
      <c r="AC1701" s="4" t="s">
        <v>29283</v>
      </c>
      <c r="AD1701" s="4" t="s">
        <v>29284</v>
      </c>
      <c r="AE1701" s="4" t="s">
        <v>29285</v>
      </c>
      <c r="AF1701" s="4"/>
      <c r="AG1701" s="4" t="n">
        <v>3</v>
      </c>
      <c r="AH1701" s="4" t="n">
        <v>0</v>
      </c>
      <c r="AI1701" s="4" t="n">
        <v>0</v>
      </c>
      <c r="AJ1701" s="4" t="n">
        <v>0</v>
      </c>
      <c r="AK1701" s="4" t="n">
        <v>1</v>
      </c>
      <c r="AL1701" s="4" t="s">
        <v>755</v>
      </c>
      <c r="AM1701" s="4" t="s">
        <v>273</v>
      </c>
      <c r="AN1701" s="4" t="s">
        <v>756</v>
      </c>
      <c r="AO1701" s="4"/>
      <c r="AP1701" s="4" t="s">
        <v>29286</v>
      </c>
      <c r="AQ1701" s="4"/>
      <c r="AR1701" s="4" t="s">
        <v>29275</v>
      </c>
      <c r="AS1701" s="4" t="s">
        <v>29287</v>
      </c>
      <c r="AT1701" s="4" t="s">
        <v>390</v>
      </c>
      <c r="AU1701" s="4" t="n">
        <v>2018</v>
      </c>
      <c r="AV1701" s="4" t="n">
        <v>6</v>
      </c>
      <c r="AW1701" s="4" t="n">
        <v>21</v>
      </c>
      <c r="AX1701" s="4"/>
      <c r="AY1701" s="4"/>
      <c r="AZ1701" s="4"/>
      <c r="BA1701" s="4"/>
      <c r="BB1701" s="4"/>
      <c r="BC1701" s="4"/>
      <c r="BD1701" s="4" t="s">
        <v>29288</v>
      </c>
      <c r="BE1701" s="4" t="s">
        <v>29289</v>
      </c>
      <c r="BF1701" s="4" t="str">
        <f aca="false">HYPERLINK("http://dx.doi.org/10.1128/genomeA.00440-18","http://dx.doi.org/10.1128/genomeA.00440-18")</f>
        <v>http://dx.doi.org/10.1128/genomeA.00440-18</v>
      </c>
      <c r="BG1701" s="4"/>
      <c r="BH1701" s="4"/>
      <c r="BI1701" s="4" t="n">
        <v>2</v>
      </c>
      <c r="BJ1701" s="4" t="s">
        <v>211</v>
      </c>
      <c r="BK1701" s="4" t="s">
        <v>339</v>
      </c>
      <c r="BL1701" s="4" t="s">
        <v>211</v>
      </c>
      <c r="BM1701" s="4" t="s">
        <v>29290</v>
      </c>
      <c r="BN1701" s="4" t="n">
        <v>29798923</v>
      </c>
      <c r="BO1701" s="4" t="s">
        <v>190</v>
      </c>
      <c r="BP1701" s="4"/>
      <c r="BQ1701" s="4"/>
      <c r="BR1701" s="4" t="s">
        <v>104</v>
      </c>
      <c r="BS1701" s="4" t="s">
        <v>29291</v>
      </c>
      <c r="BT1701" s="4" t="str">
        <f aca="false">HYPERLINK("https%3A%2F%2Fwww.webofscience.com%2Fwos%2Fwoscc%2Ffull-record%2FWOS:000452365900014","View Full Record in Web of Science")</f>
        <v>View Full Record in Web of Science</v>
      </c>
    </row>
    <row r="1702" s="5" customFormat="true" ht="12.75" hidden="false" customHeight="false" outlineLevel="0" collapsed="false">
      <c r="A1702" s="4" t="s">
        <v>72</v>
      </c>
      <c r="B1702" s="4" t="s">
        <v>29292</v>
      </c>
      <c r="C1702" s="4"/>
      <c r="D1702" s="4"/>
      <c r="E1702" s="4"/>
      <c r="F1702" s="4" t="s">
        <v>29293</v>
      </c>
      <c r="G1702" s="4"/>
      <c r="H1702" s="4"/>
      <c r="I1702" s="4" t="s">
        <v>29294</v>
      </c>
      <c r="J1702" s="4" t="s">
        <v>29295</v>
      </c>
      <c r="K1702" s="4"/>
      <c r="L1702" s="4"/>
      <c r="M1702" s="4" t="s">
        <v>77</v>
      </c>
      <c r="N1702" s="4" t="s">
        <v>78</v>
      </c>
      <c r="O1702" s="4"/>
      <c r="P1702" s="4"/>
      <c r="Q1702" s="4"/>
      <c r="R1702" s="4"/>
      <c r="S1702" s="4"/>
      <c r="T1702" s="1" t="s">
        <v>29296</v>
      </c>
      <c r="U1702" s="4" t="s">
        <v>29297</v>
      </c>
      <c r="V1702" s="4" t="s">
        <v>29298</v>
      </c>
      <c r="W1702" s="4" t="s">
        <v>29299</v>
      </c>
      <c r="X1702" s="4" t="s">
        <v>29300</v>
      </c>
      <c r="Y1702" s="4" t="s">
        <v>29301</v>
      </c>
      <c r="Z1702" s="4" t="s">
        <v>6556</v>
      </c>
      <c r="AA1702" s="4" t="s">
        <v>29302</v>
      </c>
      <c r="AB1702" s="4" t="s">
        <v>29303</v>
      </c>
      <c r="AC1702" s="4" t="s">
        <v>29304</v>
      </c>
      <c r="AD1702" s="4" t="s">
        <v>29305</v>
      </c>
      <c r="AE1702" s="4" t="s">
        <v>29306</v>
      </c>
      <c r="AF1702" s="4"/>
      <c r="AG1702" s="4" t="n">
        <v>62</v>
      </c>
      <c r="AH1702" s="4" t="n">
        <v>1</v>
      </c>
      <c r="AI1702" s="4" t="n">
        <v>1</v>
      </c>
      <c r="AJ1702" s="4" t="n">
        <v>0</v>
      </c>
      <c r="AK1702" s="4" t="n">
        <v>0</v>
      </c>
      <c r="AL1702" s="4" t="s">
        <v>1460</v>
      </c>
      <c r="AM1702" s="4" t="s">
        <v>593</v>
      </c>
      <c r="AN1702" s="4" t="s">
        <v>2088</v>
      </c>
      <c r="AO1702" s="4" t="s">
        <v>29307</v>
      </c>
      <c r="AP1702" s="4" t="s">
        <v>29308</v>
      </c>
      <c r="AQ1702" s="4"/>
      <c r="AR1702" s="4" t="s">
        <v>29309</v>
      </c>
      <c r="AS1702" s="4" t="s">
        <v>29310</v>
      </c>
      <c r="AT1702" s="4" t="s">
        <v>486</v>
      </c>
      <c r="AU1702" s="4" t="n">
        <v>2024</v>
      </c>
      <c r="AV1702" s="4" t="n">
        <v>17</v>
      </c>
      <c r="AW1702" s="4" t="n">
        <v>3</v>
      </c>
      <c r="AX1702" s="4"/>
      <c r="AY1702" s="4"/>
      <c r="AZ1702" s="4"/>
      <c r="BA1702" s="4"/>
      <c r="BB1702" s="4" t="n">
        <v>476</v>
      </c>
      <c r="BC1702" s="4" t="n">
        <v>490</v>
      </c>
      <c r="BD1702" s="4"/>
      <c r="BE1702" s="4" t="s">
        <v>29311</v>
      </c>
      <c r="BF1702" s="4" t="str">
        <f aca="false">HYPERLINK("http://dx.doi.org/10.1016/j.mucimm.2023.12.004","http://dx.doi.org/10.1016/j.mucimm.2023.12.004")</f>
        <v>http://dx.doi.org/10.1016/j.mucimm.2023.12.004</v>
      </c>
      <c r="BG1702" s="4"/>
      <c r="BH1702" s="4" t="s">
        <v>20496</v>
      </c>
      <c r="BI1702" s="4" t="n">
        <v>15</v>
      </c>
      <c r="BJ1702" s="4" t="s">
        <v>628</v>
      </c>
      <c r="BK1702" s="4" t="s">
        <v>100</v>
      </c>
      <c r="BL1702" s="4" t="s">
        <v>628</v>
      </c>
      <c r="BM1702" s="4" t="s">
        <v>29312</v>
      </c>
      <c r="BN1702" s="4" t="n">
        <v>38176655</v>
      </c>
      <c r="BO1702" s="4" t="s">
        <v>2278</v>
      </c>
      <c r="BP1702" s="4"/>
      <c r="BQ1702" s="4"/>
      <c r="BR1702" s="4" t="s">
        <v>104</v>
      </c>
      <c r="BS1702" s="4" t="s">
        <v>29313</v>
      </c>
      <c r="BT1702" s="4" t="str">
        <f aca="false">HYPERLINK("https%3A%2F%2Fwww.webofscience.com%2Fwos%2Fwoscc%2Ffull-record%2FWOS:001254095700001","View Full Record in Web of Science")</f>
        <v>View Full Record in Web of Science</v>
      </c>
    </row>
    <row r="1703" s="5" customFormat="true" ht="12.75" hidden="false" customHeight="false" outlineLevel="0" collapsed="false">
      <c r="A1703" s="4" t="s">
        <v>72</v>
      </c>
      <c r="B1703" s="4" t="s">
        <v>29314</v>
      </c>
      <c r="C1703" s="4"/>
      <c r="D1703" s="4"/>
      <c r="E1703" s="4"/>
      <c r="F1703" s="4" t="s">
        <v>29315</v>
      </c>
      <c r="G1703" s="4"/>
      <c r="H1703" s="4"/>
      <c r="I1703" s="4" t="s">
        <v>29316</v>
      </c>
      <c r="J1703" s="4" t="s">
        <v>742</v>
      </c>
      <c r="K1703" s="4"/>
      <c r="L1703" s="4"/>
      <c r="M1703" s="4" t="s">
        <v>77</v>
      </c>
      <c r="N1703" s="4" t="s">
        <v>78</v>
      </c>
      <c r="O1703" s="4"/>
      <c r="P1703" s="4"/>
      <c r="Q1703" s="4"/>
      <c r="R1703" s="4"/>
      <c r="S1703" s="4"/>
      <c r="T1703" s="1" t="s">
        <v>29317</v>
      </c>
      <c r="U1703" s="4" t="s">
        <v>29318</v>
      </c>
      <c r="V1703" s="4" t="s">
        <v>29319</v>
      </c>
      <c r="W1703" s="4" t="s">
        <v>29320</v>
      </c>
      <c r="X1703" s="4" t="s">
        <v>29321</v>
      </c>
      <c r="Y1703" s="4" t="s">
        <v>29322</v>
      </c>
      <c r="Z1703" s="4" t="s">
        <v>29323</v>
      </c>
      <c r="AA1703" s="4" t="s">
        <v>29324</v>
      </c>
      <c r="AB1703" s="4" t="s">
        <v>29325</v>
      </c>
      <c r="AC1703" s="4" t="s">
        <v>29326</v>
      </c>
      <c r="AD1703" s="4" t="s">
        <v>29327</v>
      </c>
      <c r="AE1703" s="4" t="s">
        <v>29328</v>
      </c>
      <c r="AF1703" s="4"/>
      <c r="AG1703" s="4" t="n">
        <v>32</v>
      </c>
      <c r="AH1703" s="4" t="n">
        <v>129</v>
      </c>
      <c r="AI1703" s="4" t="n">
        <v>152</v>
      </c>
      <c r="AJ1703" s="4" t="n">
        <v>1</v>
      </c>
      <c r="AK1703" s="4" t="n">
        <v>3</v>
      </c>
      <c r="AL1703" s="4" t="s">
        <v>755</v>
      </c>
      <c r="AM1703" s="4" t="s">
        <v>273</v>
      </c>
      <c r="AN1703" s="4" t="s">
        <v>756</v>
      </c>
      <c r="AO1703" s="4" t="s">
        <v>757</v>
      </c>
      <c r="AP1703" s="4" t="s">
        <v>758</v>
      </c>
      <c r="AQ1703" s="4"/>
      <c r="AR1703" s="4" t="s">
        <v>759</v>
      </c>
      <c r="AS1703" s="4" t="s">
        <v>760</v>
      </c>
      <c r="AT1703" s="4" t="s">
        <v>129</v>
      </c>
      <c r="AU1703" s="4" t="n">
        <v>2008</v>
      </c>
      <c r="AV1703" s="4" t="n">
        <v>82</v>
      </c>
      <c r="AW1703" s="4" t="n">
        <v>17</v>
      </c>
      <c r="AX1703" s="4"/>
      <c r="AY1703" s="4"/>
      <c r="AZ1703" s="4"/>
      <c r="BA1703" s="4"/>
      <c r="BB1703" s="4" t="n">
        <v>8942</v>
      </c>
      <c r="BC1703" s="4" t="n">
        <v>8946</v>
      </c>
      <c r="BD1703" s="4"/>
      <c r="BE1703" s="4" t="s">
        <v>29329</v>
      </c>
      <c r="BF1703" s="4" t="str">
        <f aca="false">HYPERLINK("http://dx.doi.org/10.1128/JVI.00676-08","http://dx.doi.org/10.1128/JVI.00676-08")</f>
        <v>http://dx.doi.org/10.1128/JVI.00676-08</v>
      </c>
      <c r="BG1703" s="4"/>
      <c r="BH1703" s="4"/>
      <c r="BI1703" s="4" t="n">
        <v>5</v>
      </c>
      <c r="BJ1703" s="4" t="s">
        <v>163</v>
      </c>
      <c r="BK1703" s="4" t="s">
        <v>100</v>
      </c>
      <c r="BL1703" s="4" t="s">
        <v>163</v>
      </c>
      <c r="BM1703" s="4" t="s">
        <v>28580</v>
      </c>
      <c r="BN1703" s="4" t="n">
        <v>18562527</v>
      </c>
      <c r="BO1703" s="4" t="s">
        <v>165</v>
      </c>
      <c r="BP1703" s="4"/>
      <c r="BQ1703" s="4"/>
      <c r="BR1703" s="4" t="s">
        <v>104</v>
      </c>
      <c r="BS1703" s="4" t="s">
        <v>29330</v>
      </c>
      <c r="BT1703" s="4" t="str">
        <f aca="false">HYPERLINK("https%3A%2F%2Fwww.webofscience.com%2Fwos%2Fwoscc%2Ffull-record%2FWOS:000258603600071","View Full Record in Web of Science")</f>
        <v>View Full Record in Web of Science</v>
      </c>
    </row>
    <row r="1704" s="5" customFormat="true" ht="12.75" hidden="false" customHeight="false" outlineLevel="0" collapsed="false">
      <c r="A1704" s="4" t="s">
        <v>72</v>
      </c>
      <c r="B1704" s="4" t="s">
        <v>29331</v>
      </c>
      <c r="C1704" s="4"/>
      <c r="D1704" s="4"/>
      <c r="E1704" s="4"/>
      <c r="F1704" s="4" t="s">
        <v>29332</v>
      </c>
      <c r="G1704" s="4"/>
      <c r="H1704" s="4"/>
      <c r="I1704" s="4" t="s">
        <v>29333</v>
      </c>
      <c r="J1704" s="4" t="s">
        <v>27548</v>
      </c>
      <c r="K1704" s="4"/>
      <c r="L1704" s="4"/>
      <c r="M1704" s="4" t="s">
        <v>77</v>
      </c>
      <c r="N1704" s="4" t="s">
        <v>78</v>
      </c>
      <c r="O1704" s="4"/>
      <c r="P1704" s="4"/>
      <c r="Q1704" s="4"/>
      <c r="R1704" s="4"/>
      <c r="S1704" s="4"/>
      <c r="T1704" s="1" t="s">
        <v>29334</v>
      </c>
      <c r="U1704" s="4" t="s">
        <v>29335</v>
      </c>
      <c r="V1704" s="4" t="s">
        <v>29336</v>
      </c>
      <c r="W1704" s="4" t="s">
        <v>29337</v>
      </c>
      <c r="X1704" s="4" t="s">
        <v>29338</v>
      </c>
      <c r="Y1704" s="4" t="s">
        <v>29339</v>
      </c>
      <c r="Z1704" s="4" t="s">
        <v>29340</v>
      </c>
      <c r="AA1704" s="4" t="s">
        <v>29341</v>
      </c>
      <c r="AB1704" s="4" t="s">
        <v>29342</v>
      </c>
      <c r="AC1704" s="4"/>
      <c r="AD1704" s="4"/>
      <c r="AE1704" s="4"/>
      <c r="AF1704" s="4"/>
      <c r="AG1704" s="4" t="n">
        <v>13</v>
      </c>
      <c r="AH1704" s="4" t="n">
        <v>18</v>
      </c>
      <c r="AI1704" s="4" t="n">
        <v>19</v>
      </c>
      <c r="AJ1704" s="4" t="n">
        <v>0</v>
      </c>
      <c r="AK1704" s="4" t="n">
        <v>0</v>
      </c>
      <c r="AL1704" s="4" t="s">
        <v>27560</v>
      </c>
      <c r="AM1704" s="4" t="s">
        <v>27561</v>
      </c>
      <c r="AN1704" s="4" t="s">
        <v>27562</v>
      </c>
      <c r="AO1704" s="4" t="s">
        <v>27563</v>
      </c>
      <c r="AP1704" s="4" t="s">
        <v>27564</v>
      </c>
      <c r="AQ1704" s="4"/>
      <c r="AR1704" s="4" t="s">
        <v>27565</v>
      </c>
      <c r="AS1704" s="4" t="s">
        <v>27566</v>
      </c>
      <c r="AT1704" s="4" t="s">
        <v>336</v>
      </c>
      <c r="AU1704" s="4" t="n">
        <v>2007</v>
      </c>
      <c r="AV1704" s="4" t="n">
        <v>13</v>
      </c>
      <c r="AW1704" s="4" t="n">
        <v>10</v>
      </c>
      <c r="AX1704" s="4"/>
      <c r="AY1704" s="4"/>
      <c r="AZ1704" s="4"/>
      <c r="BA1704" s="4"/>
      <c r="BB1704" s="4" t="n">
        <v>1611</v>
      </c>
      <c r="BC1704" s="4" t="n">
        <v>1613</v>
      </c>
      <c r="BD1704" s="4"/>
      <c r="BE1704" s="4" t="s">
        <v>29343</v>
      </c>
      <c r="BF1704" s="4" t="str">
        <f aca="false">HYPERLINK("http://dx.doi.org/10.3201/eid1310.070337","http://dx.doi.org/10.3201/eid1310.070337")</f>
        <v>http://dx.doi.org/10.3201/eid1310.070337</v>
      </c>
      <c r="BG1704" s="4"/>
      <c r="BH1704" s="4"/>
      <c r="BI1704" s="4" t="n">
        <v>3</v>
      </c>
      <c r="BJ1704" s="4" t="s">
        <v>965</v>
      </c>
      <c r="BK1704" s="4" t="s">
        <v>100</v>
      </c>
      <c r="BL1704" s="4" t="s">
        <v>965</v>
      </c>
      <c r="BM1704" s="4" t="s">
        <v>29344</v>
      </c>
      <c r="BN1704" s="4" t="n">
        <v>18258022</v>
      </c>
      <c r="BO1704" s="4" t="s">
        <v>5702</v>
      </c>
      <c r="BP1704" s="4"/>
      <c r="BQ1704" s="4"/>
      <c r="BR1704" s="4" t="s">
        <v>104</v>
      </c>
      <c r="BS1704" s="4" t="s">
        <v>29345</v>
      </c>
      <c r="BT1704" s="4" t="str">
        <f aca="false">HYPERLINK("https%3A%2F%2Fwww.webofscience.com%2Fwos%2Fwoscc%2Ffull-record%2FWOS:000249962800038","View Full Record in Web of Science")</f>
        <v>View Full Record in Web of Science</v>
      </c>
    </row>
    <row r="1705" s="5" customFormat="true" ht="12.75" hidden="false" customHeight="false" outlineLevel="0" collapsed="false">
      <c r="A1705" s="4" t="s">
        <v>72</v>
      </c>
      <c r="B1705" s="4" t="s">
        <v>29346</v>
      </c>
      <c r="C1705" s="4"/>
      <c r="D1705" s="4"/>
      <c r="E1705" s="4"/>
      <c r="F1705" s="4" t="s">
        <v>29347</v>
      </c>
      <c r="G1705" s="4"/>
      <c r="H1705" s="4"/>
      <c r="I1705" s="4" t="s">
        <v>29348</v>
      </c>
      <c r="J1705" s="4" t="s">
        <v>13758</v>
      </c>
      <c r="K1705" s="4"/>
      <c r="L1705" s="4"/>
      <c r="M1705" s="4" t="s">
        <v>77</v>
      </c>
      <c r="N1705" s="4" t="s">
        <v>78</v>
      </c>
      <c r="O1705" s="4"/>
      <c r="P1705" s="4"/>
      <c r="Q1705" s="4"/>
      <c r="R1705" s="4"/>
      <c r="S1705" s="4"/>
      <c r="T1705" s="1" t="s">
        <v>29349</v>
      </c>
      <c r="U1705" s="4" t="s">
        <v>29350</v>
      </c>
      <c r="V1705" s="4" t="s">
        <v>29351</v>
      </c>
      <c r="W1705" s="4" t="s">
        <v>29352</v>
      </c>
      <c r="X1705" s="4" t="s">
        <v>14241</v>
      </c>
      <c r="Y1705" s="4" t="s">
        <v>29353</v>
      </c>
      <c r="Z1705" s="4" t="s">
        <v>29354</v>
      </c>
      <c r="AA1705" s="4" t="s">
        <v>29355</v>
      </c>
      <c r="AB1705" s="4" t="s">
        <v>29356</v>
      </c>
      <c r="AC1705" s="4" t="s">
        <v>29357</v>
      </c>
      <c r="AD1705" s="4" t="s">
        <v>29358</v>
      </c>
      <c r="AE1705" s="4" t="s">
        <v>29359</v>
      </c>
      <c r="AF1705" s="4"/>
      <c r="AG1705" s="4" t="n">
        <v>37</v>
      </c>
      <c r="AH1705" s="4" t="n">
        <v>9</v>
      </c>
      <c r="AI1705" s="4" t="n">
        <v>9</v>
      </c>
      <c r="AJ1705" s="4" t="n">
        <v>0</v>
      </c>
      <c r="AK1705" s="4" t="n">
        <v>5</v>
      </c>
      <c r="AL1705" s="4" t="s">
        <v>13769</v>
      </c>
      <c r="AM1705" s="4" t="s">
        <v>16554</v>
      </c>
      <c r="AN1705" s="4" t="s">
        <v>16555</v>
      </c>
      <c r="AO1705" s="4" t="s">
        <v>13772</v>
      </c>
      <c r="AP1705" s="4" t="s">
        <v>13773</v>
      </c>
      <c r="AQ1705" s="4"/>
      <c r="AR1705" s="4" t="s">
        <v>13774</v>
      </c>
      <c r="AS1705" s="4" t="s">
        <v>13775</v>
      </c>
      <c r="AT1705" s="4" t="s">
        <v>97</v>
      </c>
      <c r="AU1705" s="4" t="n">
        <v>2012</v>
      </c>
      <c r="AV1705" s="4" t="n">
        <v>157</v>
      </c>
      <c r="AW1705" s="4" t="n">
        <v>3</v>
      </c>
      <c r="AX1705" s="4"/>
      <c r="AY1705" s="4"/>
      <c r="AZ1705" s="4"/>
      <c r="BA1705" s="4"/>
      <c r="BB1705" s="4" t="n">
        <v>563</v>
      </c>
      <c r="BC1705" s="4" t="n">
        <v>568</v>
      </c>
      <c r="BD1705" s="4"/>
      <c r="BE1705" s="4" t="s">
        <v>29360</v>
      </c>
      <c r="BF1705" s="4" t="str">
        <f aca="false">HYPERLINK("http://dx.doi.org/10.1007/s00705-011-1204-8","http://dx.doi.org/10.1007/s00705-011-1204-8")</f>
        <v>http://dx.doi.org/10.1007/s00705-011-1204-8</v>
      </c>
      <c r="BG1705" s="4"/>
      <c r="BH1705" s="4"/>
      <c r="BI1705" s="4" t="n">
        <v>6</v>
      </c>
      <c r="BJ1705" s="4" t="s">
        <v>163</v>
      </c>
      <c r="BK1705" s="4" t="s">
        <v>100</v>
      </c>
      <c r="BL1705" s="4" t="s">
        <v>163</v>
      </c>
      <c r="BM1705" s="4" t="s">
        <v>29361</v>
      </c>
      <c r="BN1705" s="4" t="n">
        <v>22200894</v>
      </c>
      <c r="BO1705" s="4"/>
      <c r="BP1705" s="4"/>
      <c r="BQ1705" s="4"/>
      <c r="BR1705" s="4" t="s">
        <v>104</v>
      </c>
      <c r="BS1705" s="4" t="s">
        <v>29362</v>
      </c>
      <c r="BT1705" s="4" t="str">
        <f aca="false">HYPERLINK("https%3A%2F%2Fwww.webofscience.com%2Fwos%2Fwoscc%2Ffull-record%2FWOS:000303471700021","View Full Record in Web of Science")</f>
        <v>View Full Record in Web of Science</v>
      </c>
    </row>
    <row r="1706" s="5" customFormat="true" ht="12.75" hidden="false" customHeight="false" outlineLevel="0" collapsed="false">
      <c r="A1706" s="4" t="s">
        <v>72</v>
      </c>
      <c r="B1706" s="4" t="s">
        <v>29363</v>
      </c>
      <c r="C1706" s="4"/>
      <c r="D1706" s="4"/>
      <c r="E1706" s="4"/>
      <c r="F1706" s="4" t="s">
        <v>29364</v>
      </c>
      <c r="G1706" s="4"/>
      <c r="H1706" s="4"/>
      <c r="I1706" s="4" t="s">
        <v>29365</v>
      </c>
      <c r="J1706" s="4" t="s">
        <v>2222</v>
      </c>
      <c r="K1706" s="4"/>
      <c r="L1706" s="4"/>
      <c r="M1706" s="4" t="s">
        <v>77</v>
      </c>
      <c r="N1706" s="4" t="s">
        <v>78</v>
      </c>
      <c r="O1706" s="4"/>
      <c r="P1706" s="4"/>
      <c r="Q1706" s="4"/>
      <c r="R1706" s="4"/>
      <c r="S1706" s="4"/>
      <c r="T1706" s="1" t="s">
        <v>29366</v>
      </c>
      <c r="U1706" s="4" t="s">
        <v>29367</v>
      </c>
      <c r="V1706" s="4" t="s">
        <v>29368</v>
      </c>
      <c r="W1706" s="4" t="s">
        <v>29369</v>
      </c>
      <c r="X1706" s="4" t="s">
        <v>29370</v>
      </c>
      <c r="Y1706" s="4" t="s">
        <v>29371</v>
      </c>
      <c r="Z1706" s="4" t="s">
        <v>29372</v>
      </c>
      <c r="AA1706" s="4" t="s">
        <v>29373</v>
      </c>
      <c r="AB1706" s="4" t="s">
        <v>29374</v>
      </c>
      <c r="AC1706" s="4"/>
      <c r="AD1706" s="4"/>
      <c r="AE1706" s="4"/>
      <c r="AF1706" s="4"/>
      <c r="AG1706" s="4" t="n">
        <v>22</v>
      </c>
      <c r="AH1706" s="4" t="n">
        <v>57</v>
      </c>
      <c r="AI1706" s="4" t="n">
        <v>67</v>
      </c>
      <c r="AJ1706" s="4" t="n">
        <v>0</v>
      </c>
      <c r="AK1706" s="4" t="n">
        <v>2</v>
      </c>
      <c r="AL1706" s="4" t="s">
        <v>755</v>
      </c>
      <c r="AM1706" s="4" t="s">
        <v>273</v>
      </c>
      <c r="AN1706" s="4" t="s">
        <v>756</v>
      </c>
      <c r="AO1706" s="4" t="s">
        <v>2234</v>
      </c>
      <c r="AP1706" s="4" t="s">
        <v>2235</v>
      </c>
      <c r="AQ1706" s="4"/>
      <c r="AR1706" s="4" t="s">
        <v>2236</v>
      </c>
      <c r="AS1706" s="4" t="s">
        <v>2237</v>
      </c>
      <c r="AT1706" s="4" t="s">
        <v>599</v>
      </c>
      <c r="AU1706" s="4" t="n">
        <v>2007</v>
      </c>
      <c r="AV1706" s="4" t="n">
        <v>45</v>
      </c>
      <c r="AW1706" s="4" t="n">
        <v>7</v>
      </c>
      <c r="AX1706" s="4"/>
      <c r="AY1706" s="4"/>
      <c r="AZ1706" s="4"/>
      <c r="BA1706" s="4"/>
      <c r="BB1706" s="4" t="n">
        <v>2340</v>
      </c>
      <c r="BC1706" s="4" t="n">
        <v>2343</v>
      </c>
      <c r="BD1706" s="4"/>
      <c r="BE1706" s="4" t="s">
        <v>29375</v>
      </c>
      <c r="BF1706" s="4" t="str">
        <f aca="false">HYPERLINK("http://dx.doi.org/10.1128/JCM.00364-07","http://dx.doi.org/10.1128/JCM.00364-07")</f>
        <v>http://dx.doi.org/10.1128/JCM.00364-07</v>
      </c>
      <c r="BG1706" s="4"/>
      <c r="BH1706" s="4"/>
      <c r="BI1706" s="4" t="n">
        <v>4</v>
      </c>
      <c r="BJ1706" s="4" t="s">
        <v>211</v>
      </c>
      <c r="BK1706" s="4" t="s">
        <v>100</v>
      </c>
      <c r="BL1706" s="4" t="s">
        <v>211</v>
      </c>
      <c r="BM1706" s="4" t="s">
        <v>29376</v>
      </c>
      <c r="BN1706" s="4" t="n">
        <v>17494722</v>
      </c>
      <c r="BO1706" s="4" t="s">
        <v>165</v>
      </c>
      <c r="BP1706" s="4"/>
      <c r="BQ1706" s="4"/>
      <c r="BR1706" s="4" t="s">
        <v>104</v>
      </c>
      <c r="BS1706" s="4" t="s">
        <v>29377</v>
      </c>
      <c r="BT1706" s="4" t="str">
        <f aca="false">HYPERLINK("https%3A%2F%2Fwww.webofscience.com%2Fwos%2Fwoscc%2Ffull-record%2FWOS:000248072900050","View Full Record in Web of Science")</f>
        <v>View Full Record in Web of Science</v>
      </c>
    </row>
    <row r="1707" s="5" customFormat="true" ht="12.75" hidden="false" customHeight="false" outlineLevel="0" collapsed="false">
      <c r="A1707" s="4" t="s">
        <v>72</v>
      </c>
      <c r="B1707" s="4" t="s">
        <v>29378</v>
      </c>
      <c r="C1707" s="4"/>
      <c r="D1707" s="4"/>
      <c r="E1707" s="4"/>
      <c r="F1707" s="4" t="s">
        <v>29379</v>
      </c>
      <c r="G1707" s="4"/>
      <c r="H1707" s="4"/>
      <c r="I1707" s="4" t="s">
        <v>29380</v>
      </c>
      <c r="J1707" s="4" t="s">
        <v>742</v>
      </c>
      <c r="K1707" s="4"/>
      <c r="L1707" s="4"/>
      <c r="M1707" s="4" t="s">
        <v>77</v>
      </c>
      <c r="N1707" s="4" t="s">
        <v>78</v>
      </c>
      <c r="O1707" s="4"/>
      <c r="P1707" s="4"/>
      <c r="Q1707" s="4"/>
      <c r="R1707" s="4"/>
      <c r="S1707" s="4"/>
      <c r="T1707" s="1" t="s">
        <v>29381</v>
      </c>
      <c r="U1707" s="4" t="s">
        <v>29382</v>
      </c>
      <c r="V1707" s="4" t="s">
        <v>29383</v>
      </c>
      <c r="W1707" s="4" t="s">
        <v>29384</v>
      </c>
      <c r="X1707" s="4" t="s">
        <v>4262</v>
      </c>
      <c r="Y1707" s="4" t="s">
        <v>29385</v>
      </c>
      <c r="Z1707" s="4" t="s">
        <v>6724</v>
      </c>
      <c r="AA1707" s="4" t="s">
        <v>750</v>
      </c>
      <c r="AB1707" s="4" t="s">
        <v>29386</v>
      </c>
      <c r="AC1707" s="4" t="s">
        <v>29387</v>
      </c>
      <c r="AD1707" s="4" t="s">
        <v>29388</v>
      </c>
      <c r="AE1707" s="4" t="s">
        <v>29389</v>
      </c>
      <c r="AF1707" s="4"/>
      <c r="AG1707" s="4" t="n">
        <v>51</v>
      </c>
      <c r="AH1707" s="4" t="n">
        <v>6</v>
      </c>
      <c r="AI1707" s="4" t="n">
        <v>10</v>
      </c>
      <c r="AJ1707" s="4" t="n">
        <v>0</v>
      </c>
      <c r="AK1707" s="4" t="n">
        <v>2</v>
      </c>
      <c r="AL1707" s="4" t="s">
        <v>755</v>
      </c>
      <c r="AM1707" s="4" t="s">
        <v>273</v>
      </c>
      <c r="AN1707" s="4" t="s">
        <v>756</v>
      </c>
      <c r="AO1707" s="4" t="s">
        <v>757</v>
      </c>
      <c r="AP1707" s="4" t="s">
        <v>758</v>
      </c>
      <c r="AQ1707" s="4"/>
      <c r="AR1707" s="4" t="s">
        <v>759</v>
      </c>
      <c r="AS1707" s="4" t="s">
        <v>760</v>
      </c>
      <c r="AT1707" s="4" t="s">
        <v>129</v>
      </c>
      <c r="AU1707" s="4" t="n">
        <v>2014</v>
      </c>
      <c r="AV1707" s="4" t="n">
        <v>88</v>
      </c>
      <c r="AW1707" s="4" t="n">
        <v>18</v>
      </c>
      <c r="AX1707" s="4"/>
      <c r="AY1707" s="4"/>
      <c r="AZ1707" s="4"/>
      <c r="BA1707" s="4"/>
      <c r="BB1707" s="4" t="n">
        <v>10963</v>
      </c>
      <c r="BC1707" s="4" t="n">
        <v>10969</v>
      </c>
      <c r="BD1707" s="4"/>
      <c r="BE1707" s="4" t="s">
        <v>29390</v>
      </c>
      <c r="BF1707" s="4" t="str">
        <f aca="false">HYPERLINK("http://dx.doi.org/10.1128/JVI.01558-14","http://dx.doi.org/10.1128/JVI.01558-14")</f>
        <v>http://dx.doi.org/10.1128/JVI.01558-14</v>
      </c>
      <c r="BG1707" s="4"/>
      <c r="BH1707" s="4"/>
      <c r="BI1707" s="4" t="n">
        <v>7</v>
      </c>
      <c r="BJ1707" s="4" t="s">
        <v>163</v>
      </c>
      <c r="BK1707" s="4" t="s">
        <v>100</v>
      </c>
      <c r="BL1707" s="4" t="s">
        <v>163</v>
      </c>
      <c r="BM1707" s="4" t="s">
        <v>29391</v>
      </c>
      <c r="BN1707" s="4" t="n">
        <v>24965465</v>
      </c>
      <c r="BO1707" s="4" t="s">
        <v>538</v>
      </c>
      <c r="BP1707" s="4"/>
      <c r="BQ1707" s="4"/>
      <c r="BR1707" s="4" t="s">
        <v>104</v>
      </c>
      <c r="BS1707" s="4" t="s">
        <v>29392</v>
      </c>
      <c r="BT1707" s="4" t="str">
        <f aca="false">HYPERLINK("https%3A%2F%2Fwww.webofscience.com%2Fwos%2Fwoscc%2Ffull-record%2FWOS:000341234900061","View Full Record in Web of Science")</f>
        <v>View Full Record in Web of Science</v>
      </c>
    </row>
    <row r="1708" s="5" customFormat="true" ht="12.75" hidden="false" customHeight="false" outlineLevel="0" collapsed="false">
      <c r="A1708" s="4" t="s">
        <v>72</v>
      </c>
      <c r="B1708" s="4" t="s">
        <v>29393</v>
      </c>
      <c r="C1708" s="4"/>
      <c r="D1708" s="4"/>
      <c r="E1708" s="4"/>
      <c r="F1708" s="4" t="s">
        <v>29394</v>
      </c>
      <c r="G1708" s="4"/>
      <c r="H1708" s="4"/>
      <c r="I1708" s="4" t="s">
        <v>29395</v>
      </c>
      <c r="J1708" s="4" t="s">
        <v>27453</v>
      </c>
      <c r="K1708" s="4"/>
      <c r="L1708" s="4"/>
      <c r="M1708" s="4" t="s">
        <v>77</v>
      </c>
      <c r="N1708" s="4" t="s">
        <v>78</v>
      </c>
      <c r="O1708" s="4"/>
      <c r="P1708" s="4"/>
      <c r="Q1708" s="4"/>
      <c r="R1708" s="4"/>
      <c r="S1708" s="4"/>
      <c r="T1708" s="0"/>
      <c r="U1708" s="4" t="s">
        <v>29396</v>
      </c>
      <c r="V1708" s="4" t="s">
        <v>29397</v>
      </c>
      <c r="W1708" s="4" t="s">
        <v>29398</v>
      </c>
      <c r="X1708" s="4" t="s">
        <v>14065</v>
      </c>
      <c r="Y1708" s="4" t="s">
        <v>29399</v>
      </c>
      <c r="Z1708" s="4" t="s">
        <v>14067</v>
      </c>
      <c r="AA1708" s="4" t="s">
        <v>14068</v>
      </c>
      <c r="AB1708" s="4" t="s">
        <v>14069</v>
      </c>
      <c r="AC1708" s="4"/>
      <c r="AD1708" s="4"/>
      <c r="AE1708" s="4"/>
      <c r="AF1708" s="4"/>
      <c r="AG1708" s="4" t="n">
        <v>16</v>
      </c>
      <c r="AH1708" s="4" t="n">
        <v>16</v>
      </c>
      <c r="AI1708" s="4" t="n">
        <v>18</v>
      </c>
      <c r="AJ1708" s="4" t="n">
        <v>0</v>
      </c>
      <c r="AK1708" s="4" t="n">
        <v>0</v>
      </c>
      <c r="AL1708" s="4" t="s">
        <v>27463</v>
      </c>
      <c r="AM1708" s="4" t="s">
        <v>16252</v>
      </c>
      <c r="AN1708" s="4" t="s">
        <v>27464</v>
      </c>
      <c r="AO1708" s="4" t="s">
        <v>27465</v>
      </c>
      <c r="AP1708" s="4" t="s">
        <v>27466</v>
      </c>
      <c r="AQ1708" s="4"/>
      <c r="AR1708" s="4" t="s">
        <v>27467</v>
      </c>
      <c r="AS1708" s="4" t="s">
        <v>27468</v>
      </c>
      <c r="AT1708" s="4" t="s">
        <v>129</v>
      </c>
      <c r="AU1708" s="4" t="n">
        <v>2019</v>
      </c>
      <c r="AV1708" s="4" t="n">
        <v>72</v>
      </c>
      <c r="AW1708" s="4" t="n">
        <v>5</v>
      </c>
      <c r="AX1708" s="4"/>
      <c r="AY1708" s="4"/>
      <c r="AZ1708" s="4"/>
      <c r="BA1708" s="4"/>
      <c r="BB1708" s="4" t="n">
        <v>350</v>
      </c>
      <c r="BC1708" s="4" t="n">
        <v>352</v>
      </c>
      <c r="BD1708" s="4"/>
      <c r="BE1708" s="4" t="s">
        <v>29400</v>
      </c>
      <c r="BF1708" s="4" t="str">
        <f aca="false">HYPERLINK("http://dx.doi.org/10.7883/yoken.JJID.2018.124","http://dx.doi.org/10.7883/yoken.JJID.2018.124")</f>
        <v>http://dx.doi.org/10.7883/yoken.JJID.2018.124</v>
      </c>
      <c r="BG1708" s="4"/>
      <c r="BH1708" s="4"/>
      <c r="BI1708" s="4" t="n">
        <v>3</v>
      </c>
      <c r="BJ1708" s="4" t="s">
        <v>575</v>
      </c>
      <c r="BK1708" s="4" t="s">
        <v>100</v>
      </c>
      <c r="BL1708" s="4" t="s">
        <v>575</v>
      </c>
      <c r="BM1708" s="4" t="s">
        <v>29401</v>
      </c>
      <c r="BN1708" s="4" t="n">
        <v>31155603</v>
      </c>
      <c r="BO1708" s="4"/>
      <c r="BP1708" s="4"/>
      <c r="BQ1708" s="4"/>
      <c r="BR1708" s="4" t="s">
        <v>104</v>
      </c>
      <c r="BS1708" s="4" t="s">
        <v>29402</v>
      </c>
      <c r="BT1708" s="4" t="str">
        <f aca="false">HYPERLINK("https%3A%2F%2Fwww.webofscience.com%2Fwos%2Fwoscc%2Ffull-record%2FWOS:000489677000015","View Full Record in Web of Science")</f>
        <v>View Full Record in Web of Science</v>
      </c>
    </row>
    <row r="1709" s="5" customFormat="true" ht="12.75" hidden="false" customHeight="false" outlineLevel="0" collapsed="false">
      <c r="A1709" s="4" t="s">
        <v>72</v>
      </c>
      <c r="B1709" s="4" t="s">
        <v>29403</v>
      </c>
      <c r="C1709" s="4"/>
      <c r="D1709" s="4"/>
      <c r="E1709" s="4"/>
      <c r="F1709" s="4" t="s">
        <v>29404</v>
      </c>
      <c r="G1709" s="4"/>
      <c r="H1709" s="4"/>
      <c r="I1709" s="4" t="s">
        <v>29405</v>
      </c>
      <c r="J1709" s="4" t="s">
        <v>13758</v>
      </c>
      <c r="K1709" s="4"/>
      <c r="L1709" s="4"/>
      <c r="M1709" s="4" t="s">
        <v>77</v>
      </c>
      <c r="N1709" s="4" t="s">
        <v>78</v>
      </c>
      <c r="O1709" s="4"/>
      <c r="P1709" s="4"/>
      <c r="Q1709" s="4"/>
      <c r="R1709" s="4"/>
      <c r="S1709" s="4"/>
      <c r="T1709" s="1" t="s">
        <v>29406</v>
      </c>
      <c r="U1709" s="4" t="s">
        <v>29407</v>
      </c>
      <c r="V1709" s="4" t="s">
        <v>29408</v>
      </c>
      <c r="W1709" s="4" t="s">
        <v>29409</v>
      </c>
      <c r="X1709" s="4" t="s">
        <v>29410</v>
      </c>
      <c r="Y1709" s="4" t="s">
        <v>29411</v>
      </c>
      <c r="Z1709" s="4" t="s">
        <v>29412</v>
      </c>
      <c r="AA1709" s="4" t="s">
        <v>10173</v>
      </c>
      <c r="AB1709" s="4"/>
      <c r="AC1709" s="4" t="s">
        <v>29413</v>
      </c>
      <c r="AD1709" s="4" t="s">
        <v>29414</v>
      </c>
      <c r="AE1709" s="4" t="s">
        <v>29415</v>
      </c>
      <c r="AF1709" s="4"/>
      <c r="AG1709" s="4" t="n">
        <v>30</v>
      </c>
      <c r="AH1709" s="4" t="n">
        <v>13</v>
      </c>
      <c r="AI1709" s="4" t="n">
        <v>18</v>
      </c>
      <c r="AJ1709" s="4" t="n">
        <v>1</v>
      </c>
      <c r="AK1709" s="4" t="n">
        <v>5</v>
      </c>
      <c r="AL1709" s="4" t="s">
        <v>13769</v>
      </c>
      <c r="AM1709" s="4" t="s">
        <v>16554</v>
      </c>
      <c r="AN1709" s="4" t="s">
        <v>16555</v>
      </c>
      <c r="AO1709" s="4" t="s">
        <v>13772</v>
      </c>
      <c r="AP1709" s="4" t="s">
        <v>13773</v>
      </c>
      <c r="AQ1709" s="4"/>
      <c r="AR1709" s="4" t="s">
        <v>13774</v>
      </c>
      <c r="AS1709" s="4" t="s">
        <v>13775</v>
      </c>
      <c r="AT1709" s="4" t="s">
        <v>804</v>
      </c>
      <c r="AU1709" s="4" t="n">
        <v>2009</v>
      </c>
      <c r="AV1709" s="4" t="n">
        <v>154</v>
      </c>
      <c r="AW1709" s="4" t="n">
        <v>11</v>
      </c>
      <c r="AX1709" s="4"/>
      <c r="AY1709" s="4"/>
      <c r="AZ1709" s="4"/>
      <c r="BA1709" s="4"/>
      <c r="BB1709" s="4" t="n">
        <v>1831</v>
      </c>
      <c r="BC1709" s="4" t="n">
        <v>1836</v>
      </c>
      <c r="BD1709" s="4"/>
      <c r="BE1709" s="4" t="s">
        <v>29416</v>
      </c>
      <c r="BF1709" s="4" t="str">
        <f aca="false">HYPERLINK("http://dx.doi.org/10.1007/s00705-009-0492-8","http://dx.doi.org/10.1007/s00705-009-0492-8")</f>
        <v>http://dx.doi.org/10.1007/s00705-009-0492-8</v>
      </c>
      <c r="BG1709" s="4"/>
      <c r="BH1709" s="4"/>
      <c r="BI1709" s="4" t="n">
        <v>6</v>
      </c>
      <c r="BJ1709" s="4" t="s">
        <v>163</v>
      </c>
      <c r="BK1709" s="4" t="s">
        <v>100</v>
      </c>
      <c r="BL1709" s="4" t="s">
        <v>163</v>
      </c>
      <c r="BM1709" s="4" t="s">
        <v>29417</v>
      </c>
      <c r="BN1709" s="4" t="n">
        <v>19774338</v>
      </c>
      <c r="BO1709" s="4" t="s">
        <v>538</v>
      </c>
      <c r="BP1709" s="4"/>
      <c r="BQ1709" s="4"/>
      <c r="BR1709" s="4" t="s">
        <v>104</v>
      </c>
      <c r="BS1709" s="4" t="s">
        <v>29418</v>
      </c>
      <c r="BT1709" s="4" t="str">
        <f aca="false">HYPERLINK("https%3A%2F%2Fwww.webofscience.com%2Fwos%2Fwoscc%2Ffull-record%2FWOS:000271198100013","View Full Record in Web of Science")</f>
        <v>View Full Record in Web of Science</v>
      </c>
    </row>
    <row r="1710" s="5" customFormat="true" ht="12.75" hidden="false" customHeight="false" outlineLevel="0" collapsed="false">
      <c r="A1710" s="4" t="s">
        <v>72</v>
      </c>
      <c r="B1710" s="4" t="s">
        <v>29419</v>
      </c>
      <c r="C1710" s="4"/>
      <c r="D1710" s="4"/>
      <c r="E1710" s="4"/>
      <c r="F1710" s="4" t="s">
        <v>29419</v>
      </c>
      <c r="G1710" s="4"/>
      <c r="H1710" s="4"/>
      <c r="I1710" s="4" t="s">
        <v>29420</v>
      </c>
      <c r="J1710" s="4" t="s">
        <v>8945</v>
      </c>
      <c r="K1710" s="4"/>
      <c r="L1710" s="4"/>
      <c r="M1710" s="4" t="s">
        <v>77</v>
      </c>
      <c r="N1710" s="4" t="s">
        <v>78</v>
      </c>
      <c r="O1710" s="4"/>
      <c r="P1710" s="4"/>
      <c r="Q1710" s="4"/>
      <c r="R1710" s="4"/>
      <c r="S1710" s="4"/>
      <c r="T1710" s="1" t="s">
        <v>29421</v>
      </c>
      <c r="U1710" s="4" t="s">
        <v>29422</v>
      </c>
      <c r="V1710" s="4" t="s">
        <v>29423</v>
      </c>
      <c r="W1710" s="4" t="s">
        <v>29424</v>
      </c>
      <c r="X1710" s="4" t="s">
        <v>29425</v>
      </c>
      <c r="Y1710" s="4" t="s">
        <v>29426</v>
      </c>
      <c r="Z1710" s="4"/>
      <c r="AA1710" s="4" t="s">
        <v>29427</v>
      </c>
      <c r="AB1710" s="4" t="s">
        <v>29428</v>
      </c>
      <c r="AC1710" s="4"/>
      <c r="AD1710" s="4"/>
      <c r="AE1710" s="4"/>
      <c r="AF1710" s="4"/>
      <c r="AG1710" s="4" t="n">
        <v>13</v>
      </c>
      <c r="AH1710" s="4" t="n">
        <v>25</v>
      </c>
      <c r="AI1710" s="4" t="n">
        <v>29</v>
      </c>
      <c r="AJ1710" s="4" t="n">
        <v>0</v>
      </c>
      <c r="AK1710" s="4" t="n">
        <v>0</v>
      </c>
      <c r="AL1710" s="4" t="s">
        <v>29012</v>
      </c>
      <c r="AM1710" s="4" t="s">
        <v>29013</v>
      </c>
      <c r="AN1710" s="4" t="s">
        <v>29014</v>
      </c>
      <c r="AO1710" s="4" t="s">
        <v>8959</v>
      </c>
      <c r="AP1710" s="4"/>
      <c r="AQ1710" s="4"/>
      <c r="AR1710" s="4" t="s">
        <v>8961</v>
      </c>
      <c r="AS1710" s="4" t="s">
        <v>8962</v>
      </c>
      <c r="AT1710" s="4" t="s">
        <v>336</v>
      </c>
      <c r="AU1710" s="4" t="n">
        <v>2003</v>
      </c>
      <c r="AV1710" s="4" t="n">
        <v>35</v>
      </c>
      <c r="AW1710" s="4" t="n">
        <v>10</v>
      </c>
      <c r="AX1710" s="4"/>
      <c r="AY1710" s="4"/>
      <c r="AZ1710" s="4"/>
      <c r="BA1710" s="4"/>
      <c r="BB1710" s="4" t="n">
        <v>754</v>
      </c>
      <c r="BC1710" s="4" t="n">
        <v>756</v>
      </c>
      <c r="BD1710" s="4"/>
      <c r="BE1710" s="4" t="s">
        <v>29429</v>
      </c>
      <c r="BF1710" s="4" t="str">
        <f aca="false">HYPERLINK("http://dx.doi.org/10.1080/00365540310000094","http://dx.doi.org/10.1080/00365540310000094")</f>
        <v>http://dx.doi.org/10.1080/00365540310000094</v>
      </c>
      <c r="BG1710" s="4"/>
      <c r="BH1710" s="4"/>
      <c r="BI1710" s="4" t="n">
        <v>3</v>
      </c>
      <c r="BJ1710" s="4" t="s">
        <v>575</v>
      </c>
      <c r="BK1710" s="4" t="s">
        <v>100</v>
      </c>
      <c r="BL1710" s="4" t="s">
        <v>575</v>
      </c>
      <c r="BM1710" s="4" t="s">
        <v>29016</v>
      </c>
      <c r="BN1710" s="4" t="n">
        <v>14606616</v>
      </c>
      <c r="BO1710" s="4"/>
      <c r="BP1710" s="4"/>
      <c r="BQ1710" s="4"/>
      <c r="BR1710" s="4" t="s">
        <v>104</v>
      </c>
      <c r="BS1710" s="4" t="s">
        <v>29430</v>
      </c>
      <c r="BT1710" s="4" t="str">
        <f aca="false">HYPERLINK("https%3A%2F%2Fwww.webofscience.com%2Fwos%2Fwoscc%2Ffull-record%2FWOS:000185887100010","View Full Record in Web of Science")</f>
        <v>View Full Record in Web of Science</v>
      </c>
    </row>
    <row r="1711" s="5" customFormat="true" ht="12.75" hidden="false" customHeight="false" outlineLevel="0" collapsed="false">
      <c r="A1711" s="4" t="s">
        <v>72</v>
      </c>
      <c r="B1711" s="4" t="s">
        <v>29431</v>
      </c>
      <c r="C1711" s="4"/>
      <c r="D1711" s="4"/>
      <c r="E1711" s="4"/>
      <c r="F1711" s="4" t="s">
        <v>29431</v>
      </c>
      <c r="G1711" s="4"/>
      <c r="H1711" s="4"/>
      <c r="I1711" s="4" t="s">
        <v>29432</v>
      </c>
      <c r="J1711" s="4" t="s">
        <v>2222</v>
      </c>
      <c r="K1711" s="4"/>
      <c r="L1711" s="4"/>
      <c r="M1711" s="4" t="s">
        <v>77</v>
      </c>
      <c r="N1711" s="4" t="s">
        <v>78</v>
      </c>
      <c r="O1711" s="4"/>
      <c r="P1711" s="4"/>
      <c r="Q1711" s="4"/>
      <c r="R1711" s="4"/>
      <c r="S1711" s="4"/>
      <c r="T1711" s="1" t="s">
        <v>29433</v>
      </c>
      <c r="U1711" s="4"/>
      <c r="V1711" s="4" t="s">
        <v>29434</v>
      </c>
      <c r="W1711" s="4" t="s">
        <v>29435</v>
      </c>
      <c r="X1711" s="4" t="s">
        <v>29436</v>
      </c>
      <c r="Y1711" s="4" t="s">
        <v>29437</v>
      </c>
      <c r="Z1711" s="4"/>
      <c r="AA1711" s="4"/>
      <c r="AB1711" s="4" t="s">
        <v>29438</v>
      </c>
      <c r="AC1711" s="4"/>
      <c r="AD1711" s="4"/>
      <c r="AE1711" s="4"/>
      <c r="AF1711" s="4"/>
      <c r="AG1711" s="4" t="n">
        <v>8</v>
      </c>
      <c r="AH1711" s="4" t="n">
        <v>118</v>
      </c>
      <c r="AI1711" s="4" t="n">
        <v>137</v>
      </c>
      <c r="AJ1711" s="4" t="n">
        <v>0</v>
      </c>
      <c r="AK1711" s="4" t="n">
        <v>0</v>
      </c>
      <c r="AL1711" s="4" t="s">
        <v>755</v>
      </c>
      <c r="AM1711" s="4" t="s">
        <v>273</v>
      </c>
      <c r="AN1711" s="4" t="s">
        <v>756</v>
      </c>
      <c r="AO1711" s="4" t="s">
        <v>2234</v>
      </c>
      <c r="AP1711" s="4"/>
      <c r="AQ1711" s="4"/>
      <c r="AR1711" s="4" t="s">
        <v>2236</v>
      </c>
      <c r="AS1711" s="4" t="s">
        <v>2237</v>
      </c>
      <c r="AT1711" s="4" t="s">
        <v>599</v>
      </c>
      <c r="AU1711" s="4" t="n">
        <v>2003</v>
      </c>
      <c r="AV1711" s="4" t="n">
        <v>41</v>
      </c>
      <c r="AW1711" s="4" t="n">
        <v>7</v>
      </c>
      <c r="AX1711" s="4"/>
      <c r="AY1711" s="4"/>
      <c r="AZ1711" s="4"/>
      <c r="BA1711" s="4"/>
      <c r="BB1711" s="4" t="n">
        <v>3043</v>
      </c>
      <c r="BC1711" s="4" t="n">
        <v>3045</v>
      </c>
      <c r="BD1711" s="4"/>
      <c r="BE1711" s="4" t="s">
        <v>29439</v>
      </c>
      <c r="BF1711" s="4" t="str">
        <f aca="false">HYPERLINK("http://dx.doi.org/10.1128/JCM.41.7.3043-3045.2003","http://dx.doi.org/10.1128/JCM.41.7.3043-3045.2003")</f>
        <v>http://dx.doi.org/10.1128/JCM.41.7.3043-3045.2003</v>
      </c>
      <c r="BG1711" s="4"/>
      <c r="BH1711" s="4"/>
      <c r="BI1711" s="4" t="n">
        <v>3</v>
      </c>
      <c r="BJ1711" s="4" t="s">
        <v>211</v>
      </c>
      <c r="BK1711" s="4" t="s">
        <v>100</v>
      </c>
      <c r="BL1711" s="4" t="s">
        <v>211</v>
      </c>
      <c r="BM1711" s="4" t="s">
        <v>28459</v>
      </c>
      <c r="BN1711" s="4" t="n">
        <v>12843040</v>
      </c>
      <c r="BO1711" s="4" t="s">
        <v>165</v>
      </c>
      <c r="BP1711" s="4"/>
      <c r="BQ1711" s="4"/>
      <c r="BR1711" s="4" t="s">
        <v>104</v>
      </c>
      <c r="BS1711" s="4" t="s">
        <v>29440</v>
      </c>
      <c r="BT1711" s="4" t="str">
        <f aca="false">HYPERLINK("https%3A%2F%2Fwww.webofscience.com%2Fwos%2Fwoscc%2Ffull-record%2FWOS:000184170800037","View Full Record in Web of Science")</f>
        <v>View Full Record in Web of Science</v>
      </c>
    </row>
    <row r="1712" s="5" customFormat="true" ht="12.75" hidden="false" customHeight="false" outlineLevel="0" collapsed="false">
      <c r="A1712" s="4" t="s">
        <v>72</v>
      </c>
      <c r="B1712" s="4" t="s">
        <v>29441</v>
      </c>
      <c r="C1712" s="4"/>
      <c r="D1712" s="4"/>
      <c r="E1712" s="4"/>
      <c r="F1712" s="4" t="s">
        <v>29442</v>
      </c>
      <c r="G1712" s="4"/>
      <c r="H1712" s="4"/>
      <c r="I1712" s="4" t="s">
        <v>29443</v>
      </c>
      <c r="J1712" s="4" t="s">
        <v>2222</v>
      </c>
      <c r="K1712" s="4"/>
      <c r="L1712" s="4"/>
      <c r="M1712" s="4" t="s">
        <v>77</v>
      </c>
      <c r="N1712" s="4" t="s">
        <v>78</v>
      </c>
      <c r="O1712" s="4"/>
      <c r="P1712" s="4"/>
      <c r="Q1712" s="4"/>
      <c r="R1712" s="4"/>
      <c r="S1712" s="4"/>
      <c r="T1712" s="1" t="s">
        <v>29444</v>
      </c>
      <c r="U1712" s="4" t="s">
        <v>29445</v>
      </c>
      <c r="V1712" s="4" t="s">
        <v>29446</v>
      </c>
      <c r="W1712" s="4" t="s">
        <v>29447</v>
      </c>
      <c r="X1712" s="4" t="s">
        <v>29448</v>
      </c>
      <c r="Y1712" s="4" t="s">
        <v>29449</v>
      </c>
      <c r="Z1712" s="4" t="s">
        <v>29450</v>
      </c>
      <c r="AA1712" s="4" t="s">
        <v>29451</v>
      </c>
      <c r="AB1712" s="4" t="s">
        <v>29452</v>
      </c>
      <c r="AC1712" s="4"/>
      <c r="AD1712" s="4"/>
      <c r="AE1712" s="4"/>
      <c r="AF1712" s="4"/>
      <c r="AG1712" s="4" t="n">
        <v>9</v>
      </c>
      <c r="AH1712" s="4" t="n">
        <v>28</v>
      </c>
      <c r="AI1712" s="4" t="n">
        <v>30</v>
      </c>
      <c r="AJ1712" s="4" t="n">
        <v>0</v>
      </c>
      <c r="AK1712" s="4" t="n">
        <v>3</v>
      </c>
      <c r="AL1712" s="4" t="s">
        <v>755</v>
      </c>
      <c r="AM1712" s="4" t="s">
        <v>273</v>
      </c>
      <c r="AN1712" s="4" t="s">
        <v>756</v>
      </c>
      <c r="AO1712" s="4" t="s">
        <v>2234</v>
      </c>
      <c r="AP1712" s="4" t="s">
        <v>2235</v>
      </c>
      <c r="AQ1712" s="4"/>
      <c r="AR1712" s="4" t="s">
        <v>2236</v>
      </c>
      <c r="AS1712" s="4" t="s">
        <v>2237</v>
      </c>
      <c r="AT1712" s="4" t="s">
        <v>486</v>
      </c>
      <c r="AU1712" s="4" t="n">
        <v>2006</v>
      </c>
      <c r="AV1712" s="4" t="n">
        <v>44</v>
      </c>
      <c r="AW1712" s="4" t="n">
        <v>6</v>
      </c>
      <c r="AX1712" s="4"/>
      <c r="AY1712" s="4"/>
      <c r="AZ1712" s="4"/>
      <c r="BA1712" s="4"/>
      <c r="BB1712" s="4" t="n">
        <v>2300</v>
      </c>
      <c r="BC1712" s="4" t="n">
        <v>2303</v>
      </c>
      <c r="BD1712" s="4"/>
      <c r="BE1712" s="4" t="s">
        <v>29453</v>
      </c>
      <c r="BF1712" s="4" t="str">
        <f aca="false">HYPERLINK("http://dx.doi.org/10.1128/JCM.00152-06","http://dx.doi.org/10.1128/JCM.00152-06")</f>
        <v>http://dx.doi.org/10.1128/JCM.00152-06</v>
      </c>
      <c r="BG1712" s="4"/>
      <c r="BH1712" s="4"/>
      <c r="BI1712" s="4" t="n">
        <v>4</v>
      </c>
      <c r="BJ1712" s="4" t="s">
        <v>211</v>
      </c>
      <c r="BK1712" s="4" t="s">
        <v>100</v>
      </c>
      <c r="BL1712" s="4" t="s">
        <v>211</v>
      </c>
      <c r="BM1712" s="4" t="s">
        <v>29454</v>
      </c>
      <c r="BN1712" s="4" t="n">
        <v>16757646</v>
      </c>
      <c r="BO1712" s="4" t="s">
        <v>165</v>
      </c>
      <c r="BP1712" s="4"/>
      <c r="BQ1712" s="4"/>
      <c r="BR1712" s="4" t="s">
        <v>104</v>
      </c>
      <c r="BS1712" s="4" t="s">
        <v>29455</v>
      </c>
      <c r="BT1712" s="4" t="str">
        <f aca="false">HYPERLINK("https%3A%2F%2Fwww.webofscience.com%2Fwos%2Fwoscc%2Ffull-record%2FWOS:000238332900066","View Full Record in Web of Science")</f>
        <v>View Full Record in Web of Science</v>
      </c>
    </row>
    <row r="1713" s="5" customFormat="true" ht="12.75" hidden="false" customHeight="false" outlineLevel="0" collapsed="false">
      <c r="A1713" s="4" t="s">
        <v>72</v>
      </c>
      <c r="B1713" s="4" t="s">
        <v>29456</v>
      </c>
      <c r="C1713" s="4"/>
      <c r="D1713" s="4"/>
      <c r="E1713" s="4"/>
      <c r="F1713" s="4" t="s">
        <v>29457</v>
      </c>
      <c r="G1713" s="4"/>
      <c r="H1713" s="4"/>
      <c r="I1713" s="4" t="s">
        <v>29458</v>
      </c>
      <c r="J1713" s="4" t="s">
        <v>27453</v>
      </c>
      <c r="K1713" s="4"/>
      <c r="L1713" s="4"/>
      <c r="M1713" s="4" t="s">
        <v>77</v>
      </c>
      <c r="N1713" s="4" t="s">
        <v>78</v>
      </c>
      <c r="O1713" s="4"/>
      <c r="P1713" s="4"/>
      <c r="Q1713" s="4"/>
      <c r="R1713" s="4"/>
      <c r="S1713" s="4"/>
      <c r="T1713" s="1" t="s">
        <v>29459</v>
      </c>
      <c r="U1713" s="4" t="s">
        <v>29460</v>
      </c>
      <c r="V1713" s="4" t="s">
        <v>29461</v>
      </c>
      <c r="W1713" s="4" t="s">
        <v>29462</v>
      </c>
      <c r="X1713" s="4" t="s">
        <v>29463</v>
      </c>
      <c r="Y1713" s="4" t="s">
        <v>29464</v>
      </c>
      <c r="Z1713" s="4" t="s">
        <v>29465</v>
      </c>
      <c r="AA1713" s="4" t="s">
        <v>29096</v>
      </c>
      <c r="AB1713" s="4"/>
      <c r="AC1713" s="4" t="s">
        <v>29466</v>
      </c>
      <c r="AD1713" s="4" t="s">
        <v>29467</v>
      </c>
      <c r="AE1713" s="4" t="s">
        <v>29468</v>
      </c>
      <c r="AF1713" s="4"/>
      <c r="AG1713" s="4" t="n">
        <v>23</v>
      </c>
      <c r="AH1713" s="4" t="n">
        <v>5</v>
      </c>
      <c r="AI1713" s="4" t="n">
        <v>5</v>
      </c>
      <c r="AJ1713" s="4" t="n">
        <v>1</v>
      </c>
      <c r="AK1713" s="4" t="n">
        <v>3</v>
      </c>
      <c r="AL1713" s="4" t="s">
        <v>27463</v>
      </c>
      <c r="AM1713" s="4" t="s">
        <v>16252</v>
      </c>
      <c r="AN1713" s="4" t="s">
        <v>27464</v>
      </c>
      <c r="AO1713" s="4" t="s">
        <v>27465</v>
      </c>
      <c r="AP1713" s="4" t="s">
        <v>27466</v>
      </c>
      <c r="AQ1713" s="4"/>
      <c r="AR1713" s="4" t="s">
        <v>27467</v>
      </c>
      <c r="AS1713" s="4" t="s">
        <v>27468</v>
      </c>
      <c r="AT1713" s="4" t="s">
        <v>161</v>
      </c>
      <c r="AU1713" s="4" t="n">
        <v>2013</v>
      </c>
      <c r="AV1713" s="4" t="n">
        <v>66</v>
      </c>
      <c r="AW1713" s="4" t="n">
        <v>1</v>
      </c>
      <c r="AX1713" s="4"/>
      <c r="AY1713" s="4"/>
      <c r="AZ1713" s="4"/>
      <c r="BA1713" s="4"/>
      <c r="BB1713" s="4" t="n">
        <v>56</v>
      </c>
      <c r="BC1713" s="4" t="n">
        <v>59</v>
      </c>
      <c r="BD1713" s="4"/>
      <c r="BE1713" s="4" t="s">
        <v>29469</v>
      </c>
      <c r="BF1713" s="4" t="str">
        <f aca="false">HYPERLINK("http://dx.doi.org/10.7883/yoken.66.56","http://dx.doi.org/10.7883/yoken.66.56")</f>
        <v>http://dx.doi.org/10.7883/yoken.66.56</v>
      </c>
      <c r="BG1713" s="4"/>
      <c r="BH1713" s="4"/>
      <c r="BI1713" s="4" t="n">
        <v>4</v>
      </c>
      <c r="BJ1713" s="4" t="s">
        <v>575</v>
      </c>
      <c r="BK1713" s="4" t="s">
        <v>100</v>
      </c>
      <c r="BL1713" s="4" t="s">
        <v>575</v>
      </c>
      <c r="BM1713" s="4" t="s">
        <v>29470</v>
      </c>
      <c r="BN1713" s="4" t="n">
        <v>23429087</v>
      </c>
      <c r="BO1713" s="4" t="s">
        <v>656</v>
      </c>
      <c r="BP1713" s="4"/>
      <c r="BQ1713" s="4"/>
      <c r="BR1713" s="4" t="s">
        <v>104</v>
      </c>
      <c r="BS1713" s="4" t="s">
        <v>29471</v>
      </c>
      <c r="BT1713" s="4" t="str">
        <f aca="false">HYPERLINK("https%3A%2F%2Fwww.webofscience.com%2Fwos%2Fwoscc%2Ffull-record%2FWOS:000319095800012","View Full Record in Web of Science")</f>
        <v>View Full Record in Web of Science</v>
      </c>
    </row>
    <row r="1714" s="5" customFormat="true" ht="12.75" hidden="false" customHeight="false" outlineLevel="0" collapsed="false">
      <c r="A1714" s="4" t="s">
        <v>72</v>
      </c>
      <c r="B1714" s="4" t="s">
        <v>29472</v>
      </c>
      <c r="C1714" s="4"/>
      <c r="D1714" s="4"/>
      <c r="E1714" s="4"/>
      <c r="F1714" s="4" t="s">
        <v>29473</v>
      </c>
      <c r="G1714" s="4"/>
      <c r="H1714" s="4"/>
      <c r="I1714" s="4" t="s">
        <v>29474</v>
      </c>
      <c r="J1714" s="4" t="s">
        <v>28007</v>
      </c>
      <c r="K1714" s="4"/>
      <c r="L1714" s="4"/>
      <c r="M1714" s="4" t="s">
        <v>77</v>
      </c>
      <c r="N1714" s="4" t="s">
        <v>78</v>
      </c>
      <c r="O1714" s="4"/>
      <c r="P1714" s="4"/>
      <c r="Q1714" s="4"/>
      <c r="R1714" s="4"/>
      <c r="S1714" s="4"/>
      <c r="T1714" s="1" t="s">
        <v>29475</v>
      </c>
      <c r="U1714" s="4" t="s">
        <v>29476</v>
      </c>
      <c r="V1714" s="4" t="s">
        <v>29477</v>
      </c>
      <c r="W1714" s="4" t="s">
        <v>29478</v>
      </c>
      <c r="X1714" s="4" t="s">
        <v>29479</v>
      </c>
      <c r="Y1714" s="4" t="s">
        <v>29480</v>
      </c>
      <c r="Z1714" s="4" t="s">
        <v>28013</v>
      </c>
      <c r="AA1714" s="4" t="s">
        <v>29481</v>
      </c>
      <c r="AB1714" s="4" t="s">
        <v>13855</v>
      </c>
      <c r="AC1714" s="4"/>
      <c r="AD1714" s="4"/>
      <c r="AE1714" s="4"/>
      <c r="AF1714" s="4"/>
      <c r="AG1714" s="4" t="n">
        <v>13</v>
      </c>
      <c r="AH1714" s="4" t="n">
        <v>6</v>
      </c>
      <c r="AI1714" s="4" t="n">
        <v>9</v>
      </c>
      <c r="AJ1714" s="4" t="n">
        <v>0</v>
      </c>
      <c r="AK1714" s="4" t="n">
        <v>1</v>
      </c>
      <c r="AL1714" s="4" t="s">
        <v>29482</v>
      </c>
      <c r="AM1714" s="4" t="s">
        <v>5524</v>
      </c>
      <c r="AN1714" s="4" t="s">
        <v>5525</v>
      </c>
      <c r="AO1714" s="4" t="s">
        <v>28014</v>
      </c>
      <c r="AP1714" s="4"/>
      <c r="AQ1714" s="4"/>
      <c r="AR1714" s="4" t="s">
        <v>28007</v>
      </c>
      <c r="AS1714" s="4" t="s">
        <v>28016</v>
      </c>
      <c r="AT1714" s="4" t="s">
        <v>1041</v>
      </c>
      <c r="AU1714" s="4" t="n">
        <v>2007</v>
      </c>
      <c r="AV1714" s="4" t="n">
        <v>26</v>
      </c>
      <c r="AW1714" s="4" t="n">
        <v>1</v>
      </c>
      <c r="AX1714" s="4"/>
      <c r="AY1714" s="4"/>
      <c r="AZ1714" s="4"/>
      <c r="BA1714" s="4"/>
      <c r="BB1714" s="4" t="n">
        <v>17</v>
      </c>
      <c r="BC1714" s="4" t="n">
        <v>21</v>
      </c>
      <c r="BD1714" s="4"/>
      <c r="BE1714" s="4" t="s">
        <v>29483</v>
      </c>
      <c r="BF1714" s="4" t="str">
        <f aca="false">HYPERLINK("http://dx.doi.org/10.1089/hyb.2006.034","http://dx.doi.org/10.1089/hyb.2006.034")</f>
        <v>http://dx.doi.org/10.1089/hyb.2006.034</v>
      </c>
      <c r="BG1714" s="4"/>
      <c r="BH1714" s="4"/>
      <c r="BI1714" s="4" t="n">
        <v>5</v>
      </c>
      <c r="BJ1714" s="4" t="s">
        <v>28018</v>
      </c>
      <c r="BK1714" s="4" t="s">
        <v>100</v>
      </c>
      <c r="BL1714" s="4" t="s">
        <v>28019</v>
      </c>
      <c r="BM1714" s="4" t="s">
        <v>29484</v>
      </c>
      <c r="BN1714" s="4" t="n">
        <v>17316081</v>
      </c>
      <c r="BO1714" s="4"/>
      <c r="BP1714" s="4"/>
      <c r="BQ1714" s="4"/>
      <c r="BR1714" s="4" t="s">
        <v>104</v>
      </c>
      <c r="BS1714" s="4" t="s">
        <v>29485</v>
      </c>
      <c r="BT1714" s="4" t="str">
        <f aca="false">HYPERLINK("https%3A%2F%2Fwww.webofscience.com%2Fwos%2Fwoscc%2Ffull-record%2FWOS:000244402600003","View Full Record in Web of Science")</f>
        <v>View Full Record in Web of Science</v>
      </c>
    </row>
    <row r="1715" s="5" customFormat="true" ht="12.75" hidden="false" customHeight="false" outlineLevel="0" collapsed="false">
      <c r="A1715" s="4" t="s">
        <v>72</v>
      </c>
      <c r="B1715" s="4" t="s">
        <v>29486</v>
      </c>
      <c r="C1715" s="4"/>
      <c r="D1715" s="4"/>
      <c r="E1715" s="4"/>
      <c r="F1715" s="4" t="s">
        <v>29487</v>
      </c>
      <c r="G1715" s="4"/>
      <c r="H1715" s="4"/>
      <c r="I1715" s="4" t="s">
        <v>29488</v>
      </c>
      <c r="J1715" s="4" t="s">
        <v>29489</v>
      </c>
      <c r="K1715" s="4"/>
      <c r="L1715" s="4"/>
      <c r="M1715" s="4" t="s">
        <v>77</v>
      </c>
      <c r="N1715" s="4" t="s">
        <v>78</v>
      </c>
      <c r="O1715" s="4"/>
      <c r="P1715" s="4"/>
      <c r="Q1715" s="4"/>
      <c r="R1715" s="4"/>
      <c r="S1715" s="4"/>
      <c r="T1715" s="1" t="s">
        <v>29490</v>
      </c>
      <c r="U1715" s="4" t="s">
        <v>29491</v>
      </c>
      <c r="V1715" s="4" t="s">
        <v>29492</v>
      </c>
      <c r="W1715" s="4" t="s">
        <v>29493</v>
      </c>
      <c r="X1715" s="4" t="s">
        <v>29494</v>
      </c>
      <c r="Y1715" s="4" t="s">
        <v>29495</v>
      </c>
      <c r="Z1715" s="4" t="s">
        <v>29496</v>
      </c>
      <c r="AA1715" s="4" t="s">
        <v>3047</v>
      </c>
      <c r="AB1715" s="4" t="s">
        <v>3048</v>
      </c>
      <c r="AC1715" s="4"/>
      <c r="AD1715" s="4"/>
      <c r="AE1715" s="4"/>
      <c r="AF1715" s="4"/>
      <c r="AG1715" s="4" t="n">
        <v>22</v>
      </c>
      <c r="AH1715" s="4" t="n">
        <v>24</v>
      </c>
      <c r="AI1715" s="4" t="n">
        <v>28</v>
      </c>
      <c r="AJ1715" s="4" t="n">
        <v>1</v>
      </c>
      <c r="AK1715" s="4" t="n">
        <v>2</v>
      </c>
      <c r="AL1715" s="4" t="s">
        <v>755</v>
      </c>
      <c r="AM1715" s="4" t="s">
        <v>273</v>
      </c>
      <c r="AN1715" s="4" t="s">
        <v>756</v>
      </c>
      <c r="AO1715" s="4" t="s">
        <v>29497</v>
      </c>
      <c r="AP1715" s="4" t="s">
        <v>29498</v>
      </c>
      <c r="AQ1715" s="4"/>
      <c r="AR1715" s="4" t="s">
        <v>29499</v>
      </c>
      <c r="AS1715" s="4" t="s">
        <v>29500</v>
      </c>
      <c r="AT1715" s="4" t="s">
        <v>97</v>
      </c>
      <c r="AU1715" s="4" t="n">
        <v>2010</v>
      </c>
      <c r="AV1715" s="4" t="n">
        <v>17</v>
      </c>
      <c r="AW1715" s="4" t="n">
        <v>3</v>
      </c>
      <c r="AX1715" s="4"/>
      <c r="AY1715" s="4"/>
      <c r="AZ1715" s="4"/>
      <c r="BA1715" s="4"/>
      <c r="BB1715" s="4" t="n">
        <v>481</v>
      </c>
      <c r="BC1715" s="4" t="n">
        <v>484</v>
      </c>
      <c r="BD1715" s="4"/>
      <c r="BE1715" s="4" t="s">
        <v>29501</v>
      </c>
      <c r="BF1715" s="4" t="str">
        <f aca="false">HYPERLINK("http://dx.doi.org/10.1128/CVI.00398-09","http://dx.doi.org/10.1128/CVI.00398-09")</f>
        <v>http://dx.doi.org/10.1128/CVI.00398-09</v>
      </c>
      <c r="BG1715" s="4"/>
      <c r="BH1715" s="4"/>
      <c r="BI1715" s="4" t="n">
        <v>4</v>
      </c>
      <c r="BJ1715" s="4" t="s">
        <v>536</v>
      </c>
      <c r="BK1715" s="4" t="s">
        <v>100</v>
      </c>
      <c r="BL1715" s="4" t="s">
        <v>536</v>
      </c>
      <c r="BM1715" s="4" t="s">
        <v>29502</v>
      </c>
      <c r="BN1715" s="4" t="n">
        <v>20042516</v>
      </c>
      <c r="BO1715" s="4" t="s">
        <v>190</v>
      </c>
      <c r="BP1715" s="4"/>
      <c r="BQ1715" s="4"/>
      <c r="BR1715" s="4" t="s">
        <v>104</v>
      </c>
      <c r="BS1715" s="4" t="s">
        <v>29503</v>
      </c>
      <c r="BT1715" s="4" t="str">
        <f aca="false">HYPERLINK("https%3A%2F%2Fwww.webofscience.com%2Fwos%2Fwoscc%2Ffull-record%2FWOS:000275056400023","View Full Record in Web of Science")</f>
        <v>View Full Record in Web of Science</v>
      </c>
    </row>
    <row r="1716" s="5" customFormat="true" ht="12.75" hidden="false" customHeight="false" outlineLevel="0" collapsed="false">
      <c r="A1716" s="4" t="s">
        <v>72</v>
      </c>
      <c r="B1716" s="4" t="s">
        <v>29504</v>
      </c>
      <c r="C1716" s="4"/>
      <c r="D1716" s="4"/>
      <c r="E1716" s="4"/>
      <c r="F1716" s="4" t="s">
        <v>29504</v>
      </c>
      <c r="G1716" s="4"/>
      <c r="H1716" s="4"/>
      <c r="I1716" s="4" t="s">
        <v>29505</v>
      </c>
      <c r="J1716" s="4" t="s">
        <v>27548</v>
      </c>
      <c r="K1716" s="4"/>
      <c r="L1716" s="4"/>
      <c r="M1716" s="4" t="s">
        <v>77</v>
      </c>
      <c r="N1716" s="4" t="s">
        <v>78</v>
      </c>
      <c r="O1716" s="4"/>
      <c r="P1716" s="4"/>
      <c r="Q1716" s="4"/>
      <c r="R1716" s="4"/>
      <c r="S1716" s="4"/>
      <c r="T1716" s="1" t="s">
        <v>29506</v>
      </c>
      <c r="U1716" s="4" t="s">
        <v>29507</v>
      </c>
      <c r="V1716" s="4" t="s">
        <v>29508</v>
      </c>
      <c r="W1716" s="4" t="s">
        <v>29509</v>
      </c>
      <c r="X1716" s="4" t="s">
        <v>29510</v>
      </c>
      <c r="Y1716" s="4" t="s">
        <v>29511</v>
      </c>
      <c r="Z1716" s="4" t="s">
        <v>8604</v>
      </c>
      <c r="AA1716" s="4" t="s">
        <v>29512</v>
      </c>
      <c r="AB1716" s="4" t="s">
        <v>29513</v>
      </c>
      <c r="AC1716" s="4"/>
      <c r="AD1716" s="4"/>
      <c r="AE1716" s="4"/>
      <c r="AF1716" s="4"/>
      <c r="AG1716" s="4" t="n">
        <v>18</v>
      </c>
      <c r="AH1716" s="4" t="n">
        <v>94</v>
      </c>
      <c r="AI1716" s="4" t="n">
        <v>110</v>
      </c>
      <c r="AJ1716" s="4" t="n">
        <v>0</v>
      </c>
      <c r="AK1716" s="4" t="n">
        <v>2</v>
      </c>
      <c r="AL1716" s="4" t="s">
        <v>27560</v>
      </c>
      <c r="AM1716" s="4" t="s">
        <v>27561</v>
      </c>
      <c r="AN1716" s="4" t="s">
        <v>27562</v>
      </c>
      <c r="AO1716" s="4" t="s">
        <v>27563</v>
      </c>
      <c r="AP1716" s="4" t="s">
        <v>27564</v>
      </c>
      <c r="AQ1716" s="4"/>
      <c r="AR1716" s="4" t="s">
        <v>27565</v>
      </c>
      <c r="AS1716" s="4" t="s">
        <v>27566</v>
      </c>
      <c r="AT1716" s="4" t="s">
        <v>129</v>
      </c>
      <c r="AU1716" s="4" t="n">
        <v>2003</v>
      </c>
      <c r="AV1716" s="4" t="n">
        <v>9</v>
      </c>
      <c r="AW1716" s="4" t="n">
        <v>9</v>
      </c>
      <c r="AX1716" s="4"/>
      <c r="AY1716" s="4"/>
      <c r="AZ1716" s="4"/>
      <c r="BA1716" s="4"/>
      <c r="BB1716" s="4" t="n">
        <v>1058</v>
      </c>
      <c r="BC1716" s="4" t="n">
        <v>1063</v>
      </c>
      <c r="BD1716" s="4"/>
      <c r="BE1716" s="4" t="s">
        <v>29514</v>
      </c>
      <c r="BF1716" s="4"/>
      <c r="BG1716" s="4"/>
      <c r="BH1716" s="4"/>
      <c r="BI1716" s="4" t="n">
        <v>6</v>
      </c>
      <c r="BJ1716" s="4" t="s">
        <v>965</v>
      </c>
      <c r="BK1716" s="4" t="s">
        <v>100</v>
      </c>
      <c r="BL1716" s="4" t="s">
        <v>965</v>
      </c>
      <c r="BM1716" s="4" t="s">
        <v>29515</v>
      </c>
      <c r="BN1716" s="4" t="n">
        <v>14519240</v>
      </c>
      <c r="BO1716" s="4"/>
      <c r="BP1716" s="4"/>
      <c r="BQ1716" s="4"/>
      <c r="BR1716" s="4" t="s">
        <v>104</v>
      </c>
      <c r="BS1716" s="4" t="s">
        <v>29516</v>
      </c>
      <c r="BT1716" s="4" t="str">
        <f aca="false">HYPERLINK("https%3A%2F%2Fwww.webofscience.com%2Fwos%2Fwoscc%2Ffull-record%2FWOS:000185100900005","View Full Record in Web of Science")</f>
        <v>View Full Record in Web of Science</v>
      </c>
    </row>
    <row r="1717" s="5" customFormat="true" ht="12.75" hidden="false" customHeight="false" outlineLevel="0" collapsed="false">
      <c r="A1717" s="4" t="s">
        <v>72</v>
      </c>
      <c r="B1717" s="4" t="s">
        <v>29517</v>
      </c>
      <c r="C1717" s="4"/>
      <c r="D1717" s="4"/>
      <c r="E1717" s="4"/>
      <c r="F1717" s="4" t="s">
        <v>29517</v>
      </c>
      <c r="G1717" s="4"/>
      <c r="H1717" s="4"/>
      <c r="I1717" s="4" t="s">
        <v>29518</v>
      </c>
      <c r="J1717" s="4" t="s">
        <v>15823</v>
      </c>
      <c r="K1717" s="4"/>
      <c r="L1717" s="4"/>
      <c r="M1717" s="4" t="s">
        <v>77</v>
      </c>
      <c r="N1717" s="4" t="s">
        <v>78</v>
      </c>
      <c r="O1717" s="4"/>
      <c r="P1717" s="4"/>
      <c r="Q1717" s="4"/>
      <c r="R1717" s="4"/>
      <c r="S1717" s="4"/>
      <c r="T1717" s="1" t="s">
        <v>29519</v>
      </c>
      <c r="U1717" s="4" t="s">
        <v>29520</v>
      </c>
      <c r="V1717" s="4" t="s">
        <v>29521</v>
      </c>
      <c r="W1717" s="4" t="s">
        <v>29522</v>
      </c>
      <c r="X1717" s="4" t="s">
        <v>12353</v>
      </c>
      <c r="Y1717" s="4" t="s">
        <v>29523</v>
      </c>
      <c r="Z1717" s="4" t="s">
        <v>29524</v>
      </c>
      <c r="AA1717" s="4"/>
      <c r="AB1717" s="4" t="s">
        <v>2414</v>
      </c>
      <c r="AC1717" s="4"/>
      <c r="AD1717" s="4"/>
      <c r="AE1717" s="4"/>
      <c r="AF1717" s="4"/>
      <c r="AG1717" s="4" t="n">
        <v>20</v>
      </c>
      <c r="AH1717" s="4" t="n">
        <v>72</v>
      </c>
      <c r="AI1717" s="4" t="n">
        <v>79</v>
      </c>
      <c r="AJ1717" s="4" t="n">
        <v>0</v>
      </c>
      <c r="AK1717" s="4" t="n">
        <v>4</v>
      </c>
      <c r="AL1717" s="4" t="s">
        <v>755</v>
      </c>
      <c r="AM1717" s="4" t="s">
        <v>273</v>
      </c>
      <c r="AN1717" s="4" t="s">
        <v>756</v>
      </c>
      <c r="AO1717" s="4" t="s">
        <v>15835</v>
      </c>
      <c r="AP1717" s="4" t="s">
        <v>15836</v>
      </c>
      <c r="AQ1717" s="4"/>
      <c r="AR1717" s="4" t="s">
        <v>15837</v>
      </c>
      <c r="AS1717" s="4" t="s">
        <v>15838</v>
      </c>
      <c r="AT1717" s="4" t="s">
        <v>1041</v>
      </c>
      <c r="AU1717" s="4" t="n">
        <v>2006</v>
      </c>
      <c r="AV1717" s="4" t="n">
        <v>50</v>
      </c>
      <c r="AW1717" s="4" t="n">
        <v>2</v>
      </c>
      <c r="AX1717" s="4"/>
      <c r="AY1717" s="4"/>
      <c r="AZ1717" s="4"/>
      <c r="BA1717" s="4"/>
      <c r="BB1717" s="4" t="n">
        <v>774</v>
      </c>
      <c r="BC1717" s="4" t="n">
        <v>777</v>
      </c>
      <c r="BD1717" s="4"/>
      <c r="BE1717" s="4" t="s">
        <v>29525</v>
      </c>
      <c r="BF1717" s="4" t="str">
        <f aca="false">HYPERLINK("http://dx.doi.org/10.1128/AAC.50.2.774-777.2006","http://dx.doi.org/10.1128/AAC.50.2.774-777.2006")</f>
        <v>http://dx.doi.org/10.1128/AAC.50.2.774-777.2006</v>
      </c>
      <c r="BG1717" s="4"/>
      <c r="BH1717" s="4"/>
      <c r="BI1717" s="4" t="n">
        <v>4</v>
      </c>
      <c r="BJ1717" s="4" t="s">
        <v>7809</v>
      </c>
      <c r="BK1717" s="4" t="s">
        <v>100</v>
      </c>
      <c r="BL1717" s="4" t="s">
        <v>7809</v>
      </c>
      <c r="BM1717" s="4" t="s">
        <v>29526</v>
      </c>
      <c r="BN1717" s="4" t="n">
        <v>16436743</v>
      </c>
      <c r="BO1717" s="4" t="s">
        <v>165</v>
      </c>
      <c r="BP1717" s="4"/>
      <c r="BQ1717" s="4"/>
      <c r="BR1717" s="4" t="s">
        <v>104</v>
      </c>
      <c r="BS1717" s="4" t="s">
        <v>29527</v>
      </c>
      <c r="BT1717" s="4" t="str">
        <f aca="false">HYPERLINK("https%3A%2F%2Fwww.webofscience.com%2Fwos%2Fwoscc%2Ffull-record%2FWOS:000235294200054","View Full Record in Web of Science")</f>
        <v>View Full Record in Web of Science</v>
      </c>
    </row>
    <row r="1718" s="5" customFormat="true" ht="12.75" hidden="false" customHeight="false" outlineLevel="0" collapsed="false">
      <c r="A1718" s="4" t="s">
        <v>72</v>
      </c>
      <c r="B1718" s="4" t="s">
        <v>29528</v>
      </c>
      <c r="C1718" s="4"/>
      <c r="D1718" s="4"/>
      <c r="E1718" s="4"/>
      <c r="F1718" s="4" t="s">
        <v>29529</v>
      </c>
      <c r="G1718" s="4"/>
      <c r="H1718" s="4"/>
      <c r="I1718" s="4" t="s">
        <v>29530</v>
      </c>
      <c r="J1718" s="4" t="s">
        <v>27548</v>
      </c>
      <c r="K1718" s="4"/>
      <c r="L1718" s="4"/>
      <c r="M1718" s="4" t="s">
        <v>77</v>
      </c>
      <c r="N1718" s="4" t="s">
        <v>78</v>
      </c>
      <c r="O1718" s="4"/>
      <c r="P1718" s="4"/>
      <c r="Q1718" s="4"/>
      <c r="R1718" s="4"/>
      <c r="S1718" s="4"/>
      <c r="T1718" s="1" t="s">
        <v>29531</v>
      </c>
      <c r="U1718" s="4" t="s">
        <v>29532</v>
      </c>
      <c r="V1718" s="4" t="s">
        <v>29533</v>
      </c>
      <c r="W1718" s="4" t="s">
        <v>29534</v>
      </c>
      <c r="X1718" s="4" t="s">
        <v>29535</v>
      </c>
      <c r="Y1718" s="4" t="s">
        <v>29536</v>
      </c>
      <c r="Z1718" s="4" t="s">
        <v>29537</v>
      </c>
      <c r="AA1718" s="4" t="s">
        <v>4210</v>
      </c>
      <c r="AB1718" s="4" t="s">
        <v>7563</v>
      </c>
      <c r="AC1718" s="4" t="s">
        <v>29538</v>
      </c>
      <c r="AD1718" s="4" t="s">
        <v>2416</v>
      </c>
      <c r="AE1718" s="4"/>
      <c r="AF1718" s="4"/>
      <c r="AG1718" s="4" t="n">
        <v>40</v>
      </c>
      <c r="AH1718" s="4" t="n">
        <v>12</v>
      </c>
      <c r="AI1718" s="4" t="n">
        <v>15</v>
      </c>
      <c r="AJ1718" s="4" t="n">
        <v>0</v>
      </c>
      <c r="AK1718" s="4" t="n">
        <v>4</v>
      </c>
      <c r="AL1718" s="4" t="s">
        <v>27851</v>
      </c>
      <c r="AM1718" s="4" t="s">
        <v>27561</v>
      </c>
      <c r="AN1718" s="4" t="s">
        <v>27562</v>
      </c>
      <c r="AO1718" s="4" t="s">
        <v>27563</v>
      </c>
      <c r="AP1718" s="4" t="s">
        <v>27564</v>
      </c>
      <c r="AQ1718" s="4"/>
      <c r="AR1718" s="4" t="s">
        <v>27565</v>
      </c>
      <c r="AS1718" s="4" t="s">
        <v>27566</v>
      </c>
      <c r="AT1718" s="4" t="s">
        <v>185</v>
      </c>
      <c r="AU1718" s="4" t="n">
        <v>2017</v>
      </c>
      <c r="AV1718" s="4" t="n">
        <v>23</v>
      </c>
      <c r="AW1718" s="4" t="n">
        <v>8</v>
      </c>
      <c r="AX1718" s="4"/>
      <c r="AY1718" s="4"/>
      <c r="AZ1718" s="4"/>
      <c r="BA1718" s="4"/>
      <c r="BB1718" s="4" t="n">
        <v>1341</v>
      </c>
      <c r="BC1718" s="4" t="n">
        <v>1349</v>
      </c>
      <c r="BD1718" s="4"/>
      <c r="BE1718" s="4" t="s">
        <v>29539</v>
      </c>
      <c r="BF1718" s="4" t="str">
        <f aca="false">HYPERLINK("http://dx.doi.org/10.3201/eid2308.161358","http://dx.doi.org/10.3201/eid2308.161358")</f>
        <v>http://dx.doi.org/10.3201/eid2308.161358</v>
      </c>
      <c r="BG1718" s="4"/>
      <c r="BH1718" s="4"/>
      <c r="BI1718" s="4" t="n">
        <v>9</v>
      </c>
      <c r="BJ1718" s="4" t="s">
        <v>965</v>
      </c>
      <c r="BK1718" s="4" t="s">
        <v>100</v>
      </c>
      <c r="BL1718" s="4" t="s">
        <v>965</v>
      </c>
      <c r="BM1718" s="4" t="s">
        <v>29540</v>
      </c>
      <c r="BN1718" s="4" t="n">
        <v>28726613</v>
      </c>
      <c r="BO1718" s="4" t="s">
        <v>103</v>
      </c>
      <c r="BP1718" s="4"/>
      <c r="BQ1718" s="4"/>
      <c r="BR1718" s="4" t="s">
        <v>104</v>
      </c>
      <c r="BS1718" s="4" t="s">
        <v>29541</v>
      </c>
      <c r="BT1718" s="4" t="str">
        <f aca="false">HYPERLINK("https%3A%2F%2Fwww.webofscience.com%2Fwos%2Fwoscc%2Ffull-record%2FWOS:000405673200014","View Full Record in Web of Science")</f>
        <v>View Full Record in Web of Science</v>
      </c>
    </row>
    <row r="1719" s="5" customFormat="true" ht="12.75" hidden="false" customHeight="false" outlineLevel="0" collapsed="false">
      <c r="A1719" s="4" t="s">
        <v>72</v>
      </c>
      <c r="B1719" s="4" t="s">
        <v>29542</v>
      </c>
      <c r="C1719" s="4"/>
      <c r="D1719" s="4"/>
      <c r="E1719" s="4"/>
      <c r="F1719" s="4" t="s">
        <v>29543</v>
      </c>
      <c r="G1719" s="4"/>
      <c r="H1719" s="4"/>
      <c r="I1719" s="4" t="s">
        <v>29544</v>
      </c>
      <c r="J1719" s="4" t="s">
        <v>6395</v>
      </c>
      <c r="K1719" s="4"/>
      <c r="L1719" s="4"/>
      <c r="M1719" s="4" t="s">
        <v>77</v>
      </c>
      <c r="N1719" s="4" t="s">
        <v>78</v>
      </c>
      <c r="O1719" s="4"/>
      <c r="P1719" s="4"/>
      <c r="Q1719" s="4"/>
      <c r="R1719" s="4"/>
      <c r="S1719" s="4"/>
      <c r="T1719" s="1" t="s">
        <v>29545</v>
      </c>
      <c r="U1719" s="4" t="s">
        <v>29546</v>
      </c>
      <c r="V1719" s="4" t="s">
        <v>29547</v>
      </c>
      <c r="W1719" s="4" t="s">
        <v>29548</v>
      </c>
      <c r="X1719" s="4" t="s">
        <v>29549</v>
      </c>
      <c r="Y1719" s="4" t="s">
        <v>29550</v>
      </c>
      <c r="Z1719" s="4" t="s">
        <v>29551</v>
      </c>
      <c r="AA1719" s="4" t="s">
        <v>29552</v>
      </c>
      <c r="AB1719" s="4"/>
      <c r="AC1719" s="4" t="s">
        <v>29553</v>
      </c>
      <c r="AD1719" s="4" t="s">
        <v>29554</v>
      </c>
      <c r="AE1719" s="4" t="s">
        <v>29555</v>
      </c>
      <c r="AF1719" s="4"/>
      <c r="AG1719" s="4" t="n">
        <v>42</v>
      </c>
      <c r="AH1719" s="4" t="n">
        <v>26</v>
      </c>
      <c r="AI1719" s="4" t="n">
        <v>31</v>
      </c>
      <c r="AJ1719" s="4" t="n">
        <v>1</v>
      </c>
      <c r="AK1719" s="4" t="n">
        <v>10</v>
      </c>
      <c r="AL1719" s="4" t="s">
        <v>6405</v>
      </c>
      <c r="AM1719" s="4" t="s">
        <v>6406</v>
      </c>
      <c r="AN1719" s="4" t="s">
        <v>6407</v>
      </c>
      <c r="AO1719" s="4" t="s">
        <v>6408</v>
      </c>
      <c r="AP1719" s="4"/>
      <c r="AQ1719" s="4"/>
      <c r="AR1719" s="4" t="s">
        <v>6409</v>
      </c>
      <c r="AS1719" s="4" t="s">
        <v>6410</v>
      </c>
      <c r="AT1719" s="4" t="s">
        <v>5685</v>
      </c>
      <c r="AU1719" s="4" t="n">
        <v>2019</v>
      </c>
      <c r="AV1719" s="4" t="n">
        <v>9</v>
      </c>
      <c r="AW1719" s="4"/>
      <c r="AX1719" s="4"/>
      <c r="AY1719" s="4"/>
      <c r="AZ1719" s="4"/>
      <c r="BA1719" s="4"/>
      <c r="BB1719" s="4"/>
      <c r="BC1719" s="4"/>
      <c r="BD1719" s="4" t="n">
        <v>14022</v>
      </c>
      <c r="BE1719" s="4" t="s">
        <v>29556</v>
      </c>
      <c r="BF1719" s="4" t="str">
        <f aca="false">HYPERLINK("http://dx.doi.org/10.1038/s41598-019-50340-8","http://dx.doi.org/10.1038/s41598-019-50340-8")</f>
        <v>http://dx.doi.org/10.1038/s41598-019-50340-8</v>
      </c>
      <c r="BG1719" s="4"/>
      <c r="BH1719" s="4"/>
      <c r="BI1719" s="4" t="n">
        <v>9</v>
      </c>
      <c r="BJ1719" s="4" t="s">
        <v>1658</v>
      </c>
      <c r="BK1719" s="4" t="s">
        <v>100</v>
      </c>
      <c r="BL1719" s="4" t="s">
        <v>1659</v>
      </c>
      <c r="BM1719" s="4" t="s">
        <v>29557</v>
      </c>
      <c r="BN1719" s="4" t="n">
        <v>31575919</v>
      </c>
      <c r="BO1719" s="4" t="s">
        <v>165</v>
      </c>
      <c r="BP1719" s="4"/>
      <c r="BQ1719" s="4"/>
      <c r="BR1719" s="4" t="s">
        <v>104</v>
      </c>
      <c r="BS1719" s="4" t="s">
        <v>29558</v>
      </c>
      <c r="BT1719" s="4" t="str">
        <f aca="false">HYPERLINK("https%3A%2F%2Fwww.webofscience.com%2Fwos%2Fwoscc%2Ffull-record%2FWOS:000488478700002","View Full Record in Web of Science")</f>
        <v>View Full Record in Web of Science</v>
      </c>
    </row>
    <row r="1720" s="5" customFormat="true" ht="12.75" hidden="false" customHeight="false" outlineLevel="0" collapsed="false">
      <c r="A1720" s="4" t="s">
        <v>72</v>
      </c>
      <c r="B1720" s="4" t="s">
        <v>29559</v>
      </c>
      <c r="C1720" s="4"/>
      <c r="D1720" s="4"/>
      <c r="E1720" s="4"/>
      <c r="F1720" s="4" t="s">
        <v>29559</v>
      </c>
      <c r="G1720" s="4"/>
      <c r="H1720" s="4"/>
      <c r="I1720" s="4" t="s">
        <v>29560</v>
      </c>
      <c r="J1720" s="4" t="s">
        <v>514</v>
      </c>
      <c r="K1720" s="4"/>
      <c r="L1720" s="4"/>
      <c r="M1720" s="4" t="s">
        <v>77</v>
      </c>
      <c r="N1720" s="4" t="s">
        <v>78</v>
      </c>
      <c r="O1720" s="4"/>
      <c r="P1720" s="4"/>
      <c r="Q1720" s="4"/>
      <c r="R1720" s="4"/>
      <c r="S1720" s="4"/>
      <c r="T1720" s="1" t="s">
        <v>29561</v>
      </c>
      <c r="U1720" s="4" t="s">
        <v>29562</v>
      </c>
      <c r="V1720" s="4" t="s">
        <v>29563</v>
      </c>
      <c r="W1720" s="4" t="s">
        <v>29564</v>
      </c>
      <c r="X1720" s="4" t="s">
        <v>29565</v>
      </c>
      <c r="Y1720" s="4" t="s">
        <v>29566</v>
      </c>
      <c r="Z1720" s="4" t="s">
        <v>28113</v>
      </c>
      <c r="AA1720" s="4" t="s">
        <v>28114</v>
      </c>
      <c r="AB1720" s="4" t="s">
        <v>15768</v>
      </c>
      <c r="AC1720" s="4"/>
      <c r="AD1720" s="4"/>
      <c r="AE1720" s="4"/>
      <c r="AF1720" s="4"/>
      <c r="AG1720" s="4" t="n">
        <v>29</v>
      </c>
      <c r="AH1720" s="4" t="n">
        <v>103</v>
      </c>
      <c r="AI1720" s="4" t="n">
        <v>114</v>
      </c>
      <c r="AJ1720" s="4" t="n">
        <v>2</v>
      </c>
      <c r="AK1720" s="4" t="n">
        <v>2</v>
      </c>
      <c r="AL1720" s="4" t="s">
        <v>527</v>
      </c>
      <c r="AM1720" s="4" t="s">
        <v>528</v>
      </c>
      <c r="AN1720" s="4" t="s">
        <v>529</v>
      </c>
      <c r="AO1720" s="4" t="s">
        <v>530</v>
      </c>
      <c r="AP1720" s="4" t="s">
        <v>531</v>
      </c>
      <c r="AQ1720" s="4"/>
      <c r="AR1720" s="4" t="s">
        <v>532</v>
      </c>
      <c r="AS1720" s="4" t="s">
        <v>533</v>
      </c>
      <c r="AT1720" s="4" t="s">
        <v>3408</v>
      </c>
      <c r="AU1720" s="4" t="n">
        <v>2006</v>
      </c>
      <c r="AV1720" s="4" t="n">
        <v>193</v>
      </c>
      <c r="AW1720" s="4" t="n">
        <v>3</v>
      </c>
      <c r="AX1720" s="4"/>
      <c r="AY1720" s="4"/>
      <c r="AZ1720" s="4"/>
      <c r="BA1720" s="4"/>
      <c r="BB1720" s="4" t="n">
        <v>396</v>
      </c>
      <c r="BC1720" s="4" t="n">
        <v>403</v>
      </c>
      <c r="BD1720" s="4"/>
      <c r="BE1720" s="4" t="s">
        <v>29567</v>
      </c>
      <c r="BF1720" s="4" t="str">
        <f aca="false">HYPERLINK("http://dx.doi.org/10.1086/499310","http://dx.doi.org/10.1086/499310")</f>
        <v>http://dx.doi.org/10.1086/499310</v>
      </c>
      <c r="BG1720" s="4"/>
      <c r="BH1720" s="4"/>
      <c r="BI1720" s="4" t="n">
        <v>8</v>
      </c>
      <c r="BJ1720" s="4" t="s">
        <v>536</v>
      </c>
      <c r="BK1720" s="4" t="s">
        <v>100</v>
      </c>
      <c r="BL1720" s="4" t="s">
        <v>536</v>
      </c>
      <c r="BM1720" s="4" t="s">
        <v>29568</v>
      </c>
      <c r="BN1720" s="4" t="n">
        <v>16388487</v>
      </c>
      <c r="BO1720" s="4"/>
      <c r="BP1720" s="4"/>
      <c r="BQ1720" s="4"/>
      <c r="BR1720" s="4" t="s">
        <v>104</v>
      </c>
      <c r="BS1720" s="4" t="s">
        <v>29569</v>
      </c>
      <c r="BT1720" s="4" t="str">
        <f aca="false">HYPERLINK("https%3A%2F%2Fwww.webofscience.com%2Fwos%2Fwoscc%2Ffull-record%2FWOS:000234831000009","View Full Record in Web of Science")</f>
        <v>View Full Record in Web of Science</v>
      </c>
    </row>
    <row r="1721" s="5" customFormat="true" ht="12.75" hidden="false" customHeight="false" outlineLevel="0" collapsed="false">
      <c r="A1721" s="4" t="s">
        <v>72</v>
      </c>
      <c r="B1721" s="4" t="s">
        <v>29570</v>
      </c>
      <c r="C1721" s="4"/>
      <c r="D1721" s="4"/>
      <c r="E1721" s="4"/>
      <c r="F1721" s="4" t="s">
        <v>29571</v>
      </c>
      <c r="G1721" s="4"/>
      <c r="H1721" s="4"/>
      <c r="I1721" s="4" t="s">
        <v>29572</v>
      </c>
      <c r="J1721" s="4" t="s">
        <v>13758</v>
      </c>
      <c r="K1721" s="4"/>
      <c r="L1721" s="4"/>
      <c r="M1721" s="4" t="s">
        <v>77</v>
      </c>
      <c r="N1721" s="4" t="s">
        <v>78</v>
      </c>
      <c r="O1721" s="4"/>
      <c r="P1721" s="4"/>
      <c r="Q1721" s="4"/>
      <c r="R1721" s="4"/>
      <c r="S1721" s="4"/>
      <c r="T1721" s="1" t="s">
        <v>29573</v>
      </c>
      <c r="U1721" s="4" t="s">
        <v>29574</v>
      </c>
      <c r="V1721" s="4" t="s">
        <v>29575</v>
      </c>
      <c r="W1721" s="4" t="s">
        <v>29576</v>
      </c>
      <c r="X1721" s="4" t="s">
        <v>29577</v>
      </c>
      <c r="Y1721" s="4" t="s">
        <v>29578</v>
      </c>
      <c r="Z1721" s="4" t="s">
        <v>29579</v>
      </c>
      <c r="AA1721" s="4" t="s">
        <v>29580</v>
      </c>
      <c r="AB1721" s="4" t="s">
        <v>29581</v>
      </c>
      <c r="AC1721" s="4" t="s">
        <v>29582</v>
      </c>
      <c r="AD1721" s="4" t="s">
        <v>29583</v>
      </c>
      <c r="AE1721" s="4" t="s">
        <v>29584</v>
      </c>
      <c r="AF1721" s="4"/>
      <c r="AG1721" s="4" t="n">
        <v>24</v>
      </c>
      <c r="AH1721" s="4" t="n">
        <v>1</v>
      </c>
      <c r="AI1721" s="4" t="n">
        <v>1</v>
      </c>
      <c r="AJ1721" s="4" t="n">
        <v>0</v>
      </c>
      <c r="AK1721" s="4" t="n">
        <v>2</v>
      </c>
      <c r="AL1721" s="4" t="s">
        <v>13769</v>
      </c>
      <c r="AM1721" s="4" t="s">
        <v>16554</v>
      </c>
      <c r="AN1721" s="4" t="s">
        <v>16555</v>
      </c>
      <c r="AO1721" s="4" t="s">
        <v>13772</v>
      </c>
      <c r="AP1721" s="4" t="s">
        <v>13773</v>
      </c>
      <c r="AQ1721" s="4"/>
      <c r="AR1721" s="4" t="s">
        <v>13774</v>
      </c>
      <c r="AS1721" s="4" t="s">
        <v>13775</v>
      </c>
      <c r="AT1721" s="4" t="s">
        <v>97</v>
      </c>
      <c r="AU1721" s="4" t="n">
        <v>2010</v>
      </c>
      <c r="AV1721" s="4" t="n">
        <v>155</v>
      </c>
      <c r="AW1721" s="4" t="n">
        <v>3</v>
      </c>
      <c r="AX1721" s="4"/>
      <c r="AY1721" s="4"/>
      <c r="AZ1721" s="4"/>
      <c r="BA1721" s="4"/>
      <c r="BB1721" s="4" t="n">
        <v>343</v>
      </c>
      <c r="BC1721" s="4" t="n">
        <v>350</v>
      </c>
      <c r="BD1721" s="4"/>
      <c r="BE1721" s="4" t="s">
        <v>29585</v>
      </c>
      <c r="BF1721" s="4" t="str">
        <f aca="false">HYPERLINK("http://dx.doi.org/10.1007/s00705-010-0596-1","http://dx.doi.org/10.1007/s00705-010-0596-1")</f>
        <v>http://dx.doi.org/10.1007/s00705-010-0596-1</v>
      </c>
      <c r="BG1721" s="4"/>
      <c r="BH1721" s="4"/>
      <c r="BI1721" s="4" t="n">
        <v>8</v>
      </c>
      <c r="BJ1721" s="4" t="s">
        <v>163</v>
      </c>
      <c r="BK1721" s="4" t="s">
        <v>100</v>
      </c>
      <c r="BL1721" s="4" t="s">
        <v>163</v>
      </c>
      <c r="BM1721" s="4" t="s">
        <v>29586</v>
      </c>
      <c r="BN1721" s="4" t="n">
        <v>20112120</v>
      </c>
      <c r="BO1721" s="4"/>
      <c r="BP1721" s="4"/>
      <c r="BQ1721" s="4"/>
      <c r="BR1721" s="4" t="s">
        <v>104</v>
      </c>
      <c r="BS1721" s="4" t="s">
        <v>29587</v>
      </c>
      <c r="BT1721" s="4" t="str">
        <f aca="false">HYPERLINK("https%3A%2F%2Fwww.webofscience.com%2Fwos%2Fwoscc%2Ffull-record%2FWOS:000274939600006","View Full Record in Web of Science")</f>
        <v>View Full Record in Web of Science</v>
      </c>
    </row>
    <row r="1722" s="5" customFormat="true" ht="12.75" hidden="false" customHeight="false" outlineLevel="0" collapsed="false">
      <c r="A1722" s="4" t="s">
        <v>72</v>
      </c>
      <c r="B1722" s="4" t="s">
        <v>29588</v>
      </c>
      <c r="C1722" s="4"/>
      <c r="D1722" s="4"/>
      <c r="E1722" s="4"/>
      <c r="F1722" s="4" t="s">
        <v>29589</v>
      </c>
      <c r="G1722" s="4"/>
      <c r="H1722" s="4"/>
      <c r="I1722" s="4" t="s">
        <v>29590</v>
      </c>
      <c r="J1722" s="4" t="s">
        <v>29591</v>
      </c>
      <c r="K1722" s="4"/>
      <c r="L1722" s="4"/>
      <c r="M1722" s="4" t="s">
        <v>77</v>
      </c>
      <c r="N1722" s="4" t="s">
        <v>78</v>
      </c>
      <c r="O1722" s="4"/>
      <c r="P1722" s="4"/>
      <c r="Q1722" s="4"/>
      <c r="R1722" s="4"/>
      <c r="S1722" s="4"/>
      <c r="T1722" s="0"/>
      <c r="U1722" s="4" t="s">
        <v>29592</v>
      </c>
      <c r="V1722" s="4" t="s">
        <v>29593</v>
      </c>
      <c r="W1722" s="4" t="s">
        <v>29594</v>
      </c>
      <c r="X1722" s="4" t="s">
        <v>29595</v>
      </c>
      <c r="Y1722" s="4" t="s">
        <v>29596</v>
      </c>
      <c r="Z1722" s="4" t="s">
        <v>29597</v>
      </c>
      <c r="AA1722" s="4" t="s">
        <v>29598</v>
      </c>
      <c r="AB1722" s="4" t="s">
        <v>29599</v>
      </c>
      <c r="AC1722" s="4" t="s">
        <v>29600</v>
      </c>
      <c r="AD1722" s="4" t="s">
        <v>29601</v>
      </c>
      <c r="AE1722" s="4" t="s">
        <v>29602</v>
      </c>
      <c r="AF1722" s="4"/>
      <c r="AG1722" s="4" t="n">
        <v>15</v>
      </c>
      <c r="AH1722" s="4" t="n">
        <v>9</v>
      </c>
      <c r="AI1722" s="4" t="n">
        <v>9</v>
      </c>
      <c r="AJ1722" s="4" t="n">
        <v>0</v>
      </c>
      <c r="AK1722" s="4" t="n">
        <v>3</v>
      </c>
      <c r="AL1722" s="4" t="s">
        <v>29603</v>
      </c>
      <c r="AM1722" s="4" t="s">
        <v>29604</v>
      </c>
      <c r="AN1722" s="4" t="s">
        <v>29605</v>
      </c>
      <c r="AO1722" s="4" t="s">
        <v>29606</v>
      </c>
      <c r="AP1722" s="4"/>
      <c r="AQ1722" s="4"/>
      <c r="AR1722" s="4" t="s">
        <v>29607</v>
      </c>
      <c r="AS1722" s="4" t="s">
        <v>29608</v>
      </c>
      <c r="AT1722" s="4" t="s">
        <v>129</v>
      </c>
      <c r="AU1722" s="4" t="n">
        <v>2014</v>
      </c>
      <c r="AV1722" s="4" t="n">
        <v>31</v>
      </c>
      <c r="AW1722" s="4" t="n">
        <v>3</v>
      </c>
      <c r="AX1722" s="4"/>
      <c r="AY1722" s="4"/>
      <c r="AZ1722" s="4"/>
      <c r="BA1722" s="4"/>
      <c r="BB1722" s="4" t="n">
        <v>562</v>
      </c>
      <c r="BC1722" s="4" t="n">
        <v>566</v>
      </c>
      <c r="BD1722" s="4"/>
      <c r="BE1722" s="4"/>
      <c r="BF1722" s="4"/>
      <c r="BG1722" s="4"/>
      <c r="BH1722" s="4"/>
      <c r="BI1722" s="4" t="n">
        <v>5</v>
      </c>
      <c r="BJ1722" s="4" t="s">
        <v>3199</v>
      </c>
      <c r="BK1722" s="4" t="s">
        <v>100</v>
      </c>
      <c r="BL1722" s="4" t="s">
        <v>3199</v>
      </c>
      <c r="BM1722" s="4" t="s">
        <v>29609</v>
      </c>
      <c r="BN1722" s="4" t="n">
        <v>25382484</v>
      </c>
      <c r="BO1722" s="4"/>
      <c r="BP1722" s="4"/>
      <c r="BQ1722" s="4"/>
      <c r="BR1722" s="4" t="s">
        <v>104</v>
      </c>
      <c r="BS1722" s="4" t="s">
        <v>29610</v>
      </c>
      <c r="BT1722" s="4" t="str">
        <f aca="false">HYPERLINK("https%3A%2F%2Fwww.webofscience.com%2Fwos%2Fwoscc%2Ffull-record%2FWOS:000341300500020","View Full Record in Web of Science")</f>
        <v>View Full Record in Web of Science</v>
      </c>
    </row>
    <row r="1723" s="5" customFormat="true" ht="12.75" hidden="false" customHeight="false" outlineLevel="0" collapsed="false">
      <c r="A1723" s="4" t="s">
        <v>72</v>
      </c>
      <c r="B1723" s="4" t="s">
        <v>29611</v>
      </c>
      <c r="C1723" s="4"/>
      <c r="D1723" s="4"/>
      <c r="E1723" s="4"/>
      <c r="F1723" s="4" t="s">
        <v>29612</v>
      </c>
      <c r="G1723" s="4"/>
      <c r="H1723" s="4"/>
      <c r="I1723" s="4" t="s">
        <v>29613</v>
      </c>
      <c r="J1723" s="4" t="s">
        <v>7145</v>
      </c>
      <c r="K1723" s="4"/>
      <c r="L1723" s="4"/>
      <c r="M1723" s="4" t="s">
        <v>77</v>
      </c>
      <c r="N1723" s="4" t="s">
        <v>78</v>
      </c>
      <c r="O1723" s="4"/>
      <c r="P1723" s="4"/>
      <c r="Q1723" s="4"/>
      <c r="R1723" s="4"/>
      <c r="S1723" s="4"/>
      <c r="T1723" s="1" t="s">
        <v>29614</v>
      </c>
      <c r="U1723" s="4" t="s">
        <v>29615</v>
      </c>
      <c r="V1723" s="4" t="s">
        <v>29616</v>
      </c>
      <c r="W1723" s="4" t="s">
        <v>29617</v>
      </c>
      <c r="X1723" s="4" t="s">
        <v>6097</v>
      </c>
      <c r="Y1723" s="4" t="s">
        <v>29618</v>
      </c>
      <c r="Z1723" s="4" t="s">
        <v>29619</v>
      </c>
      <c r="AA1723" s="4"/>
      <c r="AB1723" s="4"/>
      <c r="AC1723" s="4"/>
      <c r="AD1723" s="4"/>
      <c r="AE1723" s="4"/>
      <c r="AF1723" s="4"/>
      <c r="AG1723" s="4" t="n">
        <v>31</v>
      </c>
      <c r="AH1723" s="4" t="n">
        <v>34</v>
      </c>
      <c r="AI1723" s="4" t="n">
        <v>46</v>
      </c>
      <c r="AJ1723" s="4" t="n">
        <v>0</v>
      </c>
      <c r="AK1723" s="4" t="n">
        <v>3</v>
      </c>
      <c r="AL1723" s="4" t="s">
        <v>28431</v>
      </c>
      <c r="AM1723" s="4" t="s">
        <v>28432</v>
      </c>
      <c r="AN1723" s="4" t="s">
        <v>28433</v>
      </c>
      <c r="AO1723" s="4" t="s">
        <v>7158</v>
      </c>
      <c r="AP1723" s="4"/>
      <c r="AQ1723" s="4"/>
      <c r="AR1723" s="4" t="s">
        <v>7160</v>
      </c>
      <c r="AS1723" s="4" t="s">
        <v>7161</v>
      </c>
      <c r="AT1723" s="4" t="s">
        <v>446</v>
      </c>
      <c r="AU1723" s="4" t="n">
        <v>2008</v>
      </c>
      <c r="AV1723" s="4" t="n">
        <v>89</v>
      </c>
      <c r="AW1723" s="4"/>
      <c r="AX1723" s="4" t="n">
        <v>12</v>
      </c>
      <c r="AY1723" s="4"/>
      <c r="AZ1723" s="4"/>
      <c r="BA1723" s="4"/>
      <c r="BB1723" s="4" t="n">
        <v>3113</v>
      </c>
      <c r="BC1723" s="4" t="n">
        <v>3118</v>
      </c>
      <c r="BD1723" s="4"/>
      <c r="BE1723" s="4" t="s">
        <v>29620</v>
      </c>
      <c r="BF1723" s="4" t="str">
        <f aca="false">HYPERLINK("http://dx.doi.org/10.1099/vir.0.2008/005199-0","http://dx.doi.org/10.1099/vir.0.2008/005199-0")</f>
        <v>http://dx.doi.org/10.1099/vir.0.2008/005199-0</v>
      </c>
      <c r="BG1723" s="4"/>
      <c r="BH1723" s="4"/>
      <c r="BI1723" s="4" t="n">
        <v>6</v>
      </c>
      <c r="BJ1723" s="4" t="s">
        <v>7163</v>
      </c>
      <c r="BK1723" s="4" t="s">
        <v>100</v>
      </c>
      <c r="BL1723" s="4" t="s">
        <v>7163</v>
      </c>
      <c r="BM1723" s="4" t="s">
        <v>29621</v>
      </c>
      <c r="BN1723" s="4" t="n">
        <v>19008400</v>
      </c>
      <c r="BO1723" s="4" t="s">
        <v>29622</v>
      </c>
      <c r="BP1723" s="4"/>
      <c r="BQ1723" s="4"/>
      <c r="BR1723" s="4" t="s">
        <v>104</v>
      </c>
      <c r="BS1723" s="4" t="s">
        <v>29623</v>
      </c>
      <c r="BT1723" s="4" t="str">
        <f aca="false">HYPERLINK("https%3A%2F%2Fwww.webofscience.com%2Fwos%2Fwoscc%2Ffull-record%2FWOS:000261527800024","View Full Record in Web of Science")</f>
        <v>View Full Record in Web of Science</v>
      </c>
    </row>
    <row r="1724" s="5" customFormat="true" ht="12.75" hidden="false" customHeight="false" outlineLevel="0" collapsed="false">
      <c r="A1724" s="4" t="s">
        <v>72</v>
      </c>
      <c r="B1724" s="4" t="s">
        <v>29624</v>
      </c>
      <c r="C1724" s="4"/>
      <c r="D1724" s="4"/>
      <c r="E1724" s="4"/>
      <c r="F1724" s="4" t="s">
        <v>29625</v>
      </c>
      <c r="G1724" s="4"/>
      <c r="H1724" s="4"/>
      <c r="I1724" s="4" t="s">
        <v>29626</v>
      </c>
      <c r="J1724" s="4" t="s">
        <v>27497</v>
      </c>
      <c r="K1724" s="4"/>
      <c r="L1724" s="4"/>
      <c r="M1724" s="4" t="s">
        <v>77</v>
      </c>
      <c r="N1724" s="4" t="s">
        <v>78</v>
      </c>
      <c r="O1724" s="4"/>
      <c r="P1724" s="4"/>
      <c r="Q1724" s="4"/>
      <c r="R1724" s="4"/>
      <c r="S1724" s="4"/>
      <c r="T1724" s="1" t="s">
        <v>29627</v>
      </c>
      <c r="U1724" s="4" t="s">
        <v>29628</v>
      </c>
      <c r="V1724" s="4" t="s">
        <v>29629</v>
      </c>
      <c r="W1724" s="4" t="s">
        <v>29630</v>
      </c>
      <c r="X1724" s="4" t="s">
        <v>29631</v>
      </c>
      <c r="Y1724" s="4" t="s">
        <v>29632</v>
      </c>
      <c r="Z1724" s="4" t="s">
        <v>10279</v>
      </c>
      <c r="AA1724" s="4" t="s">
        <v>29633</v>
      </c>
      <c r="AB1724" s="4" t="s">
        <v>15255</v>
      </c>
      <c r="AC1724" s="4" t="s">
        <v>29634</v>
      </c>
      <c r="AD1724" s="4" t="s">
        <v>29635</v>
      </c>
      <c r="AE1724" s="4" t="s">
        <v>29636</v>
      </c>
      <c r="AF1724" s="4"/>
      <c r="AG1724" s="4" t="n">
        <v>41</v>
      </c>
      <c r="AH1724" s="4" t="n">
        <v>5</v>
      </c>
      <c r="AI1724" s="4" t="n">
        <v>8</v>
      </c>
      <c r="AJ1724" s="4" t="n">
        <v>3</v>
      </c>
      <c r="AK1724" s="4" t="n">
        <v>11</v>
      </c>
      <c r="AL1724" s="4" t="s">
        <v>27506</v>
      </c>
      <c r="AM1724" s="4" t="s">
        <v>27507</v>
      </c>
      <c r="AN1724" s="4" t="s">
        <v>27508</v>
      </c>
      <c r="AO1724" s="4" t="s">
        <v>27509</v>
      </c>
      <c r="AP1724" s="4"/>
      <c r="AQ1724" s="4"/>
      <c r="AR1724" s="4" t="s">
        <v>27497</v>
      </c>
      <c r="AS1724" s="4" t="s">
        <v>27510</v>
      </c>
      <c r="AT1724" s="4" t="s">
        <v>8076</v>
      </c>
      <c r="AU1724" s="4" t="n">
        <v>2012</v>
      </c>
      <c r="AV1724" s="4" t="n">
        <v>7</v>
      </c>
      <c r="AW1724" s="4" t="n">
        <v>3</v>
      </c>
      <c r="AX1724" s="4"/>
      <c r="AY1724" s="4"/>
      <c r="AZ1724" s="4"/>
      <c r="BA1724" s="4"/>
      <c r="BB1724" s="4"/>
      <c r="BC1724" s="4"/>
      <c r="BD1724" s="4" t="s">
        <v>29637</v>
      </c>
      <c r="BE1724" s="4" t="s">
        <v>29638</v>
      </c>
      <c r="BF1724" s="4" t="str">
        <f aca="false">HYPERLINK("http://dx.doi.org/10.1371/journal.pone.0034544","http://dx.doi.org/10.1371/journal.pone.0034544")</f>
        <v>http://dx.doi.org/10.1371/journal.pone.0034544</v>
      </c>
      <c r="BG1724" s="4"/>
      <c r="BH1724" s="4"/>
      <c r="BI1724" s="4" t="n">
        <v>9</v>
      </c>
      <c r="BJ1724" s="4" t="s">
        <v>1658</v>
      </c>
      <c r="BK1724" s="4" t="s">
        <v>100</v>
      </c>
      <c r="BL1724" s="4" t="s">
        <v>1659</v>
      </c>
      <c r="BM1724" s="4" t="s">
        <v>29639</v>
      </c>
      <c r="BN1724" s="4" t="n">
        <v>22479641</v>
      </c>
      <c r="BO1724" s="4" t="s">
        <v>11315</v>
      </c>
      <c r="BP1724" s="4"/>
      <c r="BQ1724" s="4"/>
      <c r="BR1724" s="4" t="s">
        <v>104</v>
      </c>
      <c r="BS1724" s="4" t="s">
        <v>29640</v>
      </c>
      <c r="BT1724" s="4" t="str">
        <f aca="false">HYPERLINK("https%3A%2F%2Fwww.webofscience.com%2Fwos%2Fwoscc%2Ffull-record%2FWOS:000305339100166","View Full Record in Web of Science")</f>
        <v>View Full Record in Web of Science</v>
      </c>
    </row>
    <row r="1725" s="5" customFormat="true" ht="12.75" hidden="false" customHeight="false" outlineLevel="0" collapsed="false">
      <c r="A1725" s="4" t="s">
        <v>72</v>
      </c>
      <c r="B1725" s="4" t="s">
        <v>29641</v>
      </c>
      <c r="C1725" s="4"/>
      <c r="D1725" s="4"/>
      <c r="E1725" s="4"/>
      <c r="F1725" s="4" t="s">
        <v>29641</v>
      </c>
      <c r="G1725" s="4"/>
      <c r="H1725" s="4"/>
      <c r="I1725" s="4" t="s">
        <v>29642</v>
      </c>
      <c r="J1725" s="4" t="s">
        <v>2222</v>
      </c>
      <c r="K1725" s="4"/>
      <c r="L1725" s="4"/>
      <c r="M1725" s="4" t="s">
        <v>77</v>
      </c>
      <c r="N1725" s="4" t="s">
        <v>78</v>
      </c>
      <c r="O1725" s="4"/>
      <c r="P1725" s="4"/>
      <c r="Q1725" s="4"/>
      <c r="R1725" s="4"/>
      <c r="S1725" s="4"/>
      <c r="T1725" s="1" t="s">
        <v>29643</v>
      </c>
      <c r="U1725" s="4" t="s">
        <v>29644</v>
      </c>
      <c r="V1725" s="4" t="s">
        <v>29645</v>
      </c>
      <c r="W1725" s="4" t="s">
        <v>29646</v>
      </c>
      <c r="X1725" s="4" t="s">
        <v>29647</v>
      </c>
      <c r="Y1725" s="4" t="s">
        <v>28911</v>
      </c>
      <c r="Z1725" s="4" t="s">
        <v>29648</v>
      </c>
      <c r="AA1725" s="4"/>
      <c r="AB1725" s="4"/>
      <c r="AC1725" s="4" t="s">
        <v>29649</v>
      </c>
      <c r="AD1725" s="4" t="s">
        <v>9670</v>
      </c>
      <c r="AE1725" s="4"/>
      <c r="AF1725" s="4"/>
      <c r="AG1725" s="4" t="n">
        <v>27</v>
      </c>
      <c r="AH1725" s="4" t="n">
        <v>86</v>
      </c>
      <c r="AI1725" s="4" t="n">
        <v>105</v>
      </c>
      <c r="AJ1725" s="4" t="n">
        <v>6</v>
      </c>
      <c r="AK1725" s="4" t="n">
        <v>6</v>
      </c>
      <c r="AL1725" s="4" t="s">
        <v>755</v>
      </c>
      <c r="AM1725" s="4" t="s">
        <v>273</v>
      </c>
      <c r="AN1725" s="4" t="s">
        <v>756</v>
      </c>
      <c r="AO1725" s="4" t="s">
        <v>2234</v>
      </c>
      <c r="AP1725" s="4" t="s">
        <v>2235</v>
      </c>
      <c r="AQ1725" s="4"/>
      <c r="AR1725" s="4" t="s">
        <v>2236</v>
      </c>
      <c r="AS1725" s="4" t="s">
        <v>2237</v>
      </c>
      <c r="AT1725" s="4" t="s">
        <v>97</v>
      </c>
      <c r="AU1725" s="4" t="n">
        <v>2005</v>
      </c>
      <c r="AV1725" s="4" t="n">
        <v>43</v>
      </c>
      <c r="AW1725" s="4" t="n">
        <v>3</v>
      </c>
      <c r="AX1725" s="4"/>
      <c r="AY1725" s="4"/>
      <c r="AZ1725" s="4"/>
      <c r="BA1725" s="4"/>
      <c r="BB1725" s="4" t="n">
        <v>1213</v>
      </c>
      <c r="BC1725" s="4" t="n">
        <v>1219</v>
      </c>
      <c r="BD1725" s="4"/>
      <c r="BE1725" s="4" t="s">
        <v>29650</v>
      </c>
      <c r="BF1725" s="4" t="str">
        <f aca="false">HYPERLINK("http://dx.doi.org/10.1128/JCM.43.3.1213-1219.2005","http://dx.doi.org/10.1128/JCM.43.3.1213-1219.2005")</f>
        <v>http://dx.doi.org/10.1128/JCM.43.3.1213-1219.2005</v>
      </c>
      <c r="BG1725" s="4"/>
      <c r="BH1725" s="4"/>
      <c r="BI1725" s="4" t="n">
        <v>7</v>
      </c>
      <c r="BJ1725" s="4" t="s">
        <v>211</v>
      </c>
      <c r="BK1725" s="4" t="s">
        <v>100</v>
      </c>
      <c r="BL1725" s="4" t="s">
        <v>211</v>
      </c>
      <c r="BM1725" s="4" t="s">
        <v>29651</v>
      </c>
      <c r="BN1725" s="4" t="n">
        <v>15750086</v>
      </c>
      <c r="BO1725" s="4" t="s">
        <v>165</v>
      </c>
      <c r="BP1725" s="4"/>
      <c r="BQ1725" s="4"/>
      <c r="BR1725" s="4" t="s">
        <v>104</v>
      </c>
      <c r="BS1725" s="4" t="s">
        <v>29652</v>
      </c>
      <c r="BT1725" s="4" t="str">
        <f aca="false">HYPERLINK("https%3A%2F%2Fwww.webofscience.com%2Fwos%2Fwoscc%2Ffull-record%2FWOS:000227538900033","View Full Record in Web of Science")</f>
        <v>View Full Record in Web of Science</v>
      </c>
    </row>
    <row r="1726" s="5" customFormat="true" ht="12.75" hidden="false" customHeight="false" outlineLevel="0" collapsed="false">
      <c r="A1726" s="4" t="s">
        <v>72</v>
      </c>
      <c r="B1726" s="4" t="s">
        <v>29653</v>
      </c>
      <c r="C1726" s="4"/>
      <c r="D1726" s="4"/>
      <c r="E1726" s="4"/>
      <c r="F1726" s="4" t="s">
        <v>29654</v>
      </c>
      <c r="G1726" s="4"/>
      <c r="H1726" s="4"/>
      <c r="I1726" s="4" t="s">
        <v>29655</v>
      </c>
      <c r="J1726" s="4" t="s">
        <v>27497</v>
      </c>
      <c r="K1726" s="4"/>
      <c r="L1726" s="4"/>
      <c r="M1726" s="4" t="s">
        <v>77</v>
      </c>
      <c r="N1726" s="4" t="s">
        <v>78</v>
      </c>
      <c r="O1726" s="4"/>
      <c r="P1726" s="4"/>
      <c r="Q1726" s="4"/>
      <c r="R1726" s="4"/>
      <c r="S1726" s="4"/>
      <c r="T1726" s="1" t="s">
        <v>29656</v>
      </c>
      <c r="U1726" s="4" t="s">
        <v>29657</v>
      </c>
      <c r="V1726" s="4" t="s">
        <v>29658</v>
      </c>
      <c r="W1726" s="4" t="s">
        <v>29659</v>
      </c>
      <c r="X1726" s="4" t="s">
        <v>29660</v>
      </c>
      <c r="Y1726" s="4" t="s">
        <v>29661</v>
      </c>
      <c r="Z1726" s="4" t="s">
        <v>29662</v>
      </c>
      <c r="AA1726" s="4" t="s">
        <v>29663</v>
      </c>
      <c r="AB1726" s="4" t="s">
        <v>29664</v>
      </c>
      <c r="AC1726" s="4" t="s">
        <v>29665</v>
      </c>
      <c r="AD1726" s="4" t="s">
        <v>29666</v>
      </c>
      <c r="AE1726" s="4" t="s">
        <v>29667</v>
      </c>
      <c r="AF1726" s="4"/>
      <c r="AG1726" s="4" t="n">
        <v>45</v>
      </c>
      <c r="AH1726" s="4" t="n">
        <v>19</v>
      </c>
      <c r="AI1726" s="4" t="n">
        <v>22</v>
      </c>
      <c r="AJ1726" s="4" t="n">
        <v>0</v>
      </c>
      <c r="AK1726" s="4" t="n">
        <v>10</v>
      </c>
      <c r="AL1726" s="4" t="s">
        <v>27506</v>
      </c>
      <c r="AM1726" s="4" t="s">
        <v>27507</v>
      </c>
      <c r="AN1726" s="4" t="s">
        <v>27508</v>
      </c>
      <c r="AO1726" s="4" t="s">
        <v>27509</v>
      </c>
      <c r="AP1726" s="4"/>
      <c r="AQ1726" s="4"/>
      <c r="AR1726" s="4" t="s">
        <v>27497</v>
      </c>
      <c r="AS1726" s="4" t="s">
        <v>27510</v>
      </c>
      <c r="AT1726" s="4" t="s">
        <v>29668</v>
      </c>
      <c r="AU1726" s="4" t="n">
        <v>2013</v>
      </c>
      <c r="AV1726" s="4" t="n">
        <v>8</v>
      </c>
      <c r="AW1726" s="4" t="n">
        <v>3</v>
      </c>
      <c r="AX1726" s="4"/>
      <c r="AY1726" s="4"/>
      <c r="AZ1726" s="4"/>
      <c r="BA1726" s="4"/>
      <c r="BB1726" s="4"/>
      <c r="BC1726" s="4"/>
      <c r="BD1726" s="4" t="s">
        <v>29669</v>
      </c>
      <c r="BE1726" s="4" t="s">
        <v>29670</v>
      </c>
      <c r="BF1726" s="4" t="str">
        <f aca="false">HYPERLINK("http://dx.doi.org/10.1371/journal.pone.0058572","http://dx.doi.org/10.1371/journal.pone.0058572")</f>
        <v>http://dx.doi.org/10.1371/journal.pone.0058572</v>
      </c>
      <c r="BG1726" s="4"/>
      <c r="BH1726" s="4"/>
      <c r="BI1726" s="4" t="n">
        <v>10</v>
      </c>
      <c r="BJ1726" s="4" t="s">
        <v>1658</v>
      </c>
      <c r="BK1726" s="4" t="s">
        <v>100</v>
      </c>
      <c r="BL1726" s="4" t="s">
        <v>1659</v>
      </c>
      <c r="BM1726" s="4" t="s">
        <v>29671</v>
      </c>
      <c r="BN1726" s="4" t="n">
        <v>23484037</v>
      </c>
      <c r="BO1726" s="4" t="s">
        <v>6349</v>
      </c>
      <c r="BP1726" s="4"/>
      <c r="BQ1726" s="4"/>
      <c r="BR1726" s="4" t="s">
        <v>104</v>
      </c>
      <c r="BS1726" s="4" t="s">
        <v>29672</v>
      </c>
      <c r="BT1726" s="4" t="str">
        <f aca="false">HYPERLINK("https%3A%2F%2Fwww.webofscience.com%2Fwos%2Fwoscc%2Ffull-record%2FWOS:000316936100125","View Full Record in Web of Science")</f>
        <v>View Full Record in Web of Science</v>
      </c>
    </row>
    <row r="1727" s="5" customFormat="true" ht="12.75" hidden="false" customHeight="false" outlineLevel="0" collapsed="false">
      <c r="A1727" s="4" t="s">
        <v>72</v>
      </c>
      <c r="B1727" s="4" t="s">
        <v>29673</v>
      </c>
      <c r="C1727" s="4"/>
      <c r="D1727" s="4"/>
      <c r="E1727" s="4"/>
      <c r="F1727" s="4" t="s">
        <v>29674</v>
      </c>
      <c r="G1727" s="4"/>
      <c r="H1727" s="4"/>
      <c r="I1727" s="4" t="s">
        <v>29675</v>
      </c>
      <c r="J1727" s="4" t="s">
        <v>1863</v>
      </c>
      <c r="K1727" s="4"/>
      <c r="L1727" s="4"/>
      <c r="M1727" s="4" t="s">
        <v>77</v>
      </c>
      <c r="N1727" s="4" t="s">
        <v>78</v>
      </c>
      <c r="O1727" s="4"/>
      <c r="P1727" s="4"/>
      <c r="Q1727" s="4"/>
      <c r="R1727" s="4"/>
      <c r="S1727" s="4"/>
      <c r="T1727" s="1" t="s">
        <v>29676</v>
      </c>
      <c r="U1727" s="4" t="s">
        <v>29677</v>
      </c>
      <c r="V1727" s="4" t="s">
        <v>29678</v>
      </c>
      <c r="W1727" s="4" t="s">
        <v>29679</v>
      </c>
      <c r="X1727" s="4" t="s">
        <v>11713</v>
      </c>
      <c r="Y1727" s="4" t="s">
        <v>29680</v>
      </c>
      <c r="Z1727" s="4" t="s">
        <v>11715</v>
      </c>
      <c r="AA1727" s="4"/>
      <c r="AB1727" s="4" t="s">
        <v>29681</v>
      </c>
      <c r="AC1727" s="4" t="s">
        <v>29682</v>
      </c>
      <c r="AD1727" s="4" t="s">
        <v>29683</v>
      </c>
      <c r="AE1727" s="4" t="s">
        <v>29684</v>
      </c>
      <c r="AF1727" s="4"/>
      <c r="AG1727" s="4" t="n">
        <v>46</v>
      </c>
      <c r="AH1727" s="4" t="n">
        <v>31</v>
      </c>
      <c r="AI1727" s="4" t="n">
        <v>33</v>
      </c>
      <c r="AJ1727" s="4" t="n">
        <v>1</v>
      </c>
      <c r="AK1727" s="4" t="n">
        <v>1</v>
      </c>
      <c r="AL1727" s="4" t="s">
        <v>2337</v>
      </c>
      <c r="AM1727" s="4" t="s">
        <v>303</v>
      </c>
      <c r="AN1727" s="4" t="s">
        <v>2338</v>
      </c>
      <c r="AO1727" s="4" t="s">
        <v>1876</v>
      </c>
      <c r="AP1727" s="4"/>
      <c r="AQ1727" s="4"/>
      <c r="AR1727" s="4" t="s">
        <v>1877</v>
      </c>
      <c r="AS1727" s="4" t="s">
        <v>1878</v>
      </c>
      <c r="AT1727" s="4" t="s">
        <v>29685</v>
      </c>
      <c r="AU1727" s="4" t="n">
        <v>2011</v>
      </c>
      <c r="AV1727" s="4" t="n">
        <v>8</v>
      </c>
      <c r="AW1727" s="4"/>
      <c r="AX1727" s="4"/>
      <c r="AY1727" s="4"/>
      <c r="AZ1727" s="4"/>
      <c r="BA1727" s="4"/>
      <c r="BB1727" s="4"/>
      <c r="BC1727" s="4"/>
      <c r="BD1727" s="4" t="n">
        <v>67</v>
      </c>
      <c r="BE1727" s="4" t="s">
        <v>29686</v>
      </c>
      <c r="BF1727" s="4" t="str">
        <f aca="false">HYPERLINK("http://dx.doi.org/10.1186/1743-422X-8-67","http://dx.doi.org/10.1186/1743-422X-8-67")</f>
        <v>http://dx.doi.org/10.1186/1743-422X-8-67</v>
      </c>
      <c r="BG1727" s="4"/>
      <c r="BH1727" s="4"/>
      <c r="BI1727" s="4" t="n">
        <v>8</v>
      </c>
      <c r="BJ1727" s="4" t="s">
        <v>163</v>
      </c>
      <c r="BK1727" s="4" t="s">
        <v>100</v>
      </c>
      <c r="BL1727" s="4" t="s">
        <v>163</v>
      </c>
      <c r="BM1727" s="4" t="s">
        <v>29687</v>
      </c>
      <c r="BN1727" s="4" t="n">
        <v>21314961</v>
      </c>
      <c r="BO1727" s="4" t="s">
        <v>103</v>
      </c>
      <c r="BP1727" s="4"/>
      <c r="BQ1727" s="4"/>
      <c r="BR1727" s="4" t="s">
        <v>104</v>
      </c>
      <c r="BS1727" s="4" t="s">
        <v>29688</v>
      </c>
      <c r="BT1727" s="4" t="str">
        <f aca="false">HYPERLINK("https%3A%2F%2Fwww.webofscience.com%2Fwos%2Fwoscc%2Ffull-record%2FWOS:000287972700001","View Full Record in Web of Science")</f>
        <v>View Full Record in Web of Science</v>
      </c>
    </row>
    <row r="1728" s="5" customFormat="true" ht="12.75" hidden="false" customHeight="false" outlineLevel="0" collapsed="false">
      <c r="A1728" s="4" t="s">
        <v>72</v>
      </c>
      <c r="B1728" s="4" t="s">
        <v>29689</v>
      </c>
      <c r="C1728" s="4"/>
      <c r="D1728" s="4"/>
      <c r="E1728" s="4"/>
      <c r="F1728" s="4" t="s">
        <v>29690</v>
      </c>
      <c r="G1728" s="4"/>
      <c r="H1728" s="4"/>
      <c r="I1728" s="4" t="s">
        <v>29691</v>
      </c>
      <c r="J1728" s="4" t="s">
        <v>29692</v>
      </c>
      <c r="K1728" s="4"/>
      <c r="L1728" s="4"/>
      <c r="M1728" s="4" t="s">
        <v>77</v>
      </c>
      <c r="N1728" s="4" t="s">
        <v>78</v>
      </c>
      <c r="O1728" s="4"/>
      <c r="P1728" s="4"/>
      <c r="Q1728" s="4"/>
      <c r="R1728" s="4"/>
      <c r="S1728" s="4"/>
      <c r="T1728" s="1" t="s">
        <v>29693</v>
      </c>
      <c r="U1728" s="4" t="s">
        <v>29694</v>
      </c>
      <c r="V1728" s="4" t="s">
        <v>29695</v>
      </c>
      <c r="W1728" s="4" t="s">
        <v>29696</v>
      </c>
      <c r="X1728" s="4" t="s">
        <v>29697</v>
      </c>
      <c r="Y1728" s="4" t="s">
        <v>29698</v>
      </c>
      <c r="Z1728" s="4" t="s">
        <v>29699</v>
      </c>
      <c r="AA1728" s="4" t="s">
        <v>29700</v>
      </c>
      <c r="AB1728" s="4" t="s">
        <v>29701</v>
      </c>
      <c r="AC1728" s="4" t="s">
        <v>29702</v>
      </c>
      <c r="AD1728" s="4" t="s">
        <v>29703</v>
      </c>
      <c r="AE1728" s="4" t="s">
        <v>29704</v>
      </c>
      <c r="AF1728" s="4"/>
      <c r="AG1728" s="4" t="n">
        <v>41</v>
      </c>
      <c r="AH1728" s="4" t="n">
        <v>2</v>
      </c>
      <c r="AI1728" s="4" t="n">
        <v>2</v>
      </c>
      <c r="AJ1728" s="4" t="n">
        <v>2</v>
      </c>
      <c r="AK1728" s="4" t="n">
        <v>11</v>
      </c>
      <c r="AL1728" s="4" t="s">
        <v>1704</v>
      </c>
      <c r="AM1728" s="4" t="s">
        <v>1705</v>
      </c>
      <c r="AN1728" s="4" t="s">
        <v>1706</v>
      </c>
      <c r="AO1728" s="4" t="s">
        <v>29705</v>
      </c>
      <c r="AP1728" s="4" t="s">
        <v>29706</v>
      </c>
      <c r="AQ1728" s="4"/>
      <c r="AR1728" s="4" t="s">
        <v>29707</v>
      </c>
      <c r="AS1728" s="4" t="s">
        <v>29708</v>
      </c>
      <c r="AT1728" s="4" t="s">
        <v>15240</v>
      </c>
      <c r="AU1728" s="4" t="n">
        <v>2023</v>
      </c>
      <c r="AV1728" s="4" t="n">
        <v>31</v>
      </c>
      <c r="AW1728" s="4" t="n">
        <v>8</v>
      </c>
      <c r="AX1728" s="4"/>
      <c r="AY1728" s="4"/>
      <c r="AZ1728" s="4"/>
      <c r="BA1728" s="4"/>
      <c r="BB1728" s="4"/>
      <c r="BC1728" s="4"/>
      <c r="BD1728" s="4"/>
      <c r="BE1728" s="4" t="s">
        <v>29709</v>
      </c>
      <c r="BF1728" s="4" t="str">
        <f aca="false">HYPERLINK("http://dx.doi.org/10.1016/j.chom.2023.07.002","http://dx.doi.org/10.1016/j.chom.2023.07.002")</f>
        <v>http://dx.doi.org/10.1016/j.chom.2023.07.002</v>
      </c>
      <c r="BG1728" s="4"/>
      <c r="BH1728" s="4" t="s">
        <v>5077</v>
      </c>
      <c r="BI1728" s="4" t="n">
        <v>20</v>
      </c>
      <c r="BJ1728" s="4" t="s">
        <v>27837</v>
      </c>
      <c r="BK1728" s="4" t="s">
        <v>100</v>
      </c>
      <c r="BL1728" s="4" t="s">
        <v>27837</v>
      </c>
      <c r="BM1728" s="4" t="s">
        <v>29710</v>
      </c>
      <c r="BN1728" s="4" t="n">
        <v>37516111</v>
      </c>
      <c r="BO1728" s="4" t="s">
        <v>5372</v>
      </c>
      <c r="BP1728" s="4"/>
      <c r="BQ1728" s="4"/>
      <c r="BR1728" s="4" t="s">
        <v>104</v>
      </c>
      <c r="BS1728" s="4" t="s">
        <v>29711</v>
      </c>
      <c r="BT1728" s="4" t="str">
        <f aca="false">HYPERLINK("https%3A%2F%2Fwww.webofscience.com%2Fwos%2Fwoscc%2Ffull-record%2FWOS:001146116200001","View Full Record in Web of Science")</f>
        <v>View Full Record in Web of Science</v>
      </c>
    </row>
    <row r="1729" s="5" customFormat="true" ht="12.75" hidden="false" customHeight="false" outlineLevel="0" collapsed="false">
      <c r="A1729" s="4" t="s">
        <v>72</v>
      </c>
      <c r="B1729" s="4" t="s">
        <v>29712</v>
      </c>
      <c r="C1729" s="4"/>
      <c r="D1729" s="4"/>
      <c r="E1729" s="4"/>
      <c r="F1729" s="4" t="s">
        <v>29713</v>
      </c>
      <c r="G1729" s="4"/>
      <c r="H1729" s="4"/>
      <c r="I1729" s="4" t="s">
        <v>29714</v>
      </c>
      <c r="J1729" s="4" t="s">
        <v>742</v>
      </c>
      <c r="K1729" s="4"/>
      <c r="L1729" s="4"/>
      <c r="M1729" s="4" t="s">
        <v>77</v>
      </c>
      <c r="N1729" s="4" t="s">
        <v>78</v>
      </c>
      <c r="O1729" s="4"/>
      <c r="P1729" s="4"/>
      <c r="Q1729" s="4"/>
      <c r="R1729" s="4"/>
      <c r="S1729" s="4"/>
      <c r="T1729" s="1" t="s">
        <v>29715</v>
      </c>
      <c r="U1729" s="4" t="s">
        <v>29716</v>
      </c>
      <c r="V1729" s="4" t="s">
        <v>29717</v>
      </c>
      <c r="W1729" s="4" t="s">
        <v>29718</v>
      </c>
      <c r="X1729" s="4" t="s">
        <v>29719</v>
      </c>
      <c r="Y1729" s="4" t="s">
        <v>12222</v>
      </c>
      <c r="Z1729" s="4" t="s">
        <v>8724</v>
      </c>
      <c r="AA1729" s="4" t="s">
        <v>29720</v>
      </c>
      <c r="AB1729" s="4" t="s">
        <v>29721</v>
      </c>
      <c r="AC1729" s="4" t="s">
        <v>29722</v>
      </c>
      <c r="AD1729" s="4" t="s">
        <v>29723</v>
      </c>
      <c r="AE1729" s="4" t="s">
        <v>29724</v>
      </c>
      <c r="AF1729" s="4"/>
      <c r="AG1729" s="4" t="n">
        <v>20</v>
      </c>
      <c r="AH1729" s="4" t="n">
        <v>56</v>
      </c>
      <c r="AI1729" s="4" t="n">
        <v>70</v>
      </c>
      <c r="AJ1729" s="4" t="n">
        <v>1</v>
      </c>
      <c r="AK1729" s="4" t="n">
        <v>9</v>
      </c>
      <c r="AL1729" s="4" t="s">
        <v>755</v>
      </c>
      <c r="AM1729" s="4" t="s">
        <v>273</v>
      </c>
      <c r="AN1729" s="4" t="s">
        <v>756</v>
      </c>
      <c r="AO1729" s="4" t="s">
        <v>757</v>
      </c>
      <c r="AP1729" s="4"/>
      <c r="AQ1729" s="4"/>
      <c r="AR1729" s="4" t="s">
        <v>759</v>
      </c>
      <c r="AS1729" s="4" t="s">
        <v>760</v>
      </c>
      <c r="AT1729" s="4" t="s">
        <v>129</v>
      </c>
      <c r="AU1729" s="4" t="n">
        <v>2008</v>
      </c>
      <c r="AV1729" s="4" t="n">
        <v>82</v>
      </c>
      <c r="AW1729" s="4" t="n">
        <v>17</v>
      </c>
      <c r="AX1729" s="4"/>
      <c r="AY1729" s="4"/>
      <c r="AZ1729" s="4"/>
      <c r="BA1729" s="4"/>
      <c r="BB1729" s="4" t="n">
        <v>8891</v>
      </c>
      <c r="BC1729" s="4" t="n">
        <v>8895</v>
      </c>
      <c r="BD1729" s="4"/>
      <c r="BE1729" s="4" t="s">
        <v>29725</v>
      </c>
      <c r="BF1729" s="4" t="str">
        <f aca="false">HYPERLINK("http://dx.doi.org/10.1128/JVI.00472-08","http://dx.doi.org/10.1128/JVI.00472-08")</f>
        <v>http://dx.doi.org/10.1128/JVI.00472-08</v>
      </c>
      <c r="BG1729" s="4"/>
      <c r="BH1729" s="4"/>
      <c r="BI1729" s="4" t="n">
        <v>5</v>
      </c>
      <c r="BJ1729" s="4" t="s">
        <v>163</v>
      </c>
      <c r="BK1729" s="4" t="s">
        <v>100</v>
      </c>
      <c r="BL1729" s="4" t="s">
        <v>163</v>
      </c>
      <c r="BM1729" s="4" t="s">
        <v>28580</v>
      </c>
      <c r="BN1729" s="4" t="n">
        <v>18596097</v>
      </c>
      <c r="BO1729" s="4" t="s">
        <v>165</v>
      </c>
      <c r="BP1729" s="4"/>
      <c r="BQ1729" s="4"/>
      <c r="BR1729" s="4" t="s">
        <v>104</v>
      </c>
      <c r="BS1729" s="4" t="s">
        <v>29726</v>
      </c>
      <c r="BT1729" s="4" t="str">
        <f aca="false">HYPERLINK("https%3A%2F%2Fwww.webofscience.com%2Fwos%2Fwoscc%2Ffull-record%2FWOS:000258603600061","View Full Record in Web of Science")</f>
        <v>View Full Record in Web of Science</v>
      </c>
    </row>
    <row r="1730" s="5" customFormat="true" ht="12.75" hidden="false" customHeight="false" outlineLevel="0" collapsed="false">
      <c r="A1730" s="4" t="s">
        <v>72</v>
      </c>
      <c r="B1730" s="4" t="s">
        <v>29727</v>
      </c>
      <c r="C1730" s="4"/>
      <c r="D1730" s="4"/>
      <c r="E1730" s="4"/>
      <c r="F1730" s="4" t="s">
        <v>29727</v>
      </c>
      <c r="G1730" s="4"/>
      <c r="H1730" s="4"/>
      <c r="I1730" s="4" t="s">
        <v>29728</v>
      </c>
      <c r="J1730" s="4" t="s">
        <v>514</v>
      </c>
      <c r="K1730" s="4"/>
      <c r="L1730" s="4"/>
      <c r="M1730" s="4" t="s">
        <v>77</v>
      </c>
      <c r="N1730" s="4" t="s">
        <v>78</v>
      </c>
      <c r="O1730" s="4"/>
      <c r="P1730" s="4"/>
      <c r="Q1730" s="4"/>
      <c r="R1730" s="4"/>
      <c r="S1730" s="4"/>
      <c r="T1730" s="1" t="s">
        <v>29729</v>
      </c>
      <c r="U1730" s="4" t="s">
        <v>29730</v>
      </c>
      <c r="V1730" s="4" t="s">
        <v>29731</v>
      </c>
      <c r="W1730" s="4" t="s">
        <v>29732</v>
      </c>
      <c r="X1730" s="4" t="s">
        <v>29733</v>
      </c>
      <c r="Y1730" s="4" t="s">
        <v>29734</v>
      </c>
      <c r="Z1730" s="4" t="s">
        <v>29735</v>
      </c>
      <c r="AA1730" s="4"/>
      <c r="AB1730" s="4"/>
      <c r="AC1730" s="4"/>
      <c r="AD1730" s="4"/>
      <c r="AE1730" s="4"/>
      <c r="AF1730" s="4"/>
      <c r="AG1730" s="4" t="n">
        <v>11</v>
      </c>
      <c r="AH1730" s="4" t="n">
        <v>79</v>
      </c>
      <c r="AI1730" s="4" t="n">
        <v>93</v>
      </c>
      <c r="AJ1730" s="4" t="n">
        <v>0</v>
      </c>
      <c r="AK1730" s="4" t="n">
        <v>0</v>
      </c>
      <c r="AL1730" s="4" t="s">
        <v>27444</v>
      </c>
      <c r="AM1730" s="4" t="s">
        <v>20223</v>
      </c>
      <c r="AN1730" s="4" t="s">
        <v>27445</v>
      </c>
      <c r="AO1730" s="4" t="s">
        <v>530</v>
      </c>
      <c r="AP1730" s="4"/>
      <c r="AQ1730" s="4"/>
      <c r="AR1730" s="4" t="s">
        <v>532</v>
      </c>
      <c r="AS1730" s="4" t="s">
        <v>533</v>
      </c>
      <c r="AT1730" s="4" t="s">
        <v>10024</v>
      </c>
      <c r="AU1730" s="4" t="n">
        <v>2003</v>
      </c>
      <c r="AV1730" s="4" t="n">
        <v>188</v>
      </c>
      <c r="AW1730" s="4" t="n">
        <v>12</v>
      </c>
      <c r="AX1730" s="4"/>
      <c r="AY1730" s="4"/>
      <c r="AZ1730" s="4"/>
      <c r="BA1730" s="4"/>
      <c r="BB1730" s="4" t="n">
        <v>1865</v>
      </c>
      <c r="BC1730" s="4" t="n">
        <v>1867</v>
      </c>
      <c r="BD1730" s="4"/>
      <c r="BE1730" s="4" t="s">
        <v>29736</v>
      </c>
      <c r="BF1730" s="4" t="str">
        <f aca="false">HYPERLINK("http://dx.doi.org/10.1086/380100","http://dx.doi.org/10.1086/380100")</f>
        <v>http://dx.doi.org/10.1086/380100</v>
      </c>
      <c r="BG1730" s="4"/>
      <c r="BH1730" s="4"/>
      <c r="BI1730" s="4" t="n">
        <v>3</v>
      </c>
      <c r="BJ1730" s="4" t="s">
        <v>536</v>
      </c>
      <c r="BK1730" s="4" t="s">
        <v>100</v>
      </c>
      <c r="BL1730" s="4" t="s">
        <v>536</v>
      </c>
      <c r="BM1730" s="4" t="s">
        <v>29737</v>
      </c>
      <c r="BN1730" s="4" t="n">
        <v>14673765</v>
      </c>
      <c r="BO1730" s="4" t="s">
        <v>656</v>
      </c>
      <c r="BP1730" s="4"/>
      <c r="BQ1730" s="4"/>
      <c r="BR1730" s="4" t="s">
        <v>104</v>
      </c>
      <c r="BS1730" s="4" t="s">
        <v>29738</v>
      </c>
      <c r="BT1730" s="4" t="str">
        <f aca="false">HYPERLINK("https%3A%2F%2Fwww.webofscience.com%2Fwos%2Fwoscc%2Ffull-record%2FWOS:000187992700010","View Full Record in Web of Science")</f>
        <v>View Full Record in Web of Science</v>
      </c>
    </row>
    <row r="1731" s="5" customFormat="true" ht="12.75" hidden="false" customHeight="false" outlineLevel="0" collapsed="false">
      <c r="A1731" s="4" t="s">
        <v>72</v>
      </c>
      <c r="B1731" s="4" t="s">
        <v>29739</v>
      </c>
      <c r="C1731" s="4"/>
      <c r="D1731" s="4"/>
      <c r="E1731" s="4"/>
      <c r="F1731" s="4" t="s">
        <v>29740</v>
      </c>
      <c r="G1731" s="4"/>
      <c r="H1731" s="4"/>
      <c r="I1731" s="4" t="s">
        <v>29741</v>
      </c>
      <c r="J1731" s="4" t="s">
        <v>27453</v>
      </c>
      <c r="K1731" s="4"/>
      <c r="L1731" s="4"/>
      <c r="M1731" s="4" t="s">
        <v>77</v>
      </c>
      <c r="N1731" s="4" t="s">
        <v>78</v>
      </c>
      <c r="O1731" s="4"/>
      <c r="P1731" s="4"/>
      <c r="Q1731" s="4"/>
      <c r="R1731" s="4"/>
      <c r="S1731" s="4"/>
      <c r="T1731" s="0"/>
      <c r="U1731" s="4" t="s">
        <v>29742</v>
      </c>
      <c r="V1731" s="4" t="s">
        <v>29743</v>
      </c>
      <c r="W1731" s="4" t="s">
        <v>29744</v>
      </c>
      <c r="X1731" s="4" t="s">
        <v>29745</v>
      </c>
      <c r="Y1731" s="4" t="s">
        <v>29746</v>
      </c>
      <c r="Z1731" s="4" t="s">
        <v>29747</v>
      </c>
      <c r="AA1731" s="4" t="s">
        <v>29748</v>
      </c>
      <c r="AB1731" s="4" t="s">
        <v>29749</v>
      </c>
      <c r="AC1731" s="4"/>
      <c r="AD1731" s="4"/>
      <c r="AE1731" s="4"/>
      <c r="AF1731" s="4"/>
      <c r="AG1731" s="4" t="n">
        <v>14</v>
      </c>
      <c r="AH1731" s="4" t="n">
        <v>7</v>
      </c>
      <c r="AI1731" s="4" t="n">
        <v>8</v>
      </c>
      <c r="AJ1731" s="4" t="n">
        <v>0</v>
      </c>
      <c r="AK1731" s="4" t="n">
        <v>0</v>
      </c>
      <c r="AL1731" s="4" t="s">
        <v>27463</v>
      </c>
      <c r="AM1731" s="4" t="s">
        <v>16252</v>
      </c>
      <c r="AN1731" s="4" t="s">
        <v>27464</v>
      </c>
      <c r="AO1731" s="4" t="s">
        <v>27465</v>
      </c>
      <c r="AP1731" s="4" t="s">
        <v>27466</v>
      </c>
      <c r="AQ1731" s="4"/>
      <c r="AR1731" s="4" t="s">
        <v>27467</v>
      </c>
      <c r="AS1731" s="4" t="s">
        <v>27468</v>
      </c>
      <c r="AT1731" s="4" t="s">
        <v>97</v>
      </c>
      <c r="AU1731" s="4" t="n">
        <v>2008</v>
      </c>
      <c r="AV1731" s="4" t="n">
        <v>61</v>
      </c>
      <c r="AW1731" s="4" t="n">
        <v>2</v>
      </c>
      <c r="AX1731" s="4"/>
      <c r="AY1731" s="4"/>
      <c r="AZ1731" s="4"/>
      <c r="BA1731" s="4"/>
      <c r="BB1731" s="4" t="n">
        <v>154</v>
      </c>
      <c r="BC1731" s="4" t="n">
        <v>156</v>
      </c>
      <c r="BD1731" s="4"/>
      <c r="BE1731" s="4"/>
      <c r="BF1731" s="4"/>
      <c r="BG1731" s="4"/>
      <c r="BH1731" s="4"/>
      <c r="BI1731" s="4" t="n">
        <v>3</v>
      </c>
      <c r="BJ1731" s="4" t="s">
        <v>575</v>
      </c>
      <c r="BK1731" s="4" t="s">
        <v>100</v>
      </c>
      <c r="BL1731" s="4" t="s">
        <v>575</v>
      </c>
      <c r="BM1731" s="4" t="s">
        <v>29750</v>
      </c>
      <c r="BN1731" s="4" t="n">
        <v>18362411</v>
      </c>
      <c r="BO1731" s="4"/>
      <c r="BP1731" s="4"/>
      <c r="BQ1731" s="4"/>
      <c r="BR1731" s="4" t="s">
        <v>104</v>
      </c>
      <c r="BS1731" s="4" t="s">
        <v>29751</v>
      </c>
      <c r="BT1731" s="4" t="str">
        <f aca="false">HYPERLINK("https%3A%2F%2Fwww.webofscience.com%2Fwos%2Fwoscc%2Ffull-record%2FWOS:000254711300018","View Full Record in Web of Science")</f>
        <v>View Full Record in Web of Science</v>
      </c>
    </row>
    <row r="1732" s="5" customFormat="true" ht="12.75" hidden="false" customHeight="false" outlineLevel="0" collapsed="false">
      <c r="A1732" s="4" t="s">
        <v>72</v>
      </c>
      <c r="B1732" s="4" t="s">
        <v>29752</v>
      </c>
      <c r="C1732" s="4"/>
      <c r="D1732" s="4"/>
      <c r="E1732" s="4"/>
      <c r="F1732" s="4" t="s">
        <v>29753</v>
      </c>
      <c r="G1732" s="4"/>
      <c r="H1732" s="4"/>
      <c r="I1732" s="4" t="s">
        <v>29754</v>
      </c>
      <c r="J1732" s="4" t="s">
        <v>13758</v>
      </c>
      <c r="K1732" s="4"/>
      <c r="L1732" s="4"/>
      <c r="M1732" s="4" t="s">
        <v>77</v>
      </c>
      <c r="N1732" s="4" t="s">
        <v>78</v>
      </c>
      <c r="O1732" s="4"/>
      <c r="P1732" s="4"/>
      <c r="Q1732" s="4"/>
      <c r="R1732" s="4"/>
      <c r="S1732" s="4"/>
      <c r="T1732" s="1" t="s">
        <v>29755</v>
      </c>
      <c r="U1732" s="4" t="s">
        <v>29756</v>
      </c>
      <c r="V1732" s="4" t="s">
        <v>29757</v>
      </c>
      <c r="W1732" s="4" t="s">
        <v>29758</v>
      </c>
      <c r="X1732" s="4" t="s">
        <v>29759</v>
      </c>
      <c r="Y1732" s="4" t="s">
        <v>29760</v>
      </c>
      <c r="Z1732" s="4" t="s">
        <v>3787</v>
      </c>
      <c r="AA1732" s="4" t="s">
        <v>29761</v>
      </c>
      <c r="AB1732" s="4"/>
      <c r="AC1732" s="4" t="s">
        <v>29762</v>
      </c>
      <c r="AD1732" s="4" t="s">
        <v>29763</v>
      </c>
      <c r="AE1732" s="4" t="s">
        <v>29764</v>
      </c>
      <c r="AF1732" s="4"/>
      <c r="AG1732" s="4" t="n">
        <v>24</v>
      </c>
      <c r="AH1732" s="4" t="n">
        <v>2</v>
      </c>
      <c r="AI1732" s="4" t="n">
        <v>2</v>
      </c>
      <c r="AJ1732" s="4" t="n">
        <v>0</v>
      </c>
      <c r="AK1732" s="4" t="n">
        <v>8</v>
      </c>
      <c r="AL1732" s="4" t="s">
        <v>13769</v>
      </c>
      <c r="AM1732" s="4" t="s">
        <v>16554</v>
      </c>
      <c r="AN1732" s="4" t="s">
        <v>16555</v>
      </c>
      <c r="AO1732" s="4" t="s">
        <v>13772</v>
      </c>
      <c r="AP1732" s="4" t="s">
        <v>13773</v>
      </c>
      <c r="AQ1732" s="4"/>
      <c r="AR1732" s="4" t="s">
        <v>13774</v>
      </c>
      <c r="AS1732" s="4" t="s">
        <v>13775</v>
      </c>
      <c r="AT1732" s="4" t="s">
        <v>161</v>
      </c>
      <c r="AU1732" s="4" t="n">
        <v>2010</v>
      </c>
      <c r="AV1732" s="4" t="n">
        <v>155</v>
      </c>
      <c r="AW1732" s="4" t="n">
        <v>1</v>
      </c>
      <c r="AX1732" s="4"/>
      <c r="AY1732" s="4"/>
      <c r="AZ1732" s="4"/>
      <c r="BA1732" s="4"/>
      <c r="BB1732" s="4" t="n">
        <v>47</v>
      </c>
      <c r="BC1732" s="4" t="n">
        <v>54</v>
      </c>
      <c r="BD1732" s="4"/>
      <c r="BE1732" s="4" t="s">
        <v>29765</v>
      </c>
      <c r="BF1732" s="4" t="str">
        <f aca="false">HYPERLINK("http://dx.doi.org/10.1007/s00705-009-0551-1","http://dx.doi.org/10.1007/s00705-009-0551-1")</f>
        <v>http://dx.doi.org/10.1007/s00705-009-0551-1</v>
      </c>
      <c r="BG1732" s="4"/>
      <c r="BH1732" s="4"/>
      <c r="BI1732" s="4" t="n">
        <v>8</v>
      </c>
      <c r="BJ1732" s="4" t="s">
        <v>163</v>
      </c>
      <c r="BK1732" s="4" t="s">
        <v>100</v>
      </c>
      <c r="BL1732" s="4" t="s">
        <v>163</v>
      </c>
      <c r="BM1732" s="4" t="s">
        <v>29766</v>
      </c>
      <c r="BN1732" s="4" t="n">
        <v>19937067</v>
      </c>
      <c r="BO1732" s="4" t="s">
        <v>656</v>
      </c>
      <c r="BP1732" s="4"/>
      <c r="BQ1732" s="4"/>
      <c r="BR1732" s="4" t="s">
        <v>104</v>
      </c>
      <c r="BS1732" s="4" t="s">
        <v>29767</v>
      </c>
      <c r="BT1732" s="4" t="str">
        <f aca="false">HYPERLINK("https%3A%2F%2Fwww.webofscience.com%2Fwos%2Fwoscc%2Ffull-record%2FWOS:000273588000008","View Full Record in Web of Science")</f>
        <v>View Full Record in Web of Science</v>
      </c>
    </row>
    <row r="1733" s="5" customFormat="true" ht="12.75" hidden="false" customHeight="false" outlineLevel="0" collapsed="false">
      <c r="A1733" s="4" t="s">
        <v>72</v>
      </c>
      <c r="B1733" s="4" t="s">
        <v>29768</v>
      </c>
      <c r="C1733" s="4"/>
      <c r="D1733" s="4"/>
      <c r="E1733" s="4"/>
      <c r="F1733" s="4" t="s">
        <v>29769</v>
      </c>
      <c r="G1733" s="4"/>
      <c r="H1733" s="4"/>
      <c r="I1733" s="4" t="s">
        <v>29770</v>
      </c>
      <c r="J1733" s="4" t="s">
        <v>29771</v>
      </c>
      <c r="K1733" s="4"/>
      <c r="L1733" s="4"/>
      <c r="M1733" s="4" t="s">
        <v>77</v>
      </c>
      <c r="N1733" s="4" t="s">
        <v>78</v>
      </c>
      <c r="O1733" s="4"/>
      <c r="P1733" s="4"/>
      <c r="Q1733" s="4"/>
      <c r="R1733" s="4"/>
      <c r="S1733" s="4"/>
      <c r="T1733" s="1" t="s">
        <v>29772</v>
      </c>
      <c r="U1733" s="4" t="s">
        <v>29773</v>
      </c>
      <c r="V1733" s="4" t="s">
        <v>29774</v>
      </c>
      <c r="W1733" s="4" t="s">
        <v>29775</v>
      </c>
      <c r="X1733" s="4" t="s">
        <v>29776</v>
      </c>
      <c r="Y1733" s="4" t="s">
        <v>29777</v>
      </c>
      <c r="Z1733" s="4" t="s">
        <v>29778</v>
      </c>
      <c r="AA1733" s="4" t="s">
        <v>29779</v>
      </c>
      <c r="AB1733" s="4" t="s">
        <v>29780</v>
      </c>
      <c r="AC1733" s="4" t="s">
        <v>29781</v>
      </c>
      <c r="AD1733" s="4" t="s">
        <v>29782</v>
      </c>
      <c r="AE1733" s="4" t="s">
        <v>29783</v>
      </c>
      <c r="AF1733" s="4"/>
      <c r="AG1733" s="4" t="n">
        <v>34</v>
      </c>
      <c r="AH1733" s="4" t="n">
        <v>7</v>
      </c>
      <c r="AI1733" s="4" t="n">
        <v>7</v>
      </c>
      <c r="AJ1733" s="4" t="n">
        <v>0</v>
      </c>
      <c r="AK1733" s="4" t="n">
        <v>3</v>
      </c>
      <c r="AL1733" s="4" t="s">
        <v>29784</v>
      </c>
      <c r="AM1733" s="4" t="s">
        <v>593</v>
      </c>
      <c r="AN1733" s="4" t="s">
        <v>29785</v>
      </c>
      <c r="AO1733" s="4" t="s">
        <v>29786</v>
      </c>
      <c r="AP1733" s="4"/>
      <c r="AQ1733" s="4"/>
      <c r="AR1733" s="4" t="s">
        <v>29787</v>
      </c>
      <c r="AS1733" s="4" t="s">
        <v>29788</v>
      </c>
      <c r="AT1733" s="4"/>
      <c r="AU1733" s="4" t="n">
        <v>2012</v>
      </c>
      <c r="AV1733" s="4"/>
      <c r="AW1733" s="4"/>
      <c r="AX1733" s="4"/>
      <c r="AY1733" s="4"/>
      <c r="AZ1733" s="4"/>
      <c r="BA1733" s="4"/>
      <c r="BB1733" s="4"/>
      <c r="BC1733" s="4"/>
      <c r="BD1733" s="4" t="n">
        <v>460837</v>
      </c>
      <c r="BE1733" s="4" t="s">
        <v>29789</v>
      </c>
      <c r="BF1733" s="4" t="str">
        <f aca="false">HYPERLINK("http://dx.doi.org/10.1155/2012/460837","http://dx.doi.org/10.1155/2012/460837")</f>
        <v>http://dx.doi.org/10.1155/2012/460837</v>
      </c>
      <c r="BG1733" s="4"/>
      <c r="BH1733" s="4"/>
      <c r="BI1733" s="4" t="n">
        <v>7</v>
      </c>
      <c r="BJ1733" s="4" t="s">
        <v>29790</v>
      </c>
      <c r="BK1733" s="4" t="s">
        <v>100</v>
      </c>
      <c r="BL1733" s="4" t="s">
        <v>29791</v>
      </c>
      <c r="BM1733" s="4" t="s">
        <v>29792</v>
      </c>
      <c r="BN1733" s="4" t="n">
        <v>23193361</v>
      </c>
      <c r="BO1733" s="4" t="s">
        <v>190</v>
      </c>
      <c r="BP1733" s="4"/>
      <c r="BQ1733" s="4"/>
      <c r="BR1733" s="4" t="s">
        <v>104</v>
      </c>
      <c r="BS1733" s="4" t="s">
        <v>29793</v>
      </c>
      <c r="BT1733" s="4" t="str">
        <f aca="false">HYPERLINK("https%3A%2F%2Fwww.webofscience.com%2Fwos%2Fwoscc%2Ffull-record%2FWOS:000311208600001","View Full Record in Web of Science")</f>
        <v>View Full Record in Web of Science</v>
      </c>
    </row>
    <row r="1734" s="5" customFormat="true" ht="12.75" hidden="false" customHeight="false" outlineLevel="0" collapsed="false">
      <c r="A1734" s="4" t="s">
        <v>72</v>
      </c>
      <c r="B1734" s="4" t="s">
        <v>29794</v>
      </c>
      <c r="C1734" s="4"/>
      <c r="D1734" s="4"/>
      <c r="E1734" s="4"/>
      <c r="F1734" s="4" t="s">
        <v>29794</v>
      </c>
      <c r="G1734" s="4"/>
      <c r="H1734" s="4"/>
      <c r="I1734" s="4" t="s">
        <v>29795</v>
      </c>
      <c r="J1734" s="4" t="s">
        <v>2222</v>
      </c>
      <c r="K1734" s="4"/>
      <c r="L1734" s="4"/>
      <c r="M1734" s="4" t="s">
        <v>77</v>
      </c>
      <c r="N1734" s="4" t="s">
        <v>78</v>
      </c>
      <c r="O1734" s="4"/>
      <c r="P1734" s="4"/>
      <c r="Q1734" s="4"/>
      <c r="R1734" s="4"/>
      <c r="S1734" s="4"/>
      <c r="T1734" s="1" t="s">
        <v>29796</v>
      </c>
      <c r="U1734" s="4" t="s">
        <v>29797</v>
      </c>
      <c r="V1734" s="4" t="s">
        <v>29798</v>
      </c>
      <c r="W1734" s="4" t="s">
        <v>29799</v>
      </c>
      <c r="X1734" s="4" t="s">
        <v>13851</v>
      </c>
      <c r="Y1734" s="4" t="s">
        <v>29800</v>
      </c>
      <c r="Z1734" s="4" t="s">
        <v>13853</v>
      </c>
      <c r="AA1734" s="4" t="s">
        <v>13854</v>
      </c>
      <c r="AB1734" s="4" t="s">
        <v>13855</v>
      </c>
      <c r="AC1734" s="4"/>
      <c r="AD1734" s="4"/>
      <c r="AE1734" s="4"/>
      <c r="AF1734" s="4"/>
      <c r="AG1734" s="4" t="n">
        <v>20</v>
      </c>
      <c r="AH1734" s="4" t="n">
        <v>120</v>
      </c>
      <c r="AI1734" s="4" t="n">
        <v>139</v>
      </c>
      <c r="AJ1734" s="4" t="n">
        <v>0</v>
      </c>
      <c r="AK1734" s="4" t="n">
        <v>2</v>
      </c>
      <c r="AL1734" s="4" t="s">
        <v>755</v>
      </c>
      <c r="AM1734" s="4" t="s">
        <v>273</v>
      </c>
      <c r="AN1734" s="4" t="s">
        <v>756</v>
      </c>
      <c r="AO1734" s="4" t="s">
        <v>2234</v>
      </c>
      <c r="AP1734" s="4" t="s">
        <v>2235</v>
      </c>
      <c r="AQ1734" s="4"/>
      <c r="AR1734" s="4" t="s">
        <v>2236</v>
      </c>
      <c r="AS1734" s="4" t="s">
        <v>2237</v>
      </c>
      <c r="AT1734" s="4" t="s">
        <v>161</v>
      </c>
      <c r="AU1734" s="4" t="n">
        <v>2004</v>
      </c>
      <c r="AV1734" s="4" t="n">
        <v>42</v>
      </c>
      <c r="AW1734" s="4" t="n">
        <v>1</v>
      </c>
      <c r="AX1734" s="4"/>
      <c r="AY1734" s="4"/>
      <c r="AZ1734" s="4"/>
      <c r="BA1734" s="4"/>
      <c r="BB1734" s="4" t="n">
        <v>126</v>
      </c>
      <c r="BC1734" s="4" t="n">
        <v>132</v>
      </c>
      <c r="BD1734" s="4"/>
      <c r="BE1734" s="4" t="s">
        <v>29801</v>
      </c>
      <c r="BF1734" s="4" t="str">
        <f aca="false">HYPERLINK("http://dx.doi.org/10.1128/JCM.42.1.126-132.2004","http://dx.doi.org/10.1128/JCM.42.1.126-132.2004")</f>
        <v>http://dx.doi.org/10.1128/JCM.42.1.126-132.2004</v>
      </c>
      <c r="BG1734" s="4"/>
      <c r="BH1734" s="4"/>
      <c r="BI1734" s="4" t="n">
        <v>7</v>
      </c>
      <c r="BJ1734" s="4" t="s">
        <v>211</v>
      </c>
      <c r="BK1734" s="4" t="s">
        <v>100</v>
      </c>
      <c r="BL1734" s="4" t="s">
        <v>211</v>
      </c>
      <c r="BM1734" s="4" t="s">
        <v>29802</v>
      </c>
      <c r="BN1734" s="4" t="n">
        <v>14715742</v>
      </c>
      <c r="BO1734" s="4" t="s">
        <v>165</v>
      </c>
      <c r="BP1734" s="4"/>
      <c r="BQ1734" s="4"/>
      <c r="BR1734" s="4" t="s">
        <v>104</v>
      </c>
      <c r="BS1734" s="4" t="s">
        <v>29803</v>
      </c>
      <c r="BT1734" s="4" t="str">
        <f aca="false">HYPERLINK("https%3A%2F%2Fwww.webofscience.com%2Fwos%2Fwoscc%2Ffull-record%2FWOS:000188121800020","View Full Record in Web of Science")</f>
        <v>View Full Record in Web of Science</v>
      </c>
    </row>
    <row r="1735" s="5" customFormat="true" ht="12.75" hidden="false" customHeight="false" outlineLevel="0" collapsed="false">
      <c r="A1735" s="4" t="s">
        <v>72</v>
      </c>
      <c r="B1735" s="4" t="s">
        <v>29804</v>
      </c>
      <c r="C1735" s="4"/>
      <c r="D1735" s="4"/>
      <c r="E1735" s="4"/>
      <c r="F1735" s="4" t="s">
        <v>29805</v>
      </c>
      <c r="G1735" s="4"/>
      <c r="H1735" s="4"/>
      <c r="I1735" s="4" t="s">
        <v>29806</v>
      </c>
      <c r="J1735" s="4" t="s">
        <v>7145</v>
      </c>
      <c r="K1735" s="4"/>
      <c r="L1735" s="4"/>
      <c r="M1735" s="4" t="s">
        <v>77</v>
      </c>
      <c r="N1735" s="4" t="s">
        <v>78</v>
      </c>
      <c r="O1735" s="4"/>
      <c r="P1735" s="4"/>
      <c r="Q1735" s="4"/>
      <c r="R1735" s="4"/>
      <c r="S1735" s="4"/>
      <c r="T1735" s="1" t="s">
        <v>29807</v>
      </c>
      <c r="U1735" s="4" t="s">
        <v>29808</v>
      </c>
      <c r="V1735" s="4" t="s">
        <v>29809</v>
      </c>
      <c r="W1735" s="4" t="s">
        <v>29810</v>
      </c>
      <c r="X1735" s="4" t="s">
        <v>12353</v>
      </c>
      <c r="Y1735" s="4" t="s">
        <v>29811</v>
      </c>
      <c r="Z1735" s="4" t="s">
        <v>12355</v>
      </c>
      <c r="AA1735" s="4"/>
      <c r="AB1735" s="4" t="s">
        <v>29812</v>
      </c>
      <c r="AC1735" s="4" t="s">
        <v>29813</v>
      </c>
      <c r="AD1735" s="4" t="s">
        <v>23709</v>
      </c>
      <c r="AE1735" s="4" t="s">
        <v>29814</v>
      </c>
      <c r="AF1735" s="4"/>
      <c r="AG1735" s="4" t="n">
        <v>14</v>
      </c>
      <c r="AH1735" s="4" t="n">
        <v>11</v>
      </c>
      <c r="AI1735" s="4" t="n">
        <v>14</v>
      </c>
      <c r="AJ1735" s="4" t="n">
        <v>0</v>
      </c>
      <c r="AK1735" s="4" t="n">
        <v>3</v>
      </c>
      <c r="AL1735" s="4" t="s">
        <v>28431</v>
      </c>
      <c r="AM1735" s="4" t="s">
        <v>28432</v>
      </c>
      <c r="AN1735" s="4" t="s">
        <v>28433</v>
      </c>
      <c r="AO1735" s="4" t="s">
        <v>7158</v>
      </c>
      <c r="AP1735" s="4"/>
      <c r="AQ1735" s="4"/>
      <c r="AR1735" s="4" t="s">
        <v>7160</v>
      </c>
      <c r="AS1735" s="4" t="s">
        <v>7161</v>
      </c>
      <c r="AT1735" s="4" t="s">
        <v>599</v>
      </c>
      <c r="AU1735" s="4" t="n">
        <v>2011</v>
      </c>
      <c r="AV1735" s="4" t="n">
        <v>92</v>
      </c>
      <c r="AW1735" s="4"/>
      <c r="AX1735" s="4" t="n">
        <v>7</v>
      </c>
      <c r="AY1735" s="4"/>
      <c r="AZ1735" s="4"/>
      <c r="BA1735" s="4"/>
      <c r="BB1735" s="4" t="n">
        <v>1662</v>
      </c>
      <c r="BC1735" s="4" t="n">
        <v>1665</v>
      </c>
      <c r="BD1735" s="4"/>
      <c r="BE1735" s="4" t="s">
        <v>29815</v>
      </c>
      <c r="BF1735" s="4" t="str">
        <f aca="false">HYPERLINK("http://dx.doi.org/10.1099/vir.0.030825-0","http://dx.doi.org/10.1099/vir.0.030825-0")</f>
        <v>http://dx.doi.org/10.1099/vir.0.030825-0</v>
      </c>
      <c r="BG1735" s="4"/>
      <c r="BH1735" s="4"/>
      <c r="BI1735" s="4" t="n">
        <v>4</v>
      </c>
      <c r="BJ1735" s="4" t="s">
        <v>7163</v>
      </c>
      <c r="BK1735" s="4" t="s">
        <v>100</v>
      </c>
      <c r="BL1735" s="4" t="s">
        <v>7163</v>
      </c>
      <c r="BM1735" s="4" t="s">
        <v>29816</v>
      </c>
      <c r="BN1735" s="4" t="n">
        <v>21411678</v>
      </c>
      <c r="BO1735" s="4" t="s">
        <v>656</v>
      </c>
      <c r="BP1735" s="4"/>
      <c r="BQ1735" s="4"/>
      <c r="BR1735" s="4" t="s">
        <v>104</v>
      </c>
      <c r="BS1735" s="4" t="s">
        <v>29817</v>
      </c>
      <c r="BT1735" s="4" t="str">
        <f aca="false">HYPERLINK("https%3A%2F%2Fwww.webofscience.com%2Fwos%2Fwoscc%2Ffull-record%2FWOS:000292578600019","View Full Record in Web of Science")</f>
        <v>View Full Record in Web of Science</v>
      </c>
    </row>
    <row r="1736" s="5" customFormat="true" ht="12.75" hidden="false" customHeight="false" outlineLevel="0" collapsed="false">
      <c r="A1736" s="4" t="s">
        <v>72</v>
      </c>
      <c r="B1736" s="4" t="s">
        <v>29818</v>
      </c>
      <c r="C1736" s="4"/>
      <c r="D1736" s="4"/>
      <c r="E1736" s="4"/>
      <c r="F1736" s="4" t="s">
        <v>29819</v>
      </c>
      <c r="G1736" s="4"/>
      <c r="H1736" s="4"/>
      <c r="I1736" s="4" t="s">
        <v>29820</v>
      </c>
      <c r="J1736" s="4" t="s">
        <v>28246</v>
      </c>
      <c r="K1736" s="4"/>
      <c r="L1736" s="4"/>
      <c r="M1736" s="4" t="s">
        <v>77</v>
      </c>
      <c r="N1736" s="4" t="s">
        <v>78</v>
      </c>
      <c r="O1736" s="4"/>
      <c r="P1736" s="4"/>
      <c r="Q1736" s="4"/>
      <c r="R1736" s="4"/>
      <c r="S1736" s="4"/>
      <c r="T1736" s="1" t="s">
        <v>29821</v>
      </c>
      <c r="U1736" s="4" t="s">
        <v>29822</v>
      </c>
      <c r="V1736" s="4" t="s">
        <v>29823</v>
      </c>
      <c r="W1736" s="4" t="s">
        <v>29824</v>
      </c>
      <c r="X1736" s="4" t="s">
        <v>29825</v>
      </c>
      <c r="Y1736" s="4" t="s">
        <v>29826</v>
      </c>
      <c r="Z1736" s="4" t="s">
        <v>29827</v>
      </c>
      <c r="AA1736" s="4" t="s">
        <v>29828</v>
      </c>
      <c r="AB1736" s="4" t="s">
        <v>29829</v>
      </c>
      <c r="AC1736" s="4" t="s">
        <v>29830</v>
      </c>
      <c r="AD1736" s="4" t="s">
        <v>29831</v>
      </c>
      <c r="AE1736" s="4" t="s">
        <v>29832</v>
      </c>
      <c r="AF1736" s="4"/>
      <c r="AG1736" s="4" t="n">
        <v>47</v>
      </c>
      <c r="AH1736" s="4" t="n">
        <v>26</v>
      </c>
      <c r="AI1736" s="4" t="n">
        <v>32</v>
      </c>
      <c r="AJ1736" s="4" t="n">
        <v>1</v>
      </c>
      <c r="AK1736" s="4" t="n">
        <v>10</v>
      </c>
      <c r="AL1736" s="4" t="s">
        <v>6405</v>
      </c>
      <c r="AM1736" s="4" t="s">
        <v>6406</v>
      </c>
      <c r="AN1736" s="4" t="s">
        <v>6407</v>
      </c>
      <c r="AO1736" s="4"/>
      <c r="AP1736" s="4" t="s">
        <v>28255</v>
      </c>
      <c r="AQ1736" s="4"/>
      <c r="AR1736" s="4" t="s">
        <v>28256</v>
      </c>
      <c r="AS1736" s="4" t="s">
        <v>28257</v>
      </c>
      <c r="AT1736" s="4" t="s">
        <v>14073</v>
      </c>
      <c r="AU1736" s="4" t="n">
        <v>2022</v>
      </c>
      <c r="AV1736" s="4" t="n">
        <v>13</v>
      </c>
      <c r="AW1736" s="4" t="n">
        <v>1</v>
      </c>
      <c r="AX1736" s="4"/>
      <c r="AY1736" s="4"/>
      <c r="AZ1736" s="4"/>
      <c r="BA1736" s="4"/>
      <c r="BB1736" s="4"/>
      <c r="BC1736" s="4"/>
      <c r="BD1736" s="4" t="n">
        <v>1299</v>
      </c>
      <c r="BE1736" s="4" t="s">
        <v>29833</v>
      </c>
      <c r="BF1736" s="4" t="str">
        <f aca="false">HYPERLINK("http://dx.doi.org/10.1038/s41467-022-28931-3","http://dx.doi.org/10.1038/s41467-022-28931-3")</f>
        <v>http://dx.doi.org/10.1038/s41467-022-28931-3</v>
      </c>
      <c r="BG1736" s="4"/>
      <c r="BH1736" s="4"/>
      <c r="BI1736" s="4" t="n">
        <v>11</v>
      </c>
      <c r="BJ1736" s="4" t="s">
        <v>1658</v>
      </c>
      <c r="BK1736" s="4" t="s">
        <v>100</v>
      </c>
      <c r="BL1736" s="4" t="s">
        <v>1659</v>
      </c>
      <c r="BM1736" s="4" t="s">
        <v>29834</v>
      </c>
      <c r="BN1736" s="4" t="n">
        <v>35288548</v>
      </c>
      <c r="BO1736" s="4" t="s">
        <v>11315</v>
      </c>
      <c r="BP1736" s="4"/>
      <c r="BQ1736" s="4"/>
      <c r="BR1736" s="4" t="s">
        <v>104</v>
      </c>
      <c r="BS1736" s="4" t="s">
        <v>29835</v>
      </c>
      <c r="BT1736" s="4" t="str">
        <f aca="false">HYPERLINK("https%3A%2F%2Fwww.webofscience.com%2Fwos%2Fwoscc%2Ffull-record%2FWOS:000769063600022","View Full Record in Web of Science")</f>
        <v>View Full Record in Web of Science</v>
      </c>
    </row>
    <row r="1737" s="5" customFormat="true" ht="12.75" hidden="false" customHeight="false" outlineLevel="0" collapsed="false">
      <c r="A1737" s="4" t="s">
        <v>72</v>
      </c>
      <c r="B1737" s="4" t="s">
        <v>29836</v>
      </c>
      <c r="C1737" s="4"/>
      <c r="D1737" s="4"/>
      <c r="E1737" s="4"/>
      <c r="F1737" s="4" t="s">
        <v>29836</v>
      </c>
      <c r="G1737" s="4"/>
      <c r="H1737" s="4"/>
      <c r="I1737" s="4" t="s">
        <v>29837</v>
      </c>
      <c r="J1737" s="4" t="s">
        <v>2021</v>
      </c>
      <c r="K1737" s="4"/>
      <c r="L1737" s="4"/>
      <c r="M1737" s="4" t="s">
        <v>77</v>
      </c>
      <c r="N1737" s="4" t="s">
        <v>78</v>
      </c>
      <c r="O1737" s="4"/>
      <c r="P1737" s="4"/>
      <c r="Q1737" s="4"/>
      <c r="R1737" s="4"/>
      <c r="S1737" s="4"/>
      <c r="T1737" s="1" t="s">
        <v>29838</v>
      </c>
      <c r="U1737" s="4" t="s">
        <v>29839</v>
      </c>
      <c r="V1737" s="4" t="s">
        <v>29840</v>
      </c>
      <c r="W1737" s="4" t="s">
        <v>29841</v>
      </c>
      <c r="X1737" s="4" t="s">
        <v>12353</v>
      </c>
      <c r="Y1737" s="4" t="s">
        <v>29842</v>
      </c>
      <c r="Z1737" s="4" t="s">
        <v>12355</v>
      </c>
      <c r="AA1737" s="4"/>
      <c r="AB1737" s="4" t="s">
        <v>2414</v>
      </c>
      <c r="AC1737" s="4"/>
      <c r="AD1737" s="4"/>
      <c r="AE1737" s="4"/>
      <c r="AF1737" s="4"/>
      <c r="AG1737" s="4" t="n">
        <v>44</v>
      </c>
      <c r="AH1737" s="4" t="n">
        <v>141</v>
      </c>
      <c r="AI1737" s="4" t="n">
        <v>164</v>
      </c>
      <c r="AJ1737" s="4" t="n">
        <v>2</v>
      </c>
      <c r="AK1737" s="4" t="n">
        <v>3</v>
      </c>
      <c r="AL1737" s="4" t="s">
        <v>527</v>
      </c>
      <c r="AM1737" s="4" t="s">
        <v>528</v>
      </c>
      <c r="AN1737" s="4" t="s">
        <v>529</v>
      </c>
      <c r="AO1737" s="4" t="s">
        <v>2033</v>
      </c>
      <c r="AP1737" s="4" t="s">
        <v>2034</v>
      </c>
      <c r="AQ1737" s="4"/>
      <c r="AR1737" s="4" t="s">
        <v>2035</v>
      </c>
      <c r="AS1737" s="4" t="s">
        <v>2036</v>
      </c>
      <c r="AT1737" s="4" t="s">
        <v>6698</v>
      </c>
      <c r="AU1737" s="4" t="n">
        <v>2004</v>
      </c>
      <c r="AV1737" s="4" t="n">
        <v>38</v>
      </c>
      <c r="AW1737" s="4" t="n">
        <v>7</v>
      </c>
      <c r="AX1737" s="4"/>
      <c r="AY1737" s="4"/>
      <c r="AZ1737" s="4"/>
      <c r="BA1737" s="4"/>
      <c r="BB1737" s="4" t="n">
        <v>983</v>
      </c>
      <c r="BC1737" s="4" t="n">
        <v>990</v>
      </c>
      <c r="BD1737" s="4"/>
      <c r="BE1737" s="4" t="s">
        <v>29843</v>
      </c>
      <c r="BF1737" s="4" t="str">
        <f aca="false">HYPERLINK("http://dx.doi.org/10.1086/382536","http://dx.doi.org/10.1086/382536")</f>
        <v>http://dx.doi.org/10.1086/382536</v>
      </c>
      <c r="BG1737" s="4"/>
      <c r="BH1737" s="4"/>
      <c r="BI1737" s="4" t="n">
        <v>8</v>
      </c>
      <c r="BJ1737" s="4" t="s">
        <v>536</v>
      </c>
      <c r="BK1737" s="4" t="s">
        <v>100</v>
      </c>
      <c r="BL1737" s="4" t="s">
        <v>536</v>
      </c>
      <c r="BM1737" s="4" t="s">
        <v>29844</v>
      </c>
      <c r="BN1737" s="4" t="n">
        <v>15034830</v>
      </c>
      <c r="BO1737" s="4" t="s">
        <v>165</v>
      </c>
      <c r="BP1737" s="4"/>
      <c r="BQ1737" s="4"/>
      <c r="BR1737" s="4" t="s">
        <v>104</v>
      </c>
      <c r="BS1737" s="4" t="s">
        <v>29845</v>
      </c>
      <c r="BT1737" s="4" t="str">
        <f aca="false">HYPERLINK("https%3A%2F%2Fwww.webofscience.com%2Fwos%2Fwoscc%2Ffull-record%2FWOS:000220338500015","View Full Record in Web of Science")</f>
        <v>View Full Record in Web of Science</v>
      </c>
    </row>
    <row r="1738" s="5" customFormat="true" ht="12.75" hidden="false" customHeight="false" outlineLevel="0" collapsed="false">
      <c r="A1738" s="4" t="s">
        <v>72</v>
      </c>
      <c r="B1738" s="4" t="s">
        <v>29846</v>
      </c>
      <c r="C1738" s="4"/>
      <c r="D1738" s="4"/>
      <c r="E1738" s="4"/>
      <c r="F1738" s="4" t="s">
        <v>29847</v>
      </c>
      <c r="G1738" s="4"/>
      <c r="H1738" s="4"/>
      <c r="I1738" s="4" t="s">
        <v>29848</v>
      </c>
      <c r="J1738" s="4" t="s">
        <v>29849</v>
      </c>
      <c r="K1738" s="4"/>
      <c r="L1738" s="4"/>
      <c r="M1738" s="4" t="s">
        <v>77</v>
      </c>
      <c r="N1738" s="4" t="s">
        <v>78</v>
      </c>
      <c r="O1738" s="4"/>
      <c r="P1738" s="4"/>
      <c r="Q1738" s="4"/>
      <c r="R1738" s="4"/>
      <c r="S1738" s="4"/>
      <c r="T1738" s="1" t="s">
        <v>29850</v>
      </c>
      <c r="U1738" s="4" t="s">
        <v>29851</v>
      </c>
      <c r="V1738" s="4" t="s">
        <v>29852</v>
      </c>
      <c r="W1738" s="4" t="s">
        <v>29853</v>
      </c>
      <c r="X1738" s="4" t="s">
        <v>29854</v>
      </c>
      <c r="Y1738" s="4" t="s">
        <v>29855</v>
      </c>
      <c r="Z1738" s="4" t="s">
        <v>29856</v>
      </c>
      <c r="AA1738" s="4" t="s">
        <v>29857</v>
      </c>
      <c r="AB1738" s="4" t="s">
        <v>29858</v>
      </c>
      <c r="AC1738" s="4" t="s">
        <v>29859</v>
      </c>
      <c r="AD1738" s="4" t="s">
        <v>29860</v>
      </c>
      <c r="AE1738" s="4" t="s">
        <v>29861</v>
      </c>
      <c r="AF1738" s="4"/>
      <c r="AG1738" s="4" t="n">
        <v>75</v>
      </c>
      <c r="AH1738" s="4" t="n">
        <v>1</v>
      </c>
      <c r="AI1738" s="4" t="n">
        <v>1</v>
      </c>
      <c r="AJ1738" s="4" t="n">
        <v>2</v>
      </c>
      <c r="AK1738" s="4" t="n">
        <v>2</v>
      </c>
      <c r="AL1738" s="4" t="s">
        <v>6405</v>
      </c>
      <c r="AM1738" s="4" t="s">
        <v>6406</v>
      </c>
      <c r="AN1738" s="4" t="s">
        <v>6407</v>
      </c>
      <c r="AO1738" s="4"/>
      <c r="AP1738" s="4" t="s">
        <v>29862</v>
      </c>
      <c r="AQ1738" s="4"/>
      <c r="AR1738" s="4" t="s">
        <v>29849</v>
      </c>
      <c r="AS1738" s="4" t="s">
        <v>29863</v>
      </c>
      <c r="AT1738" s="4" t="s">
        <v>29864</v>
      </c>
      <c r="AU1738" s="4" t="n">
        <v>2024</v>
      </c>
      <c r="AV1738" s="4" t="n">
        <v>9</v>
      </c>
      <c r="AW1738" s="4" t="n">
        <v>1</v>
      </c>
      <c r="AX1738" s="4"/>
      <c r="AY1738" s="4"/>
      <c r="AZ1738" s="4"/>
      <c r="BA1738" s="4"/>
      <c r="BB1738" s="4"/>
      <c r="BC1738" s="4"/>
      <c r="BD1738" s="4" t="n">
        <v>111</v>
      </c>
      <c r="BE1738" s="4" t="s">
        <v>29865</v>
      </c>
      <c r="BF1738" s="4" t="str">
        <f aca="false">HYPERLINK("http://dx.doi.org/10.1038/s41541-024-00899-9","http://dx.doi.org/10.1038/s41541-024-00899-9")</f>
        <v>http://dx.doi.org/10.1038/s41541-024-00899-9</v>
      </c>
      <c r="BG1738" s="4"/>
      <c r="BH1738" s="4"/>
      <c r="BI1738" s="4" t="n">
        <v>16</v>
      </c>
      <c r="BJ1738" s="4" t="s">
        <v>187</v>
      </c>
      <c r="BK1738" s="4" t="s">
        <v>100</v>
      </c>
      <c r="BL1738" s="4" t="s">
        <v>188</v>
      </c>
      <c r="BM1738" s="4" t="s">
        <v>29866</v>
      </c>
      <c r="BN1738" s="4" t="n">
        <v>38898106</v>
      </c>
      <c r="BO1738" s="4" t="s">
        <v>2582</v>
      </c>
      <c r="BP1738" s="4"/>
      <c r="BQ1738" s="4"/>
      <c r="BR1738" s="4" t="s">
        <v>104</v>
      </c>
      <c r="BS1738" s="4" t="s">
        <v>29867</v>
      </c>
      <c r="BT1738" s="4" t="str">
        <f aca="false">HYPERLINK("https%3A%2F%2Fwww.webofscience.com%2Fwos%2Fwoscc%2Ffull-record%2FWOS:001251466500001","View Full Record in Web of Science")</f>
        <v>View Full Record in Web of Science</v>
      </c>
    </row>
    <row r="1739" s="5" customFormat="true" ht="12.75" hidden="false" customHeight="false" outlineLevel="0" collapsed="false">
      <c r="A1739" s="4" t="s">
        <v>72</v>
      </c>
      <c r="B1739" s="4" t="s">
        <v>29868</v>
      </c>
      <c r="C1739" s="4"/>
      <c r="D1739" s="4"/>
      <c r="E1739" s="4"/>
      <c r="F1739" s="4" t="s">
        <v>29869</v>
      </c>
      <c r="G1739" s="4"/>
      <c r="H1739" s="4"/>
      <c r="I1739" s="4" t="s">
        <v>29870</v>
      </c>
      <c r="J1739" s="4" t="s">
        <v>28208</v>
      </c>
      <c r="K1739" s="4"/>
      <c r="L1739" s="4"/>
      <c r="M1739" s="4" t="s">
        <v>77</v>
      </c>
      <c r="N1739" s="4" t="s">
        <v>78</v>
      </c>
      <c r="O1739" s="4"/>
      <c r="P1739" s="4"/>
      <c r="Q1739" s="4"/>
      <c r="R1739" s="4"/>
      <c r="S1739" s="4"/>
      <c r="T1739" s="1" t="s">
        <v>29871</v>
      </c>
      <c r="U1739" s="4" t="s">
        <v>29872</v>
      </c>
      <c r="V1739" s="4" t="s">
        <v>29873</v>
      </c>
      <c r="W1739" s="4" t="s">
        <v>29874</v>
      </c>
      <c r="X1739" s="4" t="s">
        <v>14856</v>
      </c>
      <c r="Y1739" s="4" t="s">
        <v>27620</v>
      </c>
      <c r="Z1739" s="4" t="s">
        <v>10668</v>
      </c>
      <c r="AA1739" s="4"/>
      <c r="AB1739" s="4" t="s">
        <v>29875</v>
      </c>
      <c r="AC1739" s="4" t="s">
        <v>29876</v>
      </c>
      <c r="AD1739" s="4" t="s">
        <v>29877</v>
      </c>
      <c r="AE1739" s="4" t="s">
        <v>29878</v>
      </c>
      <c r="AF1739" s="4"/>
      <c r="AG1739" s="4" t="n">
        <v>35</v>
      </c>
      <c r="AH1739" s="4" t="n">
        <v>38</v>
      </c>
      <c r="AI1739" s="4" t="n">
        <v>39</v>
      </c>
      <c r="AJ1739" s="4" t="n">
        <v>0</v>
      </c>
      <c r="AK1739" s="4" t="n">
        <v>8</v>
      </c>
      <c r="AL1739" s="4" t="s">
        <v>27808</v>
      </c>
      <c r="AM1739" s="4" t="s">
        <v>303</v>
      </c>
      <c r="AN1739" s="4" t="s">
        <v>27809</v>
      </c>
      <c r="AO1739" s="4" t="s">
        <v>28218</v>
      </c>
      <c r="AP1739" s="4" t="s">
        <v>28219</v>
      </c>
      <c r="AQ1739" s="4"/>
      <c r="AR1739" s="4" t="s">
        <v>28220</v>
      </c>
      <c r="AS1739" s="4" t="s">
        <v>28221</v>
      </c>
      <c r="AT1739" s="4"/>
      <c r="AU1739" s="4" t="n">
        <v>2015</v>
      </c>
      <c r="AV1739" s="4" t="n">
        <v>2015</v>
      </c>
      <c r="AW1739" s="4"/>
      <c r="AX1739" s="4"/>
      <c r="AY1739" s="4"/>
      <c r="AZ1739" s="4"/>
      <c r="BA1739" s="4"/>
      <c r="BB1739" s="4"/>
      <c r="BC1739" s="4"/>
      <c r="BD1739" s="4" t="n">
        <v>347292</v>
      </c>
      <c r="BE1739" s="4" t="s">
        <v>29879</v>
      </c>
      <c r="BF1739" s="4" t="str">
        <f aca="false">HYPERLINK("http://dx.doi.org/10.1155/2015/347292","http://dx.doi.org/10.1155/2015/347292")</f>
        <v>http://dx.doi.org/10.1155/2015/347292</v>
      </c>
      <c r="BG1739" s="4"/>
      <c r="BH1739" s="4"/>
      <c r="BI1739" s="4" t="n">
        <v>7</v>
      </c>
      <c r="BJ1739" s="4" t="s">
        <v>12162</v>
      </c>
      <c r="BK1739" s="4" t="s">
        <v>100</v>
      </c>
      <c r="BL1739" s="4" t="s">
        <v>12162</v>
      </c>
      <c r="BM1739" s="4" t="s">
        <v>29880</v>
      </c>
      <c r="BN1739" s="4" t="n">
        <v>25977598</v>
      </c>
      <c r="BO1739" s="4" t="s">
        <v>2582</v>
      </c>
      <c r="BP1739" s="4"/>
      <c r="BQ1739" s="4"/>
      <c r="BR1739" s="4" t="s">
        <v>104</v>
      </c>
      <c r="BS1739" s="4" t="s">
        <v>29881</v>
      </c>
      <c r="BT1739" s="4" t="str">
        <f aca="false">HYPERLINK("https%3A%2F%2Fwww.webofscience.com%2Fwos%2Fwoscc%2Ffull-record%2FWOS:000353798600001","View Full Record in Web of Science")</f>
        <v>View Full Record in Web of Science</v>
      </c>
    </row>
    <row r="1740" s="5" customFormat="true" ht="12.75" hidden="false" customHeight="false" outlineLevel="0" collapsed="false">
      <c r="A1740" s="4" t="s">
        <v>72</v>
      </c>
      <c r="B1740" s="4" t="s">
        <v>29882</v>
      </c>
      <c r="C1740" s="4"/>
      <c r="D1740" s="4"/>
      <c r="E1740" s="4"/>
      <c r="F1740" s="4" t="s">
        <v>29882</v>
      </c>
      <c r="G1740" s="4"/>
      <c r="H1740" s="4"/>
      <c r="I1740" s="4" t="s">
        <v>29883</v>
      </c>
      <c r="J1740" s="4" t="s">
        <v>2222</v>
      </c>
      <c r="K1740" s="4"/>
      <c r="L1740" s="4"/>
      <c r="M1740" s="4" t="s">
        <v>77</v>
      </c>
      <c r="N1740" s="4" t="s">
        <v>78</v>
      </c>
      <c r="O1740" s="4"/>
      <c r="P1740" s="4"/>
      <c r="Q1740" s="4"/>
      <c r="R1740" s="4"/>
      <c r="S1740" s="4"/>
      <c r="T1740" s="1" t="s">
        <v>29884</v>
      </c>
      <c r="U1740" s="4" t="s">
        <v>29885</v>
      </c>
      <c r="V1740" s="4" t="s">
        <v>29886</v>
      </c>
      <c r="W1740" s="4" t="s">
        <v>29887</v>
      </c>
      <c r="X1740" s="4" t="s">
        <v>13851</v>
      </c>
      <c r="Y1740" s="4" t="s">
        <v>17884</v>
      </c>
      <c r="Z1740" s="4" t="s">
        <v>13853</v>
      </c>
      <c r="AA1740" s="4" t="s">
        <v>13854</v>
      </c>
      <c r="AB1740" s="4" t="s">
        <v>13855</v>
      </c>
      <c r="AC1740" s="4"/>
      <c r="AD1740" s="4"/>
      <c r="AE1740" s="4"/>
      <c r="AF1740" s="4"/>
      <c r="AG1740" s="4" t="n">
        <v>40</v>
      </c>
      <c r="AH1740" s="4" t="n">
        <v>65</v>
      </c>
      <c r="AI1740" s="4" t="n">
        <v>82</v>
      </c>
      <c r="AJ1740" s="4" t="n">
        <v>0</v>
      </c>
      <c r="AK1740" s="4" t="n">
        <v>0</v>
      </c>
      <c r="AL1740" s="4" t="s">
        <v>755</v>
      </c>
      <c r="AM1740" s="4" t="s">
        <v>273</v>
      </c>
      <c r="AN1740" s="4" t="s">
        <v>756</v>
      </c>
      <c r="AO1740" s="4" t="s">
        <v>2234</v>
      </c>
      <c r="AP1740" s="4" t="s">
        <v>2235</v>
      </c>
      <c r="AQ1740" s="4"/>
      <c r="AR1740" s="4" t="s">
        <v>2236</v>
      </c>
      <c r="AS1740" s="4" t="s">
        <v>2237</v>
      </c>
      <c r="AT1740" s="4" t="s">
        <v>185</v>
      </c>
      <c r="AU1740" s="4" t="n">
        <v>2004</v>
      </c>
      <c r="AV1740" s="4" t="n">
        <v>42</v>
      </c>
      <c r="AW1740" s="4" t="n">
        <v>8</v>
      </c>
      <c r="AX1740" s="4"/>
      <c r="AY1740" s="4"/>
      <c r="AZ1740" s="4"/>
      <c r="BA1740" s="4"/>
      <c r="BB1740" s="4" t="n">
        <v>3406</v>
      </c>
      <c r="BC1740" s="4" t="n">
        <v>3414</v>
      </c>
      <c r="BD1740" s="4"/>
      <c r="BE1740" s="4" t="s">
        <v>29888</v>
      </c>
      <c r="BF1740" s="4" t="str">
        <f aca="false">HYPERLINK("http://dx.doi.org/10.1128/JCM.42.8.3406-3414.2004","http://dx.doi.org/10.1128/JCM.42.8.3406-3414.2004")</f>
        <v>http://dx.doi.org/10.1128/JCM.42.8.3406-3414.2004</v>
      </c>
      <c r="BG1740" s="4"/>
      <c r="BH1740" s="4"/>
      <c r="BI1740" s="4" t="n">
        <v>9</v>
      </c>
      <c r="BJ1740" s="4" t="s">
        <v>211</v>
      </c>
      <c r="BK1740" s="4" t="s">
        <v>100</v>
      </c>
      <c r="BL1740" s="4" t="s">
        <v>211</v>
      </c>
      <c r="BM1740" s="4" t="s">
        <v>29889</v>
      </c>
      <c r="BN1740" s="4" t="n">
        <v>15297475</v>
      </c>
      <c r="BO1740" s="4" t="s">
        <v>165</v>
      </c>
      <c r="BP1740" s="4"/>
      <c r="BQ1740" s="4"/>
      <c r="BR1740" s="4" t="s">
        <v>104</v>
      </c>
      <c r="BS1740" s="4" t="s">
        <v>29890</v>
      </c>
      <c r="BT1740" s="4" t="str">
        <f aca="false">HYPERLINK("https%3A%2F%2Fwww.webofscience.com%2Fwos%2Fwoscc%2Ffull-record%2FWOS:000223286500004","View Full Record in Web of Science")</f>
        <v>View Full Record in Web of Science</v>
      </c>
    </row>
    <row r="1741" s="5" customFormat="true" ht="12.75" hidden="false" customHeight="false" outlineLevel="0" collapsed="false">
      <c r="A1741" s="4" t="s">
        <v>72</v>
      </c>
      <c r="B1741" s="4" t="s">
        <v>29891</v>
      </c>
      <c r="C1741" s="4"/>
      <c r="D1741" s="4"/>
      <c r="E1741" s="4"/>
      <c r="F1741" s="4" t="s">
        <v>29892</v>
      </c>
      <c r="G1741" s="4"/>
      <c r="H1741" s="4"/>
      <c r="I1741" s="4" t="s">
        <v>29893</v>
      </c>
      <c r="J1741" s="4" t="s">
        <v>557</v>
      </c>
      <c r="K1741" s="4"/>
      <c r="L1741" s="4"/>
      <c r="M1741" s="4" t="s">
        <v>77</v>
      </c>
      <c r="N1741" s="4" t="s">
        <v>78</v>
      </c>
      <c r="O1741" s="4"/>
      <c r="P1741" s="4"/>
      <c r="Q1741" s="4"/>
      <c r="R1741" s="4"/>
      <c r="S1741" s="4"/>
      <c r="T1741" s="1" t="s">
        <v>29894</v>
      </c>
      <c r="U1741" s="4" t="s">
        <v>29895</v>
      </c>
      <c r="V1741" s="4" t="s">
        <v>29896</v>
      </c>
      <c r="W1741" s="4" t="s">
        <v>29897</v>
      </c>
      <c r="X1741" s="4" t="s">
        <v>29898</v>
      </c>
      <c r="Y1741" s="4" t="s">
        <v>29899</v>
      </c>
      <c r="Z1741" s="4" t="s">
        <v>29900</v>
      </c>
      <c r="AA1741" s="4" t="s">
        <v>14909</v>
      </c>
      <c r="AB1741" s="4"/>
      <c r="AC1741" s="4" t="s">
        <v>29901</v>
      </c>
      <c r="AD1741" s="4" t="s">
        <v>29902</v>
      </c>
      <c r="AE1741" s="4" t="s">
        <v>29903</v>
      </c>
      <c r="AF1741" s="4"/>
      <c r="AG1741" s="4" t="n">
        <v>15</v>
      </c>
      <c r="AH1741" s="4" t="n">
        <v>14</v>
      </c>
      <c r="AI1741" s="4" t="n">
        <v>15</v>
      </c>
      <c r="AJ1741" s="4" t="n">
        <v>0</v>
      </c>
      <c r="AK1741" s="4" t="n">
        <v>0</v>
      </c>
      <c r="AL1741" s="4" t="s">
        <v>302</v>
      </c>
      <c r="AM1741" s="4" t="s">
        <v>303</v>
      </c>
      <c r="AN1741" s="4" t="s">
        <v>304</v>
      </c>
      <c r="AO1741" s="4"/>
      <c r="AP1741" s="4" t="s">
        <v>570</v>
      </c>
      <c r="AQ1741" s="4"/>
      <c r="AR1741" s="4" t="s">
        <v>571</v>
      </c>
      <c r="AS1741" s="4" t="s">
        <v>572</v>
      </c>
      <c r="AT1741" s="4" t="s">
        <v>10947</v>
      </c>
      <c r="AU1741" s="4" t="n">
        <v>2010</v>
      </c>
      <c r="AV1741" s="4" t="n">
        <v>10</v>
      </c>
      <c r="AW1741" s="4"/>
      <c r="AX1741" s="4"/>
      <c r="AY1741" s="4"/>
      <c r="AZ1741" s="4"/>
      <c r="BA1741" s="4"/>
      <c r="BB1741" s="4"/>
      <c r="BC1741" s="4"/>
      <c r="BD1741" s="4" t="n">
        <v>170</v>
      </c>
      <c r="BE1741" s="4" t="s">
        <v>29904</v>
      </c>
      <c r="BF1741" s="4" t="str">
        <f aca="false">HYPERLINK("http://dx.doi.org/10.1186/1471-2334-10-170","http://dx.doi.org/10.1186/1471-2334-10-170")</f>
        <v>http://dx.doi.org/10.1186/1471-2334-10-170</v>
      </c>
      <c r="BG1741" s="4"/>
      <c r="BH1741" s="4"/>
      <c r="BI1741" s="4" t="n">
        <v>4</v>
      </c>
      <c r="BJ1741" s="4" t="s">
        <v>575</v>
      </c>
      <c r="BK1741" s="4" t="s">
        <v>100</v>
      </c>
      <c r="BL1741" s="4" t="s">
        <v>575</v>
      </c>
      <c r="BM1741" s="4" t="s">
        <v>29905</v>
      </c>
      <c r="BN1741" s="4" t="n">
        <v>20546620</v>
      </c>
      <c r="BO1741" s="4" t="s">
        <v>190</v>
      </c>
      <c r="BP1741" s="4"/>
      <c r="BQ1741" s="4"/>
      <c r="BR1741" s="4" t="s">
        <v>104</v>
      </c>
      <c r="BS1741" s="4" t="s">
        <v>29906</v>
      </c>
      <c r="BT1741" s="4" t="str">
        <f aca="false">HYPERLINK("https%3A%2F%2Fwww.webofscience.com%2Fwos%2Fwoscc%2Ffull-record%2FWOS:000279898000001","View Full Record in Web of Science")</f>
        <v>View Full Record in Web of Science</v>
      </c>
    </row>
    <row r="1742" s="5" customFormat="true" ht="12.75" hidden="false" customHeight="false" outlineLevel="0" collapsed="false">
      <c r="A1742" s="4" t="s">
        <v>72</v>
      </c>
      <c r="B1742" s="4" t="s">
        <v>29907</v>
      </c>
      <c r="C1742" s="4"/>
      <c r="D1742" s="4"/>
      <c r="E1742" s="4"/>
      <c r="F1742" s="4" t="s">
        <v>29907</v>
      </c>
      <c r="G1742" s="4"/>
      <c r="H1742" s="4"/>
      <c r="I1742" s="4" t="s">
        <v>29908</v>
      </c>
      <c r="J1742" s="4" t="s">
        <v>514</v>
      </c>
      <c r="K1742" s="4"/>
      <c r="L1742" s="4"/>
      <c r="M1742" s="4" t="s">
        <v>77</v>
      </c>
      <c r="N1742" s="4" t="s">
        <v>78</v>
      </c>
      <c r="O1742" s="4"/>
      <c r="P1742" s="4"/>
      <c r="Q1742" s="4"/>
      <c r="R1742" s="4"/>
      <c r="S1742" s="4"/>
      <c r="T1742" s="1" t="s">
        <v>29909</v>
      </c>
      <c r="U1742" s="4" t="s">
        <v>29910</v>
      </c>
      <c r="V1742" s="4" t="s">
        <v>29911</v>
      </c>
      <c r="W1742" s="4" t="s">
        <v>29912</v>
      </c>
      <c r="X1742" s="4" t="s">
        <v>799</v>
      </c>
      <c r="Y1742" s="4" t="s">
        <v>29913</v>
      </c>
      <c r="Z1742" s="4" t="s">
        <v>801</v>
      </c>
      <c r="AA1742" s="4" t="s">
        <v>17570</v>
      </c>
      <c r="AB1742" s="4" t="s">
        <v>29914</v>
      </c>
      <c r="AC1742" s="4"/>
      <c r="AD1742" s="4"/>
      <c r="AE1742" s="4"/>
      <c r="AF1742" s="4"/>
      <c r="AG1742" s="4" t="n">
        <v>14</v>
      </c>
      <c r="AH1742" s="4" t="n">
        <v>298</v>
      </c>
      <c r="AI1742" s="4" t="n">
        <v>343</v>
      </c>
      <c r="AJ1742" s="4" t="n">
        <v>0</v>
      </c>
      <c r="AK1742" s="4" t="n">
        <v>3</v>
      </c>
      <c r="AL1742" s="4" t="s">
        <v>527</v>
      </c>
      <c r="AM1742" s="4" t="s">
        <v>528</v>
      </c>
      <c r="AN1742" s="4" t="s">
        <v>529</v>
      </c>
      <c r="AO1742" s="4" t="s">
        <v>530</v>
      </c>
      <c r="AP1742" s="4" t="s">
        <v>531</v>
      </c>
      <c r="AQ1742" s="4"/>
      <c r="AR1742" s="4" t="s">
        <v>532</v>
      </c>
      <c r="AS1742" s="4" t="s">
        <v>533</v>
      </c>
      <c r="AT1742" s="4" t="s">
        <v>3408</v>
      </c>
      <c r="AU1742" s="4" t="n">
        <v>2005</v>
      </c>
      <c r="AV1742" s="4" t="n">
        <v>191</v>
      </c>
      <c r="AW1742" s="4" t="n">
        <v>3</v>
      </c>
      <c r="AX1742" s="4"/>
      <c r="AY1742" s="4"/>
      <c r="AZ1742" s="4"/>
      <c r="BA1742" s="4"/>
      <c r="BB1742" s="4" t="n">
        <v>382</v>
      </c>
      <c r="BC1742" s="4" t="n">
        <v>386</v>
      </c>
      <c r="BD1742" s="4"/>
      <c r="BE1742" s="4" t="s">
        <v>29915</v>
      </c>
      <c r="BF1742" s="4" t="str">
        <f aca="false">HYPERLINK("http://dx.doi.org/10.1086/426457","http://dx.doi.org/10.1086/426457")</f>
        <v>http://dx.doi.org/10.1086/426457</v>
      </c>
      <c r="BG1742" s="4"/>
      <c r="BH1742" s="4"/>
      <c r="BI1742" s="4" t="n">
        <v>5</v>
      </c>
      <c r="BJ1742" s="4" t="s">
        <v>536</v>
      </c>
      <c r="BK1742" s="4" t="s">
        <v>100</v>
      </c>
      <c r="BL1742" s="4" t="s">
        <v>536</v>
      </c>
      <c r="BM1742" s="4" t="s">
        <v>29916</v>
      </c>
      <c r="BN1742" s="4" t="n">
        <v>15633097</v>
      </c>
      <c r="BO1742" s="4" t="s">
        <v>538</v>
      </c>
      <c r="BP1742" s="4"/>
      <c r="BQ1742" s="4"/>
      <c r="BR1742" s="4" t="s">
        <v>104</v>
      </c>
      <c r="BS1742" s="4" t="s">
        <v>29917</v>
      </c>
      <c r="BT1742" s="4" t="str">
        <f aca="false">HYPERLINK("https%3A%2F%2Fwww.webofscience.com%2Fwos%2Fwoscc%2Ffull-record%2FWOS:000226130500009","View Full Record in Web of Science")</f>
        <v>View Full Record in Web of Science</v>
      </c>
    </row>
    <row r="1743" s="5" customFormat="true" ht="12.75" hidden="false" customHeight="false" outlineLevel="0" collapsed="false">
      <c r="A1743" s="4" t="s">
        <v>72</v>
      </c>
      <c r="B1743" s="4" t="s">
        <v>29918</v>
      </c>
      <c r="C1743" s="4"/>
      <c r="D1743" s="4"/>
      <c r="E1743" s="4"/>
      <c r="F1743" s="4" t="s">
        <v>29919</v>
      </c>
      <c r="G1743" s="4"/>
      <c r="H1743" s="4"/>
      <c r="I1743" s="4" t="s">
        <v>29920</v>
      </c>
      <c r="J1743" s="4" t="s">
        <v>2222</v>
      </c>
      <c r="K1743" s="4"/>
      <c r="L1743" s="4"/>
      <c r="M1743" s="4" t="s">
        <v>77</v>
      </c>
      <c r="N1743" s="4" t="s">
        <v>78</v>
      </c>
      <c r="O1743" s="4"/>
      <c r="P1743" s="4"/>
      <c r="Q1743" s="4"/>
      <c r="R1743" s="4"/>
      <c r="S1743" s="4"/>
      <c r="T1743" s="1" t="s">
        <v>29921</v>
      </c>
      <c r="U1743" s="4" t="s">
        <v>29922</v>
      </c>
      <c r="V1743" s="4" t="s">
        <v>29923</v>
      </c>
      <c r="W1743" s="4" t="s">
        <v>29924</v>
      </c>
      <c r="X1743" s="4" t="s">
        <v>29647</v>
      </c>
      <c r="Y1743" s="4" t="s">
        <v>29224</v>
      </c>
      <c r="Z1743" s="4" t="s">
        <v>29225</v>
      </c>
      <c r="AA1743" s="4"/>
      <c r="AB1743" s="4"/>
      <c r="AC1743" s="4"/>
      <c r="AD1743" s="4"/>
      <c r="AE1743" s="4"/>
      <c r="AF1743" s="4"/>
      <c r="AG1743" s="4" t="n">
        <v>16</v>
      </c>
      <c r="AH1743" s="4" t="n">
        <v>24</v>
      </c>
      <c r="AI1743" s="4" t="n">
        <v>29</v>
      </c>
      <c r="AJ1743" s="4" t="n">
        <v>0</v>
      </c>
      <c r="AK1743" s="4" t="n">
        <v>0</v>
      </c>
      <c r="AL1743" s="4" t="s">
        <v>755</v>
      </c>
      <c r="AM1743" s="4" t="s">
        <v>273</v>
      </c>
      <c r="AN1743" s="4" t="s">
        <v>756</v>
      </c>
      <c r="AO1743" s="4" t="s">
        <v>2234</v>
      </c>
      <c r="AP1743" s="4" t="s">
        <v>2235</v>
      </c>
      <c r="AQ1743" s="4"/>
      <c r="AR1743" s="4" t="s">
        <v>2236</v>
      </c>
      <c r="AS1743" s="4" t="s">
        <v>2237</v>
      </c>
      <c r="AT1743" s="4" t="s">
        <v>97</v>
      </c>
      <c r="AU1743" s="4" t="n">
        <v>2008</v>
      </c>
      <c r="AV1743" s="4" t="n">
        <v>46</v>
      </c>
      <c r="AW1743" s="4" t="n">
        <v>3</v>
      </c>
      <c r="AX1743" s="4"/>
      <c r="AY1743" s="4"/>
      <c r="AZ1743" s="4"/>
      <c r="BA1743" s="4"/>
      <c r="BB1743" s="4" t="n">
        <v>1098</v>
      </c>
      <c r="BC1743" s="4" t="n">
        <v>1100</v>
      </c>
      <c r="BD1743" s="4"/>
      <c r="BE1743" s="4" t="s">
        <v>29925</v>
      </c>
      <c r="BF1743" s="4" t="str">
        <f aca="false">HYPERLINK("http://dx.doi.org/10.1128/JCM.01926-07","http://dx.doi.org/10.1128/JCM.01926-07")</f>
        <v>http://dx.doi.org/10.1128/JCM.01926-07</v>
      </c>
      <c r="BG1743" s="4"/>
      <c r="BH1743" s="4"/>
      <c r="BI1743" s="4" t="n">
        <v>3</v>
      </c>
      <c r="BJ1743" s="4" t="s">
        <v>211</v>
      </c>
      <c r="BK1743" s="4" t="s">
        <v>100</v>
      </c>
      <c r="BL1743" s="4" t="s">
        <v>211</v>
      </c>
      <c r="BM1743" s="4" t="s">
        <v>29926</v>
      </c>
      <c r="BN1743" s="4" t="n">
        <v>18184854</v>
      </c>
      <c r="BO1743" s="4" t="s">
        <v>165</v>
      </c>
      <c r="BP1743" s="4"/>
      <c r="BQ1743" s="4"/>
      <c r="BR1743" s="4" t="s">
        <v>104</v>
      </c>
      <c r="BS1743" s="4" t="s">
        <v>29927</v>
      </c>
      <c r="BT1743" s="4" t="str">
        <f aca="false">HYPERLINK("https%3A%2F%2Fwww.webofscience.com%2Fwos%2Fwoscc%2Ffull-record%2FWOS:000254059800041","View Full Record in Web of Science")</f>
        <v>View Full Record in Web of Science</v>
      </c>
    </row>
    <row r="1744" s="5" customFormat="true" ht="12.75" hidden="false" customHeight="false" outlineLevel="0" collapsed="false">
      <c r="A1744" s="4" t="s">
        <v>72</v>
      </c>
      <c r="B1744" s="4" t="s">
        <v>29928</v>
      </c>
      <c r="C1744" s="4"/>
      <c r="D1744" s="4"/>
      <c r="E1744" s="4"/>
      <c r="F1744" s="4" t="s">
        <v>29929</v>
      </c>
      <c r="G1744" s="4"/>
      <c r="H1744" s="4"/>
      <c r="I1744" s="4" t="s">
        <v>29930</v>
      </c>
      <c r="J1744" s="4" t="s">
        <v>2905</v>
      </c>
      <c r="K1744" s="4"/>
      <c r="L1744" s="4"/>
      <c r="M1744" s="4" t="s">
        <v>77</v>
      </c>
      <c r="N1744" s="4" t="s">
        <v>78</v>
      </c>
      <c r="O1744" s="4"/>
      <c r="P1744" s="4"/>
      <c r="Q1744" s="4"/>
      <c r="R1744" s="4"/>
      <c r="S1744" s="4"/>
      <c r="T1744" s="0"/>
      <c r="U1744" s="4" t="s">
        <v>29931</v>
      </c>
      <c r="V1744" s="4" t="s">
        <v>29932</v>
      </c>
      <c r="W1744" s="4" t="s">
        <v>29933</v>
      </c>
      <c r="X1744" s="4" t="s">
        <v>29934</v>
      </c>
      <c r="Y1744" s="4" t="s">
        <v>2911</v>
      </c>
      <c r="Z1744" s="4" t="s">
        <v>2912</v>
      </c>
      <c r="AA1744" s="4"/>
      <c r="AB1744" s="4"/>
      <c r="AC1744" s="4"/>
      <c r="AD1744" s="4"/>
      <c r="AE1744" s="4"/>
      <c r="AF1744" s="4"/>
      <c r="AG1744" s="4" t="n">
        <v>26</v>
      </c>
      <c r="AH1744" s="4" t="n">
        <v>18</v>
      </c>
      <c r="AI1744" s="4" t="n">
        <v>20</v>
      </c>
      <c r="AJ1744" s="4" t="n">
        <v>0</v>
      </c>
      <c r="AK1744" s="4" t="n">
        <v>6</v>
      </c>
      <c r="AL1744" s="4" t="s">
        <v>2917</v>
      </c>
      <c r="AM1744" s="4" t="s">
        <v>2918</v>
      </c>
      <c r="AN1744" s="4" t="s">
        <v>2919</v>
      </c>
      <c r="AO1744" s="4" t="s">
        <v>2920</v>
      </c>
      <c r="AP1744" s="4" t="s">
        <v>2921</v>
      </c>
      <c r="AQ1744" s="4"/>
      <c r="AR1744" s="4" t="s">
        <v>2922</v>
      </c>
      <c r="AS1744" s="4" t="s">
        <v>2923</v>
      </c>
      <c r="AT1744" s="4" t="s">
        <v>29935</v>
      </c>
      <c r="AU1744" s="4" t="n">
        <v>2007</v>
      </c>
      <c r="AV1744" s="4" t="n">
        <v>25</v>
      </c>
      <c r="AW1744" s="4" t="s">
        <v>29936</v>
      </c>
      <c r="AX1744" s="4"/>
      <c r="AY1744" s="4"/>
      <c r="AZ1744" s="4"/>
      <c r="BA1744" s="4"/>
      <c r="BB1744" s="4" t="n">
        <v>139</v>
      </c>
      <c r="BC1744" s="4" t="n">
        <v>145</v>
      </c>
      <c r="BD1744" s="4"/>
      <c r="BE1744" s="4"/>
      <c r="BF1744" s="4"/>
      <c r="BG1744" s="4"/>
      <c r="BH1744" s="4"/>
      <c r="BI1744" s="4" t="n">
        <v>7</v>
      </c>
      <c r="BJ1744" s="4" t="s">
        <v>254</v>
      </c>
      <c r="BK1744" s="4" t="s">
        <v>100</v>
      </c>
      <c r="BL1744" s="4" t="s">
        <v>254</v>
      </c>
      <c r="BM1744" s="4" t="s">
        <v>29937</v>
      </c>
      <c r="BN1744" s="4" t="n">
        <v>18035801</v>
      </c>
      <c r="BO1744" s="4"/>
      <c r="BP1744" s="4"/>
      <c r="BQ1744" s="4"/>
      <c r="BR1744" s="4" t="s">
        <v>104</v>
      </c>
      <c r="BS1744" s="4" t="s">
        <v>29938</v>
      </c>
      <c r="BT1744" s="4" t="str">
        <f aca="false">HYPERLINK("https%3A%2F%2Fwww.webofscience.com%2Fwos%2Fwoscc%2Ffull-record%2FWOS:000250816500006","View Full Record in Web of Science")</f>
        <v>View Full Record in Web of Science</v>
      </c>
    </row>
    <row r="1745" s="5" customFormat="true" ht="12.75" hidden="false" customHeight="false" outlineLevel="0" collapsed="false">
      <c r="A1745" s="4" t="s">
        <v>72</v>
      </c>
      <c r="B1745" s="4" t="s">
        <v>29939</v>
      </c>
      <c r="C1745" s="4"/>
      <c r="D1745" s="4"/>
      <c r="E1745" s="4"/>
      <c r="F1745" s="4" t="s">
        <v>29939</v>
      </c>
      <c r="G1745" s="4"/>
      <c r="H1745" s="4"/>
      <c r="I1745" s="4" t="s">
        <v>29940</v>
      </c>
      <c r="J1745" s="4" t="s">
        <v>8945</v>
      </c>
      <c r="K1745" s="4"/>
      <c r="L1745" s="4"/>
      <c r="M1745" s="4" t="s">
        <v>77</v>
      </c>
      <c r="N1745" s="4" t="s">
        <v>78</v>
      </c>
      <c r="O1745" s="4"/>
      <c r="P1745" s="4"/>
      <c r="Q1745" s="4"/>
      <c r="R1745" s="4"/>
      <c r="S1745" s="4"/>
      <c r="T1745" s="1" t="s">
        <v>29941</v>
      </c>
      <c r="U1745" s="4" t="s">
        <v>29942</v>
      </c>
      <c r="V1745" s="4" t="s">
        <v>29943</v>
      </c>
      <c r="W1745" s="4" t="s">
        <v>29944</v>
      </c>
      <c r="X1745" s="4" t="s">
        <v>13159</v>
      </c>
      <c r="Y1745" s="4" t="s">
        <v>29945</v>
      </c>
      <c r="Z1745" s="4" t="s">
        <v>9409</v>
      </c>
      <c r="AA1745" s="4"/>
      <c r="AB1745" s="4" t="s">
        <v>29946</v>
      </c>
      <c r="AC1745" s="4"/>
      <c r="AD1745" s="4"/>
      <c r="AE1745" s="4"/>
      <c r="AF1745" s="4"/>
      <c r="AG1745" s="4" t="n">
        <v>26</v>
      </c>
      <c r="AH1745" s="4" t="n">
        <v>56</v>
      </c>
      <c r="AI1745" s="4" t="n">
        <v>57</v>
      </c>
      <c r="AJ1745" s="4" t="n">
        <v>0</v>
      </c>
      <c r="AK1745" s="4" t="n">
        <v>1</v>
      </c>
      <c r="AL1745" s="4" t="s">
        <v>8957</v>
      </c>
      <c r="AM1745" s="4" t="s">
        <v>303</v>
      </c>
      <c r="AN1745" s="4" t="s">
        <v>8958</v>
      </c>
      <c r="AO1745" s="4" t="s">
        <v>8959</v>
      </c>
      <c r="AP1745" s="4" t="s">
        <v>8960</v>
      </c>
      <c r="AQ1745" s="4"/>
      <c r="AR1745" s="4" t="s">
        <v>8961</v>
      </c>
      <c r="AS1745" s="4" t="s">
        <v>8962</v>
      </c>
      <c r="AT1745" s="4" t="s">
        <v>185</v>
      </c>
      <c r="AU1745" s="4" t="n">
        <v>2004</v>
      </c>
      <c r="AV1745" s="4" t="n">
        <v>36</v>
      </c>
      <c r="AW1745" s="4" t="n">
        <v>8</v>
      </c>
      <c r="AX1745" s="4"/>
      <c r="AY1745" s="4"/>
      <c r="AZ1745" s="4"/>
      <c r="BA1745" s="4"/>
      <c r="BB1745" s="4" t="n">
        <v>578</v>
      </c>
      <c r="BC1745" s="4" t="n">
        <v>584</v>
      </c>
      <c r="BD1745" s="4"/>
      <c r="BE1745" s="4" t="s">
        <v>29947</v>
      </c>
      <c r="BF1745" s="4" t="str">
        <f aca="false">HYPERLINK("http://dx.doi.org/10.1080/00365540410018166","http://dx.doi.org/10.1080/00365540410018166")</f>
        <v>http://dx.doi.org/10.1080/00365540410018166</v>
      </c>
      <c r="BG1745" s="4"/>
      <c r="BH1745" s="4"/>
      <c r="BI1745" s="4" t="n">
        <v>7</v>
      </c>
      <c r="BJ1745" s="4" t="s">
        <v>575</v>
      </c>
      <c r="BK1745" s="4" t="s">
        <v>100</v>
      </c>
      <c r="BL1745" s="4" t="s">
        <v>575</v>
      </c>
      <c r="BM1745" s="4" t="s">
        <v>29948</v>
      </c>
      <c r="BN1745" s="4" t="n">
        <v>15370669</v>
      </c>
      <c r="BO1745" s="4"/>
      <c r="BP1745" s="4"/>
      <c r="BQ1745" s="4"/>
      <c r="BR1745" s="4" t="s">
        <v>104</v>
      </c>
      <c r="BS1745" s="4" t="s">
        <v>29949</v>
      </c>
      <c r="BT1745" s="4" t="str">
        <f aca="false">HYPERLINK("https%3A%2F%2Fwww.webofscience.com%2Fwos%2Fwoscc%2Ffull-record%2FWOS:000223243000006","View Full Record in Web of Science")</f>
        <v>View Full Record in Web of Science</v>
      </c>
    </row>
    <row r="1746" s="5" customFormat="true" ht="12.75" hidden="false" customHeight="false" outlineLevel="0" collapsed="false">
      <c r="A1746" s="4" t="s">
        <v>72</v>
      </c>
      <c r="B1746" s="4" t="s">
        <v>29950</v>
      </c>
      <c r="C1746" s="4"/>
      <c r="D1746" s="4"/>
      <c r="E1746" s="4"/>
      <c r="F1746" s="4" t="s">
        <v>29950</v>
      </c>
      <c r="G1746" s="4"/>
      <c r="H1746" s="4"/>
      <c r="I1746" s="4" t="s">
        <v>29951</v>
      </c>
      <c r="J1746" s="4" t="s">
        <v>2222</v>
      </c>
      <c r="K1746" s="4"/>
      <c r="L1746" s="4"/>
      <c r="M1746" s="4" t="s">
        <v>77</v>
      </c>
      <c r="N1746" s="4" t="s">
        <v>78</v>
      </c>
      <c r="O1746" s="4"/>
      <c r="P1746" s="4"/>
      <c r="Q1746" s="4"/>
      <c r="R1746" s="4"/>
      <c r="S1746" s="4"/>
      <c r="T1746" s="1" t="s">
        <v>29952</v>
      </c>
      <c r="U1746" s="4" t="s">
        <v>29953</v>
      </c>
      <c r="V1746" s="4" t="s">
        <v>29954</v>
      </c>
      <c r="W1746" s="4" t="s">
        <v>29955</v>
      </c>
      <c r="X1746" s="4" t="s">
        <v>29956</v>
      </c>
      <c r="Y1746" s="4" t="s">
        <v>29957</v>
      </c>
      <c r="Z1746" s="4" t="s">
        <v>7658</v>
      </c>
      <c r="AA1746" s="4" t="s">
        <v>29958</v>
      </c>
      <c r="AB1746" s="4" t="s">
        <v>29959</v>
      </c>
      <c r="AC1746" s="4"/>
      <c r="AD1746" s="4"/>
      <c r="AE1746" s="4"/>
      <c r="AF1746" s="4"/>
      <c r="AG1746" s="4" t="n">
        <v>15</v>
      </c>
      <c r="AH1746" s="4" t="n">
        <v>51</v>
      </c>
      <c r="AI1746" s="4" t="n">
        <v>57</v>
      </c>
      <c r="AJ1746" s="4" t="n">
        <v>0</v>
      </c>
      <c r="AK1746" s="4" t="n">
        <v>1</v>
      </c>
      <c r="AL1746" s="4" t="s">
        <v>755</v>
      </c>
      <c r="AM1746" s="4" t="s">
        <v>273</v>
      </c>
      <c r="AN1746" s="4" t="s">
        <v>756</v>
      </c>
      <c r="AO1746" s="4" t="s">
        <v>2234</v>
      </c>
      <c r="AP1746" s="4" t="s">
        <v>2235</v>
      </c>
      <c r="AQ1746" s="4"/>
      <c r="AR1746" s="4" t="s">
        <v>2236</v>
      </c>
      <c r="AS1746" s="4" t="s">
        <v>2237</v>
      </c>
      <c r="AT1746" s="4" t="s">
        <v>97</v>
      </c>
      <c r="AU1746" s="4" t="n">
        <v>2005</v>
      </c>
      <c r="AV1746" s="4" t="n">
        <v>43</v>
      </c>
      <c r="AW1746" s="4" t="n">
        <v>3</v>
      </c>
      <c r="AX1746" s="4"/>
      <c r="AY1746" s="4"/>
      <c r="AZ1746" s="4"/>
      <c r="BA1746" s="4"/>
      <c r="BB1746" s="4" t="n">
        <v>1411</v>
      </c>
      <c r="BC1746" s="4" t="n">
        <v>1414</v>
      </c>
      <c r="BD1746" s="4"/>
      <c r="BE1746" s="4" t="s">
        <v>29960</v>
      </c>
      <c r="BF1746" s="4" t="str">
        <f aca="false">HYPERLINK("http://dx.doi.org/10.1128/JCM.43.3.1411-1414.2005","http://dx.doi.org/10.1128/JCM.43.3.1411-1414.2005")</f>
        <v>http://dx.doi.org/10.1128/JCM.43.3.1411-1414.2005</v>
      </c>
      <c r="BG1746" s="4"/>
      <c r="BH1746" s="4"/>
      <c r="BI1746" s="4" t="n">
        <v>4</v>
      </c>
      <c r="BJ1746" s="4" t="s">
        <v>211</v>
      </c>
      <c r="BK1746" s="4" t="s">
        <v>100</v>
      </c>
      <c r="BL1746" s="4" t="s">
        <v>211</v>
      </c>
      <c r="BM1746" s="4" t="s">
        <v>29651</v>
      </c>
      <c r="BN1746" s="4" t="n">
        <v>15750120</v>
      </c>
      <c r="BO1746" s="4" t="s">
        <v>165</v>
      </c>
      <c r="BP1746" s="4"/>
      <c r="BQ1746" s="4"/>
      <c r="BR1746" s="4" t="s">
        <v>104</v>
      </c>
      <c r="BS1746" s="4" t="s">
        <v>29961</v>
      </c>
      <c r="BT1746" s="4" t="str">
        <f aca="false">HYPERLINK("https%3A%2F%2Fwww.webofscience.com%2Fwos%2Fwoscc%2Ffull-record%2FWOS:000227538900067","View Full Record in Web of Science")</f>
        <v>View Full Record in Web of Science</v>
      </c>
    </row>
    <row r="1747" s="5" customFormat="true" ht="12.75" hidden="false" customHeight="false" outlineLevel="0" collapsed="false">
      <c r="A1747" s="4" t="s">
        <v>72</v>
      </c>
      <c r="B1747" s="4" t="s">
        <v>29962</v>
      </c>
      <c r="C1747" s="4"/>
      <c r="D1747" s="4"/>
      <c r="E1747" s="4"/>
      <c r="F1747" s="4" t="s">
        <v>29963</v>
      </c>
      <c r="G1747" s="4"/>
      <c r="H1747" s="4"/>
      <c r="I1747" s="4" t="s">
        <v>29964</v>
      </c>
      <c r="J1747" s="4" t="s">
        <v>13758</v>
      </c>
      <c r="K1747" s="4"/>
      <c r="L1747" s="4"/>
      <c r="M1747" s="4" t="s">
        <v>77</v>
      </c>
      <c r="N1747" s="4" t="s">
        <v>78</v>
      </c>
      <c r="O1747" s="4"/>
      <c r="P1747" s="4"/>
      <c r="Q1747" s="4"/>
      <c r="R1747" s="4"/>
      <c r="S1747" s="4"/>
      <c r="T1747" s="1" t="s">
        <v>29965</v>
      </c>
      <c r="U1747" s="4" t="s">
        <v>29966</v>
      </c>
      <c r="V1747" s="4" t="s">
        <v>29967</v>
      </c>
      <c r="W1747" s="4" t="s">
        <v>29968</v>
      </c>
      <c r="X1747" s="4" t="s">
        <v>29969</v>
      </c>
      <c r="Y1747" s="4" t="s">
        <v>29970</v>
      </c>
      <c r="Z1747" s="4" t="s">
        <v>29971</v>
      </c>
      <c r="AA1747" s="4"/>
      <c r="AB1747" s="4"/>
      <c r="AC1747" s="4"/>
      <c r="AD1747" s="4"/>
      <c r="AE1747" s="4"/>
      <c r="AF1747" s="4"/>
      <c r="AG1747" s="4" t="n">
        <v>34</v>
      </c>
      <c r="AH1747" s="4" t="n">
        <v>2</v>
      </c>
      <c r="AI1747" s="4" t="n">
        <v>4</v>
      </c>
      <c r="AJ1747" s="4" t="n">
        <v>0</v>
      </c>
      <c r="AK1747" s="4" t="n">
        <v>3</v>
      </c>
      <c r="AL1747" s="4" t="s">
        <v>13769</v>
      </c>
      <c r="AM1747" s="4" t="s">
        <v>16554</v>
      </c>
      <c r="AN1747" s="4" t="s">
        <v>16555</v>
      </c>
      <c r="AO1747" s="4" t="s">
        <v>13772</v>
      </c>
      <c r="AP1747" s="4" t="s">
        <v>13773</v>
      </c>
      <c r="AQ1747" s="4"/>
      <c r="AR1747" s="4" t="s">
        <v>13774</v>
      </c>
      <c r="AS1747" s="4" t="s">
        <v>13775</v>
      </c>
      <c r="AT1747" s="4" t="s">
        <v>1041</v>
      </c>
      <c r="AU1747" s="4" t="n">
        <v>2010</v>
      </c>
      <c r="AV1747" s="4" t="n">
        <v>155</v>
      </c>
      <c r="AW1747" s="4" t="n">
        <v>2</v>
      </c>
      <c r="AX1747" s="4"/>
      <c r="AY1747" s="4"/>
      <c r="AZ1747" s="4"/>
      <c r="BA1747" s="4"/>
      <c r="BB1747" s="4" t="n">
        <v>207</v>
      </c>
      <c r="BC1747" s="4" t="n">
        <v>215</v>
      </c>
      <c r="BD1747" s="4"/>
      <c r="BE1747" s="4" t="s">
        <v>29972</v>
      </c>
      <c r="BF1747" s="4" t="str">
        <f aca="false">HYPERLINK("http://dx.doi.org/10.1007/s00705-009-0573-8","http://dx.doi.org/10.1007/s00705-009-0573-8")</f>
        <v>http://dx.doi.org/10.1007/s00705-009-0573-8</v>
      </c>
      <c r="BG1747" s="4"/>
      <c r="BH1747" s="4"/>
      <c r="BI1747" s="4" t="n">
        <v>9</v>
      </c>
      <c r="BJ1747" s="4" t="s">
        <v>163</v>
      </c>
      <c r="BK1747" s="4" t="s">
        <v>100</v>
      </c>
      <c r="BL1747" s="4" t="s">
        <v>163</v>
      </c>
      <c r="BM1747" s="4" t="s">
        <v>8078</v>
      </c>
      <c r="BN1747" s="4" t="n">
        <v>20013132</v>
      </c>
      <c r="BO1747" s="4"/>
      <c r="BP1747" s="4"/>
      <c r="BQ1747" s="4"/>
      <c r="BR1747" s="4" t="s">
        <v>104</v>
      </c>
      <c r="BS1747" s="4" t="s">
        <v>29973</v>
      </c>
      <c r="BT1747" s="4" t="str">
        <f aca="false">HYPERLINK("https%3A%2F%2Fwww.webofscience.com%2Fwos%2Fwoscc%2Ffull-record%2FWOS:000274199000007","View Full Record in Web of Science")</f>
        <v>View Full Record in Web of Science</v>
      </c>
    </row>
    <row r="1748" s="5" customFormat="true" ht="12.75" hidden="false" customHeight="false" outlineLevel="0" collapsed="false">
      <c r="A1748" s="4" t="s">
        <v>72</v>
      </c>
      <c r="B1748" s="4" t="s">
        <v>29974</v>
      </c>
      <c r="C1748" s="4"/>
      <c r="D1748" s="4"/>
      <c r="E1748" s="4"/>
      <c r="F1748" s="4" t="s">
        <v>29975</v>
      </c>
      <c r="G1748" s="4"/>
      <c r="H1748" s="4"/>
      <c r="I1748" s="4" t="s">
        <v>29976</v>
      </c>
      <c r="J1748" s="4" t="s">
        <v>742</v>
      </c>
      <c r="K1748" s="4"/>
      <c r="L1748" s="4"/>
      <c r="M1748" s="4" t="s">
        <v>77</v>
      </c>
      <c r="N1748" s="4" t="s">
        <v>78</v>
      </c>
      <c r="O1748" s="4"/>
      <c r="P1748" s="4"/>
      <c r="Q1748" s="4"/>
      <c r="R1748" s="4"/>
      <c r="S1748" s="4"/>
      <c r="T1748" s="1" t="s">
        <v>29977</v>
      </c>
      <c r="U1748" s="4" t="s">
        <v>29978</v>
      </c>
      <c r="V1748" s="4" t="s">
        <v>29979</v>
      </c>
      <c r="W1748" s="4" t="s">
        <v>29980</v>
      </c>
      <c r="X1748" s="4" t="s">
        <v>29981</v>
      </c>
      <c r="Y1748" s="4" t="s">
        <v>29982</v>
      </c>
      <c r="Z1748" s="4" t="s">
        <v>1617</v>
      </c>
      <c r="AA1748" s="4" t="s">
        <v>29983</v>
      </c>
      <c r="AB1748" s="4" t="s">
        <v>27524</v>
      </c>
      <c r="AC1748" s="4" t="s">
        <v>29984</v>
      </c>
      <c r="AD1748" s="4" t="s">
        <v>29985</v>
      </c>
      <c r="AE1748" s="4" t="s">
        <v>29986</v>
      </c>
      <c r="AF1748" s="4"/>
      <c r="AG1748" s="4" t="n">
        <v>51</v>
      </c>
      <c r="AH1748" s="4" t="n">
        <v>41</v>
      </c>
      <c r="AI1748" s="4" t="n">
        <v>50</v>
      </c>
      <c r="AJ1748" s="4" t="n">
        <v>0</v>
      </c>
      <c r="AK1748" s="4" t="n">
        <v>3</v>
      </c>
      <c r="AL1748" s="4" t="s">
        <v>755</v>
      </c>
      <c r="AM1748" s="4" t="s">
        <v>273</v>
      </c>
      <c r="AN1748" s="4" t="s">
        <v>756</v>
      </c>
      <c r="AO1748" s="4" t="s">
        <v>757</v>
      </c>
      <c r="AP1748" s="4"/>
      <c r="AQ1748" s="4"/>
      <c r="AR1748" s="4" t="s">
        <v>759</v>
      </c>
      <c r="AS1748" s="4" t="s">
        <v>760</v>
      </c>
      <c r="AT1748" s="4" t="s">
        <v>4756</v>
      </c>
      <c r="AU1748" s="4" t="n">
        <v>2008</v>
      </c>
      <c r="AV1748" s="4" t="n">
        <v>82</v>
      </c>
      <c r="AW1748" s="4" t="n">
        <v>22</v>
      </c>
      <c r="AX1748" s="4"/>
      <c r="AY1748" s="4"/>
      <c r="AZ1748" s="4"/>
      <c r="BA1748" s="4"/>
      <c r="BB1748" s="4" t="n">
        <v>11410</v>
      </c>
      <c r="BC1748" s="4" t="n">
        <v>11418</v>
      </c>
      <c r="BD1748" s="4"/>
      <c r="BE1748" s="4" t="s">
        <v>29987</v>
      </c>
      <c r="BF1748" s="4" t="str">
        <f aca="false">HYPERLINK("http://dx.doi.org/10.1128/JVI.01688-08","http://dx.doi.org/10.1128/JVI.01688-08")</f>
        <v>http://dx.doi.org/10.1128/JVI.01688-08</v>
      </c>
      <c r="BG1748" s="4"/>
      <c r="BH1748" s="4"/>
      <c r="BI1748" s="4" t="n">
        <v>9</v>
      </c>
      <c r="BJ1748" s="4" t="s">
        <v>163</v>
      </c>
      <c r="BK1748" s="4" t="s">
        <v>100</v>
      </c>
      <c r="BL1748" s="4" t="s">
        <v>163</v>
      </c>
      <c r="BM1748" s="4" t="s">
        <v>29988</v>
      </c>
      <c r="BN1748" s="4" t="n">
        <v>18786987</v>
      </c>
      <c r="BO1748" s="4" t="s">
        <v>1267</v>
      </c>
      <c r="BP1748" s="4"/>
      <c r="BQ1748" s="4"/>
      <c r="BR1748" s="4" t="s">
        <v>104</v>
      </c>
      <c r="BS1748" s="4" t="s">
        <v>29989</v>
      </c>
      <c r="BT1748" s="4" t="str">
        <f aca="false">HYPERLINK("https%3A%2F%2Fwww.webofscience.com%2Fwos%2Fwoscc%2Ffull-record%2FWOS:000260368000040","View Full Record in Web of Science")</f>
        <v>View Full Record in Web of Science</v>
      </c>
    </row>
    <row r="1749" s="5" customFormat="true" ht="12.75" hidden="false" customHeight="false" outlineLevel="0" collapsed="false">
      <c r="A1749" s="4" t="s">
        <v>72</v>
      </c>
      <c r="B1749" s="4" t="s">
        <v>29990</v>
      </c>
      <c r="C1749" s="4"/>
      <c r="D1749" s="4"/>
      <c r="E1749" s="4"/>
      <c r="F1749" s="4" t="s">
        <v>29991</v>
      </c>
      <c r="G1749" s="4"/>
      <c r="H1749" s="4"/>
      <c r="I1749" s="4" t="s">
        <v>29992</v>
      </c>
      <c r="J1749" s="4" t="s">
        <v>514</v>
      </c>
      <c r="K1749" s="4"/>
      <c r="L1749" s="4"/>
      <c r="M1749" s="4" t="s">
        <v>77</v>
      </c>
      <c r="N1749" s="4" t="s">
        <v>78</v>
      </c>
      <c r="O1749" s="4"/>
      <c r="P1749" s="4"/>
      <c r="Q1749" s="4"/>
      <c r="R1749" s="4"/>
      <c r="S1749" s="4"/>
      <c r="T1749" s="1" t="s">
        <v>29993</v>
      </c>
      <c r="U1749" s="4" t="s">
        <v>29994</v>
      </c>
      <c r="V1749" s="4" t="s">
        <v>29995</v>
      </c>
      <c r="W1749" s="4" t="s">
        <v>29996</v>
      </c>
      <c r="X1749" s="4" t="s">
        <v>29997</v>
      </c>
      <c r="Y1749" s="4" t="s">
        <v>29998</v>
      </c>
      <c r="Z1749" s="4" t="s">
        <v>29999</v>
      </c>
      <c r="AA1749" s="4" t="s">
        <v>30000</v>
      </c>
      <c r="AB1749" s="4" t="s">
        <v>30001</v>
      </c>
      <c r="AC1749" s="4"/>
      <c r="AD1749" s="4"/>
      <c r="AE1749" s="4"/>
      <c r="AF1749" s="4"/>
      <c r="AG1749" s="4" t="n">
        <v>15</v>
      </c>
      <c r="AH1749" s="4" t="n">
        <v>63</v>
      </c>
      <c r="AI1749" s="4" t="n">
        <v>65</v>
      </c>
      <c r="AJ1749" s="4" t="n">
        <v>0</v>
      </c>
      <c r="AK1749" s="4" t="n">
        <v>3</v>
      </c>
      <c r="AL1749" s="4" t="s">
        <v>27444</v>
      </c>
      <c r="AM1749" s="4" t="s">
        <v>20223</v>
      </c>
      <c r="AN1749" s="4" t="s">
        <v>27445</v>
      </c>
      <c r="AO1749" s="4" t="s">
        <v>530</v>
      </c>
      <c r="AP1749" s="4"/>
      <c r="AQ1749" s="4"/>
      <c r="AR1749" s="4" t="s">
        <v>532</v>
      </c>
      <c r="AS1749" s="4" t="s">
        <v>533</v>
      </c>
      <c r="AT1749" s="4" t="s">
        <v>15629</v>
      </c>
      <c r="AU1749" s="4" t="n">
        <v>2007</v>
      </c>
      <c r="AV1749" s="4" t="n">
        <v>196</v>
      </c>
      <c r="AW1749" s="4" t="n">
        <v>5</v>
      </c>
      <c r="AX1749" s="4"/>
      <c r="AY1749" s="4"/>
      <c r="AZ1749" s="4"/>
      <c r="BA1749" s="4"/>
      <c r="BB1749" s="4" t="n">
        <v>705</v>
      </c>
      <c r="BC1749" s="4" t="n">
        <v>708</v>
      </c>
      <c r="BD1749" s="4"/>
      <c r="BE1749" s="4" t="s">
        <v>30002</v>
      </c>
      <c r="BF1749" s="4" t="str">
        <f aca="false">HYPERLINK("http://dx.doi.org/10.1086/519846","http://dx.doi.org/10.1086/519846")</f>
        <v>http://dx.doi.org/10.1086/519846</v>
      </c>
      <c r="BG1749" s="4"/>
      <c r="BH1749" s="4"/>
      <c r="BI1749" s="4" t="n">
        <v>4</v>
      </c>
      <c r="BJ1749" s="4" t="s">
        <v>536</v>
      </c>
      <c r="BK1749" s="4" t="s">
        <v>100</v>
      </c>
      <c r="BL1749" s="4" t="s">
        <v>536</v>
      </c>
      <c r="BM1749" s="4" t="s">
        <v>30003</v>
      </c>
      <c r="BN1749" s="4" t="n">
        <v>17674312</v>
      </c>
      <c r="BO1749" s="4" t="s">
        <v>656</v>
      </c>
      <c r="BP1749" s="4"/>
      <c r="BQ1749" s="4"/>
      <c r="BR1749" s="4" t="s">
        <v>104</v>
      </c>
      <c r="BS1749" s="4" t="s">
        <v>30004</v>
      </c>
      <c r="BT1749" s="4" t="str">
        <f aca="false">HYPERLINK("https%3A%2F%2Fwww.webofscience.com%2Fwos%2Fwoscc%2Ffull-record%2FWOS:000248557600009","View Full Record in Web of Science")</f>
        <v>View Full Record in Web of Science</v>
      </c>
    </row>
    <row r="1750" s="5" customFormat="true" ht="12.75" hidden="false" customHeight="false" outlineLevel="0" collapsed="false">
      <c r="A1750" s="4" t="s">
        <v>72</v>
      </c>
      <c r="B1750" s="4" t="s">
        <v>30005</v>
      </c>
      <c r="C1750" s="4"/>
      <c r="D1750" s="4"/>
      <c r="E1750" s="4"/>
      <c r="F1750" s="4" t="s">
        <v>30006</v>
      </c>
      <c r="G1750" s="4"/>
      <c r="H1750" s="4"/>
      <c r="I1750" s="4" t="s">
        <v>30007</v>
      </c>
      <c r="J1750" s="4" t="s">
        <v>27453</v>
      </c>
      <c r="K1750" s="4"/>
      <c r="L1750" s="4"/>
      <c r="M1750" s="4" t="s">
        <v>77</v>
      </c>
      <c r="N1750" s="4" t="s">
        <v>78</v>
      </c>
      <c r="O1750" s="4"/>
      <c r="P1750" s="4"/>
      <c r="Q1750" s="4"/>
      <c r="R1750" s="4"/>
      <c r="S1750" s="4"/>
      <c r="T1750" s="1" t="s">
        <v>30008</v>
      </c>
      <c r="U1750" s="4" t="s">
        <v>30009</v>
      </c>
      <c r="V1750" s="4" t="s">
        <v>30010</v>
      </c>
      <c r="W1750" s="4" t="s">
        <v>30011</v>
      </c>
      <c r="X1750" s="4" t="s">
        <v>14065</v>
      </c>
      <c r="Y1750" s="4" t="s">
        <v>30012</v>
      </c>
      <c r="Z1750" s="4" t="s">
        <v>30013</v>
      </c>
      <c r="AA1750" s="4"/>
      <c r="AB1750" s="4"/>
      <c r="AC1750" s="4" t="s">
        <v>30014</v>
      </c>
      <c r="AD1750" s="4" t="s">
        <v>26601</v>
      </c>
      <c r="AE1750" s="4" t="s">
        <v>30015</v>
      </c>
      <c r="AF1750" s="4"/>
      <c r="AG1750" s="4" t="n">
        <v>30</v>
      </c>
      <c r="AH1750" s="4" t="n">
        <v>20</v>
      </c>
      <c r="AI1750" s="4" t="n">
        <v>26</v>
      </c>
      <c r="AJ1750" s="4" t="n">
        <v>0</v>
      </c>
      <c r="AK1750" s="4" t="n">
        <v>1</v>
      </c>
      <c r="AL1750" s="4" t="s">
        <v>27463</v>
      </c>
      <c r="AM1750" s="4" t="s">
        <v>16252</v>
      </c>
      <c r="AN1750" s="4" t="s">
        <v>27464</v>
      </c>
      <c r="AO1750" s="4" t="s">
        <v>27465</v>
      </c>
      <c r="AP1750" s="4" t="s">
        <v>27466</v>
      </c>
      <c r="AQ1750" s="4"/>
      <c r="AR1750" s="4" t="s">
        <v>27467</v>
      </c>
      <c r="AS1750" s="4" t="s">
        <v>27468</v>
      </c>
      <c r="AT1750" s="4" t="s">
        <v>599</v>
      </c>
      <c r="AU1750" s="4" t="n">
        <v>2012</v>
      </c>
      <c r="AV1750" s="4" t="n">
        <v>65</v>
      </c>
      <c r="AW1750" s="4" t="n">
        <v>4</v>
      </c>
      <c r="AX1750" s="4"/>
      <c r="AY1750" s="4"/>
      <c r="AZ1750" s="4"/>
      <c r="BA1750" s="4"/>
      <c r="BB1750" s="4" t="n">
        <v>337</v>
      </c>
      <c r="BC1750" s="4" t="n">
        <v>340</v>
      </c>
      <c r="BD1750" s="4"/>
      <c r="BE1750" s="4" t="s">
        <v>30016</v>
      </c>
      <c r="BF1750" s="4" t="str">
        <f aca="false">HYPERLINK("http://dx.doi.org/10.7883/yoken.65.337","http://dx.doi.org/10.7883/yoken.65.337")</f>
        <v>http://dx.doi.org/10.7883/yoken.65.337</v>
      </c>
      <c r="BG1750" s="4"/>
      <c r="BH1750" s="4"/>
      <c r="BI1750" s="4" t="n">
        <v>4</v>
      </c>
      <c r="BJ1750" s="4" t="s">
        <v>575</v>
      </c>
      <c r="BK1750" s="4" t="s">
        <v>100</v>
      </c>
      <c r="BL1750" s="4" t="s">
        <v>575</v>
      </c>
      <c r="BM1750" s="4" t="s">
        <v>30017</v>
      </c>
      <c r="BN1750" s="4" t="n">
        <v>22814160</v>
      </c>
      <c r="BO1750" s="4" t="s">
        <v>656</v>
      </c>
      <c r="BP1750" s="4"/>
      <c r="BQ1750" s="4"/>
      <c r="BR1750" s="4" t="s">
        <v>104</v>
      </c>
      <c r="BS1750" s="4" t="s">
        <v>30018</v>
      </c>
      <c r="BT1750" s="4" t="str">
        <f aca="false">HYPERLINK("https%3A%2F%2Fwww.webofscience.com%2Fwos%2Fwoscc%2Ffull-record%2FWOS:000307144800013","View Full Record in Web of Science")</f>
        <v>View Full Record in Web of Science</v>
      </c>
    </row>
    <row r="1751" s="5" customFormat="true" ht="12.75" hidden="false" customHeight="false" outlineLevel="0" collapsed="false">
      <c r="A1751" s="4" t="s">
        <v>72</v>
      </c>
      <c r="B1751" s="4" t="s">
        <v>30019</v>
      </c>
      <c r="C1751" s="4"/>
      <c r="D1751" s="4"/>
      <c r="E1751" s="4"/>
      <c r="F1751" s="4" t="s">
        <v>30019</v>
      </c>
      <c r="G1751" s="4"/>
      <c r="H1751" s="4"/>
      <c r="I1751" s="4" t="s">
        <v>30020</v>
      </c>
      <c r="J1751" s="4" t="s">
        <v>27548</v>
      </c>
      <c r="K1751" s="4"/>
      <c r="L1751" s="4"/>
      <c r="M1751" s="4" t="s">
        <v>77</v>
      </c>
      <c r="N1751" s="4" t="s">
        <v>78</v>
      </c>
      <c r="O1751" s="4"/>
      <c r="P1751" s="4"/>
      <c r="Q1751" s="4"/>
      <c r="R1751" s="4"/>
      <c r="S1751" s="4"/>
      <c r="T1751" s="1" t="s">
        <v>30021</v>
      </c>
      <c r="U1751" s="4" t="s">
        <v>30022</v>
      </c>
      <c r="V1751" s="4" t="s">
        <v>30023</v>
      </c>
      <c r="W1751" s="4" t="s">
        <v>30024</v>
      </c>
      <c r="X1751" s="4" t="s">
        <v>30025</v>
      </c>
      <c r="Y1751" s="4" t="s">
        <v>30026</v>
      </c>
      <c r="Z1751" s="4" t="s">
        <v>13582</v>
      </c>
      <c r="AA1751" s="4"/>
      <c r="AB1751" s="4" t="s">
        <v>30027</v>
      </c>
      <c r="AC1751" s="4"/>
      <c r="AD1751" s="4"/>
      <c r="AE1751" s="4"/>
      <c r="AF1751" s="4"/>
      <c r="AG1751" s="4" t="n">
        <v>29</v>
      </c>
      <c r="AH1751" s="4" t="n">
        <v>63</v>
      </c>
      <c r="AI1751" s="4" t="n">
        <v>71</v>
      </c>
      <c r="AJ1751" s="4" t="n">
        <v>0</v>
      </c>
      <c r="AK1751" s="4" t="n">
        <v>2</v>
      </c>
      <c r="AL1751" s="4" t="s">
        <v>27851</v>
      </c>
      <c r="AM1751" s="4" t="s">
        <v>27561</v>
      </c>
      <c r="AN1751" s="4" t="s">
        <v>27562</v>
      </c>
      <c r="AO1751" s="4" t="s">
        <v>27563</v>
      </c>
      <c r="AP1751" s="4" t="s">
        <v>27564</v>
      </c>
      <c r="AQ1751" s="4"/>
      <c r="AR1751" s="4" t="s">
        <v>27565</v>
      </c>
      <c r="AS1751" s="4" t="s">
        <v>27566</v>
      </c>
      <c r="AT1751" s="4" t="s">
        <v>599</v>
      </c>
      <c r="AU1751" s="4" t="n">
        <v>2005</v>
      </c>
      <c r="AV1751" s="4" t="n">
        <v>11</v>
      </c>
      <c r="AW1751" s="4" t="n">
        <v>7</v>
      </c>
      <c r="AX1751" s="4"/>
      <c r="AY1751" s="4"/>
      <c r="AZ1751" s="4"/>
      <c r="BA1751" s="4"/>
      <c r="BB1751" s="4" t="n">
        <v>1074</v>
      </c>
      <c r="BC1751" s="4" t="n">
        <v>1078</v>
      </c>
      <c r="BD1751" s="4"/>
      <c r="BE1751" s="4" t="s">
        <v>30028</v>
      </c>
      <c r="BF1751" s="4" t="str">
        <f aca="false">HYPERLINK("http://dx.doi.org/10.3201/eid1107.050050","http://dx.doi.org/10.3201/eid1107.050050")</f>
        <v>http://dx.doi.org/10.3201/eid1107.050050</v>
      </c>
      <c r="BG1751" s="4"/>
      <c r="BH1751" s="4"/>
      <c r="BI1751" s="4" t="n">
        <v>5</v>
      </c>
      <c r="BJ1751" s="4" t="s">
        <v>965</v>
      </c>
      <c r="BK1751" s="4" t="s">
        <v>100</v>
      </c>
      <c r="BL1751" s="4" t="s">
        <v>965</v>
      </c>
      <c r="BM1751" s="4" t="s">
        <v>30029</v>
      </c>
      <c r="BN1751" s="4" t="n">
        <v>16022783</v>
      </c>
      <c r="BO1751" s="4" t="s">
        <v>190</v>
      </c>
      <c r="BP1751" s="4"/>
      <c r="BQ1751" s="4"/>
      <c r="BR1751" s="4" t="s">
        <v>104</v>
      </c>
      <c r="BS1751" s="4" t="s">
        <v>30030</v>
      </c>
      <c r="BT1751" s="4" t="str">
        <f aca="false">HYPERLINK("https%3A%2F%2Fwww.webofscience.com%2Fwos%2Fwoscc%2Ffull-record%2FWOS:000230106600014","View Full Record in Web of Science")</f>
        <v>View Full Record in Web of Science</v>
      </c>
    </row>
    <row r="1752" s="5" customFormat="true" ht="12.75" hidden="false" customHeight="false" outlineLevel="0" collapsed="false">
      <c r="A1752" s="4" t="s">
        <v>72</v>
      </c>
      <c r="B1752" s="4" t="s">
        <v>30031</v>
      </c>
      <c r="C1752" s="4"/>
      <c r="D1752" s="4"/>
      <c r="E1752" s="4"/>
      <c r="F1752" s="4" t="s">
        <v>30032</v>
      </c>
      <c r="G1752" s="4"/>
      <c r="H1752" s="4"/>
      <c r="I1752" s="4" t="s">
        <v>30033</v>
      </c>
      <c r="J1752" s="4" t="s">
        <v>5511</v>
      </c>
      <c r="K1752" s="4"/>
      <c r="L1752" s="4"/>
      <c r="M1752" s="4" t="s">
        <v>77</v>
      </c>
      <c r="N1752" s="4" t="s">
        <v>78</v>
      </c>
      <c r="O1752" s="4"/>
      <c r="P1752" s="4"/>
      <c r="Q1752" s="4"/>
      <c r="R1752" s="4"/>
      <c r="S1752" s="4"/>
      <c r="T1752" s="1" t="s">
        <v>30034</v>
      </c>
      <c r="U1752" s="4" t="s">
        <v>30035</v>
      </c>
      <c r="V1752" s="4" t="s">
        <v>30036</v>
      </c>
      <c r="W1752" s="4" t="s">
        <v>30037</v>
      </c>
      <c r="X1752" s="4" t="s">
        <v>30038</v>
      </c>
      <c r="Y1752" s="4" t="s">
        <v>30039</v>
      </c>
      <c r="Z1752" s="4" t="s">
        <v>30040</v>
      </c>
      <c r="AA1752" s="4" t="s">
        <v>30041</v>
      </c>
      <c r="AB1752" s="4" t="s">
        <v>30042</v>
      </c>
      <c r="AC1752" s="4" t="s">
        <v>30043</v>
      </c>
      <c r="AD1752" s="4" t="s">
        <v>2357</v>
      </c>
      <c r="AE1752" s="4" t="s">
        <v>30044</v>
      </c>
      <c r="AF1752" s="4"/>
      <c r="AG1752" s="4" t="n">
        <v>28</v>
      </c>
      <c r="AH1752" s="4" t="n">
        <v>20</v>
      </c>
      <c r="AI1752" s="4" t="n">
        <v>22</v>
      </c>
      <c r="AJ1752" s="4" t="n">
        <v>0</v>
      </c>
      <c r="AK1752" s="4" t="n">
        <v>3</v>
      </c>
      <c r="AL1752" s="4" t="s">
        <v>5523</v>
      </c>
      <c r="AM1752" s="4" t="s">
        <v>5524</v>
      </c>
      <c r="AN1752" s="4" t="s">
        <v>5525</v>
      </c>
      <c r="AO1752" s="4" t="s">
        <v>5526</v>
      </c>
      <c r="AP1752" s="4" t="s">
        <v>5527</v>
      </c>
      <c r="AQ1752" s="4"/>
      <c r="AR1752" s="4" t="s">
        <v>5528</v>
      </c>
      <c r="AS1752" s="4" t="s">
        <v>5529</v>
      </c>
      <c r="AT1752" s="4" t="s">
        <v>692</v>
      </c>
      <c r="AU1752" s="4" t="n">
        <v>2011</v>
      </c>
      <c r="AV1752" s="4" t="n">
        <v>24</v>
      </c>
      <c r="AW1752" s="4" t="n">
        <v>2</v>
      </c>
      <c r="AX1752" s="4"/>
      <c r="AY1752" s="4"/>
      <c r="AZ1752" s="4"/>
      <c r="BA1752" s="4"/>
      <c r="BB1752" s="4" t="n">
        <v>159</v>
      </c>
      <c r="BC1752" s="4" t="n">
        <v>164</v>
      </c>
      <c r="BD1752" s="4"/>
      <c r="BE1752" s="4" t="s">
        <v>30045</v>
      </c>
      <c r="BF1752" s="4" t="str">
        <f aca="false">HYPERLINK("http://dx.doi.org/10.1089/vim.2010.0073","http://dx.doi.org/10.1089/vim.2010.0073")</f>
        <v>http://dx.doi.org/10.1089/vim.2010.0073</v>
      </c>
      <c r="BG1752" s="4"/>
      <c r="BH1752" s="4"/>
      <c r="BI1752" s="4" t="n">
        <v>6</v>
      </c>
      <c r="BJ1752" s="4" t="s">
        <v>5531</v>
      </c>
      <c r="BK1752" s="4" t="s">
        <v>100</v>
      </c>
      <c r="BL1752" s="4" t="s">
        <v>5531</v>
      </c>
      <c r="BM1752" s="4" t="s">
        <v>30046</v>
      </c>
      <c r="BN1752" s="4" t="n">
        <v>21449726</v>
      </c>
      <c r="BO1752" s="4"/>
      <c r="BP1752" s="4"/>
      <c r="BQ1752" s="4"/>
      <c r="BR1752" s="4" t="s">
        <v>104</v>
      </c>
      <c r="BS1752" s="4" t="s">
        <v>30047</v>
      </c>
      <c r="BT1752" s="4" t="str">
        <f aca="false">HYPERLINK("https%3A%2F%2Fwww.webofscience.com%2Fwos%2Fwoscc%2Ffull-record%2FWOS:000288983000011","View Full Record in Web of Science")</f>
        <v>View Full Record in Web of Science</v>
      </c>
    </row>
    <row r="1753" s="5" customFormat="true" ht="12.75" hidden="false" customHeight="false" outlineLevel="0" collapsed="false">
      <c r="A1753" s="4" t="s">
        <v>72</v>
      </c>
      <c r="B1753" s="4" t="s">
        <v>30048</v>
      </c>
      <c r="C1753" s="4"/>
      <c r="D1753" s="4"/>
      <c r="E1753" s="4"/>
      <c r="F1753" s="4" t="s">
        <v>30048</v>
      </c>
      <c r="G1753" s="4"/>
      <c r="H1753" s="4"/>
      <c r="I1753" s="4" t="s">
        <v>30049</v>
      </c>
      <c r="J1753" s="4" t="s">
        <v>7145</v>
      </c>
      <c r="K1753" s="4"/>
      <c r="L1753" s="4"/>
      <c r="M1753" s="4" t="s">
        <v>77</v>
      </c>
      <c r="N1753" s="4" t="s">
        <v>78</v>
      </c>
      <c r="O1753" s="4"/>
      <c r="P1753" s="4"/>
      <c r="Q1753" s="4"/>
      <c r="R1753" s="4"/>
      <c r="S1753" s="4"/>
      <c r="T1753" s="1" t="s">
        <v>29260</v>
      </c>
      <c r="U1753" s="4" t="s">
        <v>30050</v>
      </c>
      <c r="V1753" s="4" t="s">
        <v>30051</v>
      </c>
      <c r="W1753" s="4" t="s">
        <v>30052</v>
      </c>
      <c r="X1753" s="4" t="s">
        <v>7617</v>
      </c>
      <c r="Y1753" s="4" t="s">
        <v>7618</v>
      </c>
      <c r="Z1753" s="4" t="s">
        <v>30053</v>
      </c>
      <c r="AA1753" s="4" t="s">
        <v>14033</v>
      </c>
      <c r="AB1753" s="4" t="s">
        <v>30054</v>
      </c>
      <c r="AC1753" s="4"/>
      <c r="AD1753" s="4"/>
      <c r="AE1753" s="4"/>
      <c r="AF1753" s="4"/>
      <c r="AG1753" s="4" t="n">
        <v>29</v>
      </c>
      <c r="AH1753" s="4" t="n">
        <v>95</v>
      </c>
      <c r="AI1753" s="4" t="n">
        <v>113</v>
      </c>
      <c r="AJ1753" s="4" t="n">
        <v>1</v>
      </c>
      <c r="AK1753" s="4" t="n">
        <v>2</v>
      </c>
      <c r="AL1753" s="4" t="s">
        <v>3426</v>
      </c>
      <c r="AM1753" s="4" t="s">
        <v>303</v>
      </c>
      <c r="AN1753" s="4" t="s">
        <v>3427</v>
      </c>
      <c r="AO1753" s="4" t="s">
        <v>7158</v>
      </c>
      <c r="AP1753" s="4" t="s">
        <v>7159</v>
      </c>
      <c r="AQ1753" s="4"/>
      <c r="AR1753" s="4" t="s">
        <v>7160</v>
      </c>
      <c r="AS1753" s="4" t="s">
        <v>7161</v>
      </c>
      <c r="AT1753" s="4" t="s">
        <v>486</v>
      </c>
      <c r="AU1753" s="4" t="n">
        <v>2004</v>
      </c>
      <c r="AV1753" s="4" t="n">
        <v>85</v>
      </c>
      <c r="AW1753" s="4"/>
      <c r="AX1753" s="4" t="n">
        <v>6</v>
      </c>
      <c r="AY1753" s="4"/>
      <c r="AZ1753" s="4"/>
      <c r="BA1753" s="4"/>
      <c r="BB1753" s="4" t="n">
        <v>1655</v>
      </c>
      <c r="BC1753" s="4" t="n">
        <v>1663</v>
      </c>
      <c r="BD1753" s="4"/>
      <c r="BE1753" s="4" t="s">
        <v>30055</v>
      </c>
      <c r="BF1753" s="4" t="str">
        <f aca="false">HYPERLINK("http://dx.doi.org/10.1099/vir.0.79805-0","http://dx.doi.org/10.1099/vir.0.79805-0")</f>
        <v>http://dx.doi.org/10.1099/vir.0.79805-0</v>
      </c>
      <c r="BG1753" s="4"/>
      <c r="BH1753" s="4"/>
      <c r="BI1753" s="4" t="n">
        <v>9</v>
      </c>
      <c r="BJ1753" s="4" t="s">
        <v>7163</v>
      </c>
      <c r="BK1753" s="4" t="s">
        <v>100</v>
      </c>
      <c r="BL1753" s="4" t="s">
        <v>7163</v>
      </c>
      <c r="BM1753" s="4" t="s">
        <v>30056</v>
      </c>
      <c r="BN1753" s="4" t="n">
        <v>15166450</v>
      </c>
      <c r="BO1753" s="4" t="s">
        <v>656</v>
      </c>
      <c r="BP1753" s="4"/>
      <c r="BQ1753" s="4"/>
      <c r="BR1753" s="4" t="s">
        <v>104</v>
      </c>
      <c r="BS1753" s="4" t="s">
        <v>30057</v>
      </c>
      <c r="BT1753" s="4" t="str">
        <f aca="false">HYPERLINK("https%3A%2F%2Fwww.webofscience.com%2Fwos%2Fwoscc%2Ffull-record%2FWOS:000222116600035","View Full Record in Web of Science")</f>
        <v>View Full Record in Web of Science</v>
      </c>
    </row>
    <row r="1754" s="5" customFormat="true" ht="12.75" hidden="false" customHeight="false" outlineLevel="0" collapsed="false">
      <c r="A1754" s="4" t="s">
        <v>72</v>
      </c>
      <c r="B1754" s="4" t="s">
        <v>30058</v>
      </c>
      <c r="C1754" s="4"/>
      <c r="D1754" s="4"/>
      <c r="E1754" s="4"/>
      <c r="F1754" s="4" t="s">
        <v>30059</v>
      </c>
      <c r="G1754" s="4"/>
      <c r="H1754" s="4"/>
      <c r="I1754" s="4" t="s">
        <v>30060</v>
      </c>
      <c r="J1754" s="4" t="s">
        <v>28943</v>
      </c>
      <c r="K1754" s="4"/>
      <c r="L1754" s="4"/>
      <c r="M1754" s="4" t="s">
        <v>77</v>
      </c>
      <c r="N1754" s="4" t="s">
        <v>78</v>
      </c>
      <c r="O1754" s="4"/>
      <c r="P1754" s="4"/>
      <c r="Q1754" s="4"/>
      <c r="R1754" s="4"/>
      <c r="S1754" s="4"/>
      <c r="T1754" s="0"/>
      <c r="U1754" s="4" t="s">
        <v>30061</v>
      </c>
      <c r="V1754" s="4" t="s">
        <v>30062</v>
      </c>
      <c r="W1754" s="4" t="s">
        <v>30063</v>
      </c>
      <c r="X1754" s="4" t="s">
        <v>30064</v>
      </c>
      <c r="Y1754" s="4" t="s">
        <v>30065</v>
      </c>
      <c r="Z1754" s="4" t="s">
        <v>30066</v>
      </c>
      <c r="AA1754" s="4"/>
      <c r="AB1754" s="4"/>
      <c r="AC1754" s="4"/>
      <c r="AD1754" s="4"/>
      <c r="AE1754" s="4"/>
      <c r="AF1754" s="4"/>
      <c r="AG1754" s="4" t="n">
        <v>22</v>
      </c>
      <c r="AH1754" s="4" t="n">
        <v>6</v>
      </c>
      <c r="AI1754" s="4" t="n">
        <v>6</v>
      </c>
      <c r="AJ1754" s="4" t="n">
        <v>0</v>
      </c>
      <c r="AK1754" s="4" t="n">
        <v>1</v>
      </c>
      <c r="AL1754" s="4" t="s">
        <v>28952</v>
      </c>
      <c r="AM1754" s="4" t="s">
        <v>28953</v>
      </c>
      <c r="AN1754" s="4" t="s">
        <v>28954</v>
      </c>
      <c r="AO1754" s="4" t="s">
        <v>28955</v>
      </c>
      <c r="AP1754" s="4"/>
      <c r="AQ1754" s="4"/>
      <c r="AR1754" s="4" t="s">
        <v>28943</v>
      </c>
      <c r="AS1754" s="4" t="s">
        <v>28956</v>
      </c>
      <c r="AT1754" s="4" t="s">
        <v>25735</v>
      </c>
      <c r="AU1754" s="4" t="n">
        <v>2012</v>
      </c>
      <c r="AV1754" s="4" t="n">
        <v>17</v>
      </c>
      <c r="AW1754" s="4" t="n">
        <v>13</v>
      </c>
      <c r="AX1754" s="4"/>
      <c r="AY1754" s="4"/>
      <c r="AZ1754" s="4"/>
      <c r="BA1754" s="4"/>
      <c r="BB1754" s="4" t="n">
        <v>17</v>
      </c>
      <c r="BC1754" s="4" t="n">
        <v>23</v>
      </c>
      <c r="BD1754" s="4" t="n">
        <v>20132</v>
      </c>
      <c r="BE1754" s="4"/>
      <c r="BF1754" s="4"/>
      <c r="BG1754" s="4"/>
      <c r="BH1754" s="4"/>
      <c r="BI1754" s="4" t="n">
        <v>7</v>
      </c>
      <c r="BJ1754" s="4" t="s">
        <v>575</v>
      </c>
      <c r="BK1754" s="4" t="s">
        <v>100</v>
      </c>
      <c r="BL1754" s="4" t="s">
        <v>575</v>
      </c>
      <c r="BM1754" s="4" t="s">
        <v>30067</v>
      </c>
      <c r="BN1754" s="4"/>
      <c r="BO1754" s="4"/>
      <c r="BP1754" s="4"/>
      <c r="BQ1754" s="4"/>
      <c r="BR1754" s="4" t="s">
        <v>104</v>
      </c>
      <c r="BS1754" s="4" t="s">
        <v>30068</v>
      </c>
      <c r="BT1754" s="4" t="str">
        <f aca="false">HYPERLINK("https%3A%2F%2Fwww.webofscience.com%2Fwos%2Fwoscc%2Ffull-record%2FWOS:000302126200004","View Full Record in Web of Science")</f>
        <v>View Full Record in Web of Science</v>
      </c>
    </row>
    <row r="1755" s="5" customFormat="true" ht="12.75" hidden="false" customHeight="false" outlineLevel="0" collapsed="false">
      <c r="A1755" s="4" t="s">
        <v>72</v>
      </c>
      <c r="B1755" s="4" t="s">
        <v>30069</v>
      </c>
      <c r="C1755" s="4"/>
      <c r="D1755" s="4"/>
      <c r="E1755" s="4"/>
      <c r="F1755" s="4" t="s">
        <v>30070</v>
      </c>
      <c r="G1755" s="4"/>
      <c r="H1755" s="4"/>
      <c r="I1755" s="4" t="s">
        <v>30071</v>
      </c>
      <c r="J1755" s="4" t="s">
        <v>27497</v>
      </c>
      <c r="K1755" s="4"/>
      <c r="L1755" s="4"/>
      <c r="M1755" s="4" t="s">
        <v>77</v>
      </c>
      <c r="N1755" s="4" t="s">
        <v>78</v>
      </c>
      <c r="O1755" s="4"/>
      <c r="P1755" s="4"/>
      <c r="Q1755" s="4"/>
      <c r="R1755" s="4"/>
      <c r="S1755" s="4"/>
      <c r="T1755" s="1" t="s">
        <v>30072</v>
      </c>
      <c r="U1755" s="4" t="s">
        <v>30073</v>
      </c>
      <c r="V1755" s="4" t="s">
        <v>30074</v>
      </c>
      <c r="W1755" s="4" t="s">
        <v>30075</v>
      </c>
      <c r="X1755" s="4" t="s">
        <v>30076</v>
      </c>
      <c r="Y1755" s="4" t="s">
        <v>30077</v>
      </c>
      <c r="Z1755" s="4" t="s">
        <v>30078</v>
      </c>
      <c r="AA1755" s="4" t="s">
        <v>30079</v>
      </c>
      <c r="AB1755" s="4" t="s">
        <v>30080</v>
      </c>
      <c r="AC1755" s="4" t="s">
        <v>30081</v>
      </c>
      <c r="AD1755" s="4" t="s">
        <v>30082</v>
      </c>
      <c r="AE1755" s="4" t="s">
        <v>30083</v>
      </c>
      <c r="AF1755" s="4"/>
      <c r="AG1755" s="4" t="n">
        <v>76</v>
      </c>
      <c r="AH1755" s="4" t="n">
        <v>46</v>
      </c>
      <c r="AI1755" s="4" t="n">
        <v>48</v>
      </c>
      <c r="AJ1755" s="4" t="n">
        <v>0</v>
      </c>
      <c r="AK1755" s="4" t="n">
        <v>1</v>
      </c>
      <c r="AL1755" s="4" t="s">
        <v>27506</v>
      </c>
      <c r="AM1755" s="4" t="s">
        <v>27507</v>
      </c>
      <c r="AN1755" s="4" t="s">
        <v>27508</v>
      </c>
      <c r="AO1755" s="4" t="s">
        <v>27509</v>
      </c>
      <c r="AP1755" s="4"/>
      <c r="AQ1755" s="4"/>
      <c r="AR1755" s="4" t="s">
        <v>27497</v>
      </c>
      <c r="AS1755" s="4" t="s">
        <v>27510</v>
      </c>
      <c r="AT1755" s="4" t="s">
        <v>5778</v>
      </c>
      <c r="AU1755" s="4" t="n">
        <v>2019</v>
      </c>
      <c r="AV1755" s="4" t="n">
        <v>14</v>
      </c>
      <c r="AW1755" s="4" t="n">
        <v>4</v>
      </c>
      <c r="AX1755" s="4"/>
      <c r="AY1755" s="4"/>
      <c r="AZ1755" s="4"/>
      <c r="BA1755" s="4"/>
      <c r="BB1755" s="4"/>
      <c r="BC1755" s="4"/>
      <c r="BD1755" s="4" t="s">
        <v>30084</v>
      </c>
      <c r="BE1755" s="4" t="s">
        <v>30085</v>
      </c>
      <c r="BF1755" s="4" t="str">
        <f aca="false">HYPERLINK("http://dx.doi.org/10.1371/journal.pone.0215822","http://dx.doi.org/10.1371/journal.pone.0215822")</f>
        <v>http://dx.doi.org/10.1371/journal.pone.0215822</v>
      </c>
      <c r="BG1755" s="4"/>
      <c r="BH1755" s="4"/>
      <c r="BI1755" s="4" t="n">
        <v>21</v>
      </c>
      <c r="BJ1755" s="4" t="s">
        <v>1658</v>
      </c>
      <c r="BK1755" s="4" t="s">
        <v>100</v>
      </c>
      <c r="BL1755" s="4" t="s">
        <v>1659</v>
      </c>
      <c r="BM1755" s="4" t="s">
        <v>30086</v>
      </c>
      <c r="BN1755" s="4" t="n">
        <v>31013314</v>
      </c>
      <c r="BO1755" s="4" t="s">
        <v>5702</v>
      </c>
      <c r="BP1755" s="4"/>
      <c r="BQ1755" s="4"/>
      <c r="BR1755" s="4" t="s">
        <v>104</v>
      </c>
      <c r="BS1755" s="4" t="s">
        <v>30087</v>
      </c>
      <c r="BT1755" s="4" t="str">
        <f aca="false">HYPERLINK("https%3A%2F%2Fwww.webofscience.com%2Fwos%2Fwoscc%2Ffull-record%2FWOS:000465223900048","View Full Record in Web of Science")</f>
        <v>View Full Record in Web of Science</v>
      </c>
    </row>
    <row r="1756" s="5" customFormat="true" ht="12.75" hidden="false" customHeight="false" outlineLevel="0" collapsed="false">
      <c r="A1756" s="4" t="s">
        <v>72</v>
      </c>
      <c r="B1756" s="4" t="s">
        <v>30088</v>
      </c>
      <c r="C1756" s="4"/>
      <c r="D1756" s="4"/>
      <c r="E1756" s="4"/>
      <c r="F1756" s="4" t="s">
        <v>30088</v>
      </c>
      <c r="G1756" s="4"/>
      <c r="H1756" s="4"/>
      <c r="I1756" s="4" t="s">
        <v>30089</v>
      </c>
      <c r="J1756" s="4" t="s">
        <v>514</v>
      </c>
      <c r="K1756" s="4"/>
      <c r="L1756" s="4"/>
      <c r="M1756" s="4" t="s">
        <v>77</v>
      </c>
      <c r="N1756" s="4" t="s">
        <v>78</v>
      </c>
      <c r="O1756" s="4"/>
      <c r="P1756" s="4"/>
      <c r="Q1756" s="4"/>
      <c r="R1756" s="4"/>
      <c r="S1756" s="4"/>
      <c r="T1756" s="1" t="s">
        <v>30090</v>
      </c>
      <c r="U1756" s="4" t="s">
        <v>30091</v>
      </c>
      <c r="V1756" s="4" t="s">
        <v>30092</v>
      </c>
      <c r="W1756" s="4" t="s">
        <v>30093</v>
      </c>
      <c r="X1756" s="4" t="s">
        <v>30094</v>
      </c>
      <c r="Y1756" s="4" t="s">
        <v>30095</v>
      </c>
      <c r="Z1756" s="4" t="s">
        <v>428</v>
      </c>
      <c r="AA1756" s="4" t="s">
        <v>30096</v>
      </c>
      <c r="AB1756" s="4" t="s">
        <v>30097</v>
      </c>
      <c r="AC1756" s="4"/>
      <c r="AD1756" s="4"/>
      <c r="AE1756" s="4"/>
      <c r="AF1756" s="4"/>
      <c r="AG1756" s="4" t="n">
        <v>21</v>
      </c>
      <c r="AH1756" s="4" t="n">
        <v>63</v>
      </c>
      <c r="AI1756" s="4" t="n">
        <v>72</v>
      </c>
      <c r="AJ1756" s="4" t="n">
        <v>0</v>
      </c>
      <c r="AK1756" s="4" t="n">
        <v>0</v>
      </c>
      <c r="AL1756" s="4" t="s">
        <v>27444</v>
      </c>
      <c r="AM1756" s="4" t="s">
        <v>20223</v>
      </c>
      <c r="AN1756" s="4" t="s">
        <v>27445</v>
      </c>
      <c r="AO1756" s="4" t="s">
        <v>530</v>
      </c>
      <c r="AP1756" s="4"/>
      <c r="AQ1756" s="4"/>
      <c r="AR1756" s="4" t="s">
        <v>532</v>
      </c>
      <c r="AS1756" s="4" t="s">
        <v>533</v>
      </c>
      <c r="AT1756" s="4" t="s">
        <v>1855</v>
      </c>
      <c r="AU1756" s="4" t="n">
        <v>2004</v>
      </c>
      <c r="AV1756" s="4" t="n">
        <v>190</v>
      </c>
      <c r="AW1756" s="4" t="n">
        <v>11</v>
      </c>
      <c r="AX1756" s="4"/>
      <c r="AY1756" s="4"/>
      <c r="AZ1756" s="4"/>
      <c r="BA1756" s="4"/>
      <c r="BB1756" s="4" t="n">
        <v>1913</v>
      </c>
      <c r="BC1756" s="4" t="n">
        <v>1918</v>
      </c>
      <c r="BD1756" s="4"/>
      <c r="BE1756" s="4" t="s">
        <v>30098</v>
      </c>
      <c r="BF1756" s="4" t="str">
        <f aca="false">HYPERLINK("http://dx.doi.org/10.1086/425013","http://dx.doi.org/10.1086/425013")</f>
        <v>http://dx.doi.org/10.1086/425013</v>
      </c>
      <c r="BG1756" s="4"/>
      <c r="BH1756" s="4"/>
      <c r="BI1756" s="4" t="n">
        <v>6</v>
      </c>
      <c r="BJ1756" s="4" t="s">
        <v>536</v>
      </c>
      <c r="BK1756" s="4" t="s">
        <v>100</v>
      </c>
      <c r="BL1756" s="4" t="s">
        <v>536</v>
      </c>
      <c r="BM1756" s="4" t="s">
        <v>30099</v>
      </c>
      <c r="BN1756" s="4" t="n">
        <v>15529254</v>
      </c>
      <c r="BO1756" s="4" t="s">
        <v>656</v>
      </c>
      <c r="BP1756" s="4"/>
      <c r="BQ1756" s="4"/>
      <c r="BR1756" s="4" t="s">
        <v>104</v>
      </c>
      <c r="BS1756" s="4" t="s">
        <v>30100</v>
      </c>
      <c r="BT1756" s="4" t="str">
        <f aca="false">HYPERLINK("https%3A%2F%2Fwww.webofscience.com%2Fwos%2Fwoscc%2Ffull-record%2FWOS:000225045800005","View Full Record in Web of Science")</f>
        <v>View Full Record in Web of Science</v>
      </c>
    </row>
    <row r="1757" s="5" customFormat="true" ht="12.75" hidden="false" customHeight="false" outlineLevel="0" collapsed="false">
      <c r="A1757" s="4" t="s">
        <v>72</v>
      </c>
      <c r="B1757" s="4" t="s">
        <v>30101</v>
      </c>
      <c r="C1757" s="4"/>
      <c r="D1757" s="4"/>
      <c r="E1757" s="4"/>
      <c r="F1757" s="4" t="s">
        <v>30101</v>
      </c>
      <c r="G1757" s="4"/>
      <c r="H1757" s="4"/>
      <c r="I1757" s="4" t="s">
        <v>30102</v>
      </c>
      <c r="J1757" s="4" t="s">
        <v>2222</v>
      </c>
      <c r="K1757" s="4"/>
      <c r="L1757" s="4"/>
      <c r="M1757" s="4" t="s">
        <v>77</v>
      </c>
      <c r="N1757" s="4" t="s">
        <v>78</v>
      </c>
      <c r="O1757" s="4"/>
      <c r="P1757" s="4"/>
      <c r="Q1757" s="4"/>
      <c r="R1757" s="4"/>
      <c r="S1757" s="4"/>
      <c r="T1757" s="1" t="s">
        <v>30103</v>
      </c>
      <c r="U1757" s="4" t="s">
        <v>30104</v>
      </c>
      <c r="V1757" s="4" t="s">
        <v>30105</v>
      </c>
      <c r="W1757" s="4" t="s">
        <v>30106</v>
      </c>
      <c r="X1757" s="4" t="s">
        <v>30107</v>
      </c>
      <c r="Y1757" s="4" t="s">
        <v>30108</v>
      </c>
      <c r="Z1757" s="4" t="s">
        <v>30109</v>
      </c>
      <c r="AA1757" s="4" t="s">
        <v>30110</v>
      </c>
      <c r="AB1757" s="4" t="s">
        <v>30111</v>
      </c>
      <c r="AC1757" s="4"/>
      <c r="AD1757" s="4"/>
      <c r="AE1757" s="4"/>
      <c r="AF1757" s="4"/>
      <c r="AG1757" s="4" t="n">
        <v>46</v>
      </c>
      <c r="AH1757" s="4" t="n">
        <v>32</v>
      </c>
      <c r="AI1757" s="4" t="n">
        <v>33</v>
      </c>
      <c r="AJ1757" s="4" t="n">
        <v>0</v>
      </c>
      <c r="AK1757" s="4" t="n">
        <v>3</v>
      </c>
      <c r="AL1757" s="4" t="s">
        <v>755</v>
      </c>
      <c r="AM1757" s="4" t="s">
        <v>273</v>
      </c>
      <c r="AN1757" s="4" t="s">
        <v>756</v>
      </c>
      <c r="AO1757" s="4" t="s">
        <v>2234</v>
      </c>
      <c r="AP1757" s="4" t="s">
        <v>2235</v>
      </c>
      <c r="AQ1757" s="4"/>
      <c r="AR1757" s="4" t="s">
        <v>2236</v>
      </c>
      <c r="AS1757" s="4" t="s">
        <v>2237</v>
      </c>
      <c r="AT1757" s="4" t="s">
        <v>692</v>
      </c>
      <c r="AU1757" s="4" t="n">
        <v>2006</v>
      </c>
      <c r="AV1757" s="4" t="n">
        <v>44</v>
      </c>
      <c r="AW1757" s="4" t="n">
        <v>4</v>
      </c>
      <c r="AX1757" s="4"/>
      <c r="AY1757" s="4"/>
      <c r="AZ1757" s="4"/>
      <c r="BA1757" s="4"/>
      <c r="BB1757" s="4" t="n">
        <v>1484</v>
      </c>
      <c r="BC1757" s="4" t="n">
        <v>1489</v>
      </c>
      <c r="BD1757" s="4"/>
      <c r="BE1757" s="4" t="s">
        <v>30112</v>
      </c>
      <c r="BF1757" s="4" t="str">
        <f aca="false">HYPERLINK("http://dx.doi.org/10.1128/JCM.44.4.1484-1489.2006","http://dx.doi.org/10.1128/JCM.44.4.1484-1489.2006")</f>
        <v>http://dx.doi.org/10.1128/JCM.44.4.1484-1489.2006</v>
      </c>
      <c r="BG1757" s="4"/>
      <c r="BH1757" s="4"/>
      <c r="BI1757" s="4" t="n">
        <v>6</v>
      </c>
      <c r="BJ1757" s="4" t="s">
        <v>211</v>
      </c>
      <c r="BK1757" s="4" t="s">
        <v>100</v>
      </c>
      <c r="BL1757" s="4" t="s">
        <v>211</v>
      </c>
      <c r="BM1757" s="4" t="s">
        <v>30113</v>
      </c>
      <c r="BN1757" s="4" t="n">
        <v>16597880</v>
      </c>
      <c r="BO1757" s="4" t="s">
        <v>1089</v>
      </c>
      <c r="BP1757" s="4"/>
      <c r="BQ1757" s="4"/>
      <c r="BR1757" s="4" t="s">
        <v>104</v>
      </c>
      <c r="BS1757" s="4" t="s">
        <v>30114</v>
      </c>
      <c r="BT1757" s="4" t="str">
        <f aca="false">HYPERLINK("https%3A%2F%2Fwww.webofscience.com%2Fwos%2Fwoscc%2Ffull-record%2FWOS:000236810500041","View Full Record in Web of Science")</f>
        <v>View Full Record in Web of Science</v>
      </c>
    </row>
    <row r="1758" s="5" customFormat="true" ht="12.75" hidden="false" customHeight="false" outlineLevel="0" collapsed="false">
      <c r="A1758" s="4" t="s">
        <v>72</v>
      </c>
      <c r="B1758" s="4" t="s">
        <v>30115</v>
      </c>
      <c r="C1758" s="4"/>
      <c r="D1758" s="4"/>
      <c r="E1758" s="4"/>
      <c r="F1758" s="4" t="s">
        <v>30116</v>
      </c>
      <c r="G1758" s="4"/>
      <c r="H1758" s="4"/>
      <c r="I1758" s="4" t="s">
        <v>30117</v>
      </c>
      <c r="J1758" s="4" t="s">
        <v>27820</v>
      </c>
      <c r="K1758" s="4"/>
      <c r="L1758" s="4"/>
      <c r="M1758" s="4" t="s">
        <v>77</v>
      </c>
      <c r="N1758" s="4" t="s">
        <v>78</v>
      </c>
      <c r="O1758" s="4"/>
      <c r="P1758" s="4"/>
      <c r="Q1758" s="4"/>
      <c r="R1758" s="4"/>
      <c r="S1758" s="4"/>
      <c r="T1758" s="1" t="s">
        <v>30118</v>
      </c>
      <c r="U1758" s="4" t="s">
        <v>30119</v>
      </c>
      <c r="V1758" s="4" t="s">
        <v>30120</v>
      </c>
      <c r="W1758" s="4" t="s">
        <v>30121</v>
      </c>
      <c r="X1758" s="4" t="s">
        <v>30122</v>
      </c>
      <c r="Y1758" s="4" t="s">
        <v>30123</v>
      </c>
      <c r="Z1758" s="4" t="s">
        <v>749</v>
      </c>
      <c r="AA1758" s="4" t="s">
        <v>30124</v>
      </c>
      <c r="AB1758" s="4" t="s">
        <v>2851</v>
      </c>
      <c r="AC1758" s="4" t="s">
        <v>30125</v>
      </c>
      <c r="AD1758" s="4" t="s">
        <v>30126</v>
      </c>
      <c r="AE1758" s="4" t="s">
        <v>30127</v>
      </c>
      <c r="AF1758" s="4"/>
      <c r="AG1758" s="4" t="n">
        <v>75</v>
      </c>
      <c r="AH1758" s="4" t="n">
        <v>30</v>
      </c>
      <c r="AI1758" s="4" t="n">
        <v>38</v>
      </c>
      <c r="AJ1758" s="4" t="n">
        <v>0</v>
      </c>
      <c r="AK1758" s="4" t="n">
        <v>3</v>
      </c>
      <c r="AL1758" s="4" t="s">
        <v>27506</v>
      </c>
      <c r="AM1758" s="4" t="s">
        <v>27507</v>
      </c>
      <c r="AN1758" s="4" t="s">
        <v>27508</v>
      </c>
      <c r="AO1758" s="4" t="s">
        <v>27831</v>
      </c>
      <c r="AP1758" s="4" t="s">
        <v>27832</v>
      </c>
      <c r="AQ1758" s="4"/>
      <c r="AR1758" s="4" t="s">
        <v>27833</v>
      </c>
      <c r="AS1758" s="4" t="s">
        <v>27834</v>
      </c>
      <c r="AT1758" s="4" t="s">
        <v>446</v>
      </c>
      <c r="AU1758" s="4" t="n">
        <v>2015</v>
      </c>
      <c r="AV1758" s="4" t="n">
        <v>11</v>
      </c>
      <c r="AW1758" s="4" t="n">
        <v>12</v>
      </c>
      <c r="AX1758" s="4"/>
      <c r="AY1758" s="4"/>
      <c r="AZ1758" s="4"/>
      <c r="BA1758" s="4"/>
      <c r="BB1758" s="4"/>
      <c r="BC1758" s="4"/>
      <c r="BD1758" s="4" t="s">
        <v>30128</v>
      </c>
      <c r="BE1758" s="4" t="s">
        <v>30129</v>
      </c>
      <c r="BF1758" s="4" t="str">
        <f aca="false">HYPERLINK("http://dx.doi.org/10.1371/journal.ppat.1005303","http://dx.doi.org/10.1371/journal.ppat.1005303")</f>
        <v>http://dx.doi.org/10.1371/journal.ppat.1005303</v>
      </c>
      <c r="BG1758" s="4"/>
      <c r="BH1758" s="4"/>
      <c r="BI1758" s="4" t="n">
        <v>29</v>
      </c>
      <c r="BJ1758" s="4" t="s">
        <v>27837</v>
      </c>
      <c r="BK1758" s="4" t="s">
        <v>100</v>
      </c>
      <c r="BL1758" s="4" t="s">
        <v>27837</v>
      </c>
      <c r="BM1758" s="4" t="s">
        <v>30130</v>
      </c>
      <c r="BN1758" s="4" t="n">
        <v>26629703</v>
      </c>
      <c r="BO1758" s="4" t="s">
        <v>30131</v>
      </c>
      <c r="BP1758" s="4"/>
      <c r="BQ1758" s="4"/>
      <c r="BR1758" s="4" t="s">
        <v>104</v>
      </c>
      <c r="BS1758" s="4" t="s">
        <v>30132</v>
      </c>
      <c r="BT1758" s="4" t="str">
        <f aca="false">HYPERLINK("https%3A%2F%2Fwww.webofscience.com%2Fwos%2Fwoscc%2Ffull-record%2FWOS:000368332800025","View Full Record in Web of Science")</f>
        <v>View Full Record in Web of Science</v>
      </c>
    </row>
    <row r="1759" s="5" customFormat="true" ht="12.75" hidden="false" customHeight="false" outlineLevel="0" collapsed="false">
      <c r="A1759" s="4" t="s">
        <v>72</v>
      </c>
      <c r="B1759" s="4" t="s">
        <v>30133</v>
      </c>
      <c r="C1759" s="4"/>
      <c r="D1759" s="4"/>
      <c r="E1759" s="4"/>
      <c r="F1759" s="4" t="s">
        <v>30133</v>
      </c>
      <c r="G1759" s="4"/>
      <c r="H1759" s="4"/>
      <c r="I1759" s="4" t="s">
        <v>30134</v>
      </c>
      <c r="J1759" s="4" t="s">
        <v>2222</v>
      </c>
      <c r="K1759" s="4"/>
      <c r="L1759" s="4"/>
      <c r="M1759" s="4" t="s">
        <v>77</v>
      </c>
      <c r="N1759" s="4" t="s">
        <v>78</v>
      </c>
      <c r="O1759" s="4"/>
      <c r="P1759" s="4"/>
      <c r="Q1759" s="4"/>
      <c r="R1759" s="4"/>
      <c r="S1759" s="4"/>
      <c r="T1759" s="1" t="s">
        <v>30135</v>
      </c>
      <c r="U1759" s="4" t="s">
        <v>30136</v>
      </c>
      <c r="V1759" s="4" t="s">
        <v>30137</v>
      </c>
      <c r="W1759" s="4" t="s">
        <v>30138</v>
      </c>
      <c r="X1759" s="4" t="s">
        <v>30139</v>
      </c>
      <c r="Y1759" s="4" t="s">
        <v>30140</v>
      </c>
      <c r="Z1759" s="4" t="s">
        <v>30141</v>
      </c>
      <c r="AA1759" s="4" t="s">
        <v>30142</v>
      </c>
      <c r="AB1759" s="4"/>
      <c r="AC1759" s="4"/>
      <c r="AD1759" s="4"/>
      <c r="AE1759" s="4"/>
      <c r="AF1759" s="4"/>
      <c r="AG1759" s="4" t="n">
        <v>29</v>
      </c>
      <c r="AH1759" s="4" t="n">
        <v>93</v>
      </c>
      <c r="AI1759" s="4" t="n">
        <v>105</v>
      </c>
      <c r="AJ1759" s="4" t="n">
        <v>0</v>
      </c>
      <c r="AK1759" s="4" t="n">
        <v>2</v>
      </c>
      <c r="AL1759" s="4" t="s">
        <v>755</v>
      </c>
      <c r="AM1759" s="4" t="s">
        <v>273</v>
      </c>
      <c r="AN1759" s="4" t="s">
        <v>756</v>
      </c>
      <c r="AO1759" s="4" t="s">
        <v>2234</v>
      </c>
      <c r="AP1759" s="4" t="s">
        <v>2235</v>
      </c>
      <c r="AQ1759" s="4"/>
      <c r="AR1759" s="4" t="s">
        <v>2236</v>
      </c>
      <c r="AS1759" s="4" t="s">
        <v>2237</v>
      </c>
      <c r="AT1759" s="4" t="s">
        <v>336</v>
      </c>
      <c r="AU1759" s="4" t="n">
        <v>2004</v>
      </c>
      <c r="AV1759" s="4" t="n">
        <v>42</v>
      </c>
      <c r="AW1759" s="4" t="n">
        <v>10</v>
      </c>
      <c r="AX1759" s="4"/>
      <c r="AY1759" s="4"/>
      <c r="AZ1759" s="4"/>
      <c r="BA1759" s="4"/>
      <c r="BB1759" s="4" t="n">
        <v>4632</v>
      </c>
      <c r="BC1759" s="4" t="n">
        <v>4635</v>
      </c>
      <c r="BD1759" s="4"/>
      <c r="BE1759" s="4" t="s">
        <v>30143</v>
      </c>
      <c r="BF1759" s="4" t="str">
        <f aca="false">HYPERLINK("http://dx.doi.org/10.1128/JCM.42.10.4632-4635.2004","http://dx.doi.org/10.1128/JCM.42.10.4632-4635.2004")</f>
        <v>http://dx.doi.org/10.1128/JCM.42.10.4632-4635.2004</v>
      </c>
      <c r="BG1759" s="4"/>
      <c r="BH1759" s="4"/>
      <c r="BI1759" s="4" t="n">
        <v>4</v>
      </c>
      <c r="BJ1759" s="4" t="s">
        <v>211</v>
      </c>
      <c r="BK1759" s="4" t="s">
        <v>100</v>
      </c>
      <c r="BL1759" s="4" t="s">
        <v>211</v>
      </c>
      <c r="BM1759" s="4" t="s">
        <v>30144</v>
      </c>
      <c r="BN1759" s="4" t="n">
        <v>15472321</v>
      </c>
      <c r="BO1759" s="4" t="s">
        <v>165</v>
      </c>
      <c r="BP1759" s="4"/>
      <c r="BQ1759" s="4"/>
      <c r="BR1759" s="4" t="s">
        <v>104</v>
      </c>
      <c r="BS1759" s="4" t="s">
        <v>30145</v>
      </c>
      <c r="BT1759" s="4" t="str">
        <f aca="false">HYPERLINK("https%3A%2F%2Fwww.webofscience.com%2Fwos%2Fwoscc%2Ffull-record%2FWOS:000224473000034","View Full Record in Web of Science")</f>
        <v>View Full Record in Web of Science</v>
      </c>
    </row>
    <row r="1760" s="5" customFormat="true" ht="12.75" hidden="false" customHeight="false" outlineLevel="0" collapsed="false">
      <c r="A1760" s="4" t="s">
        <v>72</v>
      </c>
      <c r="B1760" s="4" t="s">
        <v>30146</v>
      </c>
      <c r="C1760" s="4"/>
      <c r="D1760" s="4"/>
      <c r="E1760" s="4"/>
      <c r="F1760" s="4" t="s">
        <v>30147</v>
      </c>
      <c r="G1760" s="4"/>
      <c r="H1760" s="4"/>
      <c r="I1760" s="4" t="s">
        <v>30148</v>
      </c>
      <c r="J1760" s="4" t="s">
        <v>27497</v>
      </c>
      <c r="K1760" s="4"/>
      <c r="L1760" s="4"/>
      <c r="M1760" s="4" t="s">
        <v>77</v>
      </c>
      <c r="N1760" s="4" t="s">
        <v>78</v>
      </c>
      <c r="O1760" s="4"/>
      <c r="P1760" s="4"/>
      <c r="Q1760" s="4"/>
      <c r="R1760" s="4"/>
      <c r="S1760" s="4"/>
      <c r="T1760" s="1" t="s">
        <v>30149</v>
      </c>
      <c r="U1760" s="4" t="s">
        <v>30150</v>
      </c>
      <c r="V1760" s="4" t="s">
        <v>30151</v>
      </c>
      <c r="W1760" s="4" t="s">
        <v>30152</v>
      </c>
      <c r="X1760" s="4" t="s">
        <v>30153</v>
      </c>
      <c r="Y1760" s="4" t="s">
        <v>30154</v>
      </c>
      <c r="Z1760" s="4" t="s">
        <v>30155</v>
      </c>
      <c r="AA1760" s="4"/>
      <c r="AB1760" s="4" t="s">
        <v>30156</v>
      </c>
      <c r="AC1760" s="4"/>
      <c r="AD1760" s="4"/>
      <c r="AE1760" s="4"/>
      <c r="AF1760" s="4"/>
      <c r="AG1760" s="4" t="n">
        <v>51</v>
      </c>
      <c r="AH1760" s="4" t="n">
        <v>37</v>
      </c>
      <c r="AI1760" s="4" t="n">
        <v>40</v>
      </c>
      <c r="AJ1760" s="4" t="n">
        <v>1</v>
      </c>
      <c r="AK1760" s="4" t="n">
        <v>5</v>
      </c>
      <c r="AL1760" s="4" t="s">
        <v>27506</v>
      </c>
      <c r="AM1760" s="4" t="s">
        <v>27507</v>
      </c>
      <c r="AN1760" s="4" t="s">
        <v>27508</v>
      </c>
      <c r="AO1760" s="4" t="s">
        <v>27509</v>
      </c>
      <c r="AP1760" s="4"/>
      <c r="AQ1760" s="4"/>
      <c r="AR1760" s="4" t="s">
        <v>27497</v>
      </c>
      <c r="AS1760" s="4" t="s">
        <v>27510</v>
      </c>
      <c r="AT1760" s="4" t="s">
        <v>30157</v>
      </c>
      <c r="AU1760" s="4" t="n">
        <v>2014</v>
      </c>
      <c r="AV1760" s="4" t="n">
        <v>9</v>
      </c>
      <c r="AW1760" s="4" t="n">
        <v>2</v>
      </c>
      <c r="AX1760" s="4"/>
      <c r="AY1760" s="4"/>
      <c r="AZ1760" s="4"/>
      <c r="BA1760" s="4"/>
      <c r="BB1760" s="4"/>
      <c r="BC1760" s="4"/>
      <c r="BD1760" s="4" t="s">
        <v>30158</v>
      </c>
      <c r="BE1760" s="4" t="s">
        <v>30159</v>
      </c>
      <c r="BF1760" s="4" t="str">
        <f aca="false">HYPERLINK("http://dx.doi.org/10.1371/journal.pone.0088342","http://dx.doi.org/10.1371/journal.pone.0088342")</f>
        <v>http://dx.doi.org/10.1371/journal.pone.0088342</v>
      </c>
      <c r="BG1760" s="4"/>
      <c r="BH1760" s="4"/>
      <c r="BI1760" s="4" t="n">
        <v>10</v>
      </c>
      <c r="BJ1760" s="4" t="s">
        <v>1658</v>
      </c>
      <c r="BK1760" s="4" t="s">
        <v>100</v>
      </c>
      <c r="BL1760" s="4" t="s">
        <v>1659</v>
      </c>
      <c r="BM1760" s="4" t="s">
        <v>30160</v>
      </c>
      <c r="BN1760" s="4" t="n">
        <v>24505479</v>
      </c>
      <c r="BO1760" s="4" t="s">
        <v>190</v>
      </c>
      <c r="BP1760" s="4"/>
      <c r="BQ1760" s="4"/>
      <c r="BR1760" s="4" t="s">
        <v>104</v>
      </c>
      <c r="BS1760" s="4" t="s">
        <v>30161</v>
      </c>
      <c r="BT1760" s="4" t="str">
        <f aca="false">HYPERLINK("https%3A%2F%2Fwww.webofscience.com%2Fwos%2Fwoscc%2Ffull-record%2FWOS:000330829200180","View Full Record in Web of Science")</f>
        <v>View Full Record in Web of Science</v>
      </c>
    </row>
    <row r="1761" s="5" customFormat="true" ht="12.75" hidden="false" customHeight="false" outlineLevel="0" collapsed="false">
      <c r="A1761" s="4" t="s">
        <v>72</v>
      </c>
      <c r="B1761" s="4" t="s">
        <v>30162</v>
      </c>
      <c r="C1761" s="4"/>
      <c r="D1761" s="4"/>
      <c r="E1761" s="4"/>
      <c r="F1761" s="4" t="s">
        <v>30163</v>
      </c>
      <c r="G1761" s="4"/>
      <c r="H1761" s="4"/>
      <c r="I1761" s="4" t="s">
        <v>30164</v>
      </c>
      <c r="J1761" s="4" t="s">
        <v>28246</v>
      </c>
      <c r="K1761" s="4"/>
      <c r="L1761" s="4"/>
      <c r="M1761" s="4" t="s">
        <v>77</v>
      </c>
      <c r="N1761" s="4" t="s">
        <v>78</v>
      </c>
      <c r="O1761" s="4"/>
      <c r="P1761" s="4"/>
      <c r="Q1761" s="4"/>
      <c r="R1761" s="4"/>
      <c r="S1761" s="4"/>
      <c r="T1761" s="1" t="s">
        <v>30165</v>
      </c>
      <c r="U1761" s="4" t="s">
        <v>30166</v>
      </c>
      <c r="V1761" s="4" t="s">
        <v>30167</v>
      </c>
      <c r="W1761" s="4" t="s">
        <v>30168</v>
      </c>
      <c r="X1761" s="4" t="s">
        <v>30169</v>
      </c>
      <c r="Y1761" s="4" t="s">
        <v>30170</v>
      </c>
      <c r="Z1761" s="4" t="s">
        <v>30171</v>
      </c>
      <c r="AA1761" s="4" t="s">
        <v>30172</v>
      </c>
      <c r="AB1761" s="4" t="s">
        <v>30173</v>
      </c>
      <c r="AC1761" s="4" t="s">
        <v>30174</v>
      </c>
      <c r="AD1761" s="4" t="s">
        <v>30175</v>
      </c>
      <c r="AE1761" s="4" t="s">
        <v>30176</v>
      </c>
      <c r="AF1761" s="4"/>
      <c r="AG1761" s="4" t="n">
        <v>70</v>
      </c>
      <c r="AH1761" s="4" t="n">
        <v>75</v>
      </c>
      <c r="AI1761" s="4" t="n">
        <v>100</v>
      </c>
      <c r="AJ1761" s="4" t="n">
        <v>0</v>
      </c>
      <c r="AK1761" s="4" t="n">
        <v>8</v>
      </c>
      <c r="AL1761" s="4" t="s">
        <v>12800</v>
      </c>
      <c r="AM1761" s="4" t="s">
        <v>303</v>
      </c>
      <c r="AN1761" s="4" t="s">
        <v>12801</v>
      </c>
      <c r="AO1761" s="4" t="s">
        <v>28255</v>
      </c>
      <c r="AP1761" s="4"/>
      <c r="AQ1761" s="4"/>
      <c r="AR1761" s="4" t="s">
        <v>28256</v>
      </c>
      <c r="AS1761" s="4" t="s">
        <v>28257</v>
      </c>
      <c r="AT1761" s="4" t="s">
        <v>30177</v>
      </c>
      <c r="AU1761" s="4" t="n">
        <v>2017</v>
      </c>
      <c r="AV1761" s="4" t="n">
        <v>8</v>
      </c>
      <c r="AW1761" s="4"/>
      <c r="AX1761" s="4"/>
      <c r="AY1761" s="4"/>
      <c r="AZ1761" s="4"/>
      <c r="BA1761" s="4"/>
      <c r="BB1761" s="4"/>
      <c r="BC1761" s="4"/>
      <c r="BD1761" s="4" t="n">
        <v>1528</v>
      </c>
      <c r="BE1761" s="4" t="s">
        <v>30178</v>
      </c>
      <c r="BF1761" s="4" t="str">
        <f aca="false">HYPERLINK("http://dx.doi.org/10.1038/s41467-017-01708-9","http://dx.doi.org/10.1038/s41467-017-01708-9")</f>
        <v>http://dx.doi.org/10.1038/s41467-017-01708-9</v>
      </c>
      <c r="BG1761" s="4"/>
      <c r="BH1761" s="4"/>
      <c r="BI1761" s="4" t="n">
        <v>11</v>
      </c>
      <c r="BJ1761" s="4" t="s">
        <v>1658</v>
      </c>
      <c r="BK1761" s="4" t="s">
        <v>100</v>
      </c>
      <c r="BL1761" s="4" t="s">
        <v>1659</v>
      </c>
      <c r="BM1761" s="4" t="s">
        <v>30179</v>
      </c>
      <c r="BN1761" s="4" t="n">
        <v>29142300</v>
      </c>
      <c r="BO1761" s="4" t="s">
        <v>103</v>
      </c>
      <c r="BP1761" s="4"/>
      <c r="BQ1761" s="4"/>
      <c r="BR1761" s="4" t="s">
        <v>104</v>
      </c>
      <c r="BS1761" s="4" t="s">
        <v>30180</v>
      </c>
      <c r="BT1761" s="4" t="str">
        <f aca="false">HYPERLINK("https%3A%2F%2Fwww.webofscience.com%2Fwos%2Fwoscc%2Ffull-record%2FWOS:000415323000001","View Full Record in Web of Science")</f>
        <v>View Full Record in Web of Science</v>
      </c>
    </row>
    <row r="1762" s="5" customFormat="true" ht="12.75" hidden="false" customHeight="false" outlineLevel="0" collapsed="false">
      <c r="A1762" s="4" t="s">
        <v>72</v>
      </c>
      <c r="B1762" s="4" t="s">
        <v>30181</v>
      </c>
      <c r="C1762" s="4"/>
      <c r="D1762" s="4"/>
      <c r="E1762" s="4"/>
      <c r="F1762" s="4" t="s">
        <v>30182</v>
      </c>
      <c r="G1762" s="4"/>
      <c r="H1762" s="4"/>
      <c r="I1762" s="4" t="s">
        <v>30183</v>
      </c>
      <c r="J1762" s="4" t="s">
        <v>6395</v>
      </c>
      <c r="K1762" s="4"/>
      <c r="L1762" s="4"/>
      <c r="M1762" s="4" t="s">
        <v>77</v>
      </c>
      <c r="N1762" s="4" t="s">
        <v>78</v>
      </c>
      <c r="O1762" s="4"/>
      <c r="P1762" s="4"/>
      <c r="Q1762" s="4"/>
      <c r="R1762" s="4"/>
      <c r="S1762" s="4"/>
      <c r="T1762" s="1" t="s">
        <v>30184</v>
      </c>
      <c r="U1762" s="4" t="s">
        <v>30185</v>
      </c>
      <c r="V1762" s="4" t="s">
        <v>30186</v>
      </c>
      <c r="W1762" s="4" t="s">
        <v>30187</v>
      </c>
      <c r="X1762" s="4" t="s">
        <v>30188</v>
      </c>
      <c r="Y1762" s="4" t="s">
        <v>30189</v>
      </c>
      <c r="Z1762" s="4" t="s">
        <v>15889</v>
      </c>
      <c r="AA1762" s="4" t="s">
        <v>15890</v>
      </c>
      <c r="AB1762" s="4"/>
      <c r="AC1762" s="4" t="s">
        <v>30190</v>
      </c>
      <c r="AD1762" s="4" t="s">
        <v>30191</v>
      </c>
      <c r="AE1762" s="4" t="s">
        <v>30192</v>
      </c>
      <c r="AF1762" s="4"/>
      <c r="AG1762" s="4" t="n">
        <v>57</v>
      </c>
      <c r="AH1762" s="4" t="n">
        <v>1</v>
      </c>
      <c r="AI1762" s="4" t="n">
        <v>1</v>
      </c>
      <c r="AJ1762" s="4" t="n">
        <v>0</v>
      </c>
      <c r="AK1762" s="4" t="n">
        <v>1</v>
      </c>
      <c r="AL1762" s="4" t="s">
        <v>6405</v>
      </c>
      <c r="AM1762" s="4" t="s">
        <v>6406</v>
      </c>
      <c r="AN1762" s="4" t="s">
        <v>6407</v>
      </c>
      <c r="AO1762" s="4" t="s">
        <v>6408</v>
      </c>
      <c r="AP1762" s="4"/>
      <c r="AQ1762" s="4"/>
      <c r="AR1762" s="4" t="s">
        <v>6409</v>
      </c>
      <c r="AS1762" s="4" t="s">
        <v>6410</v>
      </c>
      <c r="AT1762" s="4" t="s">
        <v>23774</v>
      </c>
      <c r="AU1762" s="4" t="n">
        <v>2023</v>
      </c>
      <c r="AV1762" s="4" t="n">
        <v>13</v>
      </c>
      <c r="AW1762" s="4" t="n">
        <v>1</v>
      </c>
      <c r="AX1762" s="4"/>
      <c r="AY1762" s="4"/>
      <c r="AZ1762" s="4"/>
      <c r="BA1762" s="4"/>
      <c r="BB1762" s="4"/>
      <c r="BC1762" s="4"/>
      <c r="BD1762" s="4" t="n">
        <v>15757</v>
      </c>
      <c r="BE1762" s="4" t="s">
        <v>30193</v>
      </c>
      <c r="BF1762" s="4" t="str">
        <f aca="false">HYPERLINK("http://dx.doi.org/10.1038/s41598-023-42692-z","http://dx.doi.org/10.1038/s41598-023-42692-z")</f>
        <v>http://dx.doi.org/10.1038/s41598-023-42692-z</v>
      </c>
      <c r="BG1762" s="4"/>
      <c r="BH1762" s="4"/>
      <c r="BI1762" s="4" t="n">
        <v>12</v>
      </c>
      <c r="BJ1762" s="4" t="s">
        <v>1658</v>
      </c>
      <c r="BK1762" s="4" t="s">
        <v>100</v>
      </c>
      <c r="BL1762" s="4" t="s">
        <v>1659</v>
      </c>
      <c r="BM1762" s="4" t="s">
        <v>30194</v>
      </c>
      <c r="BN1762" s="4" t="n">
        <v>37735242</v>
      </c>
      <c r="BO1762" s="4" t="s">
        <v>103</v>
      </c>
      <c r="BP1762" s="4"/>
      <c r="BQ1762" s="4"/>
      <c r="BR1762" s="4" t="s">
        <v>104</v>
      </c>
      <c r="BS1762" s="4" t="s">
        <v>30195</v>
      </c>
      <c r="BT1762" s="4" t="str">
        <f aca="false">HYPERLINK("https%3A%2F%2Fwww.webofscience.com%2Fwos%2Fwoscc%2Ffull-record%2FWOS:001075732600064","View Full Record in Web of Science")</f>
        <v>View Full Record in Web of Science</v>
      </c>
    </row>
    <row r="1763" s="5" customFormat="true" ht="12.75" hidden="false" customHeight="false" outlineLevel="0" collapsed="false">
      <c r="A1763" s="4" t="s">
        <v>72</v>
      </c>
      <c r="B1763" s="4" t="s">
        <v>30196</v>
      </c>
      <c r="C1763" s="4"/>
      <c r="D1763" s="4"/>
      <c r="E1763" s="4"/>
      <c r="F1763" s="4" t="s">
        <v>30197</v>
      </c>
      <c r="G1763" s="4"/>
      <c r="H1763" s="4"/>
      <c r="I1763" s="4" t="s">
        <v>30198</v>
      </c>
      <c r="J1763" s="4" t="s">
        <v>7145</v>
      </c>
      <c r="K1763" s="4"/>
      <c r="L1763" s="4"/>
      <c r="M1763" s="4" t="s">
        <v>77</v>
      </c>
      <c r="N1763" s="4" t="s">
        <v>78</v>
      </c>
      <c r="O1763" s="4"/>
      <c r="P1763" s="4"/>
      <c r="Q1763" s="4"/>
      <c r="R1763" s="4"/>
      <c r="S1763" s="4"/>
      <c r="T1763" s="1" t="s">
        <v>30199</v>
      </c>
      <c r="U1763" s="4" t="s">
        <v>30200</v>
      </c>
      <c r="V1763" s="4" t="s">
        <v>30201</v>
      </c>
      <c r="W1763" s="4" t="s">
        <v>30202</v>
      </c>
      <c r="X1763" s="4" t="s">
        <v>30203</v>
      </c>
      <c r="Y1763" s="4" t="s">
        <v>30204</v>
      </c>
      <c r="Z1763" s="4" t="s">
        <v>1617</v>
      </c>
      <c r="AA1763" s="4" t="s">
        <v>30205</v>
      </c>
      <c r="AB1763" s="4" t="s">
        <v>30206</v>
      </c>
      <c r="AC1763" s="4" t="s">
        <v>30207</v>
      </c>
      <c r="AD1763" s="4" t="s">
        <v>30208</v>
      </c>
      <c r="AE1763" s="4" t="s">
        <v>30209</v>
      </c>
      <c r="AF1763" s="4"/>
      <c r="AG1763" s="4" t="n">
        <v>44</v>
      </c>
      <c r="AH1763" s="4" t="n">
        <v>48</v>
      </c>
      <c r="AI1763" s="4" t="n">
        <v>51</v>
      </c>
      <c r="AJ1763" s="4" t="n">
        <v>0</v>
      </c>
      <c r="AK1763" s="4" t="n">
        <v>4</v>
      </c>
      <c r="AL1763" s="4" t="s">
        <v>3426</v>
      </c>
      <c r="AM1763" s="4" t="s">
        <v>303</v>
      </c>
      <c r="AN1763" s="4" t="s">
        <v>3427</v>
      </c>
      <c r="AO1763" s="4" t="s">
        <v>7158</v>
      </c>
      <c r="AP1763" s="4" t="s">
        <v>7159</v>
      </c>
      <c r="AQ1763" s="4"/>
      <c r="AR1763" s="4" t="s">
        <v>7160</v>
      </c>
      <c r="AS1763" s="4" t="s">
        <v>7161</v>
      </c>
      <c r="AT1763" s="4" t="s">
        <v>804</v>
      </c>
      <c r="AU1763" s="4" t="n">
        <v>2008</v>
      </c>
      <c r="AV1763" s="4" t="n">
        <v>89</v>
      </c>
      <c r="AW1763" s="4"/>
      <c r="AX1763" s="4" t="n">
        <v>11</v>
      </c>
      <c r="AY1763" s="4"/>
      <c r="AZ1763" s="4"/>
      <c r="BA1763" s="4"/>
      <c r="BB1763" s="4" t="n">
        <v>2698</v>
      </c>
      <c r="BC1763" s="4" t="n">
        <v>2708</v>
      </c>
      <c r="BD1763" s="4"/>
      <c r="BE1763" s="4" t="s">
        <v>30210</v>
      </c>
      <c r="BF1763" s="4" t="str">
        <f aca="false">HYPERLINK("http://dx.doi.org/10.1099/vir.0.2008/004051-0","http://dx.doi.org/10.1099/vir.0.2008/004051-0")</f>
        <v>http://dx.doi.org/10.1099/vir.0.2008/004051-0</v>
      </c>
      <c r="BG1763" s="4"/>
      <c r="BH1763" s="4"/>
      <c r="BI1763" s="4" t="n">
        <v>11</v>
      </c>
      <c r="BJ1763" s="4" t="s">
        <v>7163</v>
      </c>
      <c r="BK1763" s="4" t="s">
        <v>100</v>
      </c>
      <c r="BL1763" s="4" t="s">
        <v>7163</v>
      </c>
      <c r="BM1763" s="4" t="s">
        <v>29270</v>
      </c>
      <c r="BN1763" s="4" t="n">
        <v>18931065</v>
      </c>
      <c r="BO1763" s="4" t="s">
        <v>5372</v>
      </c>
      <c r="BP1763" s="4"/>
      <c r="BQ1763" s="4"/>
      <c r="BR1763" s="4" t="s">
        <v>104</v>
      </c>
      <c r="BS1763" s="4" t="s">
        <v>30211</v>
      </c>
      <c r="BT1763" s="4" t="str">
        <f aca="false">HYPERLINK("https%3A%2F%2Fwww.webofscience.com%2Fwos%2Fwoscc%2Ffull-record%2FWOS:000260885500006","View Full Record in Web of Science")</f>
        <v>View Full Record in Web of Science</v>
      </c>
    </row>
    <row r="1764" s="5" customFormat="true" ht="12.75" hidden="false" customHeight="false" outlineLevel="0" collapsed="false">
      <c r="A1764" s="4" t="s">
        <v>72</v>
      </c>
      <c r="B1764" s="4" t="s">
        <v>30212</v>
      </c>
      <c r="C1764" s="4"/>
      <c r="D1764" s="4"/>
      <c r="E1764" s="4"/>
      <c r="F1764" s="4" t="s">
        <v>30213</v>
      </c>
      <c r="G1764" s="4"/>
      <c r="H1764" s="4"/>
      <c r="I1764" s="4" t="s">
        <v>30214</v>
      </c>
      <c r="J1764" s="4" t="s">
        <v>742</v>
      </c>
      <c r="K1764" s="4"/>
      <c r="L1764" s="4"/>
      <c r="M1764" s="4" t="s">
        <v>77</v>
      </c>
      <c r="N1764" s="4" t="s">
        <v>78</v>
      </c>
      <c r="O1764" s="4"/>
      <c r="P1764" s="4"/>
      <c r="Q1764" s="4"/>
      <c r="R1764" s="4"/>
      <c r="S1764" s="4"/>
      <c r="T1764" s="1" t="s">
        <v>30215</v>
      </c>
      <c r="U1764" s="4" t="s">
        <v>30216</v>
      </c>
      <c r="V1764" s="4" t="s">
        <v>30217</v>
      </c>
      <c r="W1764" s="4" t="s">
        <v>30218</v>
      </c>
      <c r="X1764" s="4" t="s">
        <v>7617</v>
      </c>
      <c r="Y1764" s="4" t="s">
        <v>30219</v>
      </c>
      <c r="Z1764" s="4" t="s">
        <v>29619</v>
      </c>
      <c r="AA1764" s="4" t="s">
        <v>7620</v>
      </c>
      <c r="AB1764" s="4" t="s">
        <v>8075</v>
      </c>
      <c r="AC1764" s="4"/>
      <c r="AD1764" s="4"/>
      <c r="AE1764" s="4"/>
      <c r="AF1764" s="4"/>
      <c r="AG1764" s="4" t="n">
        <v>32</v>
      </c>
      <c r="AH1764" s="4" t="n">
        <v>75</v>
      </c>
      <c r="AI1764" s="4" t="n">
        <v>98</v>
      </c>
      <c r="AJ1764" s="4" t="n">
        <v>0</v>
      </c>
      <c r="AK1764" s="4" t="n">
        <v>5</v>
      </c>
      <c r="AL1764" s="4" t="s">
        <v>755</v>
      </c>
      <c r="AM1764" s="4" t="s">
        <v>273</v>
      </c>
      <c r="AN1764" s="4" t="s">
        <v>756</v>
      </c>
      <c r="AO1764" s="4" t="s">
        <v>757</v>
      </c>
      <c r="AP1764" s="4" t="s">
        <v>758</v>
      </c>
      <c r="AQ1764" s="4"/>
      <c r="AR1764" s="4" t="s">
        <v>759</v>
      </c>
      <c r="AS1764" s="4" t="s">
        <v>760</v>
      </c>
      <c r="AT1764" s="4" t="s">
        <v>185</v>
      </c>
      <c r="AU1764" s="4" t="n">
        <v>2006</v>
      </c>
      <c r="AV1764" s="4" t="n">
        <v>80</v>
      </c>
      <c r="AW1764" s="4" t="n">
        <v>16</v>
      </c>
      <c r="AX1764" s="4"/>
      <c r="AY1764" s="4"/>
      <c r="AZ1764" s="4"/>
      <c r="BA1764" s="4"/>
      <c r="BB1764" s="4" t="n">
        <v>7799</v>
      </c>
      <c r="BC1764" s="4" t="n">
        <v>7806</v>
      </c>
      <c r="BD1764" s="4"/>
      <c r="BE1764" s="4" t="s">
        <v>30220</v>
      </c>
      <c r="BF1764" s="4" t="str">
        <f aca="false">HYPERLINK("http://dx.doi.org/10.1128/JVI.00318-06","http://dx.doi.org/10.1128/JVI.00318-06")</f>
        <v>http://dx.doi.org/10.1128/JVI.00318-06</v>
      </c>
      <c r="BG1764" s="4"/>
      <c r="BH1764" s="4"/>
      <c r="BI1764" s="4" t="n">
        <v>8</v>
      </c>
      <c r="BJ1764" s="4" t="s">
        <v>163</v>
      </c>
      <c r="BK1764" s="4" t="s">
        <v>100</v>
      </c>
      <c r="BL1764" s="4" t="s">
        <v>163</v>
      </c>
      <c r="BM1764" s="4" t="s">
        <v>30221</v>
      </c>
      <c r="BN1764" s="4" t="n">
        <v>16873237</v>
      </c>
      <c r="BO1764" s="4" t="s">
        <v>165</v>
      </c>
      <c r="BP1764" s="4"/>
      <c r="BQ1764" s="4"/>
      <c r="BR1764" s="4" t="s">
        <v>104</v>
      </c>
      <c r="BS1764" s="4" t="s">
        <v>30222</v>
      </c>
      <c r="BT1764" s="4" t="str">
        <f aca="false">HYPERLINK("https%3A%2F%2Fwww.webofscience.com%2Fwos%2Fwoscc%2Ffull-record%2FWOS:000239557700002","View Full Record in Web of Science")</f>
        <v>View Full Record in Web of Science</v>
      </c>
    </row>
    <row r="1765" s="5" customFormat="true" ht="12.75" hidden="false" customHeight="false" outlineLevel="0" collapsed="false">
      <c r="A1765" s="4" t="s">
        <v>72</v>
      </c>
      <c r="B1765" s="4" t="s">
        <v>30223</v>
      </c>
      <c r="C1765" s="4"/>
      <c r="D1765" s="4"/>
      <c r="E1765" s="4"/>
      <c r="F1765" s="4" t="s">
        <v>30224</v>
      </c>
      <c r="G1765" s="4"/>
      <c r="H1765" s="4"/>
      <c r="I1765" s="4" t="s">
        <v>30225</v>
      </c>
      <c r="J1765" s="4" t="s">
        <v>30226</v>
      </c>
      <c r="K1765" s="4"/>
      <c r="L1765" s="4"/>
      <c r="M1765" s="4" t="s">
        <v>77</v>
      </c>
      <c r="N1765" s="4" t="s">
        <v>78</v>
      </c>
      <c r="O1765" s="4"/>
      <c r="P1765" s="4"/>
      <c r="Q1765" s="4"/>
      <c r="R1765" s="4"/>
      <c r="S1765" s="4"/>
      <c r="T1765" s="1" t="s">
        <v>30227</v>
      </c>
      <c r="U1765" s="4" t="s">
        <v>30228</v>
      </c>
      <c r="V1765" s="4" t="s">
        <v>30229</v>
      </c>
      <c r="W1765" s="4" t="s">
        <v>30230</v>
      </c>
      <c r="X1765" s="4" t="s">
        <v>30231</v>
      </c>
      <c r="Y1765" s="4" t="s">
        <v>30232</v>
      </c>
      <c r="Z1765" s="4" t="s">
        <v>30233</v>
      </c>
      <c r="AA1765" s="4" t="s">
        <v>30234</v>
      </c>
      <c r="AB1765" s="4"/>
      <c r="AC1765" s="4"/>
      <c r="AD1765" s="4"/>
      <c r="AE1765" s="4"/>
      <c r="AF1765" s="4"/>
      <c r="AG1765" s="4" t="n">
        <v>9</v>
      </c>
      <c r="AH1765" s="4" t="n">
        <v>7</v>
      </c>
      <c r="AI1765" s="4" t="n">
        <v>7</v>
      </c>
      <c r="AJ1765" s="4" t="n">
        <v>0</v>
      </c>
      <c r="AK1765" s="4" t="n">
        <v>0</v>
      </c>
      <c r="AL1765" s="4" t="s">
        <v>27808</v>
      </c>
      <c r="AM1765" s="4" t="s">
        <v>303</v>
      </c>
      <c r="AN1765" s="4" t="s">
        <v>27809</v>
      </c>
      <c r="AO1765" s="4" t="s">
        <v>30235</v>
      </c>
      <c r="AP1765" s="4" t="s">
        <v>30236</v>
      </c>
      <c r="AQ1765" s="4"/>
      <c r="AR1765" s="4" t="s">
        <v>30237</v>
      </c>
      <c r="AS1765" s="4" t="s">
        <v>30238</v>
      </c>
      <c r="AT1765" s="4"/>
      <c r="AU1765" s="4" t="n">
        <v>2012</v>
      </c>
      <c r="AV1765" s="4" t="n">
        <v>2012</v>
      </c>
      <c r="AW1765" s="4"/>
      <c r="AX1765" s="4"/>
      <c r="AY1765" s="4"/>
      <c r="AZ1765" s="4"/>
      <c r="BA1765" s="4"/>
      <c r="BB1765" s="4"/>
      <c r="BC1765" s="4"/>
      <c r="BD1765" s="4" t="n">
        <v>268074</v>
      </c>
      <c r="BE1765" s="4" t="s">
        <v>30239</v>
      </c>
      <c r="BF1765" s="4" t="str">
        <f aca="false">HYPERLINK("http://dx.doi.org/10.1155/2012/268074","http://dx.doi.org/10.1155/2012/268074")</f>
        <v>http://dx.doi.org/10.1155/2012/268074</v>
      </c>
      <c r="BG1765" s="4"/>
      <c r="BH1765" s="4"/>
      <c r="BI1765" s="4" t="n">
        <v>3</v>
      </c>
      <c r="BJ1765" s="4" t="s">
        <v>601</v>
      </c>
      <c r="BK1765" s="4" t="s">
        <v>339</v>
      </c>
      <c r="BL1765" s="4" t="s">
        <v>601</v>
      </c>
      <c r="BM1765" s="4" t="s">
        <v>30240</v>
      </c>
      <c r="BN1765" s="4" t="n">
        <v>22675646</v>
      </c>
      <c r="BO1765" s="4" t="s">
        <v>341</v>
      </c>
      <c r="BP1765" s="4"/>
      <c r="BQ1765" s="4"/>
      <c r="BR1765" s="4" t="s">
        <v>104</v>
      </c>
      <c r="BS1765" s="4" t="s">
        <v>30241</v>
      </c>
      <c r="BT1765" s="4" t="str">
        <f aca="false">HYPERLINK("https%3A%2F%2Fwww.webofscience.com%2Fwos%2Fwoscc%2Ffull-record%2FWOS:000215266900015","View Full Record in Web of Science")</f>
        <v>View Full Record in Web of Science</v>
      </c>
    </row>
    <row r="1766" s="5" customFormat="true" ht="12.75" hidden="false" customHeight="false" outlineLevel="0" collapsed="false">
      <c r="A1766" s="4" t="s">
        <v>72</v>
      </c>
      <c r="B1766" s="4" t="s">
        <v>30242</v>
      </c>
      <c r="C1766" s="4"/>
      <c r="D1766" s="4"/>
      <c r="E1766" s="4"/>
      <c r="F1766" s="4" t="s">
        <v>30243</v>
      </c>
      <c r="G1766" s="4"/>
      <c r="H1766" s="4"/>
      <c r="I1766" s="4" t="s">
        <v>30244</v>
      </c>
      <c r="J1766" s="4" t="s">
        <v>514</v>
      </c>
      <c r="K1766" s="4"/>
      <c r="L1766" s="4"/>
      <c r="M1766" s="4" t="s">
        <v>77</v>
      </c>
      <c r="N1766" s="4" t="s">
        <v>78</v>
      </c>
      <c r="O1766" s="4"/>
      <c r="P1766" s="4"/>
      <c r="Q1766" s="4"/>
      <c r="R1766" s="4"/>
      <c r="S1766" s="4"/>
      <c r="T1766" s="1" t="s">
        <v>30245</v>
      </c>
      <c r="U1766" s="4" t="s">
        <v>30246</v>
      </c>
      <c r="V1766" s="4" t="s">
        <v>30247</v>
      </c>
      <c r="W1766" s="4" t="s">
        <v>30248</v>
      </c>
      <c r="X1766" s="4" t="s">
        <v>30249</v>
      </c>
      <c r="Y1766" s="4" t="s">
        <v>30250</v>
      </c>
      <c r="Z1766" s="4" t="s">
        <v>12355</v>
      </c>
      <c r="AA1766" s="4" t="s">
        <v>30251</v>
      </c>
      <c r="AB1766" s="4" t="s">
        <v>30252</v>
      </c>
      <c r="AC1766" s="4" t="s">
        <v>30253</v>
      </c>
      <c r="AD1766" s="4" t="s">
        <v>30254</v>
      </c>
      <c r="AE1766" s="4" t="s">
        <v>30255</v>
      </c>
      <c r="AF1766" s="4"/>
      <c r="AG1766" s="4" t="n">
        <v>33</v>
      </c>
      <c r="AH1766" s="4" t="n">
        <v>106</v>
      </c>
      <c r="AI1766" s="4" t="n">
        <v>118</v>
      </c>
      <c r="AJ1766" s="4" t="n">
        <v>1</v>
      </c>
      <c r="AK1766" s="4" t="n">
        <v>11</v>
      </c>
      <c r="AL1766" s="4" t="s">
        <v>527</v>
      </c>
      <c r="AM1766" s="4" t="s">
        <v>528</v>
      </c>
      <c r="AN1766" s="4" t="s">
        <v>529</v>
      </c>
      <c r="AO1766" s="4" t="s">
        <v>530</v>
      </c>
      <c r="AP1766" s="4" t="s">
        <v>531</v>
      </c>
      <c r="AQ1766" s="4"/>
      <c r="AR1766" s="4" t="s">
        <v>532</v>
      </c>
      <c r="AS1766" s="4" t="s">
        <v>533</v>
      </c>
      <c r="AT1766" s="4" t="s">
        <v>4483</v>
      </c>
      <c r="AU1766" s="4" t="n">
        <v>2012</v>
      </c>
      <c r="AV1766" s="4" t="n">
        <v>206</v>
      </c>
      <c r="AW1766" s="4" t="n">
        <v>2</v>
      </c>
      <c r="AX1766" s="4"/>
      <c r="AY1766" s="4"/>
      <c r="AZ1766" s="4"/>
      <c r="BA1766" s="4"/>
      <c r="BB1766" s="4" t="n">
        <v>178</v>
      </c>
      <c r="BC1766" s="4" t="n">
        <v>189</v>
      </c>
      <c r="BD1766" s="4"/>
      <c r="BE1766" s="4" t="s">
        <v>30256</v>
      </c>
      <c r="BF1766" s="4" t="str">
        <f aca="false">HYPERLINK("http://dx.doi.org/10.1093/infdis/jis333","http://dx.doi.org/10.1093/infdis/jis333")</f>
        <v>http://dx.doi.org/10.1093/infdis/jis333</v>
      </c>
      <c r="BG1766" s="4"/>
      <c r="BH1766" s="4"/>
      <c r="BI1766" s="4" t="n">
        <v>12</v>
      </c>
      <c r="BJ1766" s="4" t="s">
        <v>536</v>
      </c>
      <c r="BK1766" s="4" t="s">
        <v>100</v>
      </c>
      <c r="BL1766" s="4" t="s">
        <v>536</v>
      </c>
      <c r="BM1766" s="4" t="s">
        <v>30257</v>
      </c>
      <c r="BN1766" s="4" t="n">
        <v>22551815</v>
      </c>
      <c r="BO1766" s="4" t="s">
        <v>165</v>
      </c>
      <c r="BP1766" s="4"/>
      <c r="BQ1766" s="4"/>
      <c r="BR1766" s="4" t="s">
        <v>104</v>
      </c>
      <c r="BS1766" s="4" t="s">
        <v>30258</v>
      </c>
      <c r="BT1766" s="4" t="str">
        <f aca="false">HYPERLINK("https%3A%2F%2Fwww.webofscience.com%2Fwos%2Fwoscc%2Ffull-record%2FWOS:000305626200005","View Full Record in Web of Science")</f>
        <v>View Full Record in Web of Science</v>
      </c>
    </row>
    <row r="1767" s="5" customFormat="true" ht="12.75" hidden="false" customHeight="false" outlineLevel="0" collapsed="false">
      <c r="A1767" s="4" t="s">
        <v>72</v>
      </c>
      <c r="B1767" s="4" t="s">
        <v>17878</v>
      </c>
      <c r="C1767" s="4"/>
      <c r="D1767" s="4"/>
      <c r="E1767" s="4"/>
      <c r="F1767" s="4" t="s">
        <v>17878</v>
      </c>
      <c r="G1767" s="4"/>
      <c r="H1767" s="4"/>
      <c r="I1767" s="4" t="s">
        <v>30259</v>
      </c>
      <c r="J1767" s="4" t="s">
        <v>2222</v>
      </c>
      <c r="K1767" s="4"/>
      <c r="L1767" s="4"/>
      <c r="M1767" s="4" t="s">
        <v>77</v>
      </c>
      <c r="N1767" s="4" t="s">
        <v>78</v>
      </c>
      <c r="O1767" s="4"/>
      <c r="P1767" s="4"/>
      <c r="Q1767" s="4"/>
      <c r="R1767" s="4"/>
      <c r="S1767" s="4"/>
      <c r="T1767" s="1" t="s">
        <v>30260</v>
      </c>
      <c r="U1767" s="4" t="s">
        <v>30261</v>
      </c>
      <c r="V1767" s="4" t="s">
        <v>30262</v>
      </c>
      <c r="W1767" s="4" t="s">
        <v>14575</v>
      </c>
      <c r="X1767" s="4" t="s">
        <v>12119</v>
      </c>
      <c r="Y1767" s="4" t="s">
        <v>29800</v>
      </c>
      <c r="Z1767" s="4" t="s">
        <v>13853</v>
      </c>
      <c r="AA1767" s="4" t="s">
        <v>13854</v>
      </c>
      <c r="AB1767" s="4" t="s">
        <v>13855</v>
      </c>
      <c r="AC1767" s="4"/>
      <c r="AD1767" s="4"/>
      <c r="AE1767" s="4"/>
      <c r="AF1767" s="4"/>
      <c r="AG1767" s="4" t="n">
        <v>29</v>
      </c>
      <c r="AH1767" s="4" t="n">
        <v>50</v>
      </c>
      <c r="AI1767" s="4" t="n">
        <v>61</v>
      </c>
      <c r="AJ1767" s="4" t="n">
        <v>1</v>
      </c>
      <c r="AK1767" s="4" t="n">
        <v>1</v>
      </c>
      <c r="AL1767" s="4" t="s">
        <v>755</v>
      </c>
      <c r="AM1767" s="4" t="s">
        <v>273</v>
      </c>
      <c r="AN1767" s="4" t="s">
        <v>756</v>
      </c>
      <c r="AO1767" s="4" t="s">
        <v>2234</v>
      </c>
      <c r="AP1767" s="4" t="s">
        <v>2235</v>
      </c>
      <c r="AQ1767" s="4"/>
      <c r="AR1767" s="4" t="s">
        <v>2236</v>
      </c>
      <c r="AS1767" s="4" t="s">
        <v>2237</v>
      </c>
      <c r="AT1767" s="4" t="s">
        <v>97</v>
      </c>
      <c r="AU1767" s="4" t="n">
        <v>2005</v>
      </c>
      <c r="AV1767" s="4" t="n">
        <v>43</v>
      </c>
      <c r="AW1767" s="4" t="n">
        <v>3</v>
      </c>
      <c r="AX1767" s="4"/>
      <c r="AY1767" s="4"/>
      <c r="AZ1767" s="4"/>
      <c r="BA1767" s="4"/>
      <c r="BB1767" s="4" t="n">
        <v>1138</v>
      </c>
      <c r="BC1767" s="4" t="n">
        <v>1141</v>
      </c>
      <c r="BD1767" s="4"/>
      <c r="BE1767" s="4" t="s">
        <v>30263</v>
      </c>
      <c r="BF1767" s="4" t="str">
        <f aca="false">HYPERLINK("http://dx.doi.org/10.1128/JCM.43.3.1138-1141.2005","http://dx.doi.org/10.1128/JCM.43.3.1138-1141.2005")</f>
        <v>http://dx.doi.org/10.1128/JCM.43.3.1138-1141.2005</v>
      </c>
      <c r="BG1767" s="4"/>
      <c r="BH1767" s="4"/>
      <c r="BI1767" s="4" t="n">
        <v>4</v>
      </c>
      <c r="BJ1767" s="4" t="s">
        <v>211</v>
      </c>
      <c r="BK1767" s="4" t="s">
        <v>100</v>
      </c>
      <c r="BL1767" s="4" t="s">
        <v>211</v>
      </c>
      <c r="BM1767" s="4" t="s">
        <v>29651</v>
      </c>
      <c r="BN1767" s="4" t="n">
        <v>15750074</v>
      </c>
      <c r="BO1767" s="4" t="s">
        <v>165</v>
      </c>
      <c r="BP1767" s="4"/>
      <c r="BQ1767" s="4"/>
      <c r="BR1767" s="4" t="s">
        <v>104</v>
      </c>
      <c r="BS1767" s="4" t="s">
        <v>30264</v>
      </c>
      <c r="BT1767" s="4" t="str">
        <f aca="false">HYPERLINK("https%3A%2F%2Fwww.webofscience.com%2Fwos%2Fwoscc%2Ffull-record%2FWOS:000227538900021","View Full Record in Web of Science")</f>
        <v>View Full Record in Web of Science</v>
      </c>
    </row>
    <row r="1768" s="5" customFormat="true" ht="12.75" hidden="false" customHeight="false" outlineLevel="0" collapsed="false">
      <c r="A1768" s="4" t="s">
        <v>72</v>
      </c>
      <c r="B1768" s="4" t="s">
        <v>30265</v>
      </c>
      <c r="C1768" s="4"/>
      <c r="D1768" s="4"/>
      <c r="E1768" s="4"/>
      <c r="F1768" s="4" t="s">
        <v>30266</v>
      </c>
      <c r="G1768" s="4"/>
      <c r="H1768" s="4"/>
      <c r="I1768" s="4" t="s">
        <v>30267</v>
      </c>
      <c r="J1768" s="4" t="s">
        <v>7145</v>
      </c>
      <c r="K1768" s="4"/>
      <c r="L1768" s="4"/>
      <c r="M1768" s="4" t="s">
        <v>77</v>
      </c>
      <c r="N1768" s="4" t="s">
        <v>78</v>
      </c>
      <c r="O1768" s="4"/>
      <c r="P1768" s="4"/>
      <c r="Q1768" s="4"/>
      <c r="R1768" s="4"/>
      <c r="S1768" s="4"/>
      <c r="T1768" s="1" t="s">
        <v>30268</v>
      </c>
      <c r="U1768" s="4" t="s">
        <v>30269</v>
      </c>
      <c r="V1768" s="4" t="s">
        <v>30270</v>
      </c>
      <c r="W1768" s="4" t="s">
        <v>30271</v>
      </c>
      <c r="X1768" s="4" t="s">
        <v>8071</v>
      </c>
      <c r="Y1768" s="4" t="s">
        <v>30272</v>
      </c>
      <c r="Z1768" s="4" t="s">
        <v>9722</v>
      </c>
      <c r="AA1768" s="4" t="s">
        <v>30273</v>
      </c>
      <c r="AB1768" s="4" t="s">
        <v>8075</v>
      </c>
      <c r="AC1768" s="4"/>
      <c r="AD1768" s="4"/>
      <c r="AE1768" s="4"/>
      <c r="AF1768" s="4"/>
      <c r="AG1768" s="4" t="n">
        <v>32</v>
      </c>
      <c r="AH1768" s="4" t="n">
        <v>24</v>
      </c>
      <c r="AI1768" s="4" t="n">
        <v>31</v>
      </c>
      <c r="AJ1768" s="4" t="n">
        <v>0</v>
      </c>
      <c r="AK1768" s="4" t="n">
        <v>6</v>
      </c>
      <c r="AL1768" s="4" t="s">
        <v>3426</v>
      </c>
      <c r="AM1768" s="4" t="s">
        <v>303</v>
      </c>
      <c r="AN1768" s="4" t="s">
        <v>3427</v>
      </c>
      <c r="AO1768" s="4" t="s">
        <v>7158</v>
      </c>
      <c r="AP1768" s="4" t="s">
        <v>7159</v>
      </c>
      <c r="AQ1768" s="4"/>
      <c r="AR1768" s="4" t="s">
        <v>7160</v>
      </c>
      <c r="AS1768" s="4" t="s">
        <v>7161</v>
      </c>
      <c r="AT1768" s="4" t="s">
        <v>599</v>
      </c>
      <c r="AU1768" s="4" t="n">
        <v>2008</v>
      </c>
      <c r="AV1768" s="4" t="n">
        <v>89</v>
      </c>
      <c r="AW1768" s="4"/>
      <c r="AX1768" s="4" t="n">
        <v>7</v>
      </c>
      <c r="AY1768" s="4"/>
      <c r="AZ1768" s="4"/>
      <c r="BA1768" s="4"/>
      <c r="BB1768" s="4" t="n">
        <v>1553</v>
      </c>
      <c r="BC1768" s="4" t="n">
        <v>1562</v>
      </c>
      <c r="BD1768" s="4"/>
      <c r="BE1768" s="4" t="s">
        <v>30274</v>
      </c>
      <c r="BF1768" s="4" t="str">
        <f aca="false">HYPERLINK("http://dx.doi.org/10.1099/vir.0.2008/002022-0","http://dx.doi.org/10.1099/vir.0.2008/002022-0")</f>
        <v>http://dx.doi.org/10.1099/vir.0.2008/002022-0</v>
      </c>
      <c r="BG1768" s="4"/>
      <c r="BH1768" s="4"/>
      <c r="BI1768" s="4" t="n">
        <v>10</v>
      </c>
      <c r="BJ1768" s="4" t="s">
        <v>7163</v>
      </c>
      <c r="BK1768" s="4" t="s">
        <v>100</v>
      </c>
      <c r="BL1768" s="4" t="s">
        <v>7163</v>
      </c>
      <c r="BM1768" s="4" t="s">
        <v>30275</v>
      </c>
      <c r="BN1768" s="4" t="n">
        <v>18559924</v>
      </c>
      <c r="BO1768" s="4" t="s">
        <v>30276</v>
      </c>
      <c r="BP1768" s="4"/>
      <c r="BQ1768" s="4"/>
      <c r="BR1768" s="4" t="s">
        <v>104</v>
      </c>
      <c r="BS1768" s="4" t="s">
        <v>30277</v>
      </c>
      <c r="BT1768" s="4" t="str">
        <f aca="false">HYPERLINK("https%3A%2F%2Fwww.webofscience.com%2Fwos%2Fwoscc%2Ffull-record%2FWOS:000257554600001","View Full Record in Web of Science")</f>
        <v>View Full Record in Web of Science</v>
      </c>
    </row>
    <row r="1769" s="5" customFormat="true" ht="12.75" hidden="false" customHeight="false" outlineLevel="0" collapsed="false">
      <c r="A1769" s="4" t="s">
        <v>72</v>
      </c>
      <c r="B1769" s="4" t="s">
        <v>30278</v>
      </c>
      <c r="C1769" s="4"/>
      <c r="D1769" s="4"/>
      <c r="E1769" s="4"/>
      <c r="F1769" s="4" t="s">
        <v>30279</v>
      </c>
      <c r="G1769" s="4"/>
      <c r="H1769" s="4"/>
      <c r="I1769" s="4" t="s">
        <v>30280</v>
      </c>
      <c r="J1769" s="4" t="s">
        <v>30281</v>
      </c>
      <c r="K1769" s="4"/>
      <c r="L1769" s="4"/>
      <c r="M1769" s="4" t="s">
        <v>77</v>
      </c>
      <c r="N1769" s="4" t="s">
        <v>78</v>
      </c>
      <c r="O1769" s="4"/>
      <c r="P1769" s="4"/>
      <c r="Q1769" s="4"/>
      <c r="R1769" s="4"/>
      <c r="S1769" s="4"/>
      <c r="T1769" s="0"/>
      <c r="U1769" s="4" t="s">
        <v>30282</v>
      </c>
      <c r="V1769" s="4" t="s">
        <v>30283</v>
      </c>
      <c r="W1769" s="4" t="s">
        <v>30284</v>
      </c>
      <c r="X1769" s="4" t="s">
        <v>12353</v>
      </c>
      <c r="Y1769" s="4" t="s">
        <v>30285</v>
      </c>
      <c r="Z1769" s="4" t="s">
        <v>30286</v>
      </c>
      <c r="AA1769" s="4" t="s">
        <v>30287</v>
      </c>
      <c r="AB1769" s="4" t="s">
        <v>30288</v>
      </c>
      <c r="AC1769" s="4" t="s">
        <v>30289</v>
      </c>
      <c r="AD1769" s="4" t="s">
        <v>30290</v>
      </c>
      <c r="AE1769" s="4" t="s">
        <v>30291</v>
      </c>
      <c r="AF1769" s="4"/>
      <c r="AG1769" s="4" t="n">
        <v>50</v>
      </c>
      <c r="AH1769" s="4" t="n">
        <v>22</v>
      </c>
      <c r="AI1769" s="4" t="n">
        <v>25</v>
      </c>
      <c r="AJ1769" s="4" t="n">
        <v>0</v>
      </c>
      <c r="AK1769" s="4" t="n">
        <v>3</v>
      </c>
      <c r="AL1769" s="4" t="s">
        <v>30292</v>
      </c>
      <c r="AM1769" s="4" t="s">
        <v>303</v>
      </c>
      <c r="AN1769" s="4" t="s">
        <v>30293</v>
      </c>
      <c r="AO1769" s="4" t="s">
        <v>30294</v>
      </c>
      <c r="AP1769" s="4"/>
      <c r="AQ1769" s="4"/>
      <c r="AR1769" s="4" t="s">
        <v>30295</v>
      </c>
      <c r="AS1769" s="4" t="s">
        <v>30296</v>
      </c>
      <c r="AT1769" s="4"/>
      <c r="AU1769" s="4" t="n">
        <v>2008</v>
      </c>
      <c r="AV1769" s="4" t="n">
        <v>13</v>
      </c>
      <c r="AW1769" s="4" t="n">
        <v>6</v>
      </c>
      <c r="AX1769" s="4"/>
      <c r="AY1769" s="4"/>
      <c r="AZ1769" s="4"/>
      <c r="BA1769" s="4"/>
      <c r="BB1769" s="4" t="n">
        <v>821</v>
      </c>
      <c r="BC1769" s="4" t="n">
        <v>832</v>
      </c>
      <c r="BD1769" s="4"/>
      <c r="BE1769" s="4"/>
      <c r="BF1769" s="4"/>
      <c r="BG1769" s="4"/>
      <c r="BH1769" s="4"/>
      <c r="BI1769" s="4" t="n">
        <v>12</v>
      </c>
      <c r="BJ1769" s="4" t="s">
        <v>30297</v>
      </c>
      <c r="BK1769" s="4" t="s">
        <v>100</v>
      </c>
      <c r="BL1769" s="4" t="s">
        <v>30297</v>
      </c>
      <c r="BM1769" s="4" t="s">
        <v>30298</v>
      </c>
      <c r="BN1769" s="4" t="n">
        <v>18839783</v>
      </c>
      <c r="BO1769" s="4"/>
      <c r="BP1769" s="4"/>
      <c r="BQ1769" s="4"/>
      <c r="BR1769" s="4" t="s">
        <v>104</v>
      </c>
      <c r="BS1769" s="4" t="s">
        <v>30299</v>
      </c>
      <c r="BT1769" s="4" t="str">
        <f aca="false">HYPERLINK("https%3A%2F%2Fwww.webofscience.com%2Fwos%2Fwoscc%2Ffull-record%2FWOS:000259545100009","View Full Record in Web of Science")</f>
        <v>View Full Record in Web of Science</v>
      </c>
    </row>
    <row r="1770" s="5" customFormat="true" ht="12.75" hidden="false" customHeight="false" outlineLevel="0" collapsed="false">
      <c r="A1770" s="4" t="s">
        <v>72</v>
      </c>
      <c r="B1770" s="4" t="s">
        <v>30300</v>
      </c>
      <c r="C1770" s="4"/>
      <c r="D1770" s="4"/>
      <c r="E1770" s="4"/>
      <c r="F1770" s="4" t="s">
        <v>30301</v>
      </c>
      <c r="G1770" s="4"/>
      <c r="H1770" s="4"/>
      <c r="I1770" s="4" t="s">
        <v>30302</v>
      </c>
      <c r="J1770" s="4" t="s">
        <v>1174</v>
      </c>
      <c r="K1770" s="4"/>
      <c r="L1770" s="4"/>
      <c r="M1770" s="4" t="s">
        <v>77</v>
      </c>
      <c r="N1770" s="4" t="s">
        <v>78</v>
      </c>
      <c r="O1770" s="4"/>
      <c r="P1770" s="4"/>
      <c r="Q1770" s="4"/>
      <c r="R1770" s="4"/>
      <c r="S1770" s="4"/>
      <c r="T1770" s="1" t="s">
        <v>30303</v>
      </c>
      <c r="U1770" s="4" t="s">
        <v>30304</v>
      </c>
      <c r="V1770" s="4" t="s">
        <v>30305</v>
      </c>
      <c r="W1770" s="4" t="s">
        <v>30306</v>
      </c>
      <c r="X1770" s="4" t="s">
        <v>30307</v>
      </c>
      <c r="Y1770" s="4" t="s">
        <v>30308</v>
      </c>
      <c r="Z1770" s="4" t="s">
        <v>1870</v>
      </c>
      <c r="AA1770" s="4" t="s">
        <v>30309</v>
      </c>
      <c r="AB1770" s="4" t="s">
        <v>30310</v>
      </c>
      <c r="AC1770" s="4" t="s">
        <v>30311</v>
      </c>
      <c r="AD1770" s="4" t="s">
        <v>30312</v>
      </c>
      <c r="AE1770" s="4" t="s">
        <v>30313</v>
      </c>
      <c r="AF1770" s="4"/>
      <c r="AG1770" s="4" t="n">
        <v>36</v>
      </c>
      <c r="AH1770" s="4" t="n">
        <v>66</v>
      </c>
      <c r="AI1770" s="4" t="n">
        <v>68</v>
      </c>
      <c r="AJ1770" s="4" t="n">
        <v>0</v>
      </c>
      <c r="AK1770" s="4" t="n">
        <v>9</v>
      </c>
      <c r="AL1770" s="4" t="s">
        <v>1186</v>
      </c>
      <c r="AM1770" s="4" t="s">
        <v>303</v>
      </c>
      <c r="AN1770" s="4" t="s">
        <v>1187</v>
      </c>
      <c r="AO1770" s="4" t="s">
        <v>1188</v>
      </c>
      <c r="AP1770" s="4" t="s">
        <v>1189</v>
      </c>
      <c r="AQ1770" s="4"/>
      <c r="AR1770" s="4" t="s">
        <v>1174</v>
      </c>
      <c r="AS1770" s="4" t="s">
        <v>1190</v>
      </c>
      <c r="AT1770" s="4" t="s">
        <v>336</v>
      </c>
      <c r="AU1770" s="4" t="n">
        <v>2014</v>
      </c>
      <c r="AV1770" s="4" t="n">
        <v>69</v>
      </c>
      <c r="AW1770" s="4" t="n">
        <v>10</v>
      </c>
      <c r="AX1770" s="4"/>
      <c r="AY1770" s="4"/>
      <c r="AZ1770" s="4"/>
      <c r="BA1770" s="4"/>
      <c r="BB1770" s="4" t="n">
        <v>918</v>
      </c>
      <c r="BC1770" s="4" t="n">
        <v>925</v>
      </c>
      <c r="BD1770" s="4"/>
      <c r="BE1770" s="4" t="s">
        <v>30314</v>
      </c>
      <c r="BF1770" s="4" t="str">
        <f aca="false">HYPERLINK("http://dx.doi.org/10.1136/thoraxjnl-2013-204908","http://dx.doi.org/10.1136/thoraxjnl-2013-204908")</f>
        <v>http://dx.doi.org/10.1136/thoraxjnl-2013-204908</v>
      </c>
      <c r="BG1770" s="4"/>
      <c r="BH1770" s="4"/>
      <c r="BI1770" s="4" t="n">
        <v>8</v>
      </c>
      <c r="BJ1770" s="4" t="s">
        <v>338</v>
      </c>
      <c r="BK1770" s="4" t="s">
        <v>100</v>
      </c>
      <c r="BL1770" s="4" t="s">
        <v>338</v>
      </c>
      <c r="BM1770" s="4" t="s">
        <v>30315</v>
      </c>
      <c r="BN1770" s="4" t="n">
        <v>24811725</v>
      </c>
      <c r="BO1770" s="4" t="s">
        <v>29622</v>
      </c>
      <c r="BP1770" s="4"/>
      <c r="BQ1770" s="4"/>
      <c r="BR1770" s="4" t="s">
        <v>104</v>
      </c>
      <c r="BS1770" s="4" t="s">
        <v>30316</v>
      </c>
      <c r="BT1770" s="4" t="str">
        <f aca="false">HYPERLINK("https%3A%2F%2Fwww.webofscience.com%2Fwos%2Fwoscc%2Ffull-record%2FWOS:000343893500009","View Full Record in Web of Science")</f>
        <v>View Full Record in Web of Science</v>
      </c>
    </row>
    <row r="1771" s="5" customFormat="true" ht="12.75" hidden="false" customHeight="false" outlineLevel="0" collapsed="false">
      <c r="A1771" s="4" t="s">
        <v>72</v>
      </c>
      <c r="B1771" s="4" t="s">
        <v>30317</v>
      </c>
      <c r="C1771" s="4"/>
      <c r="D1771" s="4"/>
      <c r="E1771" s="4"/>
      <c r="F1771" s="4" t="s">
        <v>30318</v>
      </c>
      <c r="G1771" s="4"/>
      <c r="H1771" s="4"/>
      <c r="I1771" s="4" t="s">
        <v>30319</v>
      </c>
      <c r="J1771" s="4" t="s">
        <v>13758</v>
      </c>
      <c r="K1771" s="4"/>
      <c r="L1771" s="4"/>
      <c r="M1771" s="4" t="s">
        <v>77</v>
      </c>
      <c r="N1771" s="4" t="s">
        <v>78</v>
      </c>
      <c r="O1771" s="4"/>
      <c r="P1771" s="4"/>
      <c r="Q1771" s="4"/>
      <c r="R1771" s="4"/>
      <c r="S1771" s="4"/>
      <c r="T1771" s="1" t="s">
        <v>30320</v>
      </c>
      <c r="U1771" s="4" t="s">
        <v>30321</v>
      </c>
      <c r="V1771" s="4" t="s">
        <v>30322</v>
      </c>
      <c r="W1771" s="4" t="s">
        <v>30323</v>
      </c>
      <c r="X1771" s="4" t="s">
        <v>30324</v>
      </c>
      <c r="Y1771" s="4" t="s">
        <v>22627</v>
      </c>
      <c r="Z1771" s="4" t="s">
        <v>22628</v>
      </c>
      <c r="AA1771" s="4" t="s">
        <v>30325</v>
      </c>
      <c r="AB1771" s="4" t="s">
        <v>22010</v>
      </c>
      <c r="AC1771" s="4" t="s">
        <v>30326</v>
      </c>
      <c r="AD1771" s="4" t="s">
        <v>30327</v>
      </c>
      <c r="AE1771" s="4" t="s">
        <v>30328</v>
      </c>
      <c r="AF1771" s="4"/>
      <c r="AG1771" s="4" t="n">
        <v>32</v>
      </c>
      <c r="AH1771" s="4" t="n">
        <v>13</v>
      </c>
      <c r="AI1771" s="4" t="n">
        <v>15</v>
      </c>
      <c r="AJ1771" s="4" t="n">
        <v>0</v>
      </c>
      <c r="AK1771" s="4" t="n">
        <v>2</v>
      </c>
      <c r="AL1771" s="4" t="s">
        <v>13769</v>
      </c>
      <c r="AM1771" s="4" t="s">
        <v>16554</v>
      </c>
      <c r="AN1771" s="4" t="s">
        <v>16555</v>
      </c>
      <c r="AO1771" s="4" t="s">
        <v>13772</v>
      </c>
      <c r="AP1771" s="4" t="s">
        <v>13773</v>
      </c>
      <c r="AQ1771" s="4"/>
      <c r="AR1771" s="4" t="s">
        <v>13774</v>
      </c>
      <c r="AS1771" s="4" t="s">
        <v>13775</v>
      </c>
      <c r="AT1771" s="4" t="s">
        <v>446</v>
      </c>
      <c r="AU1771" s="4" t="n">
        <v>2008</v>
      </c>
      <c r="AV1771" s="4" t="n">
        <v>153</v>
      </c>
      <c r="AW1771" s="4" t="n">
        <v>12</v>
      </c>
      <c r="AX1771" s="4"/>
      <c r="AY1771" s="4"/>
      <c r="AZ1771" s="4"/>
      <c r="BA1771" s="4"/>
      <c r="BB1771" s="4" t="n">
        <v>2207</v>
      </c>
      <c r="BC1771" s="4" t="n">
        <v>2213</v>
      </c>
      <c r="BD1771" s="4"/>
      <c r="BE1771" s="4" t="s">
        <v>30329</v>
      </c>
      <c r="BF1771" s="4" t="str">
        <f aca="false">HYPERLINK("http://dx.doi.org/10.1007/s00705-008-0242-3","http://dx.doi.org/10.1007/s00705-008-0242-3")</f>
        <v>http://dx.doi.org/10.1007/s00705-008-0242-3</v>
      </c>
      <c r="BG1771" s="4"/>
      <c r="BH1771" s="4"/>
      <c r="BI1771" s="4" t="n">
        <v>7</v>
      </c>
      <c r="BJ1771" s="4" t="s">
        <v>163</v>
      </c>
      <c r="BK1771" s="4" t="s">
        <v>100</v>
      </c>
      <c r="BL1771" s="4" t="s">
        <v>163</v>
      </c>
      <c r="BM1771" s="4" t="s">
        <v>30330</v>
      </c>
      <c r="BN1771" s="4" t="n">
        <v>19002556</v>
      </c>
      <c r="BO1771" s="4" t="s">
        <v>1267</v>
      </c>
      <c r="BP1771" s="4"/>
      <c r="BQ1771" s="4"/>
      <c r="BR1771" s="4" t="s">
        <v>104</v>
      </c>
      <c r="BS1771" s="4" t="s">
        <v>30331</v>
      </c>
      <c r="BT1771" s="4" t="str">
        <f aca="false">HYPERLINK("https%3A%2F%2Fwww.webofscience.com%2Fwos%2Fwoscc%2Ffull-record%2FWOS:000262231900004","View Full Record in Web of Science")</f>
        <v>View Full Record in Web of Science</v>
      </c>
    </row>
    <row r="1772" s="5" customFormat="true" ht="12.75" hidden="false" customHeight="false" outlineLevel="0" collapsed="false">
      <c r="A1772" s="4" t="s">
        <v>72</v>
      </c>
      <c r="B1772" s="4" t="s">
        <v>30332</v>
      </c>
      <c r="C1772" s="4"/>
      <c r="D1772" s="4"/>
      <c r="E1772" s="4"/>
      <c r="F1772" s="4" t="s">
        <v>30333</v>
      </c>
      <c r="G1772" s="4"/>
      <c r="H1772" s="4"/>
      <c r="I1772" s="4" t="s">
        <v>30334</v>
      </c>
      <c r="J1772" s="4" t="s">
        <v>30335</v>
      </c>
      <c r="K1772" s="4"/>
      <c r="L1772" s="4"/>
      <c r="M1772" s="4" t="s">
        <v>77</v>
      </c>
      <c r="N1772" s="4" t="s">
        <v>78</v>
      </c>
      <c r="O1772" s="4"/>
      <c r="P1772" s="4"/>
      <c r="Q1772" s="4"/>
      <c r="R1772" s="4"/>
      <c r="S1772" s="4"/>
      <c r="T1772" s="1" t="s">
        <v>30336</v>
      </c>
      <c r="U1772" s="4" t="s">
        <v>30337</v>
      </c>
      <c r="V1772" s="4" t="s">
        <v>30338</v>
      </c>
      <c r="W1772" s="4" t="s">
        <v>30339</v>
      </c>
      <c r="X1772" s="4" t="s">
        <v>30340</v>
      </c>
      <c r="Y1772" s="4" t="s">
        <v>30341</v>
      </c>
      <c r="Z1772" s="4" t="s">
        <v>30342</v>
      </c>
      <c r="AA1772" s="4" t="s">
        <v>13073</v>
      </c>
      <c r="AB1772" s="4" t="s">
        <v>13074</v>
      </c>
      <c r="AC1772" s="4" t="s">
        <v>30343</v>
      </c>
      <c r="AD1772" s="4" t="s">
        <v>30343</v>
      </c>
      <c r="AE1772" s="4" t="s">
        <v>30344</v>
      </c>
      <c r="AF1772" s="4"/>
      <c r="AG1772" s="4" t="n">
        <v>19</v>
      </c>
      <c r="AH1772" s="4" t="n">
        <v>67</v>
      </c>
      <c r="AI1772" s="4" t="n">
        <v>73</v>
      </c>
      <c r="AJ1772" s="4" t="n">
        <v>0</v>
      </c>
      <c r="AK1772" s="4" t="n">
        <v>11</v>
      </c>
      <c r="AL1772" s="4" t="s">
        <v>919</v>
      </c>
      <c r="AM1772" s="4" t="s">
        <v>593</v>
      </c>
      <c r="AN1772" s="4" t="s">
        <v>920</v>
      </c>
      <c r="AO1772" s="4" t="s">
        <v>30345</v>
      </c>
      <c r="AP1772" s="4"/>
      <c r="AQ1772" s="4"/>
      <c r="AR1772" s="4" t="s">
        <v>30346</v>
      </c>
      <c r="AS1772" s="4" t="s">
        <v>2881</v>
      </c>
      <c r="AT1772" s="4" t="s">
        <v>161</v>
      </c>
      <c r="AU1772" s="4" t="n">
        <v>2010</v>
      </c>
      <c r="AV1772" s="4" t="n">
        <v>156</v>
      </c>
      <c r="AW1772" s="4" t="n">
        <v>1</v>
      </c>
      <c r="AX1772" s="4"/>
      <c r="AY1772" s="4"/>
      <c r="AZ1772" s="4"/>
      <c r="BA1772" s="4"/>
      <c r="BB1772" s="4" t="n">
        <v>115</v>
      </c>
      <c r="BC1772" s="4" t="n">
        <v>120</v>
      </c>
      <c r="BD1772" s="4"/>
      <c r="BE1772" s="4" t="s">
        <v>30347</v>
      </c>
      <c r="BF1772" s="4" t="str">
        <f aca="false">HYPERLINK("http://dx.doi.org/10.1016/j.jpeds.2009.07.014","http://dx.doi.org/10.1016/j.jpeds.2009.07.014")</f>
        <v>http://dx.doi.org/10.1016/j.jpeds.2009.07.014</v>
      </c>
      <c r="BG1772" s="4"/>
      <c r="BH1772" s="4"/>
      <c r="BI1772" s="4" t="n">
        <v>6</v>
      </c>
      <c r="BJ1772" s="4" t="s">
        <v>601</v>
      </c>
      <c r="BK1772" s="4" t="s">
        <v>100</v>
      </c>
      <c r="BL1772" s="4" t="s">
        <v>601</v>
      </c>
      <c r="BM1772" s="4" t="s">
        <v>30348</v>
      </c>
      <c r="BN1772" s="4" t="n">
        <v>19782998</v>
      </c>
      <c r="BO1772" s="4" t="s">
        <v>165</v>
      </c>
      <c r="BP1772" s="4"/>
      <c r="BQ1772" s="4"/>
      <c r="BR1772" s="4" t="s">
        <v>104</v>
      </c>
      <c r="BS1772" s="4" t="s">
        <v>30349</v>
      </c>
      <c r="BT1772" s="4" t="str">
        <f aca="false">HYPERLINK("https%3A%2F%2Fwww.webofscience.com%2Fwos%2Fwoscc%2Ffull-record%2FWOS:000273200400025","View Full Record in Web of Science")</f>
        <v>View Full Record in Web of Science</v>
      </c>
    </row>
    <row r="1773" s="5" customFormat="true" ht="12.75" hidden="false" customHeight="false" outlineLevel="0" collapsed="false">
      <c r="A1773" s="4" t="s">
        <v>72</v>
      </c>
      <c r="B1773" s="4" t="s">
        <v>30350</v>
      </c>
      <c r="C1773" s="4"/>
      <c r="D1773" s="4"/>
      <c r="E1773" s="4"/>
      <c r="F1773" s="4" t="s">
        <v>30350</v>
      </c>
      <c r="G1773" s="4"/>
      <c r="H1773" s="4"/>
      <c r="I1773" s="4" t="s">
        <v>30351</v>
      </c>
      <c r="J1773" s="4" t="s">
        <v>13758</v>
      </c>
      <c r="K1773" s="4"/>
      <c r="L1773" s="4"/>
      <c r="M1773" s="4" t="s">
        <v>77</v>
      </c>
      <c r="N1773" s="4" t="s">
        <v>78</v>
      </c>
      <c r="O1773" s="4"/>
      <c r="P1773" s="4"/>
      <c r="Q1773" s="4"/>
      <c r="R1773" s="4"/>
      <c r="S1773" s="4"/>
      <c r="T1773" s="1" t="s">
        <v>30352</v>
      </c>
      <c r="U1773" s="4" t="s">
        <v>30353</v>
      </c>
      <c r="V1773" s="4" t="s">
        <v>30354</v>
      </c>
      <c r="W1773" s="4" t="s">
        <v>16413</v>
      </c>
      <c r="X1773" s="4" t="s">
        <v>30355</v>
      </c>
      <c r="Y1773" s="4" t="s">
        <v>16415</v>
      </c>
      <c r="Z1773" s="4" t="s">
        <v>5566</v>
      </c>
      <c r="AA1773" s="4" t="s">
        <v>30356</v>
      </c>
      <c r="AB1773" s="4" t="s">
        <v>30357</v>
      </c>
      <c r="AC1773" s="4"/>
      <c r="AD1773" s="4"/>
      <c r="AE1773" s="4"/>
      <c r="AF1773" s="4"/>
      <c r="AG1773" s="4" t="n">
        <v>23</v>
      </c>
      <c r="AH1773" s="4" t="n">
        <v>49</v>
      </c>
      <c r="AI1773" s="4" t="n">
        <v>53</v>
      </c>
      <c r="AJ1773" s="4" t="n">
        <v>0</v>
      </c>
      <c r="AK1773" s="4" t="n">
        <v>2</v>
      </c>
      <c r="AL1773" s="4" t="s">
        <v>13769</v>
      </c>
      <c r="AM1773" s="4" t="s">
        <v>30358</v>
      </c>
      <c r="AN1773" s="4" t="s">
        <v>30359</v>
      </c>
      <c r="AO1773" s="4" t="s">
        <v>13772</v>
      </c>
      <c r="AP1773" s="4"/>
      <c r="AQ1773" s="4"/>
      <c r="AR1773" s="4" t="s">
        <v>13774</v>
      </c>
      <c r="AS1773" s="4" t="s">
        <v>13775</v>
      </c>
      <c r="AT1773" s="4" t="s">
        <v>804</v>
      </c>
      <c r="AU1773" s="4" t="n">
        <v>2005</v>
      </c>
      <c r="AV1773" s="4" t="n">
        <v>150</v>
      </c>
      <c r="AW1773" s="4" t="n">
        <v>11</v>
      </c>
      <c r="AX1773" s="4"/>
      <c r="AY1773" s="4"/>
      <c r="AZ1773" s="4"/>
      <c r="BA1773" s="4"/>
      <c r="BB1773" s="4" t="n">
        <v>2365</v>
      </c>
      <c r="BC1773" s="4" t="n">
        <v>2375</v>
      </c>
      <c r="BD1773" s="4"/>
      <c r="BE1773" s="4" t="s">
        <v>30360</v>
      </c>
      <c r="BF1773" s="4" t="str">
        <f aca="false">HYPERLINK("http://dx.doi.org/10.1007/s00705-005-0581-2","http://dx.doi.org/10.1007/s00705-005-0581-2")</f>
        <v>http://dx.doi.org/10.1007/s00705-005-0581-2</v>
      </c>
      <c r="BG1773" s="4"/>
      <c r="BH1773" s="4"/>
      <c r="BI1773" s="4" t="n">
        <v>11</v>
      </c>
      <c r="BJ1773" s="4" t="s">
        <v>163</v>
      </c>
      <c r="BK1773" s="4" t="s">
        <v>100</v>
      </c>
      <c r="BL1773" s="4" t="s">
        <v>163</v>
      </c>
      <c r="BM1773" s="4" t="s">
        <v>30361</v>
      </c>
      <c r="BN1773" s="4" t="n">
        <v>15986171</v>
      </c>
      <c r="BO1773" s="4" t="s">
        <v>1267</v>
      </c>
      <c r="BP1773" s="4"/>
      <c r="BQ1773" s="4"/>
      <c r="BR1773" s="4" t="s">
        <v>104</v>
      </c>
      <c r="BS1773" s="4" t="s">
        <v>30362</v>
      </c>
      <c r="BT1773" s="4" t="str">
        <f aca="false">HYPERLINK("https%3A%2F%2Fwww.webofscience.com%2Fwos%2Fwoscc%2Ffull-record%2FWOS:000232623200014","View Full Record in Web of Science")</f>
        <v>View Full Record in Web of Science</v>
      </c>
    </row>
    <row r="1774" s="5" customFormat="true" ht="12.75" hidden="false" customHeight="false" outlineLevel="0" collapsed="false">
      <c r="A1774" s="4" t="s">
        <v>72</v>
      </c>
      <c r="B1774" s="4" t="s">
        <v>30363</v>
      </c>
      <c r="C1774" s="4"/>
      <c r="D1774" s="4"/>
      <c r="E1774" s="4"/>
      <c r="F1774" s="4" t="s">
        <v>30364</v>
      </c>
      <c r="G1774" s="4"/>
      <c r="H1774" s="4"/>
      <c r="I1774" s="4" t="s">
        <v>30365</v>
      </c>
      <c r="J1774" s="4" t="s">
        <v>7145</v>
      </c>
      <c r="K1774" s="4"/>
      <c r="L1774" s="4"/>
      <c r="M1774" s="4" t="s">
        <v>77</v>
      </c>
      <c r="N1774" s="4" t="s">
        <v>78</v>
      </c>
      <c r="O1774" s="4"/>
      <c r="P1774" s="4"/>
      <c r="Q1774" s="4"/>
      <c r="R1774" s="4"/>
      <c r="S1774" s="4"/>
      <c r="T1774" s="1" t="s">
        <v>30366</v>
      </c>
      <c r="U1774" s="4" t="s">
        <v>30367</v>
      </c>
      <c r="V1774" s="4" t="s">
        <v>30368</v>
      </c>
      <c r="W1774" s="4" t="s">
        <v>30369</v>
      </c>
      <c r="X1774" s="4" t="s">
        <v>12119</v>
      </c>
      <c r="Y1774" s="4" t="s">
        <v>30370</v>
      </c>
      <c r="Z1774" s="4" t="s">
        <v>28013</v>
      </c>
      <c r="AA1774" s="4" t="s">
        <v>30371</v>
      </c>
      <c r="AB1774" s="4" t="s">
        <v>13855</v>
      </c>
      <c r="AC1774" s="4"/>
      <c r="AD1774" s="4"/>
      <c r="AE1774" s="4"/>
      <c r="AF1774" s="4"/>
      <c r="AG1774" s="4" t="n">
        <v>24</v>
      </c>
      <c r="AH1774" s="4" t="n">
        <v>12</v>
      </c>
      <c r="AI1774" s="4" t="n">
        <v>13</v>
      </c>
      <c r="AJ1774" s="4" t="n">
        <v>0</v>
      </c>
      <c r="AK1774" s="4" t="n">
        <v>4</v>
      </c>
      <c r="AL1774" s="4" t="s">
        <v>28431</v>
      </c>
      <c r="AM1774" s="4" t="s">
        <v>28432</v>
      </c>
      <c r="AN1774" s="4" t="s">
        <v>28433</v>
      </c>
      <c r="AO1774" s="4" t="s">
        <v>7158</v>
      </c>
      <c r="AP1774" s="4"/>
      <c r="AQ1774" s="4"/>
      <c r="AR1774" s="4" t="s">
        <v>7160</v>
      </c>
      <c r="AS1774" s="4" t="s">
        <v>7161</v>
      </c>
      <c r="AT1774" s="4" t="s">
        <v>185</v>
      </c>
      <c r="AU1774" s="4" t="n">
        <v>2008</v>
      </c>
      <c r="AV1774" s="4" t="n">
        <v>89</v>
      </c>
      <c r="AW1774" s="4"/>
      <c r="AX1774" s="4" t="n">
        <v>8</v>
      </c>
      <c r="AY1774" s="4"/>
      <c r="AZ1774" s="4"/>
      <c r="BA1774" s="4"/>
      <c r="BB1774" s="4" t="n">
        <v>1970</v>
      </c>
      <c r="BC1774" s="4" t="n">
        <v>1977</v>
      </c>
      <c r="BD1774" s="4"/>
      <c r="BE1774" s="4" t="s">
        <v>30372</v>
      </c>
      <c r="BF1774" s="4" t="str">
        <f aca="false">HYPERLINK("http://dx.doi.org/10.1099/vir.0.83679-0","http://dx.doi.org/10.1099/vir.0.83679-0")</f>
        <v>http://dx.doi.org/10.1099/vir.0.83679-0</v>
      </c>
      <c r="BG1774" s="4"/>
      <c r="BH1774" s="4"/>
      <c r="BI1774" s="4" t="n">
        <v>8</v>
      </c>
      <c r="BJ1774" s="4" t="s">
        <v>7163</v>
      </c>
      <c r="BK1774" s="4" t="s">
        <v>100</v>
      </c>
      <c r="BL1774" s="4" t="s">
        <v>7163</v>
      </c>
      <c r="BM1774" s="4" t="s">
        <v>30373</v>
      </c>
      <c r="BN1774" s="4" t="n">
        <v>18632969</v>
      </c>
      <c r="BO1774" s="4" t="s">
        <v>656</v>
      </c>
      <c r="BP1774" s="4"/>
      <c r="BQ1774" s="4"/>
      <c r="BR1774" s="4" t="s">
        <v>104</v>
      </c>
      <c r="BS1774" s="4" t="s">
        <v>30374</v>
      </c>
      <c r="BT1774" s="4" t="str">
        <f aca="false">HYPERLINK("https%3A%2F%2Fwww.webofscience.com%2Fwos%2Fwoscc%2Ffull-record%2FWOS:000258301800021","View Full Record in Web of Science")</f>
        <v>View Full Record in Web of Science</v>
      </c>
    </row>
    <row r="1775" s="5" customFormat="true" ht="12.75" hidden="false" customHeight="false" outlineLevel="0" collapsed="false">
      <c r="A1775" s="4" t="s">
        <v>72</v>
      </c>
      <c r="B1775" s="4" t="s">
        <v>30375</v>
      </c>
      <c r="C1775" s="4"/>
      <c r="D1775" s="4"/>
      <c r="E1775" s="4"/>
      <c r="F1775" s="4" t="s">
        <v>30376</v>
      </c>
      <c r="G1775" s="4"/>
      <c r="H1775" s="4"/>
      <c r="I1775" s="4" t="s">
        <v>30377</v>
      </c>
      <c r="J1775" s="4" t="s">
        <v>742</v>
      </c>
      <c r="K1775" s="4"/>
      <c r="L1775" s="4"/>
      <c r="M1775" s="4" t="s">
        <v>77</v>
      </c>
      <c r="N1775" s="4" t="s">
        <v>78</v>
      </c>
      <c r="O1775" s="4"/>
      <c r="P1775" s="4"/>
      <c r="Q1775" s="4"/>
      <c r="R1775" s="4"/>
      <c r="S1775" s="4"/>
      <c r="T1775" s="1" t="s">
        <v>30378</v>
      </c>
      <c r="U1775" s="4" t="s">
        <v>30379</v>
      </c>
      <c r="V1775" s="4" t="s">
        <v>30380</v>
      </c>
      <c r="W1775" s="4" t="s">
        <v>30381</v>
      </c>
      <c r="X1775" s="4" t="s">
        <v>30382</v>
      </c>
      <c r="Y1775" s="4" t="s">
        <v>30383</v>
      </c>
      <c r="Z1775" s="4" t="s">
        <v>30384</v>
      </c>
      <c r="AA1775" s="4" t="s">
        <v>30385</v>
      </c>
      <c r="AB1775" s="4" t="s">
        <v>30386</v>
      </c>
      <c r="AC1775" s="4" t="s">
        <v>30387</v>
      </c>
      <c r="AD1775" s="4" t="s">
        <v>10355</v>
      </c>
      <c r="AE1775" s="4"/>
      <c r="AF1775" s="4"/>
      <c r="AG1775" s="4" t="n">
        <v>28</v>
      </c>
      <c r="AH1775" s="4" t="n">
        <v>25</v>
      </c>
      <c r="AI1775" s="4" t="n">
        <v>31</v>
      </c>
      <c r="AJ1775" s="4" t="n">
        <v>0</v>
      </c>
      <c r="AK1775" s="4" t="n">
        <v>1</v>
      </c>
      <c r="AL1775" s="4" t="s">
        <v>755</v>
      </c>
      <c r="AM1775" s="4" t="s">
        <v>273</v>
      </c>
      <c r="AN1775" s="4" t="s">
        <v>756</v>
      </c>
      <c r="AO1775" s="4" t="s">
        <v>757</v>
      </c>
      <c r="AP1775" s="4" t="s">
        <v>758</v>
      </c>
      <c r="AQ1775" s="4"/>
      <c r="AR1775" s="4" t="s">
        <v>759</v>
      </c>
      <c r="AS1775" s="4" t="s">
        <v>760</v>
      </c>
      <c r="AT1775" s="4" t="s">
        <v>336</v>
      </c>
      <c r="AU1775" s="4" t="n">
        <v>2007</v>
      </c>
      <c r="AV1775" s="4" t="n">
        <v>81</v>
      </c>
      <c r="AW1775" s="4" t="n">
        <v>20</v>
      </c>
      <c r="AX1775" s="4"/>
      <c r="AY1775" s="4"/>
      <c r="AZ1775" s="4"/>
      <c r="BA1775" s="4"/>
      <c r="BB1775" s="4" t="n">
        <v>11461</v>
      </c>
      <c r="BC1775" s="4" t="n">
        <v>11467</v>
      </c>
      <c r="BD1775" s="4"/>
      <c r="BE1775" s="4" t="s">
        <v>30388</v>
      </c>
      <c r="BF1775" s="4" t="str">
        <f aca="false">HYPERLINK("http://dx.doi.org/10.1128/JVI.02423-06","http://dx.doi.org/10.1128/JVI.02423-06")</f>
        <v>http://dx.doi.org/10.1128/JVI.02423-06</v>
      </c>
      <c r="BG1775" s="4"/>
      <c r="BH1775" s="4"/>
      <c r="BI1775" s="4" t="n">
        <v>7</v>
      </c>
      <c r="BJ1775" s="4" t="s">
        <v>163</v>
      </c>
      <c r="BK1775" s="4" t="s">
        <v>100</v>
      </c>
      <c r="BL1775" s="4" t="s">
        <v>163</v>
      </c>
      <c r="BM1775" s="4" t="s">
        <v>30389</v>
      </c>
      <c r="BN1775" s="4" t="n">
        <v>17670840</v>
      </c>
      <c r="BO1775" s="4" t="s">
        <v>165</v>
      </c>
      <c r="BP1775" s="4"/>
      <c r="BQ1775" s="4"/>
      <c r="BR1775" s="4" t="s">
        <v>104</v>
      </c>
      <c r="BS1775" s="4" t="s">
        <v>30390</v>
      </c>
      <c r="BT1775" s="4" t="str">
        <f aca="false">HYPERLINK("https%3A%2F%2Fwww.webofscience.com%2Fwos%2Fwoscc%2Ffull-record%2FWOS:000250019400059","View Full Record in Web of Science")</f>
        <v>View Full Record in Web of Science</v>
      </c>
    </row>
    <row r="1776" s="5" customFormat="true" ht="12.75" hidden="false" customHeight="false" outlineLevel="0" collapsed="false">
      <c r="A1776" s="4" t="s">
        <v>72</v>
      </c>
      <c r="B1776" s="4" t="s">
        <v>30391</v>
      </c>
      <c r="C1776" s="4"/>
      <c r="D1776" s="4"/>
      <c r="E1776" s="4"/>
      <c r="F1776" s="4" t="s">
        <v>30392</v>
      </c>
      <c r="G1776" s="4"/>
      <c r="H1776" s="4"/>
      <c r="I1776" s="4" t="s">
        <v>30393</v>
      </c>
      <c r="J1776" s="4" t="s">
        <v>1863</v>
      </c>
      <c r="K1776" s="4"/>
      <c r="L1776" s="4"/>
      <c r="M1776" s="4" t="s">
        <v>77</v>
      </c>
      <c r="N1776" s="4" t="s">
        <v>78</v>
      </c>
      <c r="O1776" s="4"/>
      <c r="P1776" s="4"/>
      <c r="Q1776" s="4"/>
      <c r="R1776" s="4"/>
      <c r="S1776" s="4"/>
      <c r="T1776" s="1" t="s">
        <v>30394</v>
      </c>
      <c r="U1776" s="4" t="s">
        <v>30395</v>
      </c>
      <c r="V1776" s="4" t="s">
        <v>30396</v>
      </c>
      <c r="W1776" s="4" t="s">
        <v>30397</v>
      </c>
      <c r="X1776" s="4" t="s">
        <v>30398</v>
      </c>
      <c r="Y1776" s="4" t="s">
        <v>30399</v>
      </c>
      <c r="Z1776" s="4" t="s">
        <v>30400</v>
      </c>
      <c r="AA1776" s="4" t="s">
        <v>30205</v>
      </c>
      <c r="AB1776" s="4" t="s">
        <v>30401</v>
      </c>
      <c r="AC1776" s="4" t="s">
        <v>30402</v>
      </c>
      <c r="AD1776" s="4" t="s">
        <v>30403</v>
      </c>
      <c r="AE1776" s="4" t="s">
        <v>30404</v>
      </c>
      <c r="AF1776" s="4"/>
      <c r="AG1776" s="4" t="n">
        <v>57</v>
      </c>
      <c r="AH1776" s="4" t="n">
        <v>63</v>
      </c>
      <c r="AI1776" s="4" t="n">
        <v>74</v>
      </c>
      <c r="AJ1776" s="4" t="n">
        <v>1</v>
      </c>
      <c r="AK1776" s="4" t="n">
        <v>2</v>
      </c>
      <c r="AL1776" s="4" t="s">
        <v>302</v>
      </c>
      <c r="AM1776" s="4" t="s">
        <v>303</v>
      </c>
      <c r="AN1776" s="4" t="s">
        <v>304</v>
      </c>
      <c r="AO1776" s="4" t="s">
        <v>1876</v>
      </c>
      <c r="AP1776" s="4"/>
      <c r="AQ1776" s="4"/>
      <c r="AR1776" s="4" t="s">
        <v>1877</v>
      </c>
      <c r="AS1776" s="4" t="s">
        <v>1878</v>
      </c>
      <c r="AT1776" s="4" t="s">
        <v>28071</v>
      </c>
      <c r="AU1776" s="4" t="n">
        <v>2009</v>
      </c>
      <c r="AV1776" s="4" t="n">
        <v>6</v>
      </c>
      <c r="AW1776" s="4"/>
      <c r="AX1776" s="4"/>
      <c r="AY1776" s="4"/>
      <c r="AZ1776" s="4"/>
      <c r="BA1776" s="4"/>
      <c r="BB1776" s="4"/>
      <c r="BC1776" s="4"/>
      <c r="BD1776" s="4" t="n">
        <v>138</v>
      </c>
      <c r="BE1776" s="4" t="s">
        <v>30405</v>
      </c>
      <c r="BF1776" s="4" t="str">
        <f aca="false">HYPERLINK("http://dx.doi.org/10.1186/1743-422X-6-138","http://dx.doi.org/10.1186/1743-422X-6-138")</f>
        <v>http://dx.doi.org/10.1186/1743-422X-6-138</v>
      </c>
      <c r="BG1776" s="4"/>
      <c r="BH1776" s="4"/>
      <c r="BI1776" s="4" t="n">
        <v>10</v>
      </c>
      <c r="BJ1776" s="4" t="s">
        <v>163</v>
      </c>
      <c r="BK1776" s="4" t="s">
        <v>100</v>
      </c>
      <c r="BL1776" s="4" t="s">
        <v>163</v>
      </c>
      <c r="BM1776" s="4" t="s">
        <v>30406</v>
      </c>
      <c r="BN1776" s="4" t="n">
        <v>19740442</v>
      </c>
      <c r="BO1776" s="4" t="s">
        <v>103</v>
      </c>
      <c r="BP1776" s="4"/>
      <c r="BQ1776" s="4"/>
      <c r="BR1776" s="4" t="s">
        <v>104</v>
      </c>
      <c r="BS1776" s="4" t="s">
        <v>30407</v>
      </c>
      <c r="BT1776" s="4" t="str">
        <f aca="false">HYPERLINK("https%3A%2F%2Fwww.webofscience.com%2Fwos%2Fwoscc%2Ffull-record%2FWOS:000271008500001","View Full Record in Web of Science")</f>
        <v>View Full Record in Web of Science</v>
      </c>
    </row>
    <row r="1777" s="5" customFormat="true" ht="12.75" hidden="false" customHeight="false" outlineLevel="0" collapsed="false">
      <c r="A1777" s="4" t="s">
        <v>72</v>
      </c>
      <c r="B1777" s="4" t="s">
        <v>30408</v>
      </c>
      <c r="C1777" s="4"/>
      <c r="D1777" s="4"/>
      <c r="E1777" s="4"/>
      <c r="F1777" s="4" t="s">
        <v>30409</v>
      </c>
      <c r="G1777" s="4"/>
      <c r="H1777" s="4"/>
      <c r="I1777" s="4" t="s">
        <v>30410</v>
      </c>
      <c r="J1777" s="4" t="s">
        <v>27548</v>
      </c>
      <c r="K1777" s="4"/>
      <c r="L1777" s="4"/>
      <c r="M1777" s="4" t="s">
        <v>77</v>
      </c>
      <c r="N1777" s="4" t="s">
        <v>78</v>
      </c>
      <c r="O1777" s="4"/>
      <c r="P1777" s="4"/>
      <c r="Q1777" s="4"/>
      <c r="R1777" s="4"/>
      <c r="S1777" s="4"/>
      <c r="T1777" s="1" t="s">
        <v>30411</v>
      </c>
      <c r="U1777" s="4" t="s">
        <v>30412</v>
      </c>
      <c r="V1777" s="4" t="s">
        <v>30413</v>
      </c>
      <c r="W1777" s="4" t="s">
        <v>30414</v>
      </c>
      <c r="X1777" s="4" t="s">
        <v>30415</v>
      </c>
      <c r="Y1777" s="4" t="s">
        <v>30416</v>
      </c>
      <c r="Z1777" s="4" t="s">
        <v>6440</v>
      </c>
      <c r="AA1777" s="4" t="s">
        <v>6460</v>
      </c>
      <c r="AB1777" s="4" t="s">
        <v>6461</v>
      </c>
      <c r="AC1777" s="4" t="s">
        <v>30417</v>
      </c>
      <c r="AD1777" s="4" t="s">
        <v>30418</v>
      </c>
      <c r="AE1777" s="4" t="s">
        <v>30419</v>
      </c>
      <c r="AF1777" s="4"/>
      <c r="AG1777" s="4" t="n">
        <v>15</v>
      </c>
      <c r="AH1777" s="4" t="n">
        <v>26</v>
      </c>
      <c r="AI1777" s="4" t="n">
        <v>29</v>
      </c>
      <c r="AJ1777" s="4" t="n">
        <v>0</v>
      </c>
      <c r="AK1777" s="4" t="n">
        <v>1</v>
      </c>
      <c r="AL1777" s="4" t="s">
        <v>27851</v>
      </c>
      <c r="AM1777" s="4" t="s">
        <v>27561</v>
      </c>
      <c r="AN1777" s="4" t="s">
        <v>27562</v>
      </c>
      <c r="AO1777" s="4" t="s">
        <v>27563</v>
      </c>
      <c r="AP1777" s="4" t="s">
        <v>27564</v>
      </c>
      <c r="AQ1777" s="4"/>
      <c r="AR1777" s="4" t="s">
        <v>27565</v>
      </c>
      <c r="AS1777" s="4" t="s">
        <v>27566</v>
      </c>
      <c r="AT1777" s="4" t="s">
        <v>390</v>
      </c>
      <c r="AU1777" s="4" t="n">
        <v>2009</v>
      </c>
      <c r="AV1777" s="4" t="n">
        <v>15</v>
      </c>
      <c r="AW1777" s="4" t="n">
        <v>5</v>
      </c>
      <c r="AX1777" s="4"/>
      <c r="AY1777" s="4"/>
      <c r="AZ1777" s="4"/>
      <c r="BA1777" s="4"/>
      <c r="BB1777" s="4" t="n">
        <v>806</v>
      </c>
      <c r="BC1777" s="4" t="n">
        <v>808</v>
      </c>
      <c r="BD1777" s="4"/>
      <c r="BE1777" s="4" t="s">
        <v>30420</v>
      </c>
      <c r="BF1777" s="4" t="str">
        <f aca="false">HYPERLINK("http://dx.doi.org/10.3201/eid1505.081603","http://dx.doi.org/10.3201/eid1505.081603")</f>
        <v>http://dx.doi.org/10.3201/eid1505.081603</v>
      </c>
      <c r="BG1777" s="4"/>
      <c r="BH1777" s="4"/>
      <c r="BI1777" s="4" t="n">
        <v>3</v>
      </c>
      <c r="BJ1777" s="4" t="s">
        <v>965</v>
      </c>
      <c r="BK1777" s="4" t="s">
        <v>100</v>
      </c>
      <c r="BL1777" s="4" t="s">
        <v>965</v>
      </c>
      <c r="BM1777" s="4" t="s">
        <v>30421</v>
      </c>
      <c r="BN1777" s="4" t="n">
        <v>19402976</v>
      </c>
      <c r="BO1777" s="4" t="s">
        <v>190</v>
      </c>
      <c r="BP1777" s="4"/>
      <c r="BQ1777" s="4"/>
      <c r="BR1777" s="4" t="s">
        <v>104</v>
      </c>
      <c r="BS1777" s="4" t="s">
        <v>30422</v>
      </c>
      <c r="BT1777" s="4" t="str">
        <f aca="false">HYPERLINK("https%3A%2F%2Fwww.webofscience.com%2Fwos%2Fwoscc%2Ffull-record%2FWOS:000265518800023","View Full Record in Web of Science")</f>
        <v>View Full Record in Web of Science</v>
      </c>
    </row>
    <row r="1778" s="5" customFormat="true" ht="12.75" hidden="false" customHeight="false" outlineLevel="0" collapsed="false">
      <c r="A1778" s="4" t="s">
        <v>72</v>
      </c>
      <c r="B1778" s="4" t="s">
        <v>30423</v>
      </c>
      <c r="C1778" s="4"/>
      <c r="D1778" s="4"/>
      <c r="E1778" s="4"/>
      <c r="F1778" s="4" t="s">
        <v>30423</v>
      </c>
      <c r="G1778" s="4"/>
      <c r="H1778" s="4"/>
      <c r="I1778" s="4" t="s">
        <v>30424</v>
      </c>
      <c r="J1778" s="4" t="s">
        <v>2222</v>
      </c>
      <c r="K1778" s="4"/>
      <c r="L1778" s="4"/>
      <c r="M1778" s="4" t="s">
        <v>77</v>
      </c>
      <c r="N1778" s="4" t="s">
        <v>78</v>
      </c>
      <c r="O1778" s="4"/>
      <c r="P1778" s="4"/>
      <c r="Q1778" s="4"/>
      <c r="R1778" s="4"/>
      <c r="S1778" s="4"/>
      <c r="T1778" s="1" t="s">
        <v>30425</v>
      </c>
      <c r="U1778" s="4" t="s">
        <v>30426</v>
      </c>
      <c r="V1778" s="4" t="s">
        <v>30427</v>
      </c>
      <c r="W1778" s="4" t="s">
        <v>30428</v>
      </c>
      <c r="X1778" s="4" t="s">
        <v>12353</v>
      </c>
      <c r="Y1778" s="4" t="s">
        <v>30429</v>
      </c>
      <c r="Z1778" s="4" t="s">
        <v>12355</v>
      </c>
      <c r="AA1778" s="4"/>
      <c r="AB1778" s="4" t="s">
        <v>2414</v>
      </c>
      <c r="AC1778" s="4"/>
      <c r="AD1778" s="4"/>
      <c r="AE1778" s="4"/>
      <c r="AF1778" s="4"/>
      <c r="AG1778" s="4" t="n">
        <v>16</v>
      </c>
      <c r="AH1778" s="4" t="n">
        <v>91</v>
      </c>
      <c r="AI1778" s="4" t="n">
        <v>104</v>
      </c>
      <c r="AJ1778" s="4" t="n">
        <v>0</v>
      </c>
      <c r="AK1778" s="4" t="n">
        <v>2</v>
      </c>
      <c r="AL1778" s="4" t="s">
        <v>755</v>
      </c>
      <c r="AM1778" s="4" t="s">
        <v>273</v>
      </c>
      <c r="AN1778" s="4" t="s">
        <v>756</v>
      </c>
      <c r="AO1778" s="4" t="s">
        <v>2234</v>
      </c>
      <c r="AP1778" s="4" t="s">
        <v>2235</v>
      </c>
      <c r="AQ1778" s="4"/>
      <c r="AR1778" s="4" t="s">
        <v>2236</v>
      </c>
      <c r="AS1778" s="4" t="s">
        <v>2237</v>
      </c>
      <c r="AT1778" s="4" t="s">
        <v>185</v>
      </c>
      <c r="AU1778" s="4" t="n">
        <v>2003</v>
      </c>
      <c r="AV1778" s="4" t="n">
        <v>41</v>
      </c>
      <c r="AW1778" s="4" t="n">
        <v>8</v>
      </c>
      <c r="AX1778" s="4"/>
      <c r="AY1778" s="4"/>
      <c r="AZ1778" s="4"/>
      <c r="BA1778" s="4"/>
      <c r="BB1778" s="4" t="n">
        <v>3631</v>
      </c>
      <c r="BC1778" s="4" t="n">
        <v>3635</v>
      </c>
      <c r="BD1778" s="4"/>
      <c r="BE1778" s="4" t="s">
        <v>30430</v>
      </c>
      <c r="BF1778" s="4" t="str">
        <f aca="false">HYPERLINK("http://dx.doi.org/10.1128/JCM.41.8.3631-3635.2003","http://dx.doi.org/10.1128/JCM.41.8.3631-3635.2003")</f>
        <v>http://dx.doi.org/10.1128/JCM.41.8.3631-3635.2003</v>
      </c>
      <c r="BG1778" s="4"/>
      <c r="BH1778" s="4"/>
      <c r="BI1778" s="4" t="n">
        <v>5</v>
      </c>
      <c r="BJ1778" s="4" t="s">
        <v>211</v>
      </c>
      <c r="BK1778" s="4" t="s">
        <v>100</v>
      </c>
      <c r="BL1778" s="4" t="s">
        <v>211</v>
      </c>
      <c r="BM1778" s="4" t="s">
        <v>30431</v>
      </c>
      <c r="BN1778" s="4" t="n">
        <v>12904367</v>
      </c>
      <c r="BO1778" s="4" t="s">
        <v>165</v>
      </c>
      <c r="BP1778" s="4"/>
      <c r="BQ1778" s="4"/>
      <c r="BR1778" s="4" t="s">
        <v>104</v>
      </c>
      <c r="BS1778" s="4" t="s">
        <v>30432</v>
      </c>
      <c r="BT1778" s="4" t="str">
        <f aca="false">HYPERLINK("https%3A%2F%2Fwww.webofscience.com%2Fwos%2Fwoscc%2Ffull-record%2FWOS:000184746500028","View Full Record in Web of Science")</f>
        <v>View Full Record in Web of Science</v>
      </c>
    </row>
    <row r="1779" s="5" customFormat="true" ht="12.75" hidden="false" customHeight="false" outlineLevel="0" collapsed="false">
      <c r="A1779" s="4" t="s">
        <v>72</v>
      </c>
      <c r="B1779" s="4" t="s">
        <v>30433</v>
      </c>
      <c r="C1779" s="4"/>
      <c r="D1779" s="4"/>
      <c r="E1779" s="4"/>
      <c r="F1779" s="4" t="s">
        <v>30434</v>
      </c>
      <c r="G1779" s="4"/>
      <c r="H1779" s="4"/>
      <c r="I1779" s="4" t="s">
        <v>30435</v>
      </c>
      <c r="J1779" s="4" t="s">
        <v>28550</v>
      </c>
      <c r="K1779" s="4"/>
      <c r="L1779" s="4"/>
      <c r="M1779" s="4" t="s">
        <v>77</v>
      </c>
      <c r="N1779" s="4" t="s">
        <v>78</v>
      </c>
      <c r="O1779" s="4"/>
      <c r="P1779" s="4"/>
      <c r="Q1779" s="4"/>
      <c r="R1779" s="4"/>
      <c r="S1779" s="4"/>
      <c r="T1779" s="1" t="s">
        <v>30436</v>
      </c>
      <c r="U1779" s="4" t="s">
        <v>30437</v>
      </c>
      <c r="V1779" s="4" t="s">
        <v>30438</v>
      </c>
      <c r="W1779" s="4" t="s">
        <v>30439</v>
      </c>
      <c r="X1779" s="4" t="s">
        <v>30440</v>
      </c>
      <c r="Y1779" s="4" t="s">
        <v>30441</v>
      </c>
      <c r="Z1779" s="4" t="s">
        <v>15196</v>
      </c>
      <c r="AA1779" s="4"/>
      <c r="AB1779" s="4"/>
      <c r="AC1779" s="4"/>
      <c r="AD1779" s="4"/>
      <c r="AE1779" s="4"/>
      <c r="AF1779" s="4"/>
      <c r="AG1779" s="4" t="n">
        <v>90</v>
      </c>
      <c r="AH1779" s="4" t="n">
        <v>12</v>
      </c>
      <c r="AI1779" s="4" t="n">
        <v>13</v>
      </c>
      <c r="AJ1779" s="4" t="n">
        <v>0</v>
      </c>
      <c r="AK1779" s="4" t="n">
        <v>2</v>
      </c>
      <c r="AL1779" s="4" t="s">
        <v>1242</v>
      </c>
      <c r="AM1779" s="4" t="s">
        <v>303</v>
      </c>
      <c r="AN1779" s="4" t="s">
        <v>467</v>
      </c>
      <c r="AO1779" s="4" t="s">
        <v>28561</v>
      </c>
      <c r="AP1779" s="4" t="s">
        <v>28562</v>
      </c>
      <c r="AQ1779" s="4"/>
      <c r="AR1779" s="4" t="s">
        <v>28563</v>
      </c>
      <c r="AS1779" s="4" t="s">
        <v>28564</v>
      </c>
      <c r="AT1779" s="4" t="s">
        <v>390</v>
      </c>
      <c r="AU1779" s="4" t="n">
        <v>2009</v>
      </c>
      <c r="AV1779" s="4" t="n">
        <v>65</v>
      </c>
      <c r="AW1779" s="4" t="n">
        <v>5</v>
      </c>
      <c r="AX1779" s="4" t="n">
        <v>2</v>
      </c>
      <c r="AY1779" s="4"/>
      <c r="AZ1779" s="4"/>
      <c r="BA1779" s="4"/>
      <c r="BB1779" s="4" t="s">
        <v>30442</v>
      </c>
      <c r="BC1779" s="4" t="s">
        <v>30443</v>
      </c>
      <c r="BD1779" s="4"/>
      <c r="BE1779" s="4" t="s">
        <v>30444</v>
      </c>
      <c r="BF1779" s="4" t="str">
        <f aca="false">HYPERLINK("http://dx.doi.org/10.1203/PDR.0b013e31819db90c","http://dx.doi.org/10.1203/PDR.0b013e31819db90c")</f>
        <v>http://dx.doi.org/10.1203/PDR.0b013e31819db90c</v>
      </c>
      <c r="BG1779" s="4"/>
      <c r="BH1779" s="4"/>
      <c r="BI1779" s="4" t="n">
        <v>6</v>
      </c>
      <c r="BJ1779" s="4" t="s">
        <v>601</v>
      </c>
      <c r="BK1779" s="4" t="s">
        <v>100</v>
      </c>
      <c r="BL1779" s="4" t="s">
        <v>601</v>
      </c>
      <c r="BM1779" s="4" t="s">
        <v>30445</v>
      </c>
      <c r="BN1779" s="4" t="n">
        <v>19190535</v>
      </c>
      <c r="BO1779" s="4" t="s">
        <v>656</v>
      </c>
      <c r="BP1779" s="4"/>
      <c r="BQ1779" s="4"/>
      <c r="BR1779" s="4" t="s">
        <v>104</v>
      </c>
      <c r="BS1779" s="4" t="s">
        <v>30446</v>
      </c>
      <c r="BT1779" s="4" t="str">
        <f aca="false">HYPERLINK("https%3A%2F%2Fwww.webofscience.com%2Fwos%2Fwoscc%2Ffull-record%2FWOS:000265448900012","View Full Record in Web of Science")</f>
        <v>View Full Record in Web of Science</v>
      </c>
    </row>
    <row r="1780" s="5" customFormat="true" ht="12.75" hidden="false" customHeight="false" outlineLevel="0" collapsed="false">
      <c r="A1780" s="4" t="s">
        <v>72</v>
      </c>
      <c r="B1780" s="4" t="s">
        <v>30447</v>
      </c>
      <c r="C1780" s="4"/>
      <c r="D1780" s="4"/>
      <c r="E1780" s="4"/>
      <c r="F1780" s="4" t="s">
        <v>30448</v>
      </c>
      <c r="G1780" s="4"/>
      <c r="H1780" s="4"/>
      <c r="I1780" s="4" t="s">
        <v>30449</v>
      </c>
      <c r="J1780" s="4" t="s">
        <v>30450</v>
      </c>
      <c r="K1780" s="4"/>
      <c r="L1780" s="4"/>
      <c r="M1780" s="4" t="s">
        <v>77</v>
      </c>
      <c r="N1780" s="4" t="s">
        <v>78</v>
      </c>
      <c r="O1780" s="4"/>
      <c r="P1780" s="4"/>
      <c r="Q1780" s="4"/>
      <c r="R1780" s="4"/>
      <c r="S1780" s="4"/>
      <c r="T1780" s="1" t="s">
        <v>30451</v>
      </c>
      <c r="U1780" s="4" t="s">
        <v>30452</v>
      </c>
      <c r="V1780" s="4" t="s">
        <v>30453</v>
      </c>
      <c r="W1780" s="4" t="s">
        <v>30454</v>
      </c>
      <c r="X1780" s="4" t="s">
        <v>29825</v>
      </c>
      <c r="Y1780" s="4" t="s">
        <v>30455</v>
      </c>
      <c r="Z1780" s="4" t="s">
        <v>30456</v>
      </c>
      <c r="AA1780" s="4" t="s">
        <v>30457</v>
      </c>
      <c r="AB1780" s="4" t="s">
        <v>30458</v>
      </c>
      <c r="AC1780" s="4" t="s">
        <v>30459</v>
      </c>
      <c r="AD1780" s="4" t="s">
        <v>30460</v>
      </c>
      <c r="AE1780" s="4" t="s">
        <v>30461</v>
      </c>
      <c r="AF1780" s="4"/>
      <c r="AG1780" s="4" t="n">
        <v>92</v>
      </c>
      <c r="AH1780" s="4" t="n">
        <v>11</v>
      </c>
      <c r="AI1780" s="4" t="n">
        <v>14</v>
      </c>
      <c r="AJ1780" s="4" t="n">
        <v>1</v>
      </c>
      <c r="AK1780" s="4" t="n">
        <v>5</v>
      </c>
      <c r="AL1780" s="4" t="s">
        <v>1704</v>
      </c>
      <c r="AM1780" s="4" t="s">
        <v>1705</v>
      </c>
      <c r="AN1780" s="4" t="s">
        <v>1706</v>
      </c>
      <c r="AO1780" s="4" t="s">
        <v>30462</v>
      </c>
      <c r="AP1780" s="4" t="s">
        <v>30463</v>
      </c>
      <c r="AQ1780" s="4"/>
      <c r="AR1780" s="4" t="s">
        <v>30450</v>
      </c>
      <c r="AS1780" s="4" t="s">
        <v>30464</v>
      </c>
      <c r="AT1780" s="4" t="s">
        <v>30465</v>
      </c>
      <c r="AU1780" s="4" t="n">
        <v>2022</v>
      </c>
      <c r="AV1780" s="4" t="n">
        <v>55</v>
      </c>
      <c r="AW1780" s="4" t="n">
        <v>9</v>
      </c>
      <c r="AX1780" s="4"/>
      <c r="AY1780" s="4"/>
      <c r="AZ1780" s="4"/>
      <c r="BA1780" s="4"/>
      <c r="BB1780" s="4" t="n">
        <v>1710</v>
      </c>
      <c r="BC1780" s="4" t="s">
        <v>986</v>
      </c>
      <c r="BD1780" s="4"/>
      <c r="BE1780" s="4" t="s">
        <v>30466</v>
      </c>
      <c r="BF1780" s="4" t="str">
        <f aca="false">HYPERLINK("http://dx.doi.org/10.1016/j.immuni.2022.07.003","http://dx.doi.org/10.1016/j.immuni.2022.07.003")</f>
        <v>http://dx.doi.org/10.1016/j.immuni.2022.07.003</v>
      </c>
      <c r="BG1780" s="4"/>
      <c r="BH1780" s="4"/>
      <c r="BI1780" s="4" t="n">
        <v>24</v>
      </c>
      <c r="BJ1780" s="4" t="s">
        <v>628</v>
      </c>
      <c r="BK1780" s="4" t="s">
        <v>100</v>
      </c>
      <c r="BL1780" s="4" t="s">
        <v>628</v>
      </c>
      <c r="BM1780" s="4" t="s">
        <v>30467</v>
      </c>
      <c r="BN1780" s="4" t="n">
        <v>35944529</v>
      </c>
      <c r="BO1780" s="4" t="s">
        <v>2278</v>
      </c>
      <c r="BP1780" s="4"/>
      <c r="BQ1780" s="4"/>
      <c r="BR1780" s="4" t="s">
        <v>104</v>
      </c>
      <c r="BS1780" s="4" t="s">
        <v>30468</v>
      </c>
      <c r="BT1780" s="4" t="str">
        <f aca="false">HYPERLINK("https%3A%2F%2Fwww.webofscience.com%2Fwos%2Fwoscc%2Ffull-record%2FWOS:000898479000006","View Full Record in Web of Science")</f>
        <v>View Full Record in Web of Science</v>
      </c>
    </row>
    <row r="1781" s="5" customFormat="true" ht="12.75" hidden="false" customHeight="false" outlineLevel="0" collapsed="false">
      <c r="A1781" s="4" t="s">
        <v>72</v>
      </c>
      <c r="B1781" s="4" t="s">
        <v>30469</v>
      </c>
      <c r="C1781" s="4"/>
      <c r="D1781" s="4"/>
      <c r="E1781" s="4"/>
      <c r="F1781" s="4" t="s">
        <v>30470</v>
      </c>
      <c r="G1781" s="4"/>
      <c r="H1781" s="4"/>
      <c r="I1781" s="4" t="s">
        <v>30471</v>
      </c>
      <c r="J1781" s="4" t="s">
        <v>13758</v>
      </c>
      <c r="K1781" s="4"/>
      <c r="L1781" s="4"/>
      <c r="M1781" s="4" t="s">
        <v>77</v>
      </c>
      <c r="N1781" s="4" t="s">
        <v>78</v>
      </c>
      <c r="O1781" s="4"/>
      <c r="P1781" s="4"/>
      <c r="Q1781" s="4"/>
      <c r="R1781" s="4"/>
      <c r="S1781" s="4"/>
      <c r="T1781" s="1" t="s">
        <v>30472</v>
      </c>
      <c r="U1781" s="4" t="s">
        <v>30473</v>
      </c>
      <c r="V1781" s="4" t="s">
        <v>30474</v>
      </c>
      <c r="W1781" s="4" t="s">
        <v>30475</v>
      </c>
      <c r="X1781" s="4" t="s">
        <v>18847</v>
      </c>
      <c r="Y1781" s="4" t="s">
        <v>30476</v>
      </c>
      <c r="Z1781" s="4" t="s">
        <v>30477</v>
      </c>
      <c r="AA1781" s="4" t="s">
        <v>30478</v>
      </c>
      <c r="AB1781" s="4" t="s">
        <v>30479</v>
      </c>
      <c r="AC1781" s="4" t="s">
        <v>30480</v>
      </c>
      <c r="AD1781" s="4" t="s">
        <v>28792</v>
      </c>
      <c r="AE1781" s="4" t="s">
        <v>30481</v>
      </c>
      <c r="AF1781" s="4"/>
      <c r="AG1781" s="4" t="n">
        <v>43</v>
      </c>
      <c r="AH1781" s="4" t="n">
        <v>12</v>
      </c>
      <c r="AI1781" s="4" t="n">
        <v>13</v>
      </c>
      <c r="AJ1781" s="4" t="n">
        <v>0</v>
      </c>
      <c r="AK1781" s="4" t="n">
        <v>4</v>
      </c>
      <c r="AL1781" s="4" t="s">
        <v>13769</v>
      </c>
      <c r="AM1781" s="4" t="s">
        <v>16554</v>
      </c>
      <c r="AN1781" s="4" t="s">
        <v>16555</v>
      </c>
      <c r="AO1781" s="4" t="s">
        <v>13772</v>
      </c>
      <c r="AP1781" s="4" t="s">
        <v>13773</v>
      </c>
      <c r="AQ1781" s="4"/>
      <c r="AR1781" s="4" t="s">
        <v>13774</v>
      </c>
      <c r="AS1781" s="4" t="s">
        <v>13775</v>
      </c>
      <c r="AT1781" s="4" t="s">
        <v>1041</v>
      </c>
      <c r="AU1781" s="4" t="n">
        <v>2014</v>
      </c>
      <c r="AV1781" s="4" t="n">
        <v>159</v>
      </c>
      <c r="AW1781" s="4" t="n">
        <v>2</v>
      </c>
      <c r="AX1781" s="4"/>
      <c r="AY1781" s="4"/>
      <c r="AZ1781" s="4"/>
      <c r="BA1781" s="4"/>
      <c r="BB1781" s="4" t="n">
        <v>217</v>
      </c>
      <c r="BC1781" s="4" t="n">
        <v>225</v>
      </c>
      <c r="BD1781" s="4"/>
      <c r="BE1781" s="4" t="s">
        <v>30482</v>
      </c>
      <c r="BF1781" s="4" t="str">
        <f aca="false">HYPERLINK("http://dx.doi.org/10.1007/s00705-013-1812-6","http://dx.doi.org/10.1007/s00705-013-1812-6")</f>
        <v>http://dx.doi.org/10.1007/s00705-013-1812-6</v>
      </c>
      <c r="BG1781" s="4"/>
      <c r="BH1781" s="4"/>
      <c r="BI1781" s="4" t="n">
        <v>9</v>
      </c>
      <c r="BJ1781" s="4" t="s">
        <v>163</v>
      </c>
      <c r="BK1781" s="4" t="s">
        <v>100</v>
      </c>
      <c r="BL1781" s="4" t="s">
        <v>163</v>
      </c>
      <c r="BM1781" s="4" t="s">
        <v>30483</v>
      </c>
      <c r="BN1781" s="4" t="n">
        <v>23929232</v>
      </c>
      <c r="BO1781" s="4" t="s">
        <v>165</v>
      </c>
      <c r="BP1781" s="4"/>
      <c r="BQ1781" s="4"/>
      <c r="BR1781" s="4" t="s">
        <v>104</v>
      </c>
      <c r="BS1781" s="4" t="s">
        <v>30484</v>
      </c>
      <c r="BT1781" s="4" t="str">
        <f aca="false">HYPERLINK("https%3A%2F%2Fwww.webofscience.com%2Fwos%2Fwoscc%2Ffull-record%2FWOS:000330960200004","View Full Record in Web of Science")</f>
        <v>View Full Record in Web of Science</v>
      </c>
    </row>
    <row r="1782" s="5" customFormat="true" ht="12.75" hidden="false" customHeight="false" outlineLevel="0" collapsed="false">
      <c r="A1782" s="4" t="s">
        <v>72</v>
      </c>
      <c r="B1782" s="4" t="s">
        <v>30485</v>
      </c>
      <c r="C1782" s="4"/>
      <c r="D1782" s="4"/>
      <c r="E1782" s="4"/>
      <c r="F1782" s="4" t="s">
        <v>30486</v>
      </c>
      <c r="G1782" s="4"/>
      <c r="H1782" s="4"/>
      <c r="I1782" s="4" t="s">
        <v>30487</v>
      </c>
      <c r="J1782" s="4" t="s">
        <v>13758</v>
      </c>
      <c r="K1782" s="4"/>
      <c r="L1782" s="4"/>
      <c r="M1782" s="4" t="s">
        <v>77</v>
      </c>
      <c r="N1782" s="4" t="s">
        <v>78</v>
      </c>
      <c r="O1782" s="4"/>
      <c r="P1782" s="4"/>
      <c r="Q1782" s="4"/>
      <c r="R1782" s="4"/>
      <c r="S1782" s="4"/>
      <c r="T1782" s="1" t="s">
        <v>30488</v>
      </c>
      <c r="U1782" s="4" t="s">
        <v>30489</v>
      </c>
      <c r="V1782" s="4" t="s">
        <v>30490</v>
      </c>
      <c r="W1782" s="4" t="s">
        <v>30491</v>
      </c>
      <c r="X1782" s="4" t="s">
        <v>30492</v>
      </c>
      <c r="Y1782" s="4" t="s">
        <v>30493</v>
      </c>
      <c r="Z1782" s="4" t="s">
        <v>6724</v>
      </c>
      <c r="AA1782" s="4" t="s">
        <v>750</v>
      </c>
      <c r="AB1782" s="4" t="s">
        <v>2851</v>
      </c>
      <c r="AC1782" s="4" t="s">
        <v>30494</v>
      </c>
      <c r="AD1782" s="4" t="s">
        <v>30495</v>
      </c>
      <c r="AE1782" s="4" t="s">
        <v>30496</v>
      </c>
      <c r="AF1782" s="4"/>
      <c r="AG1782" s="4" t="n">
        <v>55</v>
      </c>
      <c r="AH1782" s="4" t="n">
        <v>12</v>
      </c>
      <c r="AI1782" s="4" t="n">
        <v>16</v>
      </c>
      <c r="AJ1782" s="4" t="n">
        <v>0</v>
      </c>
      <c r="AK1782" s="4" t="n">
        <v>4</v>
      </c>
      <c r="AL1782" s="4" t="s">
        <v>13769</v>
      </c>
      <c r="AM1782" s="4" t="s">
        <v>16554</v>
      </c>
      <c r="AN1782" s="4" t="s">
        <v>16555</v>
      </c>
      <c r="AO1782" s="4" t="s">
        <v>13772</v>
      </c>
      <c r="AP1782" s="4"/>
      <c r="AQ1782" s="4"/>
      <c r="AR1782" s="4" t="s">
        <v>13774</v>
      </c>
      <c r="AS1782" s="4" t="s">
        <v>13775</v>
      </c>
      <c r="AT1782" s="4" t="s">
        <v>486</v>
      </c>
      <c r="AU1782" s="4" t="n">
        <v>2013</v>
      </c>
      <c r="AV1782" s="4" t="n">
        <v>158</v>
      </c>
      <c r="AW1782" s="4" t="n">
        <v>6</v>
      </c>
      <c r="AX1782" s="4"/>
      <c r="AY1782" s="4"/>
      <c r="AZ1782" s="4"/>
      <c r="BA1782" s="4"/>
      <c r="BB1782" s="4" t="n">
        <v>1245</v>
      </c>
      <c r="BC1782" s="4" t="n">
        <v>1252</v>
      </c>
      <c r="BD1782" s="4"/>
      <c r="BE1782" s="4" t="s">
        <v>30497</v>
      </c>
      <c r="BF1782" s="4" t="str">
        <f aca="false">HYPERLINK("http://dx.doi.org/10.1007/s00705-013-1622-x","http://dx.doi.org/10.1007/s00705-013-1622-x")</f>
        <v>http://dx.doi.org/10.1007/s00705-013-1622-x</v>
      </c>
      <c r="BG1782" s="4"/>
      <c r="BH1782" s="4"/>
      <c r="BI1782" s="4" t="n">
        <v>8</v>
      </c>
      <c r="BJ1782" s="4" t="s">
        <v>163</v>
      </c>
      <c r="BK1782" s="4" t="s">
        <v>100</v>
      </c>
      <c r="BL1782" s="4" t="s">
        <v>163</v>
      </c>
      <c r="BM1782" s="4" t="s">
        <v>30498</v>
      </c>
      <c r="BN1782" s="4" t="n">
        <v>23385328</v>
      </c>
      <c r="BO1782" s="4" t="s">
        <v>695</v>
      </c>
      <c r="BP1782" s="4"/>
      <c r="BQ1782" s="4"/>
      <c r="BR1782" s="4" t="s">
        <v>104</v>
      </c>
      <c r="BS1782" s="4" t="s">
        <v>30499</v>
      </c>
      <c r="BT1782" s="4" t="str">
        <f aca="false">HYPERLINK("https%3A%2F%2Fwww.webofscience.com%2Fwos%2Fwoscc%2Ffull-record%2FWOS:000319762800013","View Full Record in Web of Science")</f>
        <v>View Full Record in Web of Science</v>
      </c>
    </row>
    <row r="1783" s="5" customFormat="true" ht="12.75" hidden="false" customHeight="false" outlineLevel="0" collapsed="false">
      <c r="A1783" s="4" t="s">
        <v>72</v>
      </c>
      <c r="B1783" s="4" t="s">
        <v>30500</v>
      </c>
      <c r="C1783" s="4"/>
      <c r="D1783" s="4"/>
      <c r="E1783" s="4"/>
      <c r="F1783" s="4" t="s">
        <v>30501</v>
      </c>
      <c r="G1783" s="4"/>
      <c r="H1783" s="4"/>
      <c r="I1783" s="4" t="s">
        <v>30502</v>
      </c>
      <c r="J1783" s="4" t="s">
        <v>27453</v>
      </c>
      <c r="K1783" s="4"/>
      <c r="L1783" s="4"/>
      <c r="M1783" s="4" t="s">
        <v>77</v>
      </c>
      <c r="N1783" s="4" t="s">
        <v>78</v>
      </c>
      <c r="O1783" s="4"/>
      <c r="P1783" s="4"/>
      <c r="Q1783" s="4"/>
      <c r="R1783" s="4"/>
      <c r="S1783" s="4"/>
      <c r="T1783" s="0"/>
      <c r="U1783" s="4" t="s">
        <v>30503</v>
      </c>
      <c r="V1783" s="4" t="s">
        <v>30504</v>
      </c>
      <c r="W1783" s="4" t="s">
        <v>30505</v>
      </c>
      <c r="X1783" s="4"/>
      <c r="Y1783" s="4" t="s">
        <v>30506</v>
      </c>
      <c r="Z1783" s="4" t="s">
        <v>30507</v>
      </c>
      <c r="AA1783" s="4" t="s">
        <v>30508</v>
      </c>
      <c r="AB1783" s="4"/>
      <c r="AC1783" s="4"/>
      <c r="AD1783" s="4"/>
      <c r="AE1783" s="4"/>
      <c r="AF1783" s="4"/>
      <c r="AG1783" s="4" t="n">
        <v>21</v>
      </c>
      <c r="AH1783" s="4" t="n">
        <v>12</v>
      </c>
      <c r="AI1783" s="4" t="n">
        <v>15</v>
      </c>
      <c r="AJ1783" s="4" t="n">
        <v>0</v>
      </c>
      <c r="AK1783" s="4" t="n">
        <v>0</v>
      </c>
      <c r="AL1783" s="4" t="s">
        <v>27463</v>
      </c>
      <c r="AM1783" s="4" t="s">
        <v>16252</v>
      </c>
      <c r="AN1783" s="4" t="s">
        <v>27464</v>
      </c>
      <c r="AO1783" s="4" t="s">
        <v>27465</v>
      </c>
      <c r="AP1783" s="4" t="s">
        <v>27466</v>
      </c>
      <c r="AQ1783" s="4"/>
      <c r="AR1783" s="4" t="s">
        <v>27467</v>
      </c>
      <c r="AS1783" s="4" t="s">
        <v>27468</v>
      </c>
      <c r="AT1783" s="4" t="s">
        <v>804</v>
      </c>
      <c r="AU1783" s="4" t="n">
        <v>2008</v>
      </c>
      <c r="AV1783" s="4" t="n">
        <v>61</v>
      </c>
      <c r="AW1783" s="4" t="n">
        <v>6</v>
      </c>
      <c r="AX1783" s="4"/>
      <c r="AY1783" s="4"/>
      <c r="AZ1783" s="4"/>
      <c r="BA1783" s="4"/>
      <c r="BB1783" s="4" t="n">
        <v>500</v>
      </c>
      <c r="BC1783" s="4" t="n">
        <v>502</v>
      </c>
      <c r="BD1783" s="4"/>
      <c r="BE1783" s="4"/>
      <c r="BF1783" s="4"/>
      <c r="BG1783" s="4"/>
      <c r="BH1783" s="4"/>
      <c r="BI1783" s="4" t="n">
        <v>3</v>
      </c>
      <c r="BJ1783" s="4" t="s">
        <v>575</v>
      </c>
      <c r="BK1783" s="4" t="s">
        <v>100</v>
      </c>
      <c r="BL1783" s="4" t="s">
        <v>575</v>
      </c>
      <c r="BM1783" s="4" t="s">
        <v>30509</v>
      </c>
      <c r="BN1783" s="4" t="n">
        <v>19050367</v>
      </c>
      <c r="BO1783" s="4"/>
      <c r="BP1783" s="4"/>
      <c r="BQ1783" s="4"/>
      <c r="BR1783" s="4" t="s">
        <v>104</v>
      </c>
      <c r="BS1783" s="4" t="s">
        <v>30510</v>
      </c>
      <c r="BT1783" s="4" t="str">
        <f aca="false">HYPERLINK("https%3A%2F%2Fwww.webofscience.com%2Fwos%2Fwoscc%2Ffull-record%2FWOS:000261391700021","View Full Record in Web of Science")</f>
        <v>View Full Record in Web of Science</v>
      </c>
    </row>
    <row r="1784" s="5" customFormat="true" ht="12.75" hidden="false" customHeight="false" outlineLevel="0" collapsed="false">
      <c r="A1784" s="4" t="s">
        <v>72</v>
      </c>
      <c r="B1784" s="4" t="s">
        <v>30511</v>
      </c>
      <c r="C1784" s="4"/>
      <c r="D1784" s="4"/>
      <c r="E1784" s="4"/>
      <c r="F1784" s="4" t="s">
        <v>30512</v>
      </c>
      <c r="G1784" s="4"/>
      <c r="H1784" s="4"/>
      <c r="I1784" s="4" t="s">
        <v>30513</v>
      </c>
      <c r="J1784" s="4" t="s">
        <v>742</v>
      </c>
      <c r="K1784" s="4"/>
      <c r="L1784" s="4"/>
      <c r="M1784" s="4" t="s">
        <v>77</v>
      </c>
      <c r="N1784" s="4" t="s">
        <v>78</v>
      </c>
      <c r="O1784" s="4"/>
      <c r="P1784" s="4"/>
      <c r="Q1784" s="4"/>
      <c r="R1784" s="4"/>
      <c r="S1784" s="4"/>
      <c r="T1784" s="1" t="s">
        <v>30514</v>
      </c>
      <c r="U1784" s="4" t="s">
        <v>30515</v>
      </c>
      <c r="V1784" s="4" t="s">
        <v>30516</v>
      </c>
      <c r="W1784" s="4" t="s">
        <v>30517</v>
      </c>
      <c r="X1784" s="4" t="s">
        <v>30518</v>
      </c>
      <c r="Y1784" s="4" t="s">
        <v>30519</v>
      </c>
      <c r="Z1784" s="4" t="s">
        <v>749</v>
      </c>
      <c r="AA1784" s="4" t="s">
        <v>750</v>
      </c>
      <c r="AB1784" s="4" t="s">
        <v>29386</v>
      </c>
      <c r="AC1784" s="4" t="s">
        <v>30520</v>
      </c>
      <c r="AD1784" s="4" t="s">
        <v>29388</v>
      </c>
      <c r="AE1784" s="4" t="s">
        <v>30521</v>
      </c>
      <c r="AF1784" s="4"/>
      <c r="AG1784" s="4" t="n">
        <v>74</v>
      </c>
      <c r="AH1784" s="4" t="n">
        <v>18</v>
      </c>
      <c r="AI1784" s="4" t="n">
        <v>21</v>
      </c>
      <c r="AJ1784" s="4" t="n">
        <v>0</v>
      </c>
      <c r="AK1784" s="4" t="n">
        <v>2</v>
      </c>
      <c r="AL1784" s="4" t="s">
        <v>755</v>
      </c>
      <c r="AM1784" s="4" t="s">
        <v>273</v>
      </c>
      <c r="AN1784" s="4" t="s">
        <v>756</v>
      </c>
      <c r="AO1784" s="4" t="s">
        <v>757</v>
      </c>
      <c r="AP1784" s="4" t="s">
        <v>758</v>
      </c>
      <c r="AQ1784" s="4"/>
      <c r="AR1784" s="4" t="s">
        <v>759</v>
      </c>
      <c r="AS1784" s="4" t="s">
        <v>760</v>
      </c>
      <c r="AT1784" s="4" t="s">
        <v>129</v>
      </c>
      <c r="AU1784" s="4" t="n">
        <v>2015</v>
      </c>
      <c r="AV1784" s="4" t="n">
        <v>89</v>
      </c>
      <c r="AW1784" s="4" t="n">
        <v>17</v>
      </c>
      <c r="AX1784" s="4"/>
      <c r="AY1784" s="4"/>
      <c r="AZ1784" s="4"/>
      <c r="BA1784" s="4"/>
      <c r="BB1784" s="4" t="n">
        <v>8713</v>
      </c>
      <c r="BC1784" s="4" t="n">
        <v>8726</v>
      </c>
      <c r="BD1784" s="4"/>
      <c r="BE1784" s="4" t="s">
        <v>30522</v>
      </c>
      <c r="BF1784" s="4" t="str">
        <f aca="false">HYPERLINK("http://dx.doi.org/10.1128/JVI.00670-15","http://dx.doi.org/10.1128/JVI.00670-15")</f>
        <v>http://dx.doi.org/10.1128/JVI.00670-15</v>
      </c>
      <c r="BG1784" s="4"/>
      <c r="BH1784" s="4"/>
      <c r="BI1784" s="4" t="n">
        <v>14</v>
      </c>
      <c r="BJ1784" s="4" t="s">
        <v>163</v>
      </c>
      <c r="BK1784" s="4" t="s">
        <v>100</v>
      </c>
      <c r="BL1784" s="4" t="s">
        <v>163</v>
      </c>
      <c r="BM1784" s="4" t="s">
        <v>30523</v>
      </c>
      <c r="BN1784" s="4" t="n">
        <v>26063431</v>
      </c>
      <c r="BO1784" s="4" t="s">
        <v>538</v>
      </c>
      <c r="BP1784" s="4"/>
      <c r="BQ1784" s="4"/>
      <c r="BR1784" s="4" t="s">
        <v>104</v>
      </c>
      <c r="BS1784" s="4" t="s">
        <v>30524</v>
      </c>
      <c r="BT1784" s="4" t="str">
        <f aca="false">HYPERLINK("https%3A%2F%2Fwww.webofscience.com%2Fwos%2Fwoscc%2Ffull-record%2FWOS:000360703900006","View Full Record in Web of Science")</f>
        <v>View Full Record in Web of Science</v>
      </c>
    </row>
    <row r="1785" s="5" customFormat="true" ht="12.75" hidden="false" customHeight="false" outlineLevel="0" collapsed="false">
      <c r="A1785" s="4" t="s">
        <v>72</v>
      </c>
      <c r="B1785" s="4" t="s">
        <v>30525</v>
      </c>
      <c r="C1785" s="4"/>
      <c r="D1785" s="4"/>
      <c r="E1785" s="4"/>
      <c r="F1785" s="4" t="s">
        <v>30526</v>
      </c>
      <c r="G1785" s="4"/>
      <c r="H1785" s="4"/>
      <c r="I1785" s="4" t="s">
        <v>30527</v>
      </c>
      <c r="J1785" s="4" t="s">
        <v>30528</v>
      </c>
      <c r="K1785" s="4"/>
      <c r="L1785" s="4"/>
      <c r="M1785" s="4" t="s">
        <v>77</v>
      </c>
      <c r="N1785" s="4" t="s">
        <v>78</v>
      </c>
      <c r="O1785" s="4"/>
      <c r="P1785" s="4"/>
      <c r="Q1785" s="4"/>
      <c r="R1785" s="4"/>
      <c r="S1785" s="4"/>
      <c r="T1785" s="1" t="s">
        <v>30529</v>
      </c>
      <c r="U1785" s="4" t="s">
        <v>30530</v>
      </c>
      <c r="V1785" s="4" t="s">
        <v>30531</v>
      </c>
      <c r="W1785" s="4" t="s">
        <v>30532</v>
      </c>
      <c r="X1785" s="4" t="s">
        <v>30533</v>
      </c>
      <c r="Y1785" s="4" t="s">
        <v>25388</v>
      </c>
      <c r="Z1785" s="4" t="s">
        <v>16737</v>
      </c>
      <c r="AA1785" s="4" t="s">
        <v>30534</v>
      </c>
      <c r="AB1785" s="4" t="s">
        <v>30535</v>
      </c>
      <c r="AC1785" s="4" t="s">
        <v>30536</v>
      </c>
      <c r="AD1785" s="4" t="s">
        <v>30537</v>
      </c>
      <c r="AE1785" s="4" t="s">
        <v>30538</v>
      </c>
      <c r="AF1785" s="4"/>
      <c r="AG1785" s="4" t="n">
        <v>34</v>
      </c>
      <c r="AH1785" s="4" t="n">
        <v>7</v>
      </c>
      <c r="AI1785" s="4" t="n">
        <v>7</v>
      </c>
      <c r="AJ1785" s="4" t="n">
        <v>0</v>
      </c>
      <c r="AK1785" s="4" t="n">
        <v>0</v>
      </c>
      <c r="AL1785" s="4" t="s">
        <v>30539</v>
      </c>
      <c r="AM1785" s="4" t="s">
        <v>30540</v>
      </c>
      <c r="AN1785" s="4" t="s">
        <v>30541</v>
      </c>
      <c r="AO1785" s="4" t="s">
        <v>30542</v>
      </c>
      <c r="AP1785" s="4" t="s">
        <v>30543</v>
      </c>
      <c r="AQ1785" s="4"/>
      <c r="AR1785" s="4" t="s">
        <v>30544</v>
      </c>
      <c r="AS1785" s="4" t="s">
        <v>30545</v>
      </c>
      <c r="AT1785" s="4" t="s">
        <v>97</v>
      </c>
      <c r="AU1785" s="4" t="n">
        <v>2009</v>
      </c>
      <c r="AV1785" s="4" t="n">
        <v>29</v>
      </c>
      <c r="AW1785" s="4" t="n">
        <v>1</v>
      </c>
      <c r="AX1785" s="4"/>
      <c r="AY1785" s="4"/>
      <c r="AZ1785" s="4"/>
      <c r="BA1785" s="4"/>
      <c r="BB1785" s="4" t="n">
        <v>35</v>
      </c>
      <c r="BC1785" s="4" t="n">
        <v>40</v>
      </c>
      <c r="BD1785" s="4"/>
      <c r="BE1785" s="4" t="s">
        <v>30546</v>
      </c>
      <c r="BF1785" s="4" t="str">
        <f aca="false">HYPERLINK("http://dx.doi.org/10.1179/146532809X402015","http://dx.doi.org/10.1179/146532809X402015")</f>
        <v>http://dx.doi.org/10.1179/146532809X402015</v>
      </c>
      <c r="BG1785" s="4"/>
      <c r="BH1785" s="4"/>
      <c r="BI1785" s="4" t="n">
        <v>6</v>
      </c>
      <c r="BJ1785" s="4" t="s">
        <v>7646</v>
      </c>
      <c r="BK1785" s="4" t="s">
        <v>100</v>
      </c>
      <c r="BL1785" s="4" t="s">
        <v>7646</v>
      </c>
      <c r="BM1785" s="4" t="s">
        <v>30547</v>
      </c>
      <c r="BN1785" s="4" t="n">
        <v>19222932</v>
      </c>
      <c r="BO1785" s="4"/>
      <c r="BP1785" s="4"/>
      <c r="BQ1785" s="4"/>
      <c r="BR1785" s="4" t="s">
        <v>104</v>
      </c>
      <c r="BS1785" s="4" t="s">
        <v>30548</v>
      </c>
      <c r="BT1785" s="4" t="str">
        <f aca="false">HYPERLINK("https%3A%2F%2Fwww.webofscience.com%2Fwos%2Fwoscc%2Ffull-record%2FWOS:000264038300005","View Full Record in Web of Science")</f>
        <v>View Full Record in Web of Science</v>
      </c>
    </row>
    <row r="1786" s="5" customFormat="true" ht="12.75" hidden="false" customHeight="false" outlineLevel="0" collapsed="false">
      <c r="A1786" s="4" t="s">
        <v>72</v>
      </c>
      <c r="B1786" s="4" t="s">
        <v>30549</v>
      </c>
      <c r="C1786" s="4"/>
      <c r="D1786" s="4"/>
      <c r="E1786" s="4"/>
      <c r="F1786" s="4" t="s">
        <v>30550</v>
      </c>
      <c r="G1786" s="4"/>
      <c r="H1786" s="4"/>
      <c r="I1786" s="4" t="s">
        <v>30551</v>
      </c>
      <c r="J1786" s="4" t="s">
        <v>370</v>
      </c>
      <c r="K1786" s="4"/>
      <c r="L1786" s="4"/>
      <c r="M1786" s="4" t="s">
        <v>77</v>
      </c>
      <c r="N1786" s="4" t="s">
        <v>78</v>
      </c>
      <c r="O1786" s="4"/>
      <c r="P1786" s="4"/>
      <c r="Q1786" s="4"/>
      <c r="R1786" s="4"/>
      <c r="S1786" s="4"/>
      <c r="T1786" s="1" t="s">
        <v>30552</v>
      </c>
      <c r="U1786" s="4" t="s">
        <v>30553</v>
      </c>
      <c r="V1786" s="4" t="s">
        <v>30554</v>
      </c>
      <c r="W1786" s="4" t="s">
        <v>30555</v>
      </c>
      <c r="X1786" s="4" t="s">
        <v>546</v>
      </c>
      <c r="Y1786" s="4" t="s">
        <v>30556</v>
      </c>
      <c r="Z1786" s="4" t="s">
        <v>521</v>
      </c>
      <c r="AA1786" s="4"/>
      <c r="AB1786" s="4"/>
      <c r="AC1786" s="4" t="s">
        <v>30557</v>
      </c>
      <c r="AD1786" s="4" t="s">
        <v>2416</v>
      </c>
      <c r="AE1786" s="4"/>
      <c r="AF1786" s="4"/>
      <c r="AG1786" s="4" t="n">
        <v>16</v>
      </c>
      <c r="AH1786" s="4" t="n">
        <v>15</v>
      </c>
      <c r="AI1786" s="4" t="n">
        <v>16</v>
      </c>
      <c r="AJ1786" s="4" t="n">
        <v>0</v>
      </c>
      <c r="AK1786" s="4" t="n">
        <v>2</v>
      </c>
      <c r="AL1786" s="4" t="s">
        <v>549</v>
      </c>
      <c r="AM1786" s="4" t="s">
        <v>384</v>
      </c>
      <c r="AN1786" s="4" t="s">
        <v>550</v>
      </c>
      <c r="AO1786" s="4" t="s">
        <v>386</v>
      </c>
      <c r="AP1786" s="4" t="s">
        <v>387</v>
      </c>
      <c r="AQ1786" s="4"/>
      <c r="AR1786" s="4" t="s">
        <v>388</v>
      </c>
      <c r="AS1786" s="4" t="s">
        <v>389</v>
      </c>
      <c r="AT1786" s="4" t="s">
        <v>446</v>
      </c>
      <c r="AU1786" s="4" t="n">
        <v>2009</v>
      </c>
      <c r="AV1786" s="4" t="n">
        <v>46</v>
      </c>
      <c r="AW1786" s="4" t="n">
        <v>4</v>
      </c>
      <c r="AX1786" s="4"/>
      <c r="AY1786" s="4"/>
      <c r="AZ1786" s="4"/>
      <c r="BA1786" s="4"/>
      <c r="BB1786" s="4" t="n">
        <v>314</v>
      </c>
      <c r="BC1786" s="4" t="n">
        <v>317</v>
      </c>
      <c r="BD1786" s="4"/>
      <c r="BE1786" s="4" t="s">
        <v>30558</v>
      </c>
      <c r="BF1786" s="4" t="str">
        <f aca="false">HYPERLINK("http://dx.doi.org/10.1016/j.jcv.2009.09.020","http://dx.doi.org/10.1016/j.jcv.2009.09.020")</f>
        <v>http://dx.doi.org/10.1016/j.jcv.2009.09.020</v>
      </c>
      <c r="BG1786" s="4"/>
      <c r="BH1786" s="4"/>
      <c r="BI1786" s="4" t="n">
        <v>4</v>
      </c>
      <c r="BJ1786" s="4" t="s">
        <v>163</v>
      </c>
      <c r="BK1786" s="4" t="s">
        <v>100</v>
      </c>
      <c r="BL1786" s="4" t="s">
        <v>163</v>
      </c>
      <c r="BM1786" s="4" t="s">
        <v>14056</v>
      </c>
      <c r="BN1786" s="4" t="n">
        <v>19818678</v>
      </c>
      <c r="BO1786" s="4" t="s">
        <v>695</v>
      </c>
      <c r="BP1786" s="4"/>
      <c r="BQ1786" s="4"/>
      <c r="BR1786" s="4" t="s">
        <v>104</v>
      </c>
      <c r="BS1786" s="4" t="s">
        <v>30559</v>
      </c>
      <c r="BT1786" s="4" t="str">
        <f aca="false">HYPERLINK("https%3A%2F%2Fwww.webofscience.com%2Fwos%2Fwoscc%2Ffull-record%2FWOS:000272460900004","View Full Record in Web of Science")</f>
        <v>View Full Record in Web of Science</v>
      </c>
    </row>
    <row r="1787" s="5" customFormat="true" ht="12.75" hidden="false" customHeight="false" outlineLevel="0" collapsed="false">
      <c r="A1787" s="4" t="s">
        <v>72</v>
      </c>
      <c r="B1787" s="4" t="s">
        <v>30560</v>
      </c>
      <c r="C1787" s="4"/>
      <c r="D1787" s="4"/>
      <c r="E1787" s="4"/>
      <c r="F1787" s="4" t="s">
        <v>30561</v>
      </c>
      <c r="G1787" s="4"/>
      <c r="H1787" s="4"/>
      <c r="I1787" s="4" t="s">
        <v>30562</v>
      </c>
      <c r="J1787" s="4" t="s">
        <v>27453</v>
      </c>
      <c r="K1787" s="4"/>
      <c r="L1787" s="4"/>
      <c r="M1787" s="4" t="s">
        <v>77</v>
      </c>
      <c r="N1787" s="4" t="s">
        <v>78</v>
      </c>
      <c r="O1787" s="4"/>
      <c r="P1787" s="4"/>
      <c r="Q1787" s="4"/>
      <c r="R1787" s="4"/>
      <c r="S1787" s="4"/>
      <c r="T1787" s="0"/>
      <c r="U1787" s="4" t="s">
        <v>30563</v>
      </c>
      <c r="V1787" s="4" t="s">
        <v>30564</v>
      </c>
      <c r="W1787" s="4" t="s">
        <v>30565</v>
      </c>
      <c r="X1787" s="4"/>
      <c r="Y1787" s="4" t="s">
        <v>16149</v>
      </c>
      <c r="Z1787" s="4" t="s">
        <v>16250</v>
      </c>
      <c r="AA1787" s="4" t="s">
        <v>16151</v>
      </c>
      <c r="AB1787" s="4"/>
      <c r="AC1787" s="4" t="s">
        <v>30566</v>
      </c>
      <c r="AD1787" s="4" t="s">
        <v>30567</v>
      </c>
      <c r="AE1787" s="4" t="s">
        <v>30568</v>
      </c>
      <c r="AF1787" s="4"/>
      <c r="AG1787" s="4" t="n">
        <v>16</v>
      </c>
      <c r="AH1787" s="4" t="n">
        <v>12</v>
      </c>
      <c r="AI1787" s="4" t="n">
        <v>15</v>
      </c>
      <c r="AJ1787" s="4" t="n">
        <v>2</v>
      </c>
      <c r="AK1787" s="4" t="n">
        <v>13</v>
      </c>
      <c r="AL1787" s="4" t="s">
        <v>27463</v>
      </c>
      <c r="AM1787" s="4" t="s">
        <v>16252</v>
      </c>
      <c r="AN1787" s="4" t="s">
        <v>27464</v>
      </c>
      <c r="AO1787" s="4" t="s">
        <v>27465</v>
      </c>
      <c r="AP1787" s="4" t="s">
        <v>27466</v>
      </c>
      <c r="AQ1787" s="4"/>
      <c r="AR1787" s="4" t="s">
        <v>27467</v>
      </c>
      <c r="AS1787" s="4" t="s">
        <v>27468</v>
      </c>
      <c r="AT1787" s="4" t="s">
        <v>804</v>
      </c>
      <c r="AU1787" s="4" t="n">
        <v>2008</v>
      </c>
      <c r="AV1787" s="4" t="n">
        <v>61</v>
      </c>
      <c r="AW1787" s="4" t="n">
        <v>6</v>
      </c>
      <c r="AX1787" s="4"/>
      <c r="AY1787" s="4"/>
      <c r="AZ1787" s="4"/>
      <c r="BA1787" s="4"/>
      <c r="BB1787" s="4" t="n">
        <v>461</v>
      </c>
      <c r="BC1787" s="4" t="n">
        <v>464</v>
      </c>
      <c r="BD1787" s="4"/>
      <c r="BE1787" s="4"/>
      <c r="BF1787" s="4"/>
      <c r="BG1787" s="4"/>
      <c r="BH1787" s="4"/>
      <c r="BI1787" s="4" t="n">
        <v>4</v>
      </c>
      <c r="BJ1787" s="4" t="s">
        <v>575</v>
      </c>
      <c r="BK1787" s="4" t="s">
        <v>100</v>
      </c>
      <c r="BL1787" s="4" t="s">
        <v>575</v>
      </c>
      <c r="BM1787" s="4" t="s">
        <v>30509</v>
      </c>
      <c r="BN1787" s="4" t="n">
        <v>19050355</v>
      </c>
      <c r="BO1787" s="4"/>
      <c r="BP1787" s="4"/>
      <c r="BQ1787" s="4"/>
      <c r="BR1787" s="4" t="s">
        <v>104</v>
      </c>
      <c r="BS1787" s="4" t="s">
        <v>30569</v>
      </c>
      <c r="BT1787" s="4" t="str">
        <f aca="false">HYPERLINK("https%3A%2F%2Fwww.webofscience.com%2Fwos%2Fwoscc%2Ffull-record%2FWOS:000261391700009","View Full Record in Web of Science")</f>
        <v>View Full Record in Web of Science</v>
      </c>
    </row>
    <row r="1788" s="5" customFormat="true" ht="12.75" hidden="false" customHeight="false" outlineLevel="0" collapsed="false">
      <c r="A1788" s="4" t="s">
        <v>72</v>
      </c>
      <c r="B1788" s="4" t="s">
        <v>30570</v>
      </c>
      <c r="C1788" s="4"/>
      <c r="D1788" s="4"/>
      <c r="E1788" s="4"/>
      <c r="F1788" s="4" t="s">
        <v>30571</v>
      </c>
      <c r="G1788" s="4"/>
      <c r="H1788" s="4"/>
      <c r="I1788" s="4" t="s">
        <v>30572</v>
      </c>
      <c r="J1788" s="4" t="s">
        <v>6395</v>
      </c>
      <c r="K1788" s="4"/>
      <c r="L1788" s="4"/>
      <c r="M1788" s="4" t="s">
        <v>77</v>
      </c>
      <c r="N1788" s="4" t="s">
        <v>78</v>
      </c>
      <c r="O1788" s="4"/>
      <c r="P1788" s="4"/>
      <c r="Q1788" s="4"/>
      <c r="R1788" s="4"/>
      <c r="S1788" s="4"/>
      <c r="T1788" s="1" t="s">
        <v>30573</v>
      </c>
      <c r="U1788" s="4" t="s">
        <v>30574</v>
      </c>
      <c r="V1788" s="4" t="s">
        <v>30575</v>
      </c>
      <c r="W1788" s="4" t="s">
        <v>30576</v>
      </c>
      <c r="X1788" s="4" t="s">
        <v>30577</v>
      </c>
      <c r="Y1788" s="4" t="s">
        <v>30578</v>
      </c>
      <c r="Z1788" s="4" t="s">
        <v>30579</v>
      </c>
      <c r="AA1788" s="4" t="s">
        <v>28590</v>
      </c>
      <c r="AB1788" s="4"/>
      <c r="AC1788" s="4" t="s">
        <v>30580</v>
      </c>
      <c r="AD1788" s="4" t="s">
        <v>30581</v>
      </c>
      <c r="AE1788" s="4" t="s">
        <v>30582</v>
      </c>
      <c r="AF1788" s="4"/>
      <c r="AG1788" s="4" t="n">
        <v>58</v>
      </c>
      <c r="AH1788" s="4" t="n">
        <v>2</v>
      </c>
      <c r="AI1788" s="4" t="n">
        <v>4</v>
      </c>
      <c r="AJ1788" s="4" t="n">
        <v>0</v>
      </c>
      <c r="AK1788" s="4" t="n">
        <v>11</v>
      </c>
      <c r="AL1788" s="4" t="s">
        <v>6405</v>
      </c>
      <c r="AM1788" s="4" t="s">
        <v>6406</v>
      </c>
      <c r="AN1788" s="4" t="s">
        <v>6407</v>
      </c>
      <c r="AO1788" s="4" t="s">
        <v>6408</v>
      </c>
      <c r="AP1788" s="4"/>
      <c r="AQ1788" s="4"/>
      <c r="AR1788" s="4" t="s">
        <v>6409</v>
      </c>
      <c r="AS1788" s="4" t="s">
        <v>6410</v>
      </c>
      <c r="AT1788" s="4" t="s">
        <v>9853</v>
      </c>
      <c r="AU1788" s="4" t="n">
        <v>2020</v>
      </c>
      <c r="AV1788" s="4" t="n">
        <v>10</v>
      </c>
      <c r="AW1788" s="4" t="n">
        <v>1</v>
      </c>
      <c r="AX1788" s="4"/>
      <c r="AY1788" s="4"/>
      <c r="AZ1788" s="4"/>
      <c r="BA1788" s="4"/>
      <c r="BB1788" s="4"/>
      <c r="BC1788" s="4"/>
      <c r="BD1788" s="4" t="n">
        <v>2852</v>
      </c>
      <c r="BE1788" s="4" t="s">
        <v>30583</v>
      </c>
      <c r="BF1788" s="4" t="str">
        <f aca="false">HYPERLINK("http://dx.doi.org/10.1038/s41598-020-59150-9","http://dx.doi.org/10.1038/s41598-020-59150-9")</f>
        <v>http://dx.doi.org/10.1038/s41598-020-59150-9</v>
      </c>
      <c r="BG1788" s="4"/>
      <c r="BH1788" s="4"/>
      <c r="BI1788" s="4" t="n">
        <v>11</v>
      </c>
      <c r="BJ1788" s="4" t="s">
        <v>1658</v>
      </c>
      <c r="BK1788" s="4" t="s">
        <v>100</v>
      </c>
      <c r="BL1788" s="4" t="s">
        <v>1659</v>
      </c>
      <c r="BM1788" s="4" t="s">
        <v>30584</v>
      </c>
      <c r="BN1788" s="4" t="n">
        <v>32071381</v>
      </c>
      <c r="BO1788" s="4" t="s">
        <v>103</v>
      </c>
      <c r="BP1788" s="4"/>
      <c r="BQ1788" s="4"/>
      <c r="BR1788" s="4" t="s">
        <v>104</v>
      </c>
      <c r="BS1788" s="4" t="s">
        <v>30585</v>
      </c>
      <c r="BT1788" s="4" t="str">
        <f aca="false">HYPERLINK("https%3A%2F%2Fwww.webofscience.com%2Fwos%2Fwoscc%2Ffull-record%2FWOS:000560400000020","View Full Record in Web of Science")</f>
        <v>View Full Record in Web of Science</v>
      </c>
    </row>
    <row r="1789" s="5" customFormat="true" ht="12.75" hidden="false" customHeight="false" outlineLevel="0" collapsed="false">
      <c r="A1789" s="4" t="s">
        <v>72</v>
      </c>
      <c r="B1789" s="4" t="s">
        <v>30586</v>
      </c>
      <c r="C1789" s="4"/>
      <c r="D1789" s="4"/>
      <c r="E1789" s="4"/>
      <c r="F1789" s="4" t="s">
        <v>30587</v>
      </c>
      <c r="G1789" s="4"/>
      <c r="H1789" s="4"/>
      <c r="I1789" s="4" t="s">
        <v>30588</v>
      </c>
      <c r="J1789" s="4" t="s">
        <v>2222</v>
      </c>
      <c r="K1789" s="4"/>
      <c r="L1789" s="4"/>
      <c r="M1789" s="4" t="s">
        <v>77</v>
      </c>
      <c r="N1789" s="4" t="s">
        <v>78</v>
      </c>
      <c r="O1789" s="4"/>
      <c r="P1789" s="4"/>
      <c r="Q1789" s="4"/>
      <c r="R1789" s="4"/>
      <c r="S1789" s="4"/>
      <c r="T1789" s="1" t="s">
        <v>30589</v>
      </c>
      <c r="U1789" s="4" t="s">
        <v>30590</v>
      </c>
      <c r="V1789" s="4" t="s">
        <v>30591</v>
      </c>
      <c r="W1789" s="4" t="s">
        <v>30592</v>
      </c>
      <c r="X1789" s="4" t="s">
        <v>30593</v>
      </c>
      <c r="Y1789" s="4" t="s">
        <v>29480</v>
      </c>
      <c r="Z1789" s="4" t="s">
        <v>28013</v>
      </c>
      <c r="AA1789" s="4" t="s">
        <v>13854</v>
      </c>
      <c r="AB1789" s="4"/>
      <c r="AC1789" s="4"/>
      <c r="AD1789" s="4"/>
      <c r="AE1789" s="4"/>
      <c r="AF1789" s="4"/>
      <c r="AG1789" s="4" t="n">
        <v>15</v>
      </c>
      <c r="AH1789" s="4" t="n">
        <v>13</v>
      </c>
      <c r="AI1789" s="4" t="n">
        <v>18</v>
      </c>
      <c r="AJ1789" s="4" t="n">
        <v>1</v>
      </c>
      <c r="AK1789" s="4" t="n">
        <v>5</v>
      </c>
      <c r="AL1789" s="4" t="s">
        <v>755</v>
      </c>
      <c r="AM1789" s="4" t="s">
        <v>273</v>
      </c>
      <c r="AN1789" s="4" t="s">
        <v>756</v>
      </c>
      <c r="AO1789" s="4" t="s">
        <v>2234</v>
      </c>
      <c r="AP1789" s="4"/>
      <c r="AQ1789" s="4"/>
      <c r="AR1789" s="4" t="s">
        <v>2236</v>
      </c>
      <c r="AS1789" s="4" t="s">
        <v>2237</v>
      </c>
      <c r="AT1789" s="4" t="s">
        <v>97</v>
      </c>
      <c r="AU1789" s="4" t="n">
        <v>2008</v>
      </c>
      <c r="AV1789" s="4" t="n">
        <v>46</v>
      </c>
      <c r="AW1789" s="4" t="n">
        <v>3</v>
      </c>
      <c r="AX1789" s="4"/>
      <c r="AY1789" s="4"/>
      <c r="AZ1789" s="4"/>
      <c r="BA1789" s="4"/>
      <c r="BB1789" s="4" t="n">
        <v>928</v>
      </c>
      <c r="BC1789" s="4" t="n">
        <v>932</v>
      </c>
      <c r="BD1789" s="4"/>
      <c r="BE1789" s="4" t="s">
        <v>30594</v>
      </c>
      <c r="BF1789" s="4" t="str">
        <f aca="false">HYPERLINK("http://dx.doi.org/10.1128/JCM.01888-07","http://dx.doi.org/10.1128/JCM.01888-07")</f>
        <v>http://dx.doi.org/10.1128/JCM.01888-07</v>
      </c>
      <c r="BG1789" s="4"/>
      <c r="BH1789" s="4"/>
      <c r="BI1789" s="4" t="n">
        <v>5</v>
      </c>
      <c r="BJ1789" s="4" t="s">
        <v>211</v>
      </c>
      <c r="BK1789" s="4" t="s">
        <v>100</v>
      </c>
      <c r="BL1789" s="4" t="s">
        <v>211</v>
      </c>
      <c r="BM1789" s="4" t="s">
        <v>29926</v>
      </c>
      <c r="BN1789" s="4" t="n">
        <v>18174301</v>
      </c>
      <c r="BO1789" s="4" t="s">
        <v>165</v>
      </c>
      <c r="BP1789" s="4"/>
      <c r="BQ1789" s="4"/>
      <c r="BR1789" s="4" t="s">
        <v>104</v>
      </c>
      <c r="BS1789" s="4" t="s">
        <v>30595</v>
      </c>
      <c r="BT1789" s="4" t="str">
        <f aca="false">HYPERLINK("https%3A%2F%2Fwww.webofscience.com%2Fwos%2Fwoscc%2Ffull-record%2FWOS:000254059800016","View Full Record in Web of Science")</f>
        <v>View Full Record in Web of Science</v>
      </c>
    </row>
    <row r="1790" s="5" customFormat="true" ht="12.75" hidden="false" customHeight="false" outlineLevel="0" collapsed="false">
      <c r="A1790" s="4" t="s">
        <v>72</v>
      </c>
      <c r="B1790" s="4" t="s">
        <v>30596</v>
      </c>
      <c r="C1790" s="4"/>
      <c r="D1790" s="4"/>
      <c r="E1790" s="4"/>
      <c r="F1790" s="4" t="s">
        <v>30597</v>
      </c>
      <c r="G1790" s="4"/>
      <c r="H1790" s="4"/>
      <c r="I1790" s="4" t="s">
        <v>30598</v>
      </c>
      <c r="J1790" s="4" t="s">
        <v>30599</v>
      </c>
      <c r="K1790" s="4"/>
      <c r="L1790" s="4"/>
      <c r="M1790" s="4" t="s">
        <v>77</v>
      </c>
      <c r="N1790" s="4" t="s">
        <v>78</v>
      </c>
      <c r="O1790" s="4"/>
      <c r="P1790" s="4"/>
      <c r="Q1790" s="4"/>
      <c r="R1790" s="4"/>
      <c r="S1790" s="4"/>
      <c r="T1790" s="1" t="s">
        <v>30600</v>
      </c>
      <c r="U1790" s="4" t="s">
        <v>30601</v>
      </c>
      <c r="V1790" s="4" t="s">
        <v>30602</v>
      </c>
      <c r="W1790" s="4" t="s">
        <v>30603</v>
      </c>
      <c r="X1790" s="4" t="s">
        <v>30604</v>
      </c>
      <c r="Y1790" s="4" t="s">
        <v>30605</v>
      </c>
      <c r="Z1790" s="4" t="s">
        <v>4187</v>
      </c>
      <c r="AA1790" s="4" t="s">
        <v>4188</v>
      </c>
      <c r="AB1790" s="4"/>
      <c r="AC1790" s="4" t="s">
        <v>30606</v>
      </c>
      <c r="AD1790" s="4" t="s">
        <v>30607</v>
      </c>
      <c r="AE1790" s="4" t="s">
        <v>30608</v>
      </c>
      <c r="AF1790" s="4"/>
      <c r="AG1790" s="4" t="n">
        <v>24</v>
      </c>
      <c r="AH1790" s="4" t="n">
        <v>14</v>
      </c>
      <c r="AI1790" s="4" t="n">
        <v>18</v>
      </c>
      <c r="AJ1790" s="4" t="n">
        <v>0</v>
      </c>
      <c r="AK1790" s="4" t="n">
        <v>4</v>
      </c>
      <c r="AL1790" s="4" t="s">
        <v>1460</v>
      </c>
      <c r="AM1790" s="4" t="s">
        <v>593</v>
      </c>
      <c r="AN1790" s="4" t="s">
        <v>1461</v>
      </c>
      <c r="AO1790" s="4" t="s">
        <v>30609</v>
      </c>
      <c r="AP1790" s="4" t="s">
        <v>30610</v>
      </c>
      <c r="AQ1790" s="4"/>
      <c r="AR1790" s="4" t="s">
        <v>30611</v>
      </c>
      <c r="AS1790" s="4" t="s">
        <v>30612</v>
      </c>
      <c r="AT1790" s="4" t="s">
        <v>161</v>
      </c>
      <c r="AU1790" s="4" t="n">
        <v>2012</v>
      </c>
      <c r="AV1790" s="4" t="n">
        <v>14</v>
      </c>
      <c r="AW1790" s="4" t="n">
        <v>1</v>
      </c>
      <c r="AX1790" s="4"/>
      <c r="AY1790" s="4"/>
      <c r="AZ1790" s="4"/>
      <c r="BA1790" s="4"/>
      <c r="BB1790" s="4" t="n">
        <v>61</v>
      </c>
      <c r="BC1790" s="4" t="n">
        <v>64</v>
      </c>
      <c r="BD1790" s="4"/>
      <c r="BE1790" s="4" t="s">
        <v>30613</v>
      </c>
      <c r="BF1790" s="4" t="str">
        <f aca="false">HYPERLINK("http://dx.doi.org/10.1016/j.jmoldx.2011.09.004","http://dx.doi.org/10.1016/j.jmoldx.2011.09.004")</f>
        <v>http://dx.doi.org/10.1016/j.jmoldx.2011.09.004</v>
      </c>
      <c r="BG1790" s="4"/>
      <c r="BH1790" s="4"/>
      <c r="BI1790" s="4" t="n">
        <v>4</v>
      </c>
      <c r="BJ1790" s="4" t="s">
        <v>6585</v>
      </c>
      <c r="BK1790" s="4" t="s">
        <v>100</v>
      </c>
      <c r="BL1790" s="4" t="s">
        <v>6585</v>
      </c>
      <c r="BM1790" s="4" t="s">
        <v>30614</v>
      </c>
      <c r="BN1790" s="4" t="n">
        <v>22056628</v>
      </c>
      <c r="BO1790" s="4" t="s">
        <v>656</v>
      </c>
      <c r="BP1790" s="4"/>
      <c r="BQ1790" s="4"/>
      <c r="BR1790" s="4" t="s">
        <v>104</v>
      </c>
      <c r="BS1790" s="4" t="s">
        <v>30615</v>
      </c>
      <c r="BT1790" s="4" t="str">
        <f aca="false">HYPERLINK("https%3A%2F%2Fwww.webofscience.com%2Fwos%2Fwoscc%2Ffull-record%2FWOS:000298571100008","View Full Record in Web of Science")</f>
        <v>View Full Record in Web of Science</v>
      </c>
    </row>
    <row r="1791" s="5" customFormat="true" ht="12.75" hidden="false" customHeight="false" outlineLevel="0" collapsed="false">
      <c r="A1791" s="4" t="s">
        <v>72</v>
      </c>
      <c r="B1791" s="4" t="s">
        <v>30616</v>
      </c>
      <c r="C1791" s="4"/>
      <c r="D1791" s="4"/>
      <c r="E1791" s="4"/>
      <c r="F1791" s="4" t="s">
        <v>30617</v>
      </c>
      <c r="G1791" s="4"/>
      <c r="H1791" s="4"/>
      <c r="I1791" s="4" t="s">
        <v>30618</v>
      </c>
      <c r="J1791" s="4" t="s">
        <v>7145</v>
      </c>
      <c r="K1791" s="4"/>
      <c r="L1791" s="4"/>
      <c r="M1791" s="4" t="s">
        <v>77</v>
      </c>
      <c r="N1791" s="4" t="s">
        <v>78</v>
      </c>
      <c r="O1791" s="4"/>
      <c r="P1791" s="4"/>
      <c r="Q1791" s="4"/>
      <c r="R1791" s="4"/>
      <c r="S1791" s="4"/>
      <c r="T1791" s="1" t="s">
        <v>30619</v>
      </c>
      <c r="U1791" s="4" t="s">
        <v>30620</v>
      </c>
      <c r="V1791" s="4" t="s">
        <v>30621</v>
      </c>
      <c r="W1791" s="4" t="s">
        <v>30622</v>
      </c>
      <c r="X1791" s="4" t="s">
        <v>30623</v>
      </c>
      <c r="Y1791" s="4" t="s">
        <v>30624</v>
      </c>
      <c r="Z1791" s="4" t="s">
        <v>30625</v>
      </c>
      <c r="AA1791" s="4" t="s">
        <v>30626</v>
      </c>
      <c r="AB1791" s="4" t="s">
        <v>30627</v>
      </c>
      <c r="AC1791" s="4" t="s">
        <v>30628</v>
      </c>
      <c r="AD1791" s="4" t="s">
        <v>30629</v>
      </c>
      <c r="AE1791" s="4" t="s">
        <v>30630</v>
      </c>
      <c r="AF1791" s="4"/>
      <c r="AG1791" s="4" t="n">
        <v>57</v>
      </c>
      <c r="AH1791" s="4" t="n">
        <v>5</v>
      </c>
      <c r="AI1791" s="4" t="n">
        <v>7</v>
      </c>
      <c r="AJ1791" s="4" t="n">
        <v>1</v>
      </c>
      <c r="AK1791" s="4" t="n">
        <v>7</v>
      </c>
      <c r="AL1791" s="4" t="s">
        <v>28431</v>
      </c>
      <c r="AM1791" s="4" t="s">
        <v>28432</v>
      </c>
      <c r="AN1791" s="4" t="s">
        <v>28433</v>
      </c>
      <c r="AO1791" s="4" t="s">
        <v>7158</v>
      </c>
      <c r="AP1791" s="4"/>
      <c r="AQ1791" s="4"/>
      <c r="AR1791" s="4" t="s">
        <v>7160</v>
      </c>
      <c r="AS1791" s="4" t="s">
        <v>7161</v>
      </c>
      <c r="AT1791" s="4" t="s">
        <v>336</v>
      </c>
      <c r="AU1791" s="4" t="n">
        <v>2011</v>
      </c>
      <c r="AV1791" s="4" t="n">
        <v>92</v>
      </c>
      <c r="AW1791" s="4"/>
      <c r="AX1791" s="4" t="n">
        <v>10</v>
      </c>
      <c r="AY1791" s="4"/>
      <c r="AZ1791" s="4"/>
      <c r="BA1791" s="4"/>
      <c r="BB1791" s="4" t="n">
        <v>2324</v>
      </c>
      <c r="BC1791" s="4" t="n">
        <v>2332</v>
      </c>
      <c r="BD1791" s="4"/>
      <c r="BE1791" s="4" t="s">
        <v>30631</v>
      </c>
      <c r="BF1791" s="4" t="str">
        <f aca="false">HYPERLINK("http://dx.doi.org/10.1099/vir.0.032094-0","http://dx.doi.org/10.1099/vir.0.032094-0")</f>
        <v>http://dx.doi.org/10.1099/vir.0.032094-0</v>
      </c>
      <c r="BG1791" s="4"/>
      <c r="BH1791" s="4"/>
      <c r="BI1791" s="4" t="n">
        <v>9</v>
      </c>
      <c r="BJ1791" s="4" t="s">
        <v>7163</v>
      </c>
      <c r="BK1791" s="4" t="s">
        <v>100</v>
      </c>
      <c r="BL1791" s="4" t="s">
        <v>7163</v>
      </c>
      <c r="BM1791" s="4" t="s">
        <v>30632</v>
      </c>
      <c r="BN1791" s="4" t="n">
        <v>21715599</v>
      </c>
      <c r="BO1791" s="4" t="s">
        <v>656</v>
      </c>
      <c r="BP1791" s="4"/>
      <c r="BQ1791" s="4"/>
      <c r="BR1791" s="4" t="s">
        <v>104</v>
      </c>
      <c r="BS1791" s="4" t="s">
        <v>30633</v>
      </c>
      <c r="BT1791" s="4" t="str">
        <f aca="false">HYPERLINK("https%3A%2F%2Fwww.webofscience.com%2Fwos%2Fwoscc%2Ffull-record%2FWOS:000295856000011","View Full Record in Web of Science")</f>
        <v>View Full Record in Web of Science</v>
      </c>
    </row>
    <row r="1792" s="5" customFormat="true" ht="12.75" hidden="false" customHeight="false" outlineLevel="0" collapsed="false">
      <c r="A1792" s="4" t="s">
        <v>72</v>
      </c>
      <c r="B1792" s="4" t="s">
        <v>30634</v>
      </c>
      <c r="C1792" s="4"/>
      <c r="D1792" s="4"/>
      <c r="E1792" s="4"/>
      <c r="F1792" s="4" t="s">
        <v>30635</v>
      </c>
      <c r="G1792" s="4"/>
      <c r="H1792" s="4"/>
      <c r="I1792" s="4" t="s">
        <v>30636</v>
      </c>
      <c r="J1792" s="4" t="s">
        <v>7145</v>
      </c>
      <c r="K1792" s="4"/>
      <c r="L1792" s="4"/>
      <c r="M1792" s="4" t="s">
        <v>77</v>
      </c>
      <c r="N1792" s="4" t="s">
        <v>78</v>
      </c>
      <c r="O1792" s="4"/>
      <c r="P1792" s="4"/>
      <c r="Q1792" s="4"/>
      <c r="R1792" s="4"/>
      <c r="S1792" s="4"/>
      <c r="T1792" s="1" t="s">
        <v>30637</v>
      </c>
      <c r="U1792" s="4" t="s">
        <v>30638</v>
      </c>
      <c r="V1792" s="4" t="s">
        <v>30639</v>
      </c>
      <c r="W1792" s="4" t="s">
        <v>30640</v>
      </c>
      <c r="X1792" s="4" t="s">
        <v>30641</v>
      </c>
      <c r="Y1792" s="4" t="s">
        <v>25528</v>
      </c>
      <c r="Z1792" s="4" t="s">
        <v>12585</v>
      </c>
      <c r="AA1792" s="4" t="s">
        <v>30642</v>
      </c>
      <c r="AB1792" s="4" t="s">
        <v>30643</v>
      </c>
      <c r="AC1792" s="4" t="s">
        <v>30644</v>
      </c>
      <c r="AD1792" s="4" t="s">
        <v>30645</v>
      </c>
      <c r="AE1792" s="4" t="s">
        <v>30646</v>
      </c>
      <c r="AF1792" s="4"/>
      <c r="AG1792" s="4" t="n">
        <v>60</v>
      </c>
      <c r="AH1792" s="4" t="n">
        <v>38</v>
      </c>
      <c r="AI1792" s="4" t="n">
        <v>41</v>
      </c>
      <c r="AJ1792" s="4" t="n">
        <v>0</v>
      </c>
      <c r="AK1792" s="4" t="n">
        <v>7</v>
      </c>
      <c r="AL1792" s="4" t="s">
        <v>3426</v>
      </c>
      <c r="AM1792" s="4" t="s">
        <v>303</v>
      </c>
      <c r="AN1792" s="4" t="s">
        <v>3427</v>
      </c>
      <c r="AO1792" s="4" t="s">
        <v>7158</v>
      </c>
      <c r="AP1792" s="4" t="s">
        <v>7159</v>
      </c>
      <c r="AQ1792" s="4"/>
      <c r="AR1792" s="4" t="s">
        <v>7160</v>
      </c>
      <c r="AS1792" s="4" t="s">
        <v>7161</v>
      </c>
      <c r="AT1792" s="4" t="s">
        <v>185</v>
      </c>
      <c r="AU1792" s="4" t="n">
        <v>2014</v>
      </c>
      <c r="AV1792" s="4" t="n">
        <v>95</v>
      </c>
      <c r="AW1792" s="4"/>
      <c r="AX1792" s="4" t="n">
        <v>8</v>
      </c>
      <c r="AY1792" s="4"/>
      <c r="AZ1792" s="4"/>
      <c r="BA1792" s="4"/>
      <c r="BB1792" s="4" t="n">
        <v>1625</v>
      </c>
      <c r="BC1792" s="4" t="n">
        <v>1633</v>
      </c>
      <c r="BD1792" s="4"/>
      <c r="BE1792" s="4" t="s">
        <v>30647</v>
      </c>
      <c r="BF1792" s="4" t="str">
        <f aca="false">HYPERLINK("http://dx.doi.org/10.1099/vir.0.066100-0","http://dx.doi.org/10.1099/vir.0.066100-0")</f>
        <v>http://dx.doi.org/10.1099/vir.0.066100-0</v>
      </c>
      <c r="BG1792" s="4"/>
      <c r="BH1792" s="4"/>
      <c r="BI1792" s="4" t="n">
        <v>9</v>
      </c>
      <c r="BJ1792" s="4" t="s">
        <v>7163</v>
      </c>
      <c r="BK1792" s="4" t="s">
        <v>100</v>
      </c>
      <c r="BL1792" s="4" t="s">
        <v>7163</v>
      </c>
      <c r="BM1792" s="4" t="s">
        <v>30648</v>
      </c>
      <c r="BN1792" s="4" t="n">
        <v>24760760</v>
      </c>
      <c r="BO1792" s="4" t="s">
        <v>7569</v>
      </c>
      <c r="BP1792" s="4"/>
      <c r="BQ1792" s="4"/>
      <c r="BR1792" s="4" t="s">
        <v>104</v>
      </c>
      <c r="BS1792" s="4" t="s">
        <v>30649</v>
      </c>
      <c r="BT1792" s="4" t="str">
        <f aca="false">HYPERLINK("https%3A%2F%2Fwww.webofscience.com%2Fwos%2Fwoscc%2Ffull-record%2FWOS:000341070400002","View Full Record in Web of Science")</f>
        <v>View Full Record in Web of Science</v>
      </c>
    </row>
    <row r="1793" s="5" customFormat="true" ht="12.75" hidden="false" customHeight="false" outlineLevel="0" collapsed="false">
      <c r="A1793" s="4" t="s">
        <v>72</v>
      </c>
      <c r="B1793" s="4" t="s">
        <v>30650</v>
      </c>
      <c r="C1793" s="4"/>
      <c r="D1793" s="4"/>
      <c r="E1793" s="4"/>
      <c r="F1793" s="4" t="s">
        <v>30651</v>
      </c>
      <c r="G1793" s="4"/>
      <c r="H1793" s="4"/>
      <c r="I1793" s="4" t="s">
        <v>30652</v>
      </c>
      <c r="J1793" s="4" t="s">
        <v>27453</v>
      </c>
      <c r="K1793" s="4"/>
      <c r="L1793" s="4"/>
      <c r="M1793" s="4" t="s">
        <v>77</v>
      </c>
      <c r="N1793" s="4" t="s">
        <v>78</v>
      </c>
      <c r="O1793" s="4"/>
      <c r="P1793" s="4"/>
      <c r="Q1793" s="4"/>
      <c r="R1793" s="4"/>
      <c r="S1793" s="4"/>
      <c r="T1793" s="1" t="s">
        <v>30653</v>
      </c>
      <c r="U1793" s="4" t="s">
        <v>30654</v>
      </c>
      <c r="V1793" s="4" t="s">
        <v>30655</v>
      </c>
      <c r="W1793" s="4" t="s">
        <v>30656</v>
      </c>
      <c r="X1793" s="4" t="s">
        <v>30657</v>
      </c>
      <c r="Y1793" s="4" t="s">
        <v>30658</v>
      </c>
      <c r="Z1793" s="4" t="s">
        <v>2068</v>
      </c>
      <c r="AA1793" s="4" t="s">
        <v>30659</v>
      </c>
      <c r="AB1793" s="4" t="s">
        <v>30660</v>
      </c>
      <c r="AC1793" s="4" t="s">
        <v>30661</v>
      </c>
      <c r="AD1793" s="4" t="s">
        <v>30662</v>
      </c>
      <c r="AE1793" s="4" t="s">
        <v>30663</v>
      </c>
      <c r="AF1793" s="4"/>
      <c r="AG1793" s="4" t="n">
        <v>34</v>
      </c>
      <c r="AH1793" s="4" t="n">
        <v>5</v>
      </c>
      <c r="AI1793" s="4" t="n">
        <v>6</v>
      </c>
      <c r="AJ1793" s="4" t="n">
        <v>1</v>
      </c>
      <c r="AK1793" s="4" t="n">
        <v>3</v>
      </c>
      <c r="AL1793" s="4" t="s">
        <v>27463</v>
      </c>
      <c r="AM1793" s="4" t="s">
        <v>16252</v>
      </c>
      <c r="AN1793" s="4" t="s">
        <v>27464</v>
      </c>
      <c r="AO1793" s="4" t="s">
        <v>27465</v>
      </c>
      <c r="AP1793" s="4" t="s">
        <v>27466</v>
      </c>
      <c r="AQ1793" s="4"/>
      <c r="AR1793" s="4" t="s">
        <v>27467</v>
      </c>
      <c r="AS1793" s="4" t="s">
        <v>27468</v>
      </c>
      <c r="AT1793" s="4" t="s">
        <v>161</v>
      </c>
      <c r="AU1793" s="4" t="n">
        <v>2022</v>
      </c>
      <c r="AV1793" s="4" t="n">
        <v>75</v>
      </c>
      <c r="AW1793" s="4" t="n">
        <v>1</v>
      </c>
      <c r="AX1793" s="4"/>
      <c r="AY1793" s="4"/>
      <c r="AZ1793" s="4"/>
      <c r="BA1793" s="4"/>
      <c r="BB1793" s="4" t="n">
        <v>56</v>
      </c>
      <c r="BC1793" s="4" t="n">
        <v>62</v>
      </c>
      <c r="BD1793" s="4"/>
      <c r="BE1793" s="4" t="s">
        <v>30664</v>
      </c>
      <c r="BF1793" s="4" t="str">
        <f aca="false">HYPERLINK("http://dx.doi.org/10.7883/yoken.JJID.2021.151","http://dx.doi.org/10.7883/yoken.JJID.2021.151")</f>
        <v>http://dx.doi.org/10.7883/yoken.JJID.2021.151</v>
      </c>
      <c r="BG1793" s="4"/>
      <c r="BH1793" s="4"/>
      <c r="BI1793" s="4" t="n">
        <v>7</v>
      </c>
      <c r="BJ1793" s="4" t="s">
        <v>575</v>
      </c>
      <c r="BK1793" s="4" t="s">
        <v>100</v>
      </c>
      <c r="BL1793" s="4" t="s">
        <v>575</v>
      </c>
      <c r="BM1793" s="4" t="s">
        <v>30665</v>
      </c>
      <c r="BN1793" s="4" t="n">
        <v>34193665</v>
      </c>
      <c r="BO1793" s="4" t="s">
        <v>1355</v>
      </c>
      <c r="BP1793" s="4"/>
      <c r="BQ1793" s="4"/>
      <c r="BR1793" s="4" t="s">
        <v>104</v>
      </c>
      <c r="BS1793" s="4" t="s">
        <v>30666</v>
      </c>
      <c r="BT1793" s="4" t="str">
        <f aca="false">HYPERLINK("https%3A%2F%2Fwww.webofscience.com%2Fwos%2Fwoscc%2Ffull-record%2FWOS:000759033900010","View Full Record in Web of Science")</f>
        <v>View Full Record in Web of Science</v>
      </c>
    </row>
    <row r="1794" s="5" customFormat="true" ht="12.75" hidden="false" customHeight="false" outlineLevel="0" collapsed="false">
      <c r="A1794" s="4" t="s">
        <v>72</v>
      </c>
      <c r="B1794" s="4" t="s">
        <v>30667</v>
      </c>
      <c r="C1794" s="4"/>
      <c r="D1794" s="4"/>
      <c r="E1794" s="4"/>
      <c r="F1794" s="4" t="s">
        <v>30668</v>
      </c>
      <c r="G1794" s="4"/>
      <c r="H1794" s="4"/>
      <c r="I1794" s="4" t="s">
        <v>30669</v>
      </c>
      <c r="J1794" s="4" t="s">
        <v>6395</v>
      </c>
      <c r="K1794" s="4"/>
      <c r="L1794" s="4"/>
      <c r="M1794" s="4" t="s">
        <v>77</v>
      </c>
      <c r="N1794" s="4" t="s">
        <v>78</v>
      </c>
      <c r="O1794" s="4"/>
      <c r="P1794" s="4"/>
      <c r="Q1794" s="4"/>
      <c r="R1794" s="4"/>
      <c r="S1794" s="4"/>
      <c r="T1794" s="1" t="s">
        <v>30670</v>
      </c>
      <c r="U1794" s="4" t="s">
        <v>30671</v>
      </c>
      <c r="V1794" s="4" t="s">
        <v>30672</v>
      </c>
      <c r="W1794" s="4" t="s">
        <v>30673</v>
      </c>
      <c r="X1794" s="4" t="s">
        <v>30674</v>
      </c>
      <c r="Y1794" s="4" t="s">
        <v>30675</v>
      </c>
      <c r="Z1794" s="4" t="s">
        <v>30676</v>
      </c>
      <c r="AA1794" s="4" t="s">
        <v>30677</v>
      </c>
      <c r="AB1794" s="4" t="s">
        <v>30678</v>
      </c>
      <c r="AC1794" s="4"/>
      <c r="AD1794" s="4"/>
      <c r="AE1794" s="4"/>
      <c r="AF1794" s="4"/>
      <c r="AG1794" s="4" t="n">
        <v>32</v>
      </c>
      <c r="AH1794" s="4" t="n">
        <v>3</v>
      </c>
      <c r="AI1794" s="4" t="n">
        <v>3</v>
      </c>
      <c r="AJ1794" s="4" t="n">
        <v>1</v>
      </c>
      <c r="AK1794" s="4" t="n">
        <v>4</v>
      </c>
      <c r="AL1794" s="4" t="s">
        <v>6405</v>
      </c>
      <c r="AM1794" s="4" t="s">
        <v>6406</v>
      </c>
      <c r="AN1794" s="4" t="s">
        <v>6407</v>
      </c>
      <c r="AO1794" s="4" t="s">
        <v>6408</v>
      </c>
      <c r="AP1794" s="4"/>
      <c r="AQ1794" s="4"/>
      <c r="AR1794" s="4" t="s">
        <v>6409</v>
      </c>
      <c r="AS1794" s="4" t="s">
        <v>6410</v>
      </c>
      <c r="AT1794" s="4" t="s">
        <v>9853</v>
      </c>
      <c r="AU1794" s="4" t="n">
        <v>2022</v>
      </c>
      <c r="AV1794" s="4" t="n">
        <v>12</v>
      </c>
      <c r="AW1794" s="4" t="n">
        <v>1</v>
      </c>
      <c r="AX1794" s="4"/>
      <c r="AY1794" s="4"/>
      <c r="AZ1794" s="4"/>
      <c r="BA1794" s="4"/>
      <c r="BB1794" s="4"/>
      <c r="BC1794" s="4"/>
      <c r="BD1794" s="4" t="n">
        <v>2790</v>
      </c>
      <c r="BE1794" s="4" t="s">
        <v>30679</v>
      </c>
      <c r="BF1794" s="4" t="str">
        <f aca="false">HYPERLINK("http://dx.doi.org/10.1038/s41598-022-06537-5","http://dx.doi.org/10.1038/s41598-022-06537-5")</f>
        <v>http://dx.doi.org/10.1038/s41598-022-06537-5</v>
      </c>
      <c r="BG1794" s="4"/>
      <c r="BH1794" s="4"/>
      <c r="BI1794" s="4" t="n">
        <v>7</v>
      </c>
      <c r="BJ1794" s="4" t="s">
        <v>1658</v>
      </c>
      <c r="BK1794" s="4" t="s">
        <v>100</v>
      </c>
      <c r="BL1794" s="4" t="s">
        <v>1659</v>
      </c>
      <c r="BM1794" s="4" t="s">
        <v>30680</v>
      </c>
      <c r="BN1794" s="4" t="n">
        <v>35181674</v>
      </c>
      <c r="BO1794" s="4" t="s">
        <v>103</v>
      </c>
      <c r="BP1794" s="4"/>
      <c r="BQ1794" s="4"/>
      <c r="BR1794" s="4" t="s">
        <v>104</v>
      </c>
      <c r="BS1794" s="4" t="s">
        <v>30681</v>
      </c>
      <c r="BT1794" s="4" t="str">
        <f aca="false">HYPERLINK("https%3A%2F%2Fwww.webofscience.com%2Fwos%2Fwoscc%2Ffull-record%2FWOS:000757901500008","View Full Record in Web of Science")</f>
        <v>View Full Record in Web of Science</v>
      </c>
    </row>
    <row r="1795" s="5" customFormat="true" ht="12.75" hidden="false" customHeight="false" outlineLevel="0" collapsed="false">
      <c r="A1795" s="4" t="s">
        <v>72</v>
      </c>
      <c r="B1795" s="4" t="s">
        <v>30682</v>
      </c>
      <c r="C1795" s="4"/>
      <c r="D1795" s="4"/>
      <c r="E1795" s="4"/>
      <c r="F1795" s="4" t="s">
        <v>30683</v>
      </c>
      <c r="G1795" s="4"/>
      <c r="H1795" s="4"/>
      <c r="I1795" s="4" t="s">
        <v>30684</v>
      </c>
      <c r="J1795" s="4" t="s">
        <v>6395</v>
      </c>
      <c r="K1795" s="4"/>
      <c r="L1795" s="4"/>
      <c r="M1795" s="4" t="s">
        <v>77</v>
      </c>
      <c r="N1795" s="4" t="s">
        <v>78</v>
      </c>
      <c r="O1795" s="4"/>
      <c r="P1795" s="4"/>
      <c r="Q1795" s="4"/>
      <c r="R1795" s="4"/>
      <c r="S1795" s="4"/>
      <c r="T1795" s="1" t="s">
        <v>30685</v>
      </c>
      <c r="U1795" s="4" t="s">
        <v>30686</v>
      </c>
      <c r="V1795" s="4" t="s">
        <v>30687</v>
      </c>
      <c r="W1795" s="4" t="s">
        <v>30688</v>
      </c>
      <c r="X1795" s="4" t="s">
        <v>30689</v>
      </c>
      <c r="Y1795" s="4" t="s">
        <v>30690</v>
      </c>
      <c r="Z1795" s="4" t="s">
        <v>6556</v>
      </c>
      <c r="AA1795" s="4" t="s">
        <v>30691</v>
      </c>
      <c r="AB1795" s="4"/>
      <c r="AC1795" s="4" t="s">
        <v>30692</v>
      </c>
      <c r="AD1795" s="4" t="s">
        <v>30693</v>
      </c>
      <c r="AE1795" s="4" t="s">
        <v>30694</v>
      </c>
      <c r="AF1795" s="4"/>
      <c r="AG1795" s="4" t="n">
        <v>49</v>
      </c>
      <c r="AH1795" s="4" t="n">
        <v>2</v>
      </c>
      <c r="AI1795" s="4" t="n">
        <v>2</v>
      </c>
      <c r="AJ1795" s="4" t="n">
        <v>0</v>
      </c>
      <c r="AK1795" s="4" t="n">
        <v>0</v>
      </c>
      <c r="AL1795" s="4" t="s">
        <v>6405</v>
      </c>
      <c r="AM1795" s="4" t="s">
        <v>6406</v>
      </c>
      <c r="AN1795" s="4" t="s">
        <v>6407</v>
      </c>
      <c r="AO1795" s="4" t="s">
        <v>6408</v>
      </c>
      <c r="AP1795" s="4"/>
      <c r="AQ1795" s="4"/>
      <c r="AR1795" s="4" t="s">
        <v>6409</v>
      </c>
      <c r="AS1795" s="4" t="s">
        <v>6410</v>
      </c>
      <c r="AT1795" s="4" t="s">
        <v>30695</v>
      </c>
      <c r="AU1795" s="4" t="n">
        <v>2021</v>
      </c>
      <c r="AV1795" s="4" t="n">
        <v>11</v>
      </c>
      <c r="AW1795" s="4" t="n">
        <v>1</v>
      </c>
      <c r="AX1795" s="4"/>
      <c r="AY1795" s="4"/>
      <c r="AZ1795" s="4"/>
      <c r="BA1795" s="4"/>
      <c r="BB1795" s="4"/>
      <c r="BC1795" s="4"/>
      <c r="BD1795" s="4" t="n">
        <v>20769</v>
      </c>
      <c r="BE1795" s="4" t="s">
        <v>30696</v>
      </c>
      <c r="BF1795" s="4" t="str">
        <f aca="false">HYPERLINK("http://dx.doi.org/10.1038/s41598-021-00023-0","http://dx.doi.org/10.1038/s41598-021-00023-0")</f>
        <v>http://dx.doi.org/10.1038/s41598-021-00023-0</v>
      </c>
      <c r="BG1795" s="4"/>
      <c r="BH1795" s="4"/>
      <c r="BI1795" s="4" t="n">
        <v>10</v>
      </c>
      <c r="BJ1795" s="4" t="s">
        <v>1658</v>
      </c>
      <c r="BK1795" s="4" t="s">
        <v>100</v>
      </c>
      <c r="BL1795" s="4" t="s">
        <v>1659</v>
      </c>
      <c r="BM1795" s="4" t="s">
        <v>30697</v>
      </c>
      <c r="BN1795" s="4" t="n">
        <v>34675220</v>
      </c>
      <c r="BO1795" s="4" t="s">
        <v>103</v>
      </c>
      <c r="BP1795" s="4"/>
      <c r="BQ1795" s="4"/>
      <c r="BR1795" s="4" t="s">
        <v>104</v>
      </c>
      <c r="BS1795" s="4" t="s">
        <v>30698</v>
      </c>
      <c r="BT1795" s="4" t="str">
        <f aca="false">HYPERLINK("https%3A%2F%2Fwww.webofscience.com%2Fwos%2Fwoscc%2Ffull-record%2FWOS:000709931300051","View Full Record in Web of Science")</f>
        <v>View Full Record in Web of Science</v>
      </c>
    </row>
    <row r="1796" s="5" customFormat="true" ht="12.75" hidden="false" customHeight="false" outlineLevel="0" collapsed="false">
      <c r="A1796" s="4" t="s">
        <v>72</v>
      </c>
      <c r="B1796" s="4" t="s">
        <v>30699</v>
      </c>
      <c r="C1796" s="4"/>
      <c r="D1796" s="4"/>
      <c r="E1796" s="4"/>
      <c r="F1796" s="4" t="s">
        <v>30700</v>
      </c>
      <c r="G1796" s="4"/>
      <c r="H1796" s="4"/>
      <c r="I1796" s="4" t="s">
        <v>30701</v>
      </c>
      <c r="J1796" s="4" t="s">
        <v>30702</v>
      </c>
      <c r="K1796" s="4"/>
      <c r="L1796" s="4"/>
      <c r="M1796" s="4" t="s">
        <v>77</v>
      </c>
      <c r="N1796" s="4" t="s">
        <v>78</v>
      </c>
      <c r="O1796" s="4"/>
      <c r="P1796" s="4"/>
      <c r="Q1796" s="4"/>
      <c r="R1796" s="4"/>
      <c r="S1796" s="4"/>
      <c r="T1796" s="1" t="s">
        <v>30703</v>
      </c>
      <c r="U1796" s="4" t="s">
        <v>30704</v>
      </c>
      <c r="V1796" s="4" t="s">
        <v>30705</v>
      </c>
      <c r="W1796" s="4" t="s">
        <v>30706</v>
      </c>
      <c r="X1796" s="4" t="s">
        <v>2571</v>
      </c>
      <c r="Y1796" s="4" t="s">
        <v>30707</v>
      </c>
      <c r="Z1796" s="4" t="s">
        <v>30708</v>
      </c>
      <c r="AA1796" s="4"/>
      <c r="AB1796" s="4" t="s">
        <v>2575</v>
      </c>
      <c r="AC1796" s="4" t="s">
        <v>30709</v>
      </c>
      <c r="AD1796" s="4" t="s">
        <v>30710</v>
      </c>
      <c r="AE1796" s="4" t="s">
        <v>30711</v>
      </c>
      <c r="AF1796" s="4"/>
      <c r="AG1796" s="4" t="n">
        <v>105</v>
      </c>
      <c r="AH1796" s="4" t="n">
        <v>4</v>
      </c>
      <c r="AI1796" s="4" t="n">
        <v>5</v>
      </c>
      <c r="AJ1796" s="4" t="n">
        <v>1</v>
      </c>
      <c r="AK1796" s="4" t="n">
        <v>5</v>
      </c>
      <c r="AL1796" s="4" t="s">
        <v>782</v>
      </c>
      <c r="AM1796" s="4" t="s">
        <v>2193</v>
      </c>
      <c r="AN1796" s="4" t="s">
        <v>2194</v>
      </c>
      <c r="AO1796" s="4" t="s">
        <v>30712</v>
      </c>
      <c r="AP1796" s="4" t="s">
        <v>30713</v>
      </c>
      <c r="AQ1796" s="4"/>
      <c r="AR1796" s="4" t="s">
        <v>30714</v>
      </c>
      <c r="AS1796" s="4" t="s">
        <v>30715</v>
      </c>
      <c r="AT1796" s="4" t="s">
        <v>185</v>
      </c>
      <c r="AU1796" s="4" t="n">
        <v>2023</v>
      </c>
      <c r="AV1796" s="4" t="n">
        <v>61</v>
      </c>
      <c r="AW1796" s="4"/>
      <c r="AX1796" s="4"/>
      <c r="AY1796" s="4"/>
      <c r="AZ1796" s="4"/>
      <c r="BA1796" s="4"/>
      <c r="BB1796" s="4"/>
      <c r="BC1796" s="4"/>
      <c r="BD1796" s="4" t="n">
        <v>101337</v>
      </c>
      <c r="BE1796" s="4" t="s">
        <v>30716</v>
      </c>
      <c r="BF1796" s="4" t="str">
        <f aca="false">HYPERLINK("http://dx.doi.org/10.1016/j.coviro.2023.101337","http://dx.doi.org/10.1016/j.coviro.2023.101337")</f>
        <v>http://dx.doi.org/10.1016/j.coviro.2023.101337</v>
      </c>
      <c r="BG1796" s="4"/>
      <c r="BH1796" s="4" t="s">
        <v>5077</v>
      </c>
      <c r="BI1796" s="4" t="n">
        <v>11</v>
      </c>
      <c r="BJ1796" s="4" t="s">
        <v>163</v>
      </c>
      <c r="BK1796" s="4" t="s">
        <v>100</v>
      </c>
      <c r="BL1796" s="4" t="s">
        <v>163</v>
      </c>
      <c r="BM1796" s="4" t="s">
        <v>30717</v>
      </c>
      <c r="BN1796" s="4" t="n">
        <v>37544710</v>
      </c>
      <c r="BO1796" s="4" t="s">
        <v>4062</v>
      </c>
      <c r="BP1796" s="4"/>
      <c r="BQ1796" s="4"/>
      <c r="BR1796" s="4" t="s">
        <v>104</v>
      </c>
      <c r="BS1796" s="4" t="s">
        <v>30718</v>
      </c>
      <c r="BT1796" s="4" t="str">
        <f aca="false">HYPERLINK("https%3A%2F%2Fwww.webofscience.com%2Fwos%2Fwoscc%2Ffull-record%2FWOS:001053151400001","View Full Record in Web of Science")</f>
        <v>View Full Record in Web of Science</v>
      </c>
    </row>
    <row r="1797" s="5" customFormat="true" ht="12.75" hidden="false" customHeight="false" outlineLevel="0" collapsed="false">
      <c r="A1797" s="4" t="s">
        <v>72</v>
      </c>
      <c r="B1797" s="4" t="s">
        <v>30719</v>
      </c>
      <c r="C1797" s="4"/>
      <c r="D1797" s="4"/>
      <c r="E1797" s="4"/>
      <c r="F1797" s="4" t="s">
        <v>30720</v>
      </c>
      <c r="G1797" s="4"/>
      <c r="H1797" s="4"/>
      <c r="I1797" s="4" t="s">
        <v>30721</v>
      </c>
      <c r="J1797" s="4" t="s">
        <v>742</v>
      </c>
      <c r="K1797" s="4"/>
      <c r="L1797" s="4"/>
      <c r="M1797" s="4" t="s">
        <v>77</v>
      </c>
      <c r="N1797" s="4" t="s">
        <v>78</v>
      </c>
      <c r="O1797" s="4"/>
      <c r="P1797" s="4"/>
      <c r="Q1797" s="4"/>
      <c r="R1797" s="4"/>
      <c r="S1797" s="4"/>
      <c r="T1797" s="1" t="s">
        <v>30722</v>
      </c>
      <c r="U1797" s="4" t="s">
        <v>30723</v>
      </c>
      <c r="V1797" s="4" t="s">
        <v>30724</v>
      </c>
      <c r="W1797" s="4" t="s">
        <v>30725</v>
      </c>
      <c r="X1797" s="4" t="s">
        <v>12027</v>
      </c>
      <c r="Y1797" s="4" t="s">
        <v>14891</v>
      </c>
      <c r="Z1797" s="4" t="s">
        <v>14892</v>
      </c>
      <c r="AA1797" s="4" t="s">
        <v>30726</v>
      </c>
      <c r="AB1797" s="4" t="s">
        <v>27668</v>
      </c>
      <c r="AC1797" s="4" t="s">
        <v>30727</v>
      </c>
      <c r="AD1797" s="4" t="s">
        <v>30728</v>
      </c>
      <c r="AE1797" s="4" t="s">
        <v>30729</v>
      </c>
      <c r="AF1797" s="4"/>
      <c r="AG1797" s="4" t="n">
        <v>50</v>
      </c>
      <c r="AH1797" s="4" t="n">
        <v>27</v>
      </c>
      <c r="AI1797" s="4" t="n">
        <v>36</v>
      </c>
      <c r="AJ1797" s="4" t="n">
        <v>0</v>
      </c>
      <c r="AK1797" s="4" t="n">
        <v>1</v>
      </c>
      <c r="AL1797" s="4" t="s">
        <v>755</v>
      </c>
      <c r="AM1797" s="4" t="s">
        <v>273</v>
      </c>
      <c r="AN1797" s="4" t="s">
        <v>756</v>
      </c>
      <c r="AO1797" s="4" t="s">
        <v>757</v>
      </c>
      <c r="AP1797" s="4" t="s">
        <v>758</v>
      </c>
      <c r="AQ1797" s="4"/>
      <c r="AR1797" s="4" t="s">
        <v>759</v>
      </c>
      <c r="AS1797" s="4" t="s">
        <v>760</v>
      </c>
      <c r="AT1797" s="4" t="s">
        <v>486</v>
      </c>
      <c r="AU1797" s="4" t="n">
        <v>2014</v>
      </c>
      <c r="AV1797" s="4" t="n">
        <v>88</v>
      </c>
      <c r="AW1797" s="4" t="n">
        <v>11</v>
      </c>
      <c r="AX1797" s="4"/>
      <c r="AY1797" s="4"/>
      <c r="AZ1797" s="4"/>
      <c r="BA1797" s="4"/>
      <c r="BB1797" s="4" t="n">
        <v>6423</v>
      </c>
      <c r="BC1797" s="4" t="n">
        <v>6433</v>
      </c>
      <c r="BD1797" s="4"/>
      <c r="BE1797" s="4" t="s">
        <v>30730</v>
      </c>
      <c r="BF1797" s="4" t="str">
        <f aca="false">HYPERLINK("http://dx.doi.org/10.1128/JVI.02848-13","http://dx.doi.org/10.1128/JVI.02848-13")</f>
        <v>http://dx.doi.org/10.1128/JVI.02848-13</v>
      </c>
      <c r="BG1797" s="4"/>
      <c r="BH1797" s="4"/>
      <c r="BI1797" s="4" t="n">
        <v>11</v>
      </c>
      <c r="BJ1797" s="4" t="s">
        <v>163</v>
      </c>
      <c r="BK1797" s="4" t="s">
        <v>100</v>
      </c>
      <c r="BL1797" s="4" t="s">
        <v>163</v>
      </c>
      <c r="BM1797" s="4" t="s">
        <v>30731</v>
      </c>
      <c r="BN1797" s="4" t="n">
        <v>24672047</v>
      </c>
      <c r="BO1797" s="4" t="s">
        <v>538</v>
      </c>
      <c r="BP1797" s="4"/>
      <c r="BQ1797" s="4"/>
      <c r="BR1797" s="4" t="s">
        <v>104</v>
      </c>
      <c r="BS1797" s="4" t="s">
        <v>30732</v>
      </c>
      <c r="BT1797" s="4" t="str">
        <f aca="false">HYPERLINK("https%3A%2F%2Fwww.webofscience.com%2Fwos%2Fwoscc%2Ffull-record%2FWOS:000335970300047","View Full Record in Web of Science")</f>
        <v>View Full Record in Web of Science</v>
      </c>
    </row>
    <row r="1798" s="5" customFormat="true" ht="12.75" hidden="false" customHeight="false" outlineLevel="0" collapsed="false">
      <c r="A1798" s="4" t="s">
        <v>72</v>
      </c>
      <c r="B1798" s="4" t="s">
        <v>30733</v>
      </c>
      <c r="C1798" s="4"/>
      <c r="D1798" s="4"/>
      <c r="E1798" s="4"/>
      <c r="F1798" s="4" t="s">
        <v>30734</v>
      </c>
      <c r="G1798" s="4"/>
      <c r="H1798" s="4"/>
      <c r="I1798" s="4" t="s">
        <v>30735</v>
      </c>
      <c r="J1798" s="4" t="s">
        <v>514</v>
      </c>
      <c r="K1798" s="4"/>
      <c r="L1798" s="4"/>
      <c r="M1798" s="4" t="s">
        <v>77</v>
      </c>
      <c r="N1798" s="4" t="s">
        <v>78</v>
      </c>
      <c r="O1798" s="4"/>
      <c r="P1798" s="4"/>
      <c r="Q1798" s="4"/>
      <c r="R1798" s="4"/>
      <c r="S1798" s="4"/>
      <c r="T1798" s="1" t="s">
        <v>30736</v>
      </c>
      <c r="U1798" s="4" t="s">
        <v>30737</v>
      </c>
      <c r="V1798" s="4" t="s">
        <v>30738</v>
      </c>
      <c r="W1798" s="4" t="s">
        <v>30739</v>
      </c>
      <c r="X1798" s="4" t="s">
        <v>30740</v>
      </c>
      <c r="Y1798" s="4" t="s">
        <v>30741</v>
      </c>
      <c r="Z1798" s="4" t="s">
        <v>5226</v>
      </c>
      <c r="AA1798" s="4" t="s">
        <v>22590</v>
      </c>
      <c r="AB1798" s="4" t="s">
        <v>30742</v>
      </c>
      <c r="AC1798" s="4" t="s">
        <v>30743</v>
      </c>
      <c r="AD1798" s="4" t="s">
        <v>30744</v>
      </c>
      <c r="AE1798" s="4" t="s">
        <v>30745</v>
      </c>
      <c r="AF1798" s="4"/>
      <c r="AG1798" s="4" t="n">
        <v>45</v>
      </c>
      <c r="AH1798" s="4" t="n">
        <v>230</v>
      </c>
      <c r="AI1798" s="4" t="n">
        <v>246</v>
      </c>
      <c r="AJ1798" s="4" t="n">
        <v>0</v>
      </c>
      <c r="AK1798" s="4" t="n">
        <v>11</v>
      </c>
      <c r="AL1798" s="4" t="s">
        <v>527</v>
      </c>
      <c r="AM1798" s="4" t="s">
        <v>528</v>
      </c>
      <c r="AN1798" s="4" t="s">
        <v>529</v>
      </c>
      <c r="AO1798" s="4" t="s">
        <v>530</v>
      </c>
      <c r="AP1798" s="4"/>
      <c r="AQ1798" s="4"/>
      <c r="AR1798" s="4" t="s">
        <v>532</v>
      </c>
      <c r="AS1798" s="4" t="s">
        <v>533</v>
      </c>
      <c r="AT1798" s="4" t="s">
        <v>8806</v>
      </c>
      <c r="AU1798" s="4" t="n">
        <v>2012</v>
      </c>
      <c r="AV1798" s="4" t="n">
        <v>206</v>
      </c>
      <c r="AW1798" s="4" t="n">
        <v>1</v>
      </c>
      <c r="AX1798" s="4"/>
      <c r="AY1798" s="4"/>
      <c r="AZ1798" s="4"/>
      <c r="BA1798" s="4"/>
      <c r="BB1798" s="4" t="n">
        <v>56</v>
      </c>
      <c r="BC1798" s="4" t="n">
        <v>62</v>
      </c>
      <c r="BD1798" s="4"/>
      <c r="BE1798" s="4" t="s">
        <v>30746</v>
      </c>
      <c r="BF1798" s="4" t="str">
        <f aca="false">HYPERLINK("http://dx.doi.org/10.1093/infdis/jis309","http://dx.doi.org/10.1093/infdis/jis309")</f>
        <v>http://dx.doi.org/10.1093/infdis/jis309</v>
      </c>
      <c r="BG1798" s="4"/>
      <c r="BH1798" s="4"/>
      <c r="BI1798" s="4" t="n">
        <v>7</v>
      </c>
      <c r="BJ1798" s="4" t="s">
        <v>536</v>
      </c>
      <c r="BK1798" s="4" t="s">
        <v>1086</v>
      </c>
      <c r="BL1798" s="4" t="s">
        <v>536</v>
      </c>
      <c r="BM1798" s="4" t="s">
        <v>30747</v>
      </c>
      <c r="BN1798" s="4" t="n">
        <v>22529314</v>
      </c>
      <c r="BO1798" s="4" t="s">
        <v>538</v>
      </c>
      <c r="BP1798" s="4"/>
      <c r="BQ1798" s="4"/>
      <c r="BR1798" s="4" t="s">
        <v>104</v>
      </c>
      <c r="BS1798" s="4" t="s">
        <v>30748</v>
      </c>
      <c r="BT1798" s="4" t="str">
        <f aca="false">HYPERLINK("https%3A%2F%2Fwww.webofscience.com%2Fwos%2Fwoscc%2Ffull-record%2FWOS:000304540200009","View Full Record in Web of Science")</f>
        <v>View Full Record in Web of Science</v>
      </c>
    </row>
    <row r="1799" s="5" customFormat="true" ht="12.75" hidden="false" customHeight="false" outlineLevel="0" collapsed="false">
      <c r="A1799" s="4" t="s">
        <v>72</v>
      </c>
      <c r="B1799" s="4" t="s">
        <v>30749</v>
      </c>
      <c r="C1799" s="4"/>
      <c r="D1799" s="4"/>
      <c r="E1799" s="4"/>
      <c r="F1799" s="4" t="s">
        <v>30750</v>
      </c>
      <c r="G1799" s="4"/>
      <c r="H1799" s="4"/>
      <c r="I1799" s="4" t="s">
        <v>30751</v>
      </c>
      <c r="J1799" s="4" t="s">
        <v>27497</v>
      </c>
      <c r="K1799" s="4"/>
      <c r="L1799" s="4"/>
      <c r="M1799" s="4" t="s">
        <v>77</v>
      </c>
      <c r="N1799" s="4" t="s">
        <v>78</v>
      </c>
      <c r="O1799" s="4"/>
      <c r="P1799" s="4"/>
      <c r="Q1799" s="4"/>
      <c r="R1799" s="4"/>
      <c r="S1799" s="4"/>
      <c r="T1799" s="1" t="s">
        <v>30752</v>
      </c>
      <c r="U1799" s="4" t="s">
        <v>30753</v>
      </c>
      <c r="V1799" s="4" t="s">
        <v>30754</v>
      </c>
      <c r="W1799" s="4" t="s">
        <v>30755</v>
      </c>
      <c r="X1799" s="4" t="s">
        <v>30756</v>
      </c>
      <c r="Y1799" s="4" t="s">
        <v>30757</v>
      </c>
      <c r="Z1799" s="4" t="s">
        <v>30758</v>
      </c>
      <c r="AA1799" s="4"/>
      <c r="AB1799" s="4" t="s">
        <v>30759</v>
      </c>
      <c r="AC1799" s="4" t="s">
        <v>30760</v>
      </c>
      <c r="AD1799" s="4" t="s">
        <v>30760</v>
      </c>
      <c r="AE1799" s="4" t="s">
        <v>30761</v>
      </c>
      <c r="AF1799" s="4"/>
      <c r="AG1799" s="4" t="n">
        <v>41</v>
      </c>
      <c r="AH1799" s="4" t="n">
        <v>29</v>
      </c>
      <c r="AI1799" s="4" t="n">
        <v>33</v>
      </c>
      <c r="AJ1799" s="4" t="n">
        <v>0</v>
      </c>
      <c r="AK1799" s="4" t="n">
        <v>6</v>
      </c>
      <c r="AL1799" s="4" t="s">
        <v>27506</v>
      </c>
      <c r="AM1799" s="4" t="s">
        <v>27507</v>
      </c>
      <c r="AN1799" s="4" t="s">
        <v>27508</v>
      </c>
      <c r="AO1799" s="4" t="s">
        <v>27509</v>
      </c>
      <c r="AP1799" s="4"/>
      <c r="AQ1799" s="4"/>
      <c r="AR1799" s="4" t="s">
        <v>27497</v>
      </c>
      <c r="AS1799" s="4" t="s">
        <v>27510</v>
      </c>
      <c r="AT1799" s="4" t="s">
        <v>30762</v>
      </c>
      <c r="AU1799" s="4" t="n">
        <v>2016</v>
      </c>
      <c r="AV1799" s="4" t="n">
        <v>11</v>
      </c>
      <c r="AW1799" s="4" t="n">
        <v>5</v>
      </c>
      <c r="AX1799" s="4"/>
      <c r="AY1799" s="4"/>
      <c r="AZ1799" s="4"/>
      <c r="BA1799" s="4"/>
      <c r="BB1799" s="4"/>
      <c r="BC1799" s="4"/>
      <c r="BD1799" s="4" t="s">
        <v>30763</v>
      </c>
      <c r="BE1799" s="4" t="s">
        <v>30764</v>
      </c>
      <c r="BF1799" s="4" t="str">
        <f aca="false">HYPERLINK("http://dx.doi.org/10.1371/journal.pone.0155484","http://dx.doi.org/10.1371/journal.pone.0155484")</f>
        <v>http://dx.doi.org/10.1371/journal.pone.0155484</v>
      </c>
      <c r="BG1799" s="4"/>
      <c r="BH1799" s="4"/>
      <c r="BI1799" s="4" t="n">
        <v>15</v>
      </c>
      <c r="BJ1799" s="4" t="s">
        <v>1658</v>
      </c>
      <c r="BK1799" s="4" t="s">
        <v>100</v>
      </c>
      <c r="BL1799" s="4" t="s">
        <v>1659</v>
      </c>
      <c r="BM1799" s="4" t="s">
        <v>30765</v>
      </c>
      <c r="BN1799" s="4" t="n">
        <v>27171557</v>
      </c>
      <c r="BO1799" s="4" t="s">
        <v>2582</v>
      </c>
      <c r="BP1799" s="4"/>
      <c r="BQ1799" s="4"/>
      <c r="BR1799" s="4" t="s">
        <v>104</v>
      </c>
      <c r="BS1799" s="4" t="s">
        <v>30766</v>
      </c>
      <c r="BT1799" s="4" t="str">
        <f aca="false">HYPERLINK("https%3A%2F%2Fwww.webofscience.com%2Fwos%2Fwoscc%2Ffull-record%2FWOS:000376588600033","View Full Record in Web of Science")</f>
        <v>View Full Record in Web of Science</v>
      </c>
    </row>
    <row r="1800" s="5" customFormat="true" ht="12.75" hidden="false" customHeight="false" outlineLevel="0" collapsed="false">
      <c r="A1800" s="4" t="s">
        <v>72</v>
      </c>
      <c r="B1800" s="4" t="s">
        <v>30767</v>
      </c>
      <c r="C1800" s="4"/>
      <c r="D1800" s="4"/>
      <c r="E1800" s="4"/>
      <c r="F1800" s="4" t="s">
        <v>30768</v>
      </c>
      <c r="G1800" s="4"/>
      <c r="H1800" s="4"/>
      <c r="I1800" s="4" t="s">
        <v>30769</v>
      </c>
      <c r="J1800" s="4" t="s">
        <v>6395</v>
      </c>
      <c r="K1800" s="4"/>
      <c r="L1800" s="4"/>
      <c r="M1800" s="4" t="s">
        <v>77</v>
      </c>
      <c r="N1800" s="4" t="s">
        <v>78</v>
      </c>
      <c r="O1800" s="4"/>
      <c r="P1800" s="4"/>
      <c r="Q1800" s="4"/>
      <c r="R1800" s="4"/>
      <c r="S1800" s="4"/>
      <c r="T1800" s="1" t="s">
        <v>30770</v>
      </c>
      <c r="U1800" s="4" t="s">
        <v>30771</v>
      </c>
      <c r="V1800" s="4" t="s">
        <v>30772</v>
      </c>
      <c r="W1800" s="4" t="s">
        <v>30773</v>
      </c>
      <c r="X1800" s="4" t="s">
        <v>30774</v>
      </c>
      <c r="Y1800" s="4" t="s">
        <v>30775</v>
      </c>
      <c r="Z1800" s="4" t="s">
        <v>16233</v>
      </c>
      <c r="AA1800" s="4" t="s">
        <v>30776</v>
      </c>
      <c r="AB1800" s="4" t="s">
        <v>30777</v>
      </c>
      <c r="AC1800" s="4" t="s">
        <v>30778</v>
      </c>
      <c r="AD1800" s="4" t="s">
        <v>30779</v>
      </c>
      <c r="AE1800" s="4" t="s">
        <v>30780</v>
      </c>
      <c r="AF1800" s="4"/>
      <c r="AG1800" s="4" t="n">
        <v>53</v>
      </c>
      <c r="AH1800" s="4" t="n">
        <v>41</v>
      </c>
      <c r="AI1800" s="4" t="n">
        <v>43</v>
      </c>
      <c r="AJ1800" s="4" t="n">
        <v>0</v>
      </c>
      <c r="AK1800" s="4" t="n">
        <v>9</v>
      </c>
      <c r="AL1800" s="4" t="s">
        <v>6405</v>
      </c>
      <c r="AM1800" s="4" t="s">
        <v>6406</v>
      </c>
      <c r="AN1800" s="4" t="s">
        <v>6407</v>
      </c>
      <c r="AO1800" s="4" t="s">
        <v>6408</v>
      </c>
      <c r="AP1800" s="4"/>
      <c r="AQ1800" s="4"/>
      <c r="AR1800" s="4" t="s">
        <v>6409</v>
      </c>
      <c r="AS1800" s="4" t="s">
        <v>6410</v>
      </c>
      <c r="AT1800" s="4" t="s">
        <v>30781</v>
      </c>
      <c r="AU1800" s="4" t="n">
        <v>2016</v>
      </c>
      <c r="AV1800" s="4" t="n">
        <v>6</v>
      </c>
      <c r="AW1800" s="4"/>
      <c r="AX1800" s="4"/>
      <c r="AY1800" s="4"/>
      <c r="AZ1800" s="4"/>
      <c r="BA1800" s="4"/>
      <c r="BB1800" s="4"/>
      <c r="BC1800" s="4"/>
      <c r="BD1800" s="4" t="n">
        <v>27730</v>
      </c>
      <c r="BE1800" s="4" t="s">
        <v>30782</v>
      </c>
      <c r="BF1800" s="4" t="str">
        <f aca="false">HYPERLINK("http://dx.doi.org/10.1038/srep27730","http://dx.doi.org/10.1038/srep27730")</f>
        <v>http://dx.doi.org/10.1038/srep27730</v>
      </c>
      <c r="BG1800" s="4"/>
      <c r="BH1800" s="4"/>
      <c r="BI1800" s="4" t="n">
        <v>10</v>
      </c>
      <c r="BJ1800" s="4" t="s">
        <v>1658</v>
      </c>
      <c r="BK1800" s="4" t="s">
        <v>100</v>
      </c>
      <c r="BL1800" s="4" t="s">
        <v>1659</v>
      </c>
      <c r="BM1800" s="4" t="s">
        <v>30783</v>
      </c>
      <c r="BN1800" s="4" t="n">
        <v>27279080</v>
      </c>
      <c r="BO1800" s="4" t="s">
        <v>190</v>
      </c>
      <c r="BP1800" s="4"/>
      <c r="BQ1800" s="4"/>
      <c r="BR1800" s="4" t="s">
        <v>104</v>
      </c>
      <c r="BS1800" s="4" t="s">
        <v>30784</v>
      </c>
      <c r="BT1800" s="4" t="str">
        <f aca="false">HYPERLINK("https%3A%2F%2Fwww.webofscience.com%2Fwos%2Fwoscc%2Ffull-record%2FWOS:000377371900003","View Full Record in Web of Science")</f>
        <v>View Full Record in Web of Science</v>
      </c>
    </row>
    <row r="1801" s="5" customFormat="true" ht="12.75" hidden="false" customHeight="false" outlineLevel="0" collapsed="false">
      <c r="A1801" s="4" t="s">
        <v>72</v>
      </c>
      <c r="B1801" s="4" t="s">
        <v>30785</v>
      </c>
      <c r="C1801" s="4"/>
      <c r="D1801" s="4"/>
      <c r="E1801" s="4"/>
      <c r="F1801" s="4" t="s">
        <v>30786</v>
      </c>
      <c r="G1801" s="4"/>
      <c r="H1801" s="4"/>
      <c r="I1801" s="4" t="s">
        <v>30787</v>
      </c>
      <c r="J1801" s="4" t="s">
        <v>27548</v>
      </c>
      <c r="K1801" s="4"/>
      <c r="L1801" s="4"/>
      <c r="M1801" s="4" t="s">
        <v>77</v>
      </c>
      <c r="N1801" s="4" t="s">
        <v>78</v>
      </c>
      <c r="O1801" s="4"/>
      <c r="P1801" s="4"/>
      <c r="Q1801" s="4"/>
      <c r="R1801" s="4"/>
      <c r="S1801" s="4"/>
      <c r="T1801" s="0"/>
      <c r="U1801" s="4" t="s">
        <v>30788</v>
      </c>
      <c r="V1801" s="4" t="s">
        <v>30789</v>
      </c>
      <c r="W1801" s="4" t="s">
        <v>30790</v>
      </c>
      <c r="X1801" s="4" t="s">
        <v>30791</v>
      </c>
      <c r="Y1801" s="4" t="s">
        <v>30792</v>
      </c>
      <c r="Z1801" s="4" t="s">
        <v>30793</v>
      </c>
      <c r="AA1801" s="4" t="s">
        <v>7916</v>
      </c>
      <c r="AB1801" s="4" t="s">
        <v>26616</v>
      </c>
      <c r="AC1801" s="4" t="s">
        <v>29239</v>
      </c>
      <c r="AD1801" s="4" t="s">
        <v>2416</v>
      </c>
      <c r="AE1801" s="4"/>
      <c r="AF1801" s="4"/>
      <c r="AG1801" s="4" t="n">
        <v>28</v>
      </c>
      <c r="AH1801" s="4" t="n">
        <v>18</v>
      </c>
      <c r="AI1801" s="4" t="n">
        <v>19</v>
      </c>
      <c r="AJ1801" s="4" t="n">
        <v>0</v>
      </c>
      <c r="AK1801" s="4" t="n">
        <v>6</v>
      </c>
      <c r="AL1801" s="4" t="s">
        <v>27851</v>
      </c>
      <c r="AM1801" s="4" t="s">
        <v>27561</v>
      </c>
      <c r="AN1801" s="4" t="s">
        <v>27562</v>
      </c>
      <c r="AO1801" s="4" t="s">
        <v>27563</v>
      </c>
      <c r="AP1801" s="4" t="s">
        <v>27564</v>
      </c>
      <c r="AQ1801" s="4"/>
      <c r="AR1801" s="4" t="s">
        <v>27565</v>
      </c>
      <c r="AS1801" s="4" t="s">
        <v>27566</v>
      </c>
      <c r="AT1801" s="4" t="s">
        <v>446</v>
      </c>
      <c r="AU1801" s="4" t="n">
        <v>2006</v>
      </c>
      <c r="AV1801" s="4" t="n">
        <v>12</v>
      </c>
      <c r="AW1801" s="4" t="n">
        <v>12</v>
      </c>
      <c r="AX1801" s="4"/>
      <c r="AY1801" s="4"/>
      <c r="AZ1801" s="4"/>
      <c r="BA1801" s="4"/>
      <c r="BB1801" s="4" t="n">
        <v>1853</v>
      </c>
      <c r="BC1801" s="4" t="n">
        <v>1859</v>
      </c>
      <c r="BD1801" s="4"/>
      <c r="BE1801" s="4"/>
      <c r="BF1801" s="4"/>
      <c r="BG1801" s="4"/>
      <c r="BH1801" s="4"/>
      <c r="BI1801" s="4" t="n">
        <v>7</v>
      </c>
      <c r="BJ1801" s="4" t="s">
        <v>965</v>
      </c>
      <c r="BK1801" s="4" t="s">
        <v>100</v>
      </c>
      <c r="BL1801" s="4" t="s">
        <v>965</v>
      </c>
      <c r="BM1801" s="4" t="s">
        <v>30794</v>
      </c>
      <c r="BN1801" s="4" t="n">
        <v>17235379</v>
      </c>
      <c r="BO1801" s="4"/>
      <c r="BP1801" s="4"/>
      <c r="BQ1801" s="4"/>
      <c r="BR1801" s="4" t="s">
        <v>104</v>
      </c>
      <c r="BS1801" s="4" t="s">
        <v>30795</v>
      </c>
      <c r="BT1801" s="4" t="str">
        <f aca="false">HYPERLINK("https%3A%2F%2Fwww.webofscience.com%2Fwos%2Fwoscc%2Ffull-record%2FWOS:000242301900008","View Full Record in Web of Science")</f>
        <v>View Full Record in Web of Science</v>
      </c>
    </row>
    <row r="1802" s="5" customFormat="true" ht="12.75" hidden="false" customHeight="false" outlineLevel="0" collapsed="false">
      <c r="A1802" s="4" t="s">
        <v>72</v>
      </c>
      <c r="B1802" s="4" t="s">
        <v>30796</v>
      </c>
      <c r="C1802" s="4"/>
      <c r="D1802" s="4"/>
      <c r="E1802" s="4"/>
      <c r="F1802" s="4" t="s">
        <v>30796</v>
      </c>
      <c r="G1802" s="4"/>
      <c r="H1802" s="4"/>
      <c r="I1802" s="4" t="s">
        <v>30797</v>
      </c>
      <c r="J1802" s="4" t="s">
        <v>742</v>
      </c>
      <c r="K1802" s="4"/>
      <c r="L1802" s="4"/>
      <c r="M1802" s="4" t="s">
        <v>77</v>
      </c>
      <c r="N1802" s="4" t="s">
        <v>78</v>
      </c>
      <c r="O1802" s="4"/>
      <c r="P1802" s="4"/>
      <c r="Q1802" s="4"/>
      <c r="R1802" s="4"/>
      <c r="S1802" s="4"/>
      <c r="T1802" s="1" t="s">
        <v>30798</v>
      </c>
      <c r="U1802" s="4" t="s">
        <v>30799</v>
      </c>
      <c r="V1802" s="4" t="s">
        <v>30800</v>
      </c>
      <c r="W1802" s="4" t="s">
        <v>6707</v>
      </c>
      <c r="X1802" s="4" t="s">
        <v>6708</v>
      </c>
      <c r="Y1802" s="4" t="s">
        <v>30801</v>
      </c>
      <c r="Z1802" s="4" t="s">
        <v>6710</v>
      </c>
      <c r="AA1802" s="4" t="s">
        <v>30802</v>
      </c>
      <c r="AB1802" s="4" t="s">
        <v>6712</v>
      </c>
      <c r="AC1802" s="4"/>
      <c r="AD1802" s="4"/>
      <c r="AE1802" s="4"/>
      <c r="AF1802" s="4"/>
      <c r="AG1802" s="4" t="n">
        <v>34</v>
      </c>
      <c r="AH1802" s="4" t="n">
        <v>130</v>
      </c>
      <c r="AI1802" s="4" t="n">
        <v>156</v>
      </c>
      <c r="AJ1802" s="4" t="n">
        <v>0</v>
      </c>
      <c r="AK1802" s="4" t="n">
        <v>0</v>
      </c>
      <c r="AL1802" s="4" t="s">
        <v>755</v>
      </c>
      <c r="AM1802" s="4" t="s">
        <v>273</v>
      </c>
      <c r="AN1802" s="4" t="s">
        <v>756</v>
      </c>
      <c r="AO1802" s="4" t="s">
        <v>757</v>
      </c>
      <c r="AP1802" s="4" t="s">
        <v>758</v>
      </c>
      <c r="AQ1802" s="4"/>
      <c r="AR1802" s="4" t="s">
        <v>759</v>
      </c>
      <c r="AS1802" s="4" t="s">
        <v>760</v>
      </c>
      <c r="AT1802" s="4" t="s">
        <v>336</v>
      </c>
      <c r="AU1802" s="4" t="n">
        <v>2005</v>
      </c>
      <c r="AV1802" s="4" t="n">
        <v>79</v>
      </c>
      <c r="AW1802" s="4" t="n">
        <v>19</v>
      </c>
      <c r="AX1802" s="4"/>
      <c r="AY1802" s="4"/>
      <c r="AZ1802" s="4"/>
      <c r="BA1802" s="4"/>
      <c r="BB1802" s="4" t="n">
        <v>12608</v>
      </c>
      <c r="BC1802" s="4" t="n">
        <v>12613</v>
      </c>
      <c r="BD1802" s="4"/>
      <c r="BE1802" s="4" t="s">
        <v>30803</v>
      </c>
      <c r="BF1802" s="4" t="str">
        <f aca="false">HYPERLINK("http://dx.doi.org/10.1128/JVI.79.19.12608-12613.2005","http://dx.doi.org/10.1128/JVI.79.19.12608-12613.2005")</f>
        <v>http://dx.doi.org/10.1128/JVI.79.19.12608-12613.2005</v>
      </c>
      <c r="BG1802" s="4"/>
      <c r="BH1802" s="4"/>
      <c r="BI1802" s="4" t="n">
        <v>6</v>
      </c>
      <c r="BJ1802" s="4" t="s">
        <v>163</v>
      </c>
      <c r="BK1802" s="4" t="s">
        <v>100</v>
      </c>
      <c r="BL1802" s="4" t="s">
        <v>163</v>
      </c>
      <c r="BM1802" s="4" t="s">
        <v>30804</v>
      </c>
      <c r="BN1802" s="4" t="n">
        <v>16160190</v>
      </c>
      <c r="BO1802" s="4" t="s">
        <v>165</v>
      </c>
      <c r="BP1802" s="4"/>
      <c r="BQ1802" s="4"/>
      <c r="BR1802" s="4" t="s">
        <v>104</v>
      </c>
      <c r="BS1802" s="4" t="s">
        <v>30805</v>
      </c>
      <c r="BT1802" s="4" t="str">
        <f aca="false">HYPERLINK("https%3A%2F%2Fwww.webofscience.com%2Fwos%2Fwoscc%2Ffull-record%2FWOS:000231992500051","View Full Record in Web of Science")</f>
        <v>View Full Record in Web of Science</v>
      </c>
    </row>
    <row r="1803" s="5" customFormat="true" ht="12.75" hidden="false" customHeight="false" outlineLevel="0" collapsed="false">
      <c r="A1803" s="4" t="s">
        <v>72</v>
      </c>
      <c r="B1803" s="4" t="s">
        <v>30806</v>
      </c>
      <c r="C1803" s="4"/>
      <c r="D1803" s="4"/>
      <c r="E1803" s="4"/>
      <c r="F1803" s="4" t="s">
        <v>30807</v>
      </c>
      <c r="G1803" s="4"/>
      <c r="H1803" s="4"/>
      <c r="I1803" s="4" t="s">
        <v>30808</v>
      </c>
      <c r="J1803" s="4" t="s">
        <v>27497</v>
      </c>
      <c r="K1803" s="4"/>
      <c r="L1803" s="4"/>
      <c r="M1803" s="4" t="s">
        <v>77</v>
      </c>
      <c r="N1803" s="4" t="s">
        <v>78</v>
      </c>
      <c r="O1803" s="4"/>
      <c r="P1803" s="4"/>
      <c r="Q1803" s="4"/>
      <c r="R1803" s="4"/>
      <c r="S1803" s="4"/>
      <c r="T1803" s="1" t="s">
        <v>30809</v>
      </c>
      <c r="U1803" s="4" t="s">
        <v>30810</v>
      </c>
      <c r="V1803" s="4" t="s">
        <v>30811</v>
      </c>
      <c r="W1803" s="4" t="s">
        <v>30812</v>
      </c>
      <c r="X1803" s="4" t="s">
        <v>2614</v>
      </c>
      <c r="Y1803" s="4" t="s">
        <v>30813</v>
      </c>
      <c r="Z1803" s="4" t="s">
        <v>14113</v>
      </c>
      <c r="AA1803" s="4" t="s">
        <v>2617</v>
      </c>
      <c r="AB1803" s="4"/>
      <c r="AC1803" s="4" t="s">
        <v>30814</v>
      </c>
      <c r="AD1803" s="4" t="s">
        <v>30815</v>
      </c>
      <c r="AE1803" s="4" t="s">
        <v>30816</v>
      </c>
      <c r="AF1803" s="4"/>
      <c r="AG1803" s="4" t="n">
        <v>48</v>
      </c>
      <c r="AH1803" s="4" t="n">
        <v>16</v>
      </c>
      <c r="AI1803" s="4" t="n">
        <v>18</v>
      </c>
      <c r="AJ1803" s="4" t="n">
        <v>0</v>
      </c>
      <c r="AK1803" s="4" t="n">
        <v>4</v>
      </c>
      <c r="AL1803" s="4" t="s">
        <v>27506</v>
      </c>
      <c r="AM1803" s="4" t="s">
        <v>27507</v>
      </c>
      <c r="AN1803" s="4" t="s">
        <v>27508</v>
      </c>
      <c r="AO1803" s="4" t="s">
        <v>27509</v>
      </c>
      <c r="AP1803" s="4"/>
      <c r="AQ1803" s="4"/>
      <c r="AR1803" s="4" t="s">
        <v>27497</v>
      </c>
      <c r="AS1803" s="4" t="s">
        <v>27510</v>
      </c>
      <c r="AT1803" s="4" t="s">
        <v>5922</v>
      </c>
      <c r="AU1803" s="4" t="n">
        <v>2013</v>
      </c>
      <c r="AV1803" s="4" t="n">
        <v>8</v>
      </c>
      <c r="AW1803" s="4" t="n">
        <v>10</v>
      </c>
      <c r="AX1803" s="4"/>
      <c r="AY1803" s="4"/>
      <c r="AZ1803" s="4"/>
      <c r="BA1803" s="4"/>
      <c r="BB1803" s="4"/>
      <c r="BC1803" s="4"/>
      <c r="BD1803" s="4" t="s">
        <v>30817</v>
      </c>
      <c r="BE1803" s="4" t="s">
        <v>30818</v>
      </c>
      <c r="BF1803" s="4" t="str">
        <f aca="false">HYPERLINK("http://dx.doi.org/10.1371/journal.pone.0078849","http://dx.doi.org/10.1371/journal.pone.0078849")</f>
        <v>http://dx.doi.org/10.1371/journal.pone.0078849</v>
      </c>
      <c r="BG1803" s="4"/>
      <c r="BH1803" s="4"/>
      <c r="BI1803" s="4" t="n">
        <v>10</v>
      </c>
      <c r="BJ1803" s="4" t="s">
        <v>1658</v>
      </c>
      <c r="BK1803" s="4" t="s">
        <v>100</v>
      </c>
      <c r="BL1803" s="4" t="s">
        <v>1659</v>
      </c>
      <c r="BM1803" s="4" t="s">
        <v>30819</v>
      </c>
      <c r="BN1803" s="4" t="n">
        <v>24205331</v>
      </c>
      <c r="BO1803" s="4" t="s">
        <v>5702</v>
      </c>
      <c r="BP1803" s="4"/>
      <c r="BQ1803" s="4"/>
      <c r="BR1803" s="4" t="s">
        <v>104</v>
      </c>
      <c r="BS1803" s="4" t="s">
        <v>30820</v>
      </c>
      <c r="BT1803" s="4" t="str">
        <f aca="false">HYPERLINK("https%3A%2F%2Fwww.webofscience.com%2Fwos%2Fwoscc%2Ffull-record%2FWOS:000326270700100","View Full Record in Web of Science")</f>
        <v>View Full Record in Web of Science</v>
      </c>
    </row>
    <row r="1804" s="5" customFormat="true" ht="12.75" hidden="false" customHeight="false" outlineLevel="0" collapsed="false">
      <c r="A1804" s="4" t="s">
        <v>72</v>
      </c>
      <c r="B1804" s="4" t="s">
        <v>30821</v>
      </c>
      <c r="C1804" s="4"/>
      <c r="D1804" s="4"/>
      <c r="E1804" s="4"/>
      <c r="F1804" s="4" t="s">
        <v>30822</v>
      </c>
      <c r="G1804" s="4"/>
      <c r="H1804" s="4"/>
      <c r="I1804" s="4" t="s">
        <v>30823</v>
      </c>
      <c r="J1804" s="4" t="s">
        <v>27820</v>
      </c>
      <c r="K1804" s="4"/>
      <c r="L1804" s="4"/>
      <c r="M1804" s="4" t="s">
        <v>77</v>
      </c>
      <c r="N1804" s="4" t="s">
        <v>78</v>
      </c>
      <c r="O1804" s="4"/>
      <c r="P1804" s="4"/>
      <c r="Q1804" s="4"/>
      <c r="R1804" s="4"/>
      <c r="S1804" s="4"/>
      <c r="T1804" s="1" t="s">
        <v>30824</v>
      </c>
      <c r="U1804" s="4" t="s">
        <v>30825</v>
      </c>
      <c r="V1804" s="4" t="s">
        <v>30826</v>
      </c>
      <c r="W1804" s="4" t="s">
        <v>30827</v>
      </c>
      <c r="X1804" s="4" t="s">
        <v>30828</v>
      </c>
      <c r="Y1804" s="4" t="s">
        <v>30829</v>
      </c>
      <c r="Z1804" s="4" t="s">
        <v>30171</v>
      </c>
      <c r="AA1804" s="4" t="s">
        <v>30830</v>
      </c>
      <c r="AB1804" s="4" t="s">
        <v>30831</v>
      </c>
      <c r="AC1804" s="4" t="s">
        <v>30832</v>
      </c>
      <c r="AD1804" s="4" t="s">
        <v>30833</v>
      </c>
      <c r="AE1804" s="4" t="s">
        <v>30834</v>
      </c>
      <c r="AF1804" s="4"/>
      <c r="AG1804" s="4" t="n">
        <v>72</v>
      </c>
      <c r="AH1804" s="4" t="n">
        <v>40</v>
      </c>
      <c r="AI1804" s="4" t="n">
        <v>53</v>
      </c>
      <c r="AJ1804" s="4" t="n">
        <v>0</v>
      </c>
      <c r="AK1804" s="4" t="n">
        <v>11</v>
      </c>
      <c r="AL1804" s="4" t="s">
        <v>27506</v>
      </c>
      <c r="AM1804" s="4" t="s">
        <v>27507</v>
      </c>
      <c r="AN1804" s="4" t="s">
        <v>27508</v>
      </c>
      <c r="AO1804" s="4" t="s">
        <v>27831</v>
      </c>
      <c r="AP1804" s="4" t="s">
        <v>27832</v>
      </c>
      <c r="AQ1804" s="4"/>
      <c r="AR1804" s="4" t="s">
        <v>27833</v>
      </c>
      <c r="AS1804" s="4" t="s">
        <v>27834</v>
      </c>
      <c r="AT1804" s="4" t="s">
        <v>129</v>
      </c>
      <c r="AU1804" s="4" t="n">
        <v>2016</v>
      </c>
      <c r="AV1804" s="4" t="n">
        <v>12</v>
      </c>
      <c r="AW1804" s="4" t="n">
        <v>9</v>
      </c>
      <c r="AX1804" s="4"/>
      <c r="AY1804" s="4"/>
      <c r="AZ1804" s="4"/>
      <c r="BA1804" s="4"/>
      <c r="BB1804" s="4"/>
      <c r="BC1804" s="4"/>
      <c r="BD1804" s="4" t="s">
        <v>30835</v>
      </c>
      <c r="BE1804" s="4" t="s">
        <v>30836</v>
      </c>
      <c r="BF1804" s="4" t="str">
        <f aca="false">HYPERLINK("http://dx.doi.org/10.1371/journal.ppat.1005859","http://dx.doi.org/10.1371/journal.ppat.1005859")</f>
        <v>http://dx.doi.org/10.1371/journal.ppat.1005859</v>
      </c>
      <c r="BG1804" s="4"/>
      <c r="BH1804" s="4"/>
      <c r="BI1804" s="4" t="n">
        <v>21</v>
      </c>
      <c r="BJ1804" s="4" t="s">
        <v>27837</v>
      </c>
      <c r="BK1804" s="4" t="s">
        <v>100</v>
      </c>
      <c r="BL1804" s="4" t="s">
        <v>27837</v>
      </c>
      <c r="BM1804" s="4" t="s">
        <v>30837</v>
      </c>
      <c r="BN1804" s="4" t="n">
        <v>27611367</v>
      </c>
      <c r="BO1804" s="4" t="s">
        <v>6349</v>
      </c>
      <c r="BP1804" s="4"/>
      <c r="BQ1804" s="4"/>
      <c r="BR1804" s="4" t="s">
        <v>104</v>
      </c>
      <c r="BS1804" s="4" t="s">
        <v>30838</v>
      </c>
      <c r="BT1804" s="4" t="str">
        <f aca="false">HYPERLINK("https%3A%2F%2Fwww.webofscience.com%2Fwos%2Fwoscc%2Ffull-record%2FWOS:000385621900029","View Full Record in Web of Science")</f>
        <v>View Full Record in Web of Science</v>
      </c>
    </row>
    <row r="1805" s="5" customFormat="true" ht="12.75" hidden="false" customHeight="false" outlineLevel="0" collapsed="false">
      <c r="A1805" s="4" t="s">
        <v>72</v>
      </c>
      <c r="B1805" s="4" t="s">
        <v>30839</v>
      </c>
      <c r="C1805" s="4"/>
      <c r="D1805" s="4"/>
      <c r="E1805" s="4"/>
      <c r="F1805" s="4" t="s">
        <v>30840</v>
      </c>
      <c r="G1805" s="4"/>
      <c r="H1805" s="4"/>
      <c r="I1805" s="4" t="s">
        <v>30841</v>
      </c>
      <c r="J1805" s="4" t="s">
        <v>28246</v>
      </c>
      <c r="K1805" s="4"/>
      <c r="L1805" s="4"/>
      <c r="M1805" s="4" t="s">
        <v>77</v>
      </c>
      <c r="N1805" s="4" t="s">
        <v>78</v>
      </c>
      <c r="O1805" s="4"/>
      <c r="P1805" s="4"/>
      <c r="Q1805" s="4"/>
      <c r="R1805" s="4"/>
      <c r="S1805" s="4"/>
      <c r="T1805" s="1" t="s">
        <v>30842</v>
      </c>
      <c r="U1805" s="4" t="s">
        <v>30843</v>
      </c>
      <c r="V1805" s="4" t="s">
        <v>30844</v>
      </c>
      <c r="W1805" s="4" t="s">
        <v>30845</v>
      </c>
      <c r="X1805" s="4" t="s">
        <v>30846</v>
      </c>
      <c r="Y1805" s="4" t="s">
        <v>30847</v>
      </c>
      <c r="Z1805" s="4" t="s">
        <v>30848</v>
      </c>
      <c r="AA1805" s="4" t="s">
        <v>30849</v>
      </c>
      <c r="AB1805" s="4" t="s">
        <v>30850</v>
      </c>
      <c r="AC1805" s="4" t="s">
        <v>30851</v>
      </c>
      <c r="AD1805" s="4" t="s">
        <v>30852</v>
      </c>
      <c r="AE1805" s="4" t="s">
        <v>30853</v>
      </c>
      <c r="AF1805" s="4"/>
      <c r="AG1805" s="4" t="n">
        <v>87</v>
      </c>
      <c r="AH1805" s="4" t="n">
        <v>16</v>
      </c>
      <c r="AI1805" s="4" t="n">
        <v>17</v>
      </c>
      <c r="AJ1805" s="4" t="n">
        <v>2</v>
      </c>
      <c r="AK1805" s="4" t="n">
        <v>6</v>
      </c>
      <c r="AL1805" s="4" t="s">
        <v>6405</v>
      </c>
      <c r="AM1805" s="4" t="s">
        <v>6406</v>
      </c>
      <c r="AN1805" s="4" t="s">
        <v>6407</v>
      </c>
      <c r="AO1805" s="4"/>
      <c r="AP1805" s="4" t="s">
        <v>28255</v>
      </c>
      <c r="AQ1805" s="4"/>
      <c r="AR1805" s="4" t="s">
        <v>28256</v>
      </c>
      <c r="AS1805" s="4" t="s">
        <v>28257</v>
      </c>
      <c r="AT1805" s="4" t="s">
        <v>12520</v>
      </c>
      <c r="AU1805" s="4" t="n">
        <v>2023</v>
      </c>
      <c r="AV1805" s="4" t="n">
        <v>14</v>
      </c>
      <c r="AW1805" s="4" t="n">
        <v>1</v>
      </c>
      <c r="AX1805" s="4"/>
      <c r="AY1805" s="4"/>
      <c r="AZ1805" s="4"/>
      <c r="BA1805" s="4"/>
      <c r="BB1805" s="4"/>
      <c r="BC1805" s="4"/>
      <c r="BD1805" s="4" t="n">
        <v>798</v>
      </c>
      <c r="BE1805" s="4" t="s">
        <v>30854</v>
      </c>
      <c r="BF1805" s="4" t="str">
        <f aca="false">HYPERLINK("http://dx.doi.org/10.1038/s41467-023-36459-3","http://dx.doi.org/10.1038/s41467-023-36459-3")</f>
        <v>http://dx.doi.org/10.1038/s41467-023-36459-3</v>
      </c>
      <c r="BG1805" s="4"/>
      <c r="BH1805" s="4"/>
      <c r="BI1805" s="4" t="n">
        <v>15</v>
      </c>
      <c r="BJ1805" s="4" t="s">
        <v>1658</v>
      </c>
      <c r="BK1805" s="4" t="s">
        <v>100</v>
      </c>
      <c r="BL1805" s="4" t="s">
        <v>1659</v>
      </c>
      <c r="BM1805" s="4" t="s">
        <v>30855</v>
      </c>
      <c r="BN1805" s="4" t="n">
        <v>36781872</v>
      </c>
      <c r="BO1805" s="4" t="s">
        <v>5702</v>
      </c>
      <c r="BP1805" s="4"/>
      <c r="BQ1805" s="4"/>
      <c r="BR1805" s="4" t="s">
        <v>104</v>
      </c>
      <c r="BS1805" s="4" t="s">
        <v>30856</v>
      </c>
      <c r="BT1805" s="4" t="str">
        <f aca="false">HYPERLINK("https%3A%2F%2Fwww.webofscience.com%2Fwos%2Fwoscc%2Ffull-record%2FWOS:001009851700024","View Full Record in Web of Science")</f>
        <v>View Full Record in Web of Science</v>
      </c>
    </row>
    <row r="1806" s="5" customFormat="true" ht="12.75" hidden="false" customHeight="false" outlineLevel="0" collapsed="false">
      <c r="A1806" s="4" t="s">
        <v>72</v>
      </c>
      <c r="B1806" s="4" t="s">
        <v>30857</v>
      </c>
      <c r="C1806" s="4"/>
      <c r="D1806" s="4"/>
      <c r="E1806" s="4"/>
      <c r="F1806" s="4" t="s">
        <v>30857</v>
      </c>
      <c r="G1806" s="4"/>
      <c r="H1806" s="4"/>
      <c r="I1806" s="4" t="s">
        <v>30858</v>
      </c>
      <c r="J1806" s="4" t="s">
        <v>28310</v>
      </c>
      <c r="K1806" s="4"/>
      <c r="L1806" s="4"/>
      <c r="M1806" s="4" t="s">
        <v>77</v>
      </c>
      <c r="N1806" s="4" t="s">
        <v>78</v>
      </c>
      <c r="O1806" s="4"/>
      <c r="P1806" s="4"/>
      <c r="Q1806" s="4"/>
      <c r="R1806" s="4"/>
      <c r="S1806" s="4"/>
      <c r="T1806" s="1" t="s">
        <v>30859</v>
      </c>
      <c r="U1806" s="4" t="s">
        <v>30860</v>
      </c>
      <c r="V1806" s="4" t="s">
        <v>30861</v>
      </c>
      <c r="W1806" s="4" t="s">
        <v>30862</v>
      </c>
      <c r="X1806" s="4" t="s">
        <v>30863</v>
      </c>
      <c r="Y1806" s="4" t="s">
        <v>30864</v>
      </c>
      <c r="Z1806" s="4" t="s">
        <v>30865</v>
      </c>
      <c r="AA1806" s="4" t="s">
        <v>30866</v>
      </c>
      <c r="AB1806" s="4" t="s">
        <v>30867</v>
      </c>
      <c r="AC1806" s="4"/>
      <c r="AD1806" s="4"/>
      <c r="AE1806" s="4"/>
      <c r="AF1806" s="4"/>
      <c r="AG1806" s="4" t="n">
        <v>28</v>
      </c>
      <c r="AH1806" s="4" t="n">
        <v>50</v>
      </c>
      <c r="AI1806" s="4" t="n">
        <v>54</v>
      </c>
      <c r="AJ1806" s="4" t="n">
        <v>0</v>
      </c>
      <c r="AK1806" s="4" t="n">
        <v>6</v>
      </c>
      <c r="AL1806" s="4" t="s">
        <v>2337</v>
      </c>
      <c r="AM1806" s="4" t="s">
        <v>303</v>
      </c>
      <c r="AN1806" s="4" t="s">
        <v>28320</v>
      </c>
      <c r="AO1806" s="4" t="s">
        <v>28321</v>
      </c>
      <c r="AP1806" s="4"/>
      <c r="AQ1806" s="4"/>
      <c r="AR1806" s="4" t="s">
        <v>28322</v>
      </c>
      <c r="AS1806" s="4" t="s">
        <v>28323</v>
      </c>
      <c r="AT1806" s="4" t="s">
        <v>8692</v>
      </c>
      <c r="AU1806" s="4" t="n">
        <v>2005</v>
      </c>
      <c r="AV1806" s="4" t="n">
        <v>6</v>
      </c>
      <c r="AW1806" s="4"/>
      <c r="AX1806" s="4"/>
      <c r="AY1806" s="4"/>
      <c r="AZ1806" s="4"/>
      <c r="BA1806" s="4"/>
      <c r="BB1806" s="4"/>
      <c r="BC1806" s="4"/>
      <c r="BD1806" s="4" t="n">
        <v>150</v>
      </c>
      <c r="BE1806" s="4" t="s">
        <v>30868</v>
      </c>
      <c r="BF1806" s="4" t="str">
        <f aca="false">HYPERLINK("http://dx.doi.org/10.1186/1465-9921-6-150","http://dx.doi.org/10.1186/1465-9921-6-150")</f>
        <v>http://dx.doi.org/10.1186/1465-9921-6-150</v>
      </c>
      <c r="BG1806" s="4"/>
      <c r="BH1806" s="4"/>
      <c r="BI1806" s="4" t="n">
        <v>5</v>
      </c>
      <c r="BJ1806" s="4" t="s">
        <v>338</v>
      </c>
      <c r="BK1806" s="4" t="s">
        <v>100</v>
      </c>
      <c r="BL1806" s="4" t="s">
        <v>338</v>
      </c>
      <c r="BM1806" s="4" t="s">
        <v>30869</v>
      </c>
      <c r="BN1806" s="4" t="n">
        <v>16371156</v>
      </c>
      <c r="BO1806" s="4" t="s">
        <v>103</v>
      </c>
      <c r="BP1806" s="4"/>
      <c r="BQ1806" s="4"/>
      <c r="BR1806" s="4" t="s">
        <v>104</v>
      </c>
      <c r="BS1806" s="4" t="s">
        <v>30870</v>
      </c>
      <c r="BT1806" s="4" t="str">
        <f aca="false">HYPERLINK("https%3A%2F%2Fwww.webofscience.com%2Fwos%2Fwoscc%2Ffull-record%2FWOS:000234891700001","View Full Record in Web of Science")</f>
        <v>View Full Record in Web of Science</v>
      </c>
    </row>
    <row r="1807" s="5" customFormat="true" ht="12.75" hidden="false" customHeight="false" outlineLevel="0" collapsed="false">
      <c r="A1807" s="4" t="s">
        <v>72</v>
      </c>
      <c r="B1807" s="4" t="s">
        <v>30871</v>
      </c>
      <c r="C1807" s="4"/>
      <c r="D1807" s="4"/>
      <c r="E1807" s="4"/>
      <c r="F1807" s="4" t="s">
        <v>30871</v>
      </c>
      <c r="G1807" s="4"/>
      <c r="H1807" s="4"/>
      <c r="I1807" s="4" t="s">
        <v>30872</v>
      </c>
      <c r="J1807" s="4" t="s">
        <v>2222</v>
      </c>
      <c r="K1807" s="4"/>
      <c r="L1807" s="4"/>
      <c r="M1807" s="4" t="s">
        <v>77</v>
      </c>
      <c r="N1807" s="4" t="s">
        <v>78</v>
      </c>
      <c r="O1807" s="4"/>
      <c r="P1807" s="4"/>
      <c r="Q1807" s="4"/>
      <c r="R1807" s="4"/>
      <c r="S1807" s="4"/>
      <c r="T1807" s="1" t="s">
        <v>30873</v>
      </c>
      <c r="U1807" s="4" t="s">
        <v>30874</v>
      </c>
      <c r="V1807" s="4" t="s">
        <v>30875</v>
      </c>
      <c r="W1807" s="4" t="s">
        <v>30876</v>
      </c>
      <c r="X1807" s="4" t="s">
        <v>30877</v>
      </c>
      <c r="Y1807" s="4" t="s">
        <v>30878</v>
      </c>
      <c r="Z1807" s="4" t="s">
        <v>30879</v>
      </c>
      <c r="AA1807" s="4" t="s">
        <v>13869</v>
      </c>
      <c r="AB1807" s="4"/>
      <c r="AC1807" s="4"/>
      <c r="AD1807" s="4"/>
      <c r="AE1807" s="4"/>
      <c r="AF1807" s="4"/>
      <c r="AG1807" s="4" t="n">
        <v>19</v>
      </c>
      <c r="AH1807" s="4" t="n">
        <v>42</v>
      </c>
      <c r="AI1807" s="4" t="n">
        <v>57</v>
      </c>
      <c r="AJ1807" s="4" t="n">
        <v>2</v>
      </c>
      <c r="AK1807" s="4" t="n">
        <v>2</v>
      </c>
      <c r="AL1807" s="4" t="s">
        <v>755</v>
      </c>
      <c r="AM1807" s="4" t="s">
        <v>273</v>
      </c>
      <c r="AN1807" s="4" t="s">
        <v>756</v>
      </c>
      <c r="AO1807" s="4" t="s">
        <v>2234</v>
      </c>
      <c r="AP1807" s="4" t="s">
        <v>2235</v>
      </c>
      <c r="AQ1807" s="4"/>
      <c r="AR1807" s="4" t="s">
        <v>2236</v>
      </c>
      <c r="AS1807" s="4" t="s">
        <v>2237</v>
      </c>
      <c r="AT1807" s="4" t="s">
        <v>185</v>
      </c>
      <c r="AU1807" s="4" t="n">
        <v>2004</v>
      </c>
      <c r="AV1807" s="4" t="n">
        <v>42</v>
      </c>
      <c r="AW1807" s="4" t="n">
        <v>8</v>
      </c>
      <c r="AX1807" s="4"/>
      <c r="AY1807" s="4"/>
      <c r="AZ1807" s="4"/>
      <c r="BA1807" s="4"/>
      <c r="BB1807" s="4" t="n">
        <v>3532</v>
      </c>
      <c r="BC1807" s="4" t="n">
        <v>3537</v>
      </c>
      <c r="BD1807" s="4"/>
      <c r="BE1807" s="4" t="s">
        <v>30880</v>
      </c>
      <c r="BF1807" s="4" t="str">
        <f aca="false">HYPERLINK("http://dx.doi.org/10.1128/JCM.42.8.3532-3537.2004","http://dx.doi.org/10.1128/JCM.42.8.3532-3537.2004")</f>
        <v>http://dx.doi.org/10.1128/JCM.42.8.3532-3537.2004</v>
      </c>
      <c r="BG1807" s="4"/>
      <c r="BH1807" s="4"/>
      <c r="BI1807" s="4" t="n">
        <v>6</v>
      </c>
      <c r="BJ1807" s="4" t="s">
        <v>211</v>
      </c>
      <c r="BK1807" s="4" t="s">
        <v>100</v>
      </c>
      <c r="BL1807" s="4" t="s">
        <v>211</v>
      </c>
      <c r="BM1807" s="4" t="s">
        <v>29889</v>
      </c>
      <c r="BN1807" s="4" t="n">
        <v>15297494</v>
      </c>
      <c r="BO1807" s="4" t="s">
        <v>165</v>
      </c>
      <c r="BP1807" s="4"/>
      <c r="BQ1807" s="4"/>
      <c r="BR1807" s="4" t="s">
        <v>104</v>
      </c>
      <c r="BS1807" s="4" t="s">
        <v>30881</v>
      </c>
      <c r="BT1807" s="4" t="str">
        <f aca="false">HYPERLINK("https%3A%2F%2Fwww.webofscience.com%2Fwos%2Fwoscc%2Ffull-record%2FWOS:000223286500023","View Full Record in Web of Science")</f>
        <v>View Full Record in Web of Science</v>
      </c>
    </row>
    <row r="1808" s="5" customFormat="true" ht="12.75" hidden="false" customHeight="false" outlineLevel="0" collapsed="false">
      <c r="A1808" s="4" t="s">
        <v>72</v>
      </c>
      <c r="B1808" s="4" t="s">
        <v>30882</v>
      </c>
      <c r="C1808" s="4"/>
      <c r="D1808" s="4"/>
      <c r="E1808" s="4"/>
      <c r="F1808" s="4" t="s">
        <v>30883</v>
      </c>
      <c r="G1808" s="4"/>
      <c r="H1808" s="4"/>
      <c r="I1808" s="4" t="s">
        <v>30884</v>
      </c>
      <c r="J1808" s="4" t="s">
        <v>29489</v>
      </c>
      <c r="K1808" s="4"/>
      <c r="L1808" s="4"/>
      <c r="M1808" s="4" t="s">
        <v>77</v>
      </c>
      <c r="N1808" s="4" t="s">
        <v>78</v>
      </c>
      <c r="O1808" s="4"/>
      <c r="P1808" s="4"/>
      <c r="Q1808" s="4"/>
      <c r="R1808" s="4"/>
      <c r="S1808" s="4"/>
      <c r="T1808" s="1" t="s">
        <v>30885</v>
      </c>
      <c r="U1808" s="4" t="s">
        <v>30886</v>
      </c>
      <c r="V1808" s="4" t="s">
        <v>30887</v>
      </c>
      <c r="W1808" s="4" t="s">
        <v>30888</v>
      </c>
      <c r="X1808" s="4" t="s">
        <v>4262</v>
      </c>
      <c r="Y1808" s="4" t="s">
        <v>30889</v>
      </c>
      <c r="Z1808" s="4" t="s">
        <v>6724</v>
      </c>
      <c r="AA1808" s="4" t="s">
        <v>30890</v>
      </c>
      <c r="AB1808" s="4" t="s">
        <v>2851</v>
      </c>
      <c r="AC1808" s="4" t="s">
        <v>30891</v>
      </c>
      <c r="AD1808" s="4" t="s">
        <v>30892</v>
      </c>
      <c r="AE1808" s="4" t="s">
        <v>30893</v>
      </c>
      <c r="AF1808" s="4"/>
      <c r="AG1808" s="4" t="n">
        <v>34</v>
      </c>
      <c r="AH1808" s="4" t="n">
        <v>19</v>
      </c>
      <c r="AI1808" s="4" t="n">
        <v>19</v>
      </c>
      <c r="AJ1808" s="4" t="n">
        <v>0</v>
      </c>
      <c r="AK1808" s="4" t="n">
        <v>5</v>
      </c>
      <c r="AL1808" s="4" t="s">
        <v>755</v>
      </c>
      <c r="AM1808" s="4" t="s">
        <v>273</v>
      </c>
      <c r="AN1808" s="4" t="s">
        <v>756</v>
      </c>
      <c r="AO1808" s="4" t="s">
        <v>29497</v>
      </c>
      <c r="AP1808" s="4"/>
      <c r="AQ1808" s="4"/>
      <c r="AR1808" s="4" t="s">
        <v>29499</v>
      </c>
      <c r="AS1808" s="4" t="s">
        <v>29500</v>
      </c>
      <c r="AT1808" s="4" t="s">
        <v>336</v>
      </c>
      <c r="AU1808" s="4" t="n">
        <v>2013</v>
      </c>
      <c r="AV1808" s="4" t="n">
        <v>20</v>
      </c>
      <c r="AW1808" s="4" t="n">
        <v>10</v>
      </c>
      <c r="AX1808" s="4"/>
      <c r="AY1808" s="4"/>
      <c r="AZ1808" s="4"/>
      <c r="BA1808" s="4"/>
      <c r="BB1808" s="4" t="n">
        <v>1654</v>
      </c>
      <c r="BC1808" s="4" t="n">
        <v>1656</v>
      </c>
      <c r="BD1808" s="4"/>
      <c r="BE1808" s="4" t="s">
        <v>30894</v>
      </c>
      <c r="BF1808" s="4" t="str">
        <f aca="false">HYPERLINK("http://dx.doi.org/10.1128/CVI.00750-12","http://dx.doi.org/10.1128/CVI.00750-12")</f>
        <v>http://dx.doi.org/10.1128/CVI.00750-12</v>
      </c>
      <c r="BG1808" s="4"/>
      <c r="BH1808" s="4"/>
      <c r="BI1808" s="4" t="n">
        <v>3</v>
      </c>
      <c r="BJ1808" s="4" t="s">
        <v>536</v>
      </c>
      <c r="BK1808" s="4" t="s">
        <v>100</v>
      </c>
      <c r="BL1808" s="4" t="s">
        <v>536</v>
      </c>
      <c r="BM1808" s="4" t="s">
        <v>30895</v>
      </c>
      <c r="BN1808" s="4" t="n">
        <v>23945161</v>
      </c>
      <c r="BO1808" s="4" t="s">
        <v>103</v>
      </c>
      <c r="BP1808" s="4"/>
      <c r="BQ1808" s="4"/>
      <c r="BR1808" s="4" t="s">
        <v>104</v>
      </c>
      <c r="BS1808" s="4" t="s">
        <v>30896</v>
      </c>
      <c r="BT1808" s="4" t="str">
        <f aca="false">HYPERLINK("https%3A%2F%2Fwww.webofscience.com%2Fwos%2Fwoscc%2Ffull-record%2FWOS:000324911700022","View Full Record in Web of Science")</f>
        <v>View Full Record in Web of Science</v>
      </c>
    </row>
    <row r="1809" s="5" customFormat="true" ht="12.75" hidden="false" customHeight="false" outlineLevel="0" collapsed="false">
      <c r="A1809" s="4" t="s">
        <v>72</v>
      </c>
      <c r="B1809" s="4" t="s">
        <v>30897</v>
      </c>
      <c r="C1809" s="4"/>
      <c r="D1809" s="4"/>
      <c r="E1809" s="4"/>
      <c r="F1809" s="4" t="s">
        <v>30897</v>
      </c>
      <c r="G1809" s="4"/>
      <c r="H1809" s="4"/>
      <c r="I1809" s="4" t="s">
        <v>30898</v>
      </c>
      <c r="J1809" s="4" t="s">
        <v>30899</v>
      </c>
      <c r="K1809" s="4"/>
      <c r="L1809" s="4"/>
      <c r="M1809" s="4" t="s">
        <v>77</v>
      </c>
      <c r="N1809" s="4" t="s">
        <v>78</v>
      </c>
      <c r="O1809" s="4"/>
      <c r="P1809" s="4"/>
      <c r="Q1809" s="4"/>
      <c r="R1809" s="4"/>
      <c r="S1809" s="4"/>
      <c r="T1809" s="1" t="s">
        <v>30900</v>
      </c>
      <c r="U1809" s="4" t="s">
        <v>30901</v>
      </c>
      <c r="V1809" s="4" t="s">
        <v>30902</v>
      </c>
      <c r="W1809" s="4" t="s">
        <v>30903</v>
      </c>
      <c r="X1809" s="4" t="s">
        <v>9059</v>
      </c>
      <c r="Y1809" s="4" t="s">
        <v>30904</v>
      </c>
      <c r="Z1809" s="4" t="s">
        <v>3029</v>
      </c>
      <c r="AA1809" s="4" t="s">
        <v>9062</v>
      </c>
      <c r="AB1809" s="4" t="s">
        <v>30905</v>
      </c>
      <c r="AC1809" s="4"/>
      <c r="AD1809" s="4"/>
      <c r="AE1809" s="4"/>
      <c r="AF1809" s="4"/>
      <c r="AG1809" s="4" t="n">
        <v>38</v>
      </c>
      <c r="AH1809" s="4" t="n">
        <v>51</v>
      </c>
      <c r="AI1809" s="4" t="n">
        <v>55</v>
      </c>
      <c r="AJ1809" s="4" t="n">
        <v>0</v>
      </c>
      <c r="AK1809" s="4" t="n">
        <v>2</v>
      </c>
      <c r="AL1809" s="4" t="s">
        <v>1186</v>
      </c>
      <c r="AM1809" s="4" t="s">
        <v>303</v>
      </c>
      <c r="AN1809" s="4" t="s">
        <v>1187</v>
      </c>
      <c r="AO1809" s="4" t="s">
        <v>30906</v>
      </c>
      <c r="AP1809" s="4" t="s">
        <v>30907</v>
      </c>
      <c r="AQ1809" s="4"/>
      <c r="AR1809" s="4" t="s">
        <v>30908</v>
      </c>
      <c r="AS1809" s="4" t="s">
        <v>30909</v>
      </c>
      <c r="AT1809" s="4" t="s">
        <v>692</v>
      </c>
      <c r="AU1809" s="4" t="n">
        <v>2006</v>
      </c>
      <c r="AV1809" s="4" t="n">
        <v>91</v>
      </c>
      <c r="AW1809" s="4" t="n">
        <v>4</v>
      </c>
      <c r="AX1809" s="4"/>
      <c r="AY1809" s="4"/>
      <c r="AZ1809" s="4"/>
      <c r="BA1809" s="4"/>
      <c r="BB1809" s="4" t="n">
        <v>290</v>
      </c>
      <c r="BC1809" s="4" t="n">
        <v>295</v>
      </c>
      <c r="BD1809" s="4"/>
      <c r="BE1809" s="4" t="s">
        <v>30910</v>
      </c>
      <c r="BF1809" s="4" t="str">
        <f aca="false">HYPERLINK("http://dx.doi.org/10.1136/adc.2005.082388","http://dx.doi.org/10.1136/adc.2005.082388")</f>
        <v>http://dx.doi.org/10.1136/adc.2005.082388</v>
      </c>
      <c r="BG1809" s="4"/>
      <c r="BH1809" s="4"/>
      <c r="BI1809" s="4" t="n">
        <v>6</v>
      </c>
      <c r="BJ1809" s="4" t="s">
        <v>601</v>
      </c>
      <c r="BK1809" s="4" t="s">
        <v>100</v>
      </c>
      <c r="BL1809" s="4" t="s">
        <v>601</v>
      </c>
      <c r="BM1809" s="4" t="s">
        <v>30911</v>
      </c>
      <c r="BN1809" s="4" t="n">
        <v>16399780</v>
      </c>
      <c r="BO1809" s="4" t="s">
        <v>165</v>
      </c>
      <c r="BP1809" s="4"/>
      <c r="BQ1809" s="4"/>
      <c r="BR1809" s="4" t="s">
        <v>104</v>
      </c>
      <c r="BS1809" s="4" t="s">
        <v>30912</v>
      </c>
      <c r="BT1809" s="4" t="str">
        <f aca="false">HYPERLINK("https%3A%2F%2Fwww.webofscience.com%2Fwos%2Fwoscc%2Ffull-record%2FWOS:000236151900003","View Full Record in Web of Science")</f>
        <v>View Full Record in Web of Science</v>
      </c>
    </row>
    <row r="1810" s="5" customFormat="true" ht="12.75" hidden="false" customHeight="false" outlineLevel="0" collapsed="false">
      <c r="A1810" s="4" t="s">
        <v>72</v>
      </c>
      <c r="B1810" s="4" t="s">
        <v>30913</v>
      </c>
      <c r="C1810" s="4"/>
      <c r="D1810" s="4"/>
      <c r="E1810" s="4"/>
      <c r="F1810" s="4" t="s">
        <v>30914</v>
      </c>
      <c r="G1810" s="4"/>
      <c r="H1810" s="4"/>
      <c r="I1810" s="4" t="s">
        <v>30915</v>
      </c>
      <c r="J1810" s="4" t="s">
        <v>15823</v>
      </c>
      <c r="K1810" s="4"/>
      <c r="L1810" s="4"/>
      <c r="M1810" s="4" t="s">
        <v>77</v>
      </c>
      <c r="N1810" s="4" t="s">
        <v>78</v>
      </c>
      <c r="O1810" s="4"/>
      <c r="P1810" s="4"/>
      <c r="Q1810" s="4"/>
      <c r="R1810" s="4"/>
      <c r="S1810" s="4"/>
      <c r="T1810" s="1" t="s">
        <v>30916</v>
      </c>
      <c r="U1810" s="4" t="s">
        <v>30917</v>
      </c>
      <c r="V1810" s="4" t="s">
        <v>30918</v>
      </c>
      <c r="W1810" s="4" t="s">
        <v>30919</v>
      </c>
      <c r="X1810" s="4" t="s">
        <v>30920</v>
      </c>
      <c r="Y1810" s="4" t="s">
        <v>30921</v>
      </c>
      <c r="Z1810" s="4" t="s">
        <v>12355</v>
      </c>
      <c r="AA1810" s="4" t="s">
        <v>29148</v>
      </c>
      <c r="AB1810" s="4" t="s">
        <v>29149</v>
      </c>
      <c r="AC1810" s="4"/>
      <c r="AD1810" s="4"/>
      <c r="AE1810" s="4"/>
      <c r="AF1810" s="4"/>
      <c r="AG1810" s="4" t="n">
        <v>49</v>
      </c>
      <c r="AH1810" s="4" t="n">
        <v>47</v>
      </c>
      <c r="AI1810" s="4" t="n">
        <v>55</v>
      </c>
      <c r="AJ1810" s="4" t="n">
        <v>0</v>
      </c>
      <c r="AK1810" s="4" t="n">
        <v>2</v>
      </c>
      <c r="AL1810" s="4" t="s">
        <v>755</v>
      </c>
      <c r="AM1810" s="4" t="s">
        <v>273</v>
      </c>
      <c r="AN1810" s="4" t="s">
        <v>756</v>
      </c>
      <c r="AO1810" s="4" t="s">
        <v>15835</v>
      </c>
      <c r="AP1810" s="4" t="s">
        <v>15836</v>
      </c>
      <c r="AQ1810" s="4"/>
      <c r="AR1810" s="4" t="s">
        <v>15837</v>
      </c>
      <c r="AS1810" s="4" t="s">
        <v>15838</v>
      </c>
      <c r="AT1810" s="4" t="s">
        <v>161</v>
      </c>
      <c r="AU1810" s="4" t="n">
        <v>2008</v>
      </c>
      <c r="AV1810" s="4" t="n">
        <v>52</v>
      </c>
      <c r="AW1810" s="4" t="n">
        <v>1</v>
      </c>
      <c r="AX1810" s="4"/>
      <c r="AY1810" s="4"/>
      <c r="AZ1810" s="4"/>
      <c r="BA1810" s="4"/>
      <c r="BB1810" s="4" t="n">
        <v>279</v>
      </c>
      <c r="BC1810" s="4" t="n">
        <v>287</v>
      </c>
      <c r="BD1810" s="4"/>
      <c r="BE1810" s="4" t="s">
        <v>30922</v>
      </c>
      <c r="BF1810" s="4" t="str">
        <f aca="false">HYPERLINK("http://dx.doi.org/10.1128/AAC.00793-07","http://dx.doi.org/10.1128/AAC.00793-07")</f>
        <v>http://dx.doi.org/10.1128/AAC.00793-07</v>
      </c>
      <c r="BG1810" s="4"/>
      <c r="BH1810" s="4"/>
      <c r="BI1810" s="4" t="n">
        <v>9</v>
      </c>
      <c r="BJ1810" s="4" t="s">
        <v>7809</v>
      </c>
      <c r="BK1810" s="4" t="s">
        <v>100</v>
      </c>
      <c r="BL1810" s="4" t="s">
        <v>7809</v>
      </c>
      <c r="BM1810" s="4" t="s">
        <v>30923</v>
      </c>
      <c r="BN1810" s="4" t="n">
        <v>17967906</v>
      </c>
      <c r="BO1810" s="4" t="s">
        <v>165</v>
      </c>
      <c r="BP1810" s="4"/>
      <c r="BQ1810" s="4"/>
      <c r="BR1810" s="4" t="s">
        <v>104</v>
      </c>
      <c r="BS1810" s="4" t="s">
        <v>30924</v>
      </c>
      <c r="BT1810" s="4" t="str">
        <f aca="false">HYPERLINK("https%3A%2F%2Fwww.webofscience.com%2Fwos%2Fwoscc%2Ffull-record%2FWOS:000252133700031","View Full Record in Web of Science")</f>
        <v>View Full Record in Web of Science</v>
      </c>
    </row>
    <row r="1811" s="5" customFormat="true" ht="12.75" hidden="false" customHeight="false" outlineLevel="0" collapsed="false">
      <c r="A1811" s="4" t="s">
        <v>72</v>
      </c>
      <c r="B1811" s="4" t="s">
        <v>30925</v>
      </c>
      <c r="C1811" s="4"/>
      <c r="D1811" s="4"/>
      <c r="E1811" s="4"/>
      <c r="F1811" s="4" t="s">
        <v>30925</v>
      </c>
      <c r="G1811" s="4"/>
      <c r="H1811" s="4"/>
      <c r="I1811" s="4" t="s">
        <v>30926</v>
      </c>
      <c r="J1811" s="4" t="s">
        <v>2222</v>
      </c>
      <c r="K1811" s="4"/>
      <c r="L1811" s="4"/>
      <c r="M1811" s="4" t="s">
        <v>77</v>
      </c>
      <c r="N1811" s="4" t="s">
        <v>78</v>
      </c>
      <c r="O1811" s="4"/>
      <c r="P1811" s="4"/>
      <c r="Q1811" s="4"/>
      <c r="R1811" s="4"/>
      <c r="S1811" s="4"/>
      <c r="T1811" s="1" t="s">
        <v>30927</v>
      </c>
      <c r="U1811" s="4" t="s">
        <v>30928</v>
      </c>
      <c r="V1811" s="4" t="s">
        <v>30929</v>
      </c>
      <c r="W1811" s="4" t="s">
        <v>30930</v>
      </c>
      <c r="X1811" s="4" t="s">
        <v>30931</v>
      </c>
      <c r="Y1811" s="4" t="s">
        <v>30932</v>
      </c>
      <c r="Z1811" s="4"/>
      <c r="AA1811" s="4" t="s">
        <v>30933</v>
      </c>
      <c r="AB1811" s="4" t="s">
        <v>30934</v>
      </c>
      <c r="AC1811" s="4"/>
      <c r="AD1811" s="4"/>
      <c r="AE1811" s="4"/>
      <c r="AF1811" s="4"/>
      <c r="AG1811" s="4" t="n">
        <v>15</v>
      </c>
      <c r="AH1811" s="4" t="n">
        <v>128</v>
      </c>
      <c r="AI1811" s="4" t="n">
        <v>149</v>
      </c>
      <c r="AJ1811" s="4" t="n">
        <v>0</v>
      </c>
      <c r="AK1811" s="4" t="n">
        <v>5</v>
      </c>
      <c r="AL1811" s="4" t="s">
        <v>755</v>
      </c>
      <c r="AM1811" s="4" t="s">
        <v>273</v>
      </c>
      <c r="AN1811" s="4" t="s">
        <v>756</v>
      </c>
      <c r="AO1811" s="4" t="s">
        <v>2234</v>
      </c>
      <c r="AP1811" s="4"/>
      <c r="AQ1811" s="4"/>
      <c r="AR1811" s="4" t="s">
        <v>2236</v>
      </c>
      <c r="AS1811" s="4" t="s">
        <v>2237</v>
      </c>
      <c r="AT1811" s="4" t="s">
        <v>161</v>
      </c>
      <c r="AU1811" s="4" t="n">
        <v>2003</v>
      </c>
      <c r="AV1811" s="4" t="n">
        <v>41</v>
      </c>
      <c r="AW1811" s="4" t="n">
        <v>1</v>
      </c>
      <c r="AX1811" s="4"/>
      <c r="AY1811" s="4"/>
      <c r="AZ1811" s="4"/>
      <c r="BA1811" s="4"/>
      <c r="BB1811" s="4" t="n">
        <v>100</v>
      </c>
      <c r="BC1811" s="4" t="n">
        <v>105</v>
      </c>
      <c r="BD1811" s="4"/>
      <c r="BE1811" s="4" t="s">
        <v>30935</v>
      </c>
      <c r="BF1811" s="4" t="str">
        <f aca="false">HYPERLINK("http://dx.doi.org/10.1128/JCM.41.1.100-105.2003","http://dx.doi.org/10.1128/JCM.41.1.100-105.2003")</f>
        <v>http://dx.doi.org/10.1128/JCM.41.1.100-105.2003</v>
      </c>
      <c r="BG1811" s="4"/>
      <c r="BH1811" s="4"/>
      <c r="BI1811" s="4" t="n">
        <v>6</v>
      </c>
      <c r="BJ1811" s="4" t="s">
        <v>211</v>
      </c>
      <c r="BK1811" s="4" t="s">
        <v>100</v>
      </c>
      <c r="BL1811" s="4" t="s">
        <v>211</v>
      </c>
      <c r="BM1811" s="4" t="s">
        <v>30936</v>
      </c>
      <c r="BN1811" s="4" t="n">
        <v>12517833</v>
      </c>
      <c r="BO1811" s="4" t="s">
        <v>165</v>
      </c>
      <c r="BP1811" s="4"/>
      <c r="BQ1811" s="4"/>
      <c r="BR1811" s="4" t="s">
        <v>104</v>
      </c>
      <c r="BS1811" s="4" t="s">
        <v>30937</v>
      </c>
      <c r="BT1811" s="4" t="str">
        <f aca="false">HYPERLINK("https%3A%2F%2Fwww.webofscience.com%2Fwos%2Fwoscc%2Ffull-record%2FWOS:000180406700016","View Full Record in Web of Science")</f>
        <v>View Full Record in Web of Science</v>
      </c>
    </row>
    <row r="1812" s="5" customFormat="true" ht="12.75" hidden="false" customHeight="false" outlineLevel="0" collapsed="false">
      <c r="A1812" s="4" t="s">
        <v>72</v>
      </c>
      <c r="B1812" s="4" t="s">
        <v>30938</v>
      </c>
      <c r="C1812" s="4"/>
      <c r="D1812" s="4"/>
      <c r="E1812" s="4"/>
      <c r="F1812" s="4" t="s">
        <v>30939</v>
      </c>
      <c r="G1812" s="4"/>
      <c r="H1812" s="4"/>
      <c r="I1812" s="4" t="s">
        <v>30940</v>
      </c>
      <c r="J1812" s="4" t="s">
        <v>28246</v>
      </c>
      <c r="K1812" s="4"/>
      <c r="L1812" s="4"/>
      <c r="M1812" s="4" t="s">
        <v>77</v>
      </c>
      <c r="N1812" s="4" t="s">
        <v>78</v>
      </c>
      <c r="O1812" s="4"/>
      <c r="P1812" s="4"/>
      <c r="Q1812" s="4"/>
      <c r="R1812" s="4"/>
      <c r="S1812" s="4"/>
      <c r="T1812" s="1" t="s">
        <v>30941</v>
      </c>
      <c r="U1812" s="4" t="s">
        <v>30942</v>
      </c>
      <c r="V1812" s="4" t="s">
        <v>30943</v>
      </c>
      <c r="W1812" s="4" t="s">
        <v>30944</v>
      </c>
      <c r="X1812" s="4" t="s">
        <v>30945</v>
      </c>
      <c r="Y1812" s="4" t="s">
        <v>30946</v>
      </c>
      <c r="Z1812" s="4" t="s">
        <v>30947</v>
      </c>
      <c r="AA1812" s="4" t="s">
        <v>30948</v>
      </c>
      <c r="AB1812" s="4" t="s">
        <v>30949</v>
      </c>
      <c r="AC1812" s="4"/>
      <c r="AD1812" s="4"/>
      <c r="AE1812" s="4"/>
      <c r="AF1812" s="4"/>
      <c r="AG1812" s="4" t="n">
        <v>69</v>
      </c>
      <c r="AH1812" s="4" t="n">
        <v>2</v>
      </c>
      <c r="AI1812" s="4" t="n">
        <v>2</v>
      </c>
      <c r="AJ1812" s="4" t="n">
        <v>22</v>
      </c>
      <c r="AK1812" s="4" t="n">
        <v>22</v>
      </c>
      <c r="AL1812" s="4" t="s">
        <v>6405</v>
      </c>
      <c r="AM1812" s="4" t="s">
        <v>6406</v>
      </c>
      <c r="AN1812" s="4" t="s">
        <v>6407</v>
      </c>
      <c r="AO1812" s="4"/>
      <c r="AP1812" s="4" t="s">
        <v>28255</v>
      </c>
      <c r="AQ1812" s="4"/>
      <c r="AR1812" s="4" t="s">
        <v>28256</v>
      </c>
      <c r="AS1812" s="4" t="s">
        <v>28257</v>
      </c>
      <c r="AT1812" s="4" t="s">
        <v>2621</v>
      </c>
      <c r="AU1812" s="4" t="n">
        <v>2024</v>
      </c>
      <c r="AV1812" s="4" t="n">
        <v>15</v>
      </c>
      <c r="AW1812" s="4" t="n">
        <v>1</v>
      </c>
      <c r="AX1812" s="4"/>
      <c r="AY1812" s="4"/>
      <c r="AZ1812" s="4"/>
      <c r="BA1812" s="4"/>
      <c r="BB1812" s="4"/>
      <c r="BC1812" s="4"/>
      <c r="BD1812" s="4" t="n">
        <v>6270</v>
      </c>
      <c r="BE1812" s="4" t="s">
        <v>30950</v>
      </c>
      <c r="BF1812" s="4" t="str">
        <f aca="false">HYPERLINK("http://dx.doi.org/10.1038/s41467-024-50659-5","http://dx.doi.org/10.1038/s41467-024-50659-5")</f>
        <v>http://dx.doi.org/10.1038/s41467-024-50659-5</v>
      </c>
      <c r="BG1812" s="4"/>
      <c r="BH1812" s="4"/>
      <c r="BI1812" s="4" t="n">
        <v>17</v>
      </c>
      <c r="BJ1812" s="4" t="s">
        <v>1658</v>
      </c>
      <c r="BK1812" s="4" t="s">
        <v>100</v>
      </c>
      <c r="BL1812" s="4" t="s">
        <v>1659</v>
      </c>
      <c r="BM1812" s="4" t="s">
        <v>30951</v>
      </c>
      <c r="BN1812" s="4" t="n">
        <v>39054318</v>
      </c>
      <c r="BO1812" s="4" t="s">
        <v>190</v>
      </c>
      <c r="BP1812" s="4"/>
      <c r="BQ1812" s="4"/>
      <c r="BR1812" s="4" t="s">
        <v>104</v>
      </c>
      <c r="BS1812" s="4" t="s">
        <v>30952</v>
      </c>
      <c r="BT1812" s="4" t="str">
        <f aca="false">HYPERLINK("https%3A%2F%2Fwww.webofscience.com%2Fwos%2Fwoscc%2Ffull-record%2FWOS:001277997800009","View Full Record in Web of Science")</f>
        <v>View Full Record in Web of Science</v>
      </c>
    </row>
    <row r="1813" s="5" customFormat="true" ht="12.75" hidden="false" customHeight="false" outlineLevel="0" collapsed="false">
      <c r="A1813" s="4" t="s">
        <v>72</v>
      </c>
      <c r="B1813" s="4" t="s">
        <v>30953</v>
      </c>
      <c r="C1813" s="4"/>
      <c r="D1813" s="4"/>
      <c r="E1813" s="4"/>
      <c r="F1813" s="4" t="s">
        <v>30954</v>
      </c>
      <c r="G1813" s="4"/>
      <c r="H1813" s="4"/>
      <c r="I1813" s="4" t="s">
        <v>30955</v>
      </c>
      <c r="J1813" s="4" t="s">
        <v>30956</v>
      </c>
      <c r="K1813" s="4"/>
      <c r="L1813" s="4"/>
      <c r="M1813" s="4" t="s">
        <v>77</v>
      </c>
      <c r="N1813" s="4" t="s">
        <v>78</v>
      </c>
      <c r="O1813" s="4"/>
      <c r="P1813" s="4"/>
      <c r="Q1813" s="4"/>
      <c r="R1813" s="4"/>
      <c r="S1813" s="4"/>
      <c r="T1813" s="1" t="s">
        <v>30957</v>
      </c>
      <c r="U1813" s="4" t="s">
        <v>30958</v>
      </c>
      <c r="V1813" s="4" t="s">
        <v>30959</v>
      </c>
      <c r="W1813" s="4" t="s">
        <v>30960</v>
      </c>
      <c r="X1813" s="4" t="s">
        <v>12669</v>
      </c>
      <c r="Y1813" s="4" t="s">
        <v>30961</v>
      </c>
      <c r="Z1813" s="4" t="s">
        <v>30962</v>
      </c>
      <c r="AA1813" s="4"/>
      <c r="AB1813" s="4"/>
      <c r="AC1813" s="4" t="s">
        <v>30963</v>
      </c>
      <c r="AD1813" s="4" t="s">
        <v>30964</v>
      </c>
      <c r="AE1813" s="4" t="s">
        <v>30965</v>
      </c>
      <c r="AF1813" s="4"/>
      <c r="AG1813" s="4" t="n">
        <v>26</v>
      </c>
      <c r="AH1813" s="4" t="n">
        <v>0</v>
      </c>
      <c r="AI1813" s="4" t="n">
        <v>0</v>
      </c>
      <c r="AJ1813" s="4" t="n">
        <v>1</v>
      </c>
      <c r="AK1813" s="4" t="n">
        <v>1</v>
      </c>
      <c r="AL1813" s="4" t="s">
        <v>30966</v>
      </c>
      <c r="AM1813" s="4" t="s">
        <v>30967</v>
      </c>
      <c r="AN1813" s="4" t="s">
        <v>30968</v>
      </c>
      <c r="AO1813" s="4" t="s">
        <v>30969</v>
      </c>
      <c r="AP1813" s="4" t="s">
        <v>30970</v>
      </c>
      <c r="AQ1813" s="4"/>
      <c r="AR1813" s="4" t="s">
        <v>30956</v>
      </c>
      <c r="AS1813" s="4" t="s">
        <v>30971</v>
      </c>
      <c r="AT1813" s="4" t="s">
        <v>1246</v>
      </c>
      <c r="AU1813" s="4" t="n">
        <v>2024</v>
      </c>
      <c r="AV1813" s="4" t="n">
        <v>6</v>
      </c>
      <c r="AW1813" s="4" t="n">
        <v>20</v>
      </c>
      <c r="AX1813" s="4"/>
      <c r="AY1813" s="4"/>
      <c r="AZ1813" s="4"/>
      <c r="BA1813" s="4"/>
      <c r="BB1813" s="4"/>
      <c r="BC1813" s="4"/>
      <c r="BD1813" s="4"/>
      <c r="BE1813" s="4" t="s">
        <v>30972</v>
      </c>
      <c r="BF1813" s="4" t="str">
        <f aca="false">HYPERLINK("http://dx.doi.org/10.46234/ccdcw2024.087","http://dx.doi.org/10.46234/ccdcw2024.087")</f>
        <v>http://dx.doi.org/10.46234/ccdcw2024.087</v>
      </c>
      <c r="BG1813" s="4"/>
      <c r="BH1813" s="4"/>
      <c r="BI1813" s="4" t="n">
        <v>8</v>
      </c>
      <c r="BJ1813" s="4" t="s">
        <v>1353</v>
      </c>
      <c r="BK1813" s="4" t="s">
        <v>1086</v>
      </c>
      <c r="BL1813" s="4" t="s">
        <v>1353</v>
      </c>
      <c r="BM1813" s="4" t="s">
        <v>30973</v>
      </c>
      <c r="BN1813" s="4" t="n">
        <v>38846360</v>
      </c>
      <c r="BO1813" s="4" t="s">
        <v>136</v>
      </c>
      <c r="BP1813" s="4"/>
      <c r="BQ1813" s="4"/>
      <c r="BR1813" s="4" t="s">
        <v>104</v>
      </c>
      <c r="BS1813" s="4" t="s">
        <v>30974</v>
      </c>
      <c r="BT1813" s="4" t="str">
        <f aca="false">HYPERLINK("https%3A%2F%2Fwww.webofscience.com%2Fwos%2Fwoscc%2Ffull-record%2FWOS:001318954600002","View Full Record in Web of Science")</f>
        <v>View Full Record in Web of Science</v>
      </c>
    </row>
    <row r="1814" s="5" customFormat="true" ht="12.75" hidden="false" customHeight="false" outlineLevel="0" collapsed="false">
      <c r="A1814" s="4" t="s">
        <v>72</v>
      </c>
      <c r="B1814" s="4" t="s">
        <v>30975</v>
      </c>
      <c r="C1814" s="4"/>
      <c r="D1814" s="4"/>
      <c r="E1814" s="4"/>
      <c r="F1814" s="4" t="s">
        <v>30976</v>
      </c>
      <c r="G1814" s="4"/>
      <c r="H1814" s="4"/>
      <c r="I1814" s="4" t="s">
        <v>30977</v>
      </c>
      <c r="J1814" s="4" t="s">
        <v>7145</v>
      </c>
      <c r="K1814" s="4"/>
      <c r="L1814" s="4"/>
      <c r="M1814" s="4" t="s">
        <v>77</v>
      </c>
      <c r="N1814" s="4" t="s">
        <v>78</v>
      </c>
      <c r="O1814" s="4"/>
      <c r="P1814" s="4"/>
      <c r="Q1814" s="4"/>
      <c r="R1814" s="4"/>
      <c r="S1814" s="4"/>
      <c r="T1814" s="1" t="s">
        <v>30978</v>
      </c>
      <c r="U1814" s="4" t="s">
        <v>30979</v>
      </c>
      <c r="V1814" s="4" t="s">
        <v>30980</v>
      </c>
      <c r="W1814" s="4" t="s">
        <v>30981</v>
      </c>
      <c r="X1814" s="4" t="s">
        <v>30982</v>
      </c>
      <c r="Y1814" s="4" t="s">
        <v>30983</v>
      </c>
      <c r="Z1814" s="4" t="s">
        <v>30984</v>
      </c>
      <c r="AA1814" s="4" t="s">
        <v>30985</v>
      </c>
      <c r="AB1814" s="4" t="s">
        <v>30986</v>
      </c>
      <c r="AC1814" s="4" t="s">
        <v>30987</v>
      </c>
      <c r="AD1814" s="4" t="s">
        <v>30988</v>
      </c>
      <c r="AE1814" s="4"/>
      <c r="AF1814" s="4"/>
      <c r="AG1814" s="4" t="n">
        <v>58</v>
      </c>
      <c r="AH1814" s="4" t="n">
        <v>17</v>
      </c>
      <c r="AI1814" s="4" t="n">
        <v>20</v>
      </c>
      <c r="AJ1814" s="4" t="n">
        <v>0</v>
      </c>
      <c r="AK1814" s="4" t="n">
        <v>6</v>
      </c>
      <c r="AL1814" s="4" t="s">
        <v>3426</v>
      </c>
      <c r="AM1814" s="4" t="s">
        <v>303</v>
      </c>
      <c r="AN1814" s="4" t="s">
        <v>3427</v>
      </c>
      <c r="AO1814" s="4" t="s">
        <v>7158</v>
      </c>
      <c r="AP1814" s="4" t="s">
        <v>7159</v>
      </c>
      <c r="AQ1814" s="4"/>
      <c r="AR1814" s="4" t="s">
        <v>7160</v>
      </c>
      <c r="AS1814" s="4" t="s">
        <v>7161</v>
      </c>
      <c r="AT1814" s="4" t="s">
        <v>161</v>
      </c>
      <c r="AU1814" s="4" t="n">
        <v>2014</v>
      </c>
      <c r="AV1814" s="4" t="n">
        <v>95</v>
      </c>
      <c r="AW1814" s="4"/>
      <c r="AX1814" s="4" t="n">
        <v>1</v>
      </c>
      <c r="AY1814" s="4"/>
      <c r="AZ1814" s="4"/>
      <c r="BA1814" s="4"/>
      <c r="BB1814" s="4" t="n">
        <v>26</v>
      </c>
      <c r="BC1814" s="4" t="n">
        <v>37</v>
      </c>
      <c r="BD1814" s="4"/>
      <c r="BE1814" s="4" t="s">
        <v>30989</v>
      </c>
      <c r="BF1814" s="4" t="str">
        <f aca="false">HYPERLINK("http://dx.doi.org/10.1099/vir.0.055632-0","http://dx.doi.org/10.1099/vir.0.055632-0")</f>
        <v>http://dx.doi.org/10.1099/vir.0.055632-0</v>
      </c>
      <c r="BG1814" s="4"/>
      <c r="BH1814" s="4"/>
      <c r="BI1814" s="4" t="n">
        <v>12</v>
      </c>
      <c r="BJ1814" s="4" t="s">
        <v>7163</v>
      </c>
      <c r="BK1814" s="4" t="s">
        <v>100</v>
      </c>
      <c r="BL1814" s="4" t="s">
        <v>7163</v>
      </c>
      <c r="BM1814" s="4" t="s">
        <v>30990</v>
      </c>
      <c r="BN1814" s="4" t="n">
        <v>24114793</v>
      </c>
      <c r="BO1814" s="4" t="s">
        <v>1267</v>
      </c>
      <c r="BP1814" s="4"/>
      <c r="BQ1814" s="4"/>
      <c r="BR1814" s="4" t="s">
        <v>104</v>
      </c>
      <c r="BS1814" s="4" t="s">
        <v>30991</v>
      </c>
      <c r="BT1814" s="4" t="str">
        <f aca="false">HYPERLINK("https%3A%2F%2Fwww.webofscience.com%2Fwos%2Fwoscc%2Ffull-record%2FWOS:000338177300003","View Full Record in Web of Science")</f>
        <v>View Full Record in Web of Science</v>
      </c>
    </row>
    <row r="1815" s="5" customFormat="true" ht="12.75" hidden="false" customHeight="false" outlineLevel="0" collapsed="false">
      <c r="A1815" s="4" t="s">
        <v>72</v>
      </c>
      <c r="B1815" s="4" t="s">
        <v>30992</v>
      </c>
      <c r="C1815" s="4"/>
      <c r="D1815" s="4"/>
      <c r="E1815" s="4"/>
      <c r="F1815" s="4" t="s">
        <v>30993</v>
      </c>
      <c r="G1815" s="4"/>
      <c r="H1815" s="4"/>
      <c r="I1815" s="4" t="s">
        <v>30994</v>
      </c>
      <c r="J1815" s="4" t="s">
        <v>742</v>
      </c>
      <c r="K1815" s="4"/>
      <c r="L1815" s="4"/>
      <c r="M1815" s="4" t="s">
        <v>77</v>
      </c>
      <c r="N1815" s="4" t="s">
        <v>78</v>
      </c>
      <c r="O1815" s="4"/>
      <c r="P1815" s="4"/>
      <c r="Q1815" s="4"/>
      <c r="R1815" s="4"/>
      <c r="S1815" s="4"/>
      <c r="T1815" s="1" t="s">
        <v>30995</v>
      </c>
      <c r="U1815" s="4" t="s">
        <v>30996</v>
      </c>
      <c r="V1815" s="4" t="s">
        <v>30997</v>
      </c>
      <c r="W1815" s="4" t="s">
        <v>30998</v>
      </c>
      <c r="X1815" s="4" t="s">
        <v>30999</v>
      </c>
      <c r="Y1815" s="4" t="s">
        <v>31000</v>
      </c>
      <c r="Z1815" s="4" t="s">
        <v>5604</v>
      </c>
      <c r="AA1815" s="4" t="s">
        <v>5583</v>
      </c>
      <c r="AB1815" s="4" t="s">
        <v>5584</v>
      </c>
      <c r="AC1815" s="4" t="s">
        <v>31001</v>
      </c>
      <c r="AD1815" s="4" t="s">
        <v>31002</v>
      </c>
      <c r="AE1815" s="4" t="s">
        <v>31003</v>
      </c>
      <c r="AF1815" s="4"/>
      <c r="AG1815" s="4" t="n">
        <v>58</v>
      </c>
      <c r="AH1815" s="4" t="n">
        <v>22</v>
      </c>
      <c r="AI1815" s="4" t="n">
        <v>25</v>
      </c>
      <c r="AJ1815" s="4" t="n">
        <v>0</v>
      </c>
      <c r="AK1815" s="4" t="n">
        <v>5</v>
      </c>
      <c r="AL1815" s="4" t="s">
        <v>755</v>
      </c>
      <c r="AM1815" s="4" t="s">
        <v>273</v>
      </c>
      <c r="AN1815" s="4" t="s">
        <v>756</v>
      </c>
      <c r="AO1815" s="4" t="s">
        <v>757</v>
      </c>
      <c r="AP1815" s="4" t="s">
        <v>758</v>
      </c>
      <c r="AQ1815" s="4"/>
      <c r="AR1815" s="4" t="s">
        <v>759</v>
      </c>
      <c r="AS1815" s="4" t="s">
        <v>760</v>
      </c>
      <c r="AT1815" s="4" t="s">
        <v>486</v>
      </c>
      <c r="AU1815" s="4" t="n">
        <v>2014</v>
      </c>
      <c r="AV1815" s="4" t="n">
        <v>88</v>
      </c>
      <c r="AW1815" s="4" t="n">
        <v>11</v>
      </c>
      <c r="AX1815" s="4"/>
      <c r="AY1815" s="4"/>
      <c r="AZ1815" s="4"/>
      <c r="BA1815" s="4"/>
      <c r="BB1815" s="4" t="n">
        <v>6453</v>
      </c>
      <c r="BC1815" s="4" t="n">
        <v>6469</v>
      </c>
      <c r="BD1815" s="4"/>
      <c r="BE1815" s="4" t="s">
        <v>31004</v>
      </c>
      <c r="BF1815" s="4" t="str">
        <f aca="false">HYPERLINK("http://dx.doi.org/10.1128/JVI.03261-13","http://dx.doi.org/10.1128/JVI.03261-13")</f>
        <v>http://dx.doi.org/10.1128/JVI.03261-13</v>
      </c>
      <c r="BG1815" s="4"/>
      <c r="BH1815" s="4"/>
      <c r="BI1815" s="4" t="n">
        <v>17</v>
      </c>
      <c r="BJ1815" s="4" t="s">
        <v>163</v>
      </c>
      <c r="BK1815" s="4" t="s">
        <v>100</v>
      </c>
      <c r="BL1815" s="4" t="s">
        <v>163</v>
      </c>
      <c r="BM1815" s="4" t="s">
        <v>30731</v>
      </c>
      <c r="BN1815" s="4" t="n">
        <v>24672038</v>
      </c>
      <c r="BO1815" s="4" t="s">
        <v>538</v>
      </c>
      <c r="BP1815" s="4"/>
      <c r="BQ1815" s="4"/>
      <c r="BR1815" s="4" t="s">
        <v>104</v>
      </c>
      <c r="BS1815" s="4" t="s">
        <v>31005</v>
      </c>
      <c r="BT1815" s="4" t="str">
        <f aca="false">HYPERLINK("https%3A%2F%2Fwww.webofscience.com%2Fwos%2Fwoscc%2Ffull-record%2FWOS:000335970300050","View Full Record in Web of Science")</f>
        <v>View Full Record in Web of Science</v>
      </c>
    </row>
    <row r="1816" s="5" customFormat="true" ht="12.75" hidden="false" customHeight="false" outlineLevel="0" collapsed="false">
      <c r="A1816" s="4" t="s">
        <v>72</v>
      </c>
      <c r="B1816" s="4" t="s">
        <v>31006</v>
      </c>
      <c r="C1816" s="4"/>
      <c r="D1816" s="4"/>
      <c r="E1816" s="4"/>
      <c r="F1816" s="4" t="s">
        <v>31007</v>
      </c>
      <c r="G1816" s="4"/>
      <c r="H1816" s="4"/>
      <c r="I1816" s="4" t="s">
        <v>31008</v>
      </c>
      <c r="J1816" s="4" t="s">
        <v>7145</v>
      </c>
      <c r="K1816" s="4"/>
      <c r="L1816" s="4"/>
      <c r="M1816" s="4" t="s">
        <v>77</v>
      </c>
      <c r="N1816" s="4" t="s">
        <v>78</v>
      </c>
      <c r="O1816" s="4"/>
      <c r="P1816" s="4"/>
      <c r="Q1816" s="4"/>
      <c r="R1816" s="4"/>
      <c r="S1816" s="4"/>
      <c r="T1816" s="1" t="s">
        <v>31009</v>
      </c>
      <c r="U1816" s="4" t="s">
        <v>31010</v>
      </c>
      <c r="V1816" s="4" t="s">
        <v>31011</v>
      </c>
      <c r="W1816" s="4" t="s">
        <v>31012</v>
      </c>
      <c r="X1816" s="4" t="s">
        <v>29146</v>
      </c>
      <c r="Y1816" s="4" t="s">
        <v>31013</v>
      </c>
      <c r="Z1816" s="4" t="s">
        <v>31014</v>
      </c>
      <c r="AA1816" s="4"/>
      <c r="AB1816" s="4" t="s">
        <v>31015</v>
      </c>
      <c r="AC1816" s="4"/>
      <c r="AD1816" s="4"/>
      <c r="AE1816" s="4"/>
      <c r="AF1816" s="4"/>
      <c r="AG1816" s="4" t="n">
        <v>20</v>
      </c>
      <c r="AH1816" s="4" t="n">
        <v>8</v>
      </c>
      <c r="AI1816" s="4" t="n">
        <v>12</v>
      </c>
      <c r="AJ1816" s="4" t="n">
        <v>0</v>
      </c>
      <c r="AK1816" s="4" t="n">
        <v>2</v>
      </c>
      <c r="AL1816" s="4" t="s">
        <v>28431</v>
      </c>
      <c r="AM1816" s="4" t="s">
        <v>28432</v>
      </c>
      <c r="AN1816" s="4" t="s">
        <v>28433</v>
      </c>
      <c r="AO1816" s="4" t="s">
        <v>7158</v>
      </c>
      <c r="AP1816" s="4" t="s">
        <v>7159</v>
      </c>
      <c r="AQ1816" s="4"/>
      <c r="AR1816" s="4" t="s">
        <v>7160</v>
      </c>
      <c r="AS1816" s="4" t="s">
        <v>7161</v>
      </c>
      <c r="AT1816" s="4" t="s">
        <v>692</v>
      </c>
      <c r="AU1816" s="4" t="n">
        <v>2015</v>
      </c>
      <c r="AV1816" s="4" t="n">
        <v>96</v>
      </c>
      <c r="AW1816" s="4"/>
      <c r="AX1816" s="4" t="n">
        <v>4</v>
      </c>
      <c r="AY1816" s="4"/>
      <c r="AZ1816" s="4"/>
      <c r="BA1816" s="4"/>
      <c r="BB1816" s="4" t="n">
        <v>767</v>
      </c>
      <c r="BC1816" s="4" t="n">
        <v>774</v>
      </c>
      <c r="BD1816" s="4"/>
      <c r="BE1816" s="4" t="s">
        <v>31016</v>
      </c>
      <c r="BF1816" s="4" t="str">
        <f aca="false">HYPERLINK("http://dx.doi.org/10.1099/vir.0.000031","http://dx.doi.org/10.1099/vir.0.000031")</f>
        <v>http://dx.doi.org/10.1099/vir.0.000031</v>
      </c>
      <c r="BG1816" s="4"/>
      <c r="BH1816" s="4"/>
      <c r="BI1816" s="4" t="n">
        <v>8</v>
      </c>
      <c r="BJ1816" s="4" t="s">
        <v>7163</v>
      </c>
      <c r="BK1816" s="4" t="s">
        <v>100</v>
      </c>
      <c r="BL1816" s="4" t="s">
        <v>7163</v>
      </c>
      <c r="BM1816" s="4" t="s">
        <v>31017</v>
      </c>
      <c r="BN1816" s="4" t="n">
        <v>25519171</v>
      </c>
      <c r="BO1816" s="4" t="s">
        <v>656</v>
      </c>
      <c r="BP1816" s="4"/>
      <c r="BQ1816" s="4"/>
      <c r="BR1816" s="4" t="s">
        <v>104</v>
      </c>
      <c r="BS1816" s="4" t="s">
        <v>31018</v>
      </c>
      <c r="BT1816" s="4" t="str">
        <f aca="false">HYPERLINK("https%3A%2F%2Fwww.webofscience.com%2Fwos%2Fwoscc%2Ffull-record%2FWOS:000353611200005","View Full Record in Web of Science")</f>
        <v>View Full Record in Web of Science</v>
      </c>
    </row>
    <row r="1817" s="5" customFormat="true" ht="12.75" hidden="false" customHeight="false" outlineLevel="0" collapsed="false">
      <c r="A1817" s="4" t="s">
        <v>72</v>
      </c>
      <c r="B1817" s="4" t="s">
        <v>31019</v>
      </c>
      <c r="C1817" s="4"/>
      <c r="D1817" s="4"/>
      <c r="E1817" s="4"/>
      <c r="F1817" s="4" t="s">
        <v>31020</v>
      </c>
      <c r="G1817" s="4"/>
      <c r="H1817" s="4"/>
      <c r="I1817" s="4" t="s">
        <v>31021</v>
      </c>
      <c r="J1817" s="4" t="s">
        <v>31022</v>
      </c>
      <c r="K1817" s="4"/>
      <c r="L1817" s="4"/>
      <c r="M1817" s="4" t="s">
        <v>77</v>
      </c>
      <c r="N1817" s="4" t="s">
        <v>78</v>
      </c>
      <c r="O1817" s="4"/>
      <c r="P1817" s="4"/>
      <c r="Q1817" s="4"/>
      <c r="R1817" s="4"/>
      <c r="S1817" s="4"/>
      <c r="T1817" s="1" t="s">
        <v>31023</v>
      </c>
      <c r="U1817" s="4" t="s">
        <v>31024</v>
      </c>
      <c r="V1817" s="4" t="s">
        <v>31025</v>
      </c>
      <c r="W1817" s="4" t="s">
        <v>31026</v>
      </c>
      <c r="X1817" s="4" t="s">
        <v>31027</v>
      </c>
      <c r="Y1817" s="4" t="s">
        <v>31028</v>
      </c>
      <c r="Z1817" s="4" t="s">
        <v>31029</v>
      </c>
      <c r="AA1817" s="4" t="s">
        <v>5405</v>
      </c>
      <c r="AB1817" s="4" t="s">
        <v>5406</v>
      </c>
      <c r="AC1817" s="4" t="s">
        <v>31030</v>
      </c>
      <c r="AD1817" s="4" t="s">
        <v>31031</v>
      </c>
      <c r="AE1817" s="4" t="s">
        <v>31032</v>
      </c>
      <c r="AF1817" s="4"/>
      <c r="AG1817" s="4" t="n">
        <v>56</v>
      </c>
      <c r="AH1817" s="4" t="n">
        <v>19</v>
      </c>
      <c r="AI1817" s="4" t="n">
        <v>21</v>
      </c>
      <c r="AJ1817" s="4" t="n">
        <v>1</v>
      </c>
      <c r="AK1817" s="4" t="n">
        <v>14</v>
      </c>
      <c r="AL1817" s="4" t="s">
        <v>1186</v>
      </c>
      <c r="AM1817" s="4" t="s">
        <v>303</v>
      </c>
      <c r="AN1817" s="4" t="s">
        <v>1187</v>
      </c>
      <c r="AO1817" s="4" t="s">
        <v>31033</v>
      </c>
      <c r="AP1817" s="4"/>
      <c r="AQ1817" s="4"/>
      <c r="AR1817" s="4" t="s">
        <v>31022</v>
      </c>
      <c r="AS1817" s="4" t="s">
        <v>31034</v>
      </c>
      <c r="AT1817" s="4" t="s">
        <v>390</v>
      </c>
      <c r="AU1817" s="4" t="n">
        <v>2018</v>
      </c>
      <c r="AV1817" s="4" t="n">
        <v>8</v>
      </c>
      <c r="AW1817" s="4" t="n">
        <v>2</v>
      </c>
      <c r="AX1817" s="4"/>
      <c r="AY1817" s="4"/>
      <c r="AZ1817" s="4"/>
      <c r="BA1817" s="4"/>
      <c r="BB1817" s="4"/>
      <c r="BC1817" s="4"/>
      <c r="BD1817" s="4" t="s">
        <v>31035</v>
      </c>
      <c r="BE1817" s="4" t="s">
        <v>31036</v>
      </c>
      <c r="BF1817" s="4" t="str">
        <f aca="false">HYPERLINK("http://dx.doi.org/10.1136/bmjopen-2017-019308","http://dx.doi.org/10.1136/bmjopen-2017-019308")</f>
        <v>http://dx.doi.org/10.1136/bmjopen-2017-019308</v>
      </c>
      <c r="BG1817" s="4"/>
      <c r="BH1817" s="4"/>
      <c r="BI1817" s="4" t="n">
        <v>7</v>
      </c>
      <c r="BJ1817" s="4" t="s">
        <v>363</v>
      </c>
      <c r="BK1817" s="4" t="s">
        <v>100</v>
      </c>
      <c r="BL1817" s="4" t="s">
        <v>364</v>
      </c>
      <c r="BM1817" s="4" t="s">
        <v>31037</v>
      </c>
      <c r="BN1817" s="4" t="n">
        <v>29437754</v>
      </c>
      <c r="BO1817" s="4" t="s">
        <v>103</v>
      </c>
      <c r="BP1817" s="4"/>
      <c r="BQ1817" s="4"/>
      <c r="BR1817" s="4" t="s">
        <v>104</v>
      </c>
      <c r="BS1817" s="4" t="s">
        <v>31038</v>
      </c>
      <c r="BT1817" s="4" t="str">
        <f aca="false">HYPERLINK("https%3A%2F%2Fwww.webofscience.com%2Fwos%2Fwoscc%2Ffull-record%2FWOS:000433129800200","View Full Record in Web of Science")</f>
        <v>View Full Record in Web of Science</v>
      </c>
    </row>
    <row r="1818" s="5" customFormat="true" ht="12.75" hidden="false" customHeight="false" outlineLevel="0" collapsed="false">
      <c r="A1818" s="4" t="s">
        <v>72</v>
      </c>
      <c r="B1818" s="4" t="s">
        <v>31039</v>
      </c>
      <c r="C1818" s="4"/>
      <c r="D1818" s="4"/>
      <c r="E1818" s="4"/>
      <c r="F1818" s="4" t="s">
        <v>31040</v>
      </c>
      <c r="G1818" s="4"/>
      <c r="H1818" s="4"/>
      <c r="I1818" s="4" t="s">
        <v>31041</v>
      </c>
      <c r="J1818" s="4" t="s">
        <v>2222</v>
      </c>
      <c r="K1818" s="4"/>
      <c r="L1818" s="4"/>
      <c r="M1818" s="4" t="s">
        <v>77</v>
      </c>
      <c r="N1818" s="4" t="s">
        <v>78</v>
      </c>
      <c r="O1818" s="4"/>
      <c r="P1818" s="4"/>
      <c r="Q1818" s="4"/>
      <c r="R1818" s="4"/>
      <c r="S1818" s="4"/>
      <c r="T1818" s="1" t="s">
        <v>31042</v>
      </c>
      <c r="U1818" s="4" t="s">
        <v>31043</v>
      </c>
      <c r="V1818" s="4" t="s">
        <v>31044</v>
      </c>
      <c r="W1818" s="4" t="s">
        <v>31045</v>
      </c>
      <c r="X1818" s="4" t="s">
        <v>31046</v>
      </c>
      <c r="Y1818" s="4" t="s">
        <v>31047</v>
      </c>
      <c r="Z1818" s="4" t="s">
        <v>4418</v>
      </c>
      <c r="AA1818" s="4" t="s">
        <v>12461</v>
      </c>
      <c r="AB1818" s="4"/>
      <c r="AC1818" s="4"/>
      <c r="AD1818" s="4"/>
      <c r="AE1818" s="4"/>
      <c r="AF1818" s="4"/>
      <c r="AG1818" s="4" t="n">
        <v>53</v>
      </c>
      <c r="AH1818" s="4" t="n">
        <v>6</v>
      </c>
      <c r="AI1818" s="4" t="n">
        <v>9</v>
      </c>
      <c r="AJ1818" s="4" t="n">
        <v>0</v>
      </c>
      <c r="AK1818" s="4" t="n">
        <v>4</v>
      </c>
      <c r="AL1818" s="4" t="s">
        <v>755</v>
      </c>
      <c r="AM1818" s="4" t="s">
        <v>273</v>
      </c>
      <c r="AN1818" s="4" t="s">
        <v>756</v>
      </c>
      <c r="AO1818" s="4" t="s">
        <v>2234</v>
      </c>
      <c r="AP1818" s="4" t="s">
        <v>2235</v>
      </c>
      <c r="AQ1818" s="4"/>
      <c r="AR1818" s="4" t="s">
        <v>2236</v>
      </c>
      <c r="AS1818" s="4" t="s">
        <v>2237</v>
      </c>
      <c r="AT1818" s="4" t="s">
        <v>390</v>
      </c>
      <c r="AU1818" s="4" t="n">
        <v>2015</v>
      </c>
      <c r="AV1818" s="4" t="n">
        <v>53</v>
      </c>
      <c r="AW1818" s="4" t="n">
        <v>5</v>
      </c>
      <c r="AX1818" s="4"/>
      <c r="AY1818" s="4"/>
      <c r="AZ1818" s="4"/>
      <c r="BA1818" s="4"/>
      <c r="BB1818" s="4" t="n">
        <v>1609</v>
      </c>
      <c r="BC1818" s="4" t="n">
        <v>1615</v>
      </c>
      <c r="BD1818" s="4"/>
      <c r="BE1818" s="4" t="s">
        <v>31048</v>
      </c>
      <c r="BF1818" s="4" t="str">
        <f aca="false">HYPERLINK("http://dx.doi.org/10.1128/JCM.03649-14","http://dx.doi.org/10.1128/JCM.03649-14")</f>
        <v>http://dx.doi.org/10.1128/JCM.03649-14</v>
      </c>
      <c r="BG1818" s="4"/>
      <c r="BH1818" s="4"/>
      <c r="BI1818" s="4" t="n">
        <v>7</v>
      </c>
      <c r="BJ1818" s="4" t="s">
        <v>211</v>
      </c>
      <c r="BK1818" s="4" t="s">
        <v>100</v>
      </c>
      <c r="BL1818" s="4" t="s">
        <v>211</v>
      </c>
      <c r="BM1818" s="4" t="s">
        <v>31049</v>
      </c>
      <c r="BN1818" s="4" t="n">
        <v>25740767</v>
      </c>
      <c r="BO1818" s="4" t="s">
        <v>538</v>
      </c>
      <c r="BP1818" s="4"/>
      <c r="BQ1818" s="4"/>
      <c r="BR1818" s="4" t="s">
        <v>104</v>
      </c>
      <c r="BS1818" s="4" t="s">
        <v>31050</v>
      </c>
      <c r="BT1818" s="4" t="str">
        <f aca="false">HYPERLINK("https%3A%2F%2Fwww.webofscience.com%2Fwos%2Fwoscc%2Ffull-record%2FWOS:000353036500020","View Full Record in Web of Science")</f>
        <v>View Full Record in Web of Science</v>
      </c>
    </row>
    <row r="1819" s="5" customFormat="true" ht="12.75" hidden="false" customHeight="false" outlineLevel="0" collapsed="false">
      <c r="A1819" s="4" t="s">
        <v>72</v>
      </c>
      <c r="B1819" s="4" t="s">
        <v>31051</v>
      </c>
      <c r="C1819" s="4"/>
      <c r="D1819" s="4"/>
      <c r="E1819" s="4"/>
      <c r="F1819" s="4" t="s">
        <v>31052</v>
      </c>
      <c r="G1819" s="4"/>
      <c r="H1819" s="4"/>
      <c r="I1819" s="4" t="s">
        <v>31053</v>
      </c>
      <c r="J1819" s="4" t="s">
        <v>27820</v>
      </c>
      <c r="K1819" s="4"/>
      <c r="L1819" s="4"/>
      <c r="M1819" s="4" t="s">
        <v>77</v>
      </c>
      <c r="N1819" s="4" t="s">
        <v>78</v>
      </c>
      <c r="O1819" s="4"/>
      <c r="P1819" s="4"/>
      <c r="Q1819" s="4"/>
      <c r="R1819" s="4"/>
      <c r="S1819" s="4"/>
      <c r="T1819" s="1" t="s">
        <v>31054</v>
      </c>
      <c r="U1819" s="4" t="s">
        <v>31055</v>
      </c>
      <c r="V1819" s="4" t="s">
        <v>31056</v>
      </c>
      <c r="W1819" s="4" t="s">
        <v>31057</v>
      </c>
      <c r="X1819" s="4" t="s">
        <v>31058</v>
      </c>
      <c r="Y1819" s="4" t="s">
        <v>31059</v>
      </c>
      <c r="Z1819" s="4" t="s">
        <v>6556</v>
      </c>
      <c r="AA1819" s="4" t="s">
        <v>31060</v>
      </c>
      <c r="AB1819" s="4" t="s">
        <v>31061</v>
      </c>
      <c r="AC1819" s="4" t="s">
        <v>31062</v>
      </c>
      <c r="AD1819" s="4" t="s">
        <v>31063</v>
      </c>
      <c r="AE1819" s="4" t="s">
        <v>31064</v>
      </c>
      <c r="AF1819" s="4"/>
      <c r="AG1819" s="4" t="n">
        <v>89</v>
      </c>
      <c r="AH1819" s="4" t="n">
        <v>2</v>
      </c>
      <c r="AI1819" s="4" t="n">
        <v>2</v>
      </c>
      <c r="AJ1819" s="4" t="n">
        <v>0</v>
      </c>
      <c r="AK1819" s="4" t="n">
        <v>1</v>
      </c>
      <c r="AL1819" s="4" t="s">
        <v>27506</v>
      </c>
      <c r="AM1819" s="4" t="s">
        <v>27507</v>
      </c>
      <c r="AN1819" s="4" t="s">
        <v>27508</v>
      </c>
      <c r="AO1819" s="4" t="s">
        <v>27831</v>
      </c>
      <c r="AP1819" s="4" t="s">
        <v>27832</v>
      </c>
      <c r="AQ1819" s="4"/>
      <c r="AR1819" s="4" t="s">
        <v>27833</v>
      </c>
      <c r="AS1819" s="4" t="s">
        <v>27834</v>
      </c>
      <c r="AT1819" s="4" t="s">
        <v>1041</v>
      </c>
      <c r="AU1819" s="4" t="n">
        <v>2024</v>
      </c>
      <c r="AV1819" s="4" t="n">
        <v>20</v>
      </c>
      <c r="AW1819" s="4" t="n">
        <v>2</v>
      </c>
      <c r="AX1819" s="4"/>
      <c r="AY1819" s="4"/>
      <c r="AZ1819" s="4"/>
      <c r="BA1819" s="4"/>
      <c r="BB1819" s="4"/>
      <c r="BC1819" s="4"/>
      <c r="BD1819" s="4" t="s">
        <v>31065</v>
      </c>
      <c r="BE1819" s="4" t="s">
        <v>31066</v>
      </c>
      <c r="BF1819" s="4" t="str">
        <f aca="false">HYPERLINK("http://dx.doi.org/10.1371/journal.ppat.1011840","http://dx.doi.org/10.1371/journal.ppat.1011840")</f>
        <v>http://dx.doi.org/10.1371/journal.ppat.1011840</v>
      </c>
      <c r="BG1819" s="4"/>
      <c r="BH1819" s="4"/>
      <c r="BI1819" s="4" t="n">
        <v>25</v>
      </c>
      <c r="BJ1819" s="4" t="s">
        <v>27837</v>
      </c>
      <c r="BK1819" s="4" t="s">
        <v>100</v>
      </c>
      <c r="BL1819" s="4" t="s">
        <v>27837</v>
      </c>
      <c r="BM1819" s="4" t="s">
        <v>31067</v>
      </c>
      <c r="BN1819" s="4" t="n">
        <v>38315735</v>
      </c>
      <c r="BO1819" s="4" t="s">
        <v>1355</v>
      </c>
      <c r="BP1819" s="4"/>
      <c r="BQ1819" s="4"/>
      <c r="BR1819" s="4" t="s">
        <v>104</v>
      </c>
      <c r="BS1819" s="4" t="s">
        <v>31068</v>
      </c>
      <c r="BT1819" s="4" t="str">
        <f aca="false">HYPERLINK("https%3A%2F%2Fwww.webofscience.com%2Fwos%2Fwoscc%2Ffull-record%2FWOS:001158662300002","View Full Record in Web of Science")</f>
        <v>View Full Record in Web of Science</v>
      </c>
    </row>
    <row r="1820" s="5" customFormat="true" ht="12.75" hidden="false" customHeight="false" outlineLevel="0" collapsed="false">
      <c r="A1820" s="4" t="s">
        <v>72</v>
      </c>
      <c r="B1820" s="4" t="s">
        <v>31069</v>
      </c>
      <c r="C1820" s="4"/>
      <c r="D1820" s="4"/>
      <c r="E1820" s="4"/>
      <c r="F1820" s="4" t="s">
        <v>31070</v>
      </c>
      <c r="G1820" s="4"/>
      <c r="H1820" s="4"/>
      <c r="I1820" s="4" t="s">
        <v>31071</v>
      </c>
      <c r="J1820" s="4" t="s">
        <v>27915</v>
      </c>
      <c r="K1820" s="4"/>
      <c r="L1820" s="4"/>
      <c r="M1820" s="4" t="s">
        <v>77</v>
      </c>
      <c r="N1820" s="4" t="s">
        <v>78</v>
      </c>
      <c r="O1820" s="4"/>
      <c r="P1820" s="4"/>
      <c r="Q1820" s="4"/>
      <c r="R1820" s="4"/>
      <c r="S1820" s="4"/>
      <c r="T1820" s="1" t="s">
        <v>31072</v>
      </c>
      <c r="U1820" s="4" t="s">
        <v>31073</v>
      </c>
      <c r="V1820" s="4" t="s">
        <v>31074</v>
      </c>
      <c r="W1820" s="4" t="s">
        <v>31075</v>
      </c>
      <c r="X1820" s="4" t="s">
        <v>2614</v>
      </c>
      <c r="Y1820" s="4" t="s">
        <v>14112</v>
      </c>
      <c r="Z1820" s="4" t="s">
        <v>14113</v>
      </c>
      <c r="AA1820" s="4" t="s">
        <v>2617</v>
      </c>
      <c r="AB1820" s="4"/>
      <c r="AC1820" s="4" t="s">
        <v>31076</v>
      </c>
      <c r="AD1820" s="4" t="s">
        <v>31077</v>
      </c>
      <c r="AE1820" s="4" t="s">
        <v>31078</v>
      </c>
      <c r="AF1820" s="4"/>
      <c r="AG1820" s="4" t="n">
        <v>47</v>
      </c>
      <c r="AH1820" s="4" t="n">
        <v>47</v>
      </c>
      <c r="AI1820" s="4" t="n">
        <v>52</v>
      </c>
      <c r="AJ1820" s="4" t="n">
        <v>0</v>
      </c>
      <c r="AK1820" s="4" t="n">
        <v>5</v>
      </c>
      <c r="AL1820" s="4" t="s">
        <v>27927</v>
      </c>
      <c r="AM1820" s="4" t="s">
        <v>27928</v>
      </c>
      <c r="AN1820" s="4" t="s">
        <v>27929</v>
      </c>
      <c r="AO1820" s="4" t="s">
        <v>27930</v>
      </c>
      <c r="AP1820" s="4"/>
      <c r="AQ1820" s="4"/>
      <c r="AR1820" s="4" t="s">
        <v>27932</v>
      </c>
      <c r="AS1820" s="4" t="s">
        <v>27933</v>
      </c>
      <c r="AT1820" s="4" t="s">
        <v>8806</v>
      </c>
      <c r="AU1820" s="4" t="n">
        <v>2011</v>
      </c>
      <c r="AV1820" s="4" t="n">
        <v>187</v>
      </c>
      <c r="AW1820" s="4" t="n">
        <v>1</v>
      </c>
      <c r="AX1820" s="4"/>
      <c r="AY1820" s="4"/>
      <c r="AZ1820" s="4"/>
      <c r="BA1820" s="4"/>
      <c r="BB1820" s="4" t="n">
        <v>47</v>
      </c>
      <c r="BC1820" s="4" t="n">
        <v>54</v>
      </c>
      <c r="BD1820" s="4"/>
      <c r="BE1820" s="4" t="s">
        <v>31079</v>
      </c>
      <c r="BF1820" s="4" t="str">
        <f aca="false">HYPERLINK("http://dx.doi.org/10.4049/jimmunol.1002589","http://dx.doi.org/10.4049/jimmunol.1002589")</f>
        <v>http://dx.doi.org/10.4049/jimmunol.1002589</v>
      </c>
      <c r="BG1820" s="4"/>
      <c r="BH1820" s="4"/>
      <c r="BI1820" s="4" t="n">
        <v>8</v>
      </c>
      <c r="BJ1820" s="4" t="s">
        <v>628</v>
      </c>
      <c r="BK1820" s="4" t="s">
        <v>100</v>
      </c>
      <c r="BL1820" s="4" t="s">
        <v>628</v>
      </c>
      <c r="BM1820" s="4" t="s">
        <v>31080</v>
      </c>
      <c r="BN1820" s="4" t="n">
        <v>21632720</v>
      </c>
      <c r="BO1820" s="4" t="s">
        <v>5372</v>
      </c>
      <c r="BP1820" s="4"/>
      <c r="BQ1820" s="4"/>
      <c r="BR1820" s="4" t="s">
        <v>104</v>
      </c>
      <c r="BS1820" s="4" t="s">
        <v>31081</v>
      </c>
      <c r="BT1820" s="4" t="str">
        <f aca="false">HYPERLINK("https%3A%2F%2Fwww.webofscience.com%2Fwos%2Fwoscc%2Ffull-record%2FWOS:000291799300009","View Full Record in Web of Science")</f>
        <v>View Full Record in Web of Science</v>
      </c>
    </row>
    <row r="1821" s="5" customFormat="true" ht="12.75" hidden="false" customHeight="false" outlineLevel="0" collapsed="false">
      <c r="A1821" s="4" t="s">
        <v>72</v>
      </c>
      <c r="B1821" s="4" t="s">
        <v>31082</v>
      </c>
      <c r="C1821" s="4"/>
      <c r="D1821" s="4"/>
      <c r="E1821" s="4"/>
      <c r="F1821" s="4" t="s">
        <v>31083</v>
      </c>
      <c r="G1821" s="4"/>
      <c r="H1821" s="4"/>
      <c r="I1821" s="4" t="s">
        <v>31084</v>
      </c>
      <c r="J1821" s="4" t="s">
        <v>7145</v>
      </c>
      <c r="K1821" s="4"/>
      <c r="L1821" s="4"/>
      <c r="M1821" s="4" t="s">
        <v>77</v>
      </c>
      <c r="N1821" s="4" t="s">
        <v>78</v>
      </c>
      <c r="O1821" s="4"/>
      <c r="P1821" s="4"/>
      <c r="Q1821" s="4"/>
      <c r="R1821" s="4"/>
      <c r="S1821" s="4"/>
      <c r="T1821" s="1" t="s">
        <v>31085</v>
      </c>
      <c r="U1821" s="4" t="s">
        <v>31086</v>
      </c>
      <c r="V1821" s="4" t="s">
        <v>31087</v>
      </c>
      <c r="W1821" s="4" t="s">
        <v>31088</v>
      </c>
      <c r="X1821" s="4" t="s">
        <v>31089</v>
      </c>
      <c r="Y1821" s="4" t="s">
        <v>31090</v>
      </c>
      <c r="Z1821" s="4" t="s">
        <v>12585</v>
      </c>
      <c r="AA1821" s="4" t="s">
        <v>12657</v>
      </c>
      <c r="AB1821" s="4" t="s">
        <v>31091</v>
      </c>
      <c r="AC1821" s="4"/>
      <c r="AD1821" s="4"/>
      <c r="AE1821" s="4"/>
      <c r="AF1821" s="4"/>
      <c r="AG1821" s="4" t="n">
        <v>38</v>
      </c>
      <c r="AH1821" s="4" t="n">
        <v>41</v>
      </c>
      <c r="AI1821" s="4" t="n">
        <v>50</v>
      </c>
      <c r="AJ1821" s="4" t="n">
        <v>0</v>
      </c>
      <c r="AK1821" s="4" t="n">
        <v>2</v>
      </c>
      <c r="AL1821" s="4" t="s">
        <v>28431</v>
      </c>
      <c r="AM1821" s="4" t="s">
        <v>28432</v>
      </c>
      <c r="AN1821" s="4" t="s">
        <v>28433</v>
      </c>
      <c r="AO1821" s="4" t="s">
        <v>7158</v>
      </c>
      <c r="AP1821" s="4"/>
      <c r="AQ1821" s="4"/>
      <c r="AR1821" s="4" t="s">
        <v>7160</v>
      </c>
      <c r="AS1821" s="4" t="s">
        <v>7161</v>
      </c>
      <c r="AT1821" s="4" t="s">
        <v>336</v>
      </c>
      <c r="AU1821" s="4" t="n">
        <v>2007</v>
      </c>
      <c r="AV1821" s="4" t="n">
        <v>88</v>
      </c>
      <c r="AW1821" s="4"/>
      <c r="AX1821" s="4" t="n">
        <v>10</v>
      </c>
      <c r="AY1821" s="4"/>
      <c r="AZ1821" s="4"/>
      <c r="BA1821" s="4"/>
      <c r="BB1821" s="4" t="n">
        <v>2702</v>
      </c>
      <c r="BC1821" s="4" t="n">
        <v>2709</v>
      </c>
      <c r="BD1821" s="4"/>
      <c r="BE1821" s="4" t="s">
        <v>31092</v>
      </c>
      <c r="BF1821" s="4" t="str">
        <f aca="false">HYPERLINK("http://dx.doi.org/10.1099/vir.0.83084-0","http://dx.doi.org/10.1099/vir.0.83084-0")</f>
        <v>http://dx.doi.org/10.1099/vir.0.83084-0</v>
      </c>
      <c r="BG1821" s="4"/>
      <c r="BH1821" s="4"/>
      <c r="BI1821" s="4" t="n">
        <v>8</v>
      </c>
      <c r="BJ1821" s="4" t="s">
        <v>7163</v>
      </c>
      <c r="BK1821" s="4" t="s">
        <v>100</v>
      </c>
      <c r="BL1821" s="4" t="s">
        <v>7163</v>
      </c>
      <c r="BM1821" s="4" t="s">
        <v>31093</v>
      </c>
      <c r="BN1821" s="4" t="n">
        <v>17872522</v>
      </c>
      <c r="BO1821" s="4"/>
      <c r="BP1821" s="4"/>
      <c r="BQ1821" s="4"/>
      <c r="BR1821" s="4" t="s">
        <v>104</v>
      </c>
      <c r="BS1821" s="4" t="s">
        <v>31094</v>
      </c>
      <c r="BT1821" s="4" t="str">
        <f aca="false">HYPERLINK("https%3A%2F%2Fwww.webofscience.com%2Fwos%2Fwoscc%2Ffull-record%2FWOS:000250157000011","View Full Record in Web of Science")</f>
        <v>View Full Record in Web of Science</v>
      </c>
    </row>
    <row r="1822" s="5" customFormat="true" ht="12.75" hidden="false" customHeight="false" outlineLevel="0" collapsed="false">
      <c r="A1822" s="4" t="s">
        <v>72</v>
      </c>
      <c r="B1822" s="4" t="s">
        <v>31095</v>
      </c>
      <c r="C1822" s="4"/>
      <c r="D1822" s="4"/>
      <c r="E1822" s="4"/>
      <c r="F1822" s="4" t="s">
        <v>31096</v>
      </c>
      <c r="G1822" s="4"/>
      <c r="H1822" s="4"/>
      <c r="I1822" s="4" t="s">
        <v>31097</v>
      </c>
      <c r="J1822" s="4" t="s">
        <v>31098</v>
      </c>
      <c r="K1822" s="4"/>
      <c r="L1822" s="4"/>
      <c r="M1822" s="4" t="s">
        <v>77</v>
      </c>
      <c r="N1822" s="4" t="s">
        <v>78</v>
      </c>
      <c r="O1822" s="4"/>
      <c r="P1822" s="4"/>
      <c r="Q1822" s="4"/>
      <c r="R1822" s="4"/>
      <c r="S1822" s="4"/>
      <c r="T1822" s="1" t="s">
        <v>31099</v>
      </c>
      <c r="U1822" s="4" t="s">
        <v>31100</v>
      </c>
      <c r="V1822" s="4" t="s">
        <v>31101</v>
      </c>
      <c r="W1822" s="4" t="s">
        <v>31102</v>
      </c>
      <c r="X1822" s="4" t="s">
        <v>31103</v>
      </c>
      <c r="Y1822" s="4" t="s">
        <v>31104</v>
      </c>
      <c r="Z1822" s="4" t="s">
        <v>31105</v>
      </c>
      <c r="AA1822" s="4" t="s">
        <v>31106</v>
      </c>
      <c r="AB1822" s="4" t="s">
        <v>31107</v>
      </c>
      <c r="AC1822" s="4"/>
      <c r="AD1822" s="4"/>
      <c r="AE1822" s="4"/>
      <c r="AF1822" s="4"/>
      <c r="AG1822" s="4" t="n">
        <v>20</v>
      </c>
      <c r="AH1822" s="4" t="n">
        <v>0</v>
      </c>
      <c r="AI1822" s="4" t="n">
        <v>0</v>
      </c>
      <c r="AJ1822" s="4" t="n">
        <v>0</v>
      </c>
      <c r="AK1822" s="4" t="n">
        <v>1</v>
      </c>
      <c r="AL1822" s="4" t="s">
        <v>154</v>
      </c>
      <c r="AM1822" s="4" t="s">
        <v>155</v>
      </c>
      <c r="AN1822" s="4" t="s">
        <v>156</v>
      </c>
      <c r="AO1822" s="4" t="s">
        <v>31108</v>
      </c>
      <c r="AP1822" s="4" t="s">
        <v>31109</v>
      </c>
      <c r="AQ1822" s="4"/>
      <c r="AR1822" s="4" t="s">
        <v>31110</v>
      </c>
      <c r="AS1822" s="4" t="s">
        <v>31111</v>
      </c>
      <c r="AT1822" s="4" t="s">
        <v>599</v>
      </c>
      <c r="AU1822" s="4" t="n">
        <v>2024</v>
      </c>
      <c r="AV1822" s="4" t="n">
        <v>19</v>
      </c>
      <c r="AW1822" s="4" t="n">
        <v>7</v>
      </c>
      <c r="AX1822" s="4"/>
      <c r="AY1822" s="4"/>
      <c r="AZ1822" s="4"/>
      <c r="BA1822" s="4"/>
      <c r="BB1822" s="4" t="n">
        <v>581</v>
      </c>
      <c r="BC1822" s="4" t="n">
        <v>588</v>
      </c>
      <c r="BD1822" s="4"/>
      <c r="BE1822" s="4" t="s">
        <v>31112</v>
      </c>
      <c r="BF1822" s="4" t="str">
        <f aca="false">HYPERLINK("http://dx.doi.org/10.1002/jhm.13320","http://dx.doi.org/10.1002/jhm.13320")</f>
        <v>http://dx.doi.org/10.1002/jhm.13320</v>
      </c>
      <c r="BG1822" s="4"/>
      <c r="BH1822" s="4" t="s">
        <v>10203</v>
      </c>
      <c r="BI1822" s="4" t="n">
        <v>8</v>
      </c>
      <c r="BJ1822" s="4" t="s">
        <v>363</v>
      </c>
      <c r="BK1822" s="4" t="s">
        <v>100</v>
      </c>
      <c r="BL1822" s="4" t="s">
        <v>364</v>
      </c>
      <c r="BM1822" s="4" t="s">
        <v>31113</v>
      </c>
      <c r="BN1822" s="4" t="n">
        <v>38462763</v>
      </c>
      <c r="BO1822" s="4" t="s">
        <v>2278</v>
      </c>
      <c r="BP1822" s="4"/>
      <c r="BQ1822" s="4"/>
      <c r="BR1822" s="4" t="s">
        <v>104</v>
      </c>
      <c r="BS1822" s="4" t="s">
        <v>31114</v>
      </c>
      <c r="BT1822" s="4" t="str">
        <f aca="false">HYPERLINK("https%3A%2F%2Fwww.webofscience.com%2Fwos%2Fwoscc%2Ffull-record%2FWOS:001181778400001","View Full Record in Web of Science")</f>
        <v>View Full Record in Web of Science</v>
      </c>
    </row>
    <row r="1823" s="5" customFormat="true" ht="12.75" hidden="false" customHeight="false" outlineLevel="0" collapsed="false">
      <c r="A1823" s="4" t="s">
        <v>72</v>
      </c>
      <c r="B1823" s="4" t="s">
        <v>31115</v>
      </c>
      <c r="C1823" s="4"/>
      <c r="D1823" s="4"/>
      <c r="E1823" s="4"/>
      <c r="F1823" s="4" t="s">
        <v>31116</v>
      </c>
      <c r="G1823" s="4"/>
      <c r="H1823" s="4"/>
      <c r="I1823" s="4" t="s">
        <v>31117</v>
      </c>
      <c r="J1823" s="4" t="s">
        <v>742</v>
      </c>
      <c r="K1823" s="4"/>
      <c r="L1823" s="4"/>
      <c r="M1823" s="4" t="s">
        <v>77</v>
      </c>
      <c r="N1823" s="4" t="s">
        <v>78</v>
      </c>
      <c r="O1823" s="4"/>
      <c r="P1823" s="4"/>
      <c r="Q1823" s="4"/>
      <c r="R1823" s="4"/>
      <c r="S1823" s="4"/>
      <c r="T1823" s="1" t="s">
        <v>31118</v>
      </c>
      <c r="U1823" s="4" t="s">
        <v>31119</v>
      </c>
      <c r="V1823" s="4" t="s">
        <v>31120</v>
      </c>
      <c r="W1823" s="4" t="s">
        <v>31121</v>
      </c>
      <c r="X1823" s="4" t="s">
        <v>29719</v>
      </c>
      <c r="Y1823" s="4" t="s">
        <v>12222</v>
      </c>
      <c r="Z1823" s="4" t="s">
        <v>8724</v>
      </c>
      <c r="AA1823" s="4" t="s">
        <v>31122</v>
      </c>
      <c r="AB1823" s="4" t="s">
        <v>31123</v>
      </c>
      <c r="AC1823" s="4" t="s">
        <v>31124</v>
      </c>
      <c r="AD1823" s="4" t="s">
        <v>31125</v>
      </c>
      <c r="AE1823" s="4" t="s">
        <v>31126</v>
      </c>
      <c r="AF1823" s="4"/>
      <c r="AG1823" s="4" t="n">
        <v>48</v>
      </c>
      <c r="AH1823" s="4" t="n">
        <v>22</v>
      </c>
      <c r="AI1823" s="4" t="n">
        <v>30</v>
      </c>
      <c r="AJ1823" s="4" t="n">
        <v>0</v>
      </c>
      <c r="AK1823" s="4" t="n">
        <v>5</v>
      </c>
      <c r="AL1823" s="4" t="s">
        <v>755</v>
      </c>
      <c r="AM1823" s="4" t="s">
        <v>273</v>
      </c>
      <c r="AN1823" s="4" t="s">
        <v>756</v>
      </c>
      <c r="AO1823" s="4" t="s">
        <v>757</v>
      </c>
      <c r="AP1823" s="4" t="s">
        <v>758</v>
      </c>
      <c r="AQ1823" s="4"/>
      <c r="AR1823" s="4" t="s">
        <v>759</v>
      </c>
      <c r="AS1823" s="4" t="s">
        <v>760</v>
      </c>
      <c r="AT1823" s="4" t="s">
        <v>446</v>
      </c>
      <c r="AU1823" s="4" t="n">
        <v>2011</v>
      </c>
      <c r="AV1823" s="4" t="n">
        <v>85</v>
      </c>
      <c r="AW1823" s="4" t="n">
        <v>23</v>
      </c>
      <c r="AX1823" s="4"/>
      <c r="AY1823" s="4"/>
      <c r="AZ1823" s="4"/>
      <c r="BA1823" s="4"/>
      <c r="BB1823" s="4" t="n">
        <v>12650</v>
      </c>
      <c r="BC1823" s="4" t="n">
        <v>12661</v>
      </c>
      <c r="BD1823" s="4"/>
      <c r="BE1823" s="4" t="s">
        <v>31127</v>
      </c>
      <c r="BF1823" s="4" t="str">
        <f aca="false">HYPERLINK("http://dx.doi.org/10.1128/JVI.05485-11","http://dx.doi.org/10.1128/JVI.05485-11")</f>
        <v>http://dx.doi.org/10.1128/JVI.05485-11</v>
      </c>
      <c r="BG1823" s="4"/>
      <c r="BH1823" s="4"/>
      <c r="BI1823" s="4" t="n">
        <v>12</v>
      </c>
      <c r="BJ1823" s="4" t="s">
        <v>163</v>
      </c>
      <c r="BK1823" s="4" t="s">
        <v>100</v>
      </c>
      <c r="BL1823" s="4" t="s">
        <v>163</v>
      </c>
      <c r="BM1823" s="4" t="s">
        <v>31128</v>
      </c>
      <c r="BN1823" s="4" t="n">
        <v>21937649</v>
      </c>
      <c r="BO1823" s="4" t="s">
        <v>165</v>
      </c>
      <c r="BP1823" s="4"/>
      <c r="BQ1823" s="4"/>
      <c r="BR1823" s="4" t="s">
        <v>104</v>
      </c>
      <c r="BS1823" s="4" t="s">
        <v>31129</v>
      </c>
      <c r="BT1823" s="4" t="str">
        <f aca="false">HYPERLINK("https%3A%2F%2Fwww.webofscience.com%2Fwos%2Fwoscc%2Ffull-record%2FWOS:000296708100052","View Full Record in Web of Science")</f>
        <v>View Full Record in Web of Science</v>
      </c>
    </row>
    <row r="1824" s="5" customFormat="true" ht="12.75" hidden="false" customHeight="false" outlineLevel="0" collapsed="false">
      <c r="A1824" s="4" t="s">
        <v>72</v>
      </c>
      <c r="B1824" s="4" t="s">
        <v>31130</v>
      </c>
      <c r="C1824" s="4"/>
      <c r="D1824" s="4"/>
      <c r="E1824" s="4"/>
      <c r="F1824" s="4" t="s">
        <v>31130</v>
      </c>
      <c r="G1824" s="4"/>
      <c r="H1824" s="4"/>
      <c r="I1824" s="4" t="s">
        <v>31131</v>
      </c>
      <c r="J1824" s="4" t="s">
        <v>742</v>
      </c>
      <c r="K1824" s="4"/>
      <c r="L1824" s="4"/>
      <c r="M1824" s="4" t="s">
        <v>77</v>
      </c>
      <c r="N1824" s="4" t="s">
        <v>78</v>
      </c>
      <c r="O1824" s="4"/>
      <c r="P1824" s="4"/>
      <c r="Q1824" s="4"/>
      <c r="R1824" s="4"/>
      <c r="S1824" s="4"/>
      <c r="T1824" s="1" t="s">
        <v>31132</v>
      </c>
      <c r="U1824" s="4" t="s">
        <v>31133</v>
      </c>
      <c r="V1824" s="4" t="s">
        <v>31134</v>
      </c>
      <c r="W1824" s="4" t="s">
        <v>31135</v>
      </c>
      <c r="X1824" s="4" t="s">
        <v>6708</v>
      </c>
      <c r="Y1824" s="4" t="s">
        <v>31136</v>
      </c>
      <c r="Z1824" s="4" t="s">
        <v>6710</v>
      </c>
      <c r="AA1824" s="4" t="s">
        <v>30802</v>
      </c>
      <c r="AB1824" s="4" t="s">
        <v>6712</v>
      </c>
      <c r="AC1824" s="4"/>
      <c r="AD1824" s="4"/>
      <c r="AE1824" s="4"/>
      <c r="AF1824" s="4"/>
      <c r="AG1824" s="4" t="n">
        <v>41</v>
      </c>
      <c r="AH1824" s="4" t="n">
        <v>77</v>
      </c>
      <c r="AI1824" s="4" t="n">
        <v>97</v>
      </c>
      <c r="AJ1824" s="4" t="n">
        <v>0</v>
      </c>
      <c r="AK1824" s="4" t="n">
        <v>0</v>
      </c>
      <c r="AL1824" s="4" t="s">
        <v>755</v>
      </c>
      <c r="AM1824" s="4" t="s">
        <v>273</v>
      </c>
      <c r="AN1824" s="4" t="s">
        <v>756</v>
      </c>
      <c r="AO1824" s="4" t="s">
        <v>757</v>
      </c>
      <c r="AP1824" s="4"/>
      <c r="AQ1824" s="4"/>
      <c r="AR1824" s="4" t="s">
        <v>759</v>
      </c>
      <c r="AS1824" s="4" t="s">
        <v>760</v>
      </c>
      <c r="AT1824" s="4" t="s">
        <v>486</v>
      </c>
      <c r="AU1824" s="4" t="n">
        <v>2005</v>
      </c>
      <c r="AV1824" s="4" t="n">
        <v>79</v>
      </c>
      <c r="AW1824" s="4" t="n">
        <v>11</v>
      </c>
      <c r="AX1824" s="4"/>
      <c r="AY1824" s="4"/>
      <c r="AZ1824" s="4"/>
      <c r="BA1824" s="4"/>
      <c r="BB1824" s="4" t="n">
        <v>6588</v>
      </c>
      <c r="BC1824" s="4" t="n">
        <v>6597</v>
      </c>
      <c r="BD1824" s="4"/>
      <c r="BE1824" s="4" t="s">
        <v>31137</v>
      </c>
      <c r="BF1824" s="4" t="str">
        <f aca="false">HYPERLINK("http://dx.doi.org/10.1128/JVI.79.11.6588-6597.2005","http://dx.doi.org/10.1128/JVI.79.11.6588-6597.2005")</f>
        <v>http://dx.doi.org/10.1128/JVI.79.11.6588-6597.2005</v>
      </c>
      <c r="BG1824" s="4"/>
      <c r="BH1824" s="4"/>
      <c r="BI1824" s="4" t="n">
        <v>10</v>
      </c>
      <c r="BJ1824" s="4" t="s">
        <v>163</v>
      </c>
      <c r="BK1824" s="4" t="s">
        <v>100</v>
      </c>
      <c r="BL1824" s="4" t="s">
        <v>163</v>
      </c>
      <c r="BM1824" s="4" t="s">
        <v>31138</v>
      </c>
      <c r="BN1824" s="4" t="n">
        <v>15890897</v>
      </c>
      <c r="BO1824" s="4" t="s">
        <v>165</v>
      </c>
      <c r="BP1824" s="4"/>
      <c r="BQ1824" s="4"/>
      <c r="BR1824" s="4" t="s">
        <v>104</v>
      </c>
      <c r="BS1824" s="4" t="s">
        <v>31139</v>
      </c>
      <c r="BT1824" s="4" t="str">
        <f aca="false">HYPERLINK("https%3A%2F%2Fwww.webofscience.com%2Fwos%2Fwoscc%2Ffull-record%2FWOS:000229085400002","View Full Record in Web of Science")</f>
        <v>View Full Record in Web of Science</v>
      </c>
    </row>
    <row r="1825" s="5" customFormat="true" ht="12.75" hidden="false" customHeight="false" outlineLevel="0" collapsed="false">
      <c r="A1825" s="4" t="s">
        <v>72</v>
      </c>
      <c r="B1825" s="4" t="s">
        <v>31140</v>
      </c>
      <c r="C1825" s="4"/>
      <c r="D1825" s="4"/>
      <c r="E1825" s="4"/>
      <c r="F1825" s="4" t="s">
        <v>31141</v>
      </c>
      <c r="G1825" s="4"/>
      <c r="H1825" s="4"/>
      <c r="I1825" s="4" t="s">
        <v>31142</v>
      </c>
      <c r="J1825" s="4" t="s">
        <v>742</v>
      </c>
      <c r="K1825" s="4"/>
      <c r="L1825" s="4"/>
      <c r="M1825" s="4" t="s">
        <v>77</v>
      </c>
      <c r="N1825" s="4" t="s">
        <v>78</v>
      </c>
      <c r="O1825" s="4"/>
      <c r="P1825" s="4"/>
      <c r="Q1825" s="4"/>
      <c r="R1825" s="4"/>
      <c r="S1825" s="4"/>
      <c r="T1825" s="1" t="s">
        <v>31143</v>
      </c>
      <c r="U1825" s="4" t="s">
        <v>31144</v>
      </c>
      <c r="V1825" s="4" t="s">
        <v>31145</v>
      </c>
      <c r="W1825" s="4" t="s">
        <v>31146</v>
      </c>
      <c r="X1825" s="4" t="s">
        <v>31147</v>
      </c>
      <c r="Y1825" s="4" t="s">
        <v>27650</v>
      </c>
      <c r="Z1825" s="4" t="s">
        <v>14651</v>
      </c>
      <c r="AA1825" s="4" t="s">
        <v>31148</v>
      </c>
      <c r="AB1825" s="4" t="s">
        <v>31149</v>
      </c>
      <c r="AC1825" s="4" t="s">
        <v>31150</v>
      </c>
      <c r="AD1825" s="4" t="s">
        <v>31151</v>
      </c>
      <c r="AE1825" s="4" t="s">
        <v>31152</v>
      </c>
      <c r="AF1825" s="4"/>
      <c r="AG1825" s="4" t="n">
        <v>56</v>
      </c>
      <c r="AH1825" s="4" t="n">
        <v>40</v>
      </c>
      <c r="AI1825" s="4" t="n">
        <v>46</v>
      </c>
      <c r="AJ1825" s="4" t="n">
        <v>1</v>
      </c>
      <c r="AK1825" s="4" t="n">
        <v>4</v>
      </c>
      <c r="AL1825" s="4" t="s">
        <v>755</v>
      </c>
      <c r="AM1825" s="4" t="s">
        <v>273</v>
      </c>
      <c r="AN1825" s="4" t="s">
        <v>756</v>
      </c>
      <c r="AO1825" s="4" t="s">
        <v>757</v>
      </c>
      <c r="AP1825" s="4"/>
      <c r="AQ1825" s="4"/>
      <c r="AR1825" s="4" t="s">
        <v>759</v>
      </c>
      <c r="AS1825" s="4" t="s">
        <v>760</v>
      </c>
      <c r="AT1825" s="4" t="s">
        <v>446</v>
      </c>
      <c r="AU1825" s="4" t="n">
        <v>2012</v>
      </c>
      <c r="AV1825" s="4" t="n">
        <v>86</v>
      </c>
      <c r="AW1825" s="4" t="n">
        <v>23</v>
      </c>
      <c r="AX1825" s="4"/>
      <c r="AY1825" s="4"/>
      <c r="AZ1825" s="4"/>
      <c r="BA1825" s="4"/>
      <c r="BB1825" s="4" t="n">
        <v>13049</v>
      </c>
      <c r="BC1825" s="4" t="n">
        <v>13061</v>
      </c>
      <c r="BD1825" s="4"/>
      <c r="BE1825" s="4" t="s">
        <v>31153</v>
      </c>
      <c r="BF1825" s="4" t="str">
        <f aca="false">HYPERLINK("http://dx.doi.org/10.1128/JVI.01248-12","http://dx.doi.org/10.1128/JVI.01248-12")</f>
        <v>http://dx.doi.org/10.1128/JVI.01248-12</v>
      </c>
      <c r="BG1825" s="4"/>
      <c r="BH1825" s="4"/>
      <c r="BI1825" s="4" t="n">
        <v>13</v>
      </c>
      <c r="BJ1825" s="4" t="s">
        <v>163</v>
      </c>
      <c r="BK1825" s="4" t="s">
        <v>100</v>
      </c>
      <c r="BL1825" s="4" t="s">
        <v>163</v>
      </c>
      <c r="BM1825" s="4" t="s">
        <v>31154</v>
      </c>
      <c r="BN1825" s="4" t="n">
        <v>23015697</v>
      </c>
      <c r="BO1825" s="4" t="s">
        <v>1267</v>
      </c>
      <c r="BP1825" s="4"/>
      <c r="BQ1825" s="4"/>
      <c r="BR1825" s="4" t="s">
        <v>104</v>
      </c>
      <c r="BS1825" s="4" t="s">
        <v>31155</v>
      </c>
      <c r="BT1825" s="4" t="str">
        <f aca="false">HYPERLINK("https%3A%2F%2Fwww.webofscience.com%2Fwos%2Fwoscc%2Ffull-record%2FWOS:000310585300054","View Full Record in Web of Science")</f>
        <v>View Full Record in Web of Science</v>
      </c>
    </row>
    <row r="1826" s="5" customFormat="true" ht="12.75" hidden="false" customHeight="false" outlineLevel="0" collapsed="false">
      <c r="A1826" s="4" t="s">
        <v>72</v>
      </c>
      <c r="B1826" s="4" t="s">
        <v>31156</v>
      </c>
      <c r="C1826" s="4"/>
      <c r="D1826" s="4"/>
      <c r="E1826" s="4"/>
      <c r="F1826" s="4" t="s">
        <v>31156</v>
      </c>
      <c r="G1826" s="4"/>
      <c r="H1826" s="4"/>
      <c r="I1826" s="4" t="s">
        <v>31157</v>
      </c>
      <c r="J1826" s="4" t="s">
        <v>514</v>
      </c>
      <c r="K1826" s="4"/>
      <c r="L1826" s="4"/>
      <c r="M1826" s="4" t="s">
        <v>77</v>
      </c>
      <c r="N1826" s="4" t="s">
        <v>78</v>
      </c>
      <c r="O1826" s="4"/>
      <c r="P1826" s="4"/>
      <c r="Q1826" s="4"/>
      <c r="R1826" s="4"/>
      <c r="S1826" s="4"/>
      <c r="T1826" s="1" t="s">
        <v>31158</v>
      </c>
      <c r="U1826" s="4"/>
      <c r="V1826" s="4" t="s">
        <v>31159</v>
      </c>
      <c r="W1826" s="4" t="s">
        <v>31160</v>
      </c>
      <c r="X1826" s="4" t="s">
        <v>31161</v>
      </c>
      <c r="Y1826" s="4" t="s">
        <v>31162</v>
      </c>
      <c r="Z1826" s="4"/>
      <c r="AA1826" s="4"/>
      <c r="AB1826" s="4" t="s">
        <v>31163</v>
      </c>
      <c r="AC1826" s="4"/>
      <c r="AD1826" s="4"/>
      <c r="AE1826" s="4"/>
      <c r="AF1826" s="4"/>
      <c r="AG1826" s="4" t="n">
        <v>8</v>
      </c>
      <c r="AH1826" s="4" t="n">
        <v>305</v>
      </c>
      <c r="AI1826" s="4" t="n">
        <v>361</v>
      </c>
      <c r="AJ1826" s="4" t="n">
        <v>1</v>
      </c>
      <c r="AK1826" s="4" t="n">
        <v>4</v>
      </c>
      <c r="AL1826" s="4" t="s">
        <v>27444</v>
      </c>
      <c r="AM1826" s="4" t="s">
        <v>20223</v>
      </c>
      <c r="AN1826" s="4" t="s">
        <v>27445</v>
      </c>
      <c r="AO1826" s="4" t="s">
        <v>530</v>
      </c>
      <c r="AP1826" s="4"/>
      <c r="AQ1826" s="4"/>
      <c r="AR1826" s="4" t="s">
        <v>532</v>
      </c>
      <c r="AS1826" s="4" t="s">
        <v>533</v>
      </c>
      <c r="AT1826" s="4" t="s">
        <v>673</v>
      </c>
      <c r="AU1826" s="4" t="n">
        <v>2002</v>
      </c>
      <c r="AV1826" s="4" t="n">
        <v>185</v>
      </c>
      <c r="AW1826" s="4" t="n">
        <v>11</v>
      </c>
      <c r="AX1826" s="4"/>
      <c r="AY1826" s="4"/>
      <c r="AZ1826" s="4"/>
      <c r="BA1826" s="4"/>
      <c r="BB1826" s="4" t="n">
        <v>1660</v>
      </c>
      <c r="BC1826" s="4" t="n">
        <v>1663</v>
      </c>
      <c r="BD1826" s="4"/>
      <c r="BE1826" s="4" t="s">
        <v>31164</v>
      </c>
      <c r="BF1826" s="4" t="str">
        <f aca="false">HYPERLINK("http://dx.doi.org/10.1086/340518","http://dx.doi.org/10.1086/340518")</f>
        <v>http://dx.doi.org/10.1086/340518</v>
      </c>
      <c r="BG1826" s="4"/>
      <c r="BH1826" s="4"/>
      <c r="BI1826" s="4" t="n">
        <v>4</v>
      </c>
      <c r="BJ1826" s="4" t="s">
        <v>536</v>
      </c>
      <c r="BK1826" s="4" t="s">
        <v>100</v>
      </c>
      <c r="BL1826" s="4" t="s">
        <v>536</v>
      </c>
      <c r="BM1826" s="4" t="s">
        <v>31165</v>
      </c>
      <c r="BN1826" s="4" t="n">
        <v>12023774</v>
      </c>
      <c r="BO1826" s="4" t="s">
        <v>538</v>
      </c>
      <c r="BP1826" s="4"/>
      <c r="BQ1826" s="4"/>
      <c r="BR1826" s="4" t="s">
        <v>104</v>
      </c>
      <c r="BS1826" s="4" t="s">
        <v>31166</v>
      </c>
      <c r="BT1826" s="4" t="str">
        <f aca="false">HYPERLINK("https%3A%2F%2Fwww.webofscience.com%2Fwos%2Fwoscc%2Ffull-record%2FWOS:000175850800016","View Full Record in Web of Science")</f>
        <v>View Full Record in Web of Science</v>
      </c>
    </row>
    <row r="1827" s="5" customFormat="true" ht="12.75" hidden="false" customHeight="false" outlineLevel="0" collapsed="false">
      <c r="A1827" s="4" t="s">
        <v>72</v>
      </c>
      <c r="B1827" s="4" t="s">
        <v>31167</v>
      </c>
      <c r="C1827" s="4"/>
      <c r="D1827" s="4"/>
      <c r="E1827" s="4"/>
      <c r="F1827" s="4" t="s">
        <v>31168</v>
      </c>
      <c r="G1827" s="4"/>
      <c r="H1827" s="4"/>
      <c r="I1827" s="4" t="s">
        <v>9475</v>
      </c>
      <c r="J1827" s="4" t="s">
        <v>3741</v>
      </c>
      <c r="K1827" s="4"/>
      <c r="L1827" s="4"/>
      <c r="M1827" s="4" t="s">
        <v>77</v>
      </c>
      <c r="N1827" s="4" t="s">
        <v>78</v>
      </c>
      <c r="O1827" s="4"/>
      <c r="P1827" s="4"/>
      <c r="Q1827" s="4"/>
      <c r="R1827" s="4"/>
      <c r="S1827" s="4"/>
      <c r="T1827" s="1" t="s">
        <v>31169</v>
      </c>
      <c r="U1827" s="4" t="s">
        <v>31170</v>
      </c>
      <c r="V1827" s="4" t="s">
        <v>31171</v>
      </c>
      <c r="W1827" s="4" t="s">
        <v>31172</v>
      </c>
      <c r="X1827" s="4" t="s">
        <v>31173</v>
      </c>
      <c r="Y1827" s="4" t="s">
        <v>31174</v>
      </c>
      <c r="Z1827" s="4" t="s">
        <v>6724</v>
      </c>
      <c r="AA1827" s="4" t="s">
        <v>4709</v>
      </c>
      <c r="AB1827" s="4"/>
      <c r="AC1827" s="4" t="s">
        <v>31175</v>
      </c>
      <c r="AD1827" s="4" t="s">
        <v>2416</v>
      </c>
      <c r="AE1827" s="4"/>
      <c r="AF1827" s="4"/>
      <c r="AG1827" s="4" t="n">
        <v>59</v>
      </c>
      <c r="AH1827" s="4" t="n">
        <v>16</v>
      </c>
      <c r="AI1827" s="4" t="n">
        <v>20</v>
      </c>
      <c r="AJ1827" s="4" t="n">
        <v>0</v>
      </c>
      <c r="AK1827" s="4" t="n">
        <v>0</v>
      </c>
      <c r="AL1827" s="4" t="s">
        <v>755</v>
      </c>
      <c r="AM1827" s="4" t="s">
        <v>273</v>
      </c>
      <c r="AN1827" s="4" t="s">
        <v>756</v>
      </c>
      <c r="AO1827" s="4" t="s">
        <v>3753</v>
      </c>
      <c r="AP1827" s="4"/>
      <c r="AQ1827" s="4"/>
      <c r="AR1827" s="4" t="s">
        <v>3754</v>
      </c>
      <c r="AS1827" s="4" t="s">
        <v>3755</v>
      </c>
      <c r="AT1827" s="4" t="s">
        <v>336</v>
      </c>
      <c r="AU1827" s="4" t="n">
        <v>2014</v>
      </c>
      <c r="AV1827" s="4" t="n">
        <v>2</v>
      </c>
      <c r="AW1827" s="4" t="n">
        <v>5</v>
      </c>
      <c r="AX1827" s="4"/>
      <c r="AY1827" s="4"/>
      <c r="AZ1827" s="4"/>
      <c r="BA1827" s="4"/>
      <c r="BB1827" s="4"/>
      <c r="BC1827" s="4"/>
      <c r="BD1827" s="4" t="s">
        <v>31176</v>
      </c>
      <c r="BE1827" s="4" t="s">
        <v>31177</v>
      </c>
      <c r="BF1827" s="4" t="str">
        <f aca="false">HYPERLINK("http://dx.doi.org/10.1128/microbiolspec.AID-0020-2014","http://dx.doi.org/10.1128/microbiolspec.AID-0020-2014")</f>
        <v>http://dx.doi.org/10.1128/microbiolspec.AID-0020-2014</v>
      </c>
      <c r="BG1827" s="4"/>
      <c r="BH1827" s="4"/>
      <c r="BI1827" s="4" t="n">
        <v>8</v>
      </c>
      <c r="BJ1827" s="4" t="s">
        <v>211</v>
      </c>
      <c r="BK1827" s="4" t="s">
        <v>339</v>
      </c>
      <c r="BL1827" s="4" t="s">
        <v>211</v>
      </c>
      <c r="BM1827" s="4" t="s">
        <v>31178</v>
      </c>
      <c r="BN1827" s="4" t="n">
        <v>26104361</v>
      </c>
      <c r="BO1827" s="4" t="s">
        <v>31179</v>
      </c>
      <c r="BP1827" s="4"/>
      <c r="BQ1827" s="4"/>
      <c r="BR1827" s="4" t="s">
        <v>104</v>
      </c>
      <c r="BS1827" s="4" t="s">
        <v>31180</v>
      </c>
      <c r="BT1827" s="4" t="str">
        <f aca="false">HYPERLINK("https%3A%2F%2Fwww.webofscience.com%2Fwos%2Fwoscc%2Ffull-record%2FWOS:000422201300026","View Full Record in Web of Science")</f>
        <v>View Full Record in Web of Science</v>
      </c>
    </row>
    <row r="1828" s="5" customFormat="true" ht="12.75" hidden="false" customHeight="false" outlineLevel="0" collapsed="false">
      <c r="A1828" s="4" t="s">
        <v>72</v>
      </c>
      <c r="B1828" s="4" t="s">
        <v>31181</v>
      </c>
      <c r="C1828" s="4"/>
      <c r="D1828" s="4"/>
      <c r="E1828" s="4"/>
      <c r="F1828" s="4" t="s">
        <v>31181</v>
      </c>
      <c r="G1828" s="4"/>
      <c r="H1828" s="4"/>
      <c r="I1828" s="4" t="s">
        <v>31182</v>
      </c>
      <c r="J1828" s="4" t="s">
        <v>514</v>
      </c>
      <c r="K1828" s="4"/>
      <c r="L1828" s="4"/>
      <c r="M1828" s="4" t="s">
        <v>77</v>
      </c>
      <c r="N1828" s="4" t="s">
        <v>78</v>
      </c>
      <c r="O1828" s="4"/>
      <c r="P1828" s="4"/>
      <c r="Q1828" s="4"/>
      <c r="R1828" s="4"/>
      <c r="S1828" s="4"/>
      <c r="T1828" s="1" t="s">
        <v>31183</v>
      </c>
      <c r="U1828" s="4" t="s">
        <v>31184</v>
      </c>
      <c r="V1828" s="4" t="s">
        <v>31185</v>
      </c>
      <c r="W1828" s="4" t="s">
        <v>31186</v>
      </c>
      <c r="X1828" s="4" t="s">
        <v>31187</v>
      </c>
      <c r="Y1828" s="4" t="s">
        <v>31188</v>
      </c>
      <c r="Z1828" s="4" t="s">
        <v>10351</v>
      </c>
      <c r="AA1828" s="4" t="s">
        <v>10352</v>
      </c>
      <c r="AB1828" s="4" t="s">
        <v>31189</v>
      </c>
      <c r="AC1828" s="4" t="s">
        <v>31190</v>
      </c>
      <c r="AD1828" s="4" t="s">
        <v>2416</v>
      </c>
      <c r="AE1828" s="4"/>
      <c r="AF1828" s="4"/>
      <c r="AG1828" s="4" t="n">
        <v>36</v>
      </c>
      <c r="AH1828" s="4" t="n">
        <v>38</v>
      </c>
      <c r="AI1828" s="4" t="n">
        <v>40</v>
      </c>
      <c r="AJ1828" s="4" t="n">
        <v>0</v>
      </c>
      <c r="AK1828" s="4" t="n">
        <v>3</v>
      </c>
      <c r="AL1828" s="4" t="s">
        <v>527</v>
      </c>
      <c r="AM1828" s="4" t="s">
        <v>528</v>
      </c>
      <c r="AN1828" s="4" t="s">
        <v>529</v>
      </c>
      <c r="AO1828" s="4" t="s">
        <v>530</v>
      </c>
      <c r="AP1828" s="4" t="s">
        <v>531</v>
      </c>
      <c r="AQ1828" s="4"/>
      <c r="AR1828" s="4" t="s">
        <v>532</v>
      </c>
      <c r="AS1828" s="4" t="s">
        <v>533</v>
      </c>
      <c r="AT1828" s="4" t="s">
        <v>673</v>
      </c>
      <c r="AU1828" s="4" t="n">
        <v>2006</v>
      </c>
      <c r="AV1828" s="4" t="n">
        <v>193</v>
      </c>
      <c r="AW1828" s="4" t="n">
        <v>11</v>
      </c>
      <c r="AX1828" s="4"/>
      <c r="AY1828" s="4"/>
      <c r="AZ1828" s="4"/>
      <c r="BA1828" s="4"/>
      <c r="BB1828" s="4" t="n">
        <v>1544</v>
      </c>
      <c r="BC1828" s="4" t="n">
        <v>1551</v>
      </c>
      <c r="BD1828" s="4"/>
      <c r="BE1828" s="4" t="s">
        <v>31191</v>
      </c>
      <c r="BF1828" s="4" t="str">
        <f aca="false">HYPERLINK("http://dx.doi.org/10.1086/503806","http://dx.doi.org/10.1086/503806")</f>
        <v>http://dx.doi.org/10.1086/503806</v>
      </c>
      <c r="BG1828" s="4"/>
      <c r="BH1828" s="4"/>
      <c r="BI1828" s="4" t="n">
        <v>8</v>
      </c>
      <c r="BJ1828" s="4" t="s">
        <v>536</v>
      </c>
      <c r="BK1828" s="4" t="s">
        <v>100</v>
      </c>
      <c r="BL1828" s="4" t="s">
        <v>536</v>
      </c>
      <c r="BM1828" s="4" t="s">
        <v>31192</v>
      </c>
      <c r="BN1828" s="4" t="n">
        <v>16652283</v>
      </c>
      <c r="BO1828" s="4" t="s">
        <v>656</v>
      </c>
      <c r="BP1828" s="4"/>
      <c r="BQ1828" s="4"/>
      <c r="BR1828" s="4" t="s">
        <v>104</v>
      </c>
      <c r="BS1828" s="4" t="s">
        <v>31193</v>
      </c>
      <c r="BT1828" s="4" t="str">
        <f aca="false">HYPERLINK("https%3A%2F%2Fwww.webofscience.com%2Fwos%2Fwoscc%2Ffull-record%2FWOS:000237246700011","View Full Record in Web of Science")</f>
        <v>View Full Record in Web of Science</v>
      </c>
    </row>
    <row r="1829" s="5" customFormat="true" ht="12.75" hidden="false" customHeight="false" outlineLevel="0" collapsed="false">
      <c r="A1829" s="4" t="s">
        <v>72</v>
      </c>
      <c r="B1829" s="4" t="s">
        <v>31194</v>
      </c>
      <c r="C1829" s="4"/>
      <c r="D1829" s="4"/>
      <c r="E1829" s="4"/>
      <c r="F1829" s="4" t="s">
        <v>31195</v>
      </c>
      <c r="G1829" s="4"/>
      <c r="H1829" s="4"/>
      <c r="I1829" s="4" t="s">
        <v>31196</v>
      </c>
      <c r="J1829" s="4" t="s">
        <v>27453</v>
      </c>
      <c r="K1829" s="4"/>
      <c r="L1829" s="4"/>
      <c r="M1829" s="4" t="s">
        <v>77</v>
      </c>
      <c r="N1829" s="4" t="s">
        <v>78</v>
      </c>
      <c r="O1829" s="4"/>
      <c r="P1829" s="4"/>
      <c r="Q1829" s="4"/>
      <c r="R1829" s="4"/>
      <c r="S1829" s="4"/>
      <c r="T1829" s="1" t="s">
        <v>31197</v>
      </c>
      <c r="U1829" s="4" t="s">
        <v>31198</v>
      </c>
      <c r="V1829" s="4" t="s">
        <v>31199</v>
      </c>
      <c r="W1829" s="4" t="s">
        <v>31200</v>
      </c>
      <c r="X1829" s="4" t="s">
        <v>31201</v>
      </c>
      <c r="Y1829" s="4" t="s">
        <v>31202</v>
      </c>
      <c r="Z1829" s="4" t="s">
        <v>13464</v>
      </c>
      <c r="AA1829" s="4"/>
      <c r="AB1829" s="4" t="s">
        <v>13466</v>
      </c>
      <c r="AC1829" s="4" t="s">
        <v>31203</v>
      </c>
      <c r="AD1829" s="4" t="s">
        <v>31204</v>
      </c>
      <c r="AE1829" s="4" t="s">
        <v>31205</v>
      </c>
      <c r="AF1829" s="4"/>
      <c r="AG1829" s="4" t="n">
        <v>27</v>
      </c>
      <c r="AH1829" s="4" t="n">
        <v>1</v>
      </c>
      <c r="AI1829" s="4" t="n">
        <v>1</v>
      </c>
      <c r="AJ1829" s="4" t="n">
        <v>0</v>
      </c>
      <c r="AK1829" s="4" t="n">
        <v>0</v>
      </c>
      <c r="AL1829" s="4" t="s">
        <v>27463</v>
      </c>
      <c r="AM1829" s="4" t="s">
        <v>16252</v>
      </c>
      <c r="AN1829" s="4" t="s">
        <v>27464</v>
      </c>
      <c r="AO1829" s="4" t="s">
        <v>27465</v>
      </c>
      <c r="AP1829" s="4" t="s">
        <v>27466</v>
      </c>
      <c r="AQ1829" s="4"/>
      <c r="AR1829" s="4" t="s">
        <v>27467</v>
      </c>
      <c r="AS1829" s="4" t="s">
        <v>27468</v>
      </c>
      <c r="AT1829" s="4" t="s">
        <v>390</v>
      </c>
      <c r="AU1829" s="4" t="n">
        <v>2024</v>
      </c>
      <c r="AV1829" s="4" t="n">
        <v>77</v>
      </c>
      <c r="AW1829" s="4" t="n">
        <v>3</v>
      </c>
      <c r="AX1829" s="4"/>
      <c r="AY1829" s="4"/>
      <c r="AZ1829" s="4"/>
      <c r="BA1829" s="4"/>
      <c r="BB1829" s="4" t="n">
        <v>137</v>
      </c>
      <c r="BC1829" s="4" t="n">
        <v>143</v>
      </c>
      <c r="BD1829" s="4"/>
      <c r="BE1829" s="4" t="s">
        <v>31206</v>
      </c>
      <c r="BF1829" s="4" t="str">
        <f aca="false">HYPERLINK("http://dx.doi.org/10.7883/yoken.JJID.2023.350","http://dx.doi.org/10.7883/yoken.JJID.2023.350")</f>
        <v>http://dx.doi.org/10.7883/yoken.JJID.2023.350</v>
      </c>
      <c r="BG1829" s="4"/>
      <c r="BH1829" s="4"/>
      <c r="BI1829" s="4" t="n">
        <v>7</v>
      </c>
      <c r="BJ1829" s="4" t="s">
        <v>575</v>
      </c>
      <c r="BK1829" s="4" t="s">
        <v>100</v>
      </c>
      <c r="BL1829" s="4" t="s">
        <v>575</v>
      </c>
      <c r="BM1829" s="4" t="s">
        <v>31207</v>
      </c>
      <c r="BN1829" s="4" t="n">
        <v>38171847</v>
      </c>
      <c r="BO1829" s="4" t="s">
        <v>1355</v>
      </c>
      <c r="BP1829" s="4"/>
      <c r="BQ1829" s="4"/>
      <c r="BR1829" s="4" t="s">
        <v>104</v>
      </c>
      <c r="BS1829" s="4" t="s">
        <v>31208</v>
      </c>
      <c r="BT1829" s="4" t="str">
        <f aca="false">HYPERLINK("https%3A%2F%2Fwww.webofscience.com%2Fwos%2Fwoscc%2Ffull-record%2FWOS:001312464900003","View Full Record in Web of Science")</f>
        <v>View Full Record in Web of Science</v>
      </c>
    </row>
    <row r="1830" s="5" customFormat="true" ht="12.75" hidden="false" customHeight="false" outlineLevel="0" collapsed="false">
      <c r="A1830" s="4" t="s">
        <v>72</v>
      </c>
      <c r="B1830" s="4" t="s">
        <v>31209</v>
      </c>
      <c r="C1830" s="4"/>
      <c r="D1830" s="4"/>
      <c r="E1830" s="4"/>
      <c r="F1830" s="4" t="s">
        <v>31210</v>
      </c>
      <c r="G1830" s="4"/>
      <c r="H1830" s="4"/>
      <c r="I1830" s="4" t="s">
        <v>31211</v>
      </c>
      <c r="J1830" s="4" t="s">
        <v>7060</v>
      </c>
      <c r="K1830" s="4"/>
      <c r="L1830" s="4"/>
      <c r="M1830" s="4" t="s">
        <v>77</v>
      </c>
      <c r="N1830" s="4" t="s">
        <v>78</v>
      </c>
      <c r="O1830" s="4"/>
      <c r="P1830" s="4"/>
      <c r="Q1830" s="4"/>
      <c r="R1830" s="4"/>
      <c r="S1830" s="4"/>
      <c r="T1830" s="1" t="s">
        <v>31212</v>
      </c>
      <c r="U1830" s="4" t="s">
        <v>31213</v>
      </c>
      <c r="V1830" s="4" t="s">
        <v>31214</v>
      </c>
      <c r="W1830" s="4" t="s">
        <v>31215</v>
      </c>
      <c r="X1830" s="4"/>
      <c r="Y1830" s="4" t="s">
        <v>31216</v>
      </c>
      <c r="Z1830" s="4" t="s">
        <v>31217</v>
      </c>
      <c r="AA1830" s="4"/>
      <c r="AB1830" s="4"/>
      <c r="AC1830" s="4" t="s">
        <v>31218</v>
      </c>
      <c r="AD1830" s="4" t="s">
        <v>31218</v>
      </c>
      <c r="AE1830" s="4" t="s">
        <v>31219</v>
      </c>
      <c r="AF1830" s="4"/>
      <c r="AG1830" s="4" t="n">
        <v>21</v>
      </c>
      <c r="AH1830" s="4" t="n">
        <v>1</v>
      </c>
      <c r="AI1830" s="4" t="n">
        <v>1</v>
      </c>
      <c r="AJ1830" s="4" t="n">
        <v>4</v>
      </c>
      <c r="AK1830" s="4" t="n">
        <v>4</v>
      </c>
      <c r="AL1830" s="4" t="s">
        <v>7073</v>
      </c>
      <c r="AM1830" s="4" t="s">
        <v>31220</v>
      </c>
      <c r="AN1830" s="4" t="s">
        <v>31221</v>
      </c>
      <c r="AO1830" s="4" t="s">
        <v>7076</v>
      </c>
      <c r="AP1830" s="4" t="s">
        <v>7291</v>
      </c>
      <c r="AQ1830" s="4"/>
      <c r="AR1830" s="4" t="s">
        <v>7060</v>
      </c>
      <c r="AS1830" s="4" t="s">
        <v>601</v>
      </c>
      <c r="AT1830" s="4" t="s">
        <v>486</v>
      </c>
      <c r="AU1830" s="4" t="n">
        <v>2024</v>
      </c>
      <c r="AV1830" s="4" t="n">
        <v>153</v>
      </c>
      <c r="AW1830" s="4" t="n">
        <v>6</v>
      </c>
      <c r="AX1830" s="4"/>
      <c r="AY1830" s="4"/>
      <c r="AZ1830" s="4"/>
      <c r="BA1830" s="4"/>
      <c r="BB1830" s="4"/>
      <c r="BC1830" s="4"/>
      <c r="BD1830" s="4" t="s">
        <v>31222</v>
      </c>
      <c r="BE1830" s="4" t="s">
        <v>31223</v>
      </c>
      <c r="BF1830" s="4" t="str">
        <f aca="false">HYPERLINK("http://dx.doi.org/10.1542/peds.2023-064748","http://dx.doi.org/10.1542/peds.2023-064748")</f>
        <v>http://dx.doi.org/10.1542/peds.2023-064748</v>
      </c>
      <c r="BG1830" s="4"/>
      <c r="BH1830" s="4"/>
      <c r="BI1830" s="4" t="n">
        <v>9</v>
      </c>
      <c r="BJ1830" s="4" t="s">
        <v>601</v>
      </c>
      <c r="BK1830" s="4" t="s">
        <v>100</v>
      </c>
      <c r="BL1830" s="4" t="s">
        <v>601</v>
      </c>
      <c r="BM1830" s="4" t="s">
        <v>31224</v>
      </c>
      <c r="BN1830" s="4" t="n">
        <v>38738290</v>
      </c>
      <c r="BO1830" s="4" t="s">
        <v>2278</v>
      </c>
      <c r="BP1830" s="4"/>
      <c r="BQ1830" s="4"/>
      <c r="BR1830" s="4" t="s">
        <v>104</v>
      </c>
      <c r="BS1830" s="4" t="s">
        <v>31225</v>
      </c>
      <c r="BT1830" s="4" t="str">
        <f aca="false">HYPERLINK("https%3A%2F%2Fwww.webofscience.com%2Fwos%2Fwoscc%2Ffull-record%2FWOS:001250462400022","View Full Record in Web of Science")</f>
        <v>View Full Record in Web of Science</v>
      </c>
    </row>
    <row r="1831" s="5" customFormat="true" ht="12.75" hidden="false" customHeight="false" outlineLevel="0" collapsed="false">
      <c r="A1831" s="4" t="s">
        <v>72</v>
      </c>
      <c r="B1831" s="4" t="s">
        <v>31226</v>
      </c>
      <c r="C1831" s="4"/>
      <c r="D1831" s="4"/>
      <c r="E1831" s="4"/>
      <c r="F1831" s="4" t="s">
        <v>31226</v>
      </c>
      <c r="G1831" s="4"/>
      <c r="H1831" s="4"/>
      <c r="I1831" s="4" t="s">
        <v>31227</v>
      </c>
      <c r="J1831" s="4" t="s">
        <v>742</v>
      </c>
      <c r="K1831" s="4"/>
      <c r="L1831" s="4"/>
      <c r="M1831" s="4" t="s">
        <v>77</v>
      </c>
      <c r="N1831" s="4" t="s">
        <v>78</v>
      </c>
      <c r="O1831" s="4"/>
      <c r="P1831" s="4"/>
      <c r="Q1831" s="4"/>
      <c r="R1831" s="4"/>
      <c r="S1831" s="4"/>
      <c r="T1831" s="1" t="s">
        <v>31228</v>
      </c>
      <c r="U1831" s="4" t="s">
        <v>31229</v>
      </c>
      <c r="V1831" s="4" t="s">
        <v>31230</v>
      </c>
      <c r="W1831" s="4" t="s">
        <v>31231</v>
      </c>
      <c r="X1831" s="4" t="s">
        <v>31232</v>
      </c>
      <c r="Y1831" s="4" t="s">
        <v>7618</v>
      </c>
      <c r="Z1831" s="4" t="s">
        <v>31233</v>
      </c>
      <c r="AA1831" s="4"/>
      <c r="AB1831" s="4" t="s">
        <v>6166</v>
      </c>
      <c r="AC1831" s="4"/>
      <c r="AD1831" s="4"/>
      <c r="AE1831" s="4"/>
      <c r="AF1831" s="4"/>
      <c r="AG1831" s="4" t="n">
        <v>66</v>
      </c>
      <c r="AH1831" s="4" t="n">
        <v>45</v>
      </c>
      <c r="AI1831" s="4" t="n">
        <v>62</v>
      </c>
      <c r="AJ1831" s="4" t="n">
        <v>0</v>
      </c>
      <c r="AK1831" s="4" t="n">
        <v>1</v>
      </c>
      <c r="AL1831" s="4" t="s">
        <v>755</v>
      </c>
      <c r="AM1831" s="4" t="s">
        <v>273</v>
      </c>
      <c r="AN1831" s="4" t="s">
        <v>756</v>
      </c>
      <c r="AO1831" s="4" t="s">
        <v>757</v>
      </c>
      <c r="AP1831" s="4" t="s">
        <v>758</v>
      </c>
      <c r="AQ1831" s="4"/>
      <c r="AR1831" s="4" t="s">
        <v>759</v>
      </c>
      <c r="AS1831" s="4" t="s">
        <v>760</v>
      </c>
      <c r="AT1831" s="4" t="s">
        <v>185</v>
      </c>
      <c r="AU1831" s="4" t="n">
        <v>2005</v>
      </c>
      <c r="AV1831" s="4" t="n">
        <v>79</v>
      </c>
      <c r="AW1831" s="4" t="n">
        <v>16</v>
      </c>
      <c r="AX1831" s="4"/>
      <c r="AY1831" s="4"/>
      <c r="AZ1831" s="4"/>
      <c r="BA1831" s="4"/>
      <c r="BB1831" s="4" t="n">
        <v>10678</v>
      </c>
      <c r="BC1831" s="4" t="n">
        <v>10689</v>
      </c>
      <c r="BD1831" s="4"/>
      <c r="BE1831" s="4" t="s">
        <v>31234</v>
      </c>
      <c r="BF1831" s="4" t="str">
        <f aca="false">HYPERLINK("http://dx.doi.org/10.1128/JVI.79.16.10678-10689.2005","http://dx.doi.org/10.1128/JVI.79.16.10678-10689.2005")</f>
        <v>http://dx.doi.org/10.1128/JVI.79.16.10678-10689.2005</v>
      </c>
      <c r="BG1831" s="4"/>
      <c r="BH1831" s="4"/>
      <c r="BI1831" s="4" t="n">
        <v>12</v>
      </c>
      <c r="BJ1831" s="4" t="s">
        <v>163</v>
      </c>
      <c r="BK1831" s="4" t="s">
        <v>100</v>
      </c>
      <c r="BL1831" s="4" t="s">
        <v>163</v>
      </c>
      <c r="BM1831" s="4" t="s">
        <v>31235</v>
      </c>
      <c r="BN1831" s="4" t="n">
        <v>16051860</v>
      </c>
      <c r="BO1831" s="4" t="s">
        <v>165</v>
      </c>
      <c r="BP1831" s="4"/>
      <c r="BQ1831" s="4"/>
      <c r="BR1831" s="4" t="s">
        <v>104</v>
      </c>
      <c r="BS1831" s="4" t="s">
        <v>31236</v>
      </c>
      <c r="BT1831" s="4" t="str">
        <f aca="false">HYPERLINK("https%3A%2F%2Fwww.webofscience.com%2Fwos%2Fwoscc%2Ffull-record%2FWOS:000230884700058","View Full Record in Web of Science")</f>
        <v>View Full Record in Web of Science</v>
      </c>
    </row>
    <row r="1832" s="5" customFormat="true" ht="12.75" hidden="false" customHeight="false" outlineLevel="0" collapsed="false">
      <c r="A1832" s="4" t="s">
        <v>72</v>
      </c>
      <c r="B1832" s="4" t="s">
        <v>31237</v>
      </c>
      <c r="C1832" s="4"/>
      <c r="D1832" s="4"/>
      <c r="E1832" s="4"/>
      <c r="F1832" s="4" t="s">
        <v>31237</v>
      </c>
      <c r="G1832" s="4"/>
      <c r="H1832" s="4"/>
      <c r="I1832" s="4" t="s">
        <v>31238</v>
      </c>
      <c r="J1832" s="4" t="s">
        <v>4895</v>
      </c>
      <c r="K1832" s="4"/>
      <c r="L1832" s="4"/>
      <c r="M1832" s="4" t="s">
        <v>77</v>
      </c>
      <c r="N1832" s="4" t="s">
        <v>78</v>
      </c>
      <c r="O1832" s="4"/>
      <c r="P1832" s="4"/>
      <c r="Q1832" s="4"/>
      <c r="R1832" s="4"/>
      <c r="S1832" s="4"/>
      <c r="T1832" s="1" t="s">
        <v>31239</v>
      </c>
      <c r="U1832" s="4" t="s">
        <v>31240</v>
      </c>
      <c r="V1832" s="4" t="s">
        <v>31241</v>
      </c>
      <c r="W1832" s="4" t="s">
        <v>31242</v>
      </c>
      <c r="X1832" s="4"/>
      <c r="Y1832" s="4" t="s">
        <v>31243</v>
      </c>
      <c r="Z1832" s="4" t="s">
        <v>31244</v>
      </c>
      <c r="AA1832" s="4"/>
      <c r="AB1832" s="4"/>
      <c r="AC1832" s="4"/>
      <c r="AD1832" s="4"/>
      <c r="AE1832" s="4"/>
      <c r="AF1832" s="4"/>
      <c r="AG1832" s="4" t="n">
        <v>9</v>
      </c>
      <c r="AH1832" s="4" t="n">
        <v>23</v>
      </c>
      <c r="AI1832" s="4" t="n">
        <v>25</v>
      </c>
      <c r="AJ1832" s="4" t="n">
        <v>0</v>
      </c>
      <c r="AK1832" s="4" t="n">
        <v>0</v>
      </c>
      <c r="AL1832" s="4" t="s">
        <v>592</v>
      </c>
      <c r="AM1832" s="4" t="s">
        <v>593</v>
      </c>
      <c r="AN1832" s="4" t="s">
        <v>16163</v>
      </c>
      <c r="AO1832" s="4" t="s">
        <v>4905</v>
      </c>
      <c r="AP1832" s="4"/>
      <c r="AQ1832" s="4"/>
      <c r="AR1832" s="4" t="s">
        <v>4907</v>
      </c>
      <c r="AS1832" s="4" t="s">
        <v>4908</v>
      </c>
      <c r="AT1832" s="4" t="s">
        <v>97</v>
      </c>
      <c r="AU1832" s="4" t="n">
        <v>2006</v>
      </c>
      <c r="AV1832" s="4" t="n">
        <v>25</v>
      </c>
      <c r="AW1832" s="4" t="n">
        <v>3</v>
      </c>
      <c r="AX1832" s="4"/>
      <c r="AY1832" s="4"/>
      <c r="AZ1832" s="4"/>
      <c r="BA1832" s="4"/>
      <c r="BB1832" s="4" t="n">
        <v>190</v>
      </c>
      <c r="BC1832" s="4" t="n">
        <v>192</v>
      </c>
      <c r="BD1832" s="4"/>
      <c r="BE1832" s="4" t="s">
        <v>31245</v>
      </c>
      <c r="BF1832" s="4" t="str">
        <f aca="false">HYPERLINK("http://dx.doi.org/10.1007/s10096-006-0116-0","http://dx.doi.org/10.1007/s10096-006-0116-0")</f>
        <v>http://dx.doi.org/10.1007/s10096-006-0116-0</v>
      </c>
      <c r="BG1832" s="4"/>
      <c r="BH1832" s="4"/>
      <c r="BI1832" s="4" t="n">
        <v>3</v>
      </c>
      <c r="BJ1832" s="4" t="s">
        <v>1467</v>
      </c>
      <c r="BK1832" s="4" t="s">
        <v>100</v>
      </c>
      <c r="BL1832" s="4" t="s">
        <v>1467</v>
      </c>
      <c r="BM1832" s="4" t="s">
        <v>31246</v>
      </c>
      <c r="BN1832" s="4" t="n">
        <v>16534565</v>
      </c>
      <c r="BO1832" s="4" t="s">
        <v>1267</v>
      </c>
      <c r="BP1832" s="4"/>
      <c r="BQ1832" s="4"/>
      <c r="BR1832" s="4" t="s">
        <v>104</v>
      </c>
      <c r="BS1832" s="4" t="s">
        <v>31247</v>
      </c>
      <c r="BT1832" s="4" t="str">
        <f aca="false">HYPERLINK("https%3A%2F%2Fwww.webofscience.com%2Fwos%2Fwoscc%2Ffull-record%2FWOS:000236092900007","View Full Record in Web of Science")</f>
        <v>View Full Record in Web of Science</v>
      </c>
    </row>
    <row r="1833" s="5" customFormat="true" ht="12.75" hidden="false" customHeight="false" outlineLevel="0" collapsed="false">
      <c r="A1833" s="4" t="s">
        <v>72</v>
      </c>
      <c r="B1833" s="4" t="s">
        <v>31248</v>
      </c>
      <c r="C1833" s="4"/>
      <c r="D1833" s="4"/>
      <c r="E1833" s="4"/>
      <c r="F1833" s="4" t="s">
        <v>31248</v>
      </c>
      <c r="G1833" s="4"/>
      <c r="H1833" s="4"/>
      <c r="I1833" s="4" t="s">
        <v>31249</v>
      </c>
      <c r="J1833" s="4" t="s">
        <v>29055</v>
      </c>
      <c r="K1833" s="4"/>
      <c r="L1833" s="4"/>
      <c r="M1833" s="4" t="s">
        <v>77</v>
      </c>
      <c r="N1833" s="4" t="s">
        <v>78</v>
      </c>
      <c r="O1833" s="4"/>
      <c r="P1833" s="4"/>
      <c r="Q1833" s="4"/>
      <c r="R1833" s="4"/>
      <c r="S1833" s="4"/>
      <c r="T1833" s="1" t="s">
        <v>31250</v>
      </c>
      <c r="U1833" s="4" t="s">
        <v>31251</v>
      </c>
      <c r="V1833" s="4" t="s">
        <v>31252</v>
      </c>
      <c r="W1833" s="4" t="s">
        <v>31253</v>
      </c>
      <c r="X1833" s="4" t="s">
        <v>31254</v>
      </c>
      <c r="Y1833" s="4" t="s">
        <v>31255</v>
      </c>
      <c r="Z1833" s="4" t="s">
        <v>31256</v>
      </c>
      <c r="AA1833" s="4" t="s">
        <v>31257</v>
      </c>
      <c r="AB1833" s="4" t="s">
        <v>31258</v>
      </c>
      <c r="AC1833" s="4"/>
      <c r="AD1833" s="4"/>
      <c r="AE1833" s="4"/>
      <c r="AF1833" s="4"/>
      <c r="AG1833" s="4" t="n">
        <v>43</v>
      </c>
      <c r="AH1833" s="4" t="n">
        <v>100</v>
      </c>
      <c r="AI1833" s="4" t="n">
        <v>107</v>
      </c>
      <c r="AJ1833" s="4" t="n">
        <v>0</v>
      </c>
      <c r="AK1833" s="4" t="n">
        <v>3</v>
      </c>
      <c r="AL1833" s="4" t="s">
        <v>1460</v>
      </c>
      <c r="AM1833" s="4" t="s">
        <v>593</v>
      </c>
      <c r="AN1833" s="4" t="s">
        <v>1461</v>
      </c>
      <c r="AO1833" s="4" t="s">
        <v>29064</v>
      </c>
      <c r="AP1833" s="4"/>
      <c r="AQ1833" s="4"/>
      <c r="AR1833" s="4" t="s">
        <v>29065</v>
      </c>
      <c r="AS1833" s="4" t="s">
        <v>29066</v>
      </c>
      <c r="AT1833" s="4" t="s">
        <v>804</v>
      </c>
      <c r="AU1833" s="4" t="n">
        <v>2005</v>
      </c>
      <c r="AV1833" s="4" t="n">
        <v>24</v>
      </c>
      <c r="AW1833" s="4" t="n">
        <v>11</v>
      </c>
      <c r="AX1833" s="4"/>
      <c r="AY1833" s="4"/>
      <c r="AZ1833" s="4"/>
      <c r="BA1833" s="4"/>
      <c r="BB1833" s="4" t="n">
        <v>1891</v>
      </c>
      <c r="BC1833" s="4" t="n">
        <v>1901</v>
      </c>
      <c r="BD1833" s="4"/>
      <c r="BE1833" s="4" t="s">
        <v>31259</v>
      </c>
      <c r="BF1833" s="4" t="str">
        <f aca="false">HYPERLINK("http://dx.doi.org/10.1016/j.healun.2005.02.014","http://dx.doi.org/10.1016/j.healun.2005.02.014")</f>
        <v>http://dx.doi.org/10.1016/j.healun.2005.02.014</v>
      </c>
      <c r="BG1833" s="4"/>
      <c r="BH1833" s="4"/>
      <c r="BI1833" s="4" t="n">
        <v>11</v>
      </c>
      <c r="BJ1833" s="4" t="s">
        <v>29068</v>
      </c>
      <c r="BK1833" s="4" t="s">
        <v>100</v>
      </c>
      <c r="BL1833" s="4" t="s">
        <v>29069</v>
      </c>
      <c r="BM1833" s="4" t="s">
        <v>31260</v>
      </c>
      <c r="BN1833" s="4" t="n">
        <v>16297797</v>
      </c>
      <c r="BO1833" s="4"/>
      <c r="BP1833" s="4"/>
      <c r="BQ1833" s="4"/>
      <c r="BR1833" s="4" t="s">
        <v>104</v>
      </c>
      <c r="BS1833" s="4" t="s">
        <v>31261</v>
      </c>
      <c r="BT1833" s="4" t="str">
        <f aca="false">HYPERLINK("https%3A%2F%2Fwww.webofscience.com%2Fwos%2Fwoscc%2Ffull-record%2FWOS:000233412300029","View Full Record in Web of Science")</f>
        <v>View Full Record in Web of Science</v>
      </c>
    </row>
    <row r="1834" s="5" customFormat="true" ht="12.75" hidden="false" customHeight="false" outlineLevel="0" collapsed="false">
      <c r="A1834" s="4" t="s">
        <v>72</v>
      </c>
      <c r="B1834" s="4" t="s">
        <v>31262</v>
      </c>
      <c r="C1834" s="4"/>
      <c r="D1834" s="4"/>
      <c r="E1834" s="4"/>
      <c r="F1834" s="4" t="s">
        <v>31263</v>
      </c>
      <c r="G1834" s="4"/>
      <c r="H1834" s="4"/>
      <c r="I1834" s="4" t="s">
        <v>31264</v>
      </c>
      <c r="J1834" s="4" t="s">
        <v>27497</v>
      </c>
      <c r="K1834" s="4"/>
      <c r="L1834" s="4"/>
      <c r="M1834" s="4" t="s">
        <v>77</v>
      </c>
      <c r="N1834" s="4" t="s">
        <v>78</v>
      </c>
      <c r="O1834" s="4"/>
      <c r="P1834" s="4"/>
      <c r="Q1834" s="4"/>
      <c r="R1834" s="4"/>
      <c r="S1834" s="4"/>
      <c r="T1834" s="1" t="s">
        <v>31265</v>
      </c>
      <c r="U1834" s="4" t="s">
        <v>31266</v>
      </c>
      <c r="V1834" s="4" t="s">
        <v>31267</v>
      </c>
      <c r="W1834" s="4" t="s">
        <v>31268</v>
      </c>
      <c r="X1834" s="4" t="s">
        <v>31269</v>
      </c>
      <c r="Y1834" s="4" t="s">
        <v>31270</v>
      </c>
      <c r="Z1834" s="4" t="s">
        <v>31271</v>
      </c>
      <c r="AA1834" s="4" t="s">
        <v>31272</v>
      </c>
      <c r="AB1834" s="4" t="s">
        <v>31273</v>
      </c>
      <c r="AC1834" s="4" t="s">
        <v>31274</v>
      </c>
      <c r="AD1834" s="4" t="s">
        <v>11195</v>
      </c>
      <c r="AE1834" s="4" t="s">
        <v>31275</v>
      </c>
      <c r="AF1834" s="4"/>
      <c r="AG1834" s="4" t="n">
        <v>41</v>
      </c>
      <c r="AH1834" s="4" t="n">
        <v>11</v>
      </c>
      <c r="AI1834" s="4" t="n">
        <v>16</v>
      </c>
      <c r="AJ1834" s="4" t="n">
        <v>0</v>
      </c>
      <c r="AK1834" s="4" t="n">
        <v>6</v>
      </c>
      <c r="AL1834" s="4" t="s">
        <v>27506</v>
      </c>
      <c r="AM1834" s="4" t="s">
        <v>27507</v>
      </c>
      <c r="AN1834" s="4" t="s">
        <v>27508</v>
      </c>
      <c r="AO1834" s="4" t="s">
        <v>27509</v>
      </c>
      <c r="AP1834" s="4"/>
      <c r="AQ1834" s="4"/>
      <c r="AR1834" s="4" t="s">
        <v>27497</v>
      </c>
      <c r="AS1834" s="4" t="s">
        <v>27510</v>
      </c>
      <c r="AT1834" s="4" t="s">
        <v>31276</v>
      </c>
      <c r="AU1834" s="4" t="n">
        <v>2016</v>
      </c>
      <c r="AV1834" s="4" t="n">
        <v>11</v>
      </c>
      <c r="AW1834" s="4" t="n">
        <v>5</v>
      </c>
      <c r="AX1834" s="4"/>
      <c r="AY1834" s="4"/>
      <c r="AZ1834" s="4"/>
      <c r="BA1834" s="4"/>
      <c r="BB1834" s="4"/>
      <c r="BC1834" s="4"/>
      <c r="BD1834" s="4" t="s">
        <v>31277</v>
      </c>
      <c r="BE1834" s="4" t="s">
        <v>31278</v>
      </c>
      <c r="BF1834" s="4" t="str">
        <f aca="false">HYPERLINK("http://dx.doi.org/10.1371/journal.pone.0155917","http://dx.doi.org/10.1371/journal.pone.0155917")</f>
        <v>http://dx.doi.org/10.1371/journal.pone.0155917</v>
      </c>
      <c r="BG1834" s="4"/>
      <c r="BH1834" s="4"/>
      <c r="BI1834" s="4" t="n">
        <v>17</v>
      </c>
      <c r="BJ1834" s="4" t="s">
        <v>1658</v>
      </c>
      <c r="BK1834" s="4" t="s">
        <v>100</v>
      </c>
      <c r="BL1834" s="4" t="s">
        <v>1659</v>
      </c>
      <c r="BM1834" s="4" t="s">
        <v>31279</v>
      </c>
      <c r="BN1834" s="4" t="n">
        <v>27224013</v>
      </c>
      <c r="BO1834" s="4" t="s">
        <v>103</v>
      </c>
      <c r="BP1834" s="4"/>
      <c r="BQ1834" s="4"/>
      <c r="BR1834" s="4" t="s">
        <v>104</v>
      </c>
      <c r="BS1834" s="4" t="s">
        <v>31280</v>
      </c>
      <c r="BT1834" s="4" t="str">
        <f aca="false">HYPERLINK("https%3A%2F%2Fwww.webofscience.com%2Fwos%2Fwoscc%2Ffull-record%2FWOS:000376881700040","View Full Record in Web of Science")</f>
        <v>View Full Record in Web of Science</v>
      </c>
    </row>
    <row r="1835" s="5" customFormat="true" ht="12.75" hidden="false" customHeight="false" outlineLevel="0" collapsed="false">
      <c r="A1835" s="4" t="s">
        <v>72</v>
      </c>
      <c r="B1835" s="4" t="s">
        <v>31281</v>
      </c>
      <c r="C1835" s="4"/>
      <c r="D1835" s="4"/>
      <c r="E1835" s="4"/>
      <c r="F1835" s="4" t="s">
        <v>31282</v>
      </c>
      <c r="G1835" s="4"/>
      <c r="H1835" s="4"/>
      <c r="I1835" s="4" t="s">
        <v>31283</v>
      </c>
      <c r="J1835" s="4" t="s">
        <v>2222</v>
      </c>
      <c r="K1835" s="4"/>
      <c r="L1835" s="4"/>
      <c r="M1835" s="4" t="s">
        <v>77</v>
      </c>
      <c r="N1835" s="4" t="s">
        <v>78</v>
      </c>
      <c r="O1835" s="4"/>
      <c r="P1835" s="4"/>
      <c r="Q1835" s="4"/>
      <c r="R1835" s="4"/>
      <c r="S1835" s="4"/>
      <c r="T1835" s="1" t="s">
        <v>31284</v>
      </c>
      <c r="U1835" s="4" t="s">
        <v>31285</v>
      </c>
      <c r="V1835" s="4" t="s">
        <v>31286</v>
      </c>
      <c r="W1835" s="4" t="s">
        <v>31287</v>
      </c>
      <c r="X1835" s="4" t="s">
        <v>31288</v>
      </c>
      <c r="Y1835" s="4" t="s">
        <v>31289</v>
      </c>
      <c r="Z1835" s="4" t="s">
        <v>31290</v>
      </c>
      <c r="AA1835" s="4"/>
      <c r="AB1835" s="4"/>
      <c r="AC1835" s="4"/>
      <c r="AD1835" s="4"/>
      <c r="AE1835" s="4"/>
      <c r="AF1835" s="4"/>
      <c r="AG1835" s="4" t="n">
        <v>34</v>
      </c>
      <c r="AH1835" s="4" t="n">
        <v>17</v>
      </c>
      <c r="AI1835" s="4" t="n">
        <v>17</v>
      </c>
      <c r="AJ1835" s="4" t="n">
        <v>4</v>
      </c>
      <c r="AK1835" s="4" t="n">
        <v>5</v>
      </c>
      <c r="AL1835" s="4" t="s">
        <v>755</v>
      </c>
      <c r="AM1835" s="4" t="s">
        <v>273</v>
      </c>
      <c r="AN1835" s="4" t="s">
        <v>756</v>
      </c>
      <c r="AO1835" s="4" t="s">
        <v>2234</v>
      </c>
      <c r="AP1835" s="4" t="s">
        <v>2235</v>
      </c>
      <c r="AQ1835" s="4"/>
      <c r="AR1835" s="4" t="s">
        <v>2236</v>
      </c>
      <c r="AS1835" s="4" t="s">
        <v>2237</v>
      </c>
      <c r="AT1835" s="4" t="s">
        <v>692</v>
      </c>
      <c r="AU1835" s="4" t="n">
        <v>2008</v>
      </c>
      <c r="AV1835" s="4" t="n">
        <v>46</v>
      </c>
      <c r="AW1835" s="4" t="n">
        <v>4</v>
      </c>
      <c r="AX1835" s="4"/>
      <c r="AY1835" s="4"/>
      <c r="AZ1835" s="4"/>
      <c r="BA1835" s="4"/>
      <c r="BB1835" s="4" t="n">
        <v>1274</v>
      </c>
      <c r="BC1835" s="4" t="n">
        <v>1280</v>
      </c>
      <c r="BD1835" s="4"/>
      <c r="BE1835" s="4" t="s">
        <v>31291</v>
      </c>
      <c r="BF1835" s="4" t="str">
        <f aca="false">HYPERLINK("http://dx.doi.org/10.1128/JCM.01567-07","http://dx.doi.org/10.1128/JCM.01567-07")</f>
        <v>http://dx.doi.org/10.1128/JCM.01567-07</v>
      </c>
      <c r="BG1835" s="4"/>
      <c r="BH1835" s="4"/>
      <c r="BI1835" s="4" t="n">
        <v>7</v>
      </c>
      <c r="BJ1835" s="4" t="s">
        <v>211</v>
      </c>
      <c r="BK1835" s="4" t="s">
        <v>100</v>
      </c>
      <c r="BL1835" s="4" t="s">
        <v>211</v>
      </c>
      <c r="BM1835" s="4" t="s">
        <v>31292</v>
      </c>
      <c r="BN1835" s="4" t="n">
        <v>18272716</v>
      </c>
      <c r="BO1835" s="4" t="s">
        <v>165</v>
      </c>
      <c r="BP1835" s="4"/>
      <c r="BQ1835" s="4"/>
      <c r="BR1835" s="4" t="s">
        <v>104</v>
      </c>
      <c r="BS1835" s="4" t="s">
        <v>31293</v>
      </c>
      <c r="BT1835" s="4" t="str">
        <f aca="false">HYPERLINK("https%3A%2F%2Fwww.webofscience.com%2Fwos%2Fwoscc%2Ffull-record%2FWOS:000254866400018","View Full Record in Web of Science")</f>
        <v>View Full Record in Web of Science</v>
      </c>
    </row>
    <row r="1836" s="5" customFormat="true" ht="12.75" hidden="false" customHeight="false" outlineLevel="0" collapsed="false">
      <c r="A1836" s="4" t="s">
        <v>72</v>
      </c>
      <c r="B1836" s="4" t="s">
        <v>31294</v>
      </c>
      <c r="C1836" s="4"/>
      <c r="D1836" s="4"/>
      <c r="E1836" s="4"/>
      <c r="F1836" s="4" t="s">
        <v>31294</v>
      </c>
      <c r="G1836" s="4"/>
      <c r="H1836" s="4"/>
      <c r="I1836" s="4" t="s">
        <v>31295</v>
      </c>
      <c r="J1836" s="4" t="s">
        <v>742</v>
      </c>
      <c r="K1836" s="4"/>
      <c r="L1836" s="4"/>
      <c r="M1836" s="4" t="s">
        <v>77</v>
      </c>
      <c r="N1836" s="4" t="s">
        <v>78</v>
      </c>
      <c r="O1836" s="4"/>
      <c r="P1836" s="4"/>
      <c r="Q1836" s="4"/>
      <c r="R1836" s="4"/>
      <c r="S1836" s="4"/>
      <c r="T1836" s="1" t="s">
        <v>31296</v>
      </c>
      <c r="U1836" s="4" t="s">
        <v>31297</v>
      </c>
      <c r="V1836" s="4" t="s">
        <v>31298</v>
      </c>
      <c r="W1836" s="4" t="s">
        <v>31299</v>
      </c>
      <c r="X1836" s="4" t="s">
        <v>5772</v>
      </c>
      <c r="Y1836" s="4" t="s">
        <v>19441</v>
      </c>
      <c r="Z1836" s="4" t="s">
        <v>19442</v>
      </c>
      <c r="AA1836" s="4" t="s">
        <v>2617</v>
      </c>
      <c r="AB1836" s="4" t="s">
        <v>21117</v>
      </c>
      <c r="AC1836" s="4" t="s">
        <v>31300</v>
      </c>
      <c r="AD1836" s="4" t="s">
        <v>2416</v>
      </c>
      <c r="AE1836" s="4"/>
      <c r="AF1836" s="4"/>
      <c r="AG1836" s="4" t="n">
        <v>61</v>
      </c>
      <c r="AH1836" s="4" t="n">
        <v>105</v>
      </c>
      <c r="AI1836" s="4" t="n">
        <v>116</v>
      </c>
      <c r="AJ1836" s="4" t="n">
        <v>0</v>
      </c>
      <c r="AK1836" s="4" t="n">
        <v>11</v>
      </c>
      <c r="AL1836" s="4" t="s">
        <v>755</v>
      </c>
      <c r="AM1836" s="4" t="s">
        <v>273</v>
      </c>
      <c r="AN1836" s="4" t="s">
        <v>756</v>
      </c>
      <c r="AO1836" s="4" t="s">
        <v>757</v>
      </c>
      <c r="AP1836" s="4" t="s">
        <v>758</v>
      </c>
      <c r="AQ1836" s="4"/>
      <c r="AR1836" s="4" t="s">
        <v>759</v>
      </c>
      <c r="AS1836" s="4" t="s">
        <v>760</v>
      </c>
      <c r="AT1836" s="4" t="s">
        <v>185</v>
      </c>
      <c r="AU1836" s="4" t="n">
        <v>2005</v>
      </c>
      <c r="AV1836" s="4" t="n">
        <v>79</v>
      </c>
      <c r="AW1836" s="4" t="n">
        <v>16</v>
      </c>
      <c r="AX1836" s="4"/>
      <c r="AY1836" s="4"/>
      <c r="AZ1836" s="4"/>
      <c r="BA1836" s="4"/>
      <c r="BB1836" s="4" t="n">
        <v>10190</v>
      </c>
      <c r="BC1836" s="4" t="n">
        <v>10199</v>
      </c>
      <c r="BD1836" s="4"/>
      <c r="BE1836" s="4" t="s">
        <v>31301</v>
      </c>
      <c r="BF1836" s="4" t="str">
        <f aca="false">HYPERLINK("http://dx.doi.org/10.1128/JVI.79.16.10190-10199.2005","http://dx.doi.org/10.1128/JVI.79.16.10190-10199.2005")</f>
        <v>http://dx.doi.org/10.1128/JVI.79.16.10190-10199.2005</v>
      </c>
      <c r="BG1836" s="4"/>
      <c r="BH1836" s="4"/>
      <c r="BI1836" s="4" t="n">
        <v>10</v>
      </c>
      <c r="BJ1836" s="4" t="s">
        <v>163</v>
      </c>
      <c r="BK1836" s="4" t="s">
        <v>100</v>
      </c>
      <c r="BL1836" s="4" t="s">
        <v>163</v>
      </c>
      <c r="BM1836" s="4" t="s">
        <v>31235</v>
      </c>
      <c r="BN1836" s="4" t="n">
        <v>16051812</v>
      </c>
      <c r="BO1836" s="4" t="s">
        <v>165</v>
      </c>
      <c r="BP1836" s="4"/>
      <c r="BQ1836" s="4"/>
      <c r="BR1836" s="4" t="s">
        <v>104</v>
      </c>
      <c r="BS1836" s="4" t="s">
        <v>31302</v>
      </c>
      <c r="BT1836" s="4" t="str">
        <f aca="false">HYPERLINK("https%3A%2F%2Fwww.webofscience.com%2Fwos%2Fwoscc%2Ffull-record%2FWOS:000230884700010","View Full Record in Web of Science")</f>
        <v>View Full Record in Web of Science</v>
      </c>
    </row>
    <row r="1837" s="5" customFormat="true" ht="12.75" hidden="false" customHeight="false" outlineLevel="0" collapsed="false">
      <c r="A1837" s="4" t="s">
        <v>72</v>
      </c>
      <c r="B1837" s="4" t="s">
        <v>31303</v>
      </c>
      <c r="C1837" s="4"/>
      <c r="D1837" s="4"/>
      <c r="E1837" s="4"/>
      <c r="F1837" s="4" t="s">
        <v>31304</v>
      </c>
      <c r="G1837" s="4"/>
      <c r="H1837" s="4"/>
      <c r="I1837" s="4" t="s">
        <v>31305</v>
      </c>
      <c r="J1837" s="4" t="s">
        <v>31306</v>
      </c>
      <c r="K1837" s="4"/>
      <c r="L1837" s="4"/>
      <c r="M1837" s="4" t="s">
        <v>77</v>
      </c>
      <c r="N1837" s="4" t="s">
        <v>78</v>
      </c>
      <c r="O1837" s="4"/>
      <c r="P1837" s="4"/>
      <c r="Q1837" s="4"/>
      <c r="R1837" s="4"/>
      <c r="S1837" s="4"/>
      <c r="T1837" s="1" t="s">
        <v>31307</v>
      </c>
      <c r="U1837" s="4" t="s">
        <v>31308</v>
      </c>
      <c r="V1837" s="4" t="s">
        <v>31309</v>
      </c>
      <c r="W1837" s="4" t="s">
        <v>31310</v>
      </c>
      <c r="X1837" s="4" t="s">
        <v>31311</v>
      </c>
      <c r="Y1837" s="4" t="s">
        <v>31312</v>
      </c>
      <c r="Z1837" s="4" t="s">
        <v>31313</v>
      </c>
      <c r="AA1837" s="4"/>
      <c r="AB1837" s="4" t="s">
        <v>31314</v>
      </c>
      <c r="AC1837" s="4"/>
      <c r="AD1837" s="4"/>
      <c r="AE1837" s="4"/>
      <c r="AF1837" s="4"/>
      <c r="AG1837" s="4" t="n">
        <v>49</v>
      </c>
      <c r="AH1837" s="4" t="n">
        <v>12</v>
      </c>
      <c r="AI1837" s="4" t="n">
        <v>12</v>
      </c>
      <c r="AJ1837" s="4" t="n">
        <v>2</v>
      </c>
      <c r="AK1837" s="4" t="n">
        <v>10</v>
      </c>
      <c r="AL1837" s="4" t="s">
        <v>6405</v>
      </c>
      <c r="AM1837" s="4" t="s">
        <v>6406</v>
      </c>
      <c r="AN1837" s="4" t="s">
        <v>6407</v>
      </c>
      <c r="AO1837" s="4"/>
      <c r="AP1837" s="4" t="s">
        <v>31315</v>
      </c>
      <c r="AQ1837" s="4"/>
      <c r="AR1837" s="4" t="s">
        <v>31316</v>
      </c>
      <c r="AS1837" s="4" t="s">
        <v>31317</v>
      </c>
      <c r="AT1837" s="4" t="s">
        <v>29864</v>
      </c>
      <c r="AU1837" s="4" t="n">
        <v>2023</v>
      </c>
      <c r="AV1837" s="4" t="n">
        <v>6</v>
      </c>
      <c r="AW1837" s="4" t="n">
        <v>1</v>
      </c>
      <c r="AX1837" s="4"/>
      <c r="AY1837" s="4"/>
      <c r="AZ1837" s="4"/>
      <c r="BA1837" s="4"/>
      <c r="BB1837" s="4"/>
      <c r="BC1837" s="4"/>
      <c r="BD1837" s="4" t="n">
        <v>649</v>
      </c>
      <c r="BE1837" s="4" t="s">
        <v>31318</v>
      </c>
      <c r="BF1837" s="4" t="str">
        <f aca="false">HYPERLINK("http://dx.doi.org/10.1038/s42003-023-04990-0","http://dx.doi.org/10.1038/s42003-023-04990-0")</f>
        <v>http://dx.doi.org/10.1038/s42003-023-04990-0</v>
      </c>
      <c r="BG1837" s="4"/>
      <c r="BH1837" s="4"/>
      <c r="BI1837" s="4" t="n">
        <v>12</v>
      </c>
      <c r="BJ1837" s="4" t="s">
        <v>31319</v>
      </c>
      <c r="BK1837" s="4" t="s">
        <v>100</v>
      </c>
      <c r="BL1837" s="4" t="s">
        <v>31320</v>
      </c>
      <c r="BM1837" s="4" t="s">
        <v>31321</v>
      </c>
      <c r="BN1837" s="4" t="n">
        <v>37337079</v>
      </c>
      <c r="BO1837" s="4" t="s">
        <v>103</v>
      </c>
      <c r="BP1837" s="4"/>
      <c r="BQ1837" s="4"/>
      <c r="BR1837" s="4" t="s">
        <v>104</v>
      </c>
      <c r="BS1837" s="4" t="s">
        <v>31322</v>
      </c>
      <c r="BT1837" s="4" t="str">
        <f aca="false">HYPERLINK("https%3A%2F%2Fwww.webofscience.com%2Fwos%2Fwoscc%2Ffull-record%2FWOS:001015069600001","View Full Record in Web of Science")</f>
        <v>View Full Record in Web of Science</v>
      </c>
    </row>
    <row r="1838" s="5" customFormat="true" ht="12.75" hidden="false" customHeight="false" outlineLevel="0" collapsed="false">
      <c r="A1838" s="4" t="s">
        <v>72</v>
      </c>
      <c r="B1838" s="4" t="s">
        <v>31323</v>
      </c>
      <c r="C1838" s="4"/>
      <c r="D1838" s="4"/>
      <c r="E1838" s="4"/>
      <c r="F1838" s="4" t="s">
        <v>31324</v>
      </c>
      <c r="G1838" s="4"/>
      <c r="H1838" s="4"/>
      <c r="I1838" s="4" t="s">
        <v>31325</v>
      </c>
      <c r="J1838" s="4" t="s">
        <v>27497</v>
      </c>
      <c r="K1838" s="4"/>
      <c r="L1838" s="4"/>
      <c r="M1838" s="4" t="s">
        <v>77</v>
      </c>
      <c r="N1838" s="4" t="s">
        <v>78</v>
      </c>
      <c r="O1838" s="4"/>
      <c r="P1838" s="4"/>
      <c r="Q1838" s="4"/>
      <c r="R1838" s="4"/>
      <c r="S1838" s="4"/>
      <c r="T1838" s="1" t="s">
        <v>31326</v>
      </c>
      <c r="U1838" s="4" t="s">
        <v>31327</v>
      </c>
      <c r="V1838" s="4" t="s">
        <v>31328</v>
      </c>
      <c r="W1838" s="4" t="s">
        <v>31329</v>
      </c>
      <c r="X1838" s="4" t="s">
        <v>2614</v>
      </c>
      <c r="Y1838" s="4" t="s">
        <v>27650</v>
      </c>
      <c r="Z1838" s="4" t="s">
        <v>31330</v>
      </c>
      <c r="AA1838" s="4" t="s">
        <v>31331</v>
      </c>
      <c r="AB1838" s="4"/>
      <c r="AC1838" s="4" t="s">
        <v>31332</v>
      </c>
      <c r="AD1838" s="4" t="s">
        <v>31333</v>
      </c>
      <c r="AE1838" s="4" t="s">
        <v>31334</v>
      </c>
      <c r="AF1838" s="4"/>
      <c r="AG1838" s="4" t="n">
        <v>44</v>
      </c>
      <c r="AH1838" s="4" t="n">
        <v>18</v>
      </c>
      <c r="AI1838" s="4" t="n">
        <v>27</v>
      </c>
      <c r="AJ1838" s="4" t="n">
        <v>0</v>
      </c>
      <c r="AK1838" s="4" t="n">
        <v>6</v>
      </c>
      <c r="AL1838" s="4" t="s">
        <v>27506</v>
      </c>
      <c r="AM1838" s="4" t="s">
        <v>27507</v>
      </c>
      <c r="AN1838" s="4" t="s">
        <v>27508</v>
      </c>
      <c r="AO1838" s="4" t="s">
        <v>27509</v>
      </c>
      <c r="AP1838" s="4"/>
      <c r="AQ1838" s="4"/>
      <c r="AR1838" s="4" t="s">
        <v>27497</v>
      </c>
      <c r="AS1838" s="4" t="s">
        <v>27510</v>
      </c>
      <c r="AT1838" s="4" t="s">
        <v>5778</v>
      </c>
      <c r="AU1838" s="4" t="n">
        <v>2013</v>
      </c>
      <c r="AV1838" s="4" t="n">
        <v>8</v>
      </c>
      <c r="AW1838" s="4" t="n">
        <v>4</v>
      </c>
      <c r="AX1838" s="4"/>
      <c r="AY1838" s="4"/>
      <c r="AZ1838" s="4"/>
      <c r="BA1838" s="4"/>
      <c r="BB1838" s="4"/>
      <c r="BC1838" s="4"/>
      <c r="BD1838" s="4" t="s">
        <v>31335</v>
      </c>
      <c r="BE1838" s="4" t="s">
        <v>31336</v>
      </c>
      <c r="BF1838" s="4" t="str">
        <f aca="false">HYPERLINK("http://dx.doi.org/10.1371/journal.pone.0062568","http://dx.doi.org/10.1371/journal.pone.0062568")</f>
        <v>http://dx.doi.org/10.1371/journal.pone.0062568</v>
      </c>
      <c r="BG1838" s="4"/>
      <c r="BH1838" s="4"/>
      <c r="BI1838" s="4" t="n">
        <v>9</v>
      </c>
      <c r="BJ1838" s="4" t="s">
        <v>1658</v>
      </c>
      <c r="BK1838" s="4" t="s">
        <v>100</v>
      </c>
      <c r="BL1838" s="4" t="s">
        <v>1659</v>
      </c>
      <c r="BM1838" s="4" t="s">
        <v>31337</v>
      </c>
      <c r="BN1838" s="4" t="n">
        <v>23626834</v>
      </c>
      <c r="BO1838" s="4" t="s">
        <v>6349</v>
      </c>
      <c r="BP1838" s="4"/>
      <c r="BQ1838" s="4"/>
      <c r="BR1838" s="4" t="s">
        <v>104</v>
      </c>
      <c r="BS1838" s="4" t="s">
        <v>31338</v>
      </c>
      <c r="BT1838" s="4" t="str">
        <f aca="false">HYPERLINK("https%3A%2F%2Fwww.webofscience.com%2Fwos%2Fwoscc%2Ffull-record%2FWOS:000318008400198","View Full Record in Web of Science")</f>
        <v>View Full Record in Web of Science</v>
      </c>
    </row>
    <row r="1839" s="5" customFormat="true" ht="12.75" hidden="false" customHeight="false" outlineLevel="0" collapsed="false">
      <c r="A1839" s="4" t="s">
        <v>72</v>
      </c>
      <c r="B1839" s="4" t="s">
        <v>31339</v>
      </c>
      <c r="C1839" s="4"/>
      <c r="D1839" s="4"/>
      <c r="E1839" s="4"/>
      <c r="F1839" s="4" t="s">
        <v>31340</v>
      </c>
      <c r="G1839" s="4"/>
      <c r="H1839" s="4"/>
      <c r="I1839" s="4" t="s">
        <v>31341</v>
      </c>
      <c r="J1839" s="4" t="s">
        <v>27497</v>
      </c>
      <c r="K1839" s="4"/>
      <c r="L1839" s="4"/>
      <c r="M1839" s="4" t="s">
        <v>77</v>
      </c>
      <c r="N1839" s="4" t="s">
        <v>78</v>
      </c>
      <c r="O1839" s="4"/>
      <c r="P1839" s="4"/>
      <c r="Q1839" s="4"/>
      <c r="R1839" s="4"/>
      <c r="S1839" s="4"/>
      <c r="T1839" s="1" t="s">
        <v>31342</v>
      </c>
      <c r="U1839" s="4" t="s">
        <v>31343</v>
      </c>
      <c r="V1839" s="4" t="s">
        <v>31344</v>
      </c>
      <c r="W1839" s="4" t="s">
        <v>31345</v>
      </c>
      <c r="X1839" s="4" t="s">
        <v>12353</v>
      </c>
      <c r="Y1839" s="4" t="s">
        <v>28233</v>
      </c>
      <c r="Z1839" s="4" t="s">
        <v>12355</v>
      </c>
      <c r="AA1839" s="4" t="s">
        <v>31346</v>
      </c>
      <c r="AB1839" s="4" t="s">
        <v>31347</v>
      </c>
      <c r="AC1839" s="4" t="s">
        <v>28708</v>
      </c>
      <c r="AD1839" s="4" t="s">
        <v>23709</v>
      </c>
      <c r="AE1839" s="4" t="s">
        <v>31348</v>
      </c>
      <c r="AF1839" s="4"/>
      <c r="AG1839" s="4" t="n">
        <v>40</v>
      </c>
      <c r="AH1839" s="4" t="n">
        <v>9</v>
      </c>
      <c r="AI1839" s="4" t="n">
        <v>12</v>
      </c>
      <c r="AJ1839" s="4" t="n">
        <v>2</v>
      </c>
      <c r="AK1839" s="4" t="n">
        <v>2</v>
      </c>
      <c r="AL1839" s="4" t="s">
        <v>27506</v>
      </c>
      <c r="AM1839" s="4" t="s">
        <v>27507</v>
      </c>
      <c r="AN1839" s="4" t="s">
        <v>27508</v>
      </c>
      <c r="AO1839" s="4" t="s">
        <v>27509</v>
      </c>
      <c r="AP1839" s="4"/>
      <c r="AQ1839" s="4"/>
      <c r="AR1839" s="4" t="s">
        <v>27497</v>
      </c>
      <c r="AS1839" s="4" t="s">
        <v>27510</v>
      </c>
      <c r="AT1839" s="4" t="s">
        <v>31349</v>
      </c>
      <c r="AU1839" s="4" t="n">
        <v>2015</v>
      </c>
      <c r="AV1839" s="4" t="n">
        <v>10</v>
      </c>
      <c r="AW1839" s="4" t="n">
        <v>3</v>
      </c>
      <c r="AX1839" s="4"/>
      <c r="AY1839" s="4"/>
      <c r="AZ1839" s="4"/>
      <c r="BA1839" s="4"/>
      <c r="BB1839" s="4"/>
      <c r="BC1839" s="4"/>
      <c r="BD1839" s="4" t="s">
        <v>31350</v>
      </c>
      <c r="BE1839" s="4" t="s">
        <v>31351</v>
      </c>
      <c r="BF1839" s="4" t="str">
        <f aca="false">HYPERLINK("http://dx.doi.org/10.1371/journal.pone.0120283","http://dx.doi.org/10.1371/journal.pone.0120283")</f>
        <v>http://dx.doi.org/10.1371/journal.pone.0120283</v>
      </c>
      <c r="BG1839" s="4"/>
      <c r="BH1839" s="4"/>
      <c r="BI1839" s="4" t="n">
        <v>18</v>
      </c>
      <c r="BJ1839" s="4" t="s">
        <v>1658</v>
      </c>
      <c r="BK1839" s="4" t="s">
        <v>100</v>
      </c>
      <c r="BL1839" s="4" t="s">
        <v>1659</v>
      </c>
      <c r="BM1839" s="4" t="s">
        <v>31352</v>
      </c>
      <c r="BN1839" s="4" t="n">
        <v>25803584</v>
      </c>
      <c r="BO1839" s="4" t="s">
        <v>2582</v>
      </c>
      <c r="BP1839" s="4"/>
      <c r="BQ1839" s="4"/>
      <c r="BR1839" s="4" t="s">
        <v>104</v>
      </c>
      <c r="BS1839" s="4" t="s">
        <v>31353</v>
      </c>
      <c r="BT1839" s="4" t="str">
        <f aca="false">HYPERLINK("https%3A%2F%2Fwww.webofscience.com%2Fwos%2Fwoscc%2Ffull-record%2FWOS:000353889600065","View Full Record in Web of Science")</f>
        <v>View Full Record in Web of Science</v>
      </c>
    </row>
    <row r="1840" s="5" customFormat="true" ht="12.75" hidden="false" customHeight="false" outlineLevel="0" collapsed="false">
      <c r="A1840" s="4" t="s">
        <v>72</v>
      </c>
      <c r="B1840" s="4" t="s">
        <v>31354</v>
      </c>
      <c r="C1840" s="4"/>
      <c r="D1840" s="4"/>
      <c r="E1840" s="4"/>
      <c r="F1840" s="4" t="s">
        <v>31355</v>
      </c>
      <c r="G1840" s="4"/>
      <c r="H1840" s="4"/>
      <c r="I1840" s="4" t="s">
        <v>31356</v>
      </c>
      <c r="J1840" s="4" t="s">
        <v>27453</v>
      </c>
      <c r="K1840" s="4"/>
      <c r="L1840" s="4"/>
      <c r="M1840" s="4" t="s">
        <v>77</v>
      </c>
      <c r="N1840" s="4" t="s">
        <v>78</v>
      </c>
      <c r="O1840" s="4"/>
      <c r="P1840" s="4"/>
      <c r="Q1840" s="4"/>
      <c r="R1840" s="4"/>
      <c r="S1840" s="4"/>
      <c r="T1840" s="1" t="s">
        <v>31357</v>
      </c>
      <c r="U1840" s="4" t="s">
        <v>6516</v>
      </c>
      <c r="V1840" s="4" t="s">
        <v>31358</v>
      </c>
      <c r="W1840" s="4" t="s">
        <v>31359</v>
      </c>
      <c r="X1840" s="4"/>
      <c r="Y1840" s="4" t="s">
        <v>31360</v>
      </c>
      <c r="Z1840" s="4" t="s">
        <v>31361</v>
      </c>
      <c r="AA1840" s="4"/>
      <c r="AB1840" s="4"/>
      <c r="AC1840" s="4"/>
      <c r="AD1840" s="4"/>
      <c r="AE1840" s="4"/>
      <c r="AF1840" s="4"/>
      <c r="AG1840" s="4" t="n">
        <v>8</v>
      </c>
      <c r="AH1840" s="4" t="n">
        <v>0</v>
      </c>
      <c r="AI1840" s="4" t="n">
        <v>0</v>
      </c>
      <c r="AJ1840" s="4" t="n">
        <v>2</v>
      </c>
      <c r="AK1840" s="4" t="n">
        <v>2</v>
      </c>
      <c r="AL1840" s="4" t="s">
        <v>27463</v>
      </c>
      <c r="AM1840" s="4" t="s">
        <v>16252</v>
      </c>
      <c r="AN1840" s="4" t="s">
        <v>27464</v>
      </c>
      <c r="AO1840" s="4" t="s">
        <v>27465</v>
      </c>
      <c r="AP1840" s="4" t="s">
        <v>27466</v>
      </c>
      <c r="AQ1840" s="4"/>
      <c r="AR1840" s="4" t="s">
        <v>27467</v>
      </c>
      <c r="AS1840" s="4" t="s">
        <v>27468</v>
      </c>
      <c r="AT1840" s="4" t="s">
        <v>804</v>
      </c>
      <c r="AU1840" s="4" t="n">
        <v>2022</v>
      </c>
      <c r="AV1840" s="4" t="n">
        <v>75</v>
      </c>
      <c r="AW1840" s="4" t="n">
        <v>6</v>
      </c>
      <c r="AX1840" s="4"/>
      <c r="AY1840" s="4"/>
      <c r="AZ1840" s="4"/>
      <c r="BA1840" s="4"/>
      <c r="BB1840" s="4" t="n">
        <v>627</v>
      </c>
      <c r="BC1840" s="4" t="n">
        <v>630</v>
      </c>
      <c r="BD1840" s="4"/>
      <c r="BE1840" s="4" t="s">
        <v>31362</v>
      </c>
      <c r="BF1840" s="4" t="str">
        <f aca="false">HYPERLINK("http://dx.doi.org/10.7883/yoken.JJID.2022.079","http://dx.doi.org/10.7883/yoken.JJID.2022.079")</f>
        <v>http://dx.doi.org/10.7883/yoken.JJID.2022.079</v>
      </c>
      <c r="BG1840" s="4"/>
      <c r="BH1840" s="4"/>
      <c r="BI1840" s="4" t="n">
        <v>4</v>
      </c>
      <c r="BJ1840" s="4" t="s">
        <v>575</v>
      </c>
      <c r="BK1840" s="4" t="s">
        <v>100</v>
      </c>
      <c r="BL1840" s="4" t="s">
        <v>575</v>
      </c>
      <c r="BM1840" s="4" t="s">
        <v>31363</v>
      </c>
      <c r="BN1840" s="4" t="n">
        <v>35908870</v>
      </c>
      <c r="BO1840" s="4" t="s">
        <v>1355</v>
      </c>
      <c r="BP1840" s="4"/>
      <c r="BQ1840" s="4"/>
      <c r="BR1840" s="4" t="s">
        <v>104</v>
      </c>
      <c r="BS1840" s="4" t="s">
        <v>31364</v>
      </c>
      <c r="BT1840" s="4" t="str">
        <f aca="false">HYPERLINK("https%3A%2F%2Fwww.webofscience.com%2Fwos%2Fwoscc%2Ffull-record%2FWOS:000905077700017","View Full Record in Web of Science")</f>
        <v>View Full Record in Web of Science</v>
      </c>
    </row>
    <row r="1841" s="5" customFormat="true" ht="12.75" hidden="false" customHeight="false" outlineLevel="0" collapsed="false">
      <c r="A1841" s="4" t="s">
        <v>72</v>
      </c>
      <c r="B1841" s="4" t="s">
        <v>31365</v>
      </c>
      <c r="C1841" s="4"/>
      <c r="D1841" s="4"/>
      <c r="E1841" s="4"/>
      <c r="F1841" s="4" t="s">
        <v>31365</v>
      </c>
      <c r="G1841" s="4"/>
      <c r="H1841" s="4"/>
      <c r="I1841" s="4" t="s">
        <v>31366</v>
      </c>
      <c r="J1841" s="4" t="s">
        <v>742</v>
      </c>
      <c r="K1841" s="4"/>
      <c r="L1841" s="4"/>
      <c r="M1841" s="4" t="s">
        <v>77</v>
      </c>
      <c r="N1841" s="4" t="s">
        <v>78</v>
      </c>
      <c r="O1841" s="4"/>
      <c r="P1841" s="4"/>
      <c r="Q1841" s="4"/>
      <c r="R1841" s="4"/>
      <c r="S1841" s="4"/>
      <c r="T1841" s="1" t="s">
        <v>31367</v>
      </c>
      <c r="U1841" s="4" t="s">
        <v>31368</v>
      </c>
      <c r="V1841" s="4" t="s">
        <v>31369</v>
      </c>
      <c r="W1841" s="4" t="s">
        <v>31370</v>
      </c>
      <c r="X1841" s="4" t="s">
        <v>31089</v>
      </c>
      <c r="Y1841" s="4" t="s">
        <v>8072</v>
      </c>
      <c r="Z1841" s="4" t="s">
        <v>9722</v>
      </c>
      <c r="AA1841" s="4" t="s">
        <v>31371</v>
      </c>
      <c r="AB1841" s="4" t="s">
        <v>31372</v>
      </c>
      <c r="AC1841" s="4"/>
      <c r="AD1841" s="4"/>
      <c r="AE1841" s="4"/>
      <c r="AF1841" s="4"/>
      <c r="AG1841" s="4" t="n">
        <v>41</v>
      </c>
      <c r="AH1841" s="4" t="n">
        <v>81</v>
      </c>
      <c r="AI1841" s="4" t="n">
        <v>99</v>
      </c>
      <c r="AJ1841" s="4" t="n">
        <v>0</v>
      </c>
      <c r="AK1841" s="4" t="n">
        <v>2</v>
      </c>
      <c r="AL1841" s="4" t="s">
        <v>755</v>
      </c>
      <c r="AM1841" s="4" t="s">
        <v>273</v>
      </c>
      <c r="AN1841" s="4" t="s">
        <v>756</v>
      </c>
      <c r="AO1841" s="4" t="s">
        <v>757</v>
      </c>
      <c r="AP1841" s="4" t="s">
        <v>758</v>
      </c>
      <c r="AQ1841" s="4"/>
      <c r="AR1841" s="4" t="s">
        <v>759</v>
      </c>
      <c r="AS1841" s="4" t="s">
        <v>760</v>
      </c>
      <c r="AT1841" s="4" t="s">
        <v>185</v>
      </c>
      <c r="AU1841" s="4" t="n">
        <v>2004</v>
      </c>
      <c r="AV1841" s="4" t="n">
        <v>78</v>
      </c>
      <c r="AW1841" s="4" t="n">
        <v>15</v>
      </c>
      <c r="AX1841" s="4"/>
      <c r="AY1841" s="4"/>
      <c r="AZ1841" s="4"/>
      <c r="BA1841" s="4"/>
      <c r="BB1841" s="4" t="n">
        <v>8264</v>
      </c>
      <c r="BC1841" s="4" t="n">
        <v>8270</v>
      </c>
      <c r="BD1841" s="4"/>
      <c r="BE1841" s="4" t="s">
        <v>31373</v>
      </c>
      <c r="BF1841" s="4" t="str">
        <f aca="false">HYPERLINK("http://dx.doi.org/10.1128/JVI.78.15.8264-8270.2004","http://dx.doi.org/10.1128/JVI.78.15.8264-8270.2004")</f>
        <v>http://dx.doi.org/10.1128/JVI.78.15.8264-8270.2004</v>
      </c>
      <c r="BG1841" s="4"/>
      <c r="BH1841" s="4"/>
      <c r="BI1841" s="4" t="n">
        <v>7</v>
      </c>
      <c r="BJ1841" s="4" t="s">
        <v>163</v>
      </c>
      <c r="BK1841" s="4" t="s">
        <v>100</v>
      </c>
      <c r="BL1841" s="4" t="s">
        <v>163</v>
      </c>
      <c r="BM1841" s="4" t="s">
        <v>31374</v>
      </c>
      <c r="BN1841" s="4" t="n">
        <v>15254198</v>
      </c>
      <c r="BO1841" s="4" t="s">
        <v>165</v>
      </c>
      <c r="BP1841" s="4"/>
      <c r="BQ1841" s="4"/>
      <c r="BR1841" s="4" t="s">
        <v>104</v>
      </c>
      <c r="BS1841" s="4" t="s">
        <v>31375</v>
      </c>
      <c r="BT1841" s="4" t="str">
        <f aca="false">HYPERLINK("https%3A%2F%2Fwww.webofscience.com%2Fwos%2Fwoscc%2Ffull-record%2FWOS:000222755600041","View Full Record in Web of Science")</f>
        <v>View Full Record in Web of Science</v>
      </c>
    </row>
    <row r="1842" s="5" customFormat="true" ht="12.75" hidden="false" customHeight="false" outlineLevel="0" collapsed="false">
      <c r="A1842" s="4" t="s">
        <v>72</v>
      </c>
      <c r="B1842" s="4" t="s">
        <v>31376</v>
      </c>
      <c r="C1842" s="4"/>
      <c r="D1842" s="4"/>
      <c r="E1842" s="4"/>
      <c r="F1842" s="4" t="s">
        <v>31377</v>
      </c>
      <c r="G1842" s="4"/>
      <c r="H1842" s="4"/>
      <c r="I1842" s="4" t="s">
        <v>31378</v>
      </c>
      <c r="J1842" s="4" t="s">
        <v>557</v>
      </c>
      <c r="K1842" s="4"/>
      <c r="L1842" s="4"/>
      <c r="M1842" s="4" t="s">
        <v>77</v>
      </c>
      <c r="N1842" s="4" t="s">
        <v>78</v>
      </c>
      <c r="O1842" s="4"/>
      <c r="P1842" s="4"/>
      <c r="Q1842" s="4"/>
      <c r="R1842" s="4"/>
      <c r="S1842" s="4"/>
      <c r="T1842" s="1" t="s">
        <v>31379</v>
      </c>
      <c r="U1842" s="4" t="s">
        <v>31380</v>
      </c>
      <c r="V1842" s="4" t="s">
        <v>31381</v>
      </c>
      <c r="W1842" s="4" t="s">
        <v>31382</v>
      </c>
      <c r="X1842" s="4" t="s">
        <v>31383</v>
      </c>
      <c r="Y1842" s="4" t="s">
        <v>12076</v>
      </c>
      <c r="Z1842" s="4" t="s">
        <v>12077</v>
      </c>
      <c r="AA1842" s="4"/>
      <c r="AB1842" s="4" t="s">
        <v>31384</v>
      </c>
      <c r="AC1842" s="4"/>
      <c r="AD1842" s="4"/>
      <c r="AE1842" s="4"/>
      <c r="AF1842" s="4"/>
      <c r="AG1842" s="4" t="n">
        <v>39</v>
      </c>
      <c r="AH1842" s="4" t="n">
        <v>29</v>
      </c>
      <c r="AI1842" s="4" t="n">
        <v>31</v>
      </c>
      <c r="AJ1842" s="4" t="n">
        <v>2</v>
      </c>
      <c r="AK1842" s="4" t="n">
        <v>4</v>
      </c>
      <c r="AL1842" s="4" t="s">
        <v>302</v>
      </c>
      <c r="AM1842" s="4" t="s">
        <v>303</v>
      </c>
      <c r="AN1842" s="4" t="s">
        <v>304</v>
      </c>
      <c r="AO1842" s="4" t="s">
        <v>570</v>
      </c>
      <c r="AP1842" s="4"/>
      <c r="AQ1842" s="4"/>
      <c r="AR1842" s="4" t="s">
        <v>571</v>
      </c>
      <c r="AS1842" s="4" t="s">
        <v>572</v>
      </c>
      <c r="AT1842" s="4" t="s">
        <v>31385</v>
      </c>
      <c r="AU1842" s="4" t="n">
        <v>2011</v>
      </c>
      <c r="AV1842" s="4" t="n">
        <v>11</v>
      </c>
      <c r="AW1842" s="4"/>
      <c r="AX1842" s="4"/>
      <c r="AY1842" s="4"/>
      <c r="AZ1842" s="4"/>
      <c r="BA1842" s="4"/>
      <c r="BB1842" s="4"/>
      <c r="BC1842" s="4"/>
      <c r="BD1842" s="4" t="n">
        <v>41</v>
      </c>
      <c r="BE1842" s="4" t="s">
        <v>31386</v>
      </c>
      <c r="BF1842" s="4" t="str">
        <f aca="false">HYPERLINK("http://dx.doi.org/10.1186/1471-2334-11-41","http://dx.doi.org/10.1186/1471-2334-11-41")</f>
        <v>http://dx.doi.org/10.1186/1471-2334-11-41</v>
      </c>
      <c r="BG1842" s="4"/>
      <c r="BH1842" s="4"/>
      <c r="BI1842" s="4" t="n">
        <v>7</v>
      </c>
      <c r="BJ1842" s="4" t="s">
        <v>575</v>
      </c>
      <c r="BK1842" s="4" t="s">
        <v>100</v>
      </c>
      <c r="BL1842" s="4" t="s">
        <v>575</v>
      </c>
      <c r="BM1842" s="4" t="s">
        <v>31387</v>
      </c>
      <c r="BN1842" s="4" t="n">
        <v>21299840</v>
      </c>
      <c r="BO1842" s="4" t="s">
        <v>103</v>
      </c>
      <c r="BP1842" s="4"/>
      <c r="BQ1842" s="4"/>
      <c r="BR1842" s="4" t="s">
        <v>104</v>
      </c>
      <c r="BS1842" s="4" t="s">
        <v>31388</v>
      </c>
      <c r="BT1842" s="4" t="str">
        <f aca="false">HYPERLINK("https%3A%2F%2Fwww.webofscience.com%2Fwos%2Fwoscc%2Ffull-record%2FWOS:000287689000001","View Full Record in Web of Science")</f>
        <v>View Full Record in Web of Science</v>
      </c>
    </row>
    <row r="1843" s="5" customFormat="true" ht="12.75" hidden="false" customHeight="false" outlineLevel="0" collapsed="false">
      <c r="A1843" s="4" t="s">
        <v>72</v>
      </c>
      <c r="B1843" s="4" t="s">
        <v>31389</v>
      </c>
      <c r="C1843" s="4"/>
      <c r="D1843" s="4"/>
      <c r="E1843" s="4"/>
      <c r="F1843" s="4" t="s">
        <v>31389</v>
      </c>
      <c r="G1843" s="4"/>
      <c r="H1843" s="4"/>
      <c r="I1843" s="4" t="s">
        <v>31390</v>
      </c>
      <c r="J1843" s="4" t="s">
        <v>7145</v>
      </c>
      <c r="K1843" s="4"/>
      <c r="L1843" s="4"/>
      <c r="M1843" s="4" t="s">
        <v>77</v>
      </c>
      <c r="N1843" s="4" t="s">
        <v>78</v>
      </c>
      <c r="O1843" s="4"/>
      <c r="P1843" s="4"/>
      <c r="Q1843" s="4"/>
      <c r="R1843" s="4"/>
      <c r="S1843" s="4"/>
      <c r="T1843" s="1" t="s">
        <v>31391</v>
      </c>
      <c r="U1843" s="4" t="s">
        <v>31392</v>
      </c>
      <c r="V1843" s="4" t="s">
        <v>31393</v>
      </c>
      <c r="W1843" s="4" t="s">
        <v>31394</v>
      </c>
      <c r="X1843" s="4" t="s">
        <v>31395</v>
      </c>
      <c r="Y1843" s="4" t="s">
        <v>31396</v>
      </c>
      <c r="Z1843" s="4" t="s">
        <v>4418</v>
      </c>
      <c r="AA1843" s="4"/>
      <c r="AB1843" s="4" t="s">
        <v>2414</v>
      </c>
      <c r="AC1843" s="4"/>
      <c r="AD1843" s="4"/>
      <c r="AE1843" s="4"/>
      <c r="AF1843" s="4"/>
      <c r="AG1843" s="4" t="n">
        <v>34</v>
      </c>
      <c r="AH1843" s="4" t="n">
        <v>58</v>
      </c>
      <c r="AI1843" s="4" t="n">
        <v>75</v>
      </c>
      <c r="AJ1843" s="4" t="n">
        <v>2</v>
      </c>
      <c r="AK1843" s="4" t="n">
        <v>2</v>
      </c>
      <c r="AL1843" s="4" t="s">
        <v>3426</v>
      </c>
      <c r="AM1843" s="4" t="s">
        <v>303</v>
      </c>
      <c r="AN1843" s="4" t="s">
        <v>3427</v>
      </c>
      <c r="AO1843" s="4" t="s">
        <v>7158</v>
      </c>
      <c r="AP1843" s="4" t="s">
        <v>7159</v>
      </c>
      <c r="AQ1843" s="4"/>
      <c r="AR1843" s="4" t="s">
        <v>7160</v>
      </c>
      <c r="AS1843" s="4" t="s">
        <v>7161</v>
      </c>
      <c r="AT1843" s="4" t="s">
        <v>97</v>
      </c>
      <c r="AU1843" s="4" t="n">
        <v>2004</v>
      </c>
      <c r="AV1843" s="4" t="n">
        <v>85</v>
      </c>
      <c r="AW1843" s="4"/>
      <c r="AX1843" s="4" t="n">
        <v>3</v>
      </c>
      <c r="AY1843" s="4"/>
      <c r="AZ1843" s="4"/>
      <c r="BA1843" s="4"/>
      <c r="BB1843" s="4" t="n">
        <v>679</v>
      </c>
      <c r="BC1843" s="4" t="n">
        <v>686</v>
      </c>
      <c r="BD1843" s="4"/>
      <c r="BE1843" s="4" t="s">
        <v>31397</v>
      </c>
      <c r="BF1843" s="4" t="str">
        <f aca="false">HYPERLINK("http://dx.doi.org/10.1099/vir.0.19504-0","http://dx.doi.org/10.1099/vir.0.19504-0")</f>
        <v>http://dx.doi.org/10.1099/vir.0.19504-0</v>
      </c>
      <c r="BG1843" s="4"/>
      <c r="BH1843" s="4"/>
      <c r="BI1843" s="4" t="n">
        <v>8</v>
      </c>
      <c r="BJ1843" s="4" t="s">
        <v>7163</v>
      </c>
      <c r="BK1843" s="4" t="s">
        <v>100</v>
      </c>
      <c r="BL1843" s="4" t="s">
        <v>7163</v>
      </c>
      <c r="BM1843" s="4" t="s">
        <v>31398</v>
      </c>
      <c r="BN1843" s="4" t="n">
        <v>14993653</v>
      </c>
      <c r="BO1843" s="4" t="s">
        <v>656</v>
      </c>
      <c r="BP1843" s="4"/>
      <c r="BQ1843" s="4"/>
      <c r="BR1843" s="4" t="s">
        <v>104</v>
      </c>
      <c r="BS1843" s="4" t="s">
        <v>31399</v>
      </c>
      <c r="BT1843" s="4" t="str">
        <f aca="false">HYPERLINK("https%3A%2F%2Fwww.webofscience.com%2Fwos%2Fwoscc%2Ffull-record%2FWOS:000220191800016","View Full Record in Web of Science")</f>
        <v>View Full Record in Web of Science</v>
      </c>
    </row>
    <row r="1844" s="5" customFormat="true" ht="12.75" hidden="false" customHeight="false" outlineLevel="0" collapsed="false">
      <c r="A1844" s="4" t="s">
        <v>72</v>
      </c>
      <c r="B1844" s="4" t="s">
        <v>31400</v>
      </c>
      <c r="C1844" s="4"/>
      <c r="D1844" s="4"/>
      <c r="E1844" s="4"/>
      <c r="F1844" s="4" t="s">
        <v>31400</v>
      </c>
      <c r="G1844" s="4"/>
      <c r="H1844" s="4"/>
      <c r="I1844" s="4" t="s">
        <v>31401</v>
      </c>
      <c r="J1844" s="4" t="s">
        <v>742</v>
      </c>
      <c r="K1844" s="4"/>
      <c r="L1844" s="4"/>
      <c r="M1844" s="4" t="s">
        <v>77</v>
      </c>
      <c r="N1844" s="4" t="s">
        <v>78</v>
      </c>
      <c r="O1844" s="4"/>
      <c r="P1844" s="4"/>
      <c r="Q1844" s="4"/>
      <c r="R1844" s="4"/>
      <c r="S1844" s="4"/>
      <c r="T1844" s="1" t="s">
        <v>31402</v>
      </c>
      <c r="U1844" s="4" t="s">
        <v>31403</v>
      </c>
      <c r="V1844" s="4" t="s">
        <v>31404</v>
      </c>
      <c r="W1844" s="4" t="s">
        <v>31405</v>
      </c>
      <c r="X1844" s="4" t="s">
        <v>31406</v>
      </c>
      <c r="Y1844" s="4" t="s">
        <v>31407</v>
      </c>
      <c r="Z1844" s="4" t="s">
        <v>13914</v>
      </c>
      <c r="AA1844" s="4" t="s">
        <v>6711</v>
      </c>
      <c r="AB1844" s="4" t="s">
        <v>6712</v>
      </c>
      <c r="AC1844" s="4"/>
      <c r="AD1844" s="4"/>
      <c r="AE1844" s="4"/>
      <c r="AF1844" s="4"/>
      <c r="AG1844" s="4" t="n">
        <v>41</v>
      </c>
      <c r="AH1844" s="4" t="n">
        <v>145</v>
      </c>
      <c r="AI1844" s="4" t="n">
        <v>174</v>
      </c>
      <c r="AJ1844" s="4" t="n">
        <v>0</v>
      </c>
      <c r="AK1844" s="4" t="n">
        <v>1</v>
      </c>
      <c r="AL1844" s="4" t="s">
        <v>755</v>
      </c>
      <c r="AM1844" s="4" t="s">
        <v>273</v>
      </c>
      <c r="AN1844" s="4" t="s">
        <v>756</v>
      </c>
      <c r="AO1844" s="4" t="s">
        <v>757</v>
      </c>
      <c r="AP1844" s="4" t="s">
        <v>758</v>
      </c>
      <c r="AQ1844" s="4"/>
      <c r="AR1844" s="4" t="s">
        <v>759</v>
      </c>
      <c r="AS1844" s="4" t="s">
        <v>760</v>
      </c>
      <c r="AT1844" s="4" t="s">
        <v>599</v>
      </c>
      <c r="AU1844" s="4" t="n">
        <v>2004</v>
      </c>
      <c r="AV1844" s="4" t="n">
        <v>78</v>
      </c>
      <c r="AW1844" s="4" t="n">
        <v>13</v>
      </c>
      <c r="AX1844" s="4"/>
      <c r="AY1844" s="4"/>
      <c r="AZ1844" s="4"/>
      <c r="BA1844" s="4"/>
      <c r="BB1844" s="4" t="n">
        <v>6927</v>
      </c>
      <c r="BC1844" s="4" t="n">
        <v>6937</v>
      </c>
      <c r="BD1844" s="4"/>
      <c r="BE1844" s="4" t="s">
        <v>31408</v>
      </c>
      <c r="BF1844" s="4" t="str">
        <f aca="false">HYPERLINK("http://dx.doi.org/10.1128/JVI.78.13.6927-6937.2004","http://dx.doi.org/10.1128/JVI.78.13.6927-6937.2004")</f>
        <v>http://dx.doi.org/10.1128/JVI.78.13.6927-6937.2004</v>
      </c>
      <c r="BG1844" s="4"/>
      <c r="BH1844" s="4"/>
      <c r="BI1844" s="4" t="n">
        <v>11</v>
      </c>
      <c r="BJ1844" s="4" t="s">
        <v>163</v>
      </c>
      <c r="BK1844" s="4" t="s">
        <v>100</v>
      </c>
      <c r="BL1844" s="4" t="s">
        <v>163</v>
      </c>
      <c r="BM1844" s="4" t="s">
        <v>31409</v>
      </c>
      <c r="BN1844" s="4" t="n">
        <v>15194769</v>
      </c>
      <c r="BO1844" s="4" t="s">
        <v>165</v>
      </c>
      <c r="BP1844" s="4"/>
      <c r="BQ1844" s="4"/>
      <c r="BR1844" s="4" t="s">
        <v>104</v>
      </c>
      <c r="BS1844" s="4" t="s">
        <v>31410</v>
      </c>
      <c r="BT1844" s="4" t="str">
        <f aca="false">HYPERLINK("https%3A%2F%2Fwww.webofscience.com%2Fwos%2Fwoscc%2Ffull-record%2FWOS:000222153800025","View Full Record in Web of Science")</f>
        <v>View Full Record in Web of Science</v>
      </c>
    </row>
    <row r="1845" s="5" customFormat="true" ht="12.75" hidden="false" customHeight="false" outlineLevel="0" collapsed="false">
      <c r="A1845" s="4" t="s">
        <v>72</v>
      </c>
      <c r="B1845" s="4" t="s">
        <v>31411</v>
      </c>
      <c r="C1845" s="4"/>
      <c r="D1845" s="4"/>
      <c r="E1845" s="4"/>
      <c r="F1845" s="4" t="s">
        <v>31412</v>
      </c>
      <c r="G1845" s="4"/>
      <c r="H1845" s="4"/>
      <c r="I1845" s="4" t="s">
        <v>31413</v>
      </c>
      <c r="J1845" s="4" t="s">
        <v>742</v>
      </c>
      <c r="K1845" s="4"/>
      <c r="L1845" s="4"/>
      <c r="M1845" s="4" t="s">
        <v>77</v>
      </c>
      <c r="N1845" s="4" t="s">
        <v>78</v>
      </c>
      <c r="O1845" s="4"/>
      <c r="P1845" s="4"/>
      <c r="Q1845" s="4"/>
      <c r="R1845" s="4"/>
      <c r="S1845" s="4"/>
      <c r="T1845" s="1" t="s">
        <v>31414</v>
      </c>
      <c r="U1845" s="4" t="s">
        <v>31415</v>
      </c>
      <c r="V1845" s="4" t="s">
        <v>31416</v>
      </c>
      <c r="W1845" s="4" t="s">
        <v>31417</v>
      </c>
      <c r="X1845" s="4" t="s">
        <v>12353</v>
      </c>
      <c r="Y1845" s="4" t="s">
        <v>30921</v>
      </c>
      <c r="Z1845" s="4" t="s">
        <v>12355</v>
      </c>
      <c r="AA1845" s="4"/>
      <c r="AB1845" s="4"/>
      <c r="AC1845" s="4" t="s">
        <v>31418</v>
      </c>
      <c r="AD1845" s="4" t="s">
        <v>31419</v>
      </c>
      <c r="AE1845" s="4" t="s">
        <v>31420</v>
      </c>
      <c r="AF1845" s="4"/>
      <c r="AG1845" s="4" t="n">
        <v>50</v>
      </c>
      <c r="AH1845" s="4" t="n">
        <v>51</v>
      </c>
      <c r="AI1845" s="4" t="n">
        <v>55</v>
      </c>
      <c r="AJ1845" s="4" t="n">
        <v>0</v>
      </c>
      <c r="AK1845" s="4" t="n">
        <v>2</v>
      </c>
      <c r="AL1845" s="4" t="s">
        <v>755</v>
      </c>
      <c r="AM1845" s="4" t="s">
        <v>273</v>
      </c>
      <c r="AN1845" s="4" t="s">
        <v>756</v>
      </c>
      <c r="AO1845" s="4" t="s">
        <v>757</v>
      </c>
      <c r="AP1845" s="4" t="s">
        <v>758</v>
      </c>
      <c r="AQ1845" s="4"/>
      <c r="AR1845" s="4" t="s">
        <v>759</v>
      </c>
      <c r="AS1845" s="4" t="s">
        <v>760</v>
      </c>
      <c r="AT1845" s="4" t="s">
        <v>3408</v>
      </c>
      <c r="AU1845" s="4" t="n">
        <v>2009</v>
      </c>
      <c r="AV1845" s="4" t="n">
        <v>83</v>
      </c>
      <c r="AW1845" s="4" t="n">
        <v>3</v>
      </c>
      <c r="AX1845" s="4"/>
      <c r="AY1845" s="4"/>
      <c r="AZ1845" s="4"/>
      <c r="BA1845" s="4"/>
      <c r="BB1845" s="4" t="n">
        <v>1341</v>
      </c>
      <c r="BC1845" s="4" t="n">
        <v>1349</v>
      </c>
      <c r="BD1845" s="4"/>
      <c r="BE1845" s="4" t="s">
        <v>31421</v>
      </c>
      <c r="BF1845" s="4" t="str">
        <f aca="false">HYPERLINK("http://dx.doi.org/10.1128/JVI.01123-08","http://dx.doi.org/10.1128/JVI.01123-08")</f>
        <v>http://dx.doi.org/10.1128/JVI.01123-08</v>
      </c>
      <c r="BG1845" s="4"/>
      <c r="BH1845" s="4"/>
      <c r="BI1845" s="4" t="n">
        <v>9</v>
      </c>
      <c r="BJ1845" s="4" t="s">
        <v>163</v>
      </c>
      <c r="BK1845" s="4" t="s">
        <v>100</v>
      </c>
      <c r="BL1845" s="4" t="s">
        <v>163</v>
      </c>
      <c r="BM1845" s="4" t="s">
        <v>28611</v>
      </c>
      <c r="BN1845" s="4"/>
      <c r="BO1845" s="4" t="s">
        <v>165</v>
      </c>
      <c r="BP1845" s="4"/>
      <c r="BQ1845" s="4"/>
      <c r="BR1845" s="4" t="s">
        <v>104</v>
      </c>
      <c r="BS1845" s="4" t="s">
        <v>31422</v>
      </c>
      <c r="BT1845" s="4" t="str">
        <f aca="false">HYPERLINK("https%3A%2F%2Fwww.webofscience.com%2Fwos%2Fwoscc%2Ffull-record%2FWOS:000262325600017","View Full Record in Web of Science")</f>
        <v>View Full Record in Web of Science</v>
      </c>
    </row>
    <row r="1846" s="5" customFormat="true" ht="12.75" hidden="false" customHeight="false" outlineLevel="0" collapsed="false">
      <c r="A1846" s="4" t="s">
        <v>72</v>
      </c>
      <c r="B1846" s="4" t="s">
        <v>31423</v>
      </c>
      <c r="C1846" s="4"/>
      <c r="D1846" s="4"/>
      <c r="E1846" s="4"/>
      <c r="F1846" s="4" t="s">
        <v>31424</v>
      </c>
      <c r="G1846" s="4"/>
      <c r="H1846" s="4"/>
      <c r="I1846" s="4" t="s">
        <v>31425</v>
      </c>
      <c r="J1846" s="4" t="s">
        <v>27915</v>
      </c>
      <c r="K1846" s="4"/>
      <c r="L1846" s="4"/>
      <c r="M1846" s="4" t="s">
        <v>77</v>
      </c>
      <c r="N1846" s="4" t="s">
        <v>78</v>
      </c>
      <c r="O1846" s="4"/>
      <c r="P1846" s="4"/>
      <c r="Q1846" s="4"/>
      <c r="R1846" s="4"/>
      <c r="S1846" s="4"/>
      <c r="T1846" s="1" t="s">
        <v>31426</v>
      </c>
      <c r="U1846" s="4" t="s">
        <v>31427</v>
      </c>
      <c r="V1846" s="4" t="s">
        <v>31428</v>
      </c>
      <c r="W1846" s="4" t="s">
        <v>31429</v>
      </c>
      <c r="X1846" s="4" t="s">
        <v>2614</v>
      </c>
      <c r="Y1846" s="4" t="s">
        <v>31430</v>
      </c>
      <c r="Z1846" s="4" t="s">
        <v>31431</v>
      </c>
      <c r="AA1846" s="4" t="s">
        <v>31432</v>
      </c>
      <c r="AB1846" s="4" t="s">
        <v>21117</v>
      </c>
      <c r="AC1846" s="4" t="s">
        <v>31433</v>
      </c>
      <c r="AD1846" s="4" t="s">
        <v>31434</v>
      </c>
      <c r="AE1846" s="4" t="s">
        <v>31435</v>
      </c>
      <c r="AF1846" s="4"/>
      <c r="AG1846" s="4" t="n">
        <v>72</v>
      </c>
      <c r="AH1846" s="4" t="n">
        <v>59</v>
      </c>
      <c r="AI1846" s="4" t="n">
        <v>67</v>
      </c>
      <c r="AJ1846" s="4" t="n">
        <v>1</v>
      </c>
      <c r="AK1846" s="4" t="n">
        <v>1</v>
      </c>
      <c r="AL1846" s="4" t="s">
        <v>27927</v>
      </c>
      <c r="AM1846" s="4" t="s">
        <v>27928</v>
      </c>
      <c r="AN1846" s="4" t="s">
        <v>27929</v>
      </c>
      <c r="AO1846" s="4" t="s">
        <v>27930</v>
      </c>
      <c r="AP1846" s="4" t="s">
        <v>27931</v>
      </c>
      <c r="AQ1846" s="4"/>
      <c r="AR1846" s="4" t="s">
        <v>27932</v>
      </c>
      <c r="AS1846" s="4" t="s">
        <v>27933</v>
      </c>
      <c r="AT1846" s="4" t="s">
        <v>733</v>
      </c>
      <c r="AU1846" s="4" t="n">
        <v>2009</v>
      </c>
      <c r="AV1846" s="4" t="n">
        <v>182</v>
      </c>
      <c r="AW1846" s="4" t="n">
        <v>5</v>
      </c>
      <c r="AX1846" s="4"/>
      <c r="AY1846" s="4"/>
      <c r="AZ1846" s="4"/>
      <c r="BA1846" s="4"/>
      <c r="BB1846" s="4" t="n">
        <v>3072</v>
      </c>
      <c r="BC1846" s="4" t="n">
        <v>3083</v>
      </c>
      <c r="BD1846" s="4"/>
      <c r="BE1846" s="4" t="s">
        <v>31436</v>
      </c>
      <c r="BF1846" s="4" t="str">
        <f aca="false">HYPERLINK("http://dx.doi.org/10.4049/jimmunol.0802262","http://dx.doi.org/10.4049/jimmunol.0802262")</f>
        <v>http://dx.doi.org/10.4049/jimmunol.0802262</v>
      </c>
      <c r="BG1846" s="4"/>
      <c r="BH1846" s="4"/>
      <c r="BI1846" s="4" t="n">
        <v>12</v>
      </c>
      <c r="BJ1846" s="4" t="s">
        <v>628</v>
      </c>
      <c r="BK1846" s="4" t="s">
        <v>100</v>
      </c>
      <c r="BL1846" s="4" t="s">
        <v>628</v>
      </c>
      <c r="BM1846" s="4" t="s">
        <v>31437</v>
      </c>
      <c r="BN1846" s="4" t="n">
        <v>19234204</v>
      </c>
      <c r="BO1846" s="4" t="s">
        <v>5372</v>
      </c>
      <c r="BP1846" s="4"/>
      <c r="BQ1846" s="4"/>
      <c r="BR1846" s="4" t="s">
        <v>104</v>
      </c>
      <c r="BS1846" s="4" t="s">
        <v>31438</v>
      </c>
      <c r="BT1846" s="4" t="str">
        <f aca="false">HYPERLINK("https%3A%2F%2Fwww.webofscience.com%2Fwos%2Fwoscc%2Ffull-record%2FWOS:000263653100059","View Full Record in Web of Science")</f>
        <v>View Full Record in Web of Science</v>
      </c>
    </row>
    <row r="1847" s="5" customFormat="true" ht="12.75" hidden="false" customHeight="false" outlineLevel="0" collapsed="false">
      <c r="A1847" s="4" t="s">
        <v>72</v>
      </c>
      <c r="B1847" s="4" t="s">
        <v>31439</v>
      </c>
      <c r="C1847" s="4"/>
      <c r="D1847" s="4"/>
      <c r="E1847" s="4"/>
      <c r="F1847" s="4" t="s">
        <v>31440</v>
      </c>
      <c r="G1847" s="4"/>
      <c r="H1847" s="4"/>
      <c r="I1847" s="4" t="s">
        <v>31441</v>
      </c>
      <c r="J1847" s="4" t="s">
        <v>31442</v>
      </c>
      <c r="K1847" s="4"/>
      <c r="L1847" s="4"/>
      <c r="M1847" s="4" t="s">
        <v>77</v>
      </c>
      <c r="N1847" s="4" t="s">
        <v>78</v>
      </c>
      <c r="O1847" s="4"/>
      <c r="P1847" s="4"/>
      <c r="Q1847" s="4"/>
      <c r="R1847" s="4"/>
      <c r="S1847" s="4"/>
      <c r="T1847" s="1" t="s">
        <v>31443</v>
      </c>
      <c r="U1847" s="4" t="s">
        <v>31444</v>
      </c>
      <c r="V1847" s="4" t="s">
        <v>31445</v>
      </c>
      <c r="W1847" s="4" t="s">
        <v>31446</v>
      </c>
      <c r="X1847" s="4" t="s">
        <v>31447</v>
      </c>
      <c r="Y1847" s="4" t="s">
        <v>31448</v>
      </c>
      <c r="Z1847" s="4" t="s">
        <v>31449</v>
      </c>
      <c r="AA1847" s="4" t="s">
        <v>31450</v>
      </c>
      <c r="AB1847" s="4" t="s">
        <v>31451</v>
      </c>
      <c r="AC1847" s="4" t="s">
        <v>31452</v>
      </c>
      <c r="AD1847" s="4" t="s">
        <v>31453</v>
      </c>
      <c r="AE1847" s="4" t="s">
        <v>31454</v>
      </c>
      <c r="AF1847" s="4"/>
      <c r="AG1847" s="4" t="n">
        <v>36</v>
      </c>
      <c r="AH1847" s="4" t="n">
        <v>19</v>
      </c>
      <c r="AI1847" s="4" t="n">
        <v>21</v>
      </c>
      <c r="AJ1847" s="4" t="n">
        <v>0</v>
      </c>
      <c r="AK1847" s="4" t="n">
        <v>14</v>
      </c>
      <c r="AL1847" s="4" t="s">
        <v>272</v>
      </c>
      <c r="AM1847" s="4" t="s">
        <v>273</v>
      </c>
      <c r="AN1847" s="4" t="s">
        <v>274</v>
      </c>
      <c r="AO1847" s="4" t="s">
        <v>31455</v>
      </c>
      <c r="AP1847" s="4" t="s">
        <v>31456</v>
      </c>
      <c r="AQ1847" s="4"/>
      <c r="AR1847" s="4" t="s">
        <v>31457</v>
      </c>
      <c r="AS1847" s="4" t="s">
        <v>31458</v>
      </c>
      <c r="AT1847" s="4" t="s">
        <v>24541</v>
      </c>
      <c r="AU1847" s="4" t="n">
        <v>2015</v>
      </c>
      <c r="AV1847" s="4" t="n">
        <v>87</v>
      </c>
      <c r="AW1847" s="4" t="n">
        <v>20</v>
      </c>
      <c r="AX1847" s="4"/>
      <c r="AY1847" s="4"/>
      <c r="AZ1847" s="4"/>
      <c r="BA1847" s="4"/>
      <c r="BB1847" s="4" t="n">
        <v>10247</v>
      </c>
      <c r="BC1847" s="4" t="n">
        <v>10254</v>
      </c>
      <c r="BD1847" s="4"/>
      <c r="BE1847" s="4" t="s">
        <v>31459</v>
      </c>
      <c r="BF1847" s="4" t="str">
        <f aca="false">HYPERLINK("http://dx.doi.org/10.1021/acs.analchem.5b01544","http://dx.doi.org/10.1021/acs.analchem.5b01544")</f>
        <v>http://dx.doi.org/10.1021/acs.analchem.5b01544</v>
      </c>
      <c r="BG1847" s="4"/>
      <c r="BH1847" s="4"/>
      <c r="BI1847" s="4" t="n">
        <v>8</v>
      </c>
      <c r="BJ1847" s="4" t="s">
        <v>31460</v>
      </c>
      <c r="BK1847" s="4" t="s">
        <v>100</v>
      </c>
      <c r="BL1847" s="4" t="s">
        <v>7717</v>
      </c>
      <c r="BM1847" s="4" t="s">
        <v>31461</v>
      </c>
      <c r="BN1847" s="4" t="n">
        <v>26376123</v>
      </c>
      <c r="BO1847" s="4"/>
      <c r="BP1847" s="4"/>
      <c r="BQ1847" s="4"/>
      <c r="BR1847" s="4" t="s">
        <v>104</v>
      </c>
      <c r="BS1847" s="4" t="s">
        <v>31462</v>
      </c>
      <c r="BT1847" s="4" t="str">
        <f aca="false">HYPERLINK("https%3A%2F%2Fwww.webofscience.com%2Fwos%2Fwoscc%2Ffull-record%2FWOS:000363348300014","View Full Record in Web of Science")</f>
        <v>View Full Record in Web of Science</v>
      </c>
    </row>
    <row r="1848" s="5" customFormat="true" ht="12.75" hidden="false" customHeight="false" outlineLevel="0" collapsed="false">
      <c r="A1848" s="4" t="s">
        <v>72</v>
      </c>
      <c r="B1848" s="4" t="s">
        <v>31463</v>
      </c>
      <c r="C1848" s="4"/>
      <c r="D1848" s="4"/>
      <c r="E1848" s="4"/>
      <c r="F1848" s="4" t="s">
        <v>31463</v>
      </c>
      <c r="G1848" s="4"/>
      <c r="H1848" s="4"/>
      <c r="I1848" s="4" t="s">
        <v>31464</v>
      </c>
      <c r="J1848" s="4" t="s">
        <v>28358</v>
      </c>
      <c r="K1848" s="4"/>
      <c r="L1848" s="4"/>
      <c r="M1848" s="4" t="s">
        <v>77</v>
      </c>
      <c r="N1848" s="4" t="s">
        <v>78</v>
      </c>
      <c r="O1848" s="4"/>
      <c r="P1848" s="4"/>
      <c r="Q1848" s="4"/>
      <c r="R1848" s="4"/>
      <c r="S1848" s="4"/>
      <c r="T1848" s="1" t="s">
        <v>31465</v>
      </c>
      <c r="U1848" s="4" t="s">
        <v>31466</v>
      </c>
      <c r="V1848" s="4" t="s">
        <v>31467</v>
      </c>
      <c r="W1848" s="4" t="s">
        <v>31468</v>
      </c>
      <c r="X1848" s="4" t="s">
        <v>31469</v>
      </c>
      <c r="Y1848" s="4" t="s">
        <v>31470</v>
      </c>
      <c r="Z1848" s="4" t="s">
        <v>23842</v>
      </c>
      <c r="AA1848" s="4"/>
      <c r="AB1848" s="4"/>
      <c r="AC1848" s="4"/>
      <c r="AD1848" s="4"/>
      <c r="AE1848" s="4"/>
      <c r="AF1848" s="4"/>
      <c r="AG1848" s="4" t="n">
        <v>32</v>
      </c>
      <c r="AH1848" s="4" t="n">
        <v>8</v>
      </c>
      <c r="AI1848" s="4" t="n">
        <v>8</v>
      </c>
      <c r="AJ1848" s="4" t="n">
        <v>2</v>
      </c>
      <c r="AK1848" s="4" t="n">
        <v>6</v>
      </c>
      <c r="AL1848" s="4" t="s">
        <v>755</v>
      </c>
      <c r="AM1848" s="4" t="s">
        <v>273</v>
      </c>
      <c r="AN1848" s="4" t="s">
        <v>756</v>
      </c>
      <c r="AO1848" s="4" t="s">
        <v>28363</v>
      </c>
      <c r="AP1848" s="4"/>
      <c r="AQ1848" s="4"/>
      <c r="AR1848" s="4" t="s">
        <v>28364</v>
      </c>
      <c r="AS1848" s="4" t="s">
        <v>28365</v>
      </c>
      <c r="AT1848" s="4" t="s">
        <v>161</v>
      </c>
      <c r="AU1848" s="4" t="n">
        <v>2005</v>
      </c>
      <c r="AV1848" s="4" t="n">
        <v>12</v>
      </c>
      <c r="AW1848" s="4" t="n">
        <v>1</v>
      </c>
      <c r="AX1848" s="4"/>
      <c r="AY1848" s="4"/>
      <c r="AZ1848" s="4"/>
      <c r="BA1848" s="4"/>
      <c r="BB1848" s="4" t="n">
        <v>187</v>
      </c>
      <c r="BC1848" s="4" t="n">
        <v>191</v>
      </c>
      <c r="BD1848" s="4"/>
      <c r="BE1848" s="4" t="s">
        <v>31471</v>
      </c>
      <c r="BF1848" s="4" t="str">
        <f aca="false">HYPERLINK("http://dx.doi.org/10.1128/CDLI.12.1.187-191.2005","http://dx.doi.org/10.1128/CDLI.12.1.187-191.2005")</f>
        <v>http://dx.doi.org/10.1128/CDLI.12.1.187-191.2005</v>
      </c>
      <c r="BG1848" s="4"/>
      <c r="BH1848" s="4"/>
      <c r="BI1848" s="4" t="n">
        <v>5</v>
      </c>
      <c r="BJ1848" s="4" t="s">
        <v>536</v>
      </c>
      <c r="BK1848" s="4" t="s">
        <v>100</v>
      </c>
      <c r="BL1848" s="4" t="s">
        <v>536</v>
      </c>
      <c r="BM1848" s="4" t="s">
        <v>28367</v>
      </c>
      <c r="BN1848" s="4" t="n">
        <v>15643005</v>
      </c>
      <c r="BO1848" s="4" t="s">
        <v>165</v>
      </c>
      <c r="BP1848" s="4"/>
      <c r="BQ1848" s="4"/>
      <c r="BR1848" s="4" t="s">
        <v>104</v>
      </c>
      <c r="BS1848" s="4" t="s">
        <v>31472</v>
      </c>
      <c r="BT1848" s="4" t="str">
        <f aca="false">HYPERLINK("https%3A%2F%2Fwww.webofscience.com%2Fwos%2Fwoscc%2Ffull-record%2FWOS:000227271800026","View Full Record in Web of Science")</f>
        <v>View Full Record in Web of Science</v>
      </c>
    </row>
    <row r="1849" s="5" customFormat="true" ht="12.75" hidden="false" customHeight="false" outlineLevel="0" collapsed="false">
      <c r="A1849" s="4" t="s">
        <v>72</v>
      </c>
      <c r="B1849" s="4" t="s">
        <v>31473</v>
      </c>
      <c r="C1849" s="4"/>
      <c r="D1849" s="4"/>
      <c r="E1849" s="4"/>
      <c r="F1849" s="4" t="s">
        <v>31474</v>
      </c>
      <c r="G1849" s="4"/>
      <c r="H1849" s="4"/>
      <c r="I1849" s="4" t="s">
        <v>31475</v>
      </c>
      <c r="J1849" s="4" t="s">
        <v>742</v>
      </c>
      <c r="K1849" s="4"/>
      <c r="L1849" s="4"/>
      <c r="M1849" s="4" t="s">
        <v>77</v>
      </c>
      <c r="N1849" s="4" t="s">
        <v>78</v>
      </c>
      <c r="O1849" s="4"/>
      <c r="P1849" s="4"/>
      <c r="Q1849" s="4"/>
      <c r="R1849" s="4"/>
      <c r="S1849" s="4"/>
      <c r="T1849" s="1" t="s">
        <v>31476</v>
      </c>
      <c r="U1849" s="4" t="s">
        <v>31477</v>
      </c>
      <c r="V1849" s="4" t="s">
        <v>31478</v>
      </c>
      <c r="W1849" s="4" t="s">
        <v>31479</v>
      </c>
      <c r="X1849" s="4" t="s">
        <v>10631</v>
      </c>
      <c r="Y1849" s="4" t="s">
        <v>31480</v>
      </c>
      <c r="Z1849" s="4" t="s">
        <v>31481</v>
      </c>
      <c r="AA1849" s="4" t="s">
        <v>31482</v>
      </c>
      <c r="AB1849" s="4" t="s">
        <v>31483</v>
      </c>
      <c r="AC1849" s="4" t="s">
        <v>31484</v>
      </c>
      <c r="AD1849" s="4" t="s">
        <v>31485</v>
      </c>
      <c r="AE1849" s="4" t="s">
        <v>31486</v>
      </c>
      <c r="AF1849" s="4"/>
      <c r="AG1849" s="4" t="n">
        <v>91</v>
      </c>
      <c r="AH1849" s="4" t="n">
        <v>21</v>
      </c>
      <c r="AI1849" s="4" t="n">
        <v>24</v>
      </c>
      <c r="AJ1849" s="4" t="n">
        <v>0</v>
      </c>
      <c r="AK1849" s="4" t="n">
        <v>5</v>
      </c>
      <c r="AL1849" s="4" t="s">
        <v>755</v>
      </c>
      <c r="AM1849" s="4" t="s">
        <v>273</v>
      </c>
      <c r="AN1849" s="4" t="s">
        <v>756</v>
      </c>
      <c r="AO1849" s="4" t="s">
        <v>757</v>
      </c>
      <c r="AP1849" s="4" t="s">
        <v>758</v>
      </c>
      <c r="AQ1849" s="4"/>
      <c r="AR1849" s="4" t="s">
        <v>759</v>
      </c>
      <c r="AS1849" s="4" t="s">
        <v>760</v>
      </c>
      <c r="AT1849" s="4" t="s">
        <v>599</v>
      </c>
      <c r="AU1849" s="4" t="n">
        <v>2011</v>
      </c>
      <c r="AV1849" s="4" t="n">
        <v>85</v>
      </c>
      <c r="AW1849" s="4" t="n">
        <v>13</v>
      </c>
      <c r="AX1849" s="4"/>
      <c r="AY1849" s="4"/>
      <c r="AZ1849" s="4"/>
      <c r="BA1849" s="4"/>
      <c r="BB1849" s="4" t="n">
        <v>6594</v>
      </c>
      <c r="BC1849" s="4" t="n">
        <v>6609</v>
      </c>
      <c r="BD1849" s="4"/>
      <c r="BE1849" s="4" t="s">
        <v>31487</v>
      </c>
      <c r="BF1849" s="4" t="str">
        <f aca="false">HYPERLINK("http://dx.doi.org/10.1128/JVI.02694-10","http://dx.doi.org/10.1128/JVI.02694-10")</f>
        <v>http://dx.doi.org/10.1128/JVI.02694-10</v>
      </c>
      <c r="BG1849" s="4"/>
      <c r="BH1849" s="4"/>
      <c r="BI1849" s="4" t="n">
        <v>16</v>
      </c>
      <c r="BJ1849" s="4" t="s">
        <v>163</v>
      </c>
      <c r="BK1849" s="4" t="s">
        <v>100</v>
      </c>
      <c r="BL1849" s="4" t="s">
        <v>163</v>
      </c>
      <c r="BM1849" s="4" t="s">
        <v>31488</v>
      </c>
      <c r="BN1849" s="4" t="n">
        <v>21525358</v>
      </c>
      <c r="BO1849" s="4" t="s">
        <v>538</v>
      </c>
      <c r="BP1849" s="4"/>
      <c r="BQ1849" s="4"/>
      <c r="BR1849" s="4" t="s">
        <v>104</v>
      </c>
      <c r="BS1849" s="4" t="s">
        <v>31489</v>
      </c>
      <c r="BT1849" s="4" t="str">
        <f aca="false">HYPERLINK("https%3A%2F%2Fwww.webofscience.com%2Fwos%2Fwoscc%2Ffull-record%2FWOS:000291434300047","View Full Record in Web of Science")</f>
        <v>View Full Record in Web of Science</v>
      </c>
    </row>
    <row r="1850" s="5" customFormat="true" ht="12.75" hidden="false" customHeight="false" outlineLevel="0" collapsed="false">
      <c r="A1850" s="4" t="s">
        <v>72</v>
      </c>
      <c r="B1850" s="4" t="s">
        <v>31490</v>
      </c>
      <c r="C1850" s="4"/>
      <c r="D1850" s="4"/>
      <c r="E1850" s="4"/>
      <c r="F1850" s="4" t="s">
        <v>31491</v>
      </c>
      <c r="G1850" s="4"/>
      <c r="H1850" s="4"/>
      <c r="I1850" s="4" t="s">
        <v>31492</v>
      </c>
      <c r="J1850" s="4" t="s">
        <v>8945</v>
      </c>
      <c r="K1850" s="4"/>
      <c r="L1850" s="4"/>
      <c r="M1850" s="4" t="s">
        <v>77</v>
      </c>
      <c r="N1850" s="4" t="s">
        <v>78</v>
      </c>
      <c r="O1850" s="4"/>
      <c r="P1850" s="4"/>
      <c r="Q1850" s="4"/>
      <c r="R1850" s="4"/>
      <c r="S1850" s="4"/>
      <c r="T1850" s="1" t="s">
        <v>31493</v>
      </c>
      <c r="U1850" s="4" t="s">
        <v>31494</v>
      </c>
      <c r="V1850" s="4" t="s">
        <v>31495</v>
      </c>
      <c r="W1850" s="4" t="s">
        <v>31496</v>
      </c>
      <c r="X1850" s="4" t="s">
        <v>31497</v>
      </c>
      <c r="Y1850" s="4" t="s">
        <v>31498</v>
      </c>
      <c r="Z1850" s="4" t="s">
        <v>31499</v>
      </c>
      <c r="AA1850" s="4" t="s">
        <v>31500</v>
      </c>
      <c r="AB1850" s="4" t="s">
        <v>31501</v>
      </c>
      <c r="AC1850" s="4" t="s">
        <v>31502</v>
      </c>
      <c r="AD1850" s="4" t="s">
        <v>31502</v>
      </c>
      <c r="AE1850" s="4" t="s">
        <v>31503</v>
      </c>
      <c r="AF1850" s="4"/>
      <c r="AG1850" s="4" t="n">
        <v>20</v>
      </c>
      <c r="AH1850" s="4" t="n">
        <v>16</v>
      </c>
      <c r="AI1850" s="4" t="n">
        <v>18</v>
      </c>
      <c r="AJ1850" s="4" t="n">
        <v>0</v>
      </c>
      <c r="AK1850" s="4" t="n">
        <v>3</v>
      </c>
      <c r="AL1850" s="4" t="s">
        <v>8957</v>
      </c>
      <c r="AM1850" s="4" t="s">
        <v>303</v>
      </c>
      <c r="AN1850" s="4" t="s">
        <v>8958</v>
      </c>
      <c r="AO1850" s="4" t="s">
        <v>8959</v>
      </c>
      <c r="AP1850" s="4" t="s">
        <v>8960</v>
      </c>
      <c r="AQ1850" s="4"/>
      <c r="AR1850" s="4" t="s">
        <v>8961</v>
      </c>
      <c r="AS1850" s="4" t="s">
        <v>8962</v>
      </c>
      <c r="AT1850" s="4"/>
      <c r="AU1850" s="4" t="n">
        <v>2009</v>
      </c>
      <c r="AV1850" s="4" t="n">
        <v>41</v>
      </c>
      <c r="AW1850" s="4" t="n">
        <v>5</v>
      </c>
      <c r="AX1850" s="4"/>
      <c r="AY1850" s="4"/>
      <c r="AZ1850" s="4"/>
      <c r="BA1850" s="4"/>
      <c r="BB1850" s="4" t="n">
        <v>363</v>
      </c>
      <c r="BC1850" s="4" t="n">
        <v>367</v>
      </c>
      <c r="BD1850" s="4" t="s">
        <v>31504</v>
      </c>
      <c r="BE1850" s="4" t="s">
        <v>31505</v>
      </c>
      <c r="BF1850" s="4" t="str">
        <f aca="false">HYPERLINK("http://dx.doi.org/10.1080/00365540902849375","http://dx.doi.org/10.1080/00365540902849375")</f>
        <v>http://dx.doi.org/10.1080/00365540902849375</v>
      </c>
      <c r="BG1850" s="4"/>
      <c r="BH1850" s="4"/>
      <c r="BI1850" s="4" t="n">
        <v>5</v>
      </c>
      <c r="BJ1850" s="4" t="s">
        <v>575</v>
      </c>
      <c r="BK1850" s="4" t="s">
        <v>100</v>
      </c>
      <c r="BL1850" s="4" t="s">
        <v>575</v>
      </c>
      <c r="BM1850" s="4" t="s">
        <v>31506</v>
      </c>
      <c r="BN1850" s="4" t="n">
        <v>19308801</v>
      </c>
      <c r="BO1850" s="4"/>
      <c r="BP1850" s="4"/>
      <c r="BQ1850" s="4"/>
      <c r="BR1850" s="4" t="s">
        <v>104</v>
      </c>
      <c r="BS1850" s="4" t="s">
        <v>31507</v>
      </c>
      <c r="BT1850" s="4" t="str">
        <f aca="false">HYPERLINK("https%3A%2F%2Fwww.webofscience.com%2Fwos%2Fwoscc%2Ffull-record%2FWOS:000265302100006","View Full Record in Web of Science")</f>
        <v>View Full Record in Web of Science</v>
      </c>
    </row>
    <row r="1851" s="5" customFormat="true" ht="12.75" hidden="false" customHeight="false" outlineLevel="0" collapsed="false">
      <c r="A1851" s="4" t="s">
        <v>72</v>
      </c>
      <c r="B1851" s="4" t="s">
        <v>31508</v>
      </c>
      <c r="C1851" s="4"/>
      <c r="D1851" s="4"/>
      <c r="E1851" s="4"/>
      <c r="F1851" s="4" t="s">
        <v>31508</v>
      </c>
      <c r="G1851" s="4"/>
      <c r="H1851" s="4"/>
      <c r="I1851" s="4" t="s">
        <v>31509</v>
      </c>
      <c r="J1851" s="4" t="s">
        <v>514</v>
      </c>
      <c r="K1851" s="4"/>
      <c r="L1851" s="4"/>
      <c r="M1851" s="4" t="s">
        <v>77</v>
      </c>
      <c r="N1851" s="4" t="s">
        <v>78</v>
      </c>
      <c r="O1851" s="4"/>
      <c r="P1851" s="4"/>
      <c r="Q1851" s="4"/>
      <c r="R1851" s="4"/>
      <c r="S1851" s="4"/>
      <c r="T1851" s="1" t="s">
        <v>31510</v>
      </c>
      <c r="U1851" s="4" t="s">
        <v>31511</v>
      </c>
      <c r="V1851" s="4" t="s">
        <v>31512</v>
      </c>
      <c r="W1851" s="4" t="s">
        <v>31513</v>
      </c>
      <c r="X1851" s="4" t="s">
        <v>31514</v>
      </c>
      <c r="Y1851" s="4" t="s">
        <v>31515</v>
      </c>
      <c r="Z1851" s="4" t="s">
        <v>10351</v>
      </c>
      <c r="AA1851" s="4"/>
      <c r="AB1851" s="4"/>
      <c r="AC1851" s="4"/>
      <c r="AD1851" s="4"/>
      <c r="AE1851" s="4"/>
      <c r="AF1851" s="4"/>
      <c r="AG1851" s="4" t="n">
        <v>36</v>
      </c>
      <c r="AH1851" s="4" t="n">
        <v>123</v>
      </c>
      <c r="AI1851" s="4" t="n">
        <v>144</v>
      </c>
      <c r="AJ1851" s="4" t="n">
        <v>0</v>
      </c>
      <c r="AK1851" s="4" t="n">
        <v>3</v>
      </c>
      <c r="AL1851" s="4" t="s">
        <v>527</v>
      </c>
      <c r="AM1851" s="4" t="s">
        <v>528</v>
      </c>
      <c r="AN1851" s="4" t="s">
        <v>529</v>
      </c>
      <c r="AO1851" s="4" t="s">
        <v>530</v>
      </c>
      <c r="AP1851" s="4" t="s">
        <v>531</v>
      </c>
      <c r="AQ1851" s="4"/>
      <c r="AR1851" s="4" t="s">
        <v>532</v>
      </c>
      <c r="AS1851" s="4" t="s">
        <v>533</v>
      </c>
      <c r="AT1851" s="4" t="s">
        <v>673</v>
      </c>
      <c r="AU1851" s="4" t="n">
        <v>2004</v>
      </c>
      <c r="AV1851" s="4" t="n">
        <v>189</v>
      </c>
      <c r="AW1851" s="4" t="n">
        <v>11</v>
      </c>
      <c r="AX1851" s="4"/>
      <c r="AY1851" s="4"/>
      <c r="AZ1851" s="4"/>
      <c r="BA1851" s="4"/>
      <c r="BB1851" s="4" t="n">
        <v>2047</v>
      </c>
      <c r="BC1851" s="4" t="n">
        <v>2056</v>
      </c>
      <c r="BD1851" s="4"/>
      <c r="BE1851" s="4" t="s">
        <v>31516</v>
      </c>
      <c r="BF1851" s="4" t="str">
        <f aca="false">HYPERLINK("http://dx.doi.org/10.1086/383350","http://dx.doi.org/10.1086/383350")</f>
        <v>http://dx.doi.org/10.1086/383350</v>
      </c>
      <c r="BG1851" s="4"/>
      <c r="BH1851" s="4"/>
      <c r="BI1851" s="4" t="n">
        <v>10</v>
      </c>
      <c r="BJ1851" s="4" t="s">
        <v>536</v>
      </c>
      <c r="BK1851" s="4" t="s">
        <v>100</v>
      </c>
      <c r="BL1851" s="4" t="s">
        <v>536</v>
      </c>
      <c r="BM1851" s="4" t="s">
        <v>31517</v>
      </c>
      <c r="BN1851" s="4" t="n">
        <v>15143472</v>
      </c>
      <c r="BO1851" s="4" t="s">
        <v>656</v>
      </c>
      <c r="BP1851" s="4"/>
      <c r="BQ1851" s="4"/>
      <c r="BR1851" s="4" t="s">
        <v>104</v>
      </c>
      <c r="BS1851" s="4" t="s">
        <v>31518</v>
      </c>
      <c r="BT1851" s="4" t="str">
        <f aca="false">HYPERLINK("https%3A%2F%2Fwww.webofscience.com%2Fwos%2Fwoscc%2Ffull-record%2FWOS:000221653500012","View Full Record in Web of Science")</f>
        <v>View Full Record in Web of Science</v>
      </c>
    </row>
    <row r="1852" s="5" customFormat="true" ht="12.75" hidden="false" customHeight="false" outlineLevel="0" collapsed="false">
      <c r="A1852" s="4" t="s">
        <v>72</v>
      </c>
      <c r="B1852" s="4" t="s">
        <v>31519</v>
      </c>
      <c r="C1852" s="4"/>
      <c r="D1852" s="4"/>
      <c r="E1852" s="4"/>
      <c r="F1852" s="4" t="s">
        <v>31520</v>
      </c>
      <c r="G1852" s="4"/>
      <c r="H1852" s="4"/>
      <c r="I1852" s="4" t="s">
        <v>31521</v>
      </c>
      <c r="J1852" s="4" t="s">
        <v>18907</v>
      </c>
      <c r="K1852" s="4"/>
      <c r="L1852" s="4"/>
      <c r="M1852" s="4" t="s">
        <v>77</v>
      </c>
      <c r="N1852" s="4" t="s">
        <v>78</v>
      </c>
      <c r="O1852" s="4"/>
      <c r="P1852" s="4"/>
      <c r="Q1852" s="4"/>
      <c r="R1852" s="4"/>
      <c r="S1852" s="4"/>
      <c r="T1852" s="1" t="s">
        <v>31522</v>
      </c>
      <c r="U1852" s="4" t="s">
        <v>31523</v>
      </c>
      <c r="V1852" s="4" t="s">
        <v>31524</v>
      </c>
      <c r="W1852" s="4" t="s">
        <v>31525</v>
      </c>
      <c r="X1852" s="4" t="s">
        <v>31526</v>
      </c>
      <c r="Y1852" s="4" t="s">
        <v>31527</v>
      </c>
      <c r="Z1852" s="4" t="s">
        <v>31528</v>
      </c>
      <c r="AA1852" s="4" t="s">
        <v>31529</v>
      </c>
      <c r="AB1852" s="4" t="s">
        <v>31530</v>
      </c>
      <c r="AC1852" s="4" t="s">
        <v>31531</v>
      </c>
      <c r="AD1852" s="4" t="s">
        <v>31532</v>
      </c>
      <c r="AE1852" s="4" t="s">
        <v>31533</v>
      </c>
      <c r="AF1852" s="4"/>
      <c r="AG1852" s="4" t="n">
        <v>36</v>
      </c>
      <c r="AH1852" s="4" t="n">
        <v>65</v>
      </c>
      <c r="AI1852" s="4" t="n">
        <v>71</v>
      </c>
      <c r="AJ1852" s="4" t="n">
        <v>0</v>
      </c>
      <c r="AK1852" s="4" t="n">
        <v>7</v>
      </c>
      <c r="AL1852" s="4" t="s">
        <v>31534</v>
      </c>
      <c r="AM1852" s="4" t="s">
        <v>1705</v>
      </c>
      <c r="AN1852" s="4" t="s">
        <v>18921</v>
      </c>
      <c r="AO1852" s="4" t="s">
        <v>18922</v>
      </c>
      <c r="AP1852" s="4"/>
      <c r="AQ1852" s="4"/>
      <c r="AR1852" s="4" t="s">
        <v>18907</v>
      </c>
      <c r="AS1852" s="4" t="s">
        <v>18923</v>
      </c>
      <c r="AT1852" s="4" t="s">
        <v>1818</v>
      </c>
      <c r="AU1852" s="4" t="n">
        <v>2016</v>
      </c>
      <c r="AV1852" s="4" t="n">
        <v>5</v>
      </c>
      <c r="AW1852" s="4"/>
      <c r="AX1852" s="4"/>
      <c r="AY1852" s="4"/>
      <c r="AZ1852" s="4"/>
      <c r="BA1852" s="4"/>
      <c r="BB1852" s="4"/>
      <c r="BC1852" s="4"/>
      <c r="BD1852" s="4" t="s">
        <v>31535</v>
      </c>
      <c r="BE1852" s="4" t="s">
        <v>31536</v>
      </c>
      <c r="BF1852" s="4" t="str">
        <f aca="false">HYPERLINK("http://dx.doi.org/10.7554/eLife.12627","http://dx.doi.org/10.7554/eLife.12627")</f>
        <v>http://dx.doi.org/10.7554/eLife.12627</v>
      </c>
      <c r="BG1852" s="4"/>
      <c r="BH1852" s="4"/>
      <c r="BI1852" s="4" t="n">
        <v>12</v>
      </c>
      <c r="BJ1852" s="4" t="s">
        <v>18926</v>
      </c>
      <c r="BK1852" s="4" t="s">
        <v>100</v>
      </c>
      <c r="BL1852" s="4" t="s">
        <v>18927</v>
      </c>
      <c r="BM1852" s="4" t="s">
        <v>31537</v>
      </c>
      <c r="BN1852" s="4" t="n">
        <v>26880565</v>
      </c>
      <c r="BO1852" s="4" t="s">
        <v>6349</v>
      </c>
      <c r="BP1852" s="4"/>
      <c r="BQ1852" s="4"/>
      <c r="BR1852" s="4" t="s">
        <v>104</v>
      </c>
      <c r="BS1852" s="4" t="s">
        <v>31538</v>
      </c>
      <c r="BT1852" s="4" t="str">
        <f aca="false">HYPERLINK("https%3A%2F%2Fwww.webofscience.com%2Fwos%2Fwoscc%2Ffull-record%2FWOS:000371870200001","View Full Record in Web of Science")</f>
        <v>View Full Record in Web of Science</v>
      </c>
    </row>
    <row r="1853" s="5" customFormat="true" ht="12.75" hidden="false" customHeight="false" outlineLevel="0" collapsed="false">
      <c r="A1853" s="4" t="s">
        <v>72</v>
      </c>
      <c r="B1853" s="4" t="s">
        <v>31539</v>
      </c>
      <c r="C1853" s="4"/>
      <c r="D1853" s="4"/>
      <c r="E1853" s="4"/>
      <c r="F1853" s="4" t="s">
        <v>31540</v>
      </c>
      <c r="G1853" s="4"/>
      <c r="H1853" s="4"/>
      <c r="I1853" s="4" t="s">
        <v>31541</v>
      </c>
      <c r="J1853" s="4" t="s">
        <v>27820</v>
      </c>
      <c r="K1853" s="4"/>
      <c r="L1853" s="4"/>
      <c r="M1853" s="4" t="s">
        <v>77</v>
      </c>
      <c r="N1853" s="4" t="s">
        <v>78</v>
      </c>
      <c r="O1853" s="4"/>
      <c r="P1853" s="4"/>
      <c r="Q1853" s="4"/>
      <c r="R1853" s="4"/>
      <c r="S1853" s="4"/>
      <c r="T1853" s="1" t="s">
        <v>31542</v>
      </c>
      <c r="U1853" s="4" t="s">
        <v>31543</v>
      </c>
      <c r="V1853" s="4" t="s">
        <v>31544</v>
      </c>
      <c r="W1853" s="4" t="s">
        <v>31545</v>
      </c>
      <c r="X1853" s="4" t="s">
        <v>30999</v>
      </c>
      <c r="Y1853" s="4" t="s">
        <v>31546</v>
      </c>
      <c r="Z1853" s="4" t="s">
        <v>6710</v>
      </c>
      <c r="AA1853" s="4" t="s">
        <v>31547</v>
      </c>
      <c r="AB1853" s="4" t="s">
        <v>9547</v>
      </c>
      <c r="AC1853" s="4" t="s">
        <v>5607</v>
      </c>
      <c r="AD1853" s="4" t="s">
        <v>1621</v>
      </c>
      <c r="AE1853" s="4" t="s">
        <v>31003</v>
      </c>
      <c r="AF1853" s="4"/>
      <c r="AG1853" s="4" t="n">
        <v>67</v>
      </c>
      <c r="AH1853" s="4" t="n">
        <v>31</v>
      </c>
      <c r="AI1853" s="4" t="n">
        <v>33</v>
      </c>
      <c r="AJ1853" s="4" t="n">
        <v>0</v>
      </c>
      <c r="AK1853" s="4" t="n">
        <v>2</v>
      </c>
      <c r="AL1853" s="4" t="s">
        <v>27506</v>
      </c>
      <c r="AM1853" s="4" t="s">
        <v>27507</v>
      </c>
      <c r="AN1853" s="4" t="s">
        <v>27508</v>
      </c>
      <c r="AO1853" s="4" t="s">
        <v>27831</v>
      </c>
      <c r="AP1853" s="4" t="s">
        <v>27832</v>
      </c>
      <c r="AQ1853" s="4"/>
      <c r="AR1853" s="4" t="s">
        <v>27833</v>
      </c>
      <c r="AS1853" s="4" t="s">
        <v>27834</v>
      </c>
      <c r="AT1853" s="4" t="s">
        <v>486</v>
      </c>
      <c r="AU1853" s="4" t="n">
        <v>2011</v>
      </c>
      <c r="AV1853" s="4" t="n">
        <v>7</v>
      </c>
      <c r="AW1853" s="4" t="n">
        <v>6</v>
      </c>
      <c r="AX1853" s="4"/>
      <c r="AY1853" s="4"/>
      <c r="AZ1853" s="4"/>
      <c r="BA1853" s="4"/>
      <c r="BB1853" s="4"/>
      <c r="BC1853" s="4"/>
      <c r="BD1853" s="4" t="s">
        <v>31548</v>
      </c>
      <c r="BE1853" s="4" t="s">
        <v>31549</v>
      </c>
      <c r="BF1853" s="4" t="str">
        <f aca="false">HYPERLINK("http://dx.doi.org/10.1371/journal.ppat.1002105","http://dx.doi.org/10.1371/journal.ppat.1002105")</f>
        <v>http://dx.doi.org/10.1371/journal.ppat.1002105</v>
      </c>
      <c r="BG1853" s="4"/>
      <c r="BH1853" s="4"/>
      <c r="BI1853" s="4" t="n">
        <v>13</v>
      </c>
      <c r="BJ1853" s="4" t="s">
        <v>27837</v>
      </c>
      <c r="BK1853" s="4" t="s">
        <v>100</v>
      </c>
      <c r="BL1853" s="4" t="s">
        <v>27837</v>
      </c>
      <c r="BM1853" s="4" t="s">
        <v>31550</v>
      </c>
      <c r="BN1853" s="4" t="n">
        <v>21731495</v>
      </c>
      <c r="BO1853" s="4" t="s">
        <v>11315</v>
      </c>
      <c r="BP1853" s="4"/>
      <c r="BQ1853" s="4"/>
      <c r="BR1853" s="4" t="s">
        <v>104</v>
      </c>
      <c r="BS1853" s="4" t="s">
        <v>31551</v>
      </c>
      <c r="BT1853" s="4" t="str">
        <f aca="false">HYPERLINK("https%3A%2F%2Fwww.webofscience.com%2Fwos%2Fwoscc%2Ffull-record%2FWOS:000292379600039","View Full Record in Web of Science")</f>
        <v>View Full Record in Web of Science</v>
      </c>
    </row>
    <row r="1854" s="5" customFormat="true" ht="12.75" hidden="false" customHeight="false" outlineLevel="0" collapsed="false">
      <c r="A1854" s="4" t="s">
        <v>72</v>
      </c>
      <c r="B1854" s="4" t="s">
        <v>31552</v>
      </c>
      <c r="C1854" s="4"/>
      <c r="D1854" s="4"/>
      <c r="E1854" s="4"/>
      <c r="F1854" s="4" t="s">
        <v>31553</v>
      </c>
      <c r="G1854" s="4"/>
      <c r="H1854" s="4"/>
      <c r="I1854" s="4" t="s">
        <v>31554</v>
      </c>
      <c r="J1854" s="4" t="s">
        <v>28246</v>
      </c>
      <c r="K1854" s="4"/>
      <c r="L1854" s="4"/>
      <c r="M1854" s="4" t="s">
        <v>77</v>
      </c>
      <c r="N1854" s="4" t="s">
        <v>78</v>
      </c>
      <c r="O1854" s="4"/>
      <c r="P1854" s="4"/>
      <c r="Q1854" s="4"/>
      <c r="R1854" s="4"/>
      <c r="S1854" s="4"/>
      <c r="T1854" s="1" t="s">
        <v>31555</v>
      </c>
      <c r="U1854" s="4" t="s">
        <v>31556</v>
      </c>
      <c r="V1854" s="4" t="s">
        <v>31557</v>
      </c>
      <c r="W1854" s="4" t="s">
        <v>31558</v>
      </c>
      <c r="X1854" s="4" t="s">
        <v>31559</v>
      </c>
      <c r="Y1854" s="4" t="s">
        <v>31560</v>
      </c>
      <c r="Z1854" s="4" t="s">
        <v>31561</v>
      </c>
      <c r="AA1854" s="4" t="s">
        <v>31562</v>
      </c>
      <c r="AB1854" s="4" t="s">
        <v>31563</v>
      </c>
      <c r="AC1854" s="4" t="s">
        <v>31564</v>
      </c>
      <c r="AD1854" s="4" t="s">
        <v>31565</v>
      </c>
      <c r="AE1854" s="4" t="s">
        <v>31566</v>
      </c>
      <c r="AF1854" s="4"/>
      <c r="AG1854" s="4" t="n">
        <v>82</v>
      </c>
      <c r="AH1854" s="4" t="n">
        <v>1</v>
      </c>
      <c r="AI1854" s="4" t="n">
        <v>1</v>
      </c>
      <c r="AJ1854" s="4" t="n">
        <v>1</v>
      </c>
      <c r="AK1854" s="4" t="n">
        <v>2</v>
      </c>
      <c r="AL1854" s="4" t="s">
        <v>6405</v>
      </c>
      <c r="AM1854" s="4" t="s">
        <v>6406</v>
      </c>
      <c r="AN1854" s="4" t="s">
        <v>6407</v>
      </c>
      <c r="AO1854" s="4"/>
      <c r="AP1854" s="4" t="s">
        <v>28255</v>
      </c>
      <c r="AQ1854" s="4"/>
      <c r="AR1854" s="4" t="s">
        <v>28256</v>
      </c>
      <c r="AS1854" s="4" t="s">
        <v>28257</v>
      </c>
      <c r="AT1854" s="4" t="s">
        <v>26551</v>
      </c>
      <c r="AU1854" s="4" t="n">
        <v>2023</v>
      </c>
      <c r="AV1854" s="4" t="n">
        <v>14</v>
      </c>
      <c r="AW1854" s="4" t="n">
        <v>1</v>
      </c>
      <c r="AX1854" s="4"/>
      <c r="AY1854" s="4"/>
      <c r="AZ1854" s="4"/>
      <c r="BA1854" s="4"/>
      <c r="BB1854" s="4"/>
      <c r="BC1854" s="4"/>
      <c r="BD1854" s="4" t="n">
        <v>7627</v>
      </c>
      <c r="BE1854" s="4" t="s">
        <v>31567</v>
      </c>
      <c r="BF1854" s="4" t="str">
        <f aca="false">HYPERLINK("http://dx.doi.org/10.1038/s41467-023-43434-5","http://dx.doi.org/10.1038/s41467-023-43434-5")</f>
        <v>http://dx.doi.org/10.1038/s41467-023-43434-5</v>
      </c>
      <c r="BG1854" s="4"/>
      <c r="BH1854" s="4"/>
      <c r="BI1854" s="4" t="n">
        <v>14</v>
      </c>
      <c r="BJ1854" s="4" t="s">
        <v>1658</v>
      </c>
      <c r="BK1854" s="4" t="s">
        <v>100</v>
      </c>
      <c r="BL1854" s="4" t="s">
        <v>1659</v>
      </c>
      <c r="BM1854" s="4" t="s">
        <v>31568</v>
      </c>
      <c r="BN1854" s="4" t="n">
        <v>37993464</v>
      </c>
      <c r="BO1854" s="4" t="s">
        <v>103</v>
      </c>
      <c r="BP1854" s="4"/>
      <c r="BQ1854" s="4"/>
      <c r="BR1854" s="4" t="s">
        <v>104</v>
      </c>
      <c r="BS1854" s="4" t="s">
        <v>31569</v>
      </c>
      <c r="BT1854" s="4" t="str">
        <f aca="false">HYPERLINK("https%3A%2F%2Fwww.webofscience.com%2Fwos%2Fwoscc%2Ffull-record%2FWOS:001108433300011","View Full Record in Web of Science")</f>
        <v>View Full Record in Web of Science</v>
      </c>
    </row>
    <row r="1855" s="5" customFormat="true" ht="12.75" hidden="false" customHeight="false" outlineLevel="0" collapsed="false">
      <c r="A1855" s="4" t="s">
        <v>72</v>
      </c>
      <c r="B1855" s="4" t="s">
        <v>31570</v>
      </c>
      <c r="C1855" s="4"/>
      <c r="D1855" s="4"/>
      <c r="E1855" s="4"/>
      <c r="F1855" s="4" t="s">
        <v>31571</v>
      </c>
      <c r="G1855" s="4"/>
      <c r="H1855" s="4"/>
      <c r="I1855" s="4" t="s">
        <v>31572</v>
      </c>
      <c r="J1855" s="4" t="s">
        <v>27915</v>
      </c>
      <c r="K1855" s="4"/>
      <c r="L1855" s="4"/>
      <c r="M1855" s="4" t="s">
        <v>77</v>
      </c>
      <c r="N1855" s="4" t="s">
        <v>78</v>
      </c>
      <c r="O1855" s="4"/>
      <c r="P1855" s="4"/>
      <c r="Q1855" s="4"/>
      <c r="R1855" s="4"/>
      <c r="S1855" s="4"/>
      <c r="T1855" s="1" t="s">
        <v>31573</v>
      </c>
      <c r="U1855" s="4" t="s">
        <v>31574</v>
      </c>
      <c r="V1855" s="4" t="s">
        <v>31575</v>
      </c>
      <c r="W1855" s="4" t="s">
        <v>31576</v>
      </c>
      <c r="X1855" s="4" t="s">
        <v>9631</v>
      </c>
      <c r="Y1855" s="4" t="s">
        <v>31577</v>
      </c>
      <c r="Z1855" s="4" t="s">
        <v>6724</v>
      </c>
      <c r="AA1855" s="4" t="s">
        <v>750</v>
      </c>
      <c r="AB1855" s="4" t="s">
        <v>31578</v>
      </c>
      <c r="AC1855" s="4" t="s">
        <v>31579</v>
      </c>
      <c r="AD1855" s="4" t="s">
        <v>31580</v>
      </c>
      <c r="AE1855" s="4" t="s">
        <v>31581</v>
      </c>
      <c r="AF1855" s="4"/>
      <c r="AG1855" s="4" t="n">
        <v>54</v>
      </c>
      <c r="AH1855" s="4" t="n">
        <v>31</v>
      </c>
      <c r="AI1855" s="4" t="n">
        <v>41</v>
      </c>
      <c r="AJ1855" s="4" t="n">
        <v>0</v>
      </c>
      <c r="AK1855" s="4" t="n">
        <v>6</v>
      </c>
      <c r="AL1855" s="4" t="s">
        <v>27927</v>
      </c>
      <c r="AM1855" s="4" t="s">
        <v>27928</v>
      </c>
      <c r="AN1855" s="4" t="s">
        <v>27929</v>
      </c>
      <c r="AO1855" s="4" t="s">
        <v>27930</v>
      </c>
      <c r="AP1855" s="4" t="s">
        <v>27931</v>
      </c>
      <c r="AQ1855" s="4"/>
      <c r="AR1855" s="4" t="s">
        <v>27932</v>
      </c>
      <c r="AS1855" s="4" t="s">
        <v>27933</v>
      </c>
      <c r="AT1855" s="4" t="s">
        <v>4756</v>
      </c>
      <c r="AU1855" s="4" t="n">
        <v>2014</v>
      </c>
      <c r="AV1855" s="4" t="n">
        <v>193</v>
      </c>
      <c r="AW1855" s="4" t="n">
        <v>10</v>
      </c>
      <c r="AX1855" s="4"/>
      <c r="AY1855" s="4"/>
      <c r="AZ1855" s="4"/>
      <c r="BA1855" s="4"/>
      <c r="BB1855" s="4" t="n">
        <v>5108</v>
      </c>
      <c r="BC1855" s="4" t="n">
        <v>5117</v>
      </c>
      <c r="BD1855" s="4"/>
      <c r="BE1855" s="4" t="s">
        <v>31582</v>
      </c>
      <c r="BF1855" s="4" t="str">
        <f aca="false">HYPERLINK("http://dx.doi.org/10.4049/jimmunol.1302208","http://dx.doi.org/10.4049/jimmunol.1302208")</f>
        <v>http://dx.doi.org/10.4049/jimmunol.1302208</v>
      </c>
      <c r="BG1855" s="4"/>
      <c r="BH1855" s="4"/>
      <c r="BI1855" s="4" t="n">
        <v>10</v>
      </c>
      <c r="BJ1855" s="4" t="s">
        <v>628</v>
      </c>
      <c r="BK1855" s="4" t="s">
        <v>100</v>
      </c>
      <c r="BL1855" s="4" t="s">
        <v>628</v>
      </c>
      <c r="BM1855" s="4" t="s">
        <v>31583</v>
      </c>
      <c r="BN1855" s="4" t="n">
        <v>25339663</v>
      </c>
      <c r="BO1855" s="4" t="s">
        <v>4062</v>
      </c>
      <c r="BP1855" s="4"/>
      <c r="BQ1855" s="4"/>
      <c r="BR1855" s="4" t="s">
        <v>104</v>
      </c>
      <c r="BS1855" s="4" t="s">
        <v>31584</v>
      </c>
      <c r="BT1855" s="4" t="str">
        <f aca="false">HYPERLINK("https%3A%2F%2Fwww.webofscience.com%2Fwos%2Fwoscc%2Ffull-record%2FWOS:000345023400039","View Full Record in Web of Science")</f>
        <v>View Full Record in Web of Science</v>
      </c>
    </row>
    <row r="1856" s="5" customFormat="true" ht="12.75" hidden="false" customHeight="false" outlineLevel="0" collapsed="false">
      <c r="A1856" s="4" t="s">
        <v>72</v>
      </c>
      <c r="B1856" s="4" t="s">
        <v>31585</v>
      </c>
      <c r="C1856" s="4"/>
      <c r="D1856" s="4"/>
      <c r="E1856" s="4"/>
      <c r="F1856" s="4" t="s">
        <v>31586</v>
      </c>
      <c r="G1856" s="4"/>
      <c r="H1856" s="4"/>
      <c r="I1856" s="4" t="s">
        <v>31587</v>
      </c>
      <c r="J1856" s="4" t="s">
        <v>27497</v>
      </c>
      <c r="K1856" s="4"/>
      <c r="L1856" s="4"/>
      <c r="M1856" s="4" t="s">
        <v>77</v>
      </c>
      <c r="N1856" s="4" t="s">
        <v>78</v>
      </c>
      <c r="O1856" s="4"/>
      <c r="P1856" s="4"/>
      <c r="Q1856" s="4"/>
      <c r="R1856" s="4"/>
      <c r="S1856" s="4"/>
      <c r="T1856" s="1" t="s">
        <v>31588</v>
      </c>
      <c r="U1856" s="4" t="s">
        <v>31589</v>
      </c>
      <c r="V1856" s="4" t="s">
        <v>31590</v>
      </c>
      <c r="W1856" s="4" t="s">
        <v>31591</v>
      </c>
      <c r="X1856" s="4" t="s">
        <v>11997</v>
      </c>
      <c r="Y1856" s="4" t="s">
        <v>31592</v>
      </c>
      <c r="Z1856" s="4" t="s">
        <v>23073</v>
      </c>
      <c r="AA1856" s="4" t="s">
        <v>7016</v>
      </c>
      <c r="AB1856" s="4" t="s">
        <v>31593</v>
      </c>
      <c r="AC1856" s="4" t="s">
        <v>31594</v>
      </c>
      <c r="AD1856" s="4" t="s">
        <v>7019</v>
      </c>
      <c r="AE1856" s="4" t="s">
        <v>31595</v>
      </c>
      <c r="AF1856" s="4"/>
      <c r="AG1856" s="4" t="n">
        <v>23</v>
      </c>
      <c r="AH1856" s="4" t="n">
        <v>32</v>
      </c>
      <c r="AI1856" s="4" t="n">
        <v>34</v>
      </c>
      <c r="AJ1856" s="4" t="n">
        <v>0</v>
      </c>
      <c r="AK1856" s="4" t="n">
        <v>5</v>
      </c>
      <c r="AL1856" s="4" t="s">
        <v>27506</v>
      </c>
      <c r="AM1856" s="4" t="s">
        <v>27507</v>
      </c>
      <c r="AN1856" s="4" t="s">
        <v>27508</v>
      </c>
      <c r="AO1856" s="4" t="s">
        <v>27509</v>
      </c>
      <c r="AP1856" s="4"/>
      <c r="AQ1856" s="4"/>
      <c r="AR1856" s="4" t="s">
        <v>27497</v>
      </c>
      <c r="AS1856" s="4" t="s">
        <v>27510</v>
      </c>
      <c r="AT1856" s="4" t="s">
        <v>10601</v>
      </c>
      <c r="AU1856" s="4" t="n">
        <v>2017</v>
      </c>
      <c r="AV1856" s="4" t="n">
        <v>12</v>
      </c>
      <c r="AW1856" s="4" t="n">
        <v>3</v>
      </c>
      <c r="AX1856" s="4"/>
      <c r="AY1856" s="4"/>
      <c r="AZ1856" s="4"/>
      <c r="BA1856" s="4"/>
      <c r="BB1856" s="4"/>
      <c r="BC1856" s="4"/>
      <c r="BD1856" s="4" t="s">
        <v>31596</v>
      </c>
      <c r="BE1856" s="4" t="s">
        <v>31597</v>
      </c>
      <c r="BF1856" s="4" t="str">
        <f aca="false">HYPERLINK("http://dx.doi.org/10.1371/journal.pone.0173504","http://dx.doi.org/10.1371/journal.pone.0173504")</f>
        <v>http://dx.doi.org/10.1371/journal.pone.0173504</v>
      </c>
      <c r="BG1856" s="4"/>
      <c r="BH1856" s="4"/>
      <c r="BI1856" s="4" t="n">
        <v>12</v>
      </c>
      <c r="BJ1856" s="4" t="s">
        <v>1658</v>
      </c>
      <c r="BK1856" s="4" t="s">
        <v>100</v>
      </c>
      <c r="BL1856" s="4" t="s">
        <v>1659</v>
      </c>
      <c r="BM1856" s="4" t="s">
        <v>31598</v>
      </c>
      <c r="BN1856" s="4" t="n">
        <v>28301570</v>
      </c>
      <c r="BO1856" s="4" t="s">
        <v>11315</v>
      </c>
      <c r="BP1856" s="4"/>
      <c r="BQ1856" s="4"/>
      <c r="BR1856" s="4" t="s">
        <v>104</v>
      </c>
      <c r="BS1856" s="4" t="s">
        <v>31599</v>
      </c>
      <c r="BT1856" s="4" t="str">
        <f aca="false">HYPERLINK("https%3A%2F%2Fwww.webofscience.com%2Fwos%2Fwoscc%2Ffull-record%2FWOS:000396318300046","View Full Record in Web of Science")</f>
        <v>View Full Record in Web of Science</v>
      </c>
    </row>
    <row r="1857" s="5" customFormat="true" ht="12.75" hidden="false" customHeight="false" outlineLevel="0" collapsed="false">
      <c r="A1857" s="4" t="s">
        <v>72</v>
      </c>
      <c r="B1857" s="4" t="s">
        <v>31600</v>
      </c>
      <c r="C1857" s="4"/>
      <c r="D1857" s="4"/>
      <c r="E1857" s="4"/>
      <c r="F1857" s="4" t="s">
        <v>31601</v>
      </c>
      <c r="G1857" s="4"/>
      <c r="H1857" s="4"/>
      <c r="I1857" s="4" t="s">
        <v>31602</v>
      </c>
      <c r="J1857" s="4" t="s">
        <v>27820</v>
      </c>
      <c r="K1857" s="4"/>
      <c r="L1857" s="4"/>
      <c r="M1857" s="4" t="s">
        <v>77</v>
      </c>
      <c r="N1857" s="4" t="s">
        <v>78</v>
      </c>
      <c r="O1857" s="4"/>
      <c r="P1857" s="4"/>
      <c r="Q1857" s="4"/>
      <c r="R1857" s="4"/>
      <c r="S1857" s="4"/>
      <c r="T1857" s="1" t="s">
        <v>31603</v>
      </c>
      <c r="U1857" s="4" t="s">
        <v>31604</v>
      </c>
      <c r="V1857" s="4" t="s">
        <v>31605</v>
      </c>
      <c r="W1857" s="4" t="s">
        <v>31606</v>
      </c>
      <c r="X1857" s="4" t="s">
        <v>27665</v>
      </c>
      <c r="Y1857" s="4" t="s">
        <v>14891</v>
      </c>
      <c r="Z1857" s="4" t="s">
        <v>14892</v>
      </c>
      <c r="AA1857" s="4" t="s">
        <v>31607</v>
      </c>
      <c r="AB1857" s="4"/>
      <c r="AC1857" s="4" t="s">
        <v>31608</v>
      </c>
      <c r="AD1857" s="4" t="s">
        <v>31609</v>
      </c>
      <c r="AE1857" s="4" t="s">
        <v>31610</v>
      </c>
      <c r="AF1857" s="4"/>
      <c r="AG1857" s="4" t="n">
        <v>100</v>
      </c>
      <c r="AH1857" s="4" t="n">
        <v>52</v>
      </c>
      <c r="AI1857" s="4" t="n">
        <v>58</v>
      </c>
      <c r="AJ1857" s="4" t="n">
        <v>1</v>
      </c>
      <c r="AK1857" s="4" t="n">
        <v>12</v>
      </c>
      <c r="AL1857" s="4" t="s">
        <v>27506</v>
      </c>
      <c r="AM1857" s="4" t="s">
        <v>27507</v>
      </c>
      <c r="AN1857" s="4" t="s">
        <v>27508</v>
      </c>
      <c r="AO1857" s="4" t="s">
        <v>27831</v>
      </c>
      <c r="AP1857" s="4" t="s">
        <v>27832</v>
      </c>
      <c r="AQ1857" s="4"/>
      <c r="AR1857" s="4" t="s">
        <v>27833</v>
      </c>
      <c r="AS1857" s="4" t="s">
        <v>27834</v>
      </c>
      <c r="AT1857" s="4" t="s">
        <v>129</v>
      </c>
      <c r="AU1857" s="4" t="n">
        <v>2016</v>
      </c>
      <c r="AV1857" s="4" t="n">
        <v>12</v>
      </c>
      <c r="AW1857" s="4" t="n">
        <v>9</v>
      </c>
      <c r="AX1857" s="4"/>
      <c r="AY1857" s="4"/>
      <c r="AZ1857" s="4"/>
      <c r="BA1857" s="4"/>
      <c r="BB1857" s="4"/>
      <c r="BC1857" s="4"/>
      <c r="BD1857" s="4" t="s">
        <v>31611</v>
      </c>
      <c r="BE1857" s="4" t="s">
        <v>31612</v>
      </c>
      <c r="BF1857" s="4" t="str">
        <f aca="false">HYPERLINK("http://dx.doi.org/10.1371/journal.ppat.1005922","http://dx.doi.org/10.1371/journal.ppat.1005922")</f>
        <v>http://dx.doi.org/10.1371/journal.ppat.1005922</v>
      </c>
      <c r="BG1857" s="4"/>
      <c r="BH1857" s="4"/>
      <c r="BI1857" s="4" t="n">
        <v>30</v>
      </c>
      <c r="BJ1857" s="4" t="s">
        <v>27837</v>
      </c>
      <c r="BK1857" s="4" t="s">
        <v>100</v>
      </c>
      <c r="BL1857" s="4" t="s">
        <v>27837</v>
      </c>
      <c r="BM1857" s="4" t="s">
        <v>30837</v>
      </c>
      <c r="BN1857" s="4" t="n">
        <v>27683250</v>
      </c>
      <c r="BO1857" s="4" t="s">
        <v>6349</v>
      </c>
      <c r="BP1857" s="4"/>
      <c r="BQ1857" s="4"/>
      <c r="BR1857" s="4" t="s">
        <v>104</v>
      </c>
      <c r="BS1857" s="4" t="s">
        <v>31613</v>
      </c>
      <c r="BT1857" s="4" t="str">
        <f aca="false">HYPERLINK("https%3A%2F%2Fwww.webofscience.com%2Fwos%2Fwoscc%2Ffull-record%2FWOS:000385621900061","View Full Record in Web of Science")</f>
        <v>View Full Record in Web of Science</v>
      </c>
    </row>
    <row r="1858" s="5" customFormat="true" ht="12.75" hidden="false" customHeight="false" outlineLevel="0" collapsed="false">
      <c r="A1858" s="4" t="s">
        <v>72</v>
      </c>
      <c r="B1858" s="4" t="s">
        <v>31614</v>
      </c>
      <c r="C1858" s="4"/>
      <c r="D1858" s="4"/>
      <c r="E1858" s="4"/>
      <c r="F1858" s="4" t="s">
        <v>31615</v>
      </c>
      <c r="G1858" s="4"/>
      <c r="H1858" s="4"/>
      <c r="I1858" s="4" t="s">
        <v>31616</v>
      </c>
      <c r="J1858" s="4" t="s">
        <v>4895</v>
      </c>
      <c r="K1858" s="4"/>
      <c r="L1858" s="4"/>
      <c r="M1858" s="4" t="s">
        <v>77</v>
      </c>
      <c r="N1858" s="4" t="s">
        <v>78</v>
      </c>
      <c r="O1858" s="4"/>
      <c r="P1858" s="4"/>
      <c r="Q1858" s="4"/>
      <c r="R1858" s="4"/>
      <c r="S1858" s="4"/>
      <c r="T1858" s="1" t="s">
        <v>31617</v>
      </c>
      <c r="U1858" s="4" t="s">
        <v>31618</v>
      </c>
      <c r="V1858" s="4" t="s">
        <v>31619</v>
      </c>
      <c r="W1858" s="4" t="s">
        <v>31620</v>
      </c>
      <c r="X1858" s="4" t="s">
        <v>31621</v>
      </c>
      <c r="Y1858" s="4" t="s">
        <v>31622</v>
      </c>
      <c r="Z1858" s="4" t="s">
        <v>31623</v>
      </c>
      <c r="AA1858" s="4"/>
      <c r="AB1858" s="4"/>
      <c r="AC1858" s="4"/>
      <c r="AD1858" s="4"/>
      <c r="AE1858" s="4"/>
      <c r="AF1858" s="4"/>
      <c r="AG1858" s="4" t="n">
        <v>15</v>
      </c>
      <c r="AH1858" s="4" t="n">
        <v>41</v>
      </c>
      <c r="AI1858" s="4" t="n">
        <v>43</v>
      </c>
      <c r="AJ1858" s="4" t="n">
        <v>0</v>
      </c>
      <c r="AK1858" s="4" t="n">
        <v>2</v>
      </c>
      <c r="AL1858" s="4" t="s">
        <v>592</v>
      </c>
      <c r="AM1858" s="4" t="s">
        <v>593</v>
      </c>
      <c r="AN1858" s="4" t="s">
        <v>594</v>
      </c>
      <c r="AO1858" s="4" t="s">
        <v>4905</v>
      </c>
      <c r="AP1858" s="4"/>
      <c r="AQ1858" s="4"/>
      <c r="AR1858" s="4" t="s">
        <v>4907</v>
      </c>
      <c r="AS1858" s="4" t="s">
        <v>4908</v>
      </c>
      <c r="AT1858" s="4" t="s">
        <v>804</v>
      </c>
      <c r="AU1858" s="4" t="n">
        <v>2006</v>
      </c>
      <c r="AV1858" s="4" t="n">
        <v>25</v>
      </c>
      <c r="AW1858" s="4" t="n">
        <v>11</v>
      </c>
      <c r="AX1858" s="4"/>
      <c r="AY1858" s="4"/>
      <c r="AZ1858" s="4"/>
      <c r="BA1858" s="4"/>
      <c r="BB1858" s="4" t="n">
        <v>681</v>
      </c>
      <c r="BC1858" s="4" t="n">
        <v>686</v>
      </c>
      <c r="BD1858" s="4"/>
      <c r="BE1858" s="4" t="s">
        <v>31624</v>
      </c>
      <c r="BF1858" s="4" t="str">
        <f aca="false">HYPERLINK("http://dx.doi.org/10.1007/s10096-006-0214-z","http://dx.doi.org/10.1007/s10096-006-0214-z")</f>
        <v>http://dx.doi.org/10.1007/s10096-006-0214-z</v>
      </c>
      <c r="BG1858" s="4"/>
      <c r="BH1858" s="4"/>
      <c r="BI1858" s="4" t="n">
        <v>6</v>
      </c>
      <c r="BJ1858" s="4" t="s">
        <v>1467</v>
      </c>
      <c r="BK1858" s="4" t="s">
        <v>100</v>
      </c>
      <c r="BL1858" s="4" t="s">
        <v>1467</v>
      </c>
      <c r="BM1858" s="4" t="s">
        <v>31625</v>
      </c>
      <c r="BN1858" s="4" t="n">
        <v>17036151</v>
      </c>
      <c r="BO1858" s="4" t="s">
        <v>1267</v>
      </c>
      <c r="BP1858" s="4"/>
      <c r="BQ1858" s="4"/>
      <c r="BR1858" s="4" t="s">
        <v>104</v>
      </c>
      <c r="BS1858" s="4" t="s">
        <v>31626</v>
      </c>
      <c r="BT1858" s="4" t="str">
        <f aca="false">HYPERLINK("https%3A%2F%2Fwww.webofscience.com%2Fwos%2Fwoscc%2Ffull-record%2FWOS:000242911400001","View Full Record in Web of Science")</f>
        <v>View Full Record in Web of Science</v>
      </c>
    </row>
    <row r="1859" s="5" customFormat="true" ht="12.75" hidden="false" customHeight="false" outlineLevel="0" collapsed="false">
      <c r="A1859" s="4" t="s">
        <v>72</v>
      </c>
      <c r="B1859" s="4" t="s">
        <v>31627</v>
      </c>
      <c r="C1859" s="4"/>
      <c r="D1859" s="4"/>
      <c r="E1859" s="4"/>
      <c r="F1859" s="4" t="s">
        <v>31628</v>
      </c>
      <c r="G1859" s="4"/>
      <c r="H1859" s="4"/>
      <c r="I1859" s="4" t="s">
        <v>31629</v>
      </c>
      <c r="J1859" s="4" t="s">
        <v>31630</v>
      </c>
      <c r="K1859" s="4"/>
      <c r="L1859" s="4"/>
      <c r="M1859" s="4" t="s">
        <v>77</v>
      </c>
      <c r="N1859" s="4" t="s">
        <v>78</v>
      </c>
      <c r="O1859" s="4"/>
      <c r="P1859" s="4"/>
      <c r="Q1859" s="4"/>
      <c r="R1859" s="4"/>
      <c r="S1859" s="4"/>
      <c r="T1859" s="1" t="s">
        <v>31631</v>
      </c>
      <c r="U1859" s="4" t="s">
        <v>31632</v>
      </c>
      <c r="V1859" s="4" t="s">
        <v>31633</v>
      </c>
      <c r="W1859" s="4" t="s">
        <v>31634</v>
      </c>
      <c r="X1859" s="4" t="s">
        <v>31635</v>
      </c>
      <c r="Y1859" s="4" t="s">
        <v>31636</v>
      </c>
      <c r="Z1859" s="4" t="s">
        <v>31271</v>
      </c>
      <c r="AA1859" s="4" t="s">
        <v>31637</v>
      </c>
      <c r="AB1859" s="4" t="s">
        <v>31638</v>
      </c>
      <c r="AC1859" s="4" t="s">
        <v>31639</v>
      </c>
      <c r="AD1859" s="4" t="s">
        <v>31640</v>
      </c>
      <c r="AE1859" s="4" t="s">
        <v>31641</v>
      </c>
      <c r="AF1859" s="4"/>
      <c r="AG1859" s="4" t="n">
        <v>34</v>
      </c>
      <c r="AH1859" s="4" t="n">
        <v>60</v>
      </c>
      <c r="AI1859" s="4" t="n">
        <v>70</v>
      </c>
      <c r="AJ1859" s="4" t="n">
        <v>0</v>
      </c>
      <c r="AK1859" s="4" t="n">
        <v>14</v>
      </c>
      <c r="AL1859" s="4" t="s">
        <v>12800</v>
      </c>
      <c r="AM1859" s="4" t="s">
        <v>303</v>
      </c>
      <c r="AN1859" s="4" t="s">
        <v>12801</v>
      </c>
      <c r="AO1859" s="4" t="s">
        <v>31642</v>
      </c>
      <c r="AP1859" s="4"/>
      <c r="AQ1859" s="4"/>
      <c r="AR1859" s="4" t="s">
        <v>31643</v>
      </c>
      <c r="AS1859" s="4" t="s">
        <v>31644</v>
      </c>
      <c r="AT1859" s="4" t="s">
        <v>692</v>
      </c>
      <c r="AU1859" s="4" t="n">
        <v>2017</v>
      </c>
      <c r="AV1859" s="4" t="n">
        <v>2</v>
      </c>
      <c r="AW1859" s="4" t="n">
        <v>4</v>
      </c>
      <c r="AX1859" s="4"/>
      <c r="AY1859" s="4"/>
      <c r="AZ1859" s="4"/>
      <c r="BA1859" s="4"/>
      <c r="BB1859" s="4"/>
      <c r="BC1859" s="4"/>
      <c r="BD1859" s="4" t="n">
        <v>16272</v>
      </c>
      <c r="BE1859" s="4" t="s">
        <v>31645</v>
      </c>
      <c r="BF1859" s="4" t="str">
        <f aca="false">HYPERLINK("http://dx.doi.org/10.1038/nmicrobiol.2016.272","http://dx.doi.org/10.1038/nmicrobiol.2016.272")</f>
        <v>http://dx.doi.org/10.1038/nmicrobiol.2016.272</v>
      </c>
      <c r="BG1859" s="4"/>
      <c r="BH1859" s="4"/>
      <c r="BI1859" s="4" t="n">
        <v>7</v>
      </c>
      <c r="BJ1859" s="4" t="s">
        <v>211</v>
      </c>
      <c r="BK1859" s="4" t="s">
        <v>100</v>
      </c>
      <c r="BL1859" s="4" t="s">
        <v>211</v>
      </c>
      <c r="BM1859" s="4" t="s">
        <v>31646</v>
      </c>
      <c r="BN1859" s="4" t="n">
        <v>28134915</v>
      </c>
      <c r="BO1859" s="4" t="s">
        <v>695</v>
      </c>
      <c r="BP1859" s="4"/>
      <c r="BQ1859" s="4"/>
      <c r="BR1859" s="4" t="s">
        <v>104</v>
      </c>
      <c r="BS1859" s="4" t="s">
        <v>31647</v>
      </c>
      <c r="BT1859" s="4" t="str">
        <f aca="false">HYPERLINK("https%3A%2F%2Fwww.webofscience.com%2Fwos%2Fwoscc%2Ffull-record%2FWOS:000398177800013","View Full Record in Web of Science")</f>
        <v>View Full Record in Web of Science</v>
      </c>
    </row>
    <row r="1860" s="5" customFormat="true" ht="12.75" hidden="false" customHeight="false" outlineLevel="0" collapsed="false">
      <c r="A1860" s="4" t="s">
        <v>72</v>
      </c>
      <c r="B1860" s="4" t="s">
        <v>31648</v>
      </c>
      <c r="C1860" s="4"/>
      <c r="D1860" s="4"/>
      <c r="E1860" s="4"/>
      <c r="F1860" s="4" t="s">
        <v>31649</v>
      </c>
      <c r="G1860" s="4"/>
      <c r="H1860" s="4"/>
      <c r="I1860" s="4" t="s">
        <v>31650</v>
      </c>
      <c r="J1860" s="4" t="s">
        <v>27497</v>
      </c>
      <c r="K1860" s="4"/>
      <c r="L1860" s="4"/>
      <c r="M1860" s="4" t="s">
        <v>77</v>
      </c>
      <c r="N1860" s="4" t="s">
        <v>78</v>
      </c>
      <c r="O1860" s="4"/>
      <c r="P1860" s="4"/>
      <c r="Q1860" s="4"/>
      <c r="R1860" s="4"/>
      <c r="S1860" s="4"/>
      <c r="T1860" s="1" t="s">
        <v>31651</v>
      </c>
      <c r="U1860" s="4" t="s">
        <v>31652</v>
      </c>
      <c r="V1860" s="4" t="s">
        <v>31653</v>
      </c>
      <c r="W1860" s="4" t="s">
        <v>31654</v>
      </c>
      <c r="X1860" s="4" t="s">
        <v>31655</v>
      </c>
      <c r="Y1860" s="4" t="s">
        <v>31656</v>
      </c>
      <c r="Z1860" s="4" t="s">
        <v>12837</v>
      </c>
      <c r="AA1860" s="4" t="s">
        <v>3047</v>
      </c>
      <c r="AB1860" s="4" t="s">
        <v>3048</v>
      </c>
      <c r="AC1860" s="4" t="s">
        <v>3729</v>
      </c>
      <c r="AD1860" s="4" t="s">
        <v>3730</v>
      </c>
      <c r="AE1860" s="4" t="s">
        <v>31657</v>
      </c>
      <c r="AF1860" s="4"/>
      <c r="AG1860" s="4" t="n">
        <v>37</v>
      </c>
      <c r="AH1860" s="4" t="n">
        <v>19</v>
      </c>
      <c r="AI1860" s="4" t="n">
        <v>26</v>
      </c>
      <c r="AJ1860" s="4" t="n">
        <v>0</v>
      </c>
      <c r="AK1860" s="4" t="n">
        <v>2</v>
      </c>
      <c r="AL1860" s="4" t="s">
        <v>27506</v>
      </c>
      <c r="AM1860" s="4" t="s">
        <v>27507</v>
      </c>
      <c r="AN1860" s="4" t="s">
        <v>27508</v>
      </c>
      <c r="AO1860" s="4" t="s">
        <v>27509</v>
      </c>
      <c r="AP1860" s="4"/>
      <c r="AQ1860" s="4"/>
      <c r="AR1860" s="4" t="s">
        <v>27497</v>
      </c>
      <c r="AS1860" s="4" t="s">
        <v>27510</v>
      </c>
      <c r="AT1860" s="4" t="s">
        <v>31658</v>
      </c>
      <c r="AU1860" s="4" t="n">
        <v>2011</v>
      </c>
      <c r="AV1860" s="4" t="n">
        <v>6</v>
      </c>
      <c r="AW1860" s="4" t="n">
        <v>1</v>
      </c>
      <c r="AX1860" s="4"/>
      <c r="AY1860" s="4"/>
      <c r="AZ1860" s="4"/>
      <c r="BA1860" s="4"/>
      <c r="BB1860" s="4"/>
      <c r="BC1860" s="4"/>
      <c r="BD1860" s="4" t="s">
        <v>31659</v>
      </c>
      <c r="BE1860" s="4" t="s">
        <v>31660</v>
      </c>
      <c r="BF1860" s="4" t="str">
        <f aca="false">HYPERLINK("http://dx.doi.org/10.1371/journal.pone.0016314","http://dx.doi.org/10.1371/journal.pone.0016314")</f>
        <v>http://dx.doi.org/10.1371/journal.pone.0016314</v>
      </c>
      <c r="BG1860" s="4"/>
      <c r="BH1860" s="4"/>
      <c r="BI1860" s="4" t="n">
        <v>9</v>
      </c>
      <c r="BJ1860" s="4" t="s">
        <v>1658</v>
      </c>
      <c r="BK1860" s="4" t="s">
        <v>100</v>
      </c>
      <c r="BL1860" s="4" t="s">
        <v>1659</v>
      </c>
      <c r="BM1860" s="4" t="s">
        <v>31661</v>
      </c>
      <c r="BN1860" s="4" t="n">
        <v>21298115</v>
      </c>
      <c r="BO1860" s="4" t="s">
        <v>6349</v>
      </c>
      <c r="BP1860" s="4"/>
      <c r="BQ1860" s="4"/>
      <c r="BR1860" s="4" t="s">
        <v>104</v>
      </c>
      <c r="BS1860" s="4" t="s">
        <v>31662</v>
      </c>
      <c r="BT1860" s="4" t="str">
        <f aca="false">HYPERLINK("https%3A%2F%2Fwww.webofscience.com%2Fwos%2Fwoscc%2Ffull-record%2FWOS:000286662800025","View Full Record in Web of Science")</f>
        <v>View Full Record in Web of Science</v>
      </c>
    </row>
    <row r="1861" s="5" customFormat="true" ht="12.75" hidden="false" customHeight="false" outlineLevel="0" collapsed="false">
      <c r="A1861" s="4" t="s">
        <v>72</v>
      </c>
      <c r="B1861" s="4" t="s">
        <v>31663</v>
      </c>
      <c r="C1861" s="4"/>
      <c r="D1861" s="4"/>
      <c r="E1861" s="4"/>
      <c r="F1861" s="4" t="s">
        <v>31664</v>
      </c>
      <c r="G1861" s="4"/>
      <c r="H1861" s="4"/>
      <c r="I1861" s="4" t="s">
        <v>31665</v>
      </c>
      <c r="J1861" s="4" t="s">
        <v>6395</v>
      </c>
      <c r="K1861" s="4"/>
      <c r="L1861" s="4"/>
      <c r="M1861" s="4" t="s">
        <v>77</v>
      </c>
      <c r="N1861" s="4" t="s">
        <v>78</v>
      </c>
      <c r="O1861" s="4"/>
      <c r="P1861" s="4"/>
      <c r="Q1861" s="4"/>
      <c r="R1861" s="4"/>
      <c r="S1861" s="4"/>
      <c r="T1861" s="1" t="s">
        <v>31666</v>
      </c>
      <c r="U1861" s="4" t="s">
        <v>31667</v>
      </c>
      <c r="V1861" s="4" t="s">
        <v>31668</v>
      </c>
      <c r="W1861" s="4" t="s">
        <v>31669</v>
      </c>
      <c r="X1861" s="4" t="s">
        <v>31670</v>
      </c>
      <c r="Y1861" s="4" t="s">
        <v>31671</v>
      </c>
      <c r="Z1861" s="4" t="s">
        <v>31672</v>
      </c>
      <c r="AA1861" s="4" t="s">
        <v>31673</v>
      </c>
      <c r="AB1861" s="4" t="s">
        <v>31674</v>
      </c>
      <c r="AC1861" s="4" t="s">
        <v>31675</v>
      </c>
      <c r="AD1861" s="4" t="s">
        <v>31676</v>
      </c>
      <c r="AE1861" s="4" t="s">
        <v>31677</v>
      </c>
      <c r="AF1861" s="4"/>
      <c r="AG1861" s="4" t="n">
        <v>101</v>
      </c>
      <c r="AH1861" s="4" t="n">
        <v>13</v>
      </c>
      <c r="AI1861" s="4" t="n">
        <v>15</v>
      </c>
      <c r="AJ1861" s="4" t="n">
        <v>0</v>
      </c>
      <c r="AK1861" s="4" t="n">
        <v>4</v>
      </c>
      <c r="AL1861" s="4" t="s">
        <v>6405</v>
      </c>
      <c r="AM1861" s="4" t="s">
        <v>6406</v>
      </c>
      <c r="AN1861" s="4" t="s">
        <v>6407</v>
      </c>
      <c r="AO1861" s="4" t="s">
        <v>6408</v>
      </c>
      <c r="AP1861" s="4"/>
      <c r="AQ1861" s="4"/>
      <c r="AR1861" s="4" t="s">
        <v>6409</v>
      </c>
      <c r="AS1861" s="4" t="s">
        <v>6410</v>
      </c>
      <c r="AT1861" s="4" t="s">
        <v>21740</v>
      </c>
      <c r="AU1861" s="4" t="n">
        <v>2017</v>
      </c>
      <c r="AV1861" s="4" t="n">
        <v>7</v>
      </c>
      <c r="AW1861" s="4"/>
      <c r="AX1861" s="4"/>
      <c r="AY1861" s="4"/>
      <c r="AZ1861" s="4"/>
      <c r="BA1861" s="4"/>
      <c r="BB1861" s="4"/>
      <c r="BC1861" s="4"/>
      <c r="BD1861" s="4" t="n">
        <v>14865</v>
      </c>
      <c r="BE1861" s="4" t="s">
        <v>31678</v>
      </c>
      <c r="BF1861" s="4" t="str">
        <f aca="false">HYPERLINK("http://dx.doi.org/10.1038/s41598-017-14448-z","http://dx.doi.org/10.1038/s41598-017-14448-z")</f>
        <v>http://dx.doi.org/10.1038/s41598-017-14448-z</v>
      </c>
      <c r="BG1861" s="4"/>
      <c r="BH1861" s="4"/>
      <c r="BI1861" s="4" t="n">
        <v>16</v>
      </c>
      <c r="BJ1861" s="4" t="s">
        <v>1658</v>
      </c>
      <c r="BK1861" s="4" t="s">
        <v>100</v>
      </c>
      <c r="BL1861" s="4" t="s">
        <v>1659</v>
      </c>
      <c r="BM1861" s="4" t="s">
        <v>31679</v>
      </c>
      <c r="BN1861" s="4" t="n">
        <v>29093501</v>
      </c>
      <c r="BO1861" s="4" t="s">
        <v>103</v>
      </c>
      <c r="BP1861" s="4"/>
      <c r="BQ1861" s="4"/>
      <c r="BR1861" s="4" t="s">
        <v>104</v>
      </c>
      <c r="BS1861" s="4" t="s">
        <v>31680</v>
      </c>
      <c r="BT1861" s="4" t="str">
        <f aca="false">HYPERLINK("https%3A%2F%2Fwww.webofscience.com%2Fwos%2Fwoscc%2Ffull-record%2FWOS:000414233900010","View Full Record in Web of Science")</f>
        <v>View Full Record in Web of Science</v>
      </c>
    </row>
    <row r="1862" s="5" customFormat="true" ht="12.75" hidden="false" customHeight="false" outlineLevel="0" collapsed="false">
      <c r="A1862" s="4" t="s">
        <v>72</v>
      </c>
      <c r="B1862" s="4" t="s">
        <v>31681</v>
      </c>
      <c r="C1862" s="4"/>
      <c r="D1862" s="4"/>
      <c r="E1862" s="4"/>
      <c r="F1862" s="4" t="s">
        <v>31682</v>
      </c>
      <c r="G1862" s="4"/>
      <c r="H1862" s="4"/>
      <c r="I1862" s="4" t="s">
        <v>31683</v>
      </c>
      <c r="J1862" s="4" t="s">
        <v>27820</v>
      </c>
      <c r="K1862" s="4"/>
      <c r="L1862" s="4"/>
      <c r="M1862" s="4" t="s">
        <v>77</v>
      </c>
      <c r="N1862" s="4" t="s">
        <v>78</v>
      </c>
      <c r="O1862" s="4"/>
      <c r="P1862" s="4"/>
      <c r="Q1862" s="4"/>
      <c r="R1862" s="4"/>
      <c r="S1862" s="4"/>
      <c r="T1862" s="1" t="s">
        <v>31684</v>
      </c>
      <c r="U1862" s="4" t="s">
        <v>31685</v>
      </c>
      <c r="V1862" s="4" t="s">
        <v>31686</v>
      </c>
      <c r="W1862" s="4" t="s">
        <v>31687</v>
      </c>
      <c r="X1862" s="4" t="s">
        <v>2614</v>
      </c>
      <c r="Y1862" s="4" t="s">
        <v>31688</v>
      </c>
      <c r="Z1862" s="4"/>
      <c r="AA1862" s="4" t="s">
        <v>31689</v>
      </c>
      <c r="AB1862" s="4" t="s">
        <v>31690</v>
      </c>
      <c r="AC1862" s="4" t="s">
        <v>31691</v>
      </c>
      <c r="AD1862" s="4" t="s">
        <v>15523</v>
      </c>
      <c r="AE1862" s="4"/>
      <c r="AF1862" s="4"/>
      <c r="AG1862" s="4" t="n">
        <v>52</v>
      </c>
      <c r="AH1862" s="4" t="n">
        <v>99</v>
      </c>
      <c r="AI1862" s="4" t="n">
        <v>120</v>
      </c>
      <c r="AJ1862" s="4" t="n">
        <v>0</v>
      </c>
      <c r="AK1862" s="4" t="n">
        <v>5</v>
      </c>
      <c r="AL1862" s="4" t="s">
        <v>27506</v>
      </c>
      <c r="AM1862" s="4" t="s">
        <v>27507</v>
      </c>
      <c r="AN1862" s="4" t="s">
        <v>27508</v>
      </c>
      <c r="AO1862" s="4" t="s">
        <v>27831</v>
      </c>
      <c r="AP1862" s="4" t="s">
        <v>27832</v>
      </c>
      <c r="AQ1862" s="4"/>
      <c r="AR1862" s="4" t="s">
        <v>27833</v>
      </c>
      <c r="AS1862" s="4" t="s">
        <v>27834</v>
      </c>
      <c r="AT1862" s="4" t="s">
        <v>390</v>
      </c>
      <c r="AU1862" s="4" t="n">
        <v>2008</v>
      </c>
      <c r="AV1862" s="4" t="n">
        <v>4</v>
      </c>
      <c r="AW1862" s="4" t="n">
        <v>5</v>
      </c>
      <c r="AX1862" s="4"/>
      <c r="AY1862" s="4"/>
      <c r="AZ1862" s="4"/>
      <c r="BA1862" s="4"/>
      <c r="BB1862" s="4"/>
      <c r="BC1862" s="4"/>
      <c r="BD1862" s="4" t="s">
        <v>31692</v>
      </c>
      <c r="BE1862" s="4" t="s">
        <v>31693</v>
      </c>
      <c r="BF1862" s="4" t="str">
        <f aca="false">HYPERLINK("http://dx.doi.org/10.1371/journal.ppat.1000077","http://dx.doi.org/10.1371/journal.ppat.1000077")</f>
        <v>http://dx.doi.org/10.1371/journal.ppat.1000077</v>
      </c>
      <c r="BG1862" s="4"/>
      <c r="BH1862" s="4"/>
      <c r="BI1862" s="4" t="n">
        <v>12</v>
      </c>
      <c r="BJ1862" s="4" t="s">
        <v>27837</v>
      </c>
      <c r="BK1862" s="4" t="s">
        <v>100</v>
      </c>
      <c r="BL1862" s="4" t="s">
        <v>27837</v>
      </c>
      <c r="BM1862" s="4" t="s">
        <v>31694</v>
      </c>
      <c r="BN1862" s="4" t="n">
        <v>18516301</v>
      </c>
      <c r="BO1862" s="4" t="s">
        <v>341</v>
      </c>
      <c r="BP1862" s="4"/>
      <c r="BQ1862" s="4"/>
      <c r="BR1862" s="4" t="s">
        <v>104</v>
      </c>
      <c r="BS1862" s="4" t="s">
        <v>31695</v>
      </c>
      <c r="BT1862" s="4" t="str">
        <f aca="false">HYPERLINK("https%3A%2F%2Fwww.webofscience.com%2Fwos%2Fwoscc%2Ffull-record%2FWOS:000256668900003","View Full Record in Web of Science")</f>
        <v>View Full Record in Web of Science</v>
      </c>
    </row>
    <row r="1863" s="5" customFormat="true" ht="12.75" hidden="false" customHeight="false" outlineLevel="0" collapsed="false">
      <c r="A1863" s="4" t="s">
        <v>72</v>
      </c>
      <c r="B1863" s="4" t="s">
        <v>31696</v>
      </c>
      <c r="C1863" s="4"/>
      <c r="D1863" s="4"/>
      <c r="E1863" s="4"/>
      <c r="F1863" s="4" t="s">
        <v>31697</v>
      </c>
      <c r="G1863" s="4"/>
      <c r="H1863" s="4"/>
      <c r="I1863" s="4" t="s">
        <v>31698</v>
      </c>
      <c r="J1863" s="4" t="s">
        <v>742</v>
      </c>
      <c r="K1863" s="4"/>
      <c r="L1863" s="4"/>
      <c r="M1863" s="4" t="s">
        <v>77</v>
      </c>
      <c r="N1863" s="4" t="s">
        <v>78</v>
      </c>
      <c r="O1863" s="4"/>
      <c r="P1863" s="4"/>
      <c r="Q1863" s="4"/>
      <c r="R1863" s="4"/>
      <c r="S1863" s="4"/>
      <c r="T1863" s="1" t="s">
        <v>31699</v>
      </c>
      <c r="U1863" s="4" t="s">
        <v>31700</v>
      </c>
      <c r="V1863" s="4" t="s">
        <v>31701</v>
      </c>
      <c r="W1863" s="4" t="s">
        <v>31702</v>
      </c>
      <c r="X1863" s="4" t="s">
        <v>9631</v>
      </c>
      <c r="Y1863" s="4" t="s">
        <v>29385</v>
      </c>
      <c r="Z1863" s="4" t="s">
        <v>6724</v>
      </c>
      <c r="AA1863" s="4" t="s">
        <v>750</v>
      </c>
      <c r="AB1863" s="4" t="s">
        <v>31703</v>
      </c>
      <c r="AC1863" s="4" t="s">
        <v>31704</v>
      </c>
      <c r="AD1863" s="4" t="s">
        <v>31705</v>
      </c>
      <c r="AE1863" s="4" t="s">
        <v>31706</v>
      </c>
      <c r="AF1863" s="4"/>
      <c r="AG1863" s="4" t="n">
        <v>75</v>
      </c>
      <c r="AH1863" s="4" t="n">
        <v>39</v>
      </c>
      <c r="AI1863" s="4" t="n">
        <v>45</v>
      </c>
      <c r="AJ1863" s="4" t="n">
        <v>0</v>
      </c>
      <c r="AK1863" s="4" t="n">
        <v>11</v>
      </c>
      <c r="AL1863" s="4" t="s">
        <v>755</v>
      </c>
      <c r="AM1863" s="4" t="s">
        <v>273</v>
      </c>
      <c r="AN1863" s="4" t="s">
        <v>756</v>
      </c>
      <c r="AO1863" s="4" t="s">
        <v>757</v>
      </c>
      <c r="AP1863" s="4" t="s">
        <v>758</v>
      </c>
      <c r="AQ1863" s="4"/>
      <c r="AR1863" s="4" t="s">
        <v>759</v>
      </c>
      <c r="AS1863" s="4" t="s">
        <v>760</v>
      </c>
      <c r="AT1863" s="4" t="s">
        <v>486</v>
      </c>
      <c r="AU1863" s="4" t="n">
        <v>2014</v>
      </c>
      <c r="AV1863" s="4" t="n">
        <v>88</v>
      </c>
      <c r="AW1863" s="4" t="n">
        <v>11</v>
      </c>
      <c r="AX1863" s="4"/>
      <c r="AY1863" s="4"/>
      <c r="AZ1863" s="4"/>
      <c r="BA1863" s="4"/>
      <c r="BB1863" s="4" t="n">
        <v>6368</v>
      </c>
      <c r="BC1863" s="4" t="n">
        <v>6379</v>
      </c>
      <c r="BD1863" s="4"/>
      <c r="BE1863" s="4" t="s">
        <v>31707</v>
      </c>
      <c r="BF1863" s="4" t="str">
        <f aca="false">HYPERLINK("http://dx.doi.org/10.1128/JVI.00332-14","http://dx.doi.org/10.1128/JVI.00332-14")</f>
        <v>http://dx.doi.org/10.1128/JVI.00332-14</v>
      </c>
      <c r="BG1863" s="4"/>
      <c r="BH1863" s="4"/>
      <c r="BI1863" s="4" t="n">
        <v>12</v>
      </c>
      <c r="BJ1863" s="4" t="s">
        <v>163</v>
      </c>
      <c r="BK1863" s="4" t="s">
        <v>100</v>
      </c>
      <c r="BL1863" s="4" t="s">
        <v>163</v>
      </c>
      <c r="BM1863" s="4" t="s">
        <v>30731</v>
      </c>
      <c r="BN1863" s="4" t="n">
        <v>24672031</v>
      </c>
      <c r="BO1863" s="4" t="s">
        <v>1267</v>
      </c>
      <c r="BP1863" s="4"/>
      <c r="BQ1863" s="4"/>
      <c r="BR1863" s="4" t="s">
        <v>104</v>
      </c>
      <c r="BS1863" s="4" t="s">
        <v>31708</v>
      </c>
      <c r="BT1863" s="4" t="str">
        <f aca="false">HYPERLINK("https%3A%2F%2Fwww.webofscience.com%2Fwos%2Fwoscc%2Ffull-record%2FWOS:000335970300042","View Full Record in Web of Science")</f>
        <v>View Full Record in Web of Science</v>
      </c>
    </row>
    <row r="1864" s="5" customFormat="true" ht="12.75" hidden="false" customHeight="false" outlineLevel="0" collapsed="false">
      <c r="A1864" s="4" t="s">
        <v>72</v>
      </c>
      <c r="B1864" s="4" t="s">
        <v>31709</v>
      </c>
      <c r="C1864" s="4"/>
      <c r="D1864" s="4"/>
      <c r="E1864" s="4"/>
      <c r="F1864" s="4" t="s">
        <v>31710</v>
      </c>
      <c r="G1864" s="4"/>
      <c r="H1864" s="4"/>
      <c r="I1864" s="4" t="s">
        <v>31711</v>
      </c>
      <c r="J1864" s="4" t="s">
        <v>18907</v>
      </c>
      <c r="K1864" s="4"/>
      <c r="L1864" s="4"/>
      <c r="M1864" s="4" t="s">
        <v>77</v>
      </c>
      <c r="N1864" s="4" t="s">
        <v>78</v>
      </c>
      <c r="O1864" s="4"/>
      <c r="P1864" s="4"/>
      <c r="Q1864" s="4"/>
      <c r="R1864" s="4"/>
      <c r="S1864" s="4"/>
      <c r="T1864" s="1" t="s">
        <v>31712</v>
      </c>
      <c r="U1864" s="4" t="s">
        <v>31713</v>
      </c>
      <c r="V1864" s="4" t="s">
        <v>31714</v>
      </c>
      <c r="W1864" s="4" t="s">
        <v>31715</v>
      </c>
      <c r="X1864" s="4" t="s">
        <v>31526</v>
      </c>
      <c r="Y1864" s="4" t="s">
        <v>31716</v>
      </c>
      <c r="Z1864" s="4" t="s">
        <v>31528</v>
      </c>
      <c r="AA1864" s="4" t="s">
        <v>31529</v>
      </c>
      <c r="AB1864" s="4" t="s">
        <v>31717</v>
      </c>
      <c r="AC1864" s="4" t="s">
        <v>31718</v>
      </c>
      <c r="AD1864" s="4" t="s">
        <v>31719</v>
      </c>
      <c r="AE1864" s="4" t="s">
        <v>31720</v>
      </c>
      <c r="AF1864" s="4"/>
      <c r="AG1864" s="4" t="n">
        <v>62</v>
      </c>
      <c r="AH1864" s="4" t="n">
        <v>37</v>
      </c>
      <c r="AI1864" s="4" t="n">
        <v>37</v>
      </c>
      <c r="AJ1864" s="4" t="n">
        <v>0</v>
      </c>
      <c r="AK1864" s="4" t="n">
        <v>2</v>
      </c>
      <c r="AL1864" s="4" t="s">
        <v>31534</v>
      </c>
      <c r="AM1864" s="4" t="s">
        <v>1705</v>
      </c>
      <c r="AN1864" s="4" t="s">
        <v>18921</v>
      </c>
      <c r="AO1864" s="4" t="s">
        <v>18922</v>
      </c>
      <c r="AP1864" s="4"/>
      <c r="AQ1864" s="4"/>
      <c r="AR1864" s="4" t="s">
        <v>18907</v>
      </c>
      <c r="AS1864" s="4" t="s">
        <v>18923</v>
      </c>
      <c r="AT1864" s="4" t="s">
        <v>31721</v>
      </c>
      <c r="AU1864" s="4" t="n">
        <v>2014</v>
      </c>
      <c r="AV1864" s="4" t="n">
        <v>3</v>
      </c>
      <c r="AW1864" s="4"/>
      <c r="AX1864" s="4"/>
      <c r="AY1864" s="4"/>
      <c r="AZ1864" s="4"/>
      <c r="BA1864" s="4"/>
      <c r="BB1864" s="4"/>
      <c r="BC1864" s="4"/>
      <c r="BD1864" s="4" t="s">
        <v>31722</v>
      </c>
      <c r="BE1864" s="4" t="s">
        <v>31723</v>
      </c>
      <c r="BF1864" s="4" t="str">
        <f aca="false">HYPERLINK("http://dx.doi.org/10.7554/eLife.02674","http://dx.doi.org/10.7554/eLife.02674")</f>
        <v>http://dx.doi.org/10.7554/eLife.02674</v>
      </c>
      <c r="BG1864" s="4"/>
      <c r="BH1864" s="4"/>
      <c r="BI1864" s="4" t="n">
        <v>43</v>
      </c>
      <c r="BJ1864" s="4" t="s">
        <v>18926</v>
      </c>
      <c r="BK1864" s="4" t="s">
        <v>100</v>
      </c>
      <c r="BL1864" s="4" t="s">
        <v>18927</v>
      </c>
      <c r="BM1864" s="4" t="s">
        <v>31724</v>
      </c>
      <c r="BN1864" s="4" t="n">
        <v>24842877</v>
      </c>
      <c r="BO1864" s="4" t="s">
        <v>11315</v>
      </c>
      <c r="BP1864" s="4"/>
      <c r="BQ1864" s="4"/>
      <c r="BR1864" s="4" t="s">
        <v>104</v>
      </c>
      <c r="BS1864" s="4" t="s">
        <v>31725</v>
      </c>
      <c r="BT1864" s="4" t="str">
        <f aca="false">HYPERLINK("https%3A%2F%2Fwww.webofscience.com%2Fwos%2Fwoscc%2Ffull-record%2FWOS:000336040700001","View Full Record in Web of Science")</f>
        <v>View Full Record in Web of Science</v>
      </c>
    </row>
    <row r="1865" s="5" customFormat="true" ht="12.75" hidden="false" customHeight="false" outlineLevel="0" collapsed="false">
      <c r="A1865" s="4" t="s">
        <v>72</v>
      </c>
      <c r="B1865" s="4" t="s">
        <v>31726</v>
      </c>
      <c r="C1865" s="4"/>
      <c r="D1865" s="4"/>
      <c r="E1865" s="4"/>
      <c r="F1865" s="4" t="s">
        <v>31727</v>
      </c>
      <c r="G1865" s="4"/>
      <c r="H1865" s="4"/>
      <c r="I1865" s="4" t="s">
        <v>31728</v>
      </c>
      <c r="J1865" s="4" t="s">
        <v>27453</v>
      </c>
      <c r="K1865" s="4"/>
      <c r="L1865" s="4"/>
      <c r="M1865" s="4" t="s">
        <v>77</v>
      </c>
      <c r="N1865" s="4" t="s">
        <v>78</v>
      </c>
      <c r="O1865" s="4"/>
      <c r="P1865" s="4"/>
      <c r="Q1865" s="4"/>
      <c r="R1865" s="4"/>
      <c r="S1865" s="4"/>
      <c r="T1865" s="1" t="s">
        <v>31729</v>
      </c>
      <c r="U1865" s="4" t="s">
        <v>31730</v>
      </c>
      <c r="V1865" s="4" t="s">
        <v>31731</v>
      </c>
      <c r="W1865" s="4" t="s">
        <v>31732</v>
      </c>
      <c r="X1865" s="4" t="s">
        <v>31733</v>
      </c>
      <c r="Y1865" s="4" t="s">
        <v>31734</v>
      </c>
      <c r="Z1865" s="4" t="s">
        <v>31735</v>
      </c>
      <c r="AA1865" s="4"/>
      <c r="AB1865" s="4"/>
      <c r="AC1865" s="4"/>
      <c r="AD1865" s="4"/>
      <c r="AE1865" s="4"/>
      <c r="AF1865" s="4"/>
      <c r="AG1865" s="4" t="n">
        <v>22</v>
      </c>
      <c r="AH1865" s="4" t="n">
        <v>3</v>
      </c>
      <c r="AI1865" s="4" t="n">
        <v>3</v>
      </c>
      <c r="AJ1865" s="4" t="n">
        <v>0</v>
      </c>
      <c r="AK1865" s="4" t="n">
        <v>1</v>
      </c>
      <c r="AL1865" s="4" t="s">
        <v>27463</v>
      </c>
      <c r="AM1865" s="4" t="s">
        <v>16252</v>
      </c>
      <c r="AN1865" s="4" t="s">
        <v>27464</v>
      </c>
      <c r="AO1865" s="4" t="s">
        <v>27465</v>
      </c>
      <c r="AP1865" s="4" t="s">
        <v>27466</v>
      </c>
      <c r="AQ1865" s="4"/>
      <c r="AR1865" s="4" t="s">
        <v>27467</v>
      </c>
      <c r="AS1865" s="4" t="s">
        <v>27468</v>
      </c>
      <c r="AT1865" s="4" t="s">
        <v>161</v>
      </c>
      <c r="AU1865" s="4" t="n">
        <v>2016</v>
      </c>
      <c r="AV1865" s="4" t="n">
        <v>69</v>
      </c>
      <c r="AW1865" s="4" t="n">
        <v>1</v>
      </c>
      <c r="AX1865" s="4"/>
      <c r="AY1865" s="4"/>
      <c r="AZ1865" s="4"/>
      <c r="BA1865" s="4"/>
      <c r="BB1865" s="4" t="n">
        <v>6</v>
      </c>
      <c r="BC1865" s="4" t="n">
        <v>11</v>
      </c>
      <c r="BD1865" s="4"/>
      <c r="BE1865" s="4" t="s">
        <v>31736</v>
      </c>
      <c r="BF1865" s="4" t="str">
        <f aca="false">HYPERLINK("http://dx.doi.org/10.7883/yoken.JJID.2014.424","http://dx.doi.org/10.7883/yoken.JJID.2014.424")</f>
        <v>http://dx.doi.org/10.7883/yoken.JJID.2014.424</v>
      </c>
      <c r="BG1865" s="4"/>
      <c r="BH1865" s="4"/>
      <c r="BI1865" s="4" t="n">
        <v>6</v>
      </c>
      <c r="BJ1865" s="4" t="s">
        <v>575</v>
      </c>
      <c r="BK1865" s="4" t="s">
        <v>100</v>
      </c>
      <c r="BL1865" s="4" t="s">
        <v>575</v>
      </c>
      <c r="BM1865" s="4" t="s">
        <v>31737</v>
      </c>
      <c r="BN1865" s="4" t="n">
        <v>25971322</v>
      </c>
      <c r="BO1865" s="4" t="s">
        <v>1355</v>
      </c>
      <c r="BP1865" s="4"/>
      <c r="BQ1865" s="4"/>
      <c r="BR1865" s="4" t="s">
        <v>104</v>
      </c>
      <c r="BS1865" s="4" t="s">
        <v>31738</v>
      </c>
      <c r="BT1865" s="4" t="str">
        <f aca="false">HYPERLINK("https%3A%2F%2Fwww.webofscience.com%2Fwos%2Fwoscc%2Ffull-record%2FWOS:000369353600002","View Full Record in Web of Science")</f>
        <v>View Full Record in Web of Science</v>
      </c>
    </row>
    <row r="1866" s="5" customFormat="true" ht="12.75" hidden="false" customHeight="false" outlineLevel="0" collapsed="false">
      <c r="A1866" s="4" t="s">
        <v>72</v>
      </c>
      <c r="B1866" s="4" t="s">
        <v>31739</v>
      </c>
      <c r="C1866" s="4"/>
      <c r="D1866" s="4"/>
      <c r="E1866" s="4"/>
      <c r="F1866" s="4" t="s">
        <v>31740</v>
      </c>
      <c r="G1866" s="4"/>
      <c r="H1866" s="4"/>
      <c r="I1866" s="4" t="s">
        <v>31741</v>
      </c>
      <c r="J1866" s="4" t="s">
        <v>27820</v>
      </c>
      <c r="K1866" s="4"/>
      <c r="L1866" s="4"/>
      <c r="M1866" s="4" t="s">
        <v>77</v>
      </c>
      <c r="N1866" s="4" t="s">
        <v>78</v>
      </c>
      <c r="O1866" s="4"/>
      <c r="P1866" s="4"/>
      <c r="Q1866" s="4"/>
      <c r="R1866" s="4"/>
      <c r="S1866" s="4"/>
      <c r="T1866" s="1" t="s">
        <v>31742</v>
      </c>
      <c r="U1866" s="4" t="s">
        <v>31743</v>
      </c>
      <c r="V1866" s="4" t="s">
        <v>31744</v>
      </c>
      <c r="W1866" s="4" t="s">
        <v>31745</v>
      </c>
      <c r="X1866" s="4" t="s">
        <v>31746</v>
      </c>
      <c r="Y1866" s="4" t="s">
        <v>31747</v>
      </c>
      <c r="Z1866" s="4" t="s">
        <v>31748</v>
      </c>
      <c r="AA1866" s="4" t="s">
        <v>31749</v>
      </c>
      <c r="AB1866" s="4" t="s">
        <v>31750</v>
      </c>
      <c r="AC1866" s="4" t="s">
        <v>31751</v>
      </c>
      <c r="AD1866" s="4" t="s">
        <v>31751</v>
      </c>
      <c r="AE1866" s="4" t="s">
        <v>31751</v>
      </c>
      <c r="AF1866" s="4"/>
      <c r="AG1866" s="4" t="n">
        <v>58</v>
      </c>
      <c r="AH1866" s="4" t="n">
        <v>4</v>
      </c>
      <c r="AI1866" s="4" t="n">
        <v>5</v>
      </c>
      <c r="AJ1866" s="4" t="n">
        <v>1</v>
      </c>
      <c r="AK1866" s="4" t="n">
        <v>7</v>
      </c>
      <c r="AL1866" s="4" t="s">
        <v>27506</v>
      </c>
      <c r="AM1866" s="4" t="s">
        <v>27507</v>
      </c>
      <c r="AN1866" s="4" t="s">
        <v>27508</v>
      </c>
      <c r="AO1866" s="4" t="s">
        <v>27831</v>
      </c>
      <c r="AP1866" s="4" t="s">
        <v>27832</v>
      </c>
      <c r="AQ1866" s="4"/>
      <c r="AR1866" s="4" t="s">
        <v>27833</v>
      </c>
      <c r="AS1866" s="4" t="s">
        <v>27834</v>
      </c>
      <c r="AT1866" s="4" t="s">
        <v>129</v>
      </c>
      <c r="AU1866" s="4" t="n">
        <v>2023</v>
      </c>
      <c r="AV1866" s="4" t="n">
        <v>19</v>
      </c>
      <c r="AW1866" s="4" t="n">
        <v>9</v>
      </c>
      <c r="AX1866" s="4"/>
      <c r="AY1866" s="4"/>
      <c r="AZ1866" s="4"/>
      <c r="BA1866" s="4"/>
      <c r="BB1866" s="4"/>
      <c r="BC1866" s="4"/>
      <c r="BD1866" s="4" t="s">
        <v>31752</v>
      </c>
      <c r="BE1866" s="4" t="s">
        <v>31753</v>
      </c>
      <c r="BF1866" s="4" t="str">
        <f aca="false">HYPERLINK("http://dx.doi.org/10.1371/journal.ppat.1011584","http://dx.doi.org/10.1371/journal.ppat.1011584")</f>
        <v>http://dx.doi.org/10.1371/journal.ppat.1011584</v>
      </c>
      <c r="BG1866" s="4"/>
      <c r="BH1866" s="4"/>
      <c r="BI1866" s="4" t="n">
        <v>21</v>
      </c>
      <c r="BJ1866" s="4" t="s">
        <v>27837</v>
      </c>
      <c r="BK1866" s="4" t="s">
        <v>100</v>
      </c>
      <c r="BL1866" s="4" t="s">
        <v>27837</v>
      </c>
      <c r="BM1866" s="4" t="s">
        <v>31754</v>
      </c>
      <c r="BN1866" s="4" t="n">
        <v>37738240</v>
      </c>
      <c r="BO1866" s="4" t="s">
        <v>190</v>
      </c>
      <c r="BP1866" s="4"/>
      <c r="BQ1866" s="4"/>
      <c r="BR1866" s="4" t="s">
        <v>104</v>
      </c>
      <c r="BS1866" s="4" t="s">
        <v>31755</v>
      </c>
      <c r="BT1866" s="4" t="str">
        <f aca="false">HYPERLINK("https%3A%2F%2Fwww.webofscience.com%2Fwos%2Fwoscc%2Ffull-record%2FWOS:001071044400001","View Full Record in Web of Science")</f>
        <v>View Full Record in Web of Science</v>
      </c>
    </row>
    <row r="1867" s="5" customFormat="true" ht="12.75" hidden="false" customHeight="false" outlineLevel="0" collapsed="false">
      <c r="A1867" s="4" t="s">
        <v>72</v>
      </c>
      <c r="B1867" s="4" t="s">
        <v>31756</v>
      </c>
      <c r="C1867" s="4"/>
      <c r="D1867" s="4"/>
      <c r="E1867" s="4"/>
      <c r="F1867" s="4" t="s">
        <v>31757</v>
      </c>
      <c r="G1867" s="4"/>
      <c r="H1867" s="4"/>
      <c r="I1867" s="4" t="s">
        <v>31758</v>
      </c>
      <c r="J1867" s="4" t="s">
        <v>1473</v>
      </c>
      <c r="K1867" s="4"/>
      <c r="L1867" s="4"/>
      <c r="M1867" s="4" t="s">
        <v>77</v>
      </c>
      <c r="N1867" s="4" t="s">
        <v>78</v>
      </c>
      <c r="O1867" s="4"/>
      <c r="P1867" s="4"/>
      <c r="Q1867" s="4"/>
      <c r="R1867" s="4"/>
      <c r="S1867" s="4"/>
      <c r="T1867" s="1" t="s">
        <v>31759</v>
      </c>
      <c r="U1867" s="4" t="s">
        <v>31760</v>
      </c>
      <c r="V1867" s="4" t="s">
        <v>31761</v>
      </c>
      <c r="W1867" s="4" t="s">
        <v>31762</v>
      </c>
      <c r="X1867" s="4" t="s">
        <v>31763</v>
      </c>
      <c r="Y1867" s="4" t="s">
        <v>31764</v>
      </c>
      <c r="Z1867" s="4" t="s">
        <v>31765</v>
      </c>
      <c r="AA1867" s="4"/>
      <c r="AB1867" s="4"/>
      <c r="AC1867" s="4" t="s">
        <v>6102</v>
      </c>
      <c r="AD1867" s="4" t="s">
        <v>6103</v>
      </c>
      <c r="AE1867" s="4" t="s">
        <v>31766</v>
      </c>
      <c r="AF1867" s="4"/>
      <c r="AG1867" s="4" t="n">
        <v>27</v>
      </c>
      <c r="AH1867" s="4" t="n">
        <v>45</v>
      </c>
      <c r="AI1867" s="4" t="n">
        <v>45</v>
      </c>
      <c r="AJ1867" s="4" t="n">
        <v>0</v>
      </c>
      <c r="AK1867" s="4" t="n">
        <v>3</v>
      </c>
      <c r="AL1867" s="4" t="s">
        <v>10079</v>
      </c>
      <c r="AM1867" s="4" t="s">
        <v>4498</v>
      </c>
      <c r="AN1867" s="4" t="s">
        <v>4499</v>
      </c>
      <c r="AO1867" s="4" t="s">
        <v>1485</v>
      </c>
      <c r="AP1867" s="4"/>
      <c r="AQ1867" s="4"/>
      <c r="AR1867" s="4" t="s">
        <v>1487</v>
      </c>
      <c r="AS1867" s="4" t="s">
        <v>1488</v>
      </c>
      <c r="AT1867" s="4" t="s">
        <v>185</v>
      </c>
      <c r="AU1867" s="4" t="n">
        <v>2010</v>
      </c>
      <c r="AV1867" s="4" t="n">
        <v>12</v>
      </c>
      <c r="AW1867" s="4" t="n">
        <v>4</v>
      </c>
      <c r="AX1867" s="4"/>
      <c r="AY1867" s="4"/>
      <c r="AZ1867" s="4"/>
      <c r="BA1867" s="4"/>
      <c r="BB1867" s="4" t="n">
        <v>330</v>
      </c>
      <c r="BC1867" s="4" t="n">
        <v>335</v>
      </c>
      <c r="BD1867" s="4"/>
      <c r="BE1867" s="4" t="s">
        <v>31767</v>
      </c>
      <c r="BF1867" s="4" t="str">
        <f aca="false">HYPERLINK("http://dx.doi.org/10.1111/j.1399-3062.2010.00509.x","http://dx.doi.org/10.1111/j.1399-3062.2010.00509.x")</f>
        <v>http://dx.doi.org/10.1111/j.1399-3062.2010.00509.x</v>
      </c>
      <c r="BG1867" s="4"/>
      <c r="BH1867" s="4"/>
      <c r="BI1867" s="4" t="n">
        <v>6</v>
      </c>
      <c r="BJ1867" s="4" t="s">
        <v>1490</v>
      </c>
      <c r="BK1867" s="4" t="s">
        <v>100</v>
      </c>
      <c r="BL1867" s="4" t="s">
        <v>1490</v>
      </c>
      <c r="BM1867" s="4" t="s">
        <v>31768</v>
      </c>
      <c r="BN1867" s="4" t="n">
        <v>20456714</v>
      </c>
      <c r="BO1867" s="4" t="s">
        <v>538</v>
      </c>
      <c r="BP1867" s="4"/>
      <c r="BQ1867" s="4"/>
      <c r="BR1867" s="4" t="s">
        <v>104</v>
      </c>
      <c r="BS1867" s="4" t="s">
        <v>31769</v>
      </c>
      <c r="BT1867" s="4" t="str">
        <f aca="false">HYPERLINK("https%3A%2F%2Fwww.webofscience.com%2Fwos%2Fwoscc%2Ffull-record%2FWOS:000281061000007","View Full Record in Web of Science")</f>
        <v>View Full Record in Web of Science</v>
      </c>
    </row>
    <row r="1868" s="5" customFormat="true" ht="12.75" hidden="false" customHeight="false" outlineLevel="0" collapsed="false">
      <c r="A1868" s="4" t="s">
        <v>72</v>
      </c>
      <c r="B1868" s="4" t="s">
        <v>31770</v>
      </c>
      <c r="C1868" s="4"/>
      <c r="D1868" s="4"/>
      <c r="E1868" s="4"/>
      <c r="F1868" s="4" t="s">
        <v>31771</v>
      </c>
      <c r="G1868" s="4"/>
      <c r="H1868" s="4"/>
      <c r="I1868" s="4" t="s">
        <v>31772</v>
      </c>
      <c r="J1868" s="4" t="s">
        <v>742</v>
      </c>
      <c r="K1868" s="4"/>
      <c r="L1868" s="4"/>
      <c r="M1868" s="4" t="s">
        <v>77</v>
      </c>
      <c r="N1868" s="4" t="s">
        <v>78</v>
      </c>
      <c r="O1868" s="4"/>
      <c r="P1868" s="4"/>
      <c r="Q1868" s="4"/>
      <c r="R1868" s="4"/>
      <c r="S1868" s="4"/>
      <c r="T1868" s="1" t="s">
        <v>31773</v>
      </c>
      <c r="U1868" s="4" t="s">
        <v>31774</v>
      </c>
      <c r="V1868" s="4" t="s">
        <v>31775</v>
      </c>
      <c r="W1868" s="4" t="s">
        <v>31776</v>
      </c>
      <c r="X1868" s="4" t="s">
        <v>4262</v>
      </c>
      <c r="Y1868" s="4" t="s">
        <v>31777</v>
      </c>
      <c r="Z1868" s="4" t="s">
        <v>31778</v>
      </c>
      <c r="AA1868" s="4" t="s">
        <v>30205</v>
      </c>
      <c r="AB1868" s="4" t="s">
        <v>30401</v>
      </c>
      <c r="AC1868" s="4" t="s">
        <v>31779</v>
      </c>
      <c r="AD1868" s="4" t="s">
        <v>2416</v>
      </c>
      <c r="AE1868" s="4"/>
      <c r="AF1868" s="4"/>
      <c r="AG1868" s="4" t="n">
        <v>47</v>
      </c>
      <c r="AH1868" s="4" t="n">
        <v>22</v>
      </c>
      <c r="AI1868" s="4" t="n">
        <v>28</v>
      </c>
      <c r="AJ1868" s="4" t="n">
        <v>1</v>
      </c>
      <c r="AK1868" s="4" t="n">
        <v>3</v>
      </c>
      <c r="AL1868" s="4" t="s">
        <v>755</v>
      </c>
      <c r="AM1868" s="4" t="s">
        <v>273</v>
      </c>
      <c r="AN1868" s="4" t="s">
        <v>756</v>
      </c>
      <c r="AO1868" s="4" t="s">
        <v>757</v>
      </c>
      <c r="AP1868" s="4"/>
      <c r="AQ1868" s="4"/>
      <c r="AR1868" s="4" t="s">
        <v>759</v>
      </c>
      <c r="AS1868" s="4" t="s">
        <v>760</v>
      </c>
      <c r="AT1868" s="4" t="s">
        <v>161</v>
      </c>
      <c r="AU1868" s="4" t="n">
        <v>2007</v>
      </c>
      <c r="AV1868" s="4" t="n">
        <v>81</v>
      </c>
      <c r="AW1868" s="4" t="n">
        <v>1</v>
      </c>
      <c r="AX1868" s="4"/>
      <c r="AY1868" s="4"/>
      <c r="AZ1868" s="4"/>
      <c r="BA1868" s="4"/>
      <c r="BB1868" s="4" t="n">
        <v>141</v>
      </c>
      <c r="BC1868" s="4" t="n">
        <v>149</v>
      </c>
      <c r="BD1868" s="4"/>
      <c r="BE1868" s="4" t="s">
        <v>31780</v>
      </c>
      <c r="BF1868" s="4" t="str">
        <f aca="false">HYPERLINK("http://dx.doi.org/10.1128/JVI.01243-06","http://dx.doi.org/10.1128/JVI.01243-06")</f>
        <v>http://dx.doi.org/10.1128/JVI.01243-06</v>
      </c>
      <c r="BG1868" s="4"/>
      <c r="BH1868" s="4"/>
      <c r="BI1868" s="4" t="n">
        <v>9</v>
      </c>
      <c r="BJ1868" s="4" t="s">
        <v>163</v>
      </c>
      <c r="BK1868" s="4" t="s">
        <v>100</v>
      </c>
      <c r="BL1868" s="4" t="s">
        <v>163</v>
      </c>
      <c r="BM1868" s="4" t="s">
        <v>31781</v>
      </c>
      <c r="BN1868" s="4" t="n">
        <v>17035305</v>
      </c>
      <c r="BO1868" s="4" t="s">
        <v>165</v>
      </c>
      <c r="BP1868" s="4"/>
      <c r="BQ1868" s="4"/>
      <c r="BR1868" s="4" t="s">
        <v>104</v>
      </c>
      <c r="BS1868" s="4" t="s">
        <v>31782</v>
      </c>
      <c r="BT1868" s="4" t="str">
        <f aca="false">HYPERLINK("https%3A%2F%2Fwww.webofscience.com%2Fwos%2Fwoscc%2Ffull-record%2FWOS:000242958600012","View Full Record in Web of Science")</f>
        <v>View Full Record in Web of Science</v>
      </c>
    </row>
    <row r="1869" s="5" customFormat="true" ht="12.75" hidden="false" customHeight="false" outlineLevel="0" collapsed="false">
      <c r="A1869" s="4" t="s">
        <v>72</v>
      </c>
      <c r="B1869" s="4" t="s">
        <v>31783</v>
      </c>
      <c r="C1869" s="4"/>
      <c r="D1869" s="4"/>
      <c r="E1869" s="4"/>
      <c r="F1869" s="4" t="s">
        <v>31783</v>
      </c>
      <c r="G1869" s="4"/>
      <c r="H1869" s="4"/>
      <c r="I1869" s="4" t="s">
        <v>31784</v>
      </c>
      <c r="J1869" s="4" t="s">
        <v>30528</v>
      </c>
      <c r="K1869" s="4"/>
      <c r="L1869" s="4"/>
      <c r="M1869" s="4" t="s">
        <v>77</v>
      </c>
      <c r="N1869" s="4" t="s">
        <v>78</v>
      </c>
      <c r="O1869" s="4"/>
      <c r="P1869" s="4"/>
      <c r="Q1869" s="4"/>
      <c r="R1869" s="4"/>
      <c r="S1869" s="4"/>
      <c r="T1869" s="1" t="s">
        <v>31785</v>
      </c>
      <c r="U1869" s="4" t="s">
        <v>31786</v>
      </c>
      <c r="V1869" s="4" t="s">
        <v>31787</v>
      </c>
      <c r="W1869" s="4" t="s">
        <v>31788</v>
      </c>
      <c r="X1869" s="4" t="s">
        <v>31789</v>
      </c>
      <c r="Y1869" s="4" t="s">
        <v>31790</v>
      </c>
      <c r="Z1869" s="4" t="s">
        <v>31791</v>
      </c>
      <c r="AA1869" s="4" t="s">
        <v>29110</v>
      </c>
      <c r="AB1869" s="4" t="s">
        <v>26211</v>
      </c>
      <c r="AC1869" s="4"/>
      <c r="AD1869" s="4"/>
      <c r="AE1869" s="4"/>
      <c r="AF1869" s="4"/>
      <c r="AG1869" s="4" t="n">
        <v>28</v>
      </c>
      <c r="AH1869" s="4" t="n">
        <v>14</v>
      </c>
      <c r="AI1869" s="4" t="n">
        <v>16</v>
      </c>
      <c r="AJ1869" s="4" t="n">
        <v>0</v>
      </c>
      <c r="AK1869" s="4" t="n">
        <v>0</v>
      </c>
      <c r="AL1869" s="4" t="s">
        <v>30539</v>
      </c>
      <c r="AM1869" s="4" t="s">
        <v>30540</v>
      </c>
      <c r="AN1869" s="4" t="s">
        <v>30541</v>
      </c>
      <c r="AO1869" s="4" t="s">
        <v>30542</v>
      </c>
      <c r="AP1869" s="4" t="s">
        <v>30543</v>
      </c>
      <c r="AQ1869" s="4"/>
      <c r="AR1869" s="4" t="s">
        <v>30544</v>
      </c>
      <c r="AS1869" s="4" t="s">
        <v>30545</v>
      </c>
      <c r="AT1869" s="4" t="s">
        <v>129</v>
      </c>
      <c r="AU1869" s="4" t="n">
        <v>2004</v>
      </c>
      <c r="AV1869" s="4" t="n">
        <v>24</v>
      </c>
      <c r="AW1869" s="4" t="n">
        <v>3</v>
      </c>
      <c r="AX1869" s="4"/>
      <c r="AY1869" s="4"/>
      <c r="AZ1869" s="4"/>
      <c r="BA1869" s="4"/>
      <c r="BB1869" s="4" t="n">
        <v>213</v>
      </c>
      <c r="BC1869" s="4" t="n">
        <v>217</v>
      </c>
      <c r="BD1869" s="4"/>
      <c r="BE1869" s="4" t="s">
        <v>31792</v>
      </c>
      <c r="BF1869" s="4" t="str">
        <f aca="false">HYPERLINK("http://dx.doi.org/10.1179/027249304225018957","http://dx.doi.org/10.1179/027249304225018957")</f>
        <v>http://dx.doi.org/10.1179/027249304225018957</v>
      </c>
      <c r="BG1869" s="4"/>
      <c r="BH1869" s="4"/>
      <c r="BI1869" s="4" t="n">
        <v>5</v>
      </c>
      <c r="BJ1869" s="4" t="s">
        <v>7646</v>
      </c>
      <c r="BK1869" s="4" t="s">
        <v>100</v>
      </c>
      <c r="BL1869" s="4" t="s">
        <v>7646</v>
      </c>
      <c r="BM1869" s="4" t="s">
        <v>31793</v>
      </c>
      <c r="BN1869" s="4" t="n">
        <v>15479570</v>
      </c>
      <c r="BO1869" s="4"/>
      <c r="BP1869" s="4"/>
      <c r="BQ1869" s="4"/>
      <c r="BR1869" s="4" t="s">
        <v>104</v>
      </c>
      <c r="BS1869" s="4" t="s">
        <v>31794</v>
      </c>
      <c r="BT1869" s="4" t="str">
        <f aca="false">HYPERLINK("https%3A%2F%2Fwww.webofscience.com%2Fwos%2Fwoscc%2Ffull-record%2FWOS:000224218900003","View Full Record in Web of Science")</f>
        <v>View Full Record in Web of Science</v>
      </c>
    </row>
    <row r="1870" s="5" customFormat="true" ht="12.75" hidden="false" customHeight="false" outlineLevel="0" collapsed="false">
      <c r="A1870" s="4" t="s">
        <v>72</v>
      </c>
      <c r="B1870" s="4" t="s">
        <v>31795</v>
      </c>
      <c r="C1870" s="4"/>
      <c r="D1870" s="4"/>
      <c r="E1870" s="4"/>
      <c r="F1870" s="4" t="s">
        <v>31796</v>
      </c>
      <c r="G1870" s="4"/>
      <c r="H1870" s="4"/>
      <c r="I1870" s="4" t="s">
        <v>31797</v>
      </c>
      <c r="J1870" s="4" t="s">
        <v>30281</v>
      </c>
      <c r="K1870" s="4"/>
      <c r="L1870" s="4"/>
      <c r="M1870" s="4" t="s">
        <v>77</v>
      </c>
      <c r="N1870" s="4" t="s">
        <v>78</v>
      </c>
      <c r="O1870" s="4"/>
      <c r="P1870" s="4"/>
      <c r="Q1870" s="4"/>
      <c r="R1870" s="4"/>
      <c r="S1870" s="4"/>
      <c r="T1870" s="0"/>
      <c r="U1870" s="4" t="s">
        <v>31798</v>
      </c>
      <c r="V1870" s="4" t="s">
        <v>31799</v>
      </c>
      <c r="W1870" s="4" t="s">
        <v>31800</v>
      </c>
      <c r="X1870" s="4" t="s">
        <v>31801</v>
      </c>
      <c r="Y1870" s="4" t="s">
        <v>31802</v>
      </c>
      <c r="Z1870" s="4" t="s">
        <v>12355</v>
      </c>
      <c r="AA1870" s="4"/>
      <c r="AB1870" s="4" t="s">
        <v>2414</v>
      </c>
      <c r="AC1870" s="4"/>
      <c r="AD1870" s="4"/>
      <c r="AE1870" s="4"/>
      <c r="AF1870" s="4"/>
      <c r="AG1870" s="4" t="n">
        <v>42</v>
      </c>
      <c r="AH1870" s="4" t="n">
        <v>19</v>
      </c>
      <c r="AI1870" s="4" t="n">
        <v>23</v>
      </c>
      <c r="AJ1870" s="4" t="n">
        <v>0</v>
      </c>
      <c r="AK1870" s="4" t="n">
        <v>2</v>
      </c>
      <c r="AL1870" s="4" t="s">
        <v>30292</v>
      </c>
      <c r="AM1870" s="4" t="s">
        <v>303</v>
      </c>
      <c r="AN1870" s="4" t="s">
        <v>30293</v>
      </c>
      <c r="AO1870" s="4" t="s">
        <v>30294</v>
      </c>
      <c r="AP1870" s="4"/>
      <c r="AQ1870" s="4"/>
      <c r="AR1870" s="4" t="s">
        <v>30295</v>
      </c>
      <c r="AS1870" s="4" t="s">
        <v>30296</v>
      </c>
      <c r="AT1870" s="4"/>
      <c r="AU1870" s="4" t="n">
        <v>2008</v>
      </c>
      <c r="AV1870" s="4" t="n">
        <v>13</v>
      </c>
      <c r="AW1870" s="4" t="n">
        <v>1</v>
      </c>
      <c r="AX1870" s="4"/>
      <c r="AY1870" s="4"/>
      <c r="AZ1870" s="4"/>
      <c r="BA1870" s="4"/>
      <c r="BB1870" s="4" t="n">
        <v>39</v>
      </c>
      <c r="BC1870" s="4" t="n">
        <v>46</v>
      </c>
      <c r="BD1870" s="4"/>
      <c r="BE1870" s="4"/>
      <c r="BF1870" s="4"/>
      <c r="BG1870" s="4"/>
      <c r="BH1870" s="4"/>
      <c r="BI1870" s="4" t="n">
        <v>8</v>
      </c>
      <c r="BJ1870" s="4" t="s">
        <v>30297</v>
      </c>
      <c r="BK1870" s="4" t="s">
        <v>100</v>
      </c>
      <c r="BL1870" s="4" t="s">
        <v>30297</v>
      </c>
      <c r="BM1870" s="4" t="s">
        <v>31803</v>
      </c>
      <c r="BN1870" s="4" t="n">
        <v>18389897</v>
      </c>
      <c r="BO1870" s="4"/>
      <c r="BP1870" s="4"/>
      <c r="BQ1870" s="4"/>
      <c r="BR1870" s="4" t="s">
        <v>104</v>
      </c>
      <c r="BS1870" s="4" t="s">
        <v>31804</v>
      </c>
      <c r="BT1870" s="4" t="str">
        <f aca="false">HYPERLINK("https%3A%2F%2Fwww.webofscience.com%2Fwos%2Fwoscc%2Ffull-record%2FWOS:000254003200004","View Full Record in Web of Science")</f>
        <v>View Full Record in Web of Science</v>
      </c>
    </row>
    <row r="1871" s="5" customFormat="true" ht="12.75" hidden="false" customHeight="false" outlineLevel="0" collapsed="false">
      <c r="A1871" s="4" t="s">
        <v>72</v>
      </c>
      <c r="B1871" s="4" t="s">
        <v>31805</v>
      </c>
      <c r="C1871" s="4"/>
      <c r="D1871" s="4"/>
      <c r="E1871" s="4"/>
      <c r="F1871" s="4" t="s">
        <v>31806</v>
      </c>
      <c r="G1871" s="4"/>
      <c r="H1871" s="4"/>
      <c r="I1871" s="4" t="s">
        <v>31807</v>
      </c>
      <c r="J1871" s="4" t="s">
        <v>31630</v>
      </c>
      <c r="K1871" s="4"/>
      <c r="L1871" s="4"/>
      <c r="M1871" s="4" t="s">
        <v>77</v>
      </c>
      <c r="N1871" s="4" t="s">
        <v>78</v>
      </c>
      <c r="O1871" s="4"/>
      <c r="P1871" s="4"/>
      <c r="Q1871" s="4"/>
      <c r="R1871" s="4"/>
      <c r="S1871" s="4"/>
      <c r="T1871" s="1" t="s">
        <v>31808</v>
      </c>
      <c r="U1871" s="4" t="s">
        <v>31809</v>
      </c>
      <c r="V1871" s="4" t="s">
        <v>31810</v>
      </c>
      <c r="W1871" s="4" t="s">
        <v>31811</v>
      </c>
      <c r="X1871" s="4" t="s">
        <v>31812</v>
      </c>
      <c r="Y1871" s="4" t="s">
        <v>1365</v>
      </c>
      <c r="Z1871" s="4" t="s">
        <v>1366</v>
      </c>
      <c r="AA1871" s="4" t="s">
        <v>31813</v>
      </c>
      <c r="AB1871" s="4" t="s">
        <v>31814</v>
      </c>
      <c r="AC1871" s="4" t="s">
        <v>31815</v>
      </c>
      <c r="AD1871" s="4" t="s">
        <v>11195</v>
      </c>
      <c r="AE1871" s="4" t="s">
        <v>31816</v>
      </c>
      <c r="AF1871" s="4"/>
      <c r="AG1871" s="4" t="n">
        <v>61</v>
      </c>
      <c r="AH1871" s="4" t="n">
        <v>176</v>
      </c>
      <c r="AI1871" s="4" t="n">
        <v>194</v>
      </c>
      <c r="AJ1871" s="4" t="n">
        <v>5</v>
      </c>
      <c r="AK1871" s="4" t="n">
        <v>102</v>
      </c>
      <c r="AL1871" s="4" t="s">
        <v>6405</v>
      </c>
      <c r="AM1871" s="4" t="s">
        <v>6406</v>
      </c>
      <c r="AN1871" s="4" t="s">
        <v>6407</v>
      </c>
      <c r="AO1871" s="4" t="s">
        <v>31642</v>
      </c>
      <c r="AP1871" s="4"/>
      <c r="AQ1871" s="4"/>
      <c r="AR1871" s="4" t="s">
        <v>31643</v>
      </c>
      <c r="AS1871" s="4" t="s">
        <v>31644</v>
      </c>
      <c r="AT1871" s="4" t="s">
        <v>692</v>
      </c>
      <c r="AU1871" s="4" t="n">
        <v>2020</v>
      </c>
      <c r="AV1871" s="4" t="n">
        <v>5</v>
      </c>
      <c r="AW1871" s="4" t="n">
        <v>4</v>
      </c>
      <c r="AX1871" s="4"/>
      <c r="AY1871" s="4"/>
      <c r="AZ1871" s="4"/>
      <c r="BA1871" s="4"/>
      <c r="BB1871" s="4" t="n">
        <v>584</v>
      </c>
      <c r="BC1871" s="4" t="s">
        <v>986</v>
      </c>
      <c r="BD1871" s="4"/>
      <c r="BE1871" s="4" t="s">
        <v>31817</v>
      </c>
      <c r="BF1871" s="4" t="str">
        <f aca="false">HYPERLINK("http://dx.doi.org/10.1038/s41564-019-0653-9","http://dx.doi.org/10.1038/s41564-019-0653-9")</f>
        <v>http://dx.doi.org/10.1038/s41564-019-0653-9</v>
      </c>
      <c r="BG1871" s="4"/>
      <c r="BH1871" s="4" t="s">
        <v>11351</v>
      </c>
      <c r="BI1871" s="4" t="n">
        <v>31</v>
      </c>
      <c r="BJ1871" s="4" t="s">
        <v>211</v>
      </c>
      <c r="BK1871" s="4" t="s">
        <v>100</v>
      </c>
      <c r="BL1871" s="4" t="s">
        <v>211</v>
      </c>
      <c r="BM1871" s="4" t="s">
        <v>31818</v>
      </c>
      <c r="BN1871" s="4" t="n">
        <v>32015498</v>
      </c>
      <c r="BO1871" s="4" t="s">
        <v>695</v>
      </c>
      <c r="BP1871" s="4"/>
      <c r="BQ1871" s="4"/>
      <c r="BR1871" s="4" t="s">
        <v>104</v>
      </c>
      <c r="BS1871" s="4" t="s">
        <v>31819</v>
      </c>
      <c r="BT1871" s="4" t="str">
        <f aca="false">HYPERLINK("https%3A%2F%2Fwww.webofscience.com%2Fwos%2Fwoscc%2Ffull-record%2FWOS:000510823400003","View Full Record in Web of Science")</f>
        <v>View Full Record in Web of Science</v>
      </c>
    </row>
    <row r="1872" s="5" customFormat="true" ht="12.75" hidden="false" customHeight="false" outlineLevel="0" collapsed="false">
      <c r="A1872" s="4" t="s">
        <v>72</v>
      </c>
      <c r="B1872" s="4" t="s">
        <v>31820</v>
      </c>
      <c r="C1872" s="4"/>
      <c r="D1872" s="4"/>
      <c r="E1872" s="4"/>
      <c r="F1872" s="4" t="s">
        <v>31821</v>
      </c>
      <c r="G1872" s="4"/>
      <c r="H1872" s="4"/>
      <c r="I1872" s="4" t="s">
        <v>31822</v>
      </c>
      <c r="J1872" s="4" t="s">
        <v>27497</v>
      </c>
      <c r="K1872" s="4"/>
      <c r="L1872" s="4"/>
      <c r="M1872" s="4" t="s">
        <v>77</v>
      </c>
      <c r="N1872" s="4" t="s">
        <v>78</v>
      </c>
      <c r="O1872" s="4"/>
      <c r="P1872" s="4"/>
      <c r="Q1872" s="4"/>
      <c r="R1872" s="4"/>
      <c r="S1872" s="4"/>
      <c r="T1872" s="1" t="s">
        <v>31823</v>
      </c>
      <c r="U1872" s="4" t="s">
        <v>31824</v>
      </c>
      <c r="V1872" s="4" t="s">
        <v>31825</v>
      </c>
      <c r="W1872" s="4" t="s">
        <v>31826</v>
      </c>
      <c r="X1872" s="4" t="s">
        <v>26700</v>
      </c>
      <c r="Y1872" s="4" t="s">
        <v>31827</v>
      </c>
      <c r="Z1872" s="4" t="s">
        <v>31828</v>
      </c>
      <c r="AA1872" s="4" t="s">
        <v>31829</v>
      </c>
      <c r="AB1872" s="4" t="s">
        <v>31830</v>
      </c>
      <c r="AC1872" s="4" t="s">
        <v>31831</v>
      </c>
      <c r="AD1872" s="4" t="s">
        <v>31832</v>
      </c>
      <c r="AE1872" s="4" t="s">
        <v>31833</v>
      </c>
      <c r="AF1872" s="4"/>
      <c r="AG1872" s="4" t="n">
        <v>21</v>
      </c>
      <c r="AH1872" s="4" t="n">
        <v>35</v>
      </c>
      <c r="AI1872" s="4" t="n">
        <v>36</v>
      </c>
      <c r="AJ1872" s="4" t="n">
        <v>0</v>
      </c>
      <c r="AK1872" s="4" t="n">
        <v>1</v>
      </c>
      <c r="AL1872" s="4" t="s">
        <v>27506</v>
      </c>
      <c r="AM1872" s="4" t="s">
        <v>27507</v>
      </c>
      <c r="AN1872" s="4" t="s">
        <v>27508</v>
      </c>
      <c r="AO1872" s="4" t="s">
        <v>27509</v>
      </c>
      <c r="AP1872" s="4"/>
      <c r="AQ1872" s="4"/>
      <c r="AR1872" s="4" t="s">
        <v>27497</v>
      </c>
      <c r="AS1872" s="4" t="s">
        <v>27510</v>
      </c>
      <c r="AT1872" s="4" t="s">
        <v>31834</v>
      </c>
      <c r="AU1872" s="4" t="n">
        <v>2013</v>
      </c>
      <c r="AV1872" s="4" t="n">
        <v>8</v>
      </c>
      <c r="AW1872" s="4" t="n">
        <v>9</v>
      </c>
      <c r="AX1872" s="4"/>
      <c r="AY1872" s="4"/>
      <c r="AZ1872" s="4"/>
      <c r="BA1872" s="4"/>
      <c r="BB1872" s="4"/>
      <c r="BC1872" s="4"/>
      <c r="BD1872" s="4" t="s">
        <v>31835</v>
      </c>
      <c r="BE1872" s="4" t="s">
        <v>31836</v>
      </c>
      <c r="BF1872" s="4" t="str">
        <f aca="false">HYPERLINK("http://dx.doi.org/10.1371/journal.pone.0074756","http://dx.doi.org/10.1371/journal.pone.0074756")</f>
        <v>http://dx.doi.org/10.1371/journal.pone.0074756</v>
      </c>
      <c r="BG1872" s="4"/>
      <c r="BH1872" s="4"/>
      <c r="BI1872" s="4" t="n">
        <v>4</v>
      </c>
      <c r="BJ1872" s="4" t="s">
        <v>1658</v>
      </c>
      <c r="BK1872" s="4" t="s">
        <v>100</v>
      </c>
      <c r="BL1872" s="4" t="s">
        <v>1659</v>
      </c>
      <c r="BM1872" s="4" t="s">
        <v>31837</v>
      </c>
      <c r="BN1872" s="4" t="n">
        <v>24058625</v>
      </c>
      <c r="BO1872" s="4" t="s">
        <v>11315</v>
      </c>
      <c r="BP1872" s="4"/>
      <c r="BQ1872" s="4"/>
      <c r="BR1872" s="4" t="s">
        <v>104</v>
      </c>
      <c r="BS1872" s="4" t="s">
        <v>31838</v>
      </c>
      <c r="BT1872" s="4" t="str">
        <f aca="false">HYPERLINK("https%3A%2F%2Fwww.webofscience.com%2Fwos%2Fwoscc%2Ffull-record%2FWOS:000324695900079","View Full Record in Web of Science")</f>
        <v>View Full Record in Web of Science</v>
      </c>
    </row>
    <row r="1873" s="5" customFormat="true" ht="12.75" hidden="false" customHeight="false" outlineLevel="0" collapsed="false">
      <c r="A1873" s="4" t="s">
        <v>72</v>
      </c>
      <c r="B1873" s="4" t="s">
        <v>31839</v>
      </c>
      <c r="C1873" s="4"/>
      <c r="D1873" s="4"/>
      <c r="E1873" s="4"/>
      <c r="F1873" s="4" t="s">
        <v>31839</v>
      </c>
      <c r="G1873" s="4"/>
      <c r="H1873" s="4"/>
      <c r="I1873" s="4" t="s">
        <v>31840</v>
      </c>
      <c r="J1873" s="4" t="s">
        <v>742</v>
      </c>
      <c r="K1873" s="4"/>
      <c r="L1873" s="4"/>
      <c r="M1873" s="4" t="s">
        <v>77</v>
      </c>
      <c r="N1873" s="4" t="s">
        <v>78</v>
      </c>
      <c r="O1873" s="4"/>
      <c r="P1873" s="4"/>
      <c r="Q1873" s="4"/>
      <c r="R1873" s="4"/>
      <c r="S1873" s="4"/>
      <c r="T1873" s="1" t="s">
        <v>31841</v>
      </c>
      <c r="U1873" s="4" t="s">
        <v>31842</v>
      </c>
      <c r="V1873" s="4" t="s">
        <v>31843</v>
      </c>
      <c r="W1873" s="4" t="s">
        <v>6707</v>
      </c>
      <c r="X1873" s="4" t="s">
        <v>6708</v>
      </c>
      <c r="Y1873" s="4" t="s">
        <v>31844</v>
      </c>
      <c r="Z1873" s="4" t="s">
        <v>6710</v>
      </c>
      <c r="AA1873" s="4" t="s">
        <v>6711</v>
      </c>
      <c r="AB1873" s="4" t="s">
        <v>6712</v>
      </c>
      <c r="AC1873" s="4"/>
      <c r="AD1873" s="4"/>
      <c r="AE1873" s="4"/>
      <c r="AF1873" s="4"/>
      <c r="AG1873" s="4" t="n">
        <v>34</v>
      </c>
      <c r="AH1873" s="4" t="n">
        <v>175</v>
      </c>
      <c r="AI1873" s="4" t="n">
        <v>215</v>
      </c>
      <c r="AJ1873" s="4" t="n">
        <v>0</v>
      </c>
      <c r="AK1873" s="4" t="n">
        <v>1</v>
      </c>
      <c r="AL1873" s="4" t="s">
        <v>755</v>
      </c>
      <c r="AM1873" s="4" t="s">
        <v>273</v>
      </c>
      <c r="AN1873" s="4" t="s">
        <v>756</v>
      </c>
      <c r="AO1873" s="4" t="s">
        <v>757</v>
      </c>
      <c r="AP1873" s="4" t="s">
        <v>758</v>
      </c>
      <c r="AQ1873" s="4"/>
      <c r="AR1873" s="4" t="s">
        <v>759</v>
      </c>
      <c r="AS1873" s="4" t="s">
        <v>760</v>
      </c>
      <c r="AT1873" s="4" t="s">
        <v>446</v>
      </c>
      <c r="AU1873" s="4" t="n">
        <v>2004</v>
      </c>
      <c r="AV1873" s="4" t="n">
        <v>78</v>
      </c>
      <c r="AW1873" s="4" t="n">
        <v>23</v>
      </c>
      <c r="AX1873" s="4"/>
      <c r="AY1873" s="4"/>
      <c r="AZ1873" s="4"/>
      <c r="BA1873" s="4"/>
      <c r="BB1873" s="4" t="n">
        <v>12877</v>
      </c>
      <c r="BC1873" s="4" t="n">
        <v>12887</v>
      </c>
      <c r="BD1873" s="4"/>
      <c r="BE1873" s="4" t="s">
        <v>31845</v>
      </c>
      <c r="BF1873" s="4" t="str">
        <f aca="false">HYPERLINK("http://dx.doi.org/10.1128/JVI.78.23.12877-12887.2004","http://dx.doi.org/10.1128/JVI.78.23.12877-12887.2004")</f>
        <v>http://dx.doi.org/10.1128/JVI.78.23.12877-12887.2004</v>
      </c>
      <c r="BG1873" s="4"/>
      <c r="BH1873" s="4"/>
      <c r="BI1873" s="4" t="n">
        <v>11</v>
      </c>
      <c r="BJ1873" s="4" t="s">
        <v>163</v>
      </c>
      <c r="BK1873" s="4" t="s">
        <v>100</v>
      </c>
      <c r="BL1873" s="4" t="s">
        <v>163</v>
      </c>
      <c r="BM1873" s="4" t="s">
        <v>31846</v>
      </c>
      <c r="BN1873" s="4" t="n">
        <v>15542640</v>
      </c>
      <c r="BO1873" s="4" t="s">
        <v>165</v>
      </c>
      <c r="BP1873" s="4"/>
      <c r="BQ1873" s="4"/>
      <c r="BR1873" s="4" t="s">
        <v>104</v>
      </c>
      <c r="BS1873" s="4" t="s">
        <v>31847</v>
      </c>
      <c r="BT1873" s="4" t="str">
        <f aca="false">HYPERLINK("https%3A%2F%2Fwww.webofscience.com%2Fwos%2Fwoscc%2Ffull-record%2FWOS:000225087500016","View Full Record in Web of Science")</f>
        <v>View Full Record in Web of Science</v>
      </c>
    </row>
    <row r="1874" s="5" customFormat="true" ht="12.75" hidden="false" customHeight="false" outlineLevel="0" collapsed="false">
      <c r="A1874" s="4" t="s">
        <v>72</v>
      </c>
      <c r="B1874" s="4" t="s">
        <v>31848</v>
      </c>
      <c r="C1874" s="4"/>
      <c r="D1874" s="4"/>
      <c r="E1874" s="4"/>
      <c r="F1874" s="4" t="s">
        <v>31849</v>
      </c>
      <c r="G1874" s="4"/>
      <c r="H1874" s="4"/>
      <c r="I1874" s="4" t="s">
        <v>31850</v>
      </c>
      <c r="J1874" s="4" t="s">
        <v>742</v>
      </c>
      <c r="K1874" s="4"/>
      <c r="L1874" s="4"/>
      <c r="M1874" s="4" t="s">
        <v>77</v>
      </c>
      <c r="N1874" s="4" t="s">
        <v>78</v>
      </c>
      <c r="O1874" s="4"/>
      <c r="P1874" s="4"/>
      <c r="Q1874" s="4"/>
      <c r="R1874" s="4"/>
      <c r="S1874" s="4"/>
      <c r="T1874" s="1" t="s">
        <v>31851</v>
      </c>
      <c r="U1874" s="4" t="s">
        <v>31852</v>
      </c>
      <c r="V1874" s="4" t="s">
        <v>31853</v>
      </c>
      <c r="W1874" s="4" t="s">
        <v>31854</v>
      </c>
      <c r="X1874" s="4" t="s">
        <v>31855</v>
      </c>
      <c r="Y1874" s="4" t="s">
        <v>1365</v>
      </c>
      <c r="Z1874" s="4" t="s">
        <v>1366</v>
      </c>
      <c r="AA1874" s="4" t="s">
        <v>15800</v>
      </c>
      <c r="AB1874" s="4"/>
      <c r="AC1874" s="4" t="s">
        <v>31856</v>
      </c>
      <c r="AD1874" s="4" t="s">
        <v>31857</v>
      </c>
      <c r="AE1874" s="4" t="s">
        <v>31858</v>
      </c>
      <c r="AF1874" s="4"/>
      <c r="AG1874" s="4" t="n">
        <v>50</v>
      </c>
      <c r="AH1874" s="4" t="n">
        <v>10</v>
      </c>
      <c r="AI1874" s="4" t="n">
        <v>12</v>
      </c>
      <c r="AJ1874" s="4" t="n">
        <v>0</v>
      </c>
      <c r="AK1874" s="4" t="n">
        <v>1</v>
      </c>
      <c r="AL1874" s="4" t="s">
        <v>755</v>
      </c>
      <c r="AM1874" s="4" t="s">
        <v>273</v>
      </c>
      <c r="AN1874" s="4" t="s">
        <v>756</v>
      </c>
      <c r="AO1874" s="4" t="s">
        <v>757</v>
      </c>
      <c r="AP1874" s="4" t="s">
        <v>758</v>
      </c>
      <c r="AQ1874" s="4"/>
      <c r="AR1874" s="4" t="s">
        <v>759</v>
      </c>
      <c r="AS1874" s="4" t="s">
        <v>760</v>
      </c>
      <c r="AT1874" s="4" t="s">
        <v>185</v>
      </c>
      <c r="AU1874" s="4" t="n">
        <v>2016</v>
      </c>
      <c r="AV1874" s="4" t="n">
        <v>90</v>
      </c>
      <c r="AW1874" s="4" t="n">
        <v>16</v>
      </c>
      <c r="AX1874" s="4"/>
      <c r="AY1874" s="4"/>
      <c r="AZ1874" s="4"/>
      <c r="BA1874" s="4"/>
      <c r="BB1874" s="4" t="n">
        <v>7323</v>
      </c>
      <c r="BC1874" s="4" t="n">
        <v>7338</v>
      </c>
      <c r="BD1874" s="4"/>
      <c r="BE1874" s="4" t="s">
        <v>31859</v>
      </c>
      <c r="BF1874" s="4" t="str">
        <f aca="false">HYPERLINK("http://dx.doi.org/10.1128/JVI.00755-16","http://dx.doi.org/10.1128/JVI.00755-16")</f>
        <v>http://dx.doi.org/10.1128/JVI.00755-16</v>
      </c>
      <c r="BG1874" s="4"/>
      <c r="BH1874" s="4"/>
      <c r="BI1874" s="4" t="n">
        <v>16</v>
      </c>
      <c r="BJ1874" s="4" t="s">
        <v>163</v>
      </c>
      <c r="BK1874" s="4" t="s">
        <v>100</v>
      </c>
      <c r="BL1874" s="4" t="s">
        <v>163</v>
      </c>
      <c r="BM1874" s="4" t="s">
        <v>31860</v>
      </c>
      <c r="BN1874" s="4" t="n">
        <v>27252537</v>
      </c>
      <c r="BO1874" s="4" t="s">
        <v>538</v>
      </c>
      <c r="BP1874" s="4"/>
      <c r="BQ1874" s="4"/>
      <c r="BR1874" s="4" t="s">
        <v>104</v>
      </c>
      <c r="BS1874" s="4" t="s">
        <v>31861</v>
      </c>
      <c r="BT1874" s="4" t="str">
        <f aca="false">HYPERLINK("https%3A%2F%2Fwww.webofscience.com%2Fwos%2Fwoscc%2Ffull-record%2FWOS:000382306500025","View Full Record in Web of Science")</f>
        <v>View Full Record in Web of Science</v>
      </c>
    </row>
    <row r="1875" s="5" customFormat="true" ht="12.75" hidden="false" customHeight="false" outlineLevel="0" collapsed="false">
      <c r="A1875" s="4" t="s">
        <v>72</v>
      </c>
      <c r="B1875" s="4" t="s">
        <v>31862</v>
      </c>
      <c r="C1875" s="4"/>
      <c r="D1875" s="4"/>
      <c r="E1875" s="4"/>
      <c r="F1875" s="4" t="s">
        <v>31863</v>
      </c>
      <c r="G1875" s="4"/>
      <c r="H1875" s="4"/>
      <c r="I1875" s="4" t="s">
        <v>31864</v>
      </c>
      <c r="J1875" s="4" t="s">
        <v>2222</v>
      </c>
      <c r="K1875" s="4"/>
      <c r="L1875" s="4"/>
      <c r="M1875" s="4" t="s">
        <v>77</v>
      </c>
      <c r="N1875" s="4" t="s">
        <v>78</v>
      </c>
      <c r="O1875" s="4"/>
      <c r="P1875" s="4"/>
      <c r="Q1875" s="4"/>
      <c r="R1875" s="4"/>
      <c r="S1875" s="4"/>
      <c r="T1875" s="1" t="s">
        <v>31865</v>
      </c>
      <c r="U1875" s="4" t="s">
        <v>31866</v>
      </c>
      <c r="V1875" s="4" t="s">
        <v>31867</v>
      </c>
      <c r="W1875" s="4" t="s">
        <v>31868</v>
      </c>
      <c r="X1875" s="4" t="s">
        <v>31869</v>
      </c>
      <c r="Y1875" s="4" t="s">
        <v>31870</v>
      </c>
      <c r="Z1875" s="4" t="s">
        <v>31871</v>
      </c>
      <c r="AA1875" s="4" t="s">
        <v>31872</v>
      </c>
      <c r="AB1875" s="4"/>
      <c r="AC1875" s="4"/>
      <c r="AD1875" s="4"/>
      <c r="AE1875" s="4"/>
      <c r="AF1875" s="4"/>
      <c r="AG1875" s="4" t="n">
        <v>26</v>
      </c>
      <c r="AH1875" s="4" t="n">
        <v>54</v>
      </c>
      <c r="AI1875" s="4" t="n">
        <v>66</v>
      </c>
      <c r="AJ1875" s="4" t="n">
        <v>0</v>
      </c>
      <c r="AK1875" s="4" t="n">
        <v>0</v>
      </c>
      <c r="AL1875" s="4" t="s">
        <v>755</v>
      </c>
      <c r="AM1875" s="4" t="s">
        <v>273</v>
      </c>
      <c r="AN1875" s="4" t="s">
        <v>756</v>
      </c>
      <c r="AO1875" s="4" t="s">
        <v>2234</v>
      </c>
      <c r="AP1875" s="4" t="s">
        <v>2235</v>
      </c>
      <c r="AQ1875" s="4"/>
      <c r="AR1875" s="4" t="s">
        <v>2236</v>
      </c>
      <c r="AS1875" s="4" t="s">
        <v>2237</v>
      </c>
      <c r="AT1875" s="4" t="s">
        <v>390</v>
      </c>
      <c r="AU1875" s="4" t="n">
        <v>2008</v>
      </c>
      <c r="AV1875" s="4" t="n">
        <v>46</v>
      </c>
      <c r="AW1875" s="4" t="n">
        <v>5</v>
      </c>
      <c r="AX1875" s="4"/>
      <c r="AY1875" s="4"/>
      <c r="AZ1875" s="4"/>
      <c r="BA1875" s="4"/>
      <c r="BB1875" s="4" t="n">
        <v>1682</v>
      </c>
      <c r="BC1875" s="4" t="n">
        <v>1685</v>
      </c>
      <c r="BD1875" s="4"/>
      <c r="BE1875" s="4" t="s">
        <v>31873</v>
      </c>
      <c r="BF1875" s="4" t="str">
        <f aca="false">HYPERLINK("http://dx.doi.org/10.1128/JCM.00008-08","http://dx.doi.org/10.1128/JCM.00008-08")</f>
        <v>http://dx.doi.org/10.1128/JCM.00008-08</v>
      </c>
      <c r="BG1875" s="4"/>
      <c r="BH1875" s="4"/>
      <c r="BI1875" s="4" t="n">
        <v>4</v>
      </c>
      <c r="BJ1875" s="4" t="s">
        <v>211</v>
      </c>
      <c r="BK1875" s="4" t="s">
        <v>100</v>
      </c>
      <c r="BL1875" s="4" t="s">
        <v>211</v>
      </c>
      <c r="BM1875" s="4" t="s">
        <v>31874</v>
      </c>
      <c r="BN1875" s="4" t="n">
        <v>18337386</v>
      </c>
      <c r="BO1875" s="4" t="s">
        <v>165</v>
      </c>
      <c r="BP1875" s="4"/>
      <c r="BQ1875" s="4"/>
      <c r="BR1875" s="4" t="s">
        <v>104</v>
      </c>
      <c r="BS1875" s="4" t="s">
        <v>31875</v>
      </c>
      <c r="BT1875" s="4" t="str">
        <f aca="false">HYPERLINK("https%3A%2F%2Fwww.webofscience.com%2Fwos%2Fwoscc%2Ffull-record%2FWOS:000255678200017","View Full Record in Web of Science")</f>
        <v>View Full Record in Web of Science</v>
      </c>
    </row>
    <row r="1876" s="5" customFormat="true" ht="12.75" hidden="false" customHeight="false" outlineLevel="0" collapsed="false">
      <c r="A1876" s="4" t="s">
        <v>72</v>
      </c>
      <c r="B1876" s="4" t="s">
        <v>31876</v>
      </c>
      <c r="C1876" s="4"/>
      <c r="D1876" s="4"/>
      <c r="E1876" s="4"/>
      <c r="F1876" s="4" t="s">
        <v>31877</v>
      </c>
      <c r="G1876" s="4"/>
      <c r="H1876" s="4"/>
      <c r="I1876" s="4" t="s">
        <v>31878</v>
      </c>
      <c r="J1876" s="4" t="s">
        <v>15823</v>
      </c>
      <c r="K1876" s="4"/>
      <c r="L1876" s="4"/>
      <c r="M1876" s="4" t="s">
        <v>77</v>
      </c>
      <c r="N1876" s="4" t="s">
        <v>78</v>
      </c>
      <c r="O1876" s="4"/>
      <c r="P1876" s="4"/>
      <c r="Q1876" s="4"/>
      <c r="R1876" s="4"/>
      <c r="S1876" s="4"/>
      <c r="T1876" s="1" t="s">
        <v>31879</v>
      </c>
      <c r="U1876" s="4" t="s">
        <v>31880</v>
      </c>
      <c r="V1876" s="4" t="s">
        <v>31881</v>
      </c>
      <c r="W1876" s="4" t="s">
        <v>31882</v>
      </c>
      <c r="X1876" s="4" t="s">
        <v>31883</v>
      </c>
      <c r="Y1876" s="4" t="s">
        <v>25528</v>
      </c>
      <c r="Z1876" s="4" t="s">
        <v>12585</v>
      </c>
      <c r="AA1876" s="4" t="s">
        <v>31884</v>
      </c>
      <c r="AB1876" s="4" t="s">
        <v>31885</v>
      </c>
      <c r="AC1876" s="4" t="s">
        <v>31886</v>
      </c>
      <c r="AD1876" s="4" t="s">
        <v>31887</v>
      </c>
      <c r="AE1876" s="4" t="s">
        <v>31888</v>
      </c>
      <c r="AF1876" s="4"/>
      <c r="AG1876" s="4" t="n">
        <v>51</v>
      </c>
      <c r="AH1876" s="4" t="n">
        <v>38</v>
      </c>
      <c r="AI1876" s="4" t="n">
        <v>41</v>
      </c>
      <c r="AJ1876" s="4" t="n">
        <v>0</v>
      </c>
      <c r="AK1876" s="4" t="n">
        <v>0</v>
      </c>
      <c r="AL1876" s="4" t="s">
        <v>755</v>
      </c>
      <c r="AM1876" s="4" t="s">
        <v>273</v>
      </c>
      <c r="AN1876" s="4" t="s">
        <v>756</v>
      </c>
      <c r="AO1876" s="4" t="s">
        <v>15835</v>
      </c>
      <c r="AP1876" s="4" t="s">
        <v>15836</v>
      </c>
      <c r="AQ1876" s="4"/>
      <c r="AR1876" s="4" t="s">
        <v>15837</v>
      </c>
      <c r="AS1876" s="4" t="s">
        <v>15838</v>
      </c>
      <c r="AT1876" s="4" t="s">
        <v>185</v>
      </c>
      <c r="AU1876" s="4" t="n">
        <v>2016</v>
      </c>
      <c r="AV1876" s="4" t="n">
        <v>60</v>
      </c>
      <c r="AW1876" s="4" t="n">
        <v>8</v>
      </c>
      <c r="AX1876" s="4"/>
      <c r="AY1876" s="4"/>
      <c r="AZ1876" s="4"/>
      <c r="BA1876" s="4"/>
      <c r="BB1876" s="4" t="n">
        <v>4620</v>
      </c>
      <c r="BC1876" s="4" t="n">
        <v>4629</v>
      </c>
      <c r="BD1876" s="4"/>
      <c r="BE1876" s="4" t="s">
        <v>31889</v>
      </c>
      <c r="BF1876" s="4" t="str">
        <f aca="false">HYPERLINK("http://dx.doi.org/10.1128/AAC.00709-16","http://dx.doi.org/10.1128/AAC.00709-16")</f>
        <v>http://dx.doi.org/10.1128/AAC.00709-16</v>
      </c>
      <c r="BG1876" s="4"/>
      <c r="BH1876" s="4"/>
      <c r="BI1876" s="4" t="n">
        <v>10</v>
      </c>
      <c r="BJ1876" s="4" t="s">
        <v>7809</v>
      </c>
      <c r="BK1876" s="4" t="s">
        <v>100</v>
      </c>
      <c r="BL1876" s="4" t="s">
        <v>7809</v>
      </c>
      <c r="BM1876" s="4" t="s">
        <v>31890</v>
      </c>
      <c r="BN1876" s="4" t="n">
        <v>27185803</v>
      </c>
      <c r="BO1876" s="4" t="s">
        <v>393</v>
      </c>
      <c r="BP1876" s="4"/>
      <c r="BQ1876" s="4"/>
      <c r="BR1876" s="4" t="s">
        <v>104</v>
      </c>
      <c r="BS1876" s="4" t="s">
        <v>31891</v>
      </c>
      <c r="BT1876" s="4" t="str">
        <f aca="false">HYPERLINK("https%3A%2F%2Fwww.webofscience.com%2Fwos%2Fwoscc%2Ffull-record%2FWOS:000380792600021","View Full Record in Web of Science")</f>
        <v>View Full Record in Web of Science</v>
      </c>
    </row>
    <row r="1877" s="5" customFormat="true" ht="12.75" hidden="false" customHeight="false" outlineLevel="0" collapsed="false">
      <c r="A1877" s="4" t="s">
        <v>72</v>
      </c>
      <c r="B1877" s="4" t="s">
        <v>31892</v>
      </c>
      <c r="C1877" s="4"/>
      <c r="D1877" s="4"/>
      <c r="E1877" s="4"/>
      <c r="F1877" s="4" t="s">
        <v>31893</v>
      </c>
      <c r="G1877" s="4"/>
      <c r="H1877" s="4"/>
      <c r="I1877" s="4" t="s">
        <v>31894</v>
      </c>
      <c r="J1877" s="4" t="s">
        <v>7145</v>
      </c>
      <c r="K1877" s="4"/>
      <c r="L1877" s="4"/>
      <c r="M1877" s="4" t="s">
        <v>77</v>
      </c>
      <c r="N1877" s="4" t="s">
        <v>78</v>
      </c>
      <c r="O1877" s="4"/>
      <c r="P1877" s="4"/>
      <c r="Q1877" s="4"/>
      <c r="R1877" s="4"/>
      <c r="S1877" s="4"/>
      <c r="T1877" s="1" t="s">
        <v>31895</v>
      </c>
      <c r="U1877" s="4" t="s">
        <v>31896</v>
      </c>
      <c r="V1877" s="4" t="s">
        <v>31897</v>
      </c>
      <c r="W1877" s="4" t="s">
        <v>31898</v>
      </c>
      <c r="X1877" s="4" t="s">
        <v>8071</v>
      </c>
      <c r="Y1877" s="4" t="s">
        <v>9721</v>
      </c>
      <c r="Z1877" s="4" t="s">
        <v>9722</v>
      </c>
      <c r="AA1877" s="4" t="s">
        <v>31899</v>
      </c>
      <c r="AB1877" s="4" t="s">
        <v>31900</v>
      </c>
      <c r="AC1877" s="4"/>
      <c r="AD1877" s="4"/>
      <c r="AE1877" s="4"/>
      <c r="AF1877" s="4"/>
      <c r="AG1877" s="4" t="n">
        <v>42</v>
      </c>
      <c r="AH1877" s="4" t="n">
        <v>22</v>
      </c>
      <c r="AI1877" s="4" t="n">
        <v>26</v>
      </c>
      <c r="AJ1877" s="4" t="n">
        <v>1</v>
      </c>
      <c r="AK1877" s="4" t="n">
        <v>12</v>
      </c>
      <c r="AL1877" s="4" t="s">
        <v>3426</v>
      </c>
      <c r="AM1877" s="4" t="s">
        <v>303</v>
      </c>
      <c r="AN1877" s="4" t="s">
        <v>3427</v>
      </c>
      <c r="AO1877" s="4" t="s">
        <v>7158</v>
      </c>
      <c r="AP1877" s="4" t="s">
        <v>7159</v>
      </c>
      <c r="AQ1877" s="4"/>
      <c r="AR1877" s="4" t="s">
        <v>7160</v>
      </c>
      <c r="AS1877" s="4" t="s">
        <v>7161</v>
      </c>
      <c r="AT1877" s="4" t="s">
        <v>486</v>
      </c>
      <c r="AU1877" s="4" t="n">
        <v>2009</v>
      </c>
      <c r="AV1877" s="4" t="n">
        <v>90</v>
      </c>
      <c r="AW1877" s="4"/>
      <c r="AX1877" s="4" t="n">
        <v>6</v>
      </c>
      <c r="AY1877" s="4"/>
      <c r="AZ1877" s="4"/>
      <c r="BA1877" s="4"/>
      <c r="BB1877" s="4" t="n">
        <v>1408</v>
      </c>
      <c r="BC1877" s="4" t="n">
        <v>1416</v>
      </c>
      <c r="BD1877" s="4"/>
      <c r="BE1877" s="4" t="s">
        <v>31901</v>
      </c>
      <c r="BF1877" s="4" t="str">
        <f aca="false">HYPERLINK("http://dx.doi.org/10.1099/vir.0.009688-0","http://dx.doi.org/10.1099/vir.0.009688-0")</f>
        <v>http://dx.doi.org/10.1099/vir.0.009688-0</v>
      </c>
      <c r="BG1877" s="4"/>
      <c r="BH1877" s="4"/>
      <c r="BI1877" s="4" t="n">
        <v>9</v>
      </c>
      <c r="BJ1877" s="4" t="s">
        <v>7163</v>
      </c>
      <c r="BK1877" s="4" t="s">
        <v>100</v>
      </c>
      <c r="BL1877" s="4" t="s">
        <v>7163</v>
      </c>
      <c r="BM1877" s="4" t="s">
        <v>31902</v>
      </c>
      <c r="BN1877" s="4" t="n">
        <v>19264630</v>
      </c>
      <c r="BO1877" s="4" t="s">
        <v>656</v>
      </c>
      <c r="BP1877" s="4"/>
      <c r="BQ1877" s="4"/>
      <c r="BR1877" s="4" t="s">
        <v>104</v>
      </c>
      <c r="BS1877" s="4" t="s">
        <v>31903</v>
      </c>
      <c r="BT1877" s="4" t="str">
        <f aca="false">HYPERLINK("https%3A%2F%2Fwww.webofscience.com%2Fwos%2Fwoscc%2Ffull-record%2FWOS:000266616200012","View Full Record in Web of Science")</f>
        <v>View Full Record in Web of Science</v>
      </c>
    </row>
    <row r="1878" s="5" customFormat="true" ht="12.75" hidden="false" customHeight="false" outlineLevel="0" collapsed="false">
      <c r="A1878" s="4" t="s">
        <v>72</v>
      </c>
      <c r="B1878" s="4" t="s">
        <v>31904</v>
      </c>
      <c r="C1878" s="4"/>
      <c r="D1878" s="4"/>
      <c r="E1878" s="4"/>
      <c r="F1878" s="4" t="s">
        <v>31905</v>
      </c>
      <c r="G1878" s="4"/>
      <c r="H1878" s="4"/>
      <c r="I1878" s="4" t="s">
        <v>31906</v>
      </c>
      <c r="J1878" s="4" t="s">
        <v>27453</v>
      </c>
      <c r="K1878" s="4"/>
      <c r="L1878" s="4"/>
      <c r="M1878" s="4" t="s">
        <v>77</v>
      </c>
      <c r="N1878" s="4" t="s">
        <v>78</v>
      </c>
      <c r="O1878" s="4"/>
      <c r="P1878" s="4"/>
      <c r="Q1878" s="4"/>
      <c r="R1878" s="4"/>
      <c r="S1878" s="4"/>
      <c r="T1878" s="1" t="s">
        <v>31907</v>
      </c>
      <c r="U1878" s="4" t="s">
        <v>31908</v>
      </c>
      <c r="V1878" s="4" t="s">
        <v>31909</v>
      </c>
      <c r="W1878" s="4" t="s">
        <v>31910</v>
      </c>
      <c r="X1878" s="4" t="s">
        <v>31911</v>
      </c>
      <c r="Y1878" s="4" t="s">
        <v>29899</v>
      </c>
      <c r="Z1878" s="4" t="s">
        <v>26599</v>
      </c>
      <c r="AA1878" s="4"/>
      <c r="AB1878" s="4"/>
      <c r="AC1878" s="4" t="s">
        <v>31912</v>
      </c>
      <c r="AD1878" s="4" t="s">
        <v>31913</v>
      </c>
      <c r="AE1878" s="4" t="s">
        <v>31914</v>
      </c>
      <c r="AF1878" s="4"/>
      <c r="AG1878" s="4" t="n">
        <v>29</v>
      </c>
      <c r="AH1878" s="4" t="n">
        <v>50</v>
      </c>
      <c r="AI1878" s="4" t="n">
        <v>55</v>
      </c>
      <c r="AJ1878" s="4" t="n">
        <v>0</v>
      </c>
      <c r="AK1878" s="4" t="n">
        <v>4</v>
      </c>
      <c r="AL1878" s="4" t="s">
        <v>27463</v>
      </c>
      <c r="AM1878" s="4" t="s">
        <v>16252</v>
      </c>
      <c r="AN1878" s="4" t="s">
        <v>27464</v>
      </c>
      <c r="AO1878" s="4" t="s">
        <v>27465</v>
      </c>
      <c r="AP1878" s="4" t="s">
        <v>27466</v>
      </c>
      <c r="AQ1878" s="4"/>
      <c r="AR1878" s="4" t="s">
        <v>27467</v>
      </c>
      <c r="AS1878" s="4" t="s">
        <v>27468</v>
      </c>
      <c r="AT1878" s="4" t="s">
        <v>97</v>
      </c>
      <c r="AU1878" s="4" t="n">
        <v>2013</v>
      </c>
      <c r="AV1878" s="4" t="n">
        <v>66</v>
      </c>
      <c r="AW1878" s="4" t="n">
        <v>2</v>
      </c>
      <c r="AX1878" s="4"/>
      <c r="AY1878" s="4"/>
      <c r="AZ1878" s="4"/>
      <c r="BA1878" s="4"/>
      <c r="BB1878" s="4" t="n">
        <v>140</v>
      </c>
      <c r="BC1878" s="4" t="n">
        <v>145</v>
      </c>
      <c r="BD1878" s="4"/>
      <c r="BE1878" s="4" t="s">
        <v>31915</v>
      </c>
      <c r="BF1878" s="4" t="str">
        <f aca="false">HYPERLINK("http://dx.doi.org/10.7883/yoken.66.140","http://dx.doi.org/10.7883/yoken.66.140")</f>
        <v>http://dx.doi.org/10.7883/yoken.66.140</v>
      </c>
      <c r="BG1878" s="4"/>
      <c r="BH1878" s="4"/>
      <c r="BI1878" s="4" t="n">
        <v>6</v>
      </c>
      <c r="BJ1878" s="4" t="s">
        <v>575</v>
      </c>
      <c r="BK1878" s="4" t="s">
        <v>100</v>
      </c>
      <c r="BL1878" s="4" t="s">
        <v>575</v>
      </c>
      <c r="BM1878" s="4" t="s">
        <v>31916</v>
      </c>
      <c r="BN1878" s="4" t="n">
        <v>23514911</v>
      </c>
      <c r="BO1878" s="4" t="s">
        <v>656</v>
      </c>
      <c r="BP1878" s="4"/>
      <c r="BQ1878" s="4"/>
      <c r="BR1878" s="4" t="s">
        <v>104</v>
      </c>
      <c r="BS1878" s="4" t="s">
        <v>31917</v>
      </c>
      <c r="BT1878" s="4" t="str">
        <f aca="false">HYPERLINK("https%3A%2F%2Fwww.webofscience.com%2Fwos%2Fwoscc%2Ffull-record%2FWOS:000325676400010","View Full Record in Web of Science")</f>
        <v>View Full Record in Web of Science</v>
      </c>
    </row>
    <row r="1879" s="5" customFormat="true" ht="12.75" hidden="false" customHeight="false" outlineLevel="0" collapsed="false">
      <c r="A1879" s="4" t="s">
        <v>72</v>
      </c>
      <c r="B1879" s="4" t="s">
        <v>31918</v>
      </c>
      <c r="C1879" s="4"/>
      <c r="D1879" s="4"/>
      <c r="E1879" s="4"/>
      <c r="F1879" s="4" t="s">
        <v>31919</v>
      </c>
      <c r="G1879" s="4"/>
      <c r="H1879" s="4"/>
      <c r="I1879" s="4" t="s">
        <v>31920</v>
      </c>
      <c r="J1879" s="4" t="s">
        <v>27497</v>
      </c>
      <c r="K1879" s="4"/>
      <c r="L1879" s="4"/>
      <c r="M1879" s="4" t="s">
        <v>77</v>
      </c>
      <c r="N1879" s="4" t="s">
        <v>78</v>
      </c>
      <c r="O1879" s="4"/>
      <c r="P1879" s="4"/>
      <c r="Q1879" s="4"/>
      <c r="R1879" s="4"/>
      <c r="S1879" s="4"/>
      <c r="T1879" s="1" t="s">
        <v>31921</v>
      </c>
      <c r="U1879" s="4" t="s">
        <v>31922</v>
      </c>
      <c r="V1879" s="4" t="s">
        <v>31923</v>
      </c>
      <c r="W1879" s="4" t="s">
        <v>31924</v>
      </c>
      <c r="X1879" s="4" t="s">
        <v>31925</v>
      </c>
      <c r="Y1879" s="4" t="s">
        <v>31926</v>
      </c>
      <c r="Z1879" s="4" t="s">
        <v>31927</v>
      </c>
      <c r="AA1879" s="4" t="s">
        <v>23654</v>
      </c>
      <c r="AB1879" s="4" t="s">
        <v>13535</v>
      </c>
      <c r="AC1879" s="4" t="s">
        <v>31928</v>
      </c>
      <c r="AD1879" s="4" t="s">
        <v>31929</v>
      </c>
      <c r="AE1879" s="4" t="s">
        <v>31930</v>
      </c>
      <c r="AF1879" s="4"/>
      <c r="AG1879" s="4" t="n">
        <v>37</v>
      </c>
      <c r="AH1879" s="4" t="n">
        <v>36</v>
      </c>
      <c r="AI1879" s="4" t="n">
        <v>43</v>
      </c>
      <c r="AJ1879" s="4" t="n">
        <v>0</v>
      </c>
      <c r="AK1879" s="4" t="n">
        <v>3</v>
      </c>
      <c r="AL1879" s="4" t="s">
        <v>27506</v>
      </c>
      <c r="AM1879" s="4" t="s">
        <v>27507</v>
      </c>
      <c r="AN1879" s="4" t="s">
        <v>27508</v>
      </c>
      <c r="AO1879" s="4" t="s">
        <v>27509</v>
      </c>
      <c r="AP1879" s="4"/>
      <c r="AQ1879" s="4"/>
      <c r="AR1879" s="4" t="s">
        <v>27497</v>
      </c>
      <c r="AS1879" s="4" t="s">
        <v>27510</v>
      </c>
      <c r="AT1879" s="4" t="s">
        <v>31931</v>
      </c>
      <c r="AU1879" s="4" t="n">
        <v>2013</v>
      </c>
      <c r="AV1879" s="4" t="n">
        <v>8</v>
      </c>
      <c r="AW1879" s="4" t="n">
        <v>8</v>
      </c>
      <c r="AX1879" s="4"/>
      <c r="AY1879" s="4"/>
      <c r="AZ1879" s="4"/>
      <c r="BA1879" s="4"/>
      <c r="BB1879" s="4"/>
      <c r="BC1879" s="4"/>
      <c r="BD1879" s="4" t="s">
        <v>31932</v>
      </c>
      <c r="BE1879" s="4" t="s">
        <v>31933</v>
      </c>
      <c r="BF1879" s="4" t="str">
        <f aca="false">HYPERLINK("http://dx.doi.org/10.1371/journal.pone.0072606","http://dx.doi.org/10.1371/journal.pone.0072606")</f>
        <v>http://dx.doi.org/10.1371/journal.pone.0072606</v>
      </c>
      <c r="BG1879" s="4"/>
      <c r="BH1879" s="4"/>
      <c r="BI1879" s="4" t="n">
        <v>10</v>
      </c>
      <c r="BJ1879" s="4" t="s">
        <v>1658</v>
      </c>
      <c r="BK1879" s="4" t="s">
        <v>100</v>
      </c>
      <c r="BL1879" s="4" t="s">
        <v>1659</v>
      </c>
      <c r="BM1879" s="4" t="s">
        <v>31934</v>
      </c>
      <c r="BN1879" s="4" t="n">
        <v>23991128</v>
      </c>
      <c r="BO1879" s="4" t="s">
        <v>6349</v>
      </c>
      <c r="BP1879" s="4"/>
      <c r="BQ1879" s="4"/>
      <c r="BR1879" s="4" t="s">
        <v>104</v>
      </c>
      <c r="BS1879" s="4" t="s">
        <v>31935</v>
      </c>
      <c r="BT1879" s="4" t="str">
        <f aca="false">HYPERLINK("https%3A%2F%2Fwww.webofscience.com%2Fwos%2Fwoscc%2Ffull-record%2FWOS:000324470700043","View Full Record in Web of Science")</f>
        <v>View Full Record in Web of Science</v>
      </c>
    </row>
    <row r="1880" s="5" customFormat="true" ht="12.75" hidden="false" customHeight="false" outlineLevel="0" collapsed="false">
      <c r="A1880" s="4" t="s">
        <v>72</v>
      </c>
      <c r="B1880" s="4" t="s">
        <v>31936</v>
      </c>
      <c r="C1880" s="4"/>
      <c r="D1880" s="4"/>
      <c r="E1880" s="4"/>
      <c r="F1880" s="4" t="s">
        <v>31937</v>
      </c>
      <c r="G1880" s="4"/>
      <c r="H1880" s="4"/>
      <c r="I1880" s="4" t="s">
        <v>31938</v>
      </c>
      <c r="J1880" s="4" t="s">
        <v>7145</v>
      </c>
      <c r="K1880" s="4"/>
      <c r="L1880" s="4"/>
      <c r="M1880" s="4" t="s">
        <v>77</v>
      </c>
      <c r="N1880" s="4" t="s">
        <v>78</v>
      </c>
      <c r="O1880" s="4"/>
      <c r="P1880" s="4"/>
      <c r="Q1880" s="4"/>
      <c r="R1880" s="4"/>
      <c r="S1880" s="4"/>
      <c r="T1880" s="1" t="s">
        <v>31939</v>
      </c>
      <c r="U1880" s="4" t="s">
        <v>31940</v>
      </c>
      <c r="V1880" s="4" t="s">
        <v>31941</v>
      </c>
      <c r="W1880" s="4" t="s">
        <v>31942</v>
      </c>
      <c r="X1880" s="4" t="s">
        <v>8071</v>
      </c>
      <c r="Y1880" s="4" t="s">
        <v>9721</v>
      </c>
      <c r="Z1880" s="4" t="s">
        <v>9722</v>
      </c>
      <c r="AA1880" s="4" t="s">
        <v>12657</v>
      </c>
      <c r="AB1880" s="4" t="s">
        <v>8075</v>
      </c>
      <c r="AC1880" s="4"/>
      <c r="AD1880" s="4"/>
      <c r="AE1880" s="4"/>
      <c r="AF1880" s="4"/>
      <c r="AG1880" s="4" t="n">
        <v>47</v>
      </c>
      <c r="AH1880" s="4" t="n">
        <v>14</v>
      </c>
      <c r="AI1880" s="4" t="n">
        <v>16</v>
      </c>
      <c r="AJ1880" s="4" t="n">
        <v>0</v>
      </c>
      <c r="AK1880" s="4" t="n">
        <v>2</v>
      </c>
      <c r="AL1880" s="4" t="s">
        <v>3426</v>
      </c>
      <c r="AM1880" s="4" t="s">
        <v>303</v>
      </c>
      <c r="AN1880" s="4" t="s">
        <v>3427</v>
      </c>
      <c r="AO1880" s="4" t="s">
        <v>7158</v>
      </c>
      <c r="AP1880" s="4" t="s">
        <v>7159</v>
      </c>
      <c r="AQ1880" s="4"/>
      <c r="AR1880" s="4" t="s">
        <v>7160</v>
      </c>
      <c r="AS1880" s="4" t="s">
        <v>7161</v>
      </c>
      <c r="AT1880" s="4" t="s">
        <v>692</v>
      </c>
      <c r="AU1880" s="4" t="n">
        <v>2008</v>
      </c>
      <c r="AV1880" s="4" t="n">
        <v>89</v>
      </c>
      <c r="AW1880" s="4"/>
      <c r="AX1880" s="4" t="n">
        <v>4</v>
      </c>
      <c r="AY1880" s="4"/>
      <c r="AZ1880" s="4"/>
      <c r="BA1880" s="4"/>
      <c r="BB1880" s="4" t="n">
        <v>975</v>
      </c>
      <c r="BC1880" s="4" t="n">
        <v>983</v>
      </c>
      <c r="BD1880" s="4"/>
      <c r="BE1880" s="4" t="s">
        <v>31943</v>
      </c>
      <c r="BF1880" s="4" t="str">
        <f aca="false">HYPERLINK("http://dx.doi.org/10.1099/vir.0.83537-0","http://dx.doi.org/10.1099/vir.0.83537-0")</f>
        <v>http://dx.doi.org/10.1099/vir.0.83537-0</v>
      </c>
      <c r="BG1880" s="4"/>
      <c r="BH1880" s="4"/>
      <c r="BI1880" s="4" t="n">
        <v>9</v>
      </c>
      <c r="BJ1880" s="4" t="s">
        <v>7163</v>
      </c>
      <c r="BK1880" s="4" t="s">
        <v>100</v>
      </c>
      <c r="BL1880" s="4" t="s">
        <v>7163</v>
      </c>
      <c r="BM1880" s="4" t="s">
        <v>31944</v>
      </c>
      <c r="BN1880" s="4" t="n">
        <v>18343839</v>
      </c>
      <c r="BO1880" s="4" t="s">
        <v>656</v>
      </c>
      <c r="BP1880" s="4"/>
      <c r="BQ1880" s="4"/>
      <c r="BR1880" s="4" t="s">
        <v>104</v>
      </c>
      <c r="BS1880" s="4" t="s">
        <v>31945</v>
      </c>
      <c r="BT1880" s="4" t="str">
        <f aca="false">HYPERLINK("https%3A%2F%2Fwww.webofscience.com%2Fwos%2Fwoscc%2Ffull-record%2FWOS:000254890900016","View Full Record in Web of Science")</f>
        <v>View Full Record in Web of Science</v>
      </c>
    </row>
    <row r="1881" s="5" customFormat="true" ht="12.75" hidden="false" customHeight="false" outlineLevel="0" collapsed="false">
      <c r="A1881" s="4" t="s">
        <v>72</v>
      </c>
      <c r="B1881" s="4" t="s">
        <v>31946</v>
      </c>
      <c r="C1881" s="4"/>
      <c r="D1881" s="4"/>
      <c r="E1881" s="4"/>
      <c r="F1881" s="4" t="s">
        <v>31947</v>
      </c>
      <c r="G1881" s="4"/>
      <c r="H1881" s="4"/>
      <c r="I1881" s="4" t="s">
        <v>31948</v>
      </c>
      <c r="J1881" s="4" t="s">
        <v>27497</v>
      </c>
      <c r="K1881" s="4"/>
      <c r="L1881" s="4"/>
      <c r="M1881" s="4" t="s">
        <v>77</v>
      </c>
      <c r="N1881" s="4" t="s">
        <v>78</v>
      </c>
      <c r="O1881" s="4"/>
      <c r="P1881" s="4"/>
      <c r="Q1881" s="4"/>
      <c r="R1881" s="4"/>
      <c r="S1881" s="4"/>
      <c r="T1881" s="1" t="s">
        <v>31949</v>
      </c>
      <c r="U1881" s="4" t="s">
        <v>31950</v>
      </c>
      <c r="V1881" s="4" t="s">
        <v>31951</v>
      </c>
      <c r="W1881" s="4" t="s">
        <v>31952</v>
      </c>
      <c r="X1881" s="4" t="s">
        <v>31953</v>
      </c>
      <c r="Y1881" s="4" t="s">
        <v>31954</v>
      </c>
      <c r="Z1881" s="4" t="s">
        <v>31955</v>
      </c>
      <c r="AA1881" s="4" t="s">
        <v>31956</v>
      </c>
      <c r="AB1881" s="4" t="s">
        <v>31957</v>
      </c>
      <c r="AC1881" s="4" t="s">
        <v>31958</v>
      </c>
      <c r="AD1881" s="4" t="s">
        <v>31959</v>
      </c>
      <c r="AE1881" s="4" t="s">
        <v>31960</v>
      </c>
      <c r="AF1881" s="4"/>
      <c r="AG1881" s="4" t="n">
        <v>76</v>
      </c>
      <c r="AH1881" s="4" t="n">
        <v>33</v>
      </c>
      <c r="AI1881" s="4" t="n">
        <v>35</v>
      </c>
      <c r="AJ1881" s="4" t="n">
        <v>0</v>
      </c>
      <c r="AK1881" s="4" t="n">
        <v>6</v>
      </c>
      <c r="AL1881" s="4" t="s">
        <v>27506</v>
      </c>
      <c r="AM1881" s="4" t="s">
        <v>27507</v>
      </c>
      <c r="AN1881" s="4" t="s">
        <v>27508</v>
      </c>
      <c r="AO1881" s="4" t="s">
        <v>27509</v>
      </c>
      <c r="AP1881" s="4"/>
      <c r="AQ1881" s="4"/>
      <c r="AR1881" s="4" t="s">
        <v>27497</v>
      </c>
      <c r="AS1881" s="4" t="s">
        <v>27510</v>
      </c>
      <c r="AT1881" s="4" t="s">
        <v>8512</v>
      </c>
      <c r="AU1881" s="4" t="n">
        <v>2013</v>
      </c>
      <c r="AV1881" s="4" t="n">
        <v>8</v>
      </c>
      <c r="AW1881" s="4" t="n">
        <v>11</v>
      </c>
      <c r="AX1881" s="4"/>
      <c r="AY1881" s="4"/>
      <c r="AZ1881" s="4"/>
      <c r="BA1881" s="4"/>
      <c r="BB1881" s="4"/>
      <c r="BC1881" s="4"/>
      <c r="BD1881" s="4" t="s">
        <v>31961</v>
      </c>
      <c r="BE1881" s="4" t="s">
        <v>31962</v>
      </c>
      <c r="BF1881" s="4" t="str">
        <f aca="false">HYPERLINK("http://dx.doi.org/10.1371/journal.pone.0080371","http://dx.doi.org/10.1371/journal.pone.0080371")</f>
        <v>http://dx.doi.org/10.1371/journal.pone.0080371</v>
      </c>
      <c r="BG1881" s="4"/>
      <c r="BH1881" s="4"/>
      <c r="BI1881" s="4" t="n">
        <v>16</v>
      </c>
      <c r="BJ1881" s="4" t="s">
        <v>1658</v>
      </c>
      <c r="BK1881" s="4" t="s">
        <v>100</v>
      </c>
      <c r="BL1881" s="4" t="s">
        <v>1659</v>
      </c>
      <c r="BM1881" s="4" t="s">
        <v>31963</v>
      </c>
      <c r="BN1881" s="4" t="n">
        <v>24224051</v>
      </c>
      <c r="BO1881" s="4" t="s">
        <v>341</v>
      </c>
      <c r="BP1881" s="4"/>
      <c r="BQ1881" s="4"/>
      <c r="BR1881" s="4" t="s">
        <v>104</v>
      </c>
      <c r="BS1881" s="4" t="s">
        <v>31964</v>
      </c>
      <c r="BT1881" s="4" t="str">
        <f aca="false">HYPERLINK("https%3A%2F%2Fwww.webofscience.com%2Fwos%2Fwoscc%2Ffull-record%2FWOS:000326503400155","View Full Record in Web of Science")</f>
        <v>View Full Record in Web of Science</v>
      </c>
    </row>
    <row r="1882" s="5" customFormat="true" ht="12.75" hidden="false" customHeight="false" outlineLevel="0" collapsed="false">
      <c r="A1882" s="4" t="s">
        <v>72</v>
      </c>
      <c r="B1882" s="4" t="s">
        <v>31965</v>
      </c>
      <c r="C1882" s="4"/>
      <c r="D1882" s="4"/>
      <c r="E1882" s="4"/>
      <c r="F1882" s="4" t="s">
        <v>31965</v>
      </c>
      <c r="G1882" s="4"/>
      <c r="H1882" s="4"/>
      <c r="I1882" s="4" t="s">
        <v>31966</v>
      </c>
      <c r="J1882" s="4" t="s">
        <v>8945</v>
      </c>
      <c r="K1882" s="4"/>
      <c r="L1882" s="4"/>
      <c r="M1882" s="4" t="s">
        <v>77</v>
      </c>
      <c r="N1882" s="4" t="s">
        <v>78</v>
      </c>
      <c r="O1882" s="4"/>
      <c r="P1882" s="4"/>
      <c r="Q1882" s="4"/>
      <c r="R1882" s="4"/>
      <c r="S1882" s="4"/>
      <c r="T1882" s="1" t="s">
        <v>31967</v>
      </c>
      <c r="U1882" s="4" t="s">
        <v>31968</v>
      </c>
      <c r="V1882" s="4" t="s">
        <v>31969</v>
      </c>
      <c r="W1882" s="4" t="s">
        <v>31970</v>
      </c>
      <c r="X1882" s="4" t="s">
        <v>31971</v>
      </c>
      <c r="Y1882" s="4" t="s">
        <v>31972</v>
      </c>
      <c r="Z1882" s="4" t="s">
        <v>28402</v>
      </c>
      <c r="AA1882" s="4"/>
      <c r="AB1882" s="4"/>
      <c r="AC1882" s="4"/>
      <c r="AD1882" s="4"/>
      <c r="AE1882" s="4"/>
      <c r="AF1882" s="4"/>
      <c r="AG1882" s="4" t="n">
        <v>31</v>
      </c>
      <c r="AH1882" s="4" t="n">
        <v>69</v>
      </c>
      <c r="AI1882" s="4" t="n">
        <v>71</v>
      </c>
      <c r="AJ1882" s="4" t="n">
        <v>0</v>
      </c>
      <c r="AK1882" s="4" t="n">
        <v>7</v>
      </c>
      <c r="AL1882" s="4" t="s">
        <v>8957</v>
      </c>
      <c r="AM1882" s="4" t="s">
        <v>303</v>
      </c>
      <c r="AN1882" s="4" t="s">
        <v>8958</v>
      </c>
      <c r="AO1882" s="4" t="s">
        <v>8959</v>
      </c>
      <c r="AP1882" s="4" t="s">
        <v>8960</v>
      </c>
      <c r="AQ1882" s="4"/>
      <c r="AR1882" s="4" t="s">
        <v>8961</v>
      </c>
      <c r="AS1882" s="4" t="s">
        <v>8962</v>
      </c>
      <c r="AT1882" s="4" t="s">
        <v>804</v>
      </c>
      <c r="AU1882" s="4" t="n">
        <v>2005</v>
      </c>
      <c r="AV1882" s="4" t="n">
        <v>37</v>
      </c>
      <c r="AW1882" s="4" t="s">
        <v>25070</v>
      </c>
      <c r="AX1882" s="4"/>
      <c r="AY1882" s="4"/>
      <c r="AZ1882" s="4"/>
      <c r="BA1882" s="4"/>
      <c r="BB1882" s="4" t="n">
        <v>806</v>
      </c>
      <c r="BC1882" s="4" t="n">
        <v>812</v>
      </c>
      <c r="BD1882" s="4"/>
      <c r="BE1882" s="4" t="s">
        <v>31973</v>
      </c>
      <c r="BF1882" s="4" t="str">
        <f aca="false">HYPERLINK("http://dx.doi.org/10.1080/00365540500262435","http://dx.doi.org/10.1080/00365540500262435")</f>
        <v>http://dx.doi.org/10.1080/00365540500262435</v>
      </c>
      <c r="BG1882" s="4"/>
      <c r="BH1882" s="4"/>
      <c r="BI1882" s="4" t="n">
        <v>7</v>
      </c>
      <c r="BJ1882" s="4" t="s">
        <v>575</v>
      </c>
      <c r="BK1882" s="4" t="s">
        <v>100</v>
      </c>
      <c r="BL1882" s="4" t="s">
        <v>575</v>
      </c>
      <c r="BM1882" s="4" t="s">
        <v>31974</v>
      </c>
      <c r="BN1882" s="4" t="n">
        <v>16308213</v>
      </c>
      <c r="BO1882" s="4"/>
      <c r="BP1882" s="4"/>
      <c r="BQ1882" s="4"/>
      <c r="BR1882" s="4" t="s">
        <v>104</v>
      </c>
      <c r="BS1882" s="4" t="s">
        <v>31975</v>
      </c>
      <c r="BT1882" s="4" t="str">
        <f aca="false">HYPERLINK("https%3A%2F%2Fwww.webofscience.com%2Fwos%2Fwoscc%2Ffull-record%2FWOS:000233618800002","View Full Record in Web of Science")</f>
        <v>View Full Record in Web of Science</v>
      </c>
    </row>
    <row r="1883" s="5" customFormat="true" ht="12.75" hidden="false" customHeight="false" outlineLevel="0" collapsed="false">
      <c r="A1883" s="4" t="s">
        <v>72</v>
      </c>
      <c r="B1883" s="4" t="s">
        <v>30796</v>
      </c>
      <c r="C1883" s="4"/>
      <c r="D1883" s="4"/>
      <c r="E1883" s="4"/>
      <c r="F1883" s="4" t="s">
        <v>31976</v>
      </c>
      <c r="G1883" s="4"/>
      <c r="H1883" s="4"/>
      <c r="I1883" s="4" t="s">
        <v>31977</v>
      </c>
      <c r="J1883" s="4" t="s">
        <v>742</v>
      </c>
      <c r="K1883" s="4"/>
      <c r="L1883" s="4"/>
      <c r="M1883" s="4" t="s">
        <v>77</v>
      </c>
      <c r="N1883" s="4" t="s">
        <v>78</v>
      </c>
      <c r="O1883" s="4"/>
      <c r="P1883" s="4"/>
      <c r="Q1883" s="4"/>
      <c r="R1883" s="4"/>
      <c r="S1883" s="4"/>
      <c r="T1883" s="1" t="s">
        <v>31978</v>
      </c>
      <c r="U1883" s="4" t="s">
        <v>31979</v>
      </c>
      <c r="V1883" s="4" t="s">
        <v>31980</v>
      </c>
      <c r="W1883" s="4" t="s">
        <v>6707</v>
      </c>
      <c r="X1883" s="4" t="s">
        <v>6708</v>
      </c>
      <c r="Y1883" s="4" t="s">
        <v>31981</v>
      </c>
      <c r="Z1883" s="4" t="s">
        <v>6710</v>
      </c>
      <c r="AA1883" s="4" t="s">
        <v>30802</v>
      </c>
      <c r="AB1883" s="4" t="s">
        <v>6712</v>
      </c>
      <c r="AC1883" s="4" t="s">
        <v>13915</v>
      </c>
      <c r="AD1883" s="4" t="s">
        <v>9549</v>
      </c>
      <c r="AE1883" s="4"/>
      <c r="AF1883" s="4"/>
      <c r="AG1883" s="4" t="n">
        <v>37</v>
      </c>
      <c r="AH1883" s="4" t="n">
        <v>38</v>
      </c>
      <c r="AI1883" s="4" t="n">
        <v>56</v>
      </c>
      <c r="AJ1883" s="4" t="n">
        <v>0</v>
      </c>
      <c r="AK1883" s="4" t="n">
        <v>1</v>
      </c>
      <c r="AL1883" s="4" t="s">
        <v>755</v>
      </c>
      <c r="AM1883" s="4" t="s">
        <v>273</v>
      </c>
      <c r="AN1883" s="4" t="s">
        <v>756</v>
      </c>
      <c r="AO1883" s="4" t="s">
        <v>757</v>
      </c>
      <c r="AP1883" s="4" t="s">
        <v>758</v>
      </c>
      <c r="AQ1883" s="4"/>
      <c r="AR1883" s="4" t="s">
        <v>759</v>
      </c>
      <c r="AS1883" s="4" t="s">
        <v>760</v>
      </c>
      <c r="AT1883" s="4" t="s">
        <v>486</v>
      </c>
      <c r="AU1883" s="4" t="n">
        <v>2006</v>
      </c>
      <c r="AV1883" s="4" t="n">
        <v>80</v>
      </c>
      <c r="AW1883" s="4" t="n">
        <v>12</v>
      </c>
      <c r="AX1883" s="4"/>
      <c r="AY1883" s="4"/>
      <c r="AZ1883" s="4"/>
      <c r="BA1883" s="4"/>
      <c r="BB1883" s="4" t="n">
        <v>5798</v>
      </c>
      <c r="BC1883" s="4" t="n">
        <v>5806</v>
      </c>
      <c r="BD1883" s="4"/>
      <c r="BE1883" s="4" t="s">
        <v>31982</v>
      </c>
      <c r="BF1883" s="4" t="str">
        <f aca="false">HYPERLINK("http://dx.doi.org/10.1128/JVI.00294-06","http://dx.doi.org/10.1128/JVI.00294-06")</f>
        <v>http://dx.doi.org/10.1128/JVI.00294-06</v>
      </c>
      <c r="BG1883" s="4"/>
      <c r="BH1883" s="4"/>
      <c r="BI1883" s="4" t="n">
        <v>9</v>
      </c>
      <c r="BJ1883" s="4" t="s">
        <v>163</v>
      </c>
      <c r="BK1883" s="4" t="s">
        <v>100</v>
      </c>
      <c r="BL1883" s="4" t="s">
        <v>163</v>
      </c>
      <c r="BM1883" s="4" t="s">
        <v>31983</v>
      </c>
      <c r="BN1883" s="4" t="n">
        <v>16731919</v>
      </c>
      <c r="BO1883" s="4" t="s">
        <v>165</v>
      </c>
      <c r="BP1883" s="4"/>
      <c r="BQ1883" s="4"/>
      <c r="BR1883" s="4" t="s">
        <v>104</v>
      </c>
      <c r="BS1883" s="4" t="s">
        <v>31984</v>
      </c>
      <c r="BT1883" s="4" t="str">
        <f aca="false">HYPERLINK("https%3A%2F%2Fwww.webofscience.com%2Fwos%2Fwoscc%2Ffull-record%2FWOS:000238103900016","View Full Record in Web of Science")</f>
        <v>View Full Record in Web of Science</v>
      </c>
    </row>
    <row r="1884" s="5" customFormat="true" ht="12.75" hidden="false" customHeight="false" outlineLevel="0" collapsed="false">
      <c r="A1884" s="4" t="s">
        <v>72</v>
      </c>
      <c r="B1884" s="4" t="s">
        <v>31985</v>
      </c>
      <c r="C1884" s="4"/>
      <c r="D1884" s="4"/>
      <c r="E1884" s="4"/>
      <c r="F1884" s="4" t="s">
        <v>31985</v>
      </c>
      <c r="G1884" s="4"/>
      <c r="H1884" s="4"/>
      <c r="I1884" s="4" t="s">
        <v>31986</v>
      </c>
      <c r="J1884" s="4" t="s">
        <v>27548</v>
      </c>
      <c r="K1884" s="4"/>
      <c r="L1884" s="4"/>
      <c r="M1884" s="4" t="s">
        <v>77</v>
      </c>
      <c r="N1884" s="4" t="s">
        <v>78</v>
      </c>
      <c r="O1884" s="4"/>
      <c r="P1884" s="4"/>
      <c r="Q1884" s="4"/>
      <c r="R1884" s="4"/>
      <c r="S1884" s="4"/>
      <c r="T1884" s="1" t="s">
        <v>31987</v>
      </c>
      <c r="U1884" s="4" t="s">
        <v>31988</v>
      </c>
      <c r="V1884" s="4" t="s">
        <v>31989</v>
      </c>
      <c r="W1884" s="4" t="s">
        <v>31990</v>
      </c>
      <c r="X1884" s="4" t="s">
        <v>31991</v>
      </c>
      <c r="Y1884" s="4" t="s">
        <v>31992</v>
      </c>
      <c r="Z1884" s="4" t="s">
        <v>9722</v>
      </c>
      <c r="AA1884" s="4" t="s">
        <v>31993</v>
      </c>
      <c r="AB1884" s="4" t="s">
        <v>31994</v>
      </c>
      <c r="AC1884" s="4"/>
      <c r="AD1884" s="4"/>
      <c r="AE1884" s="4"/>
      <c r="AF1884" s="4"/>
      <c r="AG1884" s="4" t="n">
        <v>42</v>
      </c>
      <c r="AH1884" s="4" t="n">
        <v>299</v>
      </c>
      <c r="AI1884" s="4" t="n">
        <v>334</v>
      </c>
      <c r="AJ1884" s="4" t="n">
        <v>0</v>
      </c>
      <c r="AK1884" s="4" t="n">
        <v>6</v>
      </c>
      <c r="AL1884" s="4" t="s">
        <v>27851</v>
      </c>
      <c r="AM1884" s="4" t="s">
        <v>27561</v>
      </c>
      <c r="AN1884" s="4" t="s">
        <v>27562</v>
      </c>
      <c r="AO1884" s="4" t="s">
        <v>27563</v>
      </c>
      <c r="AP1884" s="4" t="s">
        <v>27564</v>
      </c>
      <c r="AQ1884" s="4"/>
      <c r="AR1884" s="4" t="s">
        <v>27565</v>
      </c>
      <c r="AS1884" s="4" t="s">
        <v>27566</v>
      </c>
      <c r="AT1884" s="4" t="s">
        <v>692</v>
      </c>
      <c r="AU1884" s="4" t="n">
        <v>2004</v>
      </c>
      <c r="AV1884" s="4" t="n">
        <v>10</v>
      </c>
      <c r="AW1884" s="4" t="n">
        <v>4</v>
      </c>
      <c r="AX1884" s="4"/>
      <c r="AY1884" s="4"/>
      <c r="AZ1884" s="4"/>
      <c r="BA1884" s="4"/>
      <c r="BB1884" s="4" t="n">
        <v>658</v>
      </c>
      <c r="BC1884" s="4" t="n">
        <v>666</v>
      </c>
      <c r="BD1884" s="4"/>
      <c r="BE1884" s="4" t="s">
        <v>31995</v>
      </c>
      <c r="BF1884" s="4" t="str">
        <f aca="false">HYPERLINK("http://dx.doi.org/10.3201/eid1004.030393","http://dx.doi.org/10.3201/eid1004.030393")</f>
        <v>http://dx.doi.org/10.3201/eid1004.030393</v>
      </c>
      <c r="BG1884" s="4"/>
      <c r="BH1884" s="4"/>
      <c r="BI1884" s="4" t="n">
        <v>9</v>
      </c>
      <c r="BJ1884" s="4" t="s">
        <v>965</v>
      </c>
      <c r="BK1884" s="4" t="s">
        <v>100</v>
      </c>
      <c r="BL1884" s="4" t="s">
        <v>965</v>
      </c>
      <c r="BM1884" s="4" t="s">
        <v>27568</v>
      </c>
      <c r="BN1884" s="4" t="n">
        <v>15200856</v>
      </c>
      <c r="BO1884" s="4" t="s">
        <v>6349</v>
      </c>
      <c r="BP1884" s="4"/>
      <c r="BQ1884" s="4"/>
      <c r="BR1884" s="4" t="s">
        <v>104</v>
      </c>
      <c r="BS1884" s="4" t="s">
        <v>31996</v>
      </c>
      <c r="BT1884" s="4" t="str">
        <f aca="false">HYPERLINK("https%3A%2F%2Fwww.webofscience.com%2Fwos%2Fwoscc%2Ffull-record%2FWOS:000220578600015","View Full Record in Web of Science")</f>
        <v>View Full Record in Web of Science</v>
      </c>
    </row>
    <row r="1885" s="5" customFormat="true" ht="12.75" hidden="false" customHeight="false" outlineLevel="0" collapsed="false">
      <c r="A1885" s="4" t="s">
        <v>72</v>
      </c>
      <c r="B1885" s="4" t="s">
        <v>31997</v>
      </c>
      <c r="C1885" s="4"/>
      <c r="D1885" s="4"/>
      <c r="E1885" s="4"/>
      <c r="F1885" s="4" t="s">
        <v>31998</v>
      </c>
      <c r="G1885" s="4"/>
      <c r="H1885" s="4"/>
      <c r="I1885" s="4" t="s">
        <v>31999</v>
      </c>
      <c r="J1885" s="4" t="s">
        <v>27497</v>
      </c>
      <c r="K1885" s="4"/>
      <c r="L1885" s="4"/>
      <c r="M1885" s="4" t="s">
        <v>77</v>
      </c>
      <c r="N1885" s="4" t="s">
        <v>78</v>
      </c>
      <c r="O1885" s="4"/>
      <c r="P1885" s="4"/>
      <c r="Q1885" s="4"/>
      <c r="R1885" s="4"/>
      <c r="S1885" s="4"/>
      <c r="T1885" s="1" t="s">
        <v>32000</v>
      </c>
      <c r="U1885" s="4" t="s">
        <v>32001</v>
      </c>
      <c r="V1885" s="4" t="s">
        <v>32002</v>
      </c>
      <c r="W1885" s="4" t="s">
        <v>32003</v>
      </c>
      <c r="X1885" s="4" t="s">
        <v>32004</v>
      </c>
      <c r="Y1885" s="4" t="s">
        <v>32005</v>
      </c>
      <c r="Z1885" s="4" t="s">
        <v>32006</v>
      </c>
      <c r="AA1885" s="4" t="s">
        <v>32007</v>
      </c>
      <c r="AB1885" s="4" t="s">
        <v>32008</v>
      </c>
      <c r="AC1885" s="4" t="s">
        <v>32009</v>
      </c>
      <c r="AD1885" s="4" t="s">
        <v>32010</v>
      </c>
      <c r="AE1885" s="4" t="s">
        <v>32011</v>
      </c>
      <c r="AF1885" s="4"/>
      <c r="AG1885" s="4" t="n">
        <v>32</v>
      </c>
      <c r="AH1885" s="4" t="n">
        <v>96</v>
      </c>
      <c r="AI1885" s="4" t="n">
        <v>143</v>
      </c>
      <c r="AJ1885" s="4" t="n">
        <v>2</v>
      </c>
      <c r="AK1885" s="4" t="n">
        <v>30</v>
      </c>
      <c r="AL1885" s="4" t="s">
        <v>27506</v>
      </c>
      <c r="AM1885" s="4" t="s">
        <v>27507</v>
      </c>
      <c r="AN1885" s="4" t="s">
        <v>27508</v>
      </c>
      <c r="AO1885" s="4" t="s">
        <v>27509</v>
      </c>
      <c r="AP1885" s="4"/>
      <c r="AQ1885" s="4"/>
      <c r="AR1885" s="4" t="s">
        <v>27497</v>
      </c>
      <c r="AS1885" s="4" t="s">
        <v>27510</v>
      </c>
      <c r="AT1885" s="4" t="s">
        <v>29864</v>
      </c>
      <c r="AU1885" s="4" t="n">
        <v>2014</v>
      </c>
      <c r="AV1885" s="4" t="n">
        <v>9</v>
      </c>
      <c r="AW1885" s="4" t="n">
        <v>6</v>
      </c>
      <c r="AX1885" s="4"/>
      <c r="AY1885" s="4"/>
      <c r="AZ1885" s="4"/>
      <c r="BA1885" s="4"/>
      <c r="BB1885" s="4"/>
      <c r="BC1885" s="4"/>
      <c r="BD1885" s="4" t="s">
        <v>32012</v>
      </c>
      <c r="BE1885" s="4" t="s">
        <v>32013</v>
      </c>
      <c r="BF1885" s="4" t="str">
        <f aca="false">HYPERLINK("http://dx.doi.org/10.1371/journal.pone.0099419","http://dx.doi.org/10.1371/journal.pone.0099419")</f>
        <v>http://dx.doi.org/10.1371/journal.pone.0099419</v>
      </c>
      <c r="BG1885" s="4"/>
      <c r="BH1885" s="4"/>
      <c r="BI1885" s="4" t="n">
        <v>9</v>
      </c>
      <c r="BJ1885" s="4" t="s">
        <v>1658</v>
      </c>
      <c r="BK1885" s="4" t="s">
        <v>100</v>
      </c>
      <c r="BL1885" s="4" t="s">
        <v>1659</v>
      </c>
      <c r="BM1885" s="4" t="s">
        <v>32014</v>
      </c>
      <c r="BN1885" s="4" t="n">
        <v>24945280</v>
      </c>
      <c r="BO1885" s="4" t="s">
        <v>32015</v>
      </c>
      <c r="BP1885" s="4"/>
      <c r="BQ1885" s="4"/>
      <c r="BR1885" s="4" t="s">
        <v>104</v>
      </c>
      <c r="BS1885" s="4" t="s">
        <v>32016</v>
      </c>
      <c r="BT1885" s="4" t="str">
        <f aca="false">HYPERLINK("https%3A%2F%2Fwww.webofscience.com%2Fwos%2Fwoscc%2Ffull-record%2FWOS:000340721500019","View Full Record in Web of Science")</f>
        <v>View Full Record in Web of Science</v>
      </c>
    </row>
    <row r="1886" s="5" customFormat="true" ht="12.75" hidden="false" customHeight="false" outlineLevel="0" collapsed="false">
      <c r="A1886" s="4" t="s">
        <v>72</v>
      </c>
      <c r="B1886" s="4" t="s">
        <v>32017</v>
      </c>
      <c r="C1886" s="4"/>
      <c r="D1886" s="4"/>
      <c r="E1886" s="4"/>
      <c r="F1886" s="4" t="s">
        <v>32018</v>
      </c>
      <c r="G1886" s="4"/>
      <c r="H1886" s="4"/>
      <c r="I1886" s="4" t="s">
        <v>32019</v>
      </c>
      <c r="J1886" s="4" t="s">
        <v>2222</v>
      </c>
      <c r="K1886" s="4"/>
      <c r="L1886" s="4"/>
      <c r="M1886" s="4" t="s">
        <v>77</v>
      </c>
      <c r="N1886" s="4" t="s">
        <v>78</v>
      </c>
      <c r="O1886" s="4"/>
      <c r="P1886" s="4"/>
      <c r="Q1886" s="4"/>
      <c r="R1886" s="4"/>
      <c r="S1886" s="4"/>
      <c r="T1886" s="1" t="s">
        <v>32020</v>
      </c>
      <c r="U1886" s="4" t="s">
        <v>32021</v>
      </c>
      <c r="V1886" s="4" t="s">
        <v>32022</v>
      </c>
      <c r="W1886" s="4" t="s">
        <v>32023</v>
      </c>
      <c r="X1886" s="4" t="s">
        <v>32024</v>
      </c>
      <c r="Y1886" s="4" t="s">
        <v>32025</v>
      </c>
      <c r="Z1886" s="4" t="s">
        <v>32026</v>
      </c>
      <c r="AA1886" s="4" t="s">
        <v>32027</v>
      </c>
      <c r="AB1886" s="4" t="s">
        <v>32028</v>
      </c>
      <c r="AC1886" s="4"/>
      <c r="AD1886" s="4"/>
      <c r="AE1886" s="4"/>
      <c r="AF1886" s="4"/>
      <c r="AG1886" s="4" t="n">
        <v>30</v>
      </c>
      <c r="AH1886" s="4" t="n">
        <v>37</v>
      </c>
      <c r="AI1886" s="4" t="n">
        <v>40</v>
      </c>
      <c r="AJ1886" s="4" t="n">
        <v>0</v>
      </c>
      <c r="AK1886" s="4" t="n">
        <v>3</v>
      </c>
      <c r="AL1886" s="4" t="s">
        <v>755</v>
      </c>
      <c r="AM1886" s="4" t="s">
        <v>273</v>
      </c>
      <c r="AN1886" s="4" t="s">
        <v>756</v>
      </c>
      <c r="AO1886" s="4" t="s">
        <v>2234</v>
      </c>
      <c r="AP1886" s="4" t="s">
        <v>2235</v>
      </c>
      <c r="AQ1886" s="4"/>
      <c r="AR1886" s="4" t="s">
        <v>2236</v>
      </c>
      <c r="AS1886" s="4" t="s">
        <v>2237</v>
      </c>
      <c r="AT1886" s="4" t="s">
        <v>185</v>
      </c>
      <c r="AU1886" s="4" t="n">
        <v>2006</v>
      </c>
      <c r="AV1886" s="4" t="n">
        <v>44</v>
      </c>
      <c r="AW1886" s="4" t="n">
        <v>8</v>
      </c>
      <c r="AX1886" s="4"/>
      <c r="AY1886" s="4"/>
      <c r="AZ1886" s="4"/>
      <c r="BA1886" s="4"/>
      <c r="BB1886" s="4" t="n">
        <v>2739</v>
      </c>
      <c r="BC1886" s="4" t="n">
        <v>2742</v>
      </c>
      <c r="BD1886" s="4"/>
      <c r="BE1886" s="4" t="s">
        <v>32029</v>
      </c>
      <c r="BF1886" s="4" t="str">
        <f aca="false">HYPERLINK("http://dx.doi.org/10.1128/JCM.00164-06","http://dx.doi.org/10.1128/JCM.00164-06")</f>
        <v>http://dx.doi.org/10.1128/JCM.00164-06</v>
      </c>
      <c r="BG1886" s="4"/>
      <c r="BH1886" s="4"/>
      <c r="BI1886" s="4" t="n">
        <v>4</v>
      </c>
      <c r="BJ1886" s="4" t="s">
        <v>211</v>
      </c>
      <c r="BK1886" s="4" t="s">
        <v>100</v>
      </c>
      <c r="BL1886" s="4" t="s">
        <v>211</v>
      </c>
      <c r="BM1886" s="4" t="s">
        <v>32030</v>
      </c>
      <c r="BN1886" s="4" t="n">
        <v>16891486</v>
      </c>
      <c r="BO1886" s="4" t="s">
        <v>165</v>
      </c>
      <c r="BP1886" s="4"/>
      <c r="BQ1886" s="4"/>
      <c r="BR1886" s="4" t="s">
        <v>104</v>
      </c>
      <c r="BS1886" s="4" t="s">
        <v>32031</v>
      </c>
      <c r="BT1886" s="4" t="str">
        <f aca="false">HYPERLINK("https%3A%2F%2Fwww.webofscience.com%2Fwos%2Fwoscc%2Ffull-record%2FWOS:000239982800010","View Full Record in Web of Science")</f>
        <v>View Full Record in Web of Science</v>
      </c>
    </row>
    <row r="1887" s="5" customFormat="true" ht="12.75" hidden="false" customHeight="false" outlineLevel="0" collapsed="false">
      <c r="A1887" s="4" t="s">
        <v>72</v>
      </c>
      <c r="B1887" s="4" t="s">
        <v>32032</v>
      </c>
      <c r="C1887" s="4"/>
      <c r="D1887" s="4"/>
      <c r="E1887" s="4"/>
      <c r="F1887" s="4" t="s">
        <v>32033</v>
      </c>
      <c r="G1887" s="4"/>
      <c r="H1887" s="4"/>
      <c r="I1887" s="4" t="s">
        <v>32034</v>
      </c>
      <c r="J1887" s="4" t="s">
        <v>6822</v>
      </c>
      <c r="K1887" s="4"/>
      <c r="L1887" s="4"/>
      <c r="M1887" s="4" t="s">
        <v>77</v>
      </c>
      <c r="N1887" s="4" t="s">
        <v>78</v>
      </c>
      <c r="O1887" s="4"/>
      <c r="P1887" s="4"/>
      <c r="Q1887" s="4"/>
      <c r="R1887" s="4"/>
      <c r="S1887" s="4"/>
      <c r="T1887" s="1" t="s">
        <v>32035</v>
      </c>
      <c r="U1887" s="4" t="s">
        <v>32036</v>
      </c>
      <c r="V1887" s="4" t="s">
        <v>32037</v>
      </c>
      <c r="W1887" s="4" t="s">
        <v>32038</v>
      </c>
      <c r="X1887" s="4"/>
      <c r="Y1887" s="4" t="s">
        <v>32039</v>
      </c>
      <c r="Z1887" s="4" t="s">
        <v>32040</v>
      </c>
      <c r="AA1887" s="4"/>
      <c r="AB1887" s="4"/>
      <c r="AC1887" s="4"/>
      <c r="AD1887" s="4"/>
      <c r="AE1887" s="4"/>
      <c r="AF1887" s="4"/>
      <c r="AG1887" s="4" t="n">
        <v>26</v>
      </c>
      <c r="AH1887" s="4" t="n">
        <v>40</v>
      </c>
      <c r="AI1887" s="4" t="n">
        <v>43</v>
      </c>
      <c r="AJ1887" s="4" t="n">
        <v>0</v>
      </c>
      <c r="AK1887" s="4" t="n">
        <v>2</v>
      </c>
      <c r="AL1887" s="4" t="s">
        <v>6833</v>
      </c>
      <c r="AM1887" s="4" t="s">
        <v>593</v>
      </c>
      <c r="AN1887" s="4" t="s">
        <v>6834</v>
      </c>
      <c r="AO1887" s="4" t="s">
        <v>6835</v>
      </c>
      <c r="AP1887" s="4" t="s">
        <v>6836</v>
      </c>
      <c r="AQ1887" s="4"/>
      <c r="AR1887" s="4" t="s">
        <v>6837</v>
      </c>
      <c r="AS1887" s="4" t="s">
        <v>6838</v>
      </c>
      <c r="AT1887" s="4" t="s">
        <v>185</v>
      </c>
      <c r="AU1887" s="4" t="n">
        <v>2006</v>
      </c>
      <c r="AV1887" s="4" t="n">
        <v>134</v>
      </c>
      <c r="AW1887" s="4" t="n">
        <v>4</v>
      </c>
      <c r="AX1887" s="4"/>
      <c r="AY1887" s="4"/>
      <c r="AZ1887" s="4"/>
      <c r="BA1887" s="4"/>
      <c r="BB1887" s="4" t="n">
        <v>792</v>
      </c>
      <c r="BC1887" s="4" t="n">
        <v>798</v>
      </c>
      <c r="BD1887" s="4"/>
      <c r="BE1887" s="4" t="s">
        <v>32041</v>
      </c>
      <c r="BF1887" s="4" t="str">
        <f aca="false">HYPERLINK("http://dx.doi.org/10.1017/S0950268805005364","http://dx.doi.org/10.1017/S0950268805005364")</f>
        <v>http://dx.doi.org/10.1017/S0950268805005364</v>
      </c>
      <c r="BG1887" s="4"/>
      <c r="BH1887" s="4"/>
      <c r="BI1887" s="4" t="n">
        <v>7</v>
      </c>
      <c r="BJ1887" s="4" t="s">
        <v>2113</v>
      </c>
      <c r="BK1887" s="4" t="s">
        <v>100</v>
      </c>
      <c r="BL1887" s="4" t="s">
        <v>2113</v>
      </c>
      <c r="BM1887" s="4" t="s">
        <v>32042</v>
      </c>
      <c r="BN1887" s="4" t="n">
        <v>16388686</v>
      </c>
      <c r="BO1887" s="4" t="s">
        <v>538</v>
      </c>
      <c r="BP1887" s="4"/>
      <c r="BQ1887" s="4"/>
      <c r="BR1887" s="4" t="s">
        <v>104</v>
      </c>
      <c r="BS1887" s="4" t="s">
        <v>32043</v>
      </c>
      <c r="BT1887" s="4" t="str">
        <f aca="false">HYPERLINK("https%3A%2F%2Fwww.webofscience.com%2Fwos%2Fwoscc%2Ffull-record%2FWOS:000239378100018","View Full Record in Web of Science")</f>
        <v>View Full Record in Web of Science</v>
      </c>
    </row>
    <row r="1888" s="5" customFormat="true" ht="12.75" hidden="false" customHeight="false" outlineLevel="0" collapsed="false">
      <c r="A1888" s="4" t="s">
        <v>72</v>
      </c>
      <c r="B1888" s="4" t="s">
        <v>32044</v>
      </c>
      <c r="C1888" s="4"/>
      <c r="D1888" s="4"/>
      <c r="E1888" s="4"/>
      <c r="F1888" s="4" t="s">
        <v>32045</v>
      </c>
      <c r="G1888" s="4"/>
      <c r="H1888" s="4"/>
      <c r="I1888" s="4" t="s">
        <v>32046</v>
      </c>
      <c r="J1888" s="4" t="s">
        <v>29184</v>
      </c>
      <c r="K1888" s="4"/>
      <c r="L1888" s="4"/>
      <c r="M1888" s="4" t="s">
        <v>77</v>
      </c>
      <c r="N1888" s="4" t="s">
        <v>78</v>
      </c>
      <c r="O1888" s="4"/>
      <c r="P1888" s="4"/>
      <c r="Q1888" s="4"/>
      <c r="R1888" s="4"/>
      <c r="S1888" s="4"/>
      <c r="T1888" s="1" t="s">
        <v>32047</v>
      </c>
      <c r="U1888" s="4" t="s">
        <v>32048</v>
      </c>
      <c r="V1888" s="4" t="s">
        <v>32049</v>
      </c>
      <c r="W1888" s="4" t="s">
        <v>32050</v>
      </c>
      <c r="X1888" s="4" t="s">
        <v>32051</v>
      </c>
      <c r="Y1888" s="4" t="s">
        <v>32052</v>
      </c>
      <c r="Z1888" s="4" t="s">
        <v>32053</v>
      </c>
      <c r="AA1888" s="4" t="s">
        <v>32054</v>
      </c>
      <c r="AB1888" s="4" t="s">
        <v>32055</v>
      </c>
      <c r="AC1888" s="4" t="s">
        <v>32056</v>
      </c>
      <c r="AD1888" s="4" t="s">
        <v>32057</v>
      </c>
      <c r="AE1888" s="4" t="s">
        <v>32058</v>
      </c>
      <c r="AF1888" s="4"/>
      <c r="AG1888" s="4" t="n">
        <v>46</v>
      </c>
      <c r="AH1888" s="4" t="n">
        <v>70</v>
      </c>
      <c r="AI1888" s="4" t="n">
        <v>75</v>
      </c>
      <c r="AJ1888" s="4" t="n">
        <v>1</v>
      </c>
      <c r="AK1888" s="4" t="n">
        <v>17</v>
      </c>
      <c r="AL1888" s="4" t="s">
        <v>6405</v>
      </c>
      <c r="AM1888" s="4" t="s">
        <v>6406</v>
      </c>
      <c r="AN1888" s="4" t="s">
        <v>6407</v>
      </c>
      <c r="AO1888" s="4" t="s">
        <v>29198</v>
      </c>
      <c r="AP1888" s="4" t="s">
        <v>29199</v>
      </c>
      <c r="AQ1888" s="4"/>
      <c r="AR1888" s="4" t="s">
        <v>29184</v>
      </c>
      <c r="AS1888" s="4" t="s">
        <v>29200</v>
      </c>
      <c r="AT1888" s="4" t="s">
        <v>8428</v>
      </c>
      <c r="AU1888" s="4" t="n">
        <v>2020</v>
      </c>
      <c r="AV1888" s="4" t="n">
        <v>577</v>
      </c>
      <c r="AW1888" s="4" t="n">
        <v>7789</v>
      </c>
      <c r="AX1888" s="4"/>
      <c r="AY1888" s="4"/>
      <c r="AZ1888" s="4"/>
      <c r="BA1888" s="4"/>
      <c r="BB1888" s="4" t="n">
        <v>275</v>
      </c>
      <c r="BC1888" s="4" t="s">
        <v>986</v>
      </c>
      <c r="BD1888" s="4"/>
      <c r="BE1888" s="4" t="s">
        <v>32059</v>
      </c>
      <c r="BF1888" s="4" t="str">
        <f aca="false">HYPERLINK("http://dx.doi.org/10.1038/s41586-019-1759-1","http://dx.doi.org/10.1038/s41586-019-1759-1")</f>
        <v>http://dx.doi.org/10.1038/s41586-019-1759-1</v>
      </c>
      <c r="BG1888" s="4"/>
      <c r="BH1888" s="4"/>
      <c r="BI1888" s="4" t="n">
        <v>20</v>
      </c>
      <c r="BJ1888" s="4" t="s">
        <v>1658</v>
      </c>
      <c r="BK1888" s="4" t="s">
        <v>100</v>
      </c>
      <c r="BL1888" s="4" t="s">
        <v>1659</v>
      </c>
      <c r="BM1888" s="4" t="s">
        <v>32060</v>
      </c>
      <c r="BN1888" s="4" t="n">
        <v>31698413</v>
      </c>
      <c r="BO1888" s="4" t="s">
        <v>695</v>
      </c>
      <c r="BP1888" s="4"/>
      <c r="BQ1888" s="4"/>
      <c r="BR1888" s="4" t="s">
        <v>104</v>
      </c>
      <c r="BS1888" s="4" t="s">
        <v>32061</v>
      </c>
      <c r="BT1888" s="4" t="str">
        <f aca="false">HYPERLINK("https%3A%2F%2Fwww.webofscience.com%2Fwos%2Fwoscc%2Ffull-record%2FWOS:000506682500048","View Full Record in Web of Science")</f>
        <v>View Full Record in Web of Science</v>
      </c>
    </row>
    <row r="1889" s="5" customFormat="true" ht="12.75" hidden="false" customHeight="false" outlineLevel="0" collapsed="false">
      <c r="A1889" s="4" t="s">
        <v>72</v>
      </c>
      <c r="B1889" s="4" t="s">
        <v>32062</v>
      </c>
      <c r="C1889" s="4"/>
      <c r="D1889" s="4"/>
      <c r="E1889" s="4"/>
      <c r="F1889" s="4" t="s">
        <v>32062</v>
      </c>
      <c r="G1889" s="4"/>
      <c r="H1889" s="4"/>
      <c r="I1889" s="4" t="s">
        <v>32063</v>
      </c>
      <c r="J1889" s="4" t="s">
        <v>742</v>
      </c>
      <c r="K1889" s="4"/>
      <c r="L1889" s="4"/>
      <c r="M1889" s="4" t="s">
        <v>77</v>
      </c>
      <c r="N1889" s="4" t="s">
        <v>78</v>
      </c>
      <c r="O1889" s="4"/>
      <c r="P1889" s="4"/>
      <c r="Q1889" s="4"/>
      <c r="R1889" s="4"/>
      <c r="S1889" s="4"/>
      <c r="T1889" s="1" t="s">
        <v>32064</v>
      </c>
      <c r="U1889" s="4" t="s">
        <v>32065</v>
      </c>
      <c r="V1889" s="4" t="s">
        <v>32066</v>
      </c>
      <c r="W1889" s="4" t="s">
        <v>30052</v>
      </c>
      <c r="X1889" s="4" t="s">
        <v>7617</v>
      </c>
      <c r="Y1889" s="4" t="s">
        <v>32067</v>
      </c>
      <c r="Z1889" s="4"/>
      <c r="AA1889" s="4" t="s">
        <v>7620</v>
      </c>
      <c r="AB1889" s="4" t="s">
        <v>32068</v>
      </c>
      <c r="AC1889" s="4" t="s">
        <v>32069</v>
      </c>
      <c r="AD1889" s="4" t="s">
        <v>2416</v>
      </c>
      <c r="AE1889" s="4"/>
      <c r="AF1889" s="4"/>
      <c r="AG1889" s="4" t="n">
        <v>29</v>
      </c>
      <c r="AH1889" s="4" t="n">
        <v>74</v>
      </c>
      <c r="AI1889" s="4" t="n">
        <v>96</v>
      </c>
      <c r="AJ1889" s="4" t="n">
        <v>0</v>
      </c>
      <c r="AK1889" s="4" t="n">
        <v>2</v>
      </c>
      <c r="AL1889" s="4" t="s">
        <v>755</v>
      </c>
      <c r="AM1889" s="4" t="s">
        <v>273</v>
      </c>
      <c r="AN1889" s="4" t="s">
        <v>756</v>
      </c>
      <c r="AO1889" s="4" t="s">
        <v>757</v>
      </c>
      <c r="AP1889" s="4"/>
      <c r="AQ1889" s="4"/>
      <c r="AR1889" s="4" t="s">
        <v>759</v>
      </c>
      <c r="AS1889" s="4" t="s">
        <v>760</v>
      </c>
      <c r="AT1889" s="4" t="s">
        <v>336</v>
      </c>
      <c r="AU1889" s="4" t="n">
        <v>2003</v>
      </c>
      <c r="AV1889" s="4" t="n">
        <v>77</v>
      </c>
      <c r="AW1889" s="4" t="n">
        <v>20</v>
      </c>
      <c r="AX1889" s="4"/>
      <c r="AY1889" s="4"/>
      <c r="AZ1889" s="4"/>
      <c r="BA1889" s="4"/>
      <c r="BB1889" s="4" t="n">
        <v>10819</v>
      </c>
      <c r="BC1889" s="4" t="n">
        <v>10828</v>
      </c>
      <c r="BD1889" s="4"/>
      <c r="BE1889" s="4" t="s">
        <v>32070</v>
      </c>
      <c r="BF1889" s="4" t="str">
        <f aca="false">HYPERLINK("http://dx.doi.org/10.1128/JVI.77.20.10819-10828.2003","http://dx.doi.org/10.1128/JVI.77.20.10819-10828.2003")</f>
        <v>http://dx.doi.org/10.1128/JVI.77.20.10819-10828.2003</v>
      </c>
      <c r="BG1889" s="4"/>
      <c r="BH1889" s="4"/>
      <c r="BI1889" s="4" t="n">
        <v>10</v>
      </c>
      <c r="BJ1889" s="4" t="s">
        <v>163</v>
      </c>
      <c r="BK1889" s="4" t="s">
        <v>100</v>
      </c>
      <c r="BL1889" s="4" t="s">
        <v>163</v>
      </c>
      <c r="BM1889" s="4" t="s">
        <v>32071</v>
      </c>
      <c r="BN1889" s="4" t="n">
        <v>14512532</v>
      </c>
      <c r="BO1889" s="4" t="s">
        <v>165</v>
      </c>
      <c r="BP1889" s="4"/>
      <c r="BQ1889" s="4"/>
      <c r="BR1889" s="4" t="s">
        <v>104</v>
      </c>
      <c r="BS1889" s="4" t="s">
        <v>32072</v>
      </c>
      <c r="BT1889" s="4" t="str">
        <f aca="false">HYPERLINK("https%3A%2F%2Fwww.webofscience.com%2Fwos%2Fwoscc%2Ffull-record%2FWOS:000185686100010","View Full Record in Web of Science")</f>
        <v>View Full Record in Web of Science</v>
      </c>
    </row>
    <row r="1890" s="5" customFormat="true" ht="12.75" hidden="false" customHeight="false" outlineLevel="0" collapsed="false">
      <c r="A1890" s="4" t="s">
        <v>72</v>
      </c>
      <c r="B1890" s="4" t="s">
        <v>32073</v>
      </c>
      <c r="C1890" s="4"/>
      <c r="D1890" s="4"/>
      <c r="E1890" s="4"/>
      <c r="F1890" s="4" t="s">
        <v>32074</v>
      </c>
      <c r="G1890" s="4"/>
      <c r="H1890" s="4"/>
      <c r="I1890" s="4" t="s">
        <v>32075</v>
      </c>
      <c r="J1890" s="4" t="s">
        <v>2021</v>
      </c>
      <c r="K1890" s="4"/>
      <c r="L1890" s="4"/>
      <c r="M1890" s="4" t="s">
        <v>77</v>
      </c>
      <c r="N1890" s="4" t="s">
        <v>78</v>
      </c>
      <c r="O1890" s="4"/>
      <c r="P1890" s="4"/>
      <c r="Q1890" s="4"/>
      <c r="R1890" s="4"/>
      <c r="S1890" s="4"/>
      <c r="T1890" s="1" t="s">
        <v>32076</v>
      </c>
      <c r="U1890" s="4" t="s">
        <v>32077</v>
      </c>
      <c r="V1890" s="4" t="s">
        <v>32078</v>
      </c>
      <c r="W1890" s="4" t="s">
        <v>32079</v>
      </c>
      <c r="X1890" s="4" t="s">
        <v>32080</v>
      </c>
      <c r="Y1890" s="4" t="s">
        <v>32081</v>
      </c>
      <c r="Z1890" s="4" t="s">
        <v>14182</v>
      </c>
      <c r="AA1890" s="4" t="s">
        <v>32082</v>
      </c>
      <c r="AB1890" s="4" t="s">
        <v>32083</v>
      </c>
      <c r="AC1890" s="4"/>
      <c r="AD1890" s="4"/>
      <c r="AE1890" s="4"/>
      <c r="AF1890" s="4"/>
      <c r="AG1890" s="4" t="n">
        <v>38</v>
      </c>
      <c r="AH1890" s="4" t="n">
        <v>278</v>
      </c>
      <c r="AI1890" s="4" t="n">
        <v>319</v>
      </c>
      <c r="AJ1890" s="4" t="n">
        <v>0</v>
      </c>
      <c r="AK1890" s="4" t="n">
        <v>14</v>
      </c>
      <c r="AL1890" s="4" t="s">
        <v>27444</v>
      </c>
      <c r="AM1890" s="4" t="s">
        <v>20223</v>
      </c>
      <c r="AN1890" s="4" t="s">
        <v>27445</v>
      </c>
      <c r="AO1890" s="4" t="s">
        <v>2033</v>
      </c>
      <c r="AP1890" s="4"/>
      <c r="AQ1890" s="4"/>
      <c r="AR1890" s="4" t="s">
        <v>2035</v>
      </c>
      <c r="AS1890" s="4" t="s">
        <v>2036</v>
      </c>
      <c r="AT1890" s="4" t="s">
        <v>15629</v>
      </c>
      <c r="AU1890" s="4" t="n">
        <v>2006</v>
      </c>
      <c r="AV1890" s="4" t="n">
        <v>43</v>
      </c>
      <c r="AW1890" s="4" t="n">
        <v>5</v>
      </c>
      <c r="AX1890" s="4"/>
      <c r="AY1890" s="4"/>
      <c r="AZ1890" s="4"/>
      <c r="BA1890" s="4"/>
      <c r="BB1890" s="4" t="n">
        <v>585</v>
      </c>
      <c r="BC1890" s="4" t="n">
        <v>592</v>
      </c>
      <c r="BD1890" s="4"/>
      <c r="BE1890" s="4" t="s">
        <v>32084</v>
      </c>
      <c r="BF1890" s="4" t="str">
        <f aca="false">HYPERLINK("http://dx.doi.org/10.1086/506350","http://dx.doi.org/10.1086/506350")</f>
        <v>http://dx.doi.org/10.1086/506350</v>
      </c>
      <c r="BG1890" s="4"/>
      <c r="BH1890" s="4"/>
      <c r="BI1890" s="4" t="n">
        <v>8</v>
      </c>
      <c r="BJ1890" s="4" t="s">
        <v>536</v>
      </c>
      <c r="BK1890" s="4" t="s">
        <v>100</v>
      </c>
      <c r="BL1890" s="4" t="s">
        <v>536</v>
      </c>
      <c r="BM1890" s="4" t="s">
        <v>32085</v>
      </c>
      <c r="BN1890" s="4" t="n">
        <v>16886150</v>
      </c>
      <c r="BO1890" s="4" t="s">
        <v>165</v>
      </c>
      <c r="BP1890" s="4"/>
      <c r="BQ1890" s="4"/>
      <c r="BR1890" s="4" t="s">
        <v>104</v>
      </c>
      <c r="BS1890" s="4" t="s">
        <v>32086</v>
      </c>
      <c r="BT1890" s="4" t="str">
        <f aca="false">HYPERLINK("https%3A%2F%2Fwww.webofscience.com%2Fwos%2Fwoscc%2Ffull-record%2FWOS:000239627000007","View Full Record in Web of Science")</f>
        <v>View Full Record in Web of Science</v>
      </c>
    </row>
    <row r="1891" s="5" customFormat="true" ht="12.75" hidden="false" customHeight="false" outlineLevel="0" collapsed="false">
      <c r="A1891" s="4" t="s">
        <v>72</v>
      </c>
      <c r="B1891" s="4" t="s">
        <v>32087</v>
      </c>
      <c r="C1891" s="4"/>
      <c r="D1891" s="4"/>
      <c r="E1891" s="4"/>
      <c r="F1891" s="4" t="s">
        <v>32088</v>
      </c>
      <c r="G1891" s="4"/>
      <c r="H1891" s="4"/>
      <c r="I1891" s="4" t="s">
        <v>32089</v>
      </c>
      <c r="J1891" s="4" t="s">
        <v>32090</v>
      </c>
      <c r="K1891" s="4"/>
      <c r="L1891" s="4"/>
      <c r="M1891" s="4" t="s">
        <v>77</v>
      </c>
      <c r="N1891" s="4" t="s">
        <v>78</v>
      </c>
      <c r="O1891" s="4"/>
      <c r="P1891" s="4"/>
      <c r="Q1891" s="4"/>
      <c r="R1891" s="4"/>
      <c r="S1891" s="4"/>
      <c r="T1891" s="0"/>
      <c r="U1891" s="4" t="s">
        <v>32091</v>
      </c>
      <c r="V1891" s="4" t="s">
        <v>32092</v>
      </c>
      <c r="W1891" s="4" t="s">
        <v>32093</v>
      </c>
      <c r="X1891" s="4" t="s">
        <v>32094</v>
      </c>
      <c r="Y1891" s="4" t="s">
        <v>32095</v>
      </c>
      <c r="Z1891" s="4"/>
      <c r="AA1891" s="4"/>
      <c r="AB1891" s="4"/>
      <c r="AC1891" s="4"/>
      <c r="AD1891" s="4"/>
      <c r="AE1891" s="4"/>
      <c r="AF1891" s="4"/>
      <c r="AG1891" s="4" t="n">
        <v>85</v>
      </c>
      <c r="AH1891" s="4" t="n">
        <v>0</v>
      </c>
      <c r="AI1891" s="4" t="n">
        <v>0</v>
      </c>
      <c r="AJ1891" s="4" t="n">
        <v>0</v>
      </c>
      <c r="AK1891" s="4" t="n">
        <v>2</v>
      </c>
      <c r="AL1891" s="4" t="s">
        <v>32096</v>
      </c>
      <c r="AM1891" s="4" t="s">
        <v>593</v>
      </c>
      <c r="AN1891" s="4" t="s">
        <v>32097</v>
      </c>
      <c r="AO1891" s="4" t="s">
        <v>32098</v>
      </c>
      <c r="AP1891" s="4" t="s">
        <v>32099</v>
      </c>
      <c r="AQ1891" s="4"/>
      <c r="AR1891" s="4" t="s">
        <v>32100</v>
      </c>
      <c r="AS1891" s="4" t="s">
        <v>32101</v>
      </c>
      <c r="AT1891" s="4" t="s">
        <v>599</v>
      </c>
      <c r="AU1891" s="4" t="n">
        <v>2015</v>
      </c>
      <c r="AV1891" s="4" t="n">
        <v>40</v>
      </c>
      <c r="AW1891" s="4" t="n">
        <v>7</v>
      </c>
      <c r="AX1891" s="4"/>
      <c r="AY1891" s="4"/>
      <c r="AZ1891" s="4"/>
      <c r="BA1891" s="4"/>
      <c r="BB1891" s="4" t="n">
        <v>59</v>
      </c>
      <c r="BC1891" s="4" t="n">
        <v>66</v>
      </c>
      <c r="BD1891" s="4"/>
      <c r="BE1891" s="4"/>
      <c r="BF1891" s="4"/>
      <c r="BG1891" s="4"/>
      <c r="BH1891" s="4"/>
      <c r="BI1891" s="4" t="n">
        <v>8</v>
      </c>
      <c r="BJ1891" s="4" t="s">
        <v>101</v>
      </c>
      <c r="BK1891" s="4" t="s">
        <v>339</v>
      </c>
      <c r="BL1891" s="4" t="s">
        <v>101</v>
      </c>
      <c r="BM1891" s="4" t="s">
        <v>32102</v>
      </c>
      <c r="BN1891" s="4"/>
      <c r="BO1891" s="4"/>
      <c r="BP1891" s="4"/>
      <c r="BQ1891" s="4"/>
      <c r="BR1891" s="4" t="s">
        <v>104</v>
      </c>
      <c r="BS1891" s="4" t="s">
        <v>32103</v>
      </c>
      <c r="BT1891" s="4" t="str">
        <f aca="false">HYPERLINK("https%3A%2F%2Fwww.webofscience.com%2Fwos%2Fwoscc%2Ffull-record%2FWOS:000376749500016","View Full Record in Web of Science")</f>
        <v>View Full Record in Web of Science</v>
      </c>
    </row>
    <row r="1892" s="5" customFormat="true" ht="12.75" hidden="false" customHeight="false" outlineLevel="0" collapsed="false">
      <c r="A1892" s="4" t="s">
        <v>72</v>
      </c>
      <c r="B1892" s="4" t="s">
        <v>32104</v>
      </c>
      <c r="C1892" s="4"/>
      <c r="D1892" s="4"/>
      <c r="E1892" s="4"/>
      <c r="F1892" s="4" t="s">
        <v>32105</v>
      </c>
      <c r="G1892" s="4"/>
      <c r="H1892" s="4"/>
      <c r="I1892" s="4" t="s">
        <v>32106</v>
      </c>
      <c r="J1892" s="4" t="s">
        <v>10086</v>
      </c>
      <c r="K1892" s="4"/>
      <c r="L1892" s="4"/>
      <c r="M1892" s="4" t="s">
        <v>77</v>
      </c>
      <c r="N1892" s="4" t="s">
        <v>78</v>
      </c>
      <c r="O1892" s="4"/>
      <c r="P1892" s="4"/>
      <c r="Q1892" s="4"/>
      <c r="R1892" s="4"/>
      <c r="S1892" s="4"/>
      <c r="T1892" s="1" t="s">
        <v>32107</v>
      </c>
      <c r="U1892" s="4" t="s">
        <v>32108</v>
      </c>
      <c r="V1892" s="4" t="s">
        <v>32109</v>
      </c>
      <c r="W1892" s="4" t="s">
        <v>32110</v>
      </c>
      <c r="X1892" s="4" t="s">
        <v>32111</v>
      </c>
      <c r="Y1892" s="4" t="s">
        <v>32112</v>
      </c>
      <c r="Z1892" s="4" t="s">
        <v>32113</v>
      </c>
      <c r="AA1892" s="4" t="s">
        <v>32114</v>
      </c>
      <c r="AB1892" s="4" t="s">
        <v>32115</v>
      </c>
      <c r="AC1892" s="4" t="s">
        <v>32116</v>
      </c>
      <c r="AD1892" s="4" t="s">
        <v>32117</v>
      </c>
      <c r="AE1892" s="4" t="s">
        <v>32118</v>
      </c>
      <c r="AF1892" s="4"/>
      <c r="AG1892" s="4" t="n">
        <v>20</v>
      </c>
      <c r="AH1892" s="4" t="n">
        <v>6</v>
      </c>
      <c r="AI1892" s="4" t="n">
        <v>6</v>
      </c>
      <c r="AJ1892" s="4" t="n">
        <v>0</v>
      </c>
      <c r="AK1892" s="4" t="n">
        <v>0</v>
      </c>
      <c r="AL1892" s="4" t="s">
        <v>122</v>
      </c>
      <c r="AM1892" s="4" t="s">
        <v>123</v>
      </c>
      <c r="AN1892" s="4" t="s">
        <v>124</v>
      </c>
      <c r="AO1892" s="4" t="s">
        <v>10096</v>
      </c>
      <c r="AP1892" s="4" t="s">
        <v>10097</v>
      </c>
      <c r="AQ1892" s="4"/>
      <c r="AR1892" s="4" t="s">
        <v>10086</v>
      </c>
      <c r="AS1892" s="4" t="s">
        <v>10098</v>
      </c>
      <c r="AT1892" s="4" t="s">
        <v>446</v>
      </c>
      <c r="AU1892" s="4" t="n">
        <v>2021</v>
      </c>
      <c r="AV1892" s="4" t="n">
        <v>105</v>
      </c>
      <c r="AW1892" s="4" t="n">
        <v>12</v>
      </c>
      <c r="AX1892" s="4"/>
      <c r="AY1892" s="4"/>
      <c r="AZ1892" s="4"/>
      <c r="BA1892" s="4"/>
      <c r="BB1892" s="4" t="n">
        <v>2625</v>
      </c>
      <c r="BC1892" s="4" t="n">
        <v>2631</v>
      </c>
      <c r="BD1892" s="4"/>
      <c r="BE1892" s="4" t="s">
        <v>32119</v>
      </c>
      <c r="BF1892" s="4" t="str">
        <f aca="false">HYPERLINK("http://dx.doi.org/10.1097/TP.0000000000003645","http://dx.doi.org/10.1097/TP.0000000000003645")</f>
        <v>http://dx.doi.org/10.1097/TP.0000000000003645</v>
      </c>
      <c r="BG1892" s="4"/>
      <c r="BH1892" s="4"/>
      <c r="BI1892" s="4" t="n">
        <v>7</v>
      </c>
      <c r="BJ1892" s="4" t="s">
        <v>10100</v>
      </c>
      <c r="BK1892" s="4" t="s">
        <v>100</v>
      </c>
      <c r="BL1892" s="4" t="s">
        <v>10100</v>
      </c>
      <c r="BM1892" s="4" t="s">
        <v>32120</v>
      </c>
      <c r="BN1892" s="4" t="n">
        <v>33496558</v>
      </c>
      <c r="BO1892" s="4" t="s">
        <v>656</v>
      </c>
      <c r="BP1892" s="4"/>
      <c r="BQ1892" s="4"/>
      <c r="BR1892" s="4" t="s">
        <v>104</v>
      </c>
      <c r="BS1892" s="4" t="s">
        <v>32121</v>
      </c>
      <c r="BT1892" s="4" t="str">
        <f aca="false">HYPERLINK("https%3A%2F%2Fwww.webofscience.com%2Fwos%2Fwoscc%2Ffull-record%2FWOS:000721914700043","View Full Record in Web of Science")</f>
        <v>View Full Record in Web of Science</v>
      </c>
    </row>
    <row r="1893" s="5" customFormat="true" ht="12.75" hidden="false" customHeight="false" outlineLevel="0" collapsed="false">
      <c r="A1893" s="4" t="s">
        <v>72</v>
      </c>
      <c r="B1893" s="4" t="s">
        <v>32122</v>
      </c>
      <c r="C1893" s="4"/>
      <c r="D1893" s="4"/>
      <c r="E1893" s="4"/>
      <c r="F1893" s="4" t="s">
        <v>32123</v>
      </c>
      <c r="G1893" s="4"/>
      <c r="H1893" s="4"/>
      <c r="I1893" s="4" t="s">
        <v>32124</v>
      </c>
      <c r="J1893" s="4" t="s">
        <v>27453</v>
      </c>
      <c r="K1893" s="4"/>
      <c r="L1893" s="4"/>
      <c r="M1893" s="4" t="s">
        <v>77</v>
      </c>
      <c r="N1893" s="4" t="s">
        <v>78</v>
      </c>
      <c r="O1893" s="4"/>
      <c r="P1893" s="4"/>
      <c r="Q1893" s="4"/>
      <c r="R1893" s="4"/>
      <c r="S1893" s="4"/>
      <c r="T1893" s="1" t="s">
        <v>32125</v>
      </c>
      <c r="U1893" s="4" t="s">
        <v>32126</v>
      </c>
      <c r="V1893" s="4" t="s">
        <v>32127</v>
      </c>
      <c r="W1893" s="4" t="s">
        <v>32128</v>
      </c>
      <c r="X1893" s="4"/>
      <c r="Y1893" s="4" t="s">
        <v>32129</v>
      </c>
      <c r="Z1893" s="4" t="s">
        <v>29465</v>
      </c>
      <c r="AA1893" s="4"/>
      <c r="AB1893" s="4"/>
      <c r="AC1893" s="4" t="s">
        <v>32130</v>
      </c>
      <c r="AD1893" s="4" t="s">
        <v>32131</v>
      </c>
      <c r="AE1893" s="4" t="s">
        <v>32132</v>
      </c>
      <c r="AF1893" s="4"/>
      <c r="AG1893" s="4" t="n">
        <v>16</v>
      </c>
      <c r="AH1893" s="4" t="n">
        <v>1</v>
      </c>
      <c r="AI1893" s="4" t="n">
        <v>1</v>
      </c>
      <c r="AJ1893" s="4" t="n">
        <v>0</v>
      </c>
      <c r="AK1893" s="4" t="n">
        <v>5</v>
      </c>
      <c r="AL1893" s="4" t="s">
        <v>27463</v>
      </c>
      <c r="AM1893" s="4" t="s">
        <v>16252</v>
      </c>
      <c r="AN1893" s="4" t="s">
        <v>27464</v>
      </c>
      <c r="AO1893" s="4" t="s">
        <v>27465</v>
      </c>
      <c r="AP1893" s="4" t="s">
        <v>27466</v>
      </c>
      <c r="AQ1893" s="4"/>
      <c r="AR1893" s="4" t="s">
        <v>27467</v>
      </c>
      <c r="AS1893" s="4" t="s">
        <v>27468</v>
      </c>
      <c r="AT1893" s="4" t="s">
        <v>129</v>
      </c>
      <c r="AU1893" s="4" t="n">
        <v>2022</v>
      </c>
      <c r="AV1893" s="4" t="n">
        <v>75</v>
      </c>
      <c r="AW1893" s="4" t="n">
        <v>5</v>
      </c>
      <c r="AX1893" s="4"/>
      <c r="AY1893" s="4"/>
      <c r="AZ1893" s="4"/>
      <c r="BA1893" s="4"/>
      <c r="BB1893" s="4" t="n">
        <v>530</v>
      </c>
      <c r="BC1893" s="4" t="n">
        <v>532</v>
      </c>
      <c r="BD1893" s="4"/>
      <c r="BE1893" s="4" t="s">
        <v>32133</v>
      </c>
      <c r="BF1893" s="4" t="str">
        <f aca="false">HYPERLINK("http://dx.doi.org/10.7883/yoken.JJID.2022.061","http://dx.doi.org/10.7883/yoken.JJID.2022.061")</f>
        <v>http://dx.doi.org/10.7883/yoken.JJID.2022.061</v>
      </c>
      <c r="BG1893" s="4"/>
      <c r="BH1893" s="4"/>
      <c r="BI1893" s="4" t="n">
        <v>3</v>
      </c>
      <c r="BJ1893" s="4" t="s">
        <v>575</v>
      </c>
      <c r="BK1893" s="4" t="s">
        <v>100</v>
      </c>
      <c r="BL1893" s="4" t="s">
        <v>575</v>
      </c>
      <c r="BM1893" s="4" t="s">
        <v>32134</v>
      </c>
      <c r="BN1893" s="4" t="n">
        <v>35491230</v>
      </c>
      <c r="BO1893" s="4" t="s">
        <v>1355</v>
      </c>
      <c r="BP1893" s="4"/>
      <c r="BQ1893" s="4"/>
      <c r="BR1893" s="4" t="s">
        <v>104</v>
      </c>
      <c r="BS1893" s="4" t="s">
        <v>32135</v>
      </c>
      <c r="BT1893" s="4" t="str">
        <f aca="false">HYPERLINK("https%3A%2F%2Fwww.webofscience.com%2Fwos%2Fwoscc%2Ffull-record%2FWOS:000886993100015","View Full Record in Web of Science")</f>
        <v>View Full Record in Web of Science</v>
      </c>
    </row>
    <row r="1894" s="5" customFormat="true" ht="12.75" hidden="false" customHeight="false" outlineLevel="0" collapsed="false">
      <c r="A1894" s="4" t="s">
        <v>72</v>
      </c>
      <c r="B1894" s="4" t="s">
        <v>32136</v>
      </c>
      <c r="C1894" s="4"/>
      <c r="D1894" s="4"/>
      <c r="E1894" s="4"/>
      <c r="F1894" s="4" t="s">
        <v>32137</v>
      </c>
      <c r="G1894" s="4"/>
      <c r="H1894" s="4"/>
      <c r="I1894" s="4" t="s">
        <v>32138</v>
      </c>
      <c r="J1894" s="4" t="s">
        <v>32139</v>
      </c>
      <c r="K1894" s="4"/>
      <c r="L1894" s="4"/>
      <c r="M1894" s="4" t="s">
        <v>77</v>
      </c>
      <c r="N1894" s="4" t="s">
        <v>78</v>
      </c>
      <c r="O1894" s="4"/>
      <c r="P1894" s="4"/>
      <c r="Q1894" s="4"/>
      <c r="R1894" s="4"/>
      <c r="S1894" s="4"/>
      <c r="T1894" s="1" t="s">
        <v>32140</v>
      </c>
      <c r="U1894" s="4" t="s">
        <v>32141</v>
      </c>
      <c r="V1894" s="4" t="s">
        <v>32142</v>
      </c>
      <c r="W1894" s="4" t="s">
        <v>32143</v>
      </c>
      <c r="X1894" s="4" t="s">
        <v>32144</v>
      </c>
      <c r="Y1894" s="4" t="s">
        <v>5859</v>
      </c>
      <c r="Z1894" s="4" t="s">
        <v>32145</v>
      </c>
      <c r="AA1894" s="4"/>
      <c r="AB1894" s="4"/>
      <c r="AC1894" s="4"/>
      <c r="AD1894" s="4"/>
      <c r="AE1894" s="4"/>
      <c r="AF1894" s="4"/>
      <c r="AG1894" s="4" t="n">
        <v>51</v>
      </c>
      <c r="AH1894" s="4" t="n">
        <v>1</v>
      </c>
      <c r="AI1894" s="4" t="n">
        <v>1</v>
      </c>
      <c r="AJ1894" s="4" t="n">
        <v>0</v>
      </c>
      <c r="AK1894" s="4" t="n">
        <v>3</v>
      </c>
      <c r="AL1894" s="4" t="s">
        <v>27808</v>
      </c>
      <c r="AM1894" s="4" t="s">
        <v>303</v>
      </c>
      <c r="AN1894" s="4" t="s">
        <v>27809</v>
      </c>
      <c r="AO1894" s="4" t="s">
        <v>32146</v>
      </c>
      <c r="AP1894" s="4" t="s">
        <v>32147</v>
      </c>
      <c r="AQ1894" s="4"/>
      <c r="AR1894" s="4" t="s">
        <v>32148</v>
      </c>
      <c r="AS1894" s="4" t="s">
        <v>32149</v>
      </c>
      <c r="AT1894" s="4" t="s">
        <v>32150</v>
      </c>
      <c r="AU1894" s="4" t="n">
        <v>2024</v>
      </c>
      <c r="AV1894" s="4" t="n">
        <v>2024</v>
      </c>
      <c r="AW1894" s="4"/>
      <c r="AX1894" s="4"/>
      <c r="AY1894" s="4"/>
      <c r="AZ1894" s="4"/>
      <c r="BA1894" s="4"/>
      <c r="BB1894" s="4"/>
      <c r="BC1894" s="4"/>
      <c r="BD1894" s="4" t="n">
        <v>7613948</v>
      </c>
      <c r="BE1894" s="4" t="s">
        <v>32151</v>
      </c>
      <c r="BF1894" s="4" t="str">
        <f aca="false">HYPERLINK("http://dx.doi.org/10.1155/2024/7613948","http://dx.doi.org/10.1155/2024/7613948")</f>
        <v>http://dx.doi.org/10.1155/2024/7613948</v>
      </c>
      <c r="BG1894" s="4"/>
      <c r="BH1894" s="4"/>
      <c r="BI1894" s="4" t="n">
        <v>9</v>
      </c>
      <c r="BJ1894" s="4" t="s">
        <v>163</v>
      </c>
      <c r="BK1894" s="4" t="s">
        <v>339</v>
      </c>
      <c r="BL1894" s="4" t="s">
        <v>163</v>
      </c>
      <c r="BM1894" s="4" t="s">
        <v>32152</v>
      </c>
      <c r="BN1894" s="4" t="n">
        <v>38292215</v>
      </c>
      <c r="BO1894" s="4" t="s">
        <v>190</v>
      </c>
      <c r="BP1894" s="4"/>
      <c r="BQ1894" s="4"/>
      <c r="BR1894" s="4" t="s">
        <v>104</v>
      </c>
      <c r="BS1894" s="4" t="s">
        <v>32153</v>
      </c>
      <c r="BT1894" s="4" t="str">
        <f aca="false">HYPERLINK("https%3A%2F%2Fwww.webofscience.com%2Fwos%2Fwoscc%2Ffull-record%2FWOS:001155604100001","View Full Record in Web of Science")</f>
        <v>View Full Record in Web of Science</v>
      </c>
    </row>
    <row r="1895" s="5" customFormat="true" ht="12.75" hidden="false" customHeight="false" outlineLevel="0" collapsed="false">
      <c r="A1895" s="4" t="s">
        <v>72</v>
      </c>
      <c r="B1895" s="4" t="s">
        <v>32154</v>
      </c>
      <c r="C1895" s="4"/>
      <c r="D1895" s="4"/>
      <c r="E1895" s="4"/>
      <c r="F1895" s="4" t="s">
        <v>32155</v>
      </c>
      <c r="G1895" s="4"/>
      <c r="H1895" s="4"/>
      <c r="I1895" s="4" t="s">
        <v>32156</v>
      </c>
      <c r="J1895" s="4" t="s">
        <v>32157</v>
      </c>
      <c r="K1895" s="4"/>
      <c r="L1895" s="4"/>
      <c r="M1895" s="4" t="s">
        <v>77</v>
      </c>
      <c r="N1895" s="4" t="s">
        <v>78</v>
      </c>
      <c r="O1895" s="4"/>
      <c r="P1895" s="4"/>
      <c r="Q1895" s="4"/>
      <c r="R1895" s="4"/>
      <c r="S1895" s="4"/>
      <c r="T1895" s="1" t="s">
        <v>32158</v>
      </c>
      <c r="U1895" s="4" t="s">
        <v>32159</v>
      </c>
      <c r="V1895" s="4" t="s">
        <v>32160</v>
      </c>
      <c r="W1895" s="4" t="s">
        <v>32161</v>
      </c>
      <c r="X1895" s="4" t="s">
        <v>32162</v>
      </c>
      <c r="Y1895" s="4" t="s">
        <v>32163</v>
      </c>
      <c r="Z1895" s="4" t="s">
        <v>32164</v>
      </c>
      <c r="AA1895" s="4"/>
      <c r="AB1895" s="4"/>
      <c r="AC1895" s="4"/>
      <c r="AD1895" s="4"/>
      <c r="AE1895" s="4"/>
      <c r="AF1895" s="4"/>
      <c r="AG1895" s="4" t="n">
        <v>21</v>
      </c>
      <c r="AH1895" s="4" t="n">
        <v>16</v>
      </c>
      <c r="AI1895" s="4" t="n">
        <v>18</v>
      </c>
      <c r="AJ1895" s="4" t="n">
        <v>0</v>
      </c>
      <c r="AK1895" s="4" t="n">
        <v>1</v>
      </c>
      <c r="AL1895" s="4" t="s">
        <v>27444</v>
      </c>
      <c r="AM1895" s="4" t="s">
        <v>20223</v>
      </c>
      <c r="AN1895" s="4" t="s">
        <v>27445</v>
      </c>
      <c r="AO1895" s="4" t="s">
        <v>32165</v>
      </c>
      <c r="AP1895" s="4"/>
      <c r="AQ1895" s="4"/>
      <c r="AR1895" s="4" t="s">
        <v>32166</v>
      </c>
      <c r="AS1895" s="4" t="s">
        <v>32167</v>
      </c>
      <c r="AT1895" s="4" t="s">
        <v>486</v>
      </c>
      <c r="AU1895" s="4" t="n">
        <v>2012</v>
      </c>
      <c r="AV1895" s="4" t="n">
        <v>33</v>
      </c>
      <c r="AW1895" s="4" t="n">
        <v>6</v>
      </c>
      <c r="AX1895" s="4"/>
      <c r="AY1895" s="4"/>
      <c r="AZ1895" s="4"/>
      <c r="BA1895" s="4"/>
      <c r="BB1895" s="4" t="n">
        <v>545</v>
      </c>
      <c r="BC1895" s="4" t="n">
        <v>550</v>
      </c>
      <c r="BD1895" s="4"/>
      <c r="BE1895" s="4" t="s">
        <v>32168</v>
      </c>
      <c r="BF1895" s="4" t="str">
        <f aca="false">HYPERLINK("http://dx.doi.org/10.1086/665727","http://dx.doi.org/10.1086/665727")</f>
        <v>http://dx.doi.org/10.1086/665727</v>
      </c>
      <c r="BG1895" s="4"/>
      <c r="BH1895" s="4"/>
      <c r="BI1895" s="4" t="n">
        <v>6</v>
      </c>
      <c r="BJ1895" s="4" t="s">
        <v>2113</v>
      </c>
      <c r="BK1895" s="4" t="s">
        <v>100</v>
      </c>
      <c r="BL1895" s="4" t="s">
        <v>2113</v>
      </c>
      <c r="BM1895" s="4" t="s">
        <v>32169</v>
      </c>
      <c r="BN1895" s="4" t="n">
        <v>22561708</v>
      </c>
      <c r="BO1895" s="4"/>
      <c r="BP1895" s="4"/>
      <c r="BQ1895" s="4"/>
      <c r="BR1895" s="4" t="s">
        <v>104</v>
      </c>
      <c r="BS1895" s="4" t="s">
        <v>32170</v>
      </c>
      <c r="BT1895" s="4" t="str">
        <f aca="false">HYPERLINK("https%3A%2F%2Fwww.webofscience.com%2Fwos%2Fwoscc%2Ffull-record%2FWOS:000303666300002","View Full Record in Web of Science")</f>
        <v>View Full Record in Web of Science</v>
      </c>
    </row>
    <row r="1896" s="5" customFormat="true" ht="12.75" hidden="false" customHeight="false" outlineLevel="0" collapsed="false">
      <c r="A1896" s="4" t="s">
        <v>72</v>
      </c>
      <c r="B1896" s="4" t="s">
        <v>32171</v>
      </c>
      <c r="C1896" s="4"/>
      <c r="D1896" s="4"/>
      <c r="E1896" s="4"/>
      <c r="F1896" s="4" t="s">
        <v>32172</v>
      </c>
      <c r="G1896" s="4"/>
      <c r="H1896" s="4"/>
      <c r="I1896" s="4" t="s">
        <v>32173</v>
      </c>
      <c r="J1896" s="4" t="s">
        <v>32157</v>
      </c>
      <c r="K1896" s="4"/>
      <c r="L1896" s="4"/>
      <c r="M1896" s="4" t="s">
        <v>77</v>
      </c>
      <c r="N1896" s="4" t="s">
        <v>78</v>
      </c>
      <c r="O1896" s="4"/>
      <c r="P1896" s="4"/>
      <c r="Q1896" s="4"/>
      <c r="R1896" s="4"/>
      <c r="S1896" s="4"/>
      <c r="T1896" s="1" t="s">
        <v>32174</v>
      </c>
      <c r="U1896" s="4" t="s">
        <v>32175</v>
      </c>
      <c r="V1896" s="4" t="s">
        <v>32176</v>
      </c>
      <c r="W1896" s="4" t="s">
        <v>32177</v>
      </c>
      <c r="X1896" s="4" t="s">
        <v>32178</v>
      </c>
      <c r="Y1896" s="4" t="s">
        <v>32179</v>
      </c>
      <c r="Z1896" s="4" t="s">
        <v>32180</v>
      </c>
      <c r="AA1896" s="4" t="s">
        <v>32181</v>
      </c>
      <c r="AB1896" s="4" t="s">
        <v>32182</v>
      </c>
      <c r="AC1896" s="4"/>
      <c r="AD1896" s="4"/>
      <c r="AE1896" s="4"/>
      <c r="AF1896" s="4"/>
      <c r="AG1896" s="4" t="n">
        <v>31</v>
      </c>
      <c r="AH1896" s="4" t="n">
        <v>11</v>
      </c>
      <c r="AI1896" s="4" t="n">
        <v>11</v>
      </c>
      <c r="AJ1896" s="4" t="n">
        <v>0</v>
      </c>
      <c r="AK1896" s="4" t="n">
        <v>7</v>
      </c>
      <c r="AL1896" s="4" t="s">
        <v>6833</v>
      </c>
      <c r="AM1896" s="4" t="s">
        <v>593</v>
      </c>
      <c r="AN1896" s="4" t="s">
        <v>6834</v>
      </c>
      <c r="AO1896" s="4" t="s">
        <v>32165</v>
      </c>
      <c r="AP1896" s="4" t="s">
        <v>32183</v>
      </c>
      <c r="AQ1896" s="4"/>
      <c r="AR1896" s="4" t="s">
        <v>32166</v>
      </c>
      <c r="AS1896" s="4" t="s">
        <v>32167</v>
      </c>
      <c r="AT1896" s="4" t="s">
        <v>692</v>
      </c>
      <c r="AU1896" s="4" t="n">
        <v>2017</v>
      </c>
      <c r="AV1896" s="4" t="n">
        <v>38</v>
      </c>
      <c r="AW1896" s="4" t="n">
        <v>4</v>
      </c>
      <c r="AX1896" s="4"/>
      <c r="AY1896" s="4"/>
      <c r="AZ1896" s="4"/>
      <c r="BA1896" s="4"/>
      <c r="BB1896" s="4" t="n">
        <v>399</v>
      </c>
      <c r="BC1896" s="4" t="n">
        <v>404</v>
      </c>
      <c r="BD1896" s="4"/>
      <c r="BE1896" s="4" t="s">
        <v>32184</v>
      </c>
      <c r="BF1896" s="4" t="str">
        <f aca="false">HYPERLINK("http://dx.doi.org/10.1017/ice.2016.316","http://dx.doi.org/10.1017/ice.2016.316")</f>
        <v>http://dx.doi.org/10.1017/ice.2016.316</v>
      </c>
      <c r="BG1896" s="4"/>
      <c r="BH1896" s="4"/>
      <c r="BI1896" s="4" t="n">
        <v>6</v>
      </c>
      <c r="BJ1896" s="4" t="s">
        <v>2113</v>
      </c>
      <c r="BK1896" s="4" t="s">
        <v>1086</v>
      </c>
      <c r="BL1896" s="4" t="s">
        <v>2113</v>
      </c>
      <c r="BM1896" s="4" t="s">
        <v>32185</v>
      </c>
      <c r="BN1896" s="4" t="n">
        <v>28065183</v>
      </c>
      <c r="BO1896" s="4" t="s">
        <v>656</v>
      </c>
      <c r="BP1896" s="4"/>
      <c r="BQ1896" s="4"/>
      <c r="BR1896" s="4" t="s">
        <v>104</v>
      </c>
      <c r="BS1896" s="4" t="s">
        <v>32186</v>
      </c>
      <c r="BT1896" s="4" t="str">
        <f aca="false">HYPERLINK("https%3A%2F%2Fwww.webofscience.com%2Fwos%2Fwoscc%2Ffull-record%2FWOS:000397352300003","View Full Record in Web of Science")</f>
        <v>View Full Record in Web of Science</v>
      </c>
    </row>
    <row r="1897" s="5" customFormat="true" ht="12.75" hidden="false" customHeight="false" outlineLevel="0" collapsed="false">
      <c r="A1897" s="4" t="s">
        <v>72</v>
      </c>
      <c r="B1897" s="4" t="s">
        <v>32187</v>
      </c>
      <c r="C1897" s="4"/>
      <c r="D1897" s="4"/>
      <c r="E1897" s="4"/>
      <c r="F1897" s="4" t="s">
        <v>32188</v>
      </c>
      <c r="G1897" s="4"/>
      <c r="H1897" s="4"/>
      <c r="I1897" s="4" t="s">
        <v>32189</v>
      </c>
      <c r="J1897" s="4" t="s">
        <v>742</v>
      </c>
      <c r="K1897" s="4"/>
      <c r="L1897" s="4"/>
      <c r="M1897" s="4" t="s">
        <v>77</v>
      </c>
      <c r="N1897" s="4" t="s">
        <v>78</v>
      </c>
      <c r="O1897" s="4"/>
      <c r="P1897" s="4"/>
      <c r="Q1897" s="4"/>
      <c r="R1897" s="4"/>
      <c r="S1897" s="4"/>
      <c r="T1897" s="1" t="s">
        <v>32190</v>
      </c>
      <c r="U1897" s="4" t="s">
        <v>32191</v>
      </c>
      <c r="V1897" s="4" t="s">
        <v>32192</v>
      </c>
      <c r="W1897" s="4" t="s">
        <v>32193</v>
      </c>
      <c r="X1897" s="4" t="s">
        <v>4402</v>
      </c>
      <c r="Y1897" s="4" t="s">
        <v>1365</v>
      </c>
      <c r="Z1897" s="4" t="s">
        <v>1366</v>
      </c>
      <c r="AA1897" s="4" t="s">
        <v>32194</v>
      </c>
      <c r="AB1897" s="4" t="s">
        <v>32195</v>
      </c>
      <c r="AC1897" s="4" t="s">
        <v>32196</v>
      </c>
      <c r="AD1897" s="4" t="s">
        <v>2416</v>
      </c>
      <c r="AE1897" s="4"/>
      <c r="AF1897" s="4"/>
      <c r="AG1897" s="4" t="n">
        <v>55</v>
      </c>
      <c r="AH1897" s="4" t="n">
        <v>16</v>
      </c>
      <c r="AI1897" s="4" t="n">
        <v>19</v>
      </c>
      <c r="AJ1897" s="4" t="n">
        <v>0</v>
      </c>
      <c r="AK1897" s="4" t="n">
        <v>2</v>
      </c>
      <c r="AL1897" s="4" t="s">
        <v>755</v>
      </c>
      <c r="AM1897" s="4" t="s">
        <v>273</v>
      </c>
      <c r="AN1897" s="4" t="s">
        <v>756</v>
      </c>
      <c r="AO1897" s="4" t="s">
        <v>757</v>
      </c>
      <c r="AP1897" s="4" t="s">
        <v>758</v>
      </c>
      <c r="AQ1897" s="4"/>
      <c r="AR1897" s="4" t="s">
        <v>759</v>
      </c>
      <c r="AS1897" s="4" t="s">
        <v>760</v>
      </c>
      <c r="AT1897" s="4" t="s">
        <v>486</v>
      </c>
      <c r="AU1897" s="4" t="n">
        <v>2015</v>
      </c>
      <c r="AV1897" s="4" t="n">
        <v>89</v>
      </c>
      <c r="AW1897" s="4" t="n">
        <v>12</v>
      </c>
      <c r="AX1897" s="4"/>
      <c r="AY1897" s="4"/>
      <c r="AZ1897" s="4"/>
      <c r="BA1897" s="4"/>
      <c r="BB1897" s="4" t="n">
        <v>6391</v>
      </c>
      <c r="BC1897" s="4" t="n">
        <v>6405</v>
      </c>
      <c r="BD1897" s="4"/>
      <c r="BE1897" s="4" t="s">
        <v>32197</v>
      </c>
      <c r="BF1897" s="4" t="str">
        <f aca="false">HYPERLINK("http://dx.doi.org/10.1128/JVI.03488-14","http://dx.doi.org/10.1128/JVI.03488-14")</f>
        <v>http://dx.doi.org/10.1128/JVI.03488-14</v>
      </c>
      <c r="BG1897" s="4"/>
      <c r="BH1897" s="4"/>
      <c r="BI1897" s="4" t="n">
        <v>15</v>
      </c>
      <c r="BJ1897" s="4" t="s">
        <v>163</v>
      </c>
      <c r="BK1897" s="4" t="s">
        <v>100</v>
      </c>
      <c r="BL1897" s="4" t="s">
        <v>163</v>
      </c>
      <c r="BM1897" s="4" t="s">
        <v>32198</v>
      </c>
      <c r="BN1897" s="4" t="n">
        <v>25855728</v>
      </c>
      <c r="BO1897" s="4" t="s">
        <v>538</v>
      </c>
      <c r="BP1897" s="4"/>
      <c r="BQ1897" s="4"/>
      <c r="BR1897" s="4" t="s">
        <v>104</v>
      </c>
      <c r="BS1897" s="4" t="s">
        <v>32199</v>
      </c>
      <c r="BT1897" s="4" t="str">
        <f aca="false">HYPERLINK("https%3A%2F%2Fwww.webofscience.com%2Fwos%2Fwoscc%2Ffull-record%2FWOS:000354657900021","View Full Record in Web of Science")</f>
        <v>View Full Record in Web of Science</v>
      </c>
    </row>
    <row r="1898" s="5" customFormat="true" ht="12.75" hidden="false" customHeight="false" outlineLevel="0" collapsed="false">
      <c r="A1898" s="4" t="s">
        <v>72</v>
      </c>
      <c r="B1898" s="4" t="s">
        <v>32200</v>
      </c>
      <c r="C1898" s="4"/>
      <c r="D1898" s="4"/>
      <c r="E1898" s="4"/>
      <c r="F1898" s="4" t="s">
        <v>32201</v>
      </c>
      <c r="G1898" s="4"/>
      <c r="H1898" s="4"/>
      <c r="I1898" s="4" t="s">
        <v>32202</v>
      </c>
      <c r="J1898" s="4" t="s">
        <v>13758</v>
      </c>
      <c r="K1898" s="4"/>
      <c r="L1898" s="4"/>
      <c r="M1898" s="4" t="s">
        <v>77</v>
      </c>
      <c r="N1898" s="4" t="s">
        <v>78</v>
      </c>
      <c r="O1898" s="4"/>
      <c r="P1898" s="4"/>
      <c r="Q1898" s="4"/>
      <c r="R1898" s="4"/>
      <c r="S1898" s="4"/>
      <c r="T1898" s="1" t="s">
        <v>32203</v>
      </c>
      <c r="U1898" s="4" t="s">
        <v>32204</v>
      </c>
      <c r="V1898" s="4" t="s">
        <v>32205</v>
      </c>
      <c r="W1898" s="4" t="s">
        <v>32206</v>
      </c>
      <c r="X1898" s="4" t="s">
        <v>32207</v>
      </c>
      <c r="Y1898" s="4" t="s">
        <v>32208</v>
      </c>
      <c r="Z1898" s="4" t="s">
        <v>32209</v>
      </c>
      <c r="AA1898" s="4"/>
      <c r="AB1898" s="4"/>
      <c r="AC1898" s="4" t="s">
        <v>32210</v>
      </c>
      <c r="AD1898" s="4" t="s">
        <v>32210</v>
      </c>
      <c r="AE1898" s="4" t="s">
        <v>32211</v>
      </c>
      <c r="AF1898" s="4"/>
      <c r="AG1898" s="4" t="n">
        <v>38</v>
      </c>
      <c r="AH1898" s="4" t="n">
        <v>25</v>
      </c>
      <c r="AI1898" s="4" t="n">
        <v>33</v>
      </c>
      <c r="AJ1898" s="4" t="n">
        <v>0</v>
      </c>
      <c r="AK1898" s="4" t="n">
        <v>2</v>
      </c>
      <c r="AL1898" s="4" t="s">
        <v>13769</v>
      </c>
      <c r="AM1898" s="4" t="s">
        <v>16554</v>
      </c>
      <c r="AN1898" s="4" t="s">
        <v>16555</v>
      </c>
      <c r="AO1898" s="4" t="s">
        <v>13772</v>
      </c>
      <c r="AP1898" s="4" t="s">
        <v>13773</v>
      </c>
      <c r="AQ1898" s="4"/>
      <c r="AR1898" s="4" t="s">
        <v>13774</v>
      </c>
      <c r="AS1898" s="4" t="s">
        <v>13775</v>
      </c>
      <c r="AT1898" s="4" t="s">
        <v>161</v>
      </c>
      <c r="AU1898" s="4" t="n">
        <v>2014</v>
      </c>
      <c r="AV1898" s="4" t="n">
        <v>159</v>
      </c>
      <c r="AW1898" s="4" t="n">
        <v>1</v>
      </c>
      <c r="AX1898" s="4"/>
      <c r="AY1898" s="4"/>
      <c r="AZ1898" s="4"/>
      <c r="BA1898" s="4"/>
      <c r="BB1898" s="4" t="n">
        <v>65</v>
      </c>
      <c r="BC1898" s="4" t="n">
        <v>72</v>
      </c>
      <c r="BD1898" s="4"/>
      <c r="BE1898" s="4" t="s">
        <v>32212</v>
      </c>
      <c r="BF1898" s="4" t="str">
        <f aca="false">HYPERLINK("http://dx.doi.org/10.1007/s00705-013-1794-4","http://dx.doi.org/10.1007/s00705-013-1794-4")</f>
        <v>http://dx.doi.org/10.1007/s00705-013-1794-4</v>
      </c>
      <c r="BG1898" s="4"/>
      <c r="BH1898" s="4"/>
      <c r="BI1898" s="4" t="n">
        <v>8</v>
      </c>
      <c r="BJ1898" s="4" t="s">
        <v>163</v>
      </c>
      <c r="BK1898" s="4" t="s">
        <v>100</v>
      </c>
      <c r="BL1898" s="4" t="s">
        <v>163</v>
      </c>
      <c r="BM1898" s="4" t="s">
        <v>32213</v>
      </c>
      <c r="BN1898" s="4" t="n">
        <v>23881085</v>
      </c>
      <c r="BO1898" s="4" t="s">
        <v>1267</v>
      </c>
      <c r="BP1898" s="4"/>
      <c r="BQ1898" s="4"/>
      <c r="BR1898" s="4" t="s">
        <v>104</v>
      </c>
      <c r="BS1898" s="4" t="s">
        <v>32214</v>
      </c>
      <c r="BT1898" s="4" t="str">
        <f aca="false">HYPERLINK("https%3A%2F%2Fwww.webofscience.com%2Fwos%2Fwoscc%2Ffull-record%2FWOS:000330584800006","View Full Record in Web of Science")</f>
        <v>View Full Record in Web of Science</v>
      </c>
    </row>
    <row r="1899" s="5" customFormat="true" ht="12.75" hidden="false" customHeight="false" outlineLevel="0" collapsed="false">
      <c r="A1899" s="4" t="s">
        <v>72</v>
      </c>
      <c r="B1899" s="4" t="s">
        <v>32215</v>
      </c>
      <c r="C1899" s="4"/>
      <c r="D1899" s="4"/>
      <c r="E1899" s="4"/>
      <c r="F1899" s="4" t="s">
        <v>32216</v>
      </c>
      <c r="G1899" s="4"/>
      <c r="H1899" s="4"/>
      <c r="I1899" s="4" t="s">
        <v>32217</v>
      </c>
      <c r="J1899" s="4" t="s">
        <v>27497</v>
      </c>
      <c r="K1899" s="4"/>
      <c r="L1899" s="4"/>
      <c r="M1899" s="4" t="s">
        <v>77</v>
      </c>
      <c r="N1899" s="4" t="s">
        <v>78</v>
      </c>
      <c r="O1899" s="4"/>
      <c r="P1899" s="4"/>
      <c r="Q1899" s="4"/>
      <c r="R1899" s="4"/>
      <c r="S1899" s="4"/>
      <c r="T1899" s="1" t="s">
        <v>32218</v>
      </c>
      <c r="U1899" s="4" t="s">
        <v>32219</v>
      </c>
      <c r="V1899" s="4" t="s">
        <v>32220</v>
      </c>
      <c r="W1899" s="4" t="s">
        <v>32221</v>
      </c>
      <c r="X1899" s="4" t="s">
        <v>32222</v>
      </c>
      <c r="Y1899" s="4" t="s">
        <v>32223</v>
      </c>
      <c r="Z1899" s="4" t="s">
        <v>32224</v>
      </c>
      <c r="AA1899" s="4" t="s">
        <v>32225</v>
      </c>
      <c r="AB1899" s="4" t="s">
        <v>32226</v>
      </c>
      <c r="AC1899" s="4" t="s">
        <v>32227</v>
      </c>
      <c r="AD1899" s="4" t="s">
        <v>32228</v>
      </c>
      <c r="AE1899" s="4" t="s">
        <v>32229</v>
      </c>
      <c r="AF1899" s="4"/>
      <c r="AG1899" s="4" t="n">
        <v>79</v>
      </c>
      <c r="AH1899" s="4" t="n">
        <v>44</v>
      </c>
      <c r="AI1899" s="4" t="n">
        <v>48</v>
      </c>
      <c r="AJ1899" s="4" t="n">
        <v>0</v>
      </c>
      <c r="AK1899" s="4" t="n">
        <v>6</v>
      </c>
      <c r="AL1899" s="4" t="s">
        <v>27506</v>
      </c>
      <c r="AM1899" s="4" t="s">
        <v>27507</v>
      </c>
      <c r="AN1899" s="4" t="s">
        <v>27508</v>
      </c>
      <c r="AO1899" s="4" t="s">
        <v>27509</v>
      </c>
      <c r="AP1899" s="4"/>
      <c r="AQ1899" s="4"/>
      <c r="AR1899" s="4" t="s">
        <v>27497</v>
      </c>
      <c r="AS1899" s="4" t="s">
        <v>27510</v>
      </c>
      <c r="AT1899" s="4" t="s">
        <v>733</v>
      </c>
      <c r="AU1899" s="4" t="n">
        <v>2011</v>
      </c>
      <c r="AV1899" s="4" t="n">
        <v>6</v>
      </c>
      <c r="AW1899" s="4" t="n">
        <v>3</v>
      </c>
      <c r="AX1899" s="4"/>
      <c r="AY1899" s="4"/>
      <c r="AZ1899" s="4"/>
      <c r="BA1899" s="4"/>
      <c r="BB1899" s="4"/>
      <c r="BC1899" s="4"/>
      <c r="BD1899" s="4" t="s">
        <v>32230</v>
      </c>
      <c r="BE1899" s="4" t="s">
        <v>32231</v>
      </c>
      <c r="BF1899" s="4" t="str">
        <f aca="false">HYPERLINK("http://dx.doi.org/10.1371/journal.pone.0017427","http://dx.doi.org/10.1371/journal.pone.0017427")</f>
        <v>http://dx.doi.org/10.1371/journal.pone.0017427</v>
      </c>
      <c r="BG1899" s="4"/>
      <c r="BH1899" s="4"/>
      <c r="BI1899" s="4" t="n">
        <v>11</v>
      </c>
      <c r="BJ1899" s="4" t="s">
        <v>1658</v>
      </c>
      <c r="BK1899" s="4" t="s">
        <v>100</v>
      </c>
      <c r="BL1899" s="4" t="s">
        <v>1659</v>
      </c>
      <c r="BM1899" s="4" t="s">
        <v>32232</v>
      </c>
      <c r="BN1899" s="4" t="n">
        <v>21390255</v>
      </c>
      <c r="BO1899" s="4" t="s">
        <v>341</v>
      </c>
      <c r="BP1899" s="4"/>
      <c r="BQ1899" s="4"/>
      <c r="BR1899" s="4" t="s">
        <v>104</v>
      </c>
      <c r="BS1899" s="4" t="s">
        <v>32233</v>
      </c>
      <c r="BT1899" s="4" t="str">
        <f aca="false">HYPERLINK("https%3A%2F%2Fwww.webofscience.com%2Fwos%2Fwoscc%2Ffull-record%2FWOS:000287932100016","View Full Record in Web of Science")</f>
        <v>View Full Record in Web of Science</v>
      </c>
    </row>
    <row r="1900" s="5" customFormat="true" ht="12.75" hidden="false" customHeight="false" outlineLevel="0" collapsed="false">
      <c r="A1900" s="4" t="s">
        <v>72</v>
      </c>
      <c r="B1900" s="4" t="s">
        <v>32234</v>
      </c>
      <c r="C1900" s="4"/>
      <c r="D1900" s="4"/>
      <c r="E1900" s="4"/>
      <c r="F1900" s="4" t="s">
        <v>32235</v>
      </c>
      <c r="G1900" s="4"/>
      <c r="H1900" s="4"/>
      <c r="I1900" s="4" t="s">
        <v>32236</v>
      </c>
      <c r="J1900" s="4" t="s">
        <v>28246</v>
      </c>
      <c r="K1900" s="4"/>
      <c r="L1900" s="4"/>
      <c r="M1900" s="4" t="s">
        <v>77</v>
      </c>
      <c r="N1900" s="4" t="s">
        <v>78</v>
      </c>
      <c r="O1900" s="4"/>
      <c r="P1900" s="4"/>
      <c r="Q1900" s="4"/>
      <c r="R1900" s="4"/>
      <c r="S1900" s="4"/>
      <c r="T1900" s="1" t="s">
        <v>32237</v>
      </c>
      <c r="U1900" s="4" t="s">
        <v>32238</v>
      </c>
      <c r="V1900" s="4" t="s">
        <v>32239</v>
      </c>
      <c r="W1900" s="4" t="s">
        <v>32240</v>
      </c>
      <c r="X1900" s="4" t="s">
        <v>32241</v>
      </c>
      <c r="Y1900" s="4" t="s">
        <v>32242</v>
      </c>
      <c r="Z1900" s="4" t="s">
        <v>32243</v>
      </c>
      <c r="AA1900" s="4"/>
      <c r="AB1900" s="4"/>
      <c r="AC1900" s="4" t="s">
        <v>32244</v>
      </c>
      <c r="AD1900" s="4" t="s">
        <v>32245</v>
      </c>
      <c r="AE1900" s="4" t="s">
        <v>32246</v>
      </c>
      <c r="AF1900" s="4"/>
      <c r="AG1900" s="4" t="n">
        <v>124</v>
      </c>
      <c r="AH1900" s="4" t="n">
        <v>0</v>
      </c>
      <c r="AI1900" s="4" t="n">
        <v>0</v>
      </c>
      <c r="AJ1900" s="4" t="n">
        <v>2</v>
      </c>
      <c r="AK1900" s="4" t="n">
        <v>2</v>
      </c>
      <c r="AL1900" s="4" t="s">
        <v>6405</v>
      </c>
      <c r="AM1900" s="4" t="s">
        <v>6406</v>
      </c>
      <c r="AN1900" s="4" t="s">
        <v>6407</v>
      </c>
      <c r="AO1900" s="4"/>
      <c r="AP1900" s="4" t="s">
        <v>28255</v>
      </c>
      <c r="AQ1900" s="4"/>
      <c r="AR1900" s="4" t="s">
        <v>28256</v>
      </c>
      <c r="AS1900" s="4" t="s">
        <v>28257</v>
      </c>
      <c r="AT1900" s="4" t="s">
        <v>30177</v>
      </c>
      <c r="AU1900" s="4" t="n">
        <v>2024</v>
      </c>
      <c r="AV1900" s="4" t="n">
        <v>15</v>
      </c>
      <c r="AW1900" s="4" t="n">
        <v>1</v>
      </c>
      <c r="AX1900" s="4"/>
      <c r="AY1900" s="4"/>
      <c r="AZ1900" s="4"/>
      <c r="BA1900" s="4"/>
      <c r="BB1900" s="4"/>
      <c r="BC1900" s="4"/>
      <c r="BD1900" s="4" t="n">
        <v>9939</v>
      </c>
      <c r="BE1900" s="4" t="s">
        <v>32247</v>
      </c>
      <c r="BF1900" s="4" t="str">
        <f aca="false">HYPERLINK("http://dx.doi.org/10.1038/s41467-024-54287-x","http://dx.doi.org/10.1038/s41467-024-54287-x")</f>
        <v>http://dx.doi.org/10.1038/s41467-024-54287-x</v>
      </c>
      <c r="BG1900" s="4"/>
      <c r="BH1900" s="4"/>
      <c r="BI1900" s="4" t="n">
        <v>25</v>
      </c>
      <c r="BJ1900" s="4" t="s">
        <v>1658</v>
      </c>
      <c r="BK1900" s="4" t="s">
        <v>100</v>
      </c>
      <c r="BL1900" s="4" t="s">
        <v>1659</v>
      </c>
      <c r="BM1900" s="4" t="s">
        <v>32248</v>
      </c>
      <c r="BN1900" s="4" t="n">
        <v>39550381</v>
      </c>
      <c r="BO1900" s="4" t="s">
        <v>1355</v>
      </c>
      <c r="BP1900" s="4"/>
      <c r="BQ1900" s="4"/>
      <c r="BR1900" s="4" t="s">
        <v>104</v>
      </c>
      <c r="BS1900" s="4" t="s">
        <v>32249</v>
      </c>
      <c r="BT1900" s="4" t="str">
        <f aca="false">HYPERLINK("https%3A%2F%2Fwww.webofscience.com%2Fwos%2Fwoscc%2Ffull-record%2FWOS:001355664400013","View Full Record in Web of Science")</f>
        <v>View Full Record in Web of Science</v>
      </c>
    </row>
    <row r="1901" s="5" customFormat="true" ht="12.75" hidden="false" customHeight="false" outlineLevel="0" collapsed="false">
      <c r="A1901" s="4" t="s">
        <v>72</v>
      </c>
      <c r="B1901" s="4" t="s">
        <v>32250</v>
      </c>
      <c r="C1901" s="4"/>
      <c r="D1901" s="4"/>
      <c r="E1901" s="4"/>
      <c r="F1901" s="4" t="s">
        <v>32251</v>
      </c>
      <c r="G1901" s="4"/>
      <c r="H1901" s="4"/>
      <c r="I1901" s="4" t="s">
        <v>32252</v>
      </c>
      <c r="J1901" s="4" t="s">
        <v>2863</v>
      </c>
      <c r="K1901" s="4"/>
      <c r="L1901" s="4"/>
      <c r="M1901" s="4" t="s">
        <v>77</v>
      </c>
      <c r="N1901" s="4" t="s">
        <v>78</v>
      </c>
      <c r="O1901" s="4"/>
      <c r="P1901" s="4"/>
      <c r="Q1901" s="4"/>
      <c r="R1901" s="4"/>
      <c r="S1901" s="4"/>
      <c r="T1901" s="0"/>
      <c r="U1901" s="4" t="s">
        <v>32253</v>
      </c>
      <c r="V1901" s="4" t="s">
        <v>32254</v>
      </c>
      <c r="W1901" s="4" t="s">
        <v>32255</v>
      </c>
      <c r="X1901" s="4" t="s">
        <v>32256</v>
      </c>
      <c r="Y1901" s="4" t="s">
        <v>32257</v>
      </c>
      <c r="Z1901" s="4" t="s">
        <v>32258</v>
      </c>
      <c r="AA1901" s="4" t="s">
        <v>32259</v>
      </c>
      <c r="AB1901" s="4" t="s">
        <v>32260</v>
      </c>
      <c r="AC1901" s="4"/>
      <c r="AD1901" s="4"/>
      <c r="AE1901" s="4"/>
      <c r="AF1901" s="4"/>
      <c r="AG1901" s="4" t="n">
        <v>29</v>
      </c>
      <c r="AH1901" s="4" t="n">
        <v>64</v>
      </c>
      <c r="AI1901" s="4" t="n">
        <v>76</v>
      </c>
      <c r="AJ1901" s="4" t="n">
        <v>1</v>
      </c>
      <c r="AK1901" s="4" t="n">
        <v>5</v>
      </c>
      <c r="AL1901" s="4" t="s">
        <v>2875</v>
      </c>
      <c r="AM1901" s="4" t="s">
        <v>2876</v>
      </c>
      <c r="AN1901" s="4" t="s">
        <v>2877</v>
      </c>
      <c r="AO1901" s="4" t="s">
        <v>2878</v>
      </c>
      <c r="AP1901" s="4" t="s">
        <v>2879</v>
      </c>
      <c r="AQ1901" s="4"/>
      <c r="AR1901" s="4" t="s">
        <v>2880</v>
      </c>
      <c r="AS1901" s="4" t="s">
        <v>2881</v>
      </c>
      <c r="AT1901" s="4" t="s">
        <v>252</v>
      </c>
      <c r="AU1901" s="4" t="n">
        <v>2007</v>
      </c>
      <c r="AV1901" s="4" t="n">
        <v>83</v>
      </c>
      <c r="AW1901" s="4" t="n">
        <v>5</v>
      </c>
      <c r="AX1901" s="4"/>
      <c r="AY1901" s="4"/>
      <c r="AZ1901" s="4"/>
      <c r="BA1901" s="4"/>
      <c r="BB1901" s="4" t="n">
        <v>422</v>
      </c>
      <c r="BC1901" s="4" t="n">
        <v>428</v>
      </c>
      <c r="BD1901" s="4"/>
      <c r="BE1901" s="4" t="s">
        <v>32261</v>
      </c>
      <c r="BF1901" s="4" t="str">
        <f aca="false">HYPERLINK("http://dx.doi.org/10.1590/S0021-75572007000600005","http://dx.doi.org/10.1590/S0021-75572007000600005")</f>
        <v>http://dx.doi.org/10.1590/S0021-75572007000600005</v>
      </c>
      <c r="BG1901" s="4"/>
      <c r="BH1901" s="4"/>
      <c r="BI1901" s="4" t="n">
        <v>7</v>
      </c>
      <c r="BJ1901" s="4" t="s">
        <v>601</v>
      </c>
      <c r="BK1901" s="4" t="s">
        <v>100</v>
      </c>
      <c r="BL1901" s="4" t="s">
        <v>601</v>
      </c>
      <c r="BM1901" s="4" t="s">
        <v>32262</v>
      </c>
      <c r="BN1901" s="4" t="n">
        <v>17940688</v>
      </c>
      <c r="BO1901" s="4" t="s">
        <v>103</v>
      </c>
      <c r="BP1901" s="4"/>
      <c r="BQ1901" s="4"/>
      <c r="BR1901" s="4" t="s">
        <v>104</v>
      </c>
      <c r="BS1901" s="4" t="s">
        <v>32263</v>
      </c>
      <c r="BT1901" s="4" t="str">
        <f aca="false">HYPERLINK("https%3A%2F%2Fwww.webofscience.com%2Fwos%2Fwoscc%2Ffull-record%2FWOS:000254506600005","View Full Record in Web of Science")</f>
        <v>View Full Record in Web of Science</v>
      </c>
    </row>
    <row r="1902" s="5" customFormat="true" ht="12.75" hidden="false" customHeight="false" outlineLevel="0" collapsed="false">
      <c r="A1902" s="4" t="s">
        <v>72</v>
      </c>
      <c r="B1902" s="4" t="s">
        <v>32264</v>
      </c>
      <c r="C1902" s="4"/>
      <c r="D1902" s="4"/>
      <c r="E1902" s="4"/>
      <c r="F1902" s="4" t="s">
        <v>32265</v>
      </c>
      <c r="G1902" s="4"/>
      <c r="H1902" s="4"/>
      <c r="I1902" s="4" t="s">
        <v>32266</v>
      </c>
      <c r="J1902" s="4" t="s">
        <v>27497</v>
      </c>
      <c r="K1902" s="4"/>
      <c r="L1902" s="4"/>
      <c r="M1902" s="4" t="s">
        <v>77</v>
      </c>
      <c r="N1902" s="4" t="s">
        <v>78</v>
      </c>
      <c r="O1902" s="4"/>
      <c r="P1902" s="4"/>
      <c r="Q1902" s="4"/>
      <c r="R1902" s="4"/>
      <c r="S1902" s="4"/>
      <c r="T1902" s="1" t="s">
        <v>32267</v>
      </c>
      <c r="U1902" s="4" t="s">
        <v>32268</v>
      </c>
      <c r="V1902" s="4" t="s">
        <v>32269</v>
      </c>
      <c r="W1902" s="4" t="s">
        <v>32270</v>
      </c>
      <c r="X1902" s="4" t="s">
        <v>3109</v>
      </c>
      <c r="Y1902" s="4" t="s">
        <v>32271</v>
      </c>
      <c r="Z1902" s="4" t="s">
        <v>32272</v>
      </c>
      <c r="AA1902" s="4" t="s">
        <v>32273</v>
      </c>
      <c r="AB1902" s="4" t="s">
        <v>32274</v>
      </c>
      <c r="AC1902" s="4" t="s">
        <v>32275</v>
      </c>
      <c r="AD1902" s="4" t="s">
        <v>32276</v>
      </c>
      <c r="AE1902" s="4" t="s">
        <v>32277</v>
      </c>
      <c r="AF1902" s="4"/>
      <c r="AG1902" s="4" t="n">
        <v>67</v>
      </c>
      <c r="AH1902" s="4" t="n">
        <v>20</v>
      </c>
      <c r="AI1902" s="4" t="n">
        <v>25</v>
      </c>
      <c r="AJ1902" s="4" t="n">
        <v>1</v>
      </c>
      <c r="AK1902" s="4" t="n">
        <v>10</v>
      </c>
      <c r="AL1902" s="4" t="s">
        <v>27506</v>
      </c>
      <c r="AM1902" s="4" t="s">
        <v>27507</v>
      </c>
      <c r="AN1902" s="4" t="s">
        <v>27508</v>
      </c>
      <c r="AO1902" s="4" t="s">
        <v>27509</v>
      </c>
      <c r="AP1902" s="4"/>
      <c r="AQ1902" s="4"/>
      <c r="AR1902" s="4" t="s">
        <v>27497</v>
      </c>
      <c r="AS1902" s="4" t="s">
        <v>27510</v>
      </c>
      <c r="AT1902" s="4" t="s">
        <v>32278</v>
      </c>
      <c r="AU1902" s="4" t="n">
        <v>2016</v>
      </c>
      <c r="AV1902" s="4" t="n">
        <v>11</v>
      </c>
      <c r="AW1902" s="4" t="n">
        <v>4</v>
      </c>
      <c r="AX1902" s="4"/>
      <c r="AY1902" s="4"/>
      <c r="AZ1902" s="4"/>
      <c r="BA1902" s="4"/>
      <c r="BB1902" s="4"/>
      <c r="BC1902" s="4"/>
      <c r="BD1902" s="4" t="s">
        <v>32279</v>
      </c>
      <c r="BE1902" s="4" t="s">
        <v>32280</v>
      </c>
      <c r="BF1902" s="4" t="str">
        <f aca="false">HYPERLINK("http://dx.doi.org/10.1371/journal.pone.0152962","http://dx.doi.org/10.1371/journal.pone.0152962")</f>
        <v>http://dx.doi.org/10.1371/journal.pone.0152962</v>
      </c>
      <c r="BG1902" s="4"/>
      <c r="BH1902" s="4"/>
      <c r="BI1902" s="4" t="n">
        <v>19</v>
      </c>
      <c r="BJ1902" s="4" t="s">
        <v>1658</v>
      </c>
      <c r="BK1902" s="4" t="s">
        <v>100</v>
      </c>
      <c r="BL1902" s="4" t="s">
        <v>1659</v>
      </c>
      <c r="BM1902" s="4" t="s">
        <v>32281</v>
      </c>
      <c r="BN1902" s="4" t="n">
        <v>27046055</v>
      </c>
      <c r="BO1902" s="4" t="s">
        <v>341</v>
      </c>
      <c r="BP1902" s="4"/>
      <c r="BQ1902" s="4"/>
      <c r="BR1902" s="4" t="s">
        <v>104</v>
      </c>
      <c r="BS1902" s="4" t="s">
        <v>32282</v>
      </c>
      <c r="BT1902" s="4" t="str">
        <f aca="false">HYPERLINK("https%3A%2F%2Fwww.webofscience.com%2Fwos%2Fwoscc%2Ffull-record%2FWOS:000373599600052","View Full Record in Web of Science")</f>
        <v>View Full Record in Web of Science</v>
      </c>
    </row>
    <row r="1903" s="5" customFormat="true" ht="12.75" hidden="false" customHeight="false" outlineLevel="0" collapsed="false">
      <c r="A1903" s="4" t="s">
        <v>72</v>
      </c>
      <c r="B1903" s="4" t="s">
        <v>32283</v>
      </c>
      <c r="C1903" s="4"/>
      <c r="D1903" s="4"/>
      <c r="E1903" s="4"/>
      <c r="F1903" s="4" t="s">
        <v>32283</v>
      </c>
      <c r="G1903" s="4"/>
      <c r="H1903" s="4"/>
      <c r="I1903" s="4" t="s">
        <v>32284</v>
      </c>
      <c r="J1903" s="4" t="s">
        <v>742</v>
      </c>
      <c r="K1903" s="4"/>
      <c r="L1903" s="4"/>
      <c r="M1903" s="4" t="s">
        <v>77</v>
      </c>
      <c r="N1903" s="4" t="s">
        <v>78</v>
      </c>
      <c r="O1903" s="4"/>
      <c r="P1903" s="4"/>
      <c r="Q1903" s="4"/>
      <c r="R1903" s="4"/>
      <c r="S1903" s="4"/>
      <c r="T1903" s="1" t="s">
        <v>32285</v>
      </c>
      <c r="U1903" s="4" t="s">
        <v>32286</v>
      </c>
      <c r="V1903" s="4" t="s">
        <v>32287</v>
      </c>
      <c r="W1903" s="4" t="s">
        <v>6707</v>
      </c>
      <c r="X1903" s="4" t="s">
        <v>6708</v>
      </c>
      <c r="Y1903" s="4" t="s">
        <v>31844</v>
      </c>
      <c r="Z1903" s="4" t="s">
        <v>6710</v>
      </c>
      <c r="AA1903" s="4" t="s">
        <v>32288</v>
      </c>
      <c r="AB1903" s="4" t="s">
        <v>6712</v>
      </c>
      <c r="AC1903" s="4"/>
      <c r="AD1903" s="4"/>
      <c r="AE1903" s="4"/>
      <c r="AF1903" s="4"/>
      <c r="AG1903" s="4" t="n">
        <v>36</v>
      </c>
      <c r="AH1903" s="4" t="n">
        <v>47</v>
      </c>
      <c r="AI1903" s="4" t="n">
        <v>69</v>
      </c>
      <c r="AJ1903" s="4" t="n">
        <v>0</v>
      </c>
      <c r="AK1903" s="4" t="n">
        <v>4</v>
      </c>
      <c r="AL1903" s="4" t="s">
        <v>755</v>
      </c>
      <c r="AM1903" s="4" t="s">
        <v>273</v>
      </c>
      <c r="AN1903" s="4" t="s">
        <v>756</v>
      </c>
      <c r="AO1903" s="4" t="s">
        <v>757</v>
      </c>
      <c r="AP1903" s="4" t="s">
        <v>758</v>
      </c>
      <c r="AQ1903" s="4"/>
      <c r="AR1903" s="4" t="s">
        <v>759</v>
      </c>
      <c r="AS1903" s="4" t="s">
        <v>760</v>
      </c>
      <c r="AT1903" s="4" t="s">
        <v>446</v>
      </c>
      <c r="AU1903" s="4" t="n">
        <v>2005</v>
      </c>
      <c r="AV1903" s="4" t="n">
        <v>79</v>
      </c>
      <c r="AW1903" s="4" t="n">
        <v>24</v>
      </c>
      <c r="AX1903" s="4"/>
      <c r="AY1903" s="4"/>
      <c r="AZ1903" s="4"/>
      <c r="BA1903" s="4"/>
      <c r="BB1903" s="4" t="n">
        <v>15114</v>
      </c>
      <c r="BC1903" s="4" t="n">
        <v>15122</v>
      </c>
      <c r="BD1903" s="4"/>
      <c r="BE1903" s="4" t="s">
        <v>32289</v>
      </c>
      <c r="BF1903" s="4" t="str">
        <f aca="false">HYPERLINK("http://dx.doi.org/10.1128/JVI.79.24.15114-15122.2005","http://dx.doi.org/10.1128/JVI.79.24.15114-15122.2005")</f>
        <v>http://dx.doi.org/10.1128/JVI.79.24.15114-15122.2005</v>
      </c>
      <c r="BG1903" s="4"/>
      <c r="BH1903" s="4"/>
      <c r="BI1903" s="4" t="n">
        <v>9</v>
      </c>
      <c r="BJ1903" s="4" t="s">
        <v>163</v>
      </c>
      <c r="BK1903" s="4" t="s">
        <v>100</v>
      </c>
      <c r="BL1903" s="4" t="s">
        <v>163</v>
      </c>
      <c r="BM1903" s="4" t="s">
        <v>32290</v>
      </c>
      <c r="BN1903" s="4" t="n">
        <v>16306583</v>
      </c>
      <c r="BO1903" s="4" t="s">
        <v>165</v>
      </c>
      <c r="BP1903" s="4"/>
      <c r="BQ1903" s="4"/>
      <c r="BR1903" s="4" t="s">
        <v>104</v>
      </c>
      <c r="BS1903" s="4" t="s">
        <v>32291</v>
      </c>
      <c r="BT1903" s="4" t="str">
        <f aca="false">HYPERLINK("https%3A%2F%2Fwww.webofscience.com%2Fwos%2Fwoscc%2Ffull-record%2FWOS:000234276700013","View Full Record in Web of Science")</f>
        <v>View Full Record in Web of Science</v>
      </c>
    </row>
    <row r="1904" s="5" customFormat="true" ht="12.75" hidden="false" customHeight="false" outlineLevel="0" collapsed="false">
      <c r="A1904" s="4" t="s">
        <v>72</v>
      </c>
      <c r="B1904" s="4" t="s">
        <v>32292</v>
      </c>
      <c r="C1904" s="4"/>
      <c r="D1904" s="4"/>
      <c r="E1904" s="4"/>
      <c r="F1904" s="4" t="s">
        <v>32293</v>
      </c>
      <c r="G1904" s="4"/>
      <c r="H1904" s="4"/>
      <c r="I1904" s="4" t="s">
        <v>32294</v>
      </c>
      <c r="J1904" s="4" t="s">
        <v>27497</v>
      </c>
      <c r="K1904" s="4"/>
      <c r="L1904" s="4"/>
      <c r="M1904" s="4" t="s">
        <v>77</v>
      </c>
      <c r="N1904" s="4" t="s">
        <v>78</v>
      </c>
      <c r="O1904" s="4"/>
      <c r="P1904" s="4"/>
      <c r="Q1904" s="4"/>
      <c r="R1904" s="4"/>
      <c r="S1904" s="4"/>
      <c r="T1904" s="1" t="s">
        <v>32295</v>
      </c>
      <c r="U1904" s="4" t="s">
        <v>32296</v>
      </c>
      <c r="V1904" s="4" t="s">
        <v>32297</v>
      </c>
      <c r="W1904" s="4" t="s">
        <v>32298</v>
      </c>
      <c r="X1904" s="4" t="s">
        <v>32299</v>
      </c>
      <c r="Y1904" s="4" t="s">
        <v>32300</v>
      </c>
      <c r="Z1904" s="4" t="s">
        <v>32301</v>
      </c>
      <c r="AA1904" s="4" t="s">
        <v>32302</v>
      </c>
      <c r="AB1904" s="4" t="s">
        <v>32303</v>
      </c>
      <c r="AC1904" s="4" t="s">
        <v>32304</v>
      </c>
      <c r="AD1904" s="4" t="s">
        <v>32305</v>
      </c>
      <c r="AE1904" s="4" t="s">
        <v>32306</v>
      </c>
      <c r="AF1904" s="4"/>
      <c r="AG1904" s="4" t="n">
        <v>45</v>
      </c>
      <c r="AH1904" s="4" t="n">
        <v>41</v>
      </c>
      <c r="AI1904" s="4" t="n">
        <v>43</v>
      </c>
      <c r="AJ1904" s="4" t="n">
        <v>0</v>
      </c>
      <c r="AK1904" s="4" t="n">
        <v>1</v>
      </c>
      <c r="AL1904" s="4" t="s">
        <v>27506</v>
      </c>
      <c r="AM1904" s="4" t="s">
        <v>27507</v>
      </c>
      <c r="AN1904" s="4" t="s">
        <v>27508</v>
      </c>
      <c r="AO1904" s="4" t="s">
        <v>27509</v>
      </c>
      <c r="AP1904" s="4"/>
      <c r="AQ1904" s="4"/>
      <c r="AR1904" s="4" t="s">
        <v>27497</v>
      </c>
      <c r="AS1904" s="4" t="s">
        <v>27510</v>
      </c>
      <c r="AT1904" s="4" t="s">
        <v>32307</v>
      </c>
      <c r="AU1904" s="4" t="n">
        <v>2017</v>
      </c>
      <c r="AV1904" s="4" t="n">
        <v>12</v>
      </c>
      <c r="AW1904" s="4" t="n">
        <v>7</v>
      </c>
      <c r="AX1904" s="4"/>
      <c r="AY1904" s="4"/>
      <c r="AZ1904" s="4"/>
      <c r="BA1904" s="4"/>
      <c r="BB1904" s="4"/>
      <c r="BC1904" s="4"/>
      <c r="BD1904" s="4" t="s">
        <v>32308</v>
      </c>
      <c r="BE1904" s="4" t="s">
        <v>32309</v>
      </c>
      <c r="BF1904" s="4" t="str">
        <f aca="false">HYPERLINK("http://dx.doi.org/10.1371/journal.pone.0180954","http://dx.doi.org/10.1371/journal.pone.0180954")</f>
        <v>http://dx.doi.org/10.1371/journal.pone.0180954</v>
      </c>
      <c r="BG1904" s="4"/>
      <c r="BH1904" s="4"/>
      <c r="BI1904" s="4" t="n">
        <v>17</v>
      </c>
      <c r="BJ1904" s="4" t="s">
        <v>1658</v>
      </c>
      <c r="BK1904" s="4" t="s">
        <v>100</v>
      </c>
      <c r="BL1904" s="4" t="s">
        <v>1659</v>
      </c>
      <c r="BM1904" s="4" t="s">
        <v>32310</v>
      </c>
      <c r="BN1904" s="4" t="n">
        <v>28704440</v>
      </c>
      <c r="BO1904" s="4" t="s">
        <v>32311</v>
      </c>
      <c r="BP1904" s="4"/>
      <c r="BQ1904" s="4"/>
      <c r="BR1904" s="4" t="s">
        <v>104</v>
      </c>
      <c r="BS1904" s="4" t="s">
        <v>32312</v>
      </c>
      <c r="BT1904" s="4" t="str">
        <f aca="false">HYPERLINK("https%3A%2F%2Fwww.webofscience.com%2Fwos%2Fwoscc%2Ffull-record%2FWOS:000405649700065","View Full Record in Web of Science")</f>
        <v>View Full Record in Web of Science</v>
      </c>
    </row>
    <row r="1905" s="5" customFormat="true" ht="12.75" hidden="false" customHeight="false" outlineLevel="0" collapsed="false">
      <c r="A1905" s="4" t="s">
        <v>72</v>
      </c>
      <c r="B1905" s="4" t="s">
        <v>32313</v>
      </c>
      <c r="C1905" s="4"/>
      <c r="D1905" s="4"/>
      <c r="E1905" s="4"/>
      <c r="F1905" s="4" t="s">
        <v>32314</v>
      </c>
      <c r="G1905" s="4"/>
      <c r="H1905" s="4"/>
      <c r="I1905" s="4" t="s">
        <v>32315</v>
      </c>
      <c r="J1905" s="4" t="s">
        <v>5473</v>
      </c>
      <c r="K1905" s="4"/>
      <c r="L1905" s="4"/>
      <c r="M1905" s="4" t="s">
        <v>77</v>
      </c>
      <c r="N1905" s="4" t="s">
        <v>78</v>
      </c>
      <c r="O1905" s="4"/>
      <c r="P1905" s="4"/>
      <c r="Q1905" s="4"/>
      <c r="R1905" s="4"/>
      <c r="S1905" s="4"/>
      <c r="T1905" s="1" t="s">
        <v>32316</v>
      </c>
      <c r="U1905" s="4" t="s">
        <v>32317</v>
      </c>
      <c r="V1905" s="4" t="s">
        <v>32318</v>
      </c>
      <c r="W1905" s="4" t="s">
        <v>32319</v>
      </c>
      <c r="X1905" s="4" t="s">
        <v>32320</v>
      </c>
      <c r="Y1905" s="4" t="s">
        <v>32321</v>
      </c>
      <c r="Z1905" s="4" t="s">
        <v>32322</v>
      </c>
      <c r="AA1905" s="4" t="s">
        <v>3171</v>
      </c>
      <c r="AB1905" s="4" t="s">
        <v>3172</v>
      </c>
      <c r="AC1905" s="4" t="s">
        <v>32323</v>
      </c>
      <c r="AD1905" s="4" t="s">
        <v>32324</v>
      </c>
      <c r="AE1905" s="4" t="s">
        <v>32325</v>
      </c>
      <c r="AF1905" s="4"/>
      <c r="AG1905" s="4" t="n">
        <v>68</v>
      </c>
      <c r="AH1905" s="4" t="n">
        <v>51</v>
      </c>
      <c r="AI1905" s="4" t="n">
        <v>53</v>
      </c>
      <c r="AJ1905" s="4" t="n">
        <v>0</v>
      </c>
      <c r="AK1905" s="4" t="n">
        <v>4</v>
      </c>
      <c r="AL1905" s="4" t="s">
        <v>302</v>
      </c>
      <c r="AM1905" s="4" t="s">
        <v>303</v>
      </c>
      <c r="AN1905" s="4" t="s">
        <v>304</v>
      </c>
      <c r="AO1905" s="4" t="s">
        <v>5483</v>
      </c>
      <c r="AP1905" s="4"/>
      <c r="AQ1905" s="4"/>
      <c r="AR1905" s="4" t="s">
        <v>5484</v>
      </c>
      <c r="AS1905" s="4" t="s">
        <v>5485</v>
      </c>
      <c r="AT1905" s="4" t="s">
        <v>12958</v>
      </c>
      <c r="AU1905" s="4" t="n">
        <v>2009</v>
      </c>
      <c r="AV1905" s="4" t="n">
        <v>7</v>
      </c>
      <c r="AW1905" s="4"/>
      <c r="AX1905" s="4"/>
      <c r="AY1905" s="4"/>
      <c r="AZ1905" s="4"/>
      <c r="BA1905" s="4"/>
      <c r="BB1905" s="4"/>
      <c r="BC1905" s="4"/>
      <c r="BD1905" s="4" t="n">
        <v>35</v>
      </c>
      <c r="BE1905" s="4" t="s">
        <v>32326</v>
      </c>
      <c r="BF1905" s="4" t="str">
        <f aca="false">HYPERLINK("http://dx.doi.org/10.1186/1741-7015-7-35","http://dx.doi.org/10.1186/1741-7015-7-35")</f>
        <v>http://dx.doi.org/10.1186/1741-7015-7-35</v>
      </c>
      <c r="BG1905" s="4"/>
      <c r="BH1905" s="4"/>
      <c r="BI1905" s="4" t="n">
        <v>12</v>
      </c>
      <c r="BJ1905" s="4" t="s">
        <v>363</v>
      </c>
      <c r="BK1905" s="4" t="s">
        <v>100</v>
      </c>
      <c r="BL1905" s="4" t="s">
        <v>364</v>
      </c>
      <c r="BM1905" s="4" t="s">
        <v>32327</v>
      </c>
      <c r="BN1905" s="4" t="n">
        <v>19635124</v>
      </c>
      <c r="BO1905" s="4" t="s">
        <v>190</v>
      </c>
      <c r="BP1905" s="4"/>
      <c r="BQ1905" s="4"/>
      <c r="BR1905" s="4" t="s">
        <v>104</v>
      </c>
      <c r="BS1905" s="4" t="s">
        <v>32328</v>
      </c>
      <c r="BT1905" s="4" t="str">
        <f aca="false">HYPERLINK("https%3A%2F%2Fwww.webofscience.com%2Fwos%2Fwoscc%2Ffull-record%2FWOS:000269561900001","View Full Record in Web of Science")</f>
        <v>View Full Record in Web of Science</v>
      </c>
    </row>
    <row r="1906" s="5" customFormat="true" ht="12.75" hidden="false" customHeight="false" outlineLevel="0" collapsed="false">
      <c r="A1906" s="4" t="s">
        <v>72</v>
      </c>
      <c r="B1906" s="4" t="s">
        <v>32329</v>
      </c>
      <c r="C1906" s="4"/>
      <c r="D1906" s="4"/>
      <c r="E1906" s="4"/>
      <c r="F1906" s="4" t="s">
        <v>32329</v>
      </c>
      <c r="G1906" s="4"/>
      <c r="H1906" s="4"/>
      <c r="I1906" s="4" t="s">
        <v>32330</v>
      </c>
      <c r="J1906" s="4" t="s">
        <v>742</v>
      </c>
      <c r="K1906" s="4"/>
      <c r="L1906" s="4"/>
      <c r="M1906" s="4" t="s">
        <v>77</v>
      </c>
      <c r="N1906" s="4" t="s">
        <v>78</v>
      </c>
      <c r="O1906" s="4"/>
      <c r="P1906" s="4"/>
      <c r="Q1906" s="4"/>
      <c r="R1906" s="4"/>
      <c r="S1906" s="4"/>
      <c r="T1906" s="1" t="s">
        <v>32331</v>
      </c>
      <c r="U1906" s="4" t="s">
        <v>32332</v>
      </c>
      <c r="V1906" s="4" t="s">
        <v>32333</v>
      </c>
      <c r="W1906" s="4" t="s">
        <v>32334</v>
      </c>
      <c r="X1906" s="4" t="s">
        <v>12353</v>
      </c>
      <c r="Y1906" s="4" t="s">
        <v>32335</v>
      </c>
      <c r="Z1906" s="4" t="s">
        <v>32336</v>
      </c>
      <c r="AA1906" s="4" t="s">
        <v>15520</v>
      </c>
      <c r="AB1906" s="4" t="s">
        <v>32337</v>
      </c>
      <c r="AC1906" s="4"/>
      <c r="AD1906" s="4"/>
      <c r="AE1906" s="4"/>
      <c r="AF1906" s="4"/>
      <c r="AG1906" s="4" t="n">
        <v>50</v>
      </c>
      <c r="AH1906" s="4" t="n">
        <v>83</v>
      </c>
      <c r="AI1906" s="4" t="n">
        <v>101</v>
      </c>
      <c r="AJ1906" s="4" t="n">
        <v>0</v>
      </c>
      <c r="AK1906" s="4" t="n">
        <v>1</v>
      </c>
      <c r="AL1906" s="4" t="s">
        <v>755</v>
      </c>
      <c r="AM1906" s="4" t="s">
        <v>273</v>
      </c>
      <c r="AN1906" s="4" t="s">
        <v>756</v>
      </c>
      <c r="AO1906" s="4" t="s">
        <v>757</v>
      </c>
      <c r="AP1906" s="4" t="s">
        <v>758</v>
      </c>
      <c r="AQ1906" s="4"/>
      <c r="AR1906" s="4" t="s">
        <v>759</v>
      </c>
      <c r="AS1906" s="4" t="s">
        <v>760</v>
      </c>
      <c r="AT1906" s="4" t="s">
        <v>599</v>
      </c>
      <c r="AU1906" s="4" t="n">
        <v>2005</v>
      </c>
      <c r="AV1906" s="4" t="n">
        <v>79</v>
      </c>
      <c r="AW1906" s="4" t="n">
        <v>14</v>
      </c>
      <c r="AX1906" s="4"/>
      <c r="AY1906" s="4"/>
      <c r="AZ1906" s="4"/>
      <c r="BA1906" s="4"/>
      <c r="BB1906" s="4" t="n">
        <v>8894</v>
      </c>
      <c r="BC1906" s="4" t="n">
        <v>8903</v>
      </c>
      <c r="BD1906" s="4"/>
      <c r="BE1906" s="4" t="s">
        <v>32338</v>
      </c>
      <c r="BF1906" s="4" t="str">
        <f aca="false">HYPERLINK("http://dx.doi.org/10.1128/JVI.79.14.8894-8903.2005","http://dx.doi.org/10.1128/JVI.79.14.8894-8903.2005")</f>
        <v>http://dx.doi.org/10.1128/JVI.79.14.8894-8903.2005</v>
      </c>
      <c r="BG1906" s="4"/>
      <c r="BH1906" s="4"/>
      <c r="BI1906" s="4" t="n">
        <v>10</v>
      </c>
      <c r="BJ1906" s="4" t="s">
        <v>163</v>
      </c>
      <c r="BK1906" s="4" t="s">
        <v>100</v>
      </c>
      <c r="BL1906" s="4" t="s">
        <v>163</v>
      </c>
      <c r="BM1906" s="4" t="s">
        <v>32339</v>
      </c>
      <c r="BN1906" s="4" t="n">
        <v>15994783</v>
      </c>
      <c r="BO1906" s="4" t="s">
        <v>165</v>
      </c>
      <c r="BP1906" s="4"/>
      <c r="BQ1906" s="4"/>
      <c r="BR1906" s="4" t="s">
        <v>104</v>
      </c>
      <c r="BS1906" s="4" t="s">
        <v>32340</v>
      </c>
      <c r="BT1906" s="4" t="str">
        <f aca="false">HYPERLINK("https%3A%2F%2Fwww.webofscience.com%2Fwos%2Fwoscc%2Ffull-record%2FWOS:000230216300023","View Full Record in Web of Science")</f>
        <v>View Full Record in Web of Science</v>
      </c>
    </row>
    <row r="1907" s="5" customFormat="true" ht="12.75" hidden="false" customHeight="false" outlineLevel="0" collapsed="false">
      <c r="A1907" s="4" t="s">
        <v>72</v>
      </c>
      <c r="B1907" s="4" t="s">
        <v>32341</v>
      </c>
      <c r="C1907" s="4"/>
      <c r="D1907" s="4"/>
      <c r="E1907" s="4"/>
      <c r="F1907" s="4" t="s">
        <v>32342</v>
      </c>
      <c r="G1907" s="4"/>
      <c r="H1907" s="4"/>
      <c r="I1907" s="4" t="s">
        <v>32343</v>
      </c>
      <c r="J1907" s="4" t="s">
        <v>514</v>
      </c>
      <c r="K1907" s="4"/>
      <c r="L1907" s="4"/>
      <c r="M1907" s="4" t="s">
        <v>77</v>
      </c>
      <c r="N1907" s="4" t="s">
        <v>78</v>
      </c>
      <c r="O1907" s="4"/>
      <c r="P1907" s="4"/>
      <c r="Q1907" s="4"/>
      <c r="R1907" s="4"/>
      <c r="S1907" s="4"/>
      <c r="T1907" s="1" t="s">
        <v>32344</v>
      </c>
      <c r="U1907" s="4" t="s">
        <v>32345</v>
      </c>
      <c r="V1907" s="4" t="s">
        <v>32346</v>
      </c>
      <c r="W1907" s="4" t="s">
        <v>32347</v>
      </c>
      <c r="X1907" s="4" t="s">
        <v>32348</v>
      </c>
      <c r="Y1907" s="4" t="s">
        <v>32349</v>
      </c>
      <c r="Z1907" s="4" t="s">
        <v>24980</v>
      </c>
      <c r="AA1907" s="4" t="s">
        <v>32350</v>
      </c>
      <c r="AB1907" s="4" t="s">
        <v>32351</v>
      </c>
      <c r="AC1907" s="4" t="s">
        <v>32352</v>
      </c>
      <c r="AD1907" s="4" t="s">
        <v>32353</v>
      </c>
      <c r="AE1907" s="4" t="s">
        <v>32354</v>
      </c>
      <c r="AF1907" s="4"/>
      <c r="AG1907" s="4" t="n">
        <v>30</v>
      </c>
      <c r="AH1907" s="4" t="n">
        <v>69</v>
      </c>
      <c r="AI1907" s="4" t="n">
        <v>73</v>
      </c>
      <c r="AJ1907" s="4" t="n">
        <v>0</v>
      </c>
      <c r="AK1907" s="4" t="n">
        <v>1</v>
      </c>
      <c r="AL1907" s="4" t="s">
        <v>527</v>
      </c>
      <c r="AM1907" s="4" t="s">
        <v>528</v>
      </c>
      <c r="AN1907" s="4" t="s">
        <v>529</v>
      </c>
      <c r="AO1907" s="4" t="s">
        <v>530</v>
      </c>
      <c r="AP1907" s="4" t="s">
        <v>531</v>
      </c>
      <c r="AQ1907" s="4"/>
      <c r="AR1907" s="4" t="s">
        <v>532</v>
      </c>
      <c r="AS1907" s="4" t="s">
        <v>533</v>
      </c>
      <c r="AT1907" s="4" t="s">
        <v>10024</v>
      </c>
      <c r="AU1907" s="4" t="n">
        <v>2012</v>
      </c>
      <c r="AV1907" s="4" t="n">
        <v>206</v>
      </c>
      <c r="AW1907" s="4"/>
      <c r="AX1907" s="4"/>
      <c r="AY1907" s="4" t="n">
        <v>1</v>
      </c>
      <c r="AZ1907" s="4"/>
      <c r="BA1907" s="4"/>
      <c r="BB1907" s="4" t="s">
        <v>32355</v>
      </c>
      <c r="BC1907" s="4" t="s">
        <v>32356</v>
      </c>
      <c r="BD1907" s="4"/>
      <c r="BE1907" s="4" t="s">
        <v>32357</v>
      </c>
      <c r="BF1907" s="4" t="str">
        <f aca="false">HYPERLINK("http://dx.doi.org/10.1093/infdis/jis573","http://dx.doi.org/10.1093/infdis/jis573")</f>
        <v>http://dx.doi.org/10.1093/infdis/jis573</v>
      </c>
      <c r="BG1907" s="4"/>
      <c r="BH1907" s="4"/>
      <c r="BI1907" s="4" t="n">
        <v>7</v>
      </c>
      <c r="BJ1907" s="4" t="s">
        <v>536</v>
      </c>
      <c r="BK1907" s="4" t="s">
        <v>100</v>
      </c>
      <c r="BL1907" s="4" t="s">
        <v>536</v>
      </c>
      <c r="BM1907" s="4" t="s">
        <v>32358</v>
      </c>
      <c r="BN1907" s="4" t="n">
        <v>23169968</v>
      </c>
      <c r="BO1907" s="4" t="s">
        <v>1267</v>
      </c>
      <c r="BP1907" s="4"/>
      <c r="BQ1907" s="4"/>
      <c r="BR1907" s="4" t="s">
        <v>104</v>
      </c>
      <c r="BS1907" s="4" t="s">
        <v>32359</v>
      </c>
      <c r="BT1907" s="4" t="str">
        <f aca="false">HYPERLINK("https%3A%2F%2Fwww.webofscience.com%2Fwos%2Fwoscc%2Ffull-record%2FWOS:000311667900005","View Full Record in Web of Science")</f>
        <v>View Full Record in Web of Science</v>
      </c>
    </row>
    <row r="1908" s="5" customFormat="true" ht="12.75" hidden="false" customHeight="false" outlineLevel="0" collapsed="false">
      <c r="A1908" s="4" t="s">
        <v>72</v>
      </c>
      <c r="B1908" s="4" t="s">
        <v>32360</v>
      </c>
      <c r="C1908" s="4"/>
      <c r="D1908" s="4"/>
      <c r="E1908" s="4"/>
      <c r="F1908" s="4" t="s">
        <v>32361</v>
      </c>
      <c r="G1908" s="4"/>
      <c r="H1908" s="4"/>
      <c r="I1908" s="4" t="s">
        <v>32362</v>
      </c>
      <c r="J1908" s="4" t="s">
        <v>32363</v>
      </c>
      <c r="K1908" s="4"/>
      <c r="L1908" s="4"/>
      <c r="M1908" s="4" t="s">
        <v>77</v>
      </c>
      <c r="N1908" s="4" t="s">
        <v>78</v>
      </c>
      <c r="O1908" s="4"/>
      <c r="P1908" s="4"/>
      <c r="Q1908" s="4"/>
      <c r="R1908" s="4"/>
      <c r="S1908" s="4"/>
      <c r="T1908" s="1" t="s">
        <v>32364</v>
      </c>
      <c r="U1908" s="4" t="s">
        <v>32365</v>
      </c>
      <c r="V1908" s="4" t="s">
        <v>32366</v>
      </c>
      <c r="W1908" s="4" t="s">
        <v>32367</v>
      </c>
      <c r="X1908" s="4" t="s">
        <v>32368</v>
      </c>
      <c r="Y1908" s="4" t="s">
        <v>32369</v>
      </c>
      <c r="Z1908" s="4" t="s">
        <v>32370</v>
      </c>
      <c r="AA1908" s="4" t="s">
        <v>32371</v>
      </c>
      <c r="AB1908" s="4" t="s">
        <v>32372</v>
      </c>
      <c r="AC1908" s="4" t="s">
        <v>32373</v>
      </c>
      <c r="AD1908" s="4" t="s">
        <v>525</v>
      </c>
      <c r="AE1908" s="4" t="s">
        <v>32374</v>
      </c>
      <c r="AF1908" s="4"/>
      <c r="AG1908" s="4" t="n">
        <v>36</v>
      </c>
      <c r="AH1908" s="4" t="n">
        <v>6</v>
      </c>
      <c r="AI1908" s="4" t="n">
        <v>6</v>
      </c>
      <c r="AJ1908" s="4" t="n">
        <v>2</v>
      </c>
      <c r="AK1908" s="4" t="n">
        <v>7</v>
      </c>
      <c r="AL1908" s="4" t="s">
        <v>32375</v>
      </c>
      <c r="AM1908" s="4" t="s">
        <v>273</v>
      </c>
      <c r="AN1908" s="4" t="s">
        <v>32376</v>
      </c>
      <c r="AO1908" s="4" t="s">
        <v>32377</v>
      </c>
      <c r="AP1908" s="4" t="s">
        <v>32378</v>
      </c>
      <c r="AQ1908" s="4"/>
      <c r="AR1908" s="4" t="s">
        <v>32379</v>
      </c>
      <c r="AS1908" s="4" t="s">
        <v>32380</v>
      </c>
      <c r="AT1908" s="4" t="s">
        <v>32381</v>
      </c>
      <c r="AU1908" s="4" t="n">
        <v>2022</v>
      </c>
      <c r="AV1908" s="4" t="n">
        <v>14</v>
      </c>
      <c r="AW1908" s="4" t="n">
        <v>650</v>
      </c>
      <c r="AX1908" s="4"/>
      <c r="AY1908" s="4"/>
      <c r="AZ1908" s="4"/>
      <c r="BA1908" s="4"/>
      <c r="BB1908" s="4"/>
      <c r="BC1908" s="4"/>
      <c r="BD1908" s="4" t="s">
        <v>32382</v>
      </c>
      <c r="BE1908" s="4" t="s">
        <v>32383</v>
      </c>
      <c r="BF1908" s="4" t="str">
        <f aca="false">HYPERLINK("http://dx.doi.org/10.1126/scitranslmed.abo5032","http://dx.doi.org/10.1126/scitranslmed.abo5032")</f>
        <v>http://dx.doi.org/10.1126/scitranslmed.abo5032</v>
      </c>
      <c r="BG1908" s="4"/>
      <c r="BH1908" s="4"/>
      <c r="BI1908" s="4" t="n">
        <v>10</v>
      </c>
      <c r="BJ1908" s="4" t="s">
        <v>32384</v>
      </c>
      <c r="BK1908" s="4" t="s">
        <v>100</v>
      </c>
      <c r="BL1908" s="4" t="s">
        <v>32385</v>
      </c>
      <c r="BM1908" s="4" t="s">
        <v>32386</v>
      </c>
      <c r="BN1908" s="4" t="n">
        <v>35731888</v>
      </c>
      <c r="BO1908" s="4" t="s">
        <v>695</v>
      </c>
      <c r="BP1908" s="4"/>
      <c r="BQ1908" s="4"/>
      <c r="BR1908" s="4" t="s">
        <v>104</v>
      </c>
      <c r="BS1908" s="4" t="s">
        <v>32387</v>
      </c>
      <c r="BT1908" s="4" t="str">
        <f aca="false">HYPERLINK("https%3A%2F%2Fwww.webofscience.com%2Fwos%2Fwoscc%2Ffull-record%2FWOS:000814512700006","View Full Record in Web of Science")</f>
        <v>View Full Record in Web of Science</v>
      </c>
    </row>
    <row r="1909" s="5" customFormat="true" ht="12.75" hidden="false" customHeight="false" outlineLevel="0" collapsed="false">
      <c r="A1909" s="4" t="s">
        <v>72</v>
      </c>
      <c r="B1909" s="4" t="s">
        <v>32388</v>
      </c>
      <c r="C1909" s="4"/>
      <c r="D1909" s="4"/>
      <c r="E1909" s="4"/>
      <c r="F1909" s="4" t="s">
        <v>32389</v>
      </c>
      <c r="G1909" s="4"/>
      <c r="H1909" s="4"/>
      <c r="I1909" s="4" t="s">
        <v>32390</v>
      </c>
      <c r="J1909" s="4" t="s">
        <v>1863</v>
      </c>
      <c r="K1909" s="4"/>
      <c r="L1909" s="4"/>
      <c r="M1909" s="4" t="s">
        <v>77</v>
      </c>
      <c r="N1909" s="4" t="s">
        <v>78</v>
      </c>
      <c r="O1909" s="4"/>
      <c r="P1909" s="4"/>
      <c r="Q1909" s="4"/>
      <c r="R1909" s="4"/>
      <c r="S1909" s="4"/>
      <c r="T1909" s="1" t="s">
        <v>32391</v>
      </c>
      <c r="U1909" s="4" t="s">
        <v>32392</v>
      </c>
      <c r="V1909" s="4" t="s">
        <v>32393</v>
      </c>
      <c r="W1909" s="4" t="s">
        <v>32394</v>
      </c>
      <c r="X1909" s="4" t="s">
        <v>32395</v>
      </c>
      <c r="Y1909" s="4" t="s">
        <v>6382</v>
      </c>
      <c r="Z1909" s="4" t="s">
        <v>32396</v>
      </c>
      <c r="AA1909" s="4" t="s">
        <v>32397</v>
      </c>
      <c r="AB1909" s="4" t="s">
        <v>32398</v>
      </c>
      <c r="AC1909" s="4" t="s">
        <v>32399</v>
      </c>
      <c r="AD1909" s="4" t="s">
        <v>32400</v>
      </c>
      <c r="AE1909" s="4" t="s">
        <v>32401</v>
      </c>
      <c r="AF1909" s="4"/>
      <c r="AG1909" s="4" t="n">
        <v>44</v>
      </c>
      <c r="AH1909" s="4" t="n">
        <v>99</v>
      </c>
      <c r="AI1909" s="4" t="n">
        <v>106</v>
      </c>
      <c r="AJ1909" s="4" t="n">
        <v>0</v>
      </c>
      <c r="AK1909" s="4" t="n">
        <v>1</v>
      </c>
      <c r="AL1909" s="4" t="s">
        <v>302</v>
      </c>
      <c r="AM1909" s="4" t="s">
        <v>303</v>
      </c>
      <c r="AN1909" s="4" t="s">
        <v>304</v>
      </c>
      <c r="AO1909" s="4"/>
      <c r="AP1909" s="4" t="s">
        <v>1876</v>
      </c>
      <c r="AQ1909" s="4"/>
      <c r="AR1909" s="4" t="s">
        <v>1877</v>
      </c>
      <c r="AS1909" s="4" t="s">
        <v>1878</v>
      </c>
      <c r="AT1909" s="4" t="s">
        <v>2296</v>
      </c>
      <c r="AU1909" s="4" t="n">
        <v>2009</v>
      </c>
      <c r="AV1909" s="4" t="n">
        <v>6</v>
      </c>
      <c r="AW1909" s="4"/>
      <c r="AX1909" s="4"/>
      <c r="AY1909" s="4"/>
      <c r="AZ1909" s="4"/>
      <c r="BA1909" s="4"/>
      <c r="BB1909" s="4"/>
      <c r="BC1909" s="4"/>
      <c r="BD1909" s="4" t="n">
        <v>89</v>
      </c>
      <c r="BE1909" s="4" t="s">
        <v>32402</v>
      </c>
      <c r="BF1909" s="4" t="str">
        <f aca="false">HYPERLINK("http://dx.doi.org/10.1186/1743-422X-6-89","http://dx.doi.org/10.1186/1743-422X-6-89")</f>
        <v>http://dx.doi.org/10.1186/1743-422X-6-89</v>
      </c>
      <c r="BG1909" s="4"/>
      <c r="BH1909" s="4"/>
      <c r="BI1909" s="4" t="n">
        <v>11</v>
      </c>
      <c r="BJ1909" s="4" t="s">
        <v>163</v>
      </c>
      <c r="BK1909" s="4" t="s">
        <v>100</v>
      </c>
      <c r="BL1909" s="4" t="s">
        <v>163</v>
      </c>
      <c r="BM1909" s="4" t="s">
        <v>32403</v>
      </c>
      <c r="BN1909" s="4" t="n">
        <v>19558656</v>
      </c>
      <c r="BO1909" s="4" t="s">
        <v>103</v>
      </c>
      <c r="BP1909" s="4"/>
      <c r="BQ1909" s="4"/>
      <c r="BR1909" s="4" t="s">
        <v>104</v>
      </c>
      <c r="BS1909" s="4" t="s">
        <v>32404</v>
      </c>
      <c r="BT1909" s="4" t="str">
        <f aca="false">HYPERLINK("https%3A%2F%2Fwww.webofscience.com%2Fwos%2Fwoscc%2Ffull-record%2FWOS:000268410200002","View Full Record in Web of Science")</f>
        <v>View Full Record in Web of Science</v>
      </c>
    </row>
    <row r="1910" s="5" customFormat="true" ht="12.75" hidden="false" customHeight="false" outlineLevel="0" collapsed="false">
      <c r="A1910" s="4" t="s">
        <v>72</v>
      </c>
      <c r="B1910" s="4" t="s">
        <v>32405</v>
      </c>
      <c r="C1910" s="4"/>
      <c r="D1910" s="4"/>
      <c r="E1910" s="4"/>
      <c r="F1910" s="4" t="s">
        <v>32406</v>
      </c>
      <c r="G1910" s="4"/>
      <c r="H1910" s="4"/>
      <c r="I1910" s="4" t="s">
        <v>32407</v>
      </c>
      <c r="J1910" s="4" t="s">
        <v>32408</v>
      </c>
      <c r="K1910" s="4"/>
      <c r="L1910" s="4"/>
      <c r="M1910" s="4" t="s">
        <v>77</v>
      </c>
      <c r="N1910" s="4" t="s">
        <v>78</v>
      </c>
      <c r="O1910" s="4"/>
      <c r="P1910" s="4"/>
      <c r="Q1910" s="4"/>
      <c r="R1910" s="4"/>
      <c r="S1910" s="4"/>
      <c r="T1910" s="1" t="s">
        <v>32409</v>
      </c>
      <c r="U1910" s="4"/>
      <c r="V1910" s="4" t="s">
        <v>32410</v>
      </c>
      <c r="W1910" s="4" t="s">
        <v>32411</v>
      </c>
      <c r="X1910" s="4" t="s">
        <v>32412</v>
      </c>
      <c r="Y1910" s="4" t="s">
        <v>32413</v>
      </c>
      <c r="Z1910" s="4" t="s">
        <v>32414</v>
      </c>
      <c r="AA1910" s="4"/>
      <c r="AB1910" s="4"/>
      <c r="AC1910" s="4"/>
      <c r="AD1910" s="4"/>
      <c r="AE1910" s="4"/>
      <c r="AF1910" s="4"/>
      <c r="AG1910" s="4" t="n">
        <v>22</v>
      </c>
      <c r="AH1910" s="4" t="n">
        <v>8</v>
      </c>
      <c r="AI1910" s="4" t="n">
        <v>10</v>
      </c>
      <c r="AJ1910" s="4" t="n">
        <v>0</v>
      </c>
      <c r="AK1910" s="4" t="n">
        <v>0</v>
      </c>
      <c r="AL1910" s="4" t="s">
        <v>2788</v>
      </c>
      <c r="AM1910" s="4" t="s">
        <v>2789</v>
      </c>
      <c r="AN1910" s="4" t="s">
        <v>2790</v>
      </c>
      <c r="AO1910" s="4" t="s">
        <v>32415</v>
      </c>
      <c r="AP1910" s="4" t="s">
        <v>32416</v>
      </c>
      <c r="AQ1910" s="4"/>
      <c r="AR1910" s="4" t="s">
        <v>32417</v>
      </c>
      <c r="AS1910" s="4" t="s">
        <v>32418</v>
      </c>
      <c r="AT1910" s="4" t="s">
        <v>336</v>
      </c>
      <c r="AU1910" s="4" t="n">
        <v>2005</v>
      </c>
      <c r="AV1910" s="4" t="n">
        <v>118</v>
      </c>
      <c r="AW1910" s="4" t="n">
        <v>4</v>
      </c>
      <c r="AX1910" s="4"/>
      <c r="AY1910" s="4"/>
      <c r="AZ1910" s="4"/>
      <c r="BA1910" s="4"/>
      <c r="BB1910" s="4" t="n">
        <v>18</v>
      </c>
      <c r="BC1910" s="4" t="s">
        <v>986</v>
      </c>
      <c r="BD1910" s="4"/>
      <c r="BE1910" s="4" t="s">
        <v>32419</v>
      </c>
      <c r="BF1910" s="4" t="str">
        <f aca="false">HYPERLINK("http://dx.doi.org/10.3810/pgm.2005.10.1697","http://dx.doi.org/10.3810/pgm.2005.10.1697")</f>
        <v>http://dx.doi.org/10.3810/pgm.2005.10.1697</v>
      </c>
      <c r="BG1910" s="4"/>
      <c r="BH1910" s="4"/>
      <c r="BI1910" s="4" t="n">
        <v>7</v>
      </c>
      <c r="BJ1910" s="4" t="s">
        <v>363</v>
      </c>
      <c r="BK1910" s="4" t="s">
        <v>100</v>
      </c>
      <c r="BL1910" s="4" t="s">
        <v>364</v>
      </c>
      <c r="BM1910" s="4" t="s">
        <v>32420</v>
      </c>
      <c r="BN1910" s="4" t="n">
        <v>16296261</v>
      </c>
      <c r="BO1910" s="4"/>
      <c r="BP1910" s="4"/>
      <c r="BQ1910" s="4"/>
      <c r="BR1910" s="4" t="s">
        <v>104</v>
      </c>
      <c r="BS1910" s="4" t="s">
        <v>32421</v>
      </c>
      <c r="BT1910" s="4" t="str">
        <f aca="false">HYPERLINK("https%3A%2F%2Fwww.webofscience.com%2Fwos%2Fwoscc%2Ffull-record%2FWOS:000202983700007","View Full Record in Web of Science")</f>
        <v>View Full Record in Web of Science</v>
      </c>
    </row>
    <row r="1911" s="5" customFormat="true" ht="12.75" hidden="false" customHeight="false" outlineLevel="0" collapsed="false">
      <c r="A1911" s="4" t="s">
        <v>72</v>
      </c>
      <c r="B1911" s="4" t="s">
        <v>31167</v>
      </c>
      <c r="C1911" s="4"/>
      <c r="D1911" s="4"/>
      <c r="E1911" s="4"/>
      <c r="F1911" s="4" t="s">
        <v>31168</v>
      </c>
      <c r="G1911" s="4"/>
      <c r="H1911" s="4"/>
      <c r="I1911" s="4" t="s">
        <v>9475</v>
      </c>
      <c r="J1911" s="4" t="s">
        <v>32422</v>
      </c>
      <c r="K1911" s="4"/>
      <c r="L1911" s="4"/>
      <c r="M1911" s="4" t="s">
        <v>77</v>
      </c>
      <c r="N1911" s="4" t="s">
        <v>78</v>
      </c>
      <c r="O1911" s="4"/>
      <c r="P1911" s="4"/>
      <c r="Q1911" s="4"/>
      <c r="R1911" s="4"/>
      <c r="S1911" s="4"/>
      <c r="T1911" s="1" t="s">
        <v>32423</v>
      </c>
      <c r="U1911" s="4"/>
      <c r="V1911" s="4" t="s">
        <v>32424</v>
      </c>
      <c r="W1911" s="4" t="s">
        <v>32425</v>
      </c>
      <c r="X1911" s="4" t="s">
        <v>32426</v>
      </c>
      <c r="Y1911" s="4" t="s">
        <v>32427</v>
      </c>
      <c r="Z1911" s="4"/>
      <c r="AA1911" s="4" t="s">
        <v>4709</v>
      </c>
      <c r="AB1911" s="4"/>
      <c r="AC1911" s="4" t="s">
        <v>31175</v>
      </c>
      <c r="AD1911" s="4" t="s">
        <v>2416</v>
      </c>
      <c r="AE1911" s="4"/>
      <c r="AF1911" s="4"/>
      <c r="AG1911" s="4" t="n">
        <v>11</v>
      </c>
      <c r="AH1911" s="4" t="n">
        <v>25</v>
      </c>
      <c r="AI1911" s="4" t="n">
        <v>33</v>
      </c>
      <c r="AJ1911" s="4" t="n">
        <v>2</v>
      </c>
      <c r="AK1911" s="4" t="n">
        <v>5</v>
      </c>
      <c r="AL1911" s="4" t="s">
        <v>7073</v>
      </c>
      <c r="AM1911" s="4" t="s">
        <v>7074</v>
      </c>
      <c r="AN1911" s="4" t="s">
        <v>7075</v>
      </c>
      <c r="AO1911" s="4" t="s">
        <v>32428</v>
      </c>
      <c r="AP1911" s="4" t="s">
        <v>32429</v>
      </c>
      <c r="AQ1911" s="4"/>
      <c r="AR1911" s="4" t="s">
        <v>32430</v>
      </c>
      <c r="AS1911" s="4" t="s">
        <v>32431</v>
      </c>
      <c r="AT1911" s="4" t="s">
        <v>446</v>
      </c>
      <c r="AU1911" s="4" t="n">
        <v>2013</v>
      </c>
      <c r="AV1911" s="4" t="n">
        <v>34</v>
      </c>
      <c r="AW1911" s="4" t="n">
        <v>12</v>
      </c>
      <c r="AX1911" s="4"/>
      <c r="AY1911" s="4"/>
      <c r="AZ1911" s="4"/>
      <c r="BA1911" s="4"/>
      <c r="BB1911" s="4" t="n">
        <v>558</v>
      </c>
      <c r="BC1911" s="4" t="n">
        <v>565</v>
      </c>
      <c r="BD1911" s="4"/>
      <c r="BE1911" s="4" t="s">
        <v>32432</v>
      </c>
      <c r="BF1911" s="4" t="str">
        <f aca="false">HYPERLINK("http://dx.doi.org/10.1542/pir.34-12-558","http://dx.doi.org/10.1542/pir.34-12-558")</f>
        <v>http://dx.doi.org/10.1542/pir.34-12-558</v>
      </c>
      <c r="BG1911" s="4"/>
      <c r="BH1911" s="4"/>
      <c r="BI1911" s="4" t="n">
        <v>8</v>
      </c>
      <c r="BJ1911" s="4" t="s">
        <v>601</v>
      </c>
      <c r="BK1911" s="4" t="s">
        <v>339</v>
      </c>
      <c r="BL1911" s="4" t="s">
        <v>601</v>
      </c>
      <c r="BM1911" s="4" t="s">
        <v>32433</v>
      </c>
      <c r="BN1911" s="4" t="n">
        <v>24295817</v>
      </c>
      <c r="BO1911" s="4" t="s">
        <v>165</v>
      </c>
      <c r="BP1911" s="4"/>
      <c r="BQ1911" s="4"/>
      <c r="BR1911" s="4" t="s">
        <v>104</v>
      </c>
      <c r="BS1911" s="4" t="s">
        <v>32434</v>
      </c>
      <c r="BT1911" s="4" t="str">
        <f aca="false">HYPERLINK("https%3A%2F%2Fwww.webofscience.com%2Fwos%2Fwoscc%2Ffull-record%2FWOS:000421121100003","View Full Record in Web of Science")</f>
        <v>View Full Record in Web of Science</v>
      </c>
    </row>
    <row r="1912" s="5" customFormat="true" ht="12.75" hidden="false" customHeight="false" outlineLevel="0" collapsed="false">
      <c r="A1912" s="4" t="s">
        <v>72</v>
      </c>
      <c r="B1912" s="4" t="s">
        <v>32435</v>
      </c>
      <c r="C1912" s="4"/>
      <c r="D1912" s="4"/>
      <c r="E1912" s="4"/>
      <c r="F1912" s="4" t="s">
        <v>32436</v>
      </c>
      <c r="G1912" s="4"/>
      <c r="H1912" s="4"/>
      <c r="I1912" s="4" t="s">
        <v>32437</v>
      </c>
      <c r="J1912" s="4" t="s">
        <v>7145</v>
      </c>
      <c r="K1912" s="4"/>
      <c r="L1912" s="4"/>
      <c r="M1912" s="4" t="s">
        <v>77</v>
      </c>
      <c r="N1912" s="4" t="s">
        <v>78</v>
      </c>
      <c r="O1912" s="4"/>
      <c r="P1912" s="4"/>
      <c r="Q1912" s="4"/>
      <c r="R1912" s="4"/>
      <c r="S1912" s="4"/>
      <c r="T1912" s="1" t="s">
        <v>32438</v>
      </c>
      <c r="U1912" s="4" t="s">
        <v>32439</v>
      </c>
      <c r="V1912" s="4" t="s">
        <v>32440</v>
      </c>
      <c r="W1912" s="4" t="s">
        <v>32441</v>
      </c>
      <c r="X1912" s="4" t="s">
        <v>32442</v>
      </c>
      <c r="Y1912" s="4" t="s">
        <v>32443</v>
      </c>
      <c r="Z1912" s="4" t="s">
        <v>9464</v>
      </c>
      <c r="AA1912" s="4" t="s">
        <v>32444</v>
      </c>
      <c r="AB1912" s="4"/>
      <c r="AC1912" s="4" t="s">
        <v>32445</v>
      </c>
      <c r="AD1912" s="4" t="s">
        <v>32446</v>
      </c>
      <c r="AE1912" s="4" t="s">
        <v>32447</v>
      </c>
      <c r="AF1912" s="4"/>
      <c r="AG1912" s="4" t="n">
        <v>22</v>
      </c>
      <c r="AH1912" s="4" t="n">
        <v>12</v>
      </c>
      <c r="AI1912" s="4" t="n">
        <v>16</v>
      </c>
      <c r="AJ1912" s="4" t="n">
        <v>1</v>
      </c>
      <c r="AK1912" s="4" t="n">
        <v>13</v>
      </c>
      <c r="AL1912" s="4" t="s">
        <v>28431</v>
      </c>
      <c r="AM1912" s="4" t="s">
        <v>28432</v>
      </c>
      <c r="AN1912" s="4" t="s">
        <v>28433</v>
      </c>
      <c r="AO1912" s="4" t="s">
        <v>7158</v>
      </c>
      <c r="AP1912" s="4"/>
      <c r="AQ1912" s="4"/>
      <c r="AR1912" s="4" t="s">
        <v>7160</v>
      </c>
      <c r="AS1912" s="4" t="s">
        <v>7161</v>
      </c>
      <c r="AT1912" s="4" t="s">
        <v>599</v>
      </c>
      <c r="AU1912" s="4" t="n">
        <v>2011</v>
      </c>
      <c r="AV1912" s="4" t="n">
        <v>92</v>
      </c>
      <c r="AW1912" s="4"/>
      <c r="AX1912" s="4" t="n">
        <v>7</v>
      </c>
      <c r="AY1912" s="4"/>
      <c r="AZ1912" s="4"/>
      <c r="BA1912" s="4"/>
      <c r="BB1912" s="4" t="n">
        <v>1666</v>
      </c>
      <c r="BC1912" s="4" t="n">
        <v>1675</v>
      </c>
      <c r="BD1912" s="4"/>
      <c r="BE1912" s="4" t="s">
        <v>32448</v>
      </c>
      <c r="BF1912" s="4" t="str">
        <f aca="false">HYPERLINK("http://dx.doi.org/10.1099/vir.0.030049-0","http://dx.doi.org/10.1099/vir.0.030049-0")</f>
        <v>http://dx.doi.org/10.1099/vir.0.030049-0</v>
      </c>
      <c r="BG1912" s="4"/>
      <c r="BH1912" s="4"/>
      <c r="BI1912" s="4" t="n">
        <v>10</v>
      </c>
      <c r="BJ1912" s="4" t="s">
        <v>7163</v>
      </c>
      <c r="BK1912" s="4" t="s">
        <v>100</v>
      </c>
      <c r="BL1912" s="4" t="s">
        <v>7163</v>
      </c>
      <c r="BM1912" s="4" t="s">
        <v>29816</v>
      </c>
      <c r="BN1912" s="4" t="n">
        <v>21450943</v>
      </c>
      <c r="BO1912" s="4" t="s">
        <v>656</v>
      </c>
      <c r="BP1912" s="4"/>
      <c r="BQ1912" s="4"/>
      <c r="BR1912" s="4" t="s">
        <v>104</v>
      </c>
      <c r="BS1912" s="4" t="s">
        <v>32449</v>
      </c>
      <c r="BT1912" s="4" t="str">
        <f aca="false">HYPERLINK("https%3A%2F%2Fwww.webofscience.com%2Fwos%2Fwoscc%2Ffull-record%2FWOS:000292578600020","View Full Record in Web of Science")</f>
        <v>View Full Record in Web of Science</v>
      </c>
    </row>
    <row r="1913" s="5" customFormat="true" ht="12.75" hidden="false" customHeight="false" outlineLevel="0" collapsed="false">
      <c r="A1913" s="4" t="s">
        <v>72</v>
      </c>
      <c r="B1913" s="4" t="s">
        <v>32450</v>
      </c>
      <c r="C1913" s="4"/>
      <c r="D1913" s="4"/>
      <c r="E1913" s="4"/>
      <c r="F1913" s="4" t="s">
        <v>32451</v>
      </c>
      <c r="G1913" s="4"/>
      <c r="H1913" s="4"/>
      <c r="I1913" s="4" t="s">
        <v>32452</v>
      </c>
      <c r="J1913" s="4" t="s">
        <v>742</v>
      </c>
      <c r="K1913" s="4"/>
      <c r="L1913" s="4"/>
      <c r="M1913" s="4" t="s">
        <v>77</v>
      </c>
      <c r="N1913" s="4" t="s">
        <v>78</v>
      </c>
      <c r="O1913" s="4"/>
      <c r="P1913" s="4"/>
      <c r="Q1913" s="4"/>
      <c r="R1913" s="4"/>
      <c r="S1913" s="4"/>
      <c r="T1913" s="1" t="s">
        <v>32453</v>
      </c>
      <c r="U1913" s="4" t="s">
        <v>32454</v>
      </c>
      <c r="V1913" s="4" t="s">
        <v>32455</v>
      </c>
      <c r="W1913" s="4" t="s">
        <v>32456</v>
      </c>
      <c r="X1913" s="4" t="s">
        <v>15798</v>
      </c>
      <c r="Y1913" s="4" t="s">
        <v>1365</v>
      </c>
      <c r="Z1913" s="4" t="s">
        <v>1366</v>
      </c>
      <c r="AA1913" s="4" t="s">
        <v>15800</v>
      </c>
      <c r="AB1913" s="4"/>
      <c r="AC1913" s="4" t="s">
        <v>32457</v>
      </c>
      <c r="AD1913" s="4" t="s">
        <v>32458</v>
      </c>
      <c r="AE1913" s="4" t="s">
        <v>32459</v>
      </c>
      <c r="AF1913" s="4"/>
      <c r="AG1913" s="4" t="n">
        <v>65</v>
      </c>
      <c r="AH1913" s="4" t="n">
        <v>28</v>
      </c>
      <c r="AI1913" s="4" t="n">
        <v>36</v>
      </c>
      <c r="AJ1913" s="4" t="n">
        <v>0</v>
      </c>
      <c r="AK1913" s="4" t="n">
        <v>9</v>
      </c>
      <c r="AL1913" s="4" t="s">
        <v>755</v>
      </c>
      <c r="AM1913" s="4" t="s">
        <v>273</v>
      </c>
      <c r="AN1913" s="4" t="s">
        <v>756</v>
      </c>
      <c r="AO1913" s="4" t="s">
        <v>757</v>
      </c>
      <c r="AP1913" s="4" t="s">
        <v>758</v>
      </c>
      <c r="AQ1913" s="4"/>
      <c r="AR1913" s="4" t="s">
        <v>759</v>
      </c>
      <c r="AS1913" s="4" t="s">
        <v>760</v>
      </c>
      <c r="AT1913" s="4" t="s">
        <v>336</v>
      </c>
      <c r="AU1913" s="4" t="n">
        <v>2014</v>
      </c>
      <c r="AV1913" s="4" t="n">
        <v>88</v>
      </c>
      <c r="AW1913" s="4" t="n">
        <v>19</v>
      </c>
      <c r="AX1913" s="4"/>
      <c r="AY1913" s="4"/>
      <c r="AZ1913" s="4"/>
      <c r="BA1913" s="4"/>
      <c r="BB1913" s="4" t="n">
        <v>11411</v>
      </c>
      <c r="BC1913" s="4" t="n">
        <v>11429</v>
      </c>
      <c r="BD1913" s="4"/>
      <c r="BE1913" s="4" t="s">
        <v>32460</v>
      </c>
      <c r="BF1913" s="4" t="str">
        <f aca="false">HYPERLINK("http://dx.doi.org/10.1128/JVI.00876-14","http://dx.doi.org/10.1128/JVI.00876-14")</f>
        <v>http://dx.doi.org/10.1128/JVI.00876-14</v>
      </c>
      <c r="BG1913" s="4"/>
      <c r="BH1913" s="4"/>
      <c r="BI1913" s="4" t="n">
        <v>19</v>
      </c>
      <c r="BJ1913" s="4" t="s">
        <v>163</v>
      </c>
      <c r="BK1913" s="4" t="s">
        <v>100</v>
      </c>
      <c r="BL1913" s="4" t="s">
        <v>163</v>
      </c>
      <c r="BM1913" s="4" t="s">
        <v>32461</v>
      </c>
      <c r="BN1913" s="4" t="n">
        <v>25056882</v>
      </c>
      <c r="BO1913" s="4" t="s">
        <v>538</v>
      </c>
      <c r="BP1913" s="4"/>
      <c r="BQ1913" s="4"/>
      <c r="BR1913" s="4" t="s">
        <v>104</v>
      </c>
      <c r="BS1913" s="4" t="s">
        <v>32462</v>
      </c>
      <c r="BT1913" s="4" t="str">
        <f aca="false">HYPERLINK("https%3A%2F%2Fwww.webofscience.com%2Fwos%2Fwoscc%2Ffull-record%2FWOS:000341872700035","View Full Record in Web of Science")</f>
        <v>View Full Record in Web of Science</v>
      </c>
    </row>
    <row r="1914" s="5" customFormat="true" ht="12.75" hidden="false" customHeight="false" outlineLevel="0" collapsed="false">
      <c r="A1914" s="4" t="s">
        <v>72</v>
      </c>
      <c r="B1914" s="4" t="s">
        <v>32463</v>
      </c>
      <c r="C1914" s="4"/>
      <c r="D1914" s="4"/>
      <c r="E1914" s="4"/>
      <c r="F1914" s="4" t="s">
        <v>32464</v>
      </c>
      <c r="G1914" s="4"/>
      <c r="H1914" s="4"/>
      <c r="I1914" s="4" t="s">
        <v>32465</v>
      </c>
      <c r="J1914" s="4" t="s">
        <v>742</v>
      </c>
      <c r="K1914" s="4"/>
      <c r="L1914" s="4"/>
      <c r="M1914" s="4" t="s">
        <v>77</v>
      </c>
      <c r="N1914" s="4" t="s">
        <v>78</v>
      </c>
      <c r="O1914" s="4"/>
      <c r="P1914" s="4"/>
      <c r="Q1914" s="4"/>
      <c r="R1914" s="4"/>
      <c r="S1914" s="4"/>
      <c r="T1914" s="1" t="s">
        <v>32466</v>
      </c>
      <c r="U1914" s="4" t="s">
        <v>32467</v>
      </c>
      <c r="V1914" s="4" t="s">
        <v>32468</v>
      </c>
      <c r="W1914" s="4" t="s">
        <v>32469</v>
      </c>
      <c r="X1914" s="4" t="s">
        <v>32470</v>
      </c>
      <c r="Y1914" s="4" t="s">
        <v>32471</v>
      </c>
      <c r="Z1914" s="4" t="s">
        <v>24394</v>
      </c>
      <c r="AA1914" s="4" t="s">
        <v>5583</v>
      </c>
      <c r="AB1914" s="4"/>
      <c r="AC1914" s="4" t="s">
        <v>13915</v>
      </c>
      <c r="AD1914" s="4" t="s">
        <v>9549</v>
      </c>
      <c r="AE1914" s="4"/>
      <c r="AF1914" s="4"/>
      <c r="AG1914" s="4" t="n">
        <v>42</v>
      </c>
      <c r="AH1914" s="4" t="n">
        <v>27</v>
      </c>
      <c r="AI1914" s="4" t="n">
        <v>31</v>
      </c>
      <c r="AJ1914" s="4" t="n">
        <v>0</v>
      </c>
      <c r="AK1914" s="4" t="n">
        <v>1</v>
      </c>
      <c r="AL1914" s="4" t="s">
        <v>755</v>
      </c>
      <c r="AM1914" s="4" t="s">
        <v>273</v>
      </c>
      <c r="AN1914" s="4" t="s">
        <v>756</v>
      </c>
      <c r="AO1914" s="4" t="s">
        <v>757</v>
      </c>
      <c r="AP1914" s="4" t="s">
        <v>758</v>
      </c>
      <c r="AQ1914" s="4"/>
      <c r="AR1914" s="4" t="s">
        <v>759</v>
      </c>
      <c r="AS1914" s="4" t="s">
        <v>760</v>
      </c>
      <c r="AT1914" s="4" t="s">
        <v>486</v>
      </c>
      <c r="AU1914" s="4" t="n">
        <v>2006</v>
      </c>
      <c r="AV1914" s="4" t="n">
        <v>80</v>
      </c>
      <c r="AW1914" s="4" t="n">
        <v>12</v>
      </c>
      <c r="AX1914" s="4"/>
      <c r="AY1914" s="4"/>
      <c r="AZ1914" s="4"/>
      <c r="BA1914" s="4"/>
      <c r="BB1914" s="4" t="n">
        <v>5790</v>
      </c>
      <c r="BC1914" s="4" t="n">
        <v>5797</v>
      </c>
      <c r="BD1914" s="4"/>
      <c r="BE1914" s="4" t="s">
        <v>32472</v>
      </c>
      <c r="BF1914" s="4" t="str">
        <f aca="false">HYPERLINK("http://dx.doi.org/10.1128/JVI.00138-06","http://dx.doi.org/10.1128/JVI.00138-06")</f>
        <v>http://dx.doi.org/10.1128/JVI.00138-06</v>
      </c>
      <c r="BG1914" s="4"/>
      <c r="BH1914" s="4"/>
      <c r="BI1914" s="4" t="n">
        <v>8</v>
      </c>
      <c r="BJ1914" s="4" t="s">
        <v>163</v>
      </c>
      <c r="BK1914" s="4" t="s">
        <v>100</v>
      </c>
      <c r="BL1914" s="4" t="s">
        <v>163</v>
      </c>
      <c r="BM1914" s="4" t="s">
        <v>31983</v>
      </c>
      <c r="BN1914" s="4" t="n">
        <v>16731918</v>
      </c>
      <c r="BO1914" s="4" t="s">
        <v>165</v>
      </c>
      <c r="BP1914" s="4"/>
      <c r="BQ1914" s="4"/>
      <c r="BR1914" s="4" t="s">
        <v>104</v>
      </c>
      <c r="BS1914" s="4" t="s">
        <v>32473</v>
      </c>
      <c r="BT1914" s="4" t="str">
        <f aca="false">HYPERLINK("https%3A%2F%2Fwww.webofscience.com%2Fwos%2Fwoscc%2Ffull-record%2FWOS:000238103900015","View Full Record in Web of Science")</f>
        <v>View Full Record in Web of Science</v>
      </c>
    </row>
    <row r="1915" s="5" customFormat="true" ht="12.75" hidden="false" customHeight="false" outlineLevel="0" collapsed="false">
      <c r="A1915" s="4" t="s">
        <v>72</v>
      </c>
      <c r="B1915" s="4" t="s">
        <v>32474</v>
      </c>
      <c r="C1915" s="4"/>
      <c r="D1915" s="4"/>
      <c r="E1915" s="4"/>
      <c r="F1915" s="4" t="s">
        <v>32475</v>
      </c>
      <c r="G1915" s="4"/>
      <c r="H1915" s="4"/>
      <c r="I1915" s="4" t="s">
        <v>32476</v>
      </c>
      <c r="J1915" s="4" t="s">
        <v>27497</v>
      </c>
      <c r="K1915" s="4"/>
      <c r="L1915" s="4"/>
      <c r="M1915" s="4" t="s">
        <v>77</v>
      </c>
      <c r="N1915" s="4" t="s">
        <v>78</v>
      </c>
      <c r="O1915" s="4"/>
      <c r="P1915" s="4"/>
      <c r="Q1915" s="4"/>
      <c r="R1915" s="4"/>
      <c r="S1915" s="4"/>
      <c r="T1915" s="1" t="s">
        <v>32477</v>
      </c>
      <c r="U1915" s="4" t="s">
        <v>32478</v>
      </c>
      <c r="V1915" s="4" t="s">
        <v>32479</v>
      </c>
      <c r="W1915" s="4" t="s">
        <v>32480</v>
      </c>
      <c r="X1915" s="4" t="s">
        <v>32481</v>
      </c>
      <c r="Y1915" s="4" t="s">
        <v>32482</v>
      </c>
      <c r="Z1915" s="4" t="s">
        <v>32483</v>
      </c>
      <c r="AA1915" s="4" t="s">
        <v>32484</v>
      </c>
      <c r="AB1915" s="4" t="s">
        <v>32485</v>
      </c>
      <c r="AC1915" s="4" t="s">
        <v>32486</v>
      </c>
      <c r="AD1915" s="4" t="s">
        <v>32486</v>
      </c>
      <c r="AE1915" s="4" t="s">
        <v>32487</v>
      </c>
      <c r="AF1915" s="4"/>
      <c r="AG1915" s="4" t="n">
        <v>26</v>
      </c>
      <c r="AH1915" s="4" t="n">
        <v>8</v>
      </c>
      <c r="AI1915" s="4" t="n">
        <v>8</v>
      </c>
      <c r="AJ1915" s="4" t="n">
        <v>0</v>
      </c>
      <c r="AK1915" s="4" t="n">
        <v>1</v>
      </c>
      <c r="AL1915" s="4" t="s">
        <v>27506</v>
      </c>
      <c r="AM1915" s="4" t="s">
        <v>27507</v>
      </c>
      <c r="AN1915" s="4" t="s">
        <v>27508</v>
      </c>
      <c r="AO1915" s="4" t="s">
        <v>27509</v>
      </c>
      <c r="AP1915" s="4"/>
      <c r="AQ1915" s="4"/>
      <c r="AR1915" s="4" t="s">
        <v>27497</v>
      </c>
      <c r="AS1915" s="4" t="s">
        <v>27510</v>
      </c>
      <c r="AT1915" s="4" t="s">
        <v>32488</v>
      </c>
      <c r="AU1915" s="4" t="n">
        <v>2019</v>
      </c>
      <c r="AV1915" s="4" t="n">
        <v>14</v>
      </c>
      <c r="AW1915" s="4" t="n">
        <v>12</v>
      </c>
      <c r="AX1915" s="4"/>
      <c r="AY1915" s="4"/>
      <c r="AZ1915" s="4"/>
      <c r="BA1915" s="4"/>
      <c r="BB1915" s="4"/>
      <c r="BC1915" s="4"/>
      <c r="BD1915" s="4" t="s">
        <v>32489</v>
      </c>
      <c r="BE1915" s="4" t="s">
        <v>32490</v>
      </c>
      <c r="BF1915" s="4" t="str">
        <f aca="false">HYPERLINK("http://dx.doi.org/10.1371/journal.pone.0226403","http://dx.doi.org/10.1371/journal.pone.0226403")</f>
        <v>http://dx.doi.org/10.1371/journal.pone.0226403</v>
      </c>
      <c r="BG1915" s="4"/>
      <c r="BH1915" s="4"/>
      <c r="BI1915" s="4" t="n">
        <v>12</v>
      </c>
      <c r="BJ1915" s="4" t="s">
        <v>1658</v>
      </c>
      <c r="BK1915" s="4" t="s">
        <v>100</v>
      </c>
      <c r="BL1915" s="4" t="s">
        <v>1659</v>
      </c>
      <c r="BM1915" s="4" t="s">
        <v>32491</v>
      </c>
      <c r="BN1915" s="4" t="n">
        <v>31881030</v>
      </c>
      <c r="BO1915" s="4" t="s">
        <v>190</v>
      </c>
      <c r="BP1915" s="4"/>
      <c r="BQ1915" s="4"/>
      <c r="BR1915" s="4" t="s">
        <v>104</v>
      </c>
      <c r="BS1915" s="4" t="s">
        <v>32492</v>
      </c>
      <c r="BT1915" s="4" t="str">
        <f aca="false">HYPERLINK("https%3A%2F%2Fwww.webofscience.com%2Fwos%2Fwoscc%2Ffull-record%2FWOS:000515089200019","View Full Record in Web of Science")</f>
        <v>View Full Record in Web of Science</v>
      </c>
    </row>
    <row r="1916" s="5" customFormat="true" ht="12.75" hidden="false" customHeight="false" outlineLevel="0" collapsed="false">
      <c r="A1916" s="4" t="s">
        <v>72</v>
      </c>
      <c r="B1916" s="4" t="s">
        <v>32493</v>
      </c>
      <c r="C1916" s="4"/>
      <c r="D1916" s="4"/>
      <c r="E1916" s="4"/>
      <c r="F1916" s="4" t="s">
        <v>32494</v>
      </c>
      <c r="G1916" s="4"/>
      <c r="H1916" s="4"/>
      <c r="I1916" s="4" t="s">
        <v>32495</v>
      </c>
      <c r="J1916" s="4" t="s">
        <v>32496</v>
      </c>
      <c r="K1916" s="4"/>
      <c r="L1916" s="4"/>
      <c r="M1916" s="4" t="s">
        <v>77</v>
      </c>
      <c r="N1916" s="4" t="s">
        <v>78</v>
      </c>
      <c r="O1916" s="4"/>
      <c r="P1916" s="4"/>
      <c r="Q1916" s="4"/>
      <c r="R1916" s="4"/>
      <c r="S1916" s="4"/>
      <c r="T1916" s="1" t="s">
        <v>32497</v>
      </c>
      <c r="U1916" s="4"/>
      <c r="V1916" s="4" t="s">
        <v>32498</v>
      </c>
      <c r="W1916" s="4" t="s">
        <v>32499</v>
      </c>
      <c r="X1916" s="4" t="s">
        <v>32500</v>
      </c>
      <c r="Y1916" s="4" t="s">
        <v>32501</v>
      </c>
      <c r="Z1916" s="4" t="s">
        <v>27892</v>
      </c>
      <c r="AA1916" s="4"/>
      <c r="AB1916" s="4" t="s">
        <v>16218</v>
      </c>
      <c r="AC1916" s="4" t="s">
        <v>32502</v>
      </c>
      <c r="AD1916" s="4" t="s">
        <v>32502</v>
      </c>
      <c r="AE1916" s="4" t="s">
        <v>32503</v>
      </c>
      <c r="AF1916" s="4"/>
      <c r="AG1916" s="4" t="n">
        <v>15</v>
      </c>
      <c r="AH1916" s="4" t="n">
        <v>10</v>
      </c>
      <c r="AI1916" s="4" t="n">
        <v>11</v>
      </c>
      <c r="AJ1916" s="4" t="n">
        <v>0</v>
      </c>
      <c r="AK1916" s="4" t="n">
        <v>3</v>
      </c>
      <c r="AL1916" s="4" t="s">
        <v>30292</v>
      </c>
      <c r="AM1916" s="4" t="s">
        <v>303</v>
      </c>
      <c r="AN1916" s="4" t="s">
        <v>30293</v>
      </c>
      <c r="AO1916" s="4" t="s">
        <v>32504</v>
      </c>
      <c r="AP1916" s="4" t="s">
        <v>32505</v>
      </c>
      <c r="AQ1916" s="4"/>
      <c r="AR1916" s="4" t="s">
        <v>32506</v>
      </c>
      <c r="AS1916" s="4" t="s">
        <v>32507</v>
      </c>
      <c r="AT1916" s="4" t="s">
        <v>446</v>
      </c>
      <c r="AU1916" s="4" t="n">
        <v>2015</v>
      </c>
      <c r="AV1916" s="4" t="n">
        <v>24</v>
      </c>
      <c r="AW1916" s="4" t="s">
        <v>32508</v>
      </c>
      <c r="AX1916" s="4"/>
      <c r="AY1916" s="4"/>
      <c r="AZ1916" s="4"/>
      <c r="BA1916" s="4"/>
      <c r="BB1916" s="4" t="n">
        <v>161</v>
      </c>
      <c r="BC1916" s="4" t="n">
        <v>165</v>
      </c>
      <c r="BD1916" s="4"/>
      <c r="BE1916" s="4" t="s">
        <v>32509</v>
      </c>
      <c r="BF1916" s="4" t="str">
        <f aca="false">HYPERLINK("http://dx.doi.org/10.1177/2040206616665971","http://dx.doi.org/10.1177/2040206616665971")</f>
        <v>http://dx.doi.org/10.1177/2040206616665971</v>
      </c>
      <c r="BG1916" s="4"/>
      <c r="BH1916" s="4"/>
      <c r="BI1916" s="4" t="n">
        <v>5</v>
      </c>
      <c r="BJ1916" s="4" t="s">
        <v>32510</v>
      </c>
      <c r="BK1916" s="4" t="s">
        <v>100</v>
      </c>
      <c r="BL1916" s="4" t="s">
        <v>32510</v>
      </c>
      <c r="BM1916" s="4" t="s">
        <v>32511</v>
      </c>
      <c r="BN1916" s="4" t="n">
        <v>27620888</v>
      </c>
      <c r="BO1916" s="4" t="s">
        <v>1267</v>
      </c>
      <c r="BP1916" s="4"/>
      <c r="BQ1916" s="4"/>
      <c r="BR1916" s="4" t="s">
        <v>104</v>
      </c>
      <c r="BS1916" s="4" t="s">
        <v>32512</v>
      </c>
      <c r="BT1916" s="4" t="str">
        <f aca="false">HYPERLINK("https%3A%2F%2Fwww.webofscience.com%2Fwos%2Fwoscc%2Ffull-record%2FWOS:000209867500005","View Full Record in Web of Science")</f>
        <v>View Full Record in Web of Science</v>
      </c>
    </row>
    <row r="1917" s="5" customFormat="true" ht="12.75" hidden="false" customHeight="false" outlineLevel="0" collapsed="false">
      <c r="A1917" s="4" t="s">
        <v>72</v>
      </c>
      <c r="B1917" s="4" t="s">
        <v>32513</v>
      </c>
      <c r="C1917" s="4"/>
      <c r="D1917" s="4"/>
      <c r="E1917" s="4"/>
      <c r="F1917" s="4" t="s">
        <v>32514</v>
      </c>
      <c r="G1917" s="4"/>
      <c r="H1917" s="4"/>
      <c r="I1917" s="4" t="s">
        <v>32515</v>
      </c>
      <c r="J1917" s="4" t="s">
        <v>28943</v>
      </c>
      <c r="K1917" s="4"/>
      <c r="L1917" s="4"/>
      <c r="M1917" s="4" t="s">
        <v>77</v>
      </c>
      <c r="N1917" s="4" t="s">
        <v>78</v>
      </c>
      <c r="O1917" s="4"/>
      <c r="P1917" s="4"/>
      <c r="Q1917" s="4"/>
      <c r="R1917" s="4"/>
      <c r="S1917" s="4"/>
      <c r="T1917" s="1" t="s">
        <v>32516</v>
      </c>
      <c r="U1917" s="4" t="s">
        <v>32517</v>
      </c>
      <c r="V1917" s="4" t="s">
        <v>32518</v>
      </c>
      <c r="W1917" s="4" t="s">
        <v>32519</v>
      </c>
      <c r="X1917" s="4" t="s">
        <v>11429</v>
      </c>
      <c r="Y1917" s="4" t="s">
        <v>32520</v>
      </c>
      <c r="Z1917" s="4" t="s">
        <v>32521</v>
      </c>
      <c r="AA1917" s="4"/>
      <c r="AB1917" s="4"/>
      <c r="AC1917" s="4"/>
      <c r="AD1917" s="4"/>
      <c r="AE1917" s="4"/>
      <c r="AF1917" s="4"/>
      <c r="AG1917" s="4" t="n">
        <v>40</v>
      </c>
      <c r="AH1917" s="4" t="n">
        <v>7</v>
      </c>
      <c r="AI1917" s="4" t="n">
        <v>8</v>
      </c>
      <c r="AJ1917" s="4" t="n">
        <v>0</v>
      </c>
      <c r="AK1917" s="4" t="n">
        <v>2</v>
      </c>
      <c r="AL1917" s="4" t="s">
        <v>28952</v>
      </c>
      <c r="AM1917" s="4" t="s">
        <v>28953</v>
      </c>
      <c r="AN1917" s="4" t="s">
        <v>28954</v>
      </c>
      <c r="AO1917" s="4" t="s">
        <v>28955</v>
      </c>
      <c r="AP1917" s="4"/>
      <c r="AQ1917" s="4"/>
      <c r="AR1917" s="4" t="s">
        <v>28943</v>
      </c>
      <c r="AS1917" s="4" t="s">
        <v>28956</v>
      </c>
      <c r="AT1917" s="4" t="s">
        <v>28155</v>
      </c>
      <c r="AU1917" s="4" t="n">
        <v>2009</v>
      </c>
      <c r="AV1917" s="4" t="n">
        <v>14</v>
      </c>
      <c r="AW1917" s="4" t="n">
        <v>23</v>
      </c>
      <c r="AX1917" s="4"/>
      <c r="AY1917" s="4"/>
      <c r="AZ1917" s="4"/>
      <c r="BA1917" s="4"/>
      <c r="BB1917" s="4"/>
      <c r="BC1917" s="4"/>
      <c r="BD1917" s="4" t="n">
        <v>19233</v>
      </c>
      <c r="BE1917" s="4" t="s">
        <v>32522</v>
      </c>
      <c r="BF1917" s="4"/>
      <c r="BG1917" s="4"/>
      <c r="BH1917" s="4"/>
      <c r="BI1917" s="4" t="n">
        <v>5</v>
      </c>
      <c r="BJ1917" s="4" t="s">
        <v>575</v>
      </c>
      <c r="BK1917" s="4" t="s">
        <v>100</v>
      </c>
      <c r="BL1917" s="4" t="s">
        <v>575</v>
      </c>
      <c r="BM1917" s="4" t="s">
        <v>32523</v>
      </c>
      <c r="BN1917" s="4" t="n">
        <v>19531340</v>
      </c>
      <c r="BO1917" s="4"/>
      <c r="BP1917" s="4"/>
      <c r="BQ1917" s="4"/>
      <c r="BR1917" s="4" t="s">
        <v>104</v>
      </c>
      <c r="BS1917" s="4" t="s">
        <v>32524</v>
      </c>
      <c r="BT1917" s="4" t="str">
        <f aca="false">HYPERLINK("https%3A%2F%2Fwww.webofscience.com%2Fwos%2Fwoscc%2Ffull-record%2FWOS:000268018200004","View Full Record in Web of Science")</f>
        <v>View Full Record in Web of Science</v>
      </c>
    </row>
    <row r="1918" s="5" customFormat="true" ht="12.75" hidden="false" customHeight="false" outlineLevel="0" collapsed="false">
      <c r="A1918" s="4" t="s">
        <v>72</v>
      </c>
      <c r="B1918" s="4" t="s">
        <v>32525</v>
      </c>
      <c r="C1918" s="4"/>
      <c r="D1918" s="4"/>
      <c r="E1918" s="4"/>
      <c r="F1918" s="4" t="s">
        <v>32526</v>
      </c>
      <c r="G1918" s="4"/>
      <c r="H1918" s="4"/>
      <c r="I1918" s="4" t="s">
        <v>32527</v>
      </c>
      <c r="J1918" s="4" t="s">
        <v>27453</v>
      </c>
      <c r="K1918" s="4"/>
      <c r="L1918" s="4"/>
      <c r="M1918" s="4" t="s">
        <v>77</v>
      </c>
      <c r="N1918" s="4" t="s">
        <v>78</v>
      </c>
      <c r="O1918" s="4"/>
      <c r="P1918" s="4"/>
      <c r="Q1918" s="4"/>
      <c r="R1918" s="4"/>
      <c r="S1918" s="4"/>
      <c r="T1918" s="1" t="s">
        <v>32528</v>
      </c>
      <c r="U1918" s="4" t="s">
        <v>32529</v>
      </c>
      <c r="V1918" s="4" t="s">
        <v>32530</v>
      </c>
      <c r="W1918" s="4" t="s">
        <v>32531</v>
      </c>
      <c r="X1918" s="4" t="s">
        <v>32532</v>
      </c>
      <c r="Y1918" s="4" t="s">
        <v>16149</v>
      </c>
      <c r="Z1918" s="4" t="s">
        <v>16250</v>
      </c>
      <c r="AA1918" s="4" t="s">
        <v>16151</v>
      </c>
      <c r="AB1918" s="4"/>
      <c r="AC1918" s="4" t="s">
        <v>32533</v>
      </c>
      <c r="AD1918" s="4" t="s">
        <v>32534</v>
      </c>
      <c r="AE1918" s="4" t="s">
        <v>32535</v>
      </c>
      <c r="AF1918" s="4"/>
      <c r="AG1918" s="4" t="n">
        <v>30</v>
      </c>
      <c r="AH1918" s="4" t="n">
        <v>39</v>
      </c>
      <c r="AI1918" s="4" t="n">
        <v>40</v>
      </c>
      <c r="AJ1918" s="4" t="n">
        <v>0</v>
      </c>
      <c r="AK1918" s="4" t="n">
        <v>5</v>
      </c>
      <c r="AL1918" s="4" t="s">
        <v>27463</v>
      </c>
      <c r="AM1918" s="4" t="s">
        <v>16252</v>
      </c>
      <c r="AN1918" s="4" t="s">
        <v>27464</v>
      </c>
      <c r="AO1918" s="4" t="s">
        <v>27465</v>
      </c>
      <c r="AP1918" s="4" t="s">
        <v>27466</v>
      </c>
      <c r="AQ1918" s="4"/>
      <c r="AR1918" s="4" t="s">
        <v>27467</v>
      </c>
      <c r="AS1918" s="4" t="s">
        <v>27468</v>
      </c>
      <c r="AT1918" s="4" t="s">
        <v>804</v>
      </c>
      <c r="AU1918" s="4" t="n">
        <v>2014</v>
      </c>
      <c r="AV1918" s="4" t="n">
        <v>67</v>
      </c>
      <c r="AW1918" s="4" t="n">
        <v>6</v>
      </c>
      <c r="AX1918" s="4"/>
      <c r="AY1918" s="4"/>
      <c r="AZ1918" s="4"/>
      <c r="BA1918" s="4"/>
      <c r="BB1918" s="4" t="n">
        <v>469</v>
      </c>
      <c r="BC1918" s="4" t="n">
        <v>475</v>
      </c>
      <c r="BD1918" s="4"/>
      <c r="BE1918" s="4" t="s">
        <v>32536</v>
      </c>
      <c r="BF1918" s="4"/>
      <c r="BG1918" s="4"/>
      <c r="BH1918" s="4"/>
      <c r="BI1918" s="4" t="n">
        <v>7</v>
      </c>
      <c r="BJ1918" s="4" t="s">
        <v>575</v>
      </c>
      <c r="BK1918" s="4" t="s">
        <v>100</v>
      </c>
      <c r="BL1918" s="4" t="s">
        <v>575</v>
      </c>
      <c r="BM1918" s="4" t="s">
        <v>32537</v>
      </c>
      <c r="BN1918" s="4" t="n">
        <v>25410563</v>
      </c>
      <c r="BO1918" s="4" t="s">
        <v>656</v>
      </c>
      <c r="BP1918" s="4"/>
      <c r="BQ1918" s="4"/>
      <c r="BR1918" s="4" t="s">
        <v>104</v>
      </c>
      <c r="BS1918" s="4" t="s">
        <v>32538</v>
      </c>
      <c r="BT1918" s="4" t="str">
        <f aca="false">HYPERLINK("https%3A%2F%2Fwww.webofscience.com%2Fwos%2Fwoscc%2Ffull-record%2FWOS:000345948500010","View Full Record in Web of Science")</f>
        <v>View Full Record in Web of Science</v>
      </c>
    </row>
    <row r="1919" s="5" customFormat="true" ht="12.75" hidden="false" customHeight="false" outlineLevel="0" collapsed="false">
      <c r="A1919" s="4" t="s">
        <v>72</v>
      </c>
      <c r="B1919" s="4" t="s">
        <v>32539</v>
      </c>
      <c r="C1919" s="4"/>
      <c r="D1919" s="4"/>
      <c r="E1919" s="4"/>
      <c r="F1919" s="4" t="s">
        <v>32540</v>
      </c>
      <c r="G1919" s="4"/>
      <c r="H1919" s="4"/>
      <c r="I1919" s="4" t="s">
        <v>32541</v>
      </c>
      <c r="J1919" s="4" t="s">
        <v>27820</v>
      </c>
      <c r="K1919" s="4"/>
      <c r="L1919" s="4"/>
      <c r="M1919" s="4" t="s">
        <v>77</v>
      </c>
      <c r="N1919" s="4" t="s">
        <v>78</v>
      </c>
      <c r="O1919" s="4"/>
      <c r="P1919" s="4"/>
      <c r="Q1919" s="4"/>
      <c r="R1919" s="4"/>
      <c r="S1919" s="4"/>
      <c r="T1919" s="1" t="s">
        <v>32542</v>
      </c>
      <c r="U1919" s="4" t="s">
        <v>32543</v>
      </c>
      <c r="V1919" s="4" t="s">
        <v>32544</v>
      </c>
      <c r="W1919" s="4" t="s">
        <v>32545</v>
      </c>
      <c r="X1919" s="4" t="s">
        <v>32546</v>
      </c>
      <c r="Y1919" s="4" t="s">
        <v>32547</v>
      </c>
      <c r="Z1919" s="4" t="s">
        <v>1617</v>
      </c>
      <c r="AA1919" s="4" t="s">
        <v>32548</v>
      </c>
      <c r="AB1919" s="4" t="s">
        <v>32549</v>
      </c>
      <c r="AC1919" s="4" t="s">
        <v>32550</v>
      </c>
      <c r="AD1919" s="4" t="s">
        <v>32551</v>
      </c>
      <c r="AE1919" s="4"/>
      <c r="AF1919" s="4"/>
      <c r="AG1919" s="4" t="n">
        <v>46</v>
      </c>
      <c r="AH1919" s="4" t="n">
        <v>27</v>
      </c>
      <c r="AI1919" s="4" t="n">
        <v>32</v>
      </c>
      <c r="AJ1919" s="4" t="n">
        <v>0</v>
      </c>
      <c r="AK1919" s="4" t="n">
        <v>5</v>
      </c>
      <c r="AL1919" s="4" t="s">
        <v>27506</v>
      </c>
      <c r="AM1919" s="4" t="s">
        <v>27507</v>
      </c>
      <c r="AN1919" s="4" t="s">
        <v>27508</v>
      </c>
      <c r="AO1919" s="4" t="s">
        <v>27831</v>
      </c>
      <c r="AP1919" s="4" t="s">
        <v>27832</v>
      </c>
      <c r="AQ1919" s="4"/>
      <c r="AR1919" s="4" t="s">
        <v>27833</v>
      </c>
      <c r="AS1919" s="4" t="s">
        <v>27834</v>
      </c>
      <c r="AT1919" s="4" t="s">
        <v>1041</v>
      </c>
      <c r="AU1919" s="4" t="n">
        <v>2018</v>
      </c>
      <c r="AV1919" s="4" t="n">
        <v>14</v>
      </c>
      <c r="AW1919" s="4" t="n">
        <v>2</v>
      </c>
      <c r="AX1919" s="4"/>
      <c r="AY1919" s="4"/>
      <c r="AZ1919" s="4"/>
      <c r="BA1919" s="4"/>
      <c r="BB1919" s="4"/>
      <c r="BC1919" s="4"/>
      <c r="BD1919" s="4" t="s">
        <v>32552</v>
      </c>
      <c r="BE1919" s="4" t="s">
        <v>32553</v>
      </c>
      <c r="BF1919" s="4" t="str">
        <f aca="false">HYPERLINK("http://dx.doi.org/10.1371/journal.ppat.1006837","http://dx.doi.org/10.1371/journal.ppat.1006837")</f>
        <v>http://dx.doi.org/10.1371/journal.ppat.1006837</v>
      </c>
      <c r="BG1919" s="4"/>
      <c r="BH1919" s="4"/>
      <c r="BI1919" s="4" t="n">
        <v>19</v>
      </c>
      <c r="BJ1919" s="4" t="s">
        <v>27837</v>
      </c>
      <c r="BK1919" s="4" t="s">
        <v>100</v>
      </c>
      <c r="BL1919" s="4" t="s">
        <v>27837</v>
      </c>
      <c r="BM1919" s="4" t="s">
        <v>32554</v>
      </c>
      <c r="BN1919" s="4" t="n">
        <v>29470533</v>
      </c>
      <c r="BO1919" s="4" t="s">
        <v>2582</v>
      </c>
      <c r="BP1919" s="4"/>
      <c r="BQ1919" s="4"/>
      <c r="BR1919" s="4" t="s">
        <v>104</v>
      </c>
      <c r="BS1919" s="4" t="s">
        <v>32555</v>
      </c>
      <c r="BT1919" s="4" t="str">
        <f aca="false">HYPERLINK("https%3A%2F%2Fwww.webofscience.com%2Fwos%2Fwoscc%2Ffull-record%2FWOS:000426477000012","View Full Record in Web of Science")</f>
        <v>View Full Record in Web of Science</v>
      </c>
    </row>
    <row r="1920" s="5" customFormat="true" ht="12.75" hidden="false" customHeight="false" outlineLevel="0" collapsed="false">
      <c r="A1920" s="4" t="s">
        <v>72</v>
      </c>
      <c r="B1920" s="4" t="s">
        <v>32556</v>
      </c>
      <c r="C1920" s="4"/>
      <c r="D1920" s="4"/>
      <c r="E1920" s="4"/>
      <c r="F1920" s="4" t="s">
        <v>32557</v>
      </c>
      <c r="G1920" s="4"/>
      <c r="H1920" s="4"/>
      <c r="I1920" s="4" t="s">
        <v>32558</v>
      </c>
      <c r="J1920" s="4" t="s">
        <v>29275</v>
      </c>
      <c r="K1920" s="4"/>
      <c r="L1920" s="4"/>
      <c r="M1920" s="4" t="s">
        <v>77</v>
      </c>
      <c r="N1920" s="4" t="s">
        <v>78</v>
      </c>
      <c r="O1920" s="4"/>
      <c r="P1920" s="4"/>
      <c r="Q1920" s="4"/>
      <c r="R1920" s="4"/>
      <c r="S1920" s="4"/>
      <c r="T1920" s="1" t="s">
        <v>32559</v>
      </c>
      <c r="U1920" s="4" t="s">
        <v>796</v>
      </c>
      <c r="V1920" s="4" t="s">
        <v>32560</v>
      </c>
      <c r="W1920" s="4" t="s">
        <v>32561</v>
      </c>
      <c r="X1920" s="4" t="s">
        <v>16611</v>
      </c>
      <c r="Y1920" s="4" t="s">
        <v>32562</v>
      </c>
      <c r="Z1920" s="4" t="s">
        <v>32563</v>
      </c>
      <c r="AA1920" s="4" t="s">
        <v>32564</v>
      </c>
      <c r="AB1920" s="4" t="s">
        <v>32565</v>
      </c>
      <c r="AC1920" s="4" t="s">
        <v>32566</v>
      </c>
      <c r="AD1920" s="4" t="s">
        <v>32567</v>
      </c>
      <c r="AE1920" s="4" t="s">
        <v>32568</v>
      </c>
      <c r="AF1920" s="4"/>
      <c r="AG1920" s="4" t="n">
        <v>11</v>
      </c>
      <c r="AH1920" s="4" t="n">
        <v>1</v>
      </c>
      <c r="AI1920" s="4" t="n">
        <v>1</v>
      </c>
      <c r="AJ1920" s="4" t="n">
        <v>0</v>
      </c>
      <c r="AK1920" s="4" t="n">
        <v>1</v>
      </c>
      <c r="AL1920" s="4" t="s">
        <v>755</v>
      </c>
      <c r="AM1920" s="4" t="s">
        <v>273</v>
      </c>
      <c r="AN1920" s="4" t="s">
        <v>756</v>
      </c>
      <c r="AO1920" s="4"/>
      <c r="AP1920" s="4" t="s">
        <v>29286</v>
      </c>
      <c r="AQ1920" s="4"/>
      <c r="AR1920" s="4" t="s">
        <v>29275</v>
      </c>
      <c r="AS1920" s="4" t="s">
        <v>29287</v>
      </c>
      <c r="AT1920" s="4" t="s">
        <v>1041</v>
      </c>
      <c r="AU1920" s="4" t="n">
        <v>2018</v>
      </c>
      <c r="AV1920" s="4" t="n">
        <v>6</v>
      </c>
      <c r="AW1920" s="4" t="n">
        <v>6</v>
      </c>
      <c r="AX1920" s="4"/>
      <c r="AY1920" s="4"/>
      <c r="AZ1920" s="4"/>
      <c r="BA1920" s="4"/>
      <c r="BB1920" s="4"/>
      <c r="BC1920" s="4"/>
      <c r="BD1920" s="4" t="s">
        <v>32569</v>
      </c>
      <c r="BE1920" s="4" t="s">
        <v>32570</v>
      </c>
      <c r="BF1920" s="4" t="str">
        <f aca="false">HYPERLINK("http://dx.doi.org/10.1128/genomeA.01597-17","http://dx.doi.org/10.1128/genomeA.01597-17")</f>
        <v>http://dx.doi.org/10.1128/genomeA.01597-17</v>
      </c>
      <c r="BG1920" s="4"/>
      <c r="BH1920" s="4"/>
      <c r="BI1920" s="4" t="n">
        <v>2</v>
      </c>
      <c r="BJ1920" s="4" t="s">
        <v>211</v>
      </c>
      <c r="BK1920" s="4" t="s">
        <v>339</v>
      </c>
      <c r="BL1920" s="4" t="s">
        <v>211</v>
      </c>
      <c r="BM1920" s="4" t="s">
        <v>32571</v>
      </c>
      <c r="BN1920" s="4" t="n">
        <v>29439053</v>
      </c>
      <c r="BO1920" s="4" t="s">
        <v>103</v>
      </c>
      <c r="BP1920" s="4"/>
      <c r="BQ1920" s="4"/>
      <c r="BR1920" s="4" t="s">
        <v>104</v>
      </c>
      <c r="BS1920" s="4" t="s">
        <v>32572</v>
      </c>
      <c r="BT1920" s="4" t="str">
        <f aca="false">HYPERLINK("https%3A%2F%2Fwww.webofscience.com%2Fwos%2Fwoscc%2Ffull-record%2FWOS:000452318700026","View Full Record in Web of Science")</f>
        <v>View Full Record in Web of Science</v>
      </c>
    </row>
    <row r="1921" s="5" customFormat="true" ht="12.75" hidden="false" customHeight="false" outlineLevel="0" collapsed="false">
      <c r="A1921" s="4" t="s">
        <v>72</v>
      </c>
      <c r="B1921" s="4" t="s">
        <v>32573</v>
      </c>
      <c r="C1921" s="4"/>
      <c r="D1921" s="4"/>
      <c r="E1921" s="4"/>
      <c r="F1921" s="4" t="s">
        <v>32574</v>
      </c>
      <c r="G1921" s="4"/>
      <c r="H1921" s="4"/>
      <c r="I1921" s="4" t="s">
        <v>32575</v>
      </c>
      <c r="J1921" s="4" t="s">
        <v>6395</v>
      </c>
      <c r="K1921" s="4"/>
      <c r="L1921" s="4"/>
      <c r="M1921" s="4" t="s">
        <v>77</v>
      </c>
      <c r="N1921" s="4" t="s">
        <v>78</v>
      </c>
      <c r="O1921" s="4"/>
      <c r="P1921" s="4"/>
      <c r="Q1921" s="4"/>
      <c r="R1921" s="4"/>
      <c r="S1921" s="4"/>
      <c r="T1921" s="1" t="s">
        <v>32576</v>
      </c>
      <c r="U1921" s="4" t="s">
        <v>32577</v>
      </c>
      <c r="V1921" s="4" t="s">
        <v>32578</v>
      </c>
      <c r="W1921" s="4" t="s">
        <v>32579</v>
      </c>
      <c r="X1921" s="4" t="s">
        <v>32580</v>
      </c>
      <c r="Y1921" s="4" t="s">
        <v>32581</v>
      </c>
      <c r="Z1921" s="4" t="s">
        <v>32582</v>
      </c>
      <c r="AA1921" s="4"/>
      <c r="AB1921" s="4" t="s">
        <v>32583</v>
      </c>
      <c r="AC1921" s="4"/>
      <c r="AD1921" s="4"/>
      <c r="AE1921" s="4"/>
      <c r="AF1921" s="4"/>
      <c r="AG1921" s="4" t="n">
        <v>41</v>
      </c>
      <c r="AH1921" s="4" t="n">
        <v>135</v>
      </c>
      <c r="AI1921" s="4" t="n">
        <v>145</v>
      </c>
      <c r="AJ1921" s="4" t="n">
        <v>2</v>
      </c>
      <c r="AK1921" s="4" t="n">
        <v>30</v>
      </c>
      <c r="AL1921" s="4" t="s">
        <v>6405</v>
      </c>
      <c r="AM1921" s="4" t="s">
        <v>6406</v>
      </c>
      <c r="AN1921" s="4" t="s">
        <v>6407</v>
      </c>
      <c r="AO1921" s="4" t="s">
        <v>6408</v>
      </c>
      <c r="AP1921" s="4"/>
      <c r="AQ1921" s="4"/>
      <c r="AR1921" s="4" t="s">
        <v>6409</v>
      </c>
      <c r="AS1921" s="4" t="s">
        <v>6410</v>
      </c>
      <c r="AT1921" s="4" t="s">
        <v>6563</v>
      </c>
      <c r="AU1921" s="4" t="n">
        <v>2019</v>
      </c>
      <c r="AV1921" s="4" t="n">
        <v>9</v>
      </c>
      <c r="AW1921" s="4"/>
      <c r="AX1921" s="4"/>
      <c r="AY1921" s="4"/>
      <c r="AZ1921" s="4"/>
      <c r="BA1921" s="4"/>
      <c r="BB1921" s="4"/>
      <c r="BC1921" s="4"/>
      <c r="BD1921" s="4" t="n">
        <v>929</v>
      </c>
      <c r="BE1921" s="4" t="s">
        <v>32584</v>
      </c>
      <c r="BF1921" s="4" t="str">
        <f aca="false">HYPERLINK("http://dx.doi.org/10.1038/s41598-018-37481-y","http://dx.doi.org/10.1038/s41598-018-37481-y")</f>
        <v>http://dx.doi.org/10.1038/s41598-018-37481-y</v>
      </c>
      <c r="BG1921" s="4"/>
      <c r="BH1921" s="4"/>
      <c r="BI1921" s="4" t="n">
        <v>11</v>
      </c>
      <c r="BJ1921" s="4" t="s">
        <v>1658</v>
      </c>
      <c r="BK1921" s="4" t="s">
        <v>100</v>
      </c>
      <c r="BL1921" s="4" t="s">
        <v>1659</v>
      </c>
      <c r="BM1921" s="4" t="s">
        <v>32585</v>
      </c>
      <c r="BN1921" s="4" t="n">
        <v>30700747</v>
      </c>
      <c r="BO1921" s="4" t="s">
        <v>190</v>
      </c>
      <c r="BP1921" s="4"/>
      <c r="BQ1921" s="4"/>
      <c r="BR1921" s="4" t="s">
        <v>104</v>
      </c>
      <c r="BS1921" s="4" t="s">
        <v>32586</v>
      </c>
      <c r="BT1921" s="4" t="str">
        <f aca="false">HYPERLINK("https%3A%2F%2Fwww.webofscience.com%2Fwos%2Fwoscc%2Ffull-record%2FWOS:000457128700006","View Full Record in Web of Science")</f>
        <v>View Full Record in Web of Science</v>
      </c>
    </row>
    <row r="1922" s="5" customFormat="true" ht="12.75" hidden="false" customHeight="false" outlineLevel="0" collapsed="false">
      <c r="A1922" s="4" t="s">
        <v>72</v>
      </c>
      <c r="B1922" s="4" t="s">
        <v>32587</v>
      </c>
      <c r="C1922" s="4"/>
      <c r="D1922" s="4"/>
      <c r="E1922" s="4"/>
      <c r="F1922" s="4" t="s">
        <v>32588</v>
      </c>
      <c r="G1922" s="4"/>
      <c r="H1922" s="4"/>
      <c r="I1922" s="4" t="s">
        <v>32589</v>
      </c>
      <c r="J1922" s="4" t="s">
        <v>742</v>
      </c>
      <c r="K1922" s="4"/>
      <c r="L1922" s="4"/>
      <c r="M1922" s="4" t="s">
        <v>77</v>
      </c>
      <c r="N1922" s="4" t="s">
        <v>78</v>
      </c>
      <c r="O1922" s="4"/>
      <c r="P1922" s="4"/>
      <c r="Q1922" s="4"/>
      <c r="R1922" s="4"/>
      <c r="S1922" s="4"/>
      <c r="T1922" s="1" t="s">
        <v>32590</v>
      </c>
      <c r="U1922" s="4" t="s">
        <v>32591</v>
      </c>
      <c r="V1922" s="4" t="s">
        <v>32592</v>
      </c>
      <c r="W1922" s="4" t="s">
        <v>6707</v>
      </c>
      <c r="X1922" s="4" t="s">
        <v>6708</v>
      </c>
      <c r="Y1922" s="4" t="s">
        <v>32593</v>
      </c>
      <c r="Z1922" s="4" t="s">
        <v>6710</v>
      </c>
      <c r="AA1922" s="4" t="s">
        <v>6711</v>
      </c>
      <c r="AB1922" s="4" t="s">
        <v>6712</v>
      </c>
      <c r="AC1922" s="4" t="s">
        <v>13915</v>
      </c>
      <c r="AD1922" s="4" t="s">
        <v>9549</v>
      </c>
      <c r="AE1922" s="4"/>
      <c r="AF1922" s="4"/>
      <c r="AG1922" s="4" t="n">
        <v>29</v>
      </c>
      <c r="AH1922" s="4" t="n">
        <v>36</v>
      </c>
      <c r="AI1922" s="4" t="n">
        <v>41</v>
      </c>
      <c r="AJ1922" s="4" t="n">
        <v>0</v>
      </c>
      <c r="AK1922" s="4" t="n">
        <v>0</v>
      </c>
      <c r="AL1922" s="4" t="s">
        <v>755</v>
      </c>
      <c r="AM1922" s="4" t="s">
        <v>273</v>
      </c>
      <c r="AN1922" s="4" t="s">
        <v>756</v>
      </c>
      <c r="AO1922" s="4" t="s">
        <v>757</v>
      </c>
      <c r="AP1922" s="4" t="s">
        <v>758</v>
      </c>
      <c r="AQ1922" s="4"/>
      <c r="AR1922" s="4" t="s">
        <v>759</v>
      </c>
      <c r="AS1922" s="4" t="s">
        <v>760</v>
      </c>
      <c r="AT1922" s="4" t="s">
        <v>486</v>
      </c>
      <c r="AU1922" s="4" t="n">
        <v>2007</v>
      </c>
      <c r="AV1922" s="4" t="n">
        <v>81</v>
      </c>
      <c r="AW1922" s="4" t="n">
        <v>11</v>
      </c>
      <c r="AX1922" s="4"/>
      <c r="AY1922" s="4"/>
      <c r="AZ1922" s="4"/>
      <c r="BA1922" s="4"/>
      <c r="BB1922" s="4" t="n">
        <v>6057</v>
      </c>
      <c r="BC1922" s="4" t="n">
        <v>6067</v>
      </c>
      <c r="BD1922" s="4"/>
      <c r="BE1922" s="4" t="s">
        <v>32594</v>
      </c>
      <c r="BF1922" s="4" t="str">
        <f aca="false">HYPERLINK("http://dx.doi.org/10.1128/JVI.00128-07","http://dx.doi.org/10.1128/JVI.00128-07")</f>
        <v>http://dx.doi.org/10.1128/JVI.00128-07</v>
      </c>
      <c r="BG1922" s="4"/>
      <c r="BH1922" s="4"/>
      <c r="BI1922" s="4" t="n">
        <v>11</v>
      </c>
      <c r="BJ1922" s="4" t="s">
        <v>163</v>
      </c>
      <c r="BK1922" s="4" t="s">
        <v>100</v>
      </c>
      <c r="BL1922" s="4" t="s">
        <v>163</v>
      </c>
      <c r="BM1922" s="4" t="s">
        <v>32595</v>
      </c>
      <c r="BN1922" s="4" t="n">
        <v>17376897</v>
      </c>
      <c r="BO1922" s="4" t="s">
        <v>165</v>
      </c>
      <c r="BP1922" s="4"/>
      <c r="BQ1922" s="4"/>
      <c r="BR1922" s="4" t="s">
        <v>104</v>
      </c>
      <c r="BS1922" s="4" t="s">
        <v>32596</v>
      </c>
      <c r="BT1922" s="4" t="str">
        <f aca="false">HYPERLINK("https%3A%2F%2Fwww.webofscience.com%2Fwos%2Fwoscc%2Ffull-record%2FWOS:000246866300059","View Full Record in Web of Science")</f>
        <v>View Full Record in Web of Science</v>
      </c>
    </row>
    <row r="1923" s="5" customFormat="true" ht="12.75" hidden="false" customHeight="false" outlineLevel="0" collapsed="false">
      <c r="A1923" s="4" t="s">
        <v>72</v>
      </c>
      <c r="B1923" s="4" t="s">
        <v>32597</v>
      </c>
      <c r="C1923" s="4"/>
      <c r="D1923" s="4"/>
      <c r="E1923" s="4"/>
      <c r="F1923" s="4" t="s">
        <v>32598</v>
      </c>
      <c r="G1923" s="4"/>
      <c r="H1923" s="4"/>
      <c r="I1923" s="4" t="s">
        <v>32599</v>
      </c>
      <c r="J1923" s="4" t="s">
        <v>742</v>
      </c>
      <c r="K1923" s="4"/>
      <c r="L1923" s="4"/>
      <c r="M1923" s="4" t="s">
        <v>77</v>
      </c>
      <c r="N1923" s="4" t="s">
        <v>78</v>
      </c>
      <c r="O1923" s="4"/>
      <c r="P1923" s="4"/>
      <c r="Q1923" s="4"/>
      <c r="R1923" s="4"/>
      <c r="S1923" s="4"/>
      <c r="T1923" s="1" t="s">
        <v>32600</v>
      </c>
      <c r="U1923" s="4" t="s">
        <v>32601</v>
      </c>
      <c r="V1923" s="4" t="s">
        <v>32602</v>
      </c>
      <c r="W1923" s="4" t="s">
        <v>32603</v>
      </c>
      <c r="X1923" s="4" t="s">
        <v>32604</v>
      </c>
      <c r="Y1923" s="4" t="s">
        <v>32605</v>
      </c>
      <c r="Z1923" s="4" t="s">
        <v>1366</v>
      </c>
      <c r="AA1923" s="4" t="s">
        <v>32606</v>
      </c>
      <c r="AB1923" s="4" t="s">
        <v>32607</v>
      </c>
      <c r="AC1923" s="4" t="s">
        <v>28983</v>
      </c>
      <c r="AD1923" s="4" t="s">
        <v>28984</v>
      </c>
      <c r="AE1923" s="4" t="s">
        <v>32608</v>
      </c>
      <c r="AF1923" s="4"/>
      <c r="AG1923" s="4" t="n">
        <v>57</v>
      </c>
      <c r="AH1923" s="4" t="n">
        <v>14</v>
      </c>
      <c r="AI1923" s="4" t="n">
        <v>18</v>
      </c>
      <c r="AJ1923" s="4" t="n">
        <v>0</v>
      </c>
      <c r="AK1923" s="4" t="n">
        <v>1</v>
      </c>
      <c r="AL1923" s="4" t="s">
        <v>755</v>
      </c>
      <c r="AM1923" s="4" t="s">
        <v>273</v>
      </c>
      <c r="AN1923" s="4" t="s">
        <v>756</v>
      </c>
      <c r="AO1923" s="4" t="s">
        <v>757</v>
      </c>
      <c r="AP1923" s="4" t="s">
        <v>758</v>
      </c>
      <c r="AQ1923" s="4"/>
      <c r="AR1923" s="4" t="s">
        <v>759</v>
      </c>
      <c r="AS1923" s="4" t="s">
        <v>760</v>
      </c>
      <c r="AT1923" s="4" t="s">
        <v>804</v>
      </c>
      <c r="AU1923" s="4" t="n">
        <v>2012</v>
      </c>
      <c r="AV1923" s="4" t="n">
        <v>86</v>
      </c>
      <c r="AW1923" s="4" t="n">
        <v>21</v>
      </c>
      <c r="AX1923" s="4"/>
      <c r="AY1923" s="4"/>
      <c r="AZ1923" s="4"/>
      <c r="BA1923" s="4"/>
      <c r="BB1923" s="4" t="n">
        <v>11800</v>
      </c>
      <c r="BC1923" s="4" t="n">
        <v>11814</v>
      </c>
      <c r="BD1923" s="4"/>
      <c r="BE1923" s="4" t="s">
        <v>32609</v>
      </c>
      <c r="BF1923" s="4" t="str">
        <f aca="false">HYPERLINK("http://dx.doi.org/10.1128/JVI.00232-12","http://dx.doi.org/10.1128/JVI.00232-12")</f>
        <v>http://dx.doi.org/10.1128/JVI.00232-12</v>
      </c>
      <c r="BG1923" s="4"/>
      <c r="BH1923" s="4"/>
      <c r="BI1923" s="4" t="n">
        <v>15</v>
      </c>
      <c r="BJ1923" s="4" t="s">
        <v>163</v>
      </c>
      <c r="BK1923" s="4" t="s">
        <v>100</v>
      </c>
      <c r="BL1923" s="4" t="s">
        <v>163</v>
      </c>
      <c r="BM1923" s="4" t="s">
        <v>32610</v>
      </c>
      <c r="BN1923" s="4" t="n">
        <v>22915815</v>
      </c>
      <c r="BO1923" s="4" t="s">
        <v>1267</v>
      </c>
      <c r="BP1923" s="4"/>
      <c r="BQ1923" s="4"/>
      <c r="BR1923" s="4" t="s">
        <v>104</v>
      </c>
      <c r="BS1923" s="4" t="s">
        <v>32611</v>
      </c>
      <c r="BT1923" s="4" t="str">
        <f aca="false">HYPERLINK("https%3A%2F%2Fwww.webofscience.com%2Fwos%2Fwoscc%2Ffull-record%2FWOS:000309657100037","View Full Record in Web of Science")</f>
        <v>View Full Record in Web of Science</v>
      </c>
    </row>
    <row r="1924" s="5" customFormat="true" ht="12.75" hidden="false" customHeight="false" outlineLevel="0" collapsed="false">
      <c r="A1924" s="4" t="s">
        <v>72</v>
      </c>
      <c r="B1924" s="4" t="s">
        <v>32612</v>
      </c>
      <c r="C1924" s="4"/>
      <c r="D1924" s="4"/>
      <c r="E1924" s="4"/>
      <c r="F1924" s="4" t="s">
        <v>32613</v>
      </c>
      <c r="G1924" s="4"/>
      <c r="H1924" s="4"/>
      <c r="I1924" s="4" t="s">
        <v>32614</v>
      </c>
      <c r="J1924" s="4" t="s">
        <v>32615</v>
      </c>
      <c r="K1924" s="4"/>
      <c r="L1924" s="4"/>
      <c r="M1924" s="4" t="s">
        <v>77</v>
      </c>
      <c r="N1924" s="4" t="s">
        <v>78</v>
      </c>
      <c r="O1924" s="4"/>
      <c r="P1924" s="4"/>
      <c r="Q1924" s="4"/>
      <c r="R1924" s="4"/>
      <c r="S1924" s="4"/>
      <c r="T1924" s="1" t="s">
        <v>32616</v>
      </c>
      <c r="U1924" s="4" t="s">
        <v>32617</v>
      </c>
      <c r="V1924" s="4" t="s">
        <v>32618</v>
      </c>
      <c r="W1924" s="4" t="s">
        <v>32619</v>
      </c>
      <c r="X1924" s="4" t="s">
        <v>32620</v>
      </c>
      <c r="Y1924" s="4" t="s">
        <v>32621</v>
      </c>
      <c r="Z1924" s="4" t="s">
        <v>32622</v>
      </c>
      <c r="AA1924" s="4" t="s">
        <v>32623</v>
      </c>
      <c r="AB1924" s="4" t="s">
        <v>32624</v>
      </c>
      <c r="AC1924" s="4" t="s">
        <v>4514</v>
      </c>
      <c r="AD1924" s="4" t="s">
        <v>4515</v>
      </c>
      <c r="AE1924" s="4" t="s">
        <v>32625</v>
      </c>
      <c r="AF1924" s="4"/>
      <c r="AG1924" s="4" t="n">
        <v>43</v>
      </c>
      <c r="AH1924" s="4" t="n">
        <v>14</v>
      </c>
      <c r="AI1924" s="4" t="n">
        <v>14</v>
      </c>
      <c r="AJ1924" s="4" t="n">
        <v>0</v>
      </c>
      <c r="AK1924" s="4" t="n">
        <v>2</v>
      </c>
      <c r="AL1924" s="4" t="s">
        <v>7639</v>
      </c>
      <c r="AM1924" s="4" t="s">
        <v>783</v>
      </c>
      <c r="AN1924" s="4" t="s">
        <v>7640</v>
      </c>
      <c r="AO1924" s="4" t="s">
        <v>32626</v>
      </c>
      <c r="AP1924" s="4" t="s">
        <v>32627</v>
      </c>
      <c r="AQ1924" s="4"/>
      <c r="AR1924" s="4" t="s">
        <v>32615</v>
      </c>
      <c r="AS1924" s="4" t="s">
        <v>32628</v>
      </c>
      <c r="AT1924" s="4" t="s">
        <v>804</v>
      </c>
      <c r="AU1924" s="4" t="n">
        <v>2010</v>
      </c>
      <c r="AV1924" s="4" t="n">
        <v>26</v>
      </c>
      <c r="AW1924" s="4" t="n">
        <v>21</v>
      </c>
      <c r="AX1924" s="4"/>
      <c r="AY1924" s="4"/>
      <c r="AZ1924" s="4"/>
      <c r="BA1924" s="4"/>
      <c r="BB1924" s="4" t="n">
        <v>2737</v>
      </c>
      <c r="BC1924" s="4" t="n">
        <v>2743</v>
      </c>
      <c r="BD1924" s="4"/>
      <c r="BE1924" s="4" t="s">
        <v>32629</v>
      </c>
      <c r="BF1924" s="4" t="str">
        <f aca="false">HYPERLINK("http://dx.doi.org/10.1093/bioinformatics/btq474","http://dx.doi.org/10.1093/bioinformatics/btq474")</f>
        <v>http://dx.doi.org/10.1093/bioinformatics/btq474</v>
      </c>
      <c r="BG1924" s="4"/>
      <c r="BH1924" s="4"/>
      <c r="BI1924" s="4" t="n">
        <v>7</v>
      </c>
      <c r="BJ1924" s="4" t="s">
        <v>32630</v>
      </c>
      <c r="BK1924" s="4" t="s">
        <v>100</v>
      </c>
      <c r="BL1924" s="4" t="s">
        <v>32631</v>
      </c>
      <c r="BM1924" s="4" t="s">
        <v>32632</v>
      </c>
      <c r="BN1924" s="4" t="n">
        <v>20798171</v>
      </c>
      <c r="BO1924" s="4" t="s">
        <v>136</v>
      </c>
      <c r="BP1924" s="4"/>
      <c r="BQ1924" s="4"/>
      <c r="BR1924" s="4" t="s">
        <v>104</v>
      </c>
      <c r="BS1924" s="4" t="s">
        <v>32633</v>
      </c>
      <c r="BT1924" s="4" t="str">
        <f aca="false">HYPERLINK("https%3A%2F%2Fwww.webofscience.com%2Fwos%2Fwoscc%2Ffull-record%2FWOS:000283665000013","View Full Record in Web of Science")</f>
        <v>View Full Record in Web of Science</v>
      </c>
    </row>
    <row r="1925" s="5" customFormat="true" ht="12.75" hidden="false" customHeight="false" outlineLevel="0" collapsed="false">
      <c r="A1925" s="4" t="s">
        <v>72</v>
      </c>
      <c r="B1925" s="4" t="s">
        <v>32634</v>
      </c>
      <c r="C1925" s="4"/>
      <c r="D1925" s="4"/>
      <c r="E1925" s="4"/>
      <c r="F1925" s="4" t="s">
        <v>32635</v>
      </c>
      <c r="G1925" s="4"/>
      <c r="H1925" s="4"/>
      <c r="I1925" s="4" t="s">
        <v>32636</v>
      </c>
      <c r="J1925" s="4" t="s">
        <v>27548</v>
      </c>
      <c r="K1925" s="4"/>
      <c r="L1925" s="4"/>
      <c r="M1925" s="4" t="s">
        <v>77</v>
      </c>
      <c r="N1925" s="4" t="s">
        <v>78</v>
      </c>
      <c r="O1925" s="4"/>
      <c r="P1925" s="4"/>
      <c r="Q1925" s="4"/>
      <c r="R1925" s="4"/>
      <c r="S1925" s="4"/>
      <c r="T1925" s="1" t="s">
        <v>32637</v>
      </c>
      <c r="U1925" s="4" t="s">
        <v>32638</v>
      </c>
      <c r="V1925" s="4" t="s">
        <v>32639</v>
      </c>
      <c r="W1925" s="4" t="s">
        <v>32640</v>
      </c>
      <c r="X1925" s="4" t="s">
        <v>32641</v>
      </c>
      <c r="Y1925" s="4" t="s">
        <v>32642</v>
      </c>
      <c r="Z1925" s="4" t="s">
        <v>32643</v>
      </c>
      <c r="AA1925" s="4" t="s">
        <v>32644</v>
      </c>
      <c r="AB1925" s="4" t="s">
        <v>32645</v>
      </c>
      <c r="AC1925" s="4" t="s">
        <v>32646</v>
      </c>
      <c r="AD1925" s="4" t="s">
        <v>32647</v>
      </c>
      <c r="AE1925" s="4" t="s">
        <v>32648</v>
      </c>
      <c r="AF1925" s="4"/>
      <c r="AG1925" s="4" t="n">
        <v>10</v>
      </c>
      <c r="AH1925" s="4" t="n">
        <v>13</v>
      </c>
      <c r="AI1925" s="4" t="n">
        <v>14</v>
      </c>
      <c r="AJ1925" s="4" t="n">
        <v>0</v>
      </c>
      <c r="AK1925" s="4" t="n">
        <v>2</v>
      </c>
      <c r="AL1925" s="4" t="s">
        <v>27851</v>
      </c>
      <c r="AM1925" s="4" t="s">
        <v>27561</v>
      </c>
      <c r="AN1925" s="4" t="s">
        <v>27562</v>
      </c>
      <c r="AO1925" s="4" t="s">
        <v>27563</v>
      </c>
      <c r="AP1925" s="4" t="s">
        <v>27564</v>
      </c>
      <c r="AQ1925" s="4"/>
      <c r="AR1925" s="4" t="s">
        <v>27565</v>
      </c>
      <c r="AS1925" s="4" t="s">
        <v>27566</v>
      </c>
      <c r="AT1925" s="4" t="s">
        <v>804</v>
      </c>
      <c r="AU1925" s="4" t="n">
        <v>2015</v>
      </c>
      <c r="AV1925" s="4" t="n">
        <v>21</v>
      </c>
      <c r="AW1925" s="4" t="n">
        <v>11</v>
      </c>
      <c r="AX1925" s="4"/>
      <c r="AY1925" s="4"/>
      <c r="AZ1925" s="4"/>
      <c r="BA1925" s="4"/>
      <c r="BB1925" s="4" t="n">
        <v>2074</v>
      </c>
      <c r="BC1925" s="4" t="n">
        <v>2076</v>
      </c>
      <c r="BD1925" s="4"/>
      <c r="BE1925" s="4" t="s">
        <v>32649</v>
      </c>
      <c r="BF1925" s="4" t="str">
        <f aca="false">HYPERLINK("http://dx.doi.org/10.3201/eid2111.150608","http://dx.doi.org/10.3201/eid2111.150608")</f>
        <v>http://dx.doi.org/10.3201/eid2111.150608</v>
      </c>
      <c r="BG1925" s="4"/>
      <c r="BH1925" s="4"/>
      <c r="BI1925" s="4" t="n">
        <v>3</v>
      </c>
      <c r="BJ1925" s="4" t="s">
        <v>965</v>
      </c>
      <c r="BK1925" s="4" t="s">
        <v>100</v>
      </c>
      <c r="BL1925" s="4" t="s">
        <v>965</v>
      </c>
      <c r="BM1925" s="4" t="s">
        <v>32650</v>
      </c>
      <c r="BN1925" s="4" t="n">
        <v>26488420</v>
      </c>
      <c r="BO1925" s="4" t="s">
        <v>103</v>
      </c>
      <c r="BP1925" s="4"/>
      <c r="BQ1925" s="4"/>
      <c r="BR1925" s="4" t="s">
        <v>104</v>
      </c>
      <c r="BS1925" s="4" t="s">
        <v>32651</v>
      </c>
      <c r="BT1925" s="4" t="str">
        <f aca="false">HYPERLINK("https%3A%2F%2Fwww.webofscience.com%2Fwos%2Fwoscc%2Ffull-record%2FWOS:000363601500029","View Full Record in Web of Science")</f>
        <v>View Full Record in Web of Science</v>
      </c>
    </row>
    <row r="1926" s="5" customFormat="true" ht="12.75" hidden="false" customHeight="false" outlineLevel="0" collapsed="false">
      <c r="A1926" s="4" t="s">
        <v>72</v>
      </c>
      <c r="B1926" s="4" t="s">
        <v>32652</v>
      </c>
      <c r="C1926" s="4"/>
      <c r="D1926" s="4"/>
      <c r="E1926" s="4"/>
      <c r="F1926" s="4" t="s">
        <v>32653</v>
      </c>
      <c r="G1926" s="4"/>
      <c r="H1926" s="4"/>
      <c r="I1926" s="4" t="s">
        <v>32654</v>
      </c>
      <c r="J1926" s="4" t="s">
        <v>6395</v>
      </c>
      <c r="K1926" s="4"/>
      <c r="L1926" s="4"/>
      <c r="M1926" s="4" t="s">
        <v>77</v>
      </c>
      <c r="N1926" s="4" t="s">
        <v>78</v>
      </c>
      <c r="O1926" s="4"/>
      <c r="P1926" s="4"/>
      <c r="Q1926" s="4"/>
      <c r="R1926" s="4"/>
      <c r="S1926" s="4"/>
      <c r="T1926" s="1" t="s">
        <v>32655</v>
      </c>
      <c r="U1926" s="4" t="s">
        <v>32656</v>
      </c>
      <c r="V1926" s="4" t="s">
        <v>32657</v>
      </c>
      <c r="W1926" s="4" t="s">
        <v>32658</v>
      </c>
      <c r="X1926" s="4" t="s">
        <v>32659</v>
      </c>
      <c r="Y1926" s="4" t="s">
        <v>32660</v>
      </c>
      <c r="Z1926" s="4" t="s">
        <v>6650</v>
      </c>
      <c r="AA1926" s="4" t="s">
        <v>32661</v>
      </c>
      <c r="AB1926" s="4" t="s">
        <v>32662</v>
      </c>
      <c r="AC1926" s="4" t="s">
        <v>32663</v>
      </c>
      <c r="AD1926" s="4" t="s">
        <v>32664</v>
      </c>
      <c r="AE1926" s="4" t="s">
        <v>32665</v>
      </c>
      <c r="AF1926" s="4"/>
      <c r="AG1926" s="4" t="n">
        <v>50</v>
      </c>
      <c r="AH1926" s="4" t="n">
        <v>23</v>
      </c>
      <c r="AI1926" s="4" t="n">
        <v>29</v>
      </c>
      <c r="AJ1926" s="4" t="n">
        <v>0</v>
      </c>
      <c r="AK1926" s="4" t="n">
        <v>14</v>
      </c>
      <c r="AL1926" s="4" t="s">
        <v>6405</v>
      </c>
      <c r="AM1926" s="4" t="s">
        <v>6406</v>
      </c>
      <c r="AN1926" s="4" t="s">
        <v>6407</v>
      </c>
      <c r="AO1926" s="4" t="s">
        <v>6408</v>
      </c>
      <c r="AP1926" s="4"/>
      <c r="AQ1926" s="4"/>
      <c r="AR1926" s="4" t="s">
        <v>6409</v>
      </c>
      <c r="AS1926" s="4" t="s">
        <v>6410</v>
      </c>
      <c r="AT1926" s="4" t="s">
        <v>17737</v>
      </c>
      <c r="AU1926" s="4" t="n">
        <v>2017</v>
      </c>
      <c r="AV1926" s="4" t="n">
        <v>7</v>
      </c>
      <c r="AW1926" s="4"/>
      <c r="AX1926" s="4"/>
      <c r="AY1926" s="4"/>
      <c r="AZ1926" s="4"/>
      <c r="BA1926" s="4"/>
      <c r="BB1926" s="4"/>
      <c r="BC1926" s="4"/>
      <c r="BD1926" s="4" t="n">
        <v>14581</v>
      </c>
      <c r="BE1926" s="4" t="s">
        <v>32666</v>
      </c>
      <c r="BF1926" s="4" t="str">
        <f aca="false">HYPERLINK("http://dx.doi.org/10.1038/s41598-017-14769-z","http://dx.doi.org/10.1038/s41598-017-14769-z")</f>
        <v>http://dx.doi.org/10.1038/s41598-017-14769-z</v>
      </c>
      <c r="BG1926" s="4"/>
      <c r="BH1926" s="4"/>
      <c r="BI1926" s="4" t="n">
        <v>8</v>
      </c>
      <c r="BJ1926" s="4" t="s">
        <v>1658</v>
      </c>
      <c r="BK1926" s="4" t="s">
        <v>100</v>
      </c>
      <c r="BL1926" s="4" t="s">
        <v>1659</v>
      </c>
      <c r="BM1926" s="4" t="s">
        <v>32667</v>
      </c>
      <c r="BN1926" s="4" t="n">
        <v>29109465</v>
      </c>
      <c r="BO1926" s="4" t="s">
        <v>103</v>
      </c>
      <c r="BP1926" s="4"/>
      <c r="BQ1926" s="4"/>
      <c r="BR1926" s="4" t="s">
        <v>104</v>
      </c>
      <c r="BS1926" s="4" t="s">
        <v>32668</v>
      </c>
      <c r="BT1926" s="4" t="str">
        <f aca="false">HYPERLINK("https%3A%2F%2Fwww.webofscience.com%2Fwos%2Fwoscc%2Ffull-record%2FWOS:000414415000081","View Full Record in Web of Science")</f>
        <v>View Full Record in Web of Science</v>
      </c>
    </row>
    <row r="1927" s="5" customFormat="true" ht="12.75" hidden="false" customHeight="false" outlineLevel="0" collapsed="false">
      <c r="A1927" s="4" t="s">
        <v>72</v>
      </c>
      <c r="B1927" s="4" t="s">
        <v>32669</v>
      </c>
      <c r="C1927" s="4"/>
      <c r="D1927" s="4"/>
      <c r="E1927" s="4"/>
      <c r="F1927" s="4" t="s">
        <v>32670</v>
      </c>
      <c r="G1927" s="4"/>
      <c r="H1927" s="4"/>
      <c r="I1927" s="4" t="s">
        <v>32671</v>
      </c>
      <c r="J1927" s="4" t="s">
        <v>7145</v>
      </c>
      <c r="K1927" s="4"/>
      <c r="L1927" s="4"/>
      <c r="M1927" s="4" t="s">
        <v>77</v>
      </c>
      <c r="N1927" s="4" t="s">
        <v>78</v>
      </c>
      <c r="O1927" s="4"/>
      <c r="P1927" s="4"/>
      <c r="Q1927" s="4"/>
      <c r="R1927" s="4"/>
      <c r="S1927" s="4"/>
      <c r="T1927" s="1" t="s">
        <v>32672</v>
      </c>
      <c r="U1927" s="4" t="s">
        <v>32673</v>
      </c>
      <c r="V1927" s="4" t="s">
        <v>32674</v>
      </c>
      <c r="W1927" s="4" t="s">
        <v>32675</v>
      </c>
      <c r="X1927" s="4" t="s">
        <v>32676</v>
      </c>
      <c r="Y1927" s="4" t="s">
        <v>32677</v>
      </c>
      <c r="Z1927" s="4" t="s">
        <v>32678</v>
      </c>
      <c r="AA1927" s="4" t="s">
        <v>32679</v>
      </c>
      <c r="AB1927" s="4" t="s">
        <v>32680</v>
      </c>
      <c r="AC1927" s="4" t="s">
        <v>32681</v>
      </c>
      <c r="AD1927" s="4" t="s">
        <v>32682</v>
      </c>
      <c r="AE1927" s="4" t="s">
        <v>32683</v>
      </c>
      <c r="AF1927" s="4"/>
      <c r="AG1927" s="4" t="n">
        <v>54</v>
      </c>
      <c r="AH1927" s="4" t="n">
        <v>6</v>
      </c>
      <c r="AI1927" s="4" t="n">
        <v>7</v>
      </c>
      <c r="AJ1927" s="4" t="n">
        <v>0</v>
      </c>
      <c r="AK1927" s="4" t="n">
        <v>2</v>
      </c>
      <c r="AL1927" s="4" t="s">
        <v>28431</v>
      </c>
      <c r="AM1927" s="4" t="s">
        <v>28432</v>
      </c>
      <c r="AN1927" s="4" t="s">
        <v>28433</v>
      </c>
      <c r="AO1927" s="4" t="s">
        <v>7158</v>
      </c>
      <c r="AP1927" s="4"/>
      <c r="AQ1927" s="4"/>
      <c r="AR1927" s="4" t="s">
        <v>7160</v>
      </c>
      <c r="AS1927" s="4" t="s">
        <v>7161</v>
      </c>
      <c r="AT1927" s="4" t="s">
        <v>390</v>
      </c>
      <c r="AU1927" s="4" t="n">
        <v>2011</v>
      </c>
      <c r="AV1927" s="4" t="n">
        <v>92</v>
      </c>
      <c r="AW1927" s="4"/>
      <c r="AX1927" s="4" t="n">
        <v>5</v>
      </c>
      <c r="AY1927" s="4"/>
      <c r="AZ1927" s="4"/>
      <c r="BA1927" s="4"/>
      <c r="BB1927" s="4" t="n">
        <v>1205</v>
      </c>
      <c r="BC1927" s="4" t="n">
        <v>1213</v>
      </c>
      <c r="BD1927" s="4"/>
      <c r="BE1927" s="4" t="s">
        <v>32684</v>
      </c>
      <c r="BF1927" s="4" t="str">
        <f aca="false">HYPERLINK("http://dx.doi.org/10.1099/vir.0.029306-0","http://dx.doi.org/10.1099/vir.0.029306-0")</f>
        <v>http://dx.doi.org/10.1099/vir.0.029306-0</v>
      </c>
      <c r="BG1927" s="4"/>
      <c r="BH1927" s="4"/>
      <c r="BI1927" s="4" t="n">
        <v>9</v>
      </c>
      <c r="BJ1927" s="4" t="s">
        <v>7163</v>
      </c>
      <c r="BK1927" s="4" t="s">
        <v>100</v>
      </c>
      <c r="BL1927" s="4" t="s">
        <v>7163</v>
      </c>
      <c r="BM1927" s="4" t="s">
        <v>32685</v>
      </c>
      <c r="BN1927" s="4" t="n">
        <v>21248175</v>
      </c>
      <c r="BO1927" s="4" t="s">
        <v>656</v>
      </c>
      <c r="BP1927" s="4"/>
      <c r="BQ1927" s="4"/>
      <c r="BR1927" s="4" t="s">
        <v>104</v>
      </c>
      <c r="BS1927" s="4" t="s">
        <v>32686</v>
      </c>
      <c r="BT1927" s="4" t="str">
        <f aca="false">HYPERLINK("https%3A%2F%2Fwww.webofscience.com%2Fwos%2Fwoscc%2Ffull-record%2FWOS:000291083700021","View Full Record in Web of Science")</f>
        <v>View Full Record in Web of Science</v>
      </c>
    </row>
    <row r="1928" s="5" customFormat="true" ht="12.75" hidden="false" customHeight="false" outlineLevel="0" collapsed="false">
      <c r="A1928" s="4" t="s">
        <v>72</v>
      </c>
      <c r="B1928" s="4" t="s">
        <v>32687</v>
      </c>
      <c r="C1928" s="4"/>
      <c r="D1928" s="4"/>
      <c r="E1928" s="4"/>
      <c r="F1928" s="4" t="s">
        <v>32688</v>
      </c>
      <c r="G1928" s="4"/>
      <c r="H1928" s="4"/>
      <c r="I1928" s="4" t="s">
        <v>32689</v>
      </c>
      <c r="J1928" s="4" t="s">
        <v>32690</v>
      </c>
      <c r="K1928" s="4"/>
      <c r="L1928" s="4"/>
      <c r="M1928" s="4" t="s">
        <v>77</v>
      </c>
      <c r="N1928" s="4" t="s">
        <v>78</v>
      </c>
      <c r="O1928" s="4"/>
      <c r="P1928" s="4"/>
      <c r="Q1928" s="4"/>
      <c r="R1928" s="4"/>
      <c r="S1928" s="4"/>
      <c r="T1928" s="1" t="s">
        <v>32691</v>
      </c>
      <c r="U1928" s="4" t="s">
        <v>32692</v>
      </c>
      <c r="V1928" s="4" t="s">
        <v>32693</v>
      </c>
      <c r="W1928" s="4" t="s">
        <v>32694</v>
      </c>
      <c r="X1928" s="4" t="s">
        <v>32695</v>
      </c>
      <c r="Y1928" s="4" t="s">
        <v>32696</v>
      </c>
      <c r="Z1928" s="4" t="s">
        <v>32697</v>
      </c>
      <c r="AA1928" s="4" t="s">
        <v>32698</v>
      </c>
      <c r="AB1928" s="4" t="s">
        <v>32699</v>
      </c>
      <c r="AC1928" s="4"/>
      <c r="AD1928" s="4"/>
      <c r="AE1928" s="4"/>
      <c r="AF1928" s="4"/>
      <c r="AG1928" s="4" t="n">
        <v>13</v>
      </c>
      <c r="AH1928" s="4" t="n">
        <v>22</v>
      </c>
      <c r="AI1928" s="4" t="n">
        <v>25</v>
      </c>
      <c r="AJ1928" s="4" t="n">
        <v>0</v>
      </c>
      <c r="AK1928" s="4" t="n">
        <v>3</v>
      </c>
      <c r="AL1928" s="4" t="s">
        <v>28840</v>
      </c>
      <c r="AM1928" s="4" t="s">
        <v>20223</v>
      </c>
      <c r="AN1928" s="4" t="s">
        <v>32700</v>
      </c>
      <c r="AO1928" s="4" t="s">
        <v>32701</v>
      </c>
      <c r="AP1928" s="4"/>
      <c r="AQ1928" s="4"/>
      <c r="AR1928" s="4" t="s">
        <v>32702</v>
      </c>
      <c r="AS1928" s="4" t="s">
        <v>32703</v>
      </c>
      <c r="AT1928" s="4" t="s">
        <v>390</v>
      </c>
      <c r="AU1928" s="4" t="n">
        <v>2012</v>
      </c>
      <c r="AV1928" s="4" t="n">
        <v>69</v>
      </c>
      <c r="AW1928" s="4" t="n">
        <v>5</v>
      </c>
      <c r="AX1928" s="4"/>
      <c r="AY1928" s="4"/>
      <c r="AZ1928" s="4"/>
      <c r="BA1928" s="4"/>
      <c r="BB1928" s="4" t="n">
        <v>649</v>
      </c>
      <c r="BC1928" s="4" t="n">
        <v>652</v>
      </c>
      <c r="BD1928" s="4"/>
      <c r="BE1928" s="4" t="s">
        <v>32704</v>
      </c>
      <c r="BF1928" s="4" t="str">
        <f aca="false">HYPERLINK("http://dx.doi.org/10.1001/archneurol.2011.1094","http://dx.doi.org/10.1001/archneurol.2011.1094")</f>
        <v>http://dx.doi.org/10.1001/archneurol.2011.1094</v>
      </c>
      <c r="BG1928" s="4"/>
      <c r="BH1928" s="4"/>
      <c r="BI1928" s="4" t="n">
        <v>4</v>
      </c>
      <c r="BJ1928" s="4" t="s">
        <v>32705</v>
      </c>
      <c r="BK1928" s="4" t="s">
        <v>100</v>
      </c>
      <c r="BL1928" s="4" t="s">
        <v>32706</v>
      </c>
      <c r="BM1928" s="4" t="s">
        <v>32707</v>
      </c>
      <c r="BN1928" s="4" t="n">
        <v>22232205</v>
      </c>
      <c r="BO1928" s="4"/>
      <c r="BP1928" s="4"/>
      <c r="BQ1928" s="4"/>
      <c r="BR1928" s="4" t="s">
        <v>104</v>
      </c>
      <c r="BS1928" s="4" t="s">
        <v>32708</v>
      </c>
      <c r="BT1928" s="4" t="str">
        <f aca="false">HYPERLINK("https%3A%2F%2Fwww.webofscience.com%2Fwos%2Fwoscc%2Ffull-record%2FWOS:000304009100014","View Full Record in Web of Science")</f>
        <v>View Full Record in Web of Science</v>
      </c>
    </row>
    <row r="1929" s="5" customFormat="true" ht="12.75" hidden="false" customHeight="false" outlineLevel="0" collapsed="false">
      <c r="A1929" s="4" t="s">
        <v>72</v>
      </c>
      <c r="B1929" s="4" t="s">
        <v>32709</v>
      </c>
      <c r="C1929" s="4"/>
      <c r="D1929" s="4"/>
      <c r="E1929" s="4"/>
      <c r="F1929" s="4" t="s">
        <v>32710</v>
      </c>
      <c r="G1929" s="4"/>
      <c r="H1929" s="4"/>
      <c r="I1929" s="4" t="s">
        <v>32711</v>
      </c>
      <c r="J1929" s="4" t="s">
        <v>2222</v>
      </c>
      <c r="K1929" s="4"/>
      <c r="L1929" s="4"/>
      <c r="M1929" s="4" t="s">
        <v>77</v>
      </c>
      <c r="N1929" s="4" t="s">
        <v>78</v>
      </c>
      <c r="O1929" s="4"/>
      <c r="P1929" s="4"/>
      <c r="Q1929" s="4"/>
      <c r="R1929" s="4"/>
      <c r="S1929" s="4"/>
      <c r="T1929" s="1" t="s">
        <v>32712</v>
      </c>
      <c r="U1929" s="4" t="s">
        <v>32713</v>
      </c>
      <c r="V1929" s="4" t="s">
        <v>32714</v>
      </c>
      <c r="W1929" s="4" t="s">
        <v>32715</v>
      </c>
      <c r="X1929" s="4" t="s">
        <v>5772</v>
      </c>
      <c r="Y1929" s="4" t="s">
        <v>32716</v>
      </c>
      <c r="Z1929" s="4" t="s">
        <v>32717</v>
      </c>
      <c r="AA1929" s="4" t="s">
        <v>32718</v>
      </c>
      <c r="AB1929" s="4"/>
      <c r="AC1929" s="4" t="s">
        <v>32719</v>
      </c>
      <c r="AD1929" s="4" t="s">
        <v>32720</v>
      </c>
      <c r="AE1929" s="4" t="s">
        <v>32721</v>
      </c>
      <c r="AF1929" s="4"/>
      <c r="AG1929" s="4" t="n">
        <v>25</v>
      </c>
      <c r="AH1929" s="4" t="n">
        <v>120</v>
      </c>
      <c r="AI1929" s="4" t="n">
        <v>123</v>
      </c>
      <c r="AJ1929" s="4" t="n">
        <v>0</v>
      </c>
      <c r="AK1929" s="4" t="n">
        <v>16</v>
      </c>
      <c r="AL1929" s="4" t="s">
        <v>755</v>
      </c>
      <c r="AM1929" s="4" t="s">
        <v>273</v>
      </c>
      <c r="AN1929" s="4" t="s">
        <v>756</v>
      </c>
      <c r="AO1929" s="4" t="s">
        <v>2234</v>
      </c>
      <c r="AP1929" s="4"/>
      <c r="AQ1929" s="4"/>
      <c r="AR1929" s="4" t="s">
        <v>2236</v>
      </c>
      <c r="AS1929" s="4" t="s">
        <v>2237</v>
      </c>
      <c r="AT1929" s="4" t="s">
        <v>446</v>
      </c>
      <c r="AU1929" s="4" t="n">
        <v>2011</v>
      </c>
      <c r="AV1929" s="4" t="n">
        <v>49</v>
      </c>
      <c r="AW1929" s="4" t="n">
        <v>12</v>
      </c>
      <c r="AX1929" s="4"/>
      <c r="AY1929" s="4"/>
      <c r="AZ1929" s="4"/>
      <c r="BA1929" s="4"/>
      <c r="BB1929" s="4" t="n">
        <v>4083</v>
      </c>
      <c r="BC1929" s="4" t="n">
        <v>4088</v>
      </c>
      <c r="BD1929" s="4"/>
      <c r="BE1929" s="4" t="s">
        <v>32722</v>
      </c>
      <c r="BF1929" s="4" t="str">
        <f aca="false">HYPERLINK("http://dx.doi.org/10.1128/JCM.05010-11","http://dx.doi.org/10.1128/JCM.05010-11")</f>
        <v>http://dx.doi.org/10.1128/JCM.05010-11</v>
      </c>
      <c r="BG1929" s="4"/>
      <c r="BH1929" s="4"/>
      <c r="BI1929" s="4" t="n">
        <v>6</v>
      </c>
      <c r="BJ1929" s="4" t="s">
        <v>211</v>
      </c>
      <c r="BK1929" s="4" t="s">
        <v>100</v>
      </c>
      <c r="BL1929" s="4" t="s">
        <v>211</v>
      </c>
      <c r="BM1929" s="4" t="s">
        <v>32723</v>
      </c>
      <c r="BN1929" s="4" t="n">
        <v>21998418</v>
      </c>
      <c r="BO1929" s="4" t="s">
        <v>165</v>
      </c>
      <c r="BP1929" s="4"/>
      <c r="BQ1929" s="4"/>
      <c r="BR1929" s="4" t="s">
        <v>104</v>
      </c>
      <c r="BS1929" s="4" t="s">
        <v>32724</v>
      </c>
      <c r="BT1929" s="4" t="str">
        <f aca="false">HYPERLINK("https%3A%2F%2Fwww.webofscience.com%2Fwos%2Fwoscc%2Ffull-record%2FWOS:000298113400010","View Full Record in Web of Science")</f>
        <v>View Full Record in Web of Science</v>
      </c>
    </row>
    <row r="1930" s="5" customFormat="true" ht="12.75" hidden="false" customHeight="false" outlineLevel="0" collapsed="false">
      <c r="A1930" s="4" t="s">
        <v>72</v>
      </c>
      <c r="B1930" s="4" t="s">
        <v>32725</v>
      </c>
      <c r="C1930" s="4"/>
      <c r="D1930" s="4"/>
      <c r="E1930" s="4"/>
      <c r="F1930" s="4" t="s">
        <v>32726</v>
      </c>
      <c r="G1930" s="4"/>
      <c r="H1930" s="4"/>
      <c r="I1930" s="4" t="s">
        <v>32727</v>
      </c>
      <c r="J1930" s="4" t="s">
        <v>27497</v>
      </c>
      <c r="K1930" s="4"/>
      <c r="L1930" s="4"/>
      <c r="M1930" s="4" t="s">
        <v>77</v>
      </c>
      <c r="N1930" s="4" t="s">
        <v>78</v>
      </c>
      <c r="O1930" s="4"/>
      <c r="P1930" s="4"/>
      <c r="Q1930" s="4"/>
      <c r="R1930" s="4"/>
      <c r="S1930" s="4"/>
      <c r="T1930" s="1" t="s">
        <v>32728</v>
      </c>
      <c r="U1930" s="4" t="s">
        <v>32729</v>
      </c>
      <c r="V1930" s="4" t="s">
        <v>32730</v>
      </c>
      <c r="W1930" s="4" t="s">
        <v>32731</v>
      </c>
      <c r="X1930" s="4" t="s">
        <v>32732</v>
      </c>
      <c r="Y1930" s="4" t="s">
        <v>32733</v>
      </c>
      <c r="Z1930" s="4" t="s">
        <v>32734</v>
      </c>
      <c r="AA1930" s="4" t="s">
        <v>11079</v>
      </c>
      <c r="AB1930" s="4" t="s">
        <v>32735</v>
      </c>
      <c r="AC1930" s="4" t="s">
        <v>32736</v>
      </c>
      <c r="AD1930" s="4" t="s">
        <v>32737</v>
      </c>
      <c r="AE1930" s="4" t="s">
        <v>32738</v>
      </c>
      <c r="AF1930" s="4"/>
      <c r="AG1930" s="4" t="n">
        <v>43</v>
      </c>
      <c r="AH1930" s="4" t="n">
        <v>23</v>
      </c>
      <c r="AI1930" s="4" t="n">
        <v>24</v>
      </c>
      <c r="AJ1930" s="4" t="n">
        <v>2</v>
      </c>
      <c r="AK1930" s="4" t="n">
        <v>6</v>
      </c>
      <c r="AL1930" s="4" t="s">
        <v>27506</v>
      </c>
      <c r="AM1930" s="4" t="s">
        <v>27507</v>
      </c>
      <c r="AN1930" s="4" t="s">
        <v>27508</v>
      </c>
      <c r="AO1930" s="4" t="s">
        <v>27509</v>
      </c>
      <c r="AP1930" s="4"/>
      <c r="AQ1930" s="4"/>
      <c r="AR1930" s="4" t="s">
        <v>27497</v>
      </c>
      <c r="AS1930" s="4" t="s">
        <v>27510</v>
      </c>
      <c r="AT1930" s="4" t="s">
        <v>15131</v>
      </c>
      <c r="AU1930" s="4" t="n">
        <v>2019</v>
      </c>
      <c r="AV1930" s="4" t="n">
        <v>14</v>
      </c>
      <c r="AW1930" s="4" t="n">
        <v>6</v>
      </c>
      <c r="AX1930" s="4"/>
      <c r="AY1930" s="4"/>
      <c r="AZ1930" s="4"/>
      <c r="BA1930" s="4"/>
      <c r="BB1930" s="4"/>
      <c r="BC1930" s="4"/>
      <c r="BD1930" s="4" t="s">
        <v>32739</v>
      </c>
      <c r="BE1930" s="4" t="s">
        <v>32740</v>
      </c>
      <c r="BF1930" s="4" t="str">
        <f aca="false">HYPERLINK("http://dx.doi.org/10.1371/journal.pone.0218097","http://dx.doi.org/10.1371/journal.pone.0218097")</f>
        <v>http://dx.doi.org/10.1371/journal.pone.0218097</v>
      </c>
      <c r="BG1930" s="4"/>
      <c r="BH1930" s="4"/>
      <c r="BI1930" s="4" t="n">
        <v>16</v>
      </c>
      <c r="BJ1930" s="4" t="s">
        <v>1658</v>
      </c>
      <c r="BK1930" s="4" t="s">
        <v>100</v>
      </c>
      <c r="BL1930" s="4" t="s">
        <v>1659</v>
      </c>
      <c r="BM1930" s="4" t="s">
        <v>32741</v>
      </c>
      <c r="BN1930" s="4" t="n">
        <v>31194775</v>
      </c>
      <c r="BO1930" s="4" t="s">
        <v>6349</v>
      </c>
      <c r="BP1930" s="4"/>
      <c r="BQ1930" s="4"/>
      <c r="BR1930" s="4" t="s">
        <v>104</v>
      </c>
      <c r="BS1930" s="4" t="s">
        <v>32742</v>
      </c>
      <c r="BT1930" s="4" t="str">
        <f aca="false">HYPERLINK("https%3A%2F%2Fwww.webofscience.com%2Fwos%2Fwoscc%2Ffull-record%2FWOS:000471238300046","View Full Record in Web of Science")</f>
        <v>View Full Record in Web of Science</v>
      </c>
    </row>
    <row r="1931" s="5" customFormat="true" ht="12.75" hidden="false" customHeight="false" outlineLevel="0" collapsed="false">
      <c r="A1931" s="4" t="s">
        <v>72</v>
      </c>
      <c r="B1931" s="4" t="s">
        <v>32743</v>
      </c>
      <c r="C1931" s="4"/>
      <c r="D1931" s="4"/>
      <c r="E1931" s="4"/>
      <c r="F1931" s="4" t="s">
        <v>32744</v>
      </c>
      <c r="G1931" s="4"/>
      <c r="H1931" s="4"/>
      <c r="I1931" s="4" t="s">
        <v>32745</v>
      </c>
      <c r="J1931" s="4" t="s">
        <v>30702</v>
      </c>
      <c r="K1931" s="4"/>
      <c r="L1931" s="4"/>
      <c r="M1931" s="4" t="s">
        <v>77</v>
      </c>
      <c r="N1931" s="4" t="s">
        <v>78</v>
      </c>
      <c r="O1931" s="4"/>
      <c r="P1931" s="4"/>
      <c r="Q1931" s="4"/>
      <c r="R1931" s="4"/>
      <c r="S1931" s="4"/>
      <c r="T1931" s="1" t="s">
        <v>32746</v>
      </c>
      <c r="U1931" s="4" t="s">
        <v>32747</v>
      </c>
      <c r="V1931" s="4" t="s">
        <v>32748</v>
      </c>
      <c r="W1931" s="4" t="s">
        <v>32749</v>
      </c>
      <c r="X1931" s="4" t="s">
        <v>32750</v>
      </c>
      <c r="Y1931" s="4" t="s">
        <v>32751</v>
      </c>
      <c r="Z1931" s="4" t="s">
        <v>32752</v>
      </c>
      <c r="AA1931" s="4" t="s">
        <v>32753</v>
      </c>
      <c r="AB1931" s="4" t="s">
        <v>32754</v>
      </c>
      <c r="AC1931" s="4" t="s">
        <v>32755</v>
      </c>
      <c r="AD1931" s="4" t="s">
        <v>32756</v>
      </c>
      <c r="AE1931" s="4" t="s">
        <v>32757</v>
      </c>
      <c r="AF1931" s="4"/>
      <c r="AG1931" s="4" t="n">
        <v>34</v>
      </c>
      <c r="AH1931" s="4" t="n">
        <v>3</v>
      </c>
      <c r="AI1931" s="4" t="n">
        <v>4</v>
      </c>
      <c r="AJ1931" s="4" t="n">
        <v>0</v>
      </c>
      <c r="AK1931" s="4" t="n">
        <v>8</v>
      </c>
      <c r="AL1931" s="4" t="s">
        <v>782</v>
      </c>
      <c r="AM1931" s="4" t="s">
        <v>783</v>
      </c>
      <c r="AN1931" s="4" t="s">
        <v>784</v>
      </c>
      <c r="AO1931" s="4" t="s">
        <v>30712</v>
      </c>
      <c r="AP1931" s="4"/>
      <c r="AQ1931" s="4"/>
      <c r="AR1931" s="4" t="s">
        <v>30714</v>
      </c>
      <c r="AS1931" s="4" t="s">
        <v>30715</v>
      </c>
      <c r="AT1931" s="4" t="s">
        <v>692</v>
      </c>
      <c r="AU1931" s="4" t="n">
        <v>2013</v>
      </c>
      <c r="AV1931" s="4" t="n">
        <v>3</v>
      </c>
      <c r="AW1931" s="4" t="n">
        <v>2</v>
      </c>
      <c r="AX1931" s="4"/>
      <c r="AY1931" s="4"/>
      <c r="AZ1931" s="4"/>
      <c r="BA1931" s="4"/>
      <c r="BB1931" s="4" t="n">
        <v>192</v>
      </c>
      <c r="BC1931" s="4" t="n">
        <v>198</v>
      </c>
      <c r="BD1931" s="4"/>
      <c r="BE1931" s="4" t="s">
        <v>32758</v>
      </c>
      <c r="BF1931" s="4" t="str">
        <f aca="false">HYPERLINK("http://dx.doi.org/10.1016/j.coviro.2013.02.004","http://dx.doi.org/10.1016/j.coviro.2013.02.004")</f>
        <v>http://dx.doi.org/10.1016/j.coviro.2013.02.004</v>
      </c>
      <c r="BG1931" s="4"/>
      <c r="BH1931" s="4"/>
      <c r="BI1931" s="4" t="n">
        <v>7</v>
      </c>
      <c r="BJ1931" s="4" t="s">
        <v>163</v>
      </c>
      <c r="BK1931" s="4" t="s">
        <v>100</v>
      </c>
      <c r="BL1931" s="4" t="s">
        <v>163</v>
      </c>
      <c r="BM1931" s="4" t="s">
        <v>32759</v>
      </c>
      <c r="BN1931" s="4" t="n">
        <v>23477831</v>
      </c>
      <c r="BO1931" s="4" t="s">
        <v>1227</v>
      </c>
      <c r="BP1931" s="4"/>
      <c r="BQ1931" s="4"/>
      <c r="BR1931" s="4" t="s">
        <v>104</v>
      </c>
      <c r="BS1931" s="4" t="s">
        <v>32760</v>
      </c>
      <c r="BT1931" s="4" t="str">
        <f aca="false">HYPERLINK("https%3A%2F%2Fwww.webofscience.com%2Fwos%2Fwoscc%2Ffull-record%2FWOS:000319096900014","View Full Record in Web of Science")</f>
        <v>View Full Record in Web of Science</v>
      </c>
    </row>
    <row r="1932" s="5" customFormat="true" ht="12.75" hidden="false" customHeight="false" outlineLevel="0" collapsed="false">
      <c r="A1932" s="4" t="s">
        <v>72</v>
      </c>
      <c r="B1932" s="4" t="s">
        <v>32761</v>
      </c>
      <c r="C1932" s="4"/>
      <c r="D1932" s="4"/>
      <c r="E1932" s="4"/>
      <c r="F1932" s="4" t="s">
        <v>32762</v>
      </c>
      <c r="G1932" s="4"/>
      <c r="H1932" s="4"/>
      <c r="I1932" s="4" t="s">
        <v>32763</v>
      </c>
      <c r="J1932" s="4" t="s">
        <v>557</v>
      </c>
      <c r="K1932" s="4"/>
      <c r="L1932" s="4"/>
      <c r="M1932" s="4" t="s">
        <v>77</v>
      </c>
      <c r="N1932" s="4" t="s">
        <v>78</v>
      </c>
      <c r="O1932" s="4"/>
      <c r="P1932" s="4"/>
      <c r="Q1932" s="4"/>
      <c r="R1932" s="4"/>
      <c r="S1932" s="4"/>
      <c r="T1932" s="1" t="s">
        <v>32764</v>
      </c>
      <c r="U1932" s="4" t="s">
        <v>32765</v>
      </c>
      <c r="V1932" s="4" t="s">
        <v>32766</v>
      </c>
      <c r="W1932" s="4" t="s">
        <v>32767</v>
      </c>
      <c r="X1932" s="4" t="s">
        <v>32768</v>
      </c>
      <c r="Y1932" s="4" t="s">
        <v>32769</v>
      </c>
      <c r="Z1932" s="4" t="s">
        <v>32770</v>
      </c>
      <c r="AA1932" s="4" t="s">
        <v>32771</v>
      </c>
      <c r="AB1932" s="4" t="s">
        <v>32772</v>
      </c>
      <c r="AC1932" s="4" t="s">
        <v>32773</v>
      </c>
      <c r="AD1932" s="4" t="s">
        <v>26476</v>
      </c>
      <c r="AE1932" s="4" t="s">
        <v>32774</v>
      </c>
      <c r="AF1932" s="4"/>
      <c r="AG1932" s="4" t="n">
        <v>73</v>
      </c>
      <c r="AH1932" s="4" t="n">
        <v>62</v>
      </c>
      <c r="AI1932" s="4" t="n">
        <v>69</v>
      </c>
      <c r="AJ1932" s="4" t="n">
        <v>0</v>
      </c>
      <c r="AK1932" s="4" t="n">
        <v>11</v>
      </c>
      <c r="AL1932" s="4" t="s">
        <v>302</v>
      </c>
      <c r="AM1932" s="4" t="s">
        <v>303</v>
      </c>
      <c r="AN1932" s="4" t="s">
        <v>304</v>
      </c>
      <c r="AO1932" s="4"/>
      <c r="AP1932" s="4" t="s">
        <v>570</v>
      </c>
      <c r="AQ1932" s="4"/>
      <c r="AR1932" s="4" t="s">
        <v>571</v>
      </c>
      <c r="AS1932" s="4" t="s">
        <v>572</v>
      </c>
      <c r="AT1932" s="4" t="s">
        <v>7622</v>
      </c>
      <c r="AU1932" s="4" t="n">
        <v>2015</v>
      </c>
      <c r="AV1932" s="4" t="n">
        <v>15</v>
      </c>
      <c r="AW1932" s="4"/>
      <c r="AX1932" s="4"/>
      <c r="AY1932" s="4"/>
      <c r="AZ1932" s="4"/>
      <c r="BA1932" s="4"/>
      <c r="BB1932" s="4"/>
      <c r="BC1932" s="4"/>
      <c r="BD1932" s="4" t="n">
        <v>95</v>
      </c>
      <c r="BE1932" s="4" t="s">
        <v>32775</v>
      </c>
      <c r="BF1932" s="4" t="str">
        <f aca="false">HYPERLINK("http://dx.doi.org/10.1186/s12879-015-0827-x","http://dx.doi.org/10.1186/s12879-015-0827-x")</f>
        <v>http://dx.doi.org/10.1186/s12879-015-0827-x</v>
      </c>
      <c r="BG1932" s="4"/>
      <c r="BH1932" s="4"/>
      <c r="BI1932" s="4" t="n">
        <v>11</v>
      </c>
      <c r="BJ1932" s="4" t="s">
        <v>575</v>
      </c>
      <c r="BK1932" s="4" t="s">
        <v>100</v>
      </c>
      <c r="BL1932" s="4" t="s">
        <v>575</v>
      </c>
      <c r="BM1932" s="4" t="s">
        <v>32776</v>
      </c>
      <c r="BN1932" s="4" t="n">
        <v>25879805</v>
      </c>
      <c r="BO1932" s="4" t="s">
        <v>190</v>
      </c>
      <c r="BP1932" s="4"/>
      <c r="BQ1932" s="4"/>
      <c r="BR1932" s="4" t="s">
        <v>104</v>
      </c>
      <c r="BS1932" s="4" t="s">
        <v>32777</v>
      </c>
      <c r="BT1932" s="4" t="str">
        <f aca="false">HYPERLINK("https%3A%2F%2Fwww.webofscience.com%2Fwos%2Fwoscc%2Ffull-record%2FWOS:000350597200001","View Full Record in Web of Science")</f>
        <v>View Full Record in Web of Science</v>
      </c>
    </row>
    <row r="1933" s="5" customFormat="true" ht="12.75" hidden="false" customHeight="false" outlineLevel="0" collapsed="false">
      <c r="A1933" s="4" t="s">
        <v>72</v>
      </c>
      <c r="B1933" s="4" t="s">
        <v>32778</v>
      </c>
      <c r="C1933" s="4"/>
      <c r="D1933" s="4"/>
      <c r="E1933" s="4"/>
      <c r="F1933" s="4" t="s">
        <v>32778</v>
      </c>
      <c r="G1933" s="4"/>
      <c r="H1933" s="4"/>
      <c r="I1933" s="4" t="s">
        <v>32779</v>
      </c>
      <c r="J1933" s="4" t="s">
        <v>2222</v>
      </c>
      <c r="K1933" s="4"/>
      <c r="L1933" s="4"/>
      <c r="M1933" s="4" t="s">
        <v>77</v>
      </c>
      <c r="N1933" s="4" t="s">
        <v>78</v>
      </c>
      <c r="O1933" s="4"/>
      <c r="P1933" s="4"/>
      <c r="Q1933" s="4"/>
      <c r="R1933" s="4"/>
      <c r="S1933" s="4"/>
      <c r="T1933" s="1" t="s">
        <v>32780</v>
      </c>
      <c r="U1933" s="4" t="s">
        <v>32781</v>
      </c>
      <c r="V1933" s="4" t="s">
        <v>32782</v>
      </c>
      <c r="W1933" s="4" t="s">
        <v>32783</v>
      </c>
      <c r="X1933" s="4" t="s">
        <v>32784</v>
      </c>
      <c r="Y1933" s="4" t="s">
        <v>32785</v>
      </c>
      <c r="Z1933" s="4" t="s">
        <v>9722</v>
      </c>
      <c r="AA1933" s="4" t="s">
        <v>32786</v>
      </c>
      <c r="AB1933" s="4" t="s">
        <v>8075</v>
      </c>
      <c r="AC1933" s="4"/>
      <c r="AD1933" s="4"/>
      <c r="AE1933" s="4"/>
      <c r="AF1933" s="4"/>
      <c r="AG1933" s="4" t="n">
        <v>17</v>
      </c>
      <c r="AH1933" s="4" t="n">
        <v>250</v>
      </c>
      <c r="AI1933" s="4" t="n">
        <v>276</v>
      </c>
      <c r="AJ1933" s="4" t="n">
        <v>0</v>
      </c>
      <c r="AK1933" s="4" t="n">
        <v>4</v>
      </c>
      <c r="AL1933" s="4" t="s">
        <v>755</v>
      </c>
      <c r="AM1933" s="4" t="s">
        <v>273</v>
      </c>
      <c r="AN1933" s="4" t="s">
        <v>756</v>
      </c>
      <c r="AO1933" s="4" t="s">
        <v>2234</v>
      </c>
      <c r="AP1933" s="4" t="s">
        <v>2235</v>
      </c>
      <c r="AQ1933" s="4"/>
      <c r="AR1933" s="4" t="s">
        <v>2236</v>
      </c>
      <c r="AS1933" s="4" t="s">
        <v>2237</v>
      </c>
      <c r="AT1933" s="4" t="s">
        <v>97</v>
      </c>
      <c r="AU1933" s="4" t="n">
        <v>2004</v>
      </c>
      <c r="AV1933" s="4" t="n">
        <v>42</v>
      </c>
      <c r="AW1933" s="4" t="n">
        <v>3</v>
      </c>
      <c r="AX1933" s="4"/>
      <c r="AY1933" s="4"/>
      <c r="AZ1933" s="4"/>
      <c r="BA1933" s="4"/>
      <c r="BB1933" s="4" t="n">
        <v>981</v>
      </c>
      <c r="BC1933" s="4" t="n">
        <v>986</v>
      </c>
      <c r="BD1933" s="4"/>
      <c r="BE1933" s="4" t="s">
        <v>32787</v>
      </c>
      <c r="BF1933" s="4" t="str">
        <f aca="false">HYPERLINK("http://dx.doi.org/10.1128/JCM.42.3.981-986.2004","http://dx.doi.org/10.1128/JCM.42.3.981-986.2004")</f>
        <v>http://dx.doi.org/10.1128/JCM.42.3.981-986.2004</v>
      </c>
      <c r="BG1933" s="4"/>
      <c r="BH1933" s="4"/>
      <c r="BI1933" s="4" t="n">
        <v>6</v>
      </c>
      <c r="BJ1933" s="4" t="s">
        <v>211</v>
      </c>
      <c r="BK1933" s="4" t="s">
        <v>100</v>
      </c>
      <c r="BL1933" s="4" t="s">
        <v>211</v>
      </c>
      <c r="BM1933" s="4" t="s">
        <v>32788</v>
      </c>
      <c r="BN1933" s="4" t="n">
        <v>15004041</v>
      </c>
      <c r="BO1933" s="4" t="s">
        <v>3775</v>
      </c>
      <c r="BP1933" s="4"/>
      <c r="BQ1933" s="4"/>
      <c r="BR1933" s="4" t="s">
        <v>104</v>
      </c>
      <c r="BS1933" s="4" t="s">
        <v>32789</v>
      </c>
      <c r="BT1933" s="4" t="str">
        <f aca="false">HYPERLINK("https%3A%2F%2Fwww.webofscience.com%2Fwos%2Fwoscc%2Ffull-record%2FWOS:000220376900006","View Full Record in Web of Science")</f>
        <v>View Full Record in Web of Science</v>
      </c>
    </row>
    <row r="1934" s="5" customFormat="true" ht="12.75" hidden="false" customHeight="false" outlineLevel="0" collapsed="false">
      <c r="A1934" s="4" t="s">
        <v>72</v>
      </c>
      <c r="B1934" s="4" t="s">
        <v>32790</v>
      </c>
      <c r="C1934" s="4"/>
      <c r="D1934" s="4"/>
      <c r="E1934" s="4"/>
      <c r="F1934" s="4" t="s">
        <v>32791</v>
      </c>
      <c r="G1934" s="4"/>
      <c r="H1934" s="4"/>
      <c r="I1934" s="4" t="s">
        <v>32792</v>
      </c>
      <c r="J1934" s="4" t="s">
        <v>1863</v>
      </c>
      <c r="K1934" s="4"/>
      <c r="L1934" s="4"/>
      <c r="M1934" s="4" t="s">
        <v>77</v>
      </c>
      <c r="N1934" s="4" t="s">
        <v>78</v>
      </c>
      <c r="O1934" s="4"/>
      <c r="P1934" s="4"/>
      <c r="Q1934" s="4"/>
      <c r="R1934" s="4"/>
      <c r="S1934" s="4"/>
      <c r="T1934" s="1" t="s">
        <v>32793</v>
      </c>
      <c r="U1934" s="4" t="s">
        <v>32794</v>
      </c>
      <c r="V1934" s="4" t="s">
        <v>32795</v>
      </c>
      <c r="W1934" s="4" t="s">
        <v>32796</v>
      </c>
      <c r="X1934" s="4" t="s">
        <v>32797</v>
      </c>
      <c r="Y1934" s="4" t="s">
        <v>32798</v>
      </c>
      <c r="Z1934" s="4" t="s">
        <v>6724</v>
      </c>
      <c r="AA1934" s="4" t="s">
        <v>32799</v>
      </c>
      <c r="AB1934" s="4" t="s">
        <v>32800</v>
      </c>
      <c r="AC1934" s="4" t="s">
        <v>32801</v>
      </c>
      <c r="AD1934" s="4" t="s">
        <v>32802</v>
      </c>
      <c r="AE1934" s="4" t="s">
        <v>32803</v>
      </c>
      <c r="AF1934" s="4"/>
      <c r="AG1934" s="4" t="n">
        <v>32</v>
      </c>
      <c r="AH1934" s="4" t="n">
        <v>28</v>
      </c>
      <c r="AI1934" s="4" t="n">
        <v>30</v>
      </c>
      <c r="AJ1934" s="4" t="n">
        <v>0</v>
      </c>
      <c r="AK1934" s="4" t="n">
        <v>5</v>
      </c>
      <c r="AL1934" s="4" t="s">
        <v>2337</v>
      </c>
      <c r="AM1934" s="4" t="s">
        <v>303</v>
      </c>
      <c r="AN1934" s="4" t="s">
        <v>2338</v>
      </c>
      <c r="AO1934" s="4" t="s">
        <v>1876</v>
      </c>
      <c r="AP1934" s="4"/>
      <c r="AQ1934" s="4"/>
      <c r="AR1934" s="4" t="s">
        <v>1877</v>
      </c>
      <c r="AS1934" s="4" t="s">
        <v>1878</v>
      </c>
      <c r="AT1934" s="4" t="s">
        <v>17388</v>
      </c>
      <c r="AU1934" s="4" t="n">
        <v>2011</v>
      </c>
      <c r="AV1934" s="4" t="n">
        <v>8</v>
      </c>
      <c r="AW1934" s="4"/>
      <c r="AX1934" s="4"/>
      <c r="AY1934" s="4"/>
      <c r="AZ1934" s="4"/>
      <c r="BA1934" s="4"/>
      <c r="BB1934" s="4"/>
      <c r="BC1934" s="4"/>
      <c r="BD1934" s="4" t="n">
        <v>332</v>
      </c>
      <c r="BE1934" s="4" t="s">
        <v>32804</v>
      </c>
      <c r="BF1934" s="4" t="str">
        <f aca="false">HYPERLINK("http://dx.doi.org/10.1186/1743-422X-8-332","http://dx.doi.org/10.1186/1743-422X-8-332")</f>
        <v>http://dx.doi.org/10.1186/1743-422X-8-332</v>
      </c>
      <c r="BG1934" s="4"/>
      <c r="BH1934" s="4"/>
      <c r="BI1934" s="4" t="n">
        <v>7</v>
      </c>
      <c r="BJ1934" s="4" t="s">
        <v>163</v>
      </c>
      <c r="BK1934" s="4" t="s">
        <v>100</v>
      </c>
      <c r="BL1934" s="4" t="s">
        <v>163</v>
      </c>
      <c r="BM1934" s="4" t="s">
        <v>32805</v>
      </c>
      <c r="BN1934" s="4" t="n">
        <v>21714915</v>
      </c>
      <c r="BO1934" s="4" t="s">
        <v>190</v>
      </c>
      <c r="BP1934" s="4"/>
      <c r="BQ1934" s="4"/>
      <c r="BR1934" s="4" t="s">
        <v>104</v>
      </c>
      <c r="BS1934" s="4" t="s">
        <v>32806</v>
      </c>
      <c r="BT1934" s="4" t="str">
        <f aca="false">HYPERLINK("https%3A%2F%2Fwww.webofscience.com%2Fwos%2Fwoscc%2Ffull-record%2FWOS:000293737900001","View Full Record in Web of Science")</f>
        <v>View Full Record in Web of Science</v>
      </c>
    </row>
    <row r="1935" s="5" customFormat="true" ht="12.75" hidden="false" customHeight="false" outlineLevel="0" collapsed="false">
      <c r="A1935" s="4" t="s">
        <v>72</v>
      </c>
      <c r="B1935" s="4" t="s">
        <v>32807</v>
      </c>
      <c r="C1935" s="4"/>
      <c r="D1935" s="4"/>
      <c r="E1935" s="4"/>
      <c r="F1935" s="4" t="s">
        <v>32808</v>
      </c>
      <c r="G1935" s="4"/>
      <c r="H1935" s="4"/>
      <c r="I1935" s="4" t="s">
        <v>32809</v>
      </c>
      <c r="J1935" s="4" t="s">
        <v>4895</v>
      </c>
      <c r="K1935" s="4"/>
      <c r="L1935" s="4"/>
      <c r="M1935" s="4" t="s">
        <v>77</v>
      </c>
      <c r="N1935" s="4" t="s">
        <v>78</v>
      </c>
      <c r="O1935" s="4"/>
      <c r="P1935" s="4"/>
      <c r="Q1935" s="4"/>
      <c r="R1935" s="4"/>
      <c r="S1935" s="4"/>
      <c r="T1935" s="1" t="s">
        <v>32810</v>
      </c>
      <c r="U1935" s="4" t="s">
        <v>32811</v>
      </c>
      <c r="V1935" s="4" t="s">
        <v>32812</v>
      </c>
      <c r="W1935" s="4" t="s">
        <v>32813</v>
      </c>
      <c r="X1935" s="4" t="s">
        <v>32814</v>
      </c>
      <c r="Y1935" s="4" t="s">
        <v>32815</v>
      </c>
      <c r="Z1935" s="4" t="s">
        <v>32816</v>
      </c>
      <c r="AA1935" s="4" t="s">
        <v>32817</v>
      </c>
      <c r="AB1935" s="4" t="s">
        <v>32818</v>
      </c>
      <c r="AC1935" s="4" t="s">
        <v>32819</v>
      </c>
      <c r="AD1935" s="4" t="s">
        <v>32820</v>
      </c>
      <c r="AE1935" s="4" t="s">
        <v>32821</v>
      </c>
      <c r="AF1935" s="4"/>
      <c r="AG1935" s="4" t="n">
        <v>22</v>
      </c>
      <c r="AH1935" s="4" t="n">
        <v>28</v>
      </c>
      <c r="AI1935" s="4" t="n">
        <v>28</v>
      </c>
      <c r="AJ1935" s="4" t="n">
        <v>0</v>
      </c>
      <c r="AK1935" s="4" t="n">
        <v>1</v>
      </c>
      <c r="AL1935" s="4" t="s">
        <v>592</v>
      </c>
      <c r="AM1935" s="4" t="s">
        <v>593</v>
      </c>
      <c r="AN1935" s="4" t="s">
        <v>594</v>
      </c>
      <c r="AO1935" s="4" t="s">
        <v>4905</v>
      </c>
      <c r="AP1935" s="4" t="s">
        <v>4906</v>
      </c>
      <c r="AQ1935" s="4"/>
      <c r="AR1935" s="4" t="s">
        <v>4907</v>
      </c>
      <c r="AS1935" s="4" t="s">
        <v>4908</v>
      </c>
      <c r="AT1935" s="4" t="s">
        <v>486</v>
      </c>
      <c r="AU1935" s="4" t="n">
        <v>2012</v>
      </c>
      <c r="AV1935" s="4" t="n">
        <v>31</v>
      </c>
      <c r="AW1935" s="4" t="n">
        <v>6</v>
      </c>
      <c r="AX1935" s="4"/>
      <c r="AY1935" s="4"/>
      <c r="AZ1935" s="4"/>
      <c r="BA1935" s="4"/>
      <c r="BB1935" s="4" t="n">
        <v>999</v>
      </c>
      <c r="BC1935" s="4" t="n">
        <v>1007</v>
      </c>
      <c r="BD1935" s="4"/>
      <c r="BE1935" s="4" t="s">
        <v>32822</v>
      </c>
      <c r="BF1935" s="4" t="str">
        <f aca="false">HYPERLINK("http://dx.doi.org/10.1007/s10096-011-1398-4","http://dx.doi.org/10.1007/s10096-011-1398-4")</f>
        <v>http://dx.doi.org/10.1007/s10096-011-1398-4</v>
      </c>
      <c r="BG1935" s="4"/>
      <c r="BH1935" s="4"/>
      <c r="BI1935" s="4" t="n">
        <v>9</v>
      </c>
      <c r="BJ1935" s="4" t="s">
        <v>1467</v>
      </c>
      <c r="BK1935" s="4" t="s">
        <v>100</v>
      </c>
      <c r="BL1935" s="4" t="s">
        <v>1467</v>
      </c>
      <c r="BM1935" s="4" t="s">
        <v>32823</v>
      </c>
      <c r="BN1935" s="4" t="n">
        <v>21901635</v>
      </c>
      <c r="BO1935" s="4" t="s">
        <v>656</v>
      </c>
      <c r="BP1935" s="4"/>
      <c r="BQ1935" s="4"/>
      <c r="BR1935" s="4" t="s">
        <v>104</v>
      </c>
      <c r="BS1935" s="4" t="s">
        <v>32824</v>
      </c>
      <c r="BT1935" s="4" t="str">
        <f aca="false">HYPERLINK("https%3A%2F%2Fwww.webofscience.com%2Fwos%2Fwoscc%2Ffull-record%2FWOS:000303878400016","View Full Record in Web of Science")</f>
        <v>View Full Record in Web of Science</v>
      </c>
    </row>
    <row r="1936" s="5" customFormat="true" ht="12.75" hidden="false" customHeight="false" outlineLevel="0" collapsed="false">
      <c r="A1936" s="4" t="s">
        <v>72</v>
      </c>
      <c r="B1936" s="4" t="s">
        <v>32825</v>
      </c>
      <c r="C1936" s="4"/>
      <c r="D1936" s="4"/>
      <c r="E1936" s="4"/>
      <c r="F1936" s="4" t="s">
        <v>32825</v>
      </c>
      <c r="G1936" s="4"/>
      <c r="H1936" s="4"/>
      <c r="I1936" s="4" t="s">
        <v>32826</v>
      </c>
      <c r="J1936" s="4" t="s">
        <v>27475</v>
      </c>
      <c r="K1936" s="4"/>
      <c r="L1936" s="4"/>
      <c r="M1936" s="4" t="s">
        <v>77</v>
      </c>
      <c r="N1936" s="4" t="s">
        <v>78</v>
      </c>
      <c r="O1936" s="4"/>
      <c r="P1936" s="4"/>
      <c r="Q1936" s="4"/>
      <c r="R1936" s="4"/>
      <c r="S1936" s="4"/>
      <c r="T1936" s="1" t="s">
        <v>32827</v>
      </c>
      <c r="U1936" s="4" t="s">
        <v>32828</v>
      </c>
      <c r="V1936" s="4" t="s">
        <v>32829</v>
      </c>
      <c r="W1936" s="4" t="s">
        <v>32830</v>
      </c>
      <c r="X1936" s="4" t="s">
        <v>4262</v>
      </c>
      <c r="Y1936" s="4" t="s">
        <v>32831</v>
      </c>
      <c r="Z1936" s="4" t="s">
        <v>1617</v>
      </c>
      <c r="AA1936" s="4" t="s">
        <v>29983</v>
      </c>
      <c r="AB1936" s="4" t="s">
        <v>27524</v>
      </c>
      <c r="AC1936" s="4" t="s">
        <v>32832</v>
      </c>
      <c r="AD1936" s="4" t="s">
        <v>2416</v>
      </c>
      <c r="AE1936" s="4"/>
      <c r="AF1936" s="4"/>
      <c r="AG1936" s="4" t="n">
        <v>25</v>
      </c>
      <c r="AH1936" s="4" t="n">
        <v>664</v>
      </c>
      <c r="AI1936" s="4" t="n">
        <v>754</v>
      </c>
      <c r="AJ1936" s="4" t="n">
        <v>1</v>
      </c>
      <c r="AK1936" s="4" t="n">
        <v>30</v>
      </c>
      <c r="AL1936" s="4" t="s">
        <v>27485</v>
      </c>
      <c r="AM1936" s="4" t="s">
        <v>27486</v>
      </c>
      <c r="AN1936" s="4" t="s">
        <v>27487</v>
      </c>
      <c r="AO1936" s="4" t="s">
        <v>27488</v>
      </c>
      <c r="AP1936" s="4" t="s">
        <v>32833</v>
      </c>
      <c r="AQ1936" s="4"/>
      <c r="AR1936" s="4" t="s">
        <v>27489</v>
      </c>
      <c r="AS1936" s="4" t="s">
        <v>27490</v>
      </c>
      <c r="AT1936" s="4" t="s">
        <v>16772</v>
      </c>
      <c r="AU1936" s="4" t="n">
        <v>2004</v>
      </c>
      <c r="AV1936" s="4" t="n">
        <v>350</v>
      </c>
      <c r="AW1936" s="4" t="n">
        <v>5</v>
      </c>
      <c r="AX1936" s="4"/>
      <c r="AY1936" s="4"/>
      <c r="AZ1936" s="4"/>
      <c r="BA1936" s="4"/>
      <c r="BB1936" s="4" t="n">
        <v>443</v>
      </c>
      <c r="BC1936" s="4" t="n">
        <v>450</v>
      </c>
      <c r="BD1936" s="4"/>
      <c r="BE1936" s="4" t="s">
        <v>32834</v>
      </c>
      <c r="BF1936" s="4" t="str">
        <f aca="false">HYPERLINK("http://dx.doi.org/10.1056/NEJMoa025472","http://dx.doi.org/10.1056/NEJMoa025472")</f>
        <v>http://dx.doi.org/10.1056/NEJMoa025472</v>
      </c>
      <c r="BG1936" s="4"/>
      <c r="BH1936" s="4"/>
      <c r="BI1936" s="4" t="n">
        <v>8</v>
      </c>
      <c r="BJ1936" s="4" t="s">
        <v>363</v>
      </c>
      <c r="BK1936" s="4" t="s">
        <v>100</v>
      </c>
      <c r="BL1936" s="4" t="s">
        <v>364</v>
      </c>
      <c r="BM1936" s="4" t="s">
        <v>32835</v>
      </c>
      <c r="BN1936" s="4" t="n">
        <v>14749452</v>
      </c>
      <c r="BO1936" s="4" t="s">
        <v>4062</v>
      </c>
      <c r="BP1936" s="4"/>
      <c r="BQ1936" s="4"/>
      <c r="BR1936" s="4" t="s">
        <v>104</v>
      </c>
      <c r="BS1936" s="4" t="s">
        <v>32836</v>
      </c>
      <c r="BT1936" s="4" t="str">
        <f aca="false">HYPERLINK("https%3A%2F%2Fwww.webofscience.com%2Fwos%2Fwoscc%2Ffull-record%2FWOS:000188463900006","View Full Record in Web of Science")</f>
        <v>View Full Record in Web of Science</v>
      </c>
    </row>
    <row r="1937" s="5" customFormat="true" ht="12.75" hidden="false" customHeight="false" outlineLevel="0" collapsed="false">
      <c r="A1937" s="4" t="s">
        <v>72</v>
      </c>
      <c r="B1937" s="4" t="s">
        <v>32837</v>
      </c>
      <c r="C1937" s="4"/>
      <c r="D1937" s="4"/>
      <c r="E1937" s="4"/>
      <c r="F1937" s="4" t="s">
        <v>32838</v>
      </c>
      <c r="G1937" s="4"/>
      <c r="H1937" s="4"/>
      <c r="I1937" s="4" t="s">
        <v>32839</v>
      </c>
      <c r="J1937" s="4" t="s">
        <v>27497</v>
      </c>
      <c r="K1937" s="4"/>
      <c r="L1937" s="4"/>
      <c r="M1937" s="4" t="s">
        <v>77</v>
      </c>
      <c r="N1937" s="4" t="s">
        <v>78</v>
      </c>
      <c r="O1937" s="4"/>
      <c r="P1937" s="4"/>
      <c r="Q1937" s="4"/>
      <c r="R1937" s="4"/>
      <c r="S1937" s="4"/>
      <c r="T1937" s="1" t="s">
        <v>32840</v>
      </c>
      <c r="U1937" s="4" t="s">
        <v>32841</v>
      </c>
      <c r="V1937" s="4" t="s">
        <v>32842</v>
      </c>
      <c r="W1937" s="4" t="s">
        <v>32843</v>
      </c>
      <c r="X1937" s="4" t="s">
        <v>30999</v>
      </c>
      <c r="Y1937" s="4" t="s">
        <v>31546</v>
      </c>
      <c r="Z1937" s="4" t="s">
        <v>6710</v>
      </c>
      <c r="AA1937" s="4" t="s">
        <v>9546</v>
      </c>
      <c r="AB1937" s="4" t="s">
        <v>32844</v>
      </c>
      <c r="AC1937" s="4" t="s">
        <v>5607</v>
      </c>
      <c r="AD1937" s="4" t="s">
        <v>1621</v>
      </c>
      <c r="AE1937" s="4" t="s">
        <v>32845</v>
      </c>
      <c r="AF1937" s="4"/>
      <c r="AG1937" s="4" t="n">
        <v>60</v>
      </c>
      <c r="AH1937" s="4" t="n">
        <v>32</v>
      </c>
      <c r="AI1937" s="4" t="n">
        <v>37</v>
      </c>
      <c r="AJ1937" s="4" t="n">
        <v>0</v>
      </c>
      <c r="AK1937" s="4" t="n">
        <v>9</v>
      </c>
      <c r="AL1937" s="4" t="s">
        <v>27506</v>
      </c>
      <c r="AM1937" s="4" t="s">
        <v>27507</v>
      </c>
      <c r="AN1937" s="4" t="s">
        <v>27508</v>
      </c>
      <c r="AO1937" s="4" t="s">
        <v>27509</v>
      </c>
      <c r="AP1937" s="4"/>
      <c r="AQ1937" s="4"/>
      <c r="AR1937" s="4" t="s">
        <v>27497</v>
      </c>
      <c r="AS1937" s="4" t="s">
        <v>27510</v>
      </c>
      <c r="AT1937" s="4" t="s">
        <v>32846</v>
      </c>
      <c r="AU1937" s="4" t="n">
        <v>2010</v>
      </c>
      <c r="AV1937" s="4" t="n">
        <v>5</v>
      </c>
      <c r="AW1937" s="4" t="n">
        <v>11</v>
      </c>
      <c r="AX1937" s="4"/>
      <c r="AY1937" s="4"/>
      <c r="AZ1937" s="4"/>
      <c r="BA1937" s="4"/>
      <c r="BB1937" s="4"/>
      <c r="BC1937" s="4"/>
      <c r="BD1937" s="4" t="s">
        <v>32847</v>
      </c>
      <c r="BE1937" s="4" t="s">
        <v>32848</v>
      </c>
      <c r="BF1937" s="4" t="str">
        <f aca="false">HYPERLINK("http://dx.doi.org/10.1371/journal.pone.0015017","http://dx.doi.org/10.1371/journal.pone.0015017")</f>
        <v>http://dx.doi.org/10.1371/journal.pone.0015017</v>
      </c>
      <c r="BG1937" s="4"/>
      <c r="BH1937" s="4"/>
      <c r="BI1937" s="4" t="n">
        <v>14</v>
      </c>
      <c r="BJ1937" s="4" t="s">
        <v>1658</v>
      </c>
      <c r="BK1937" s="4" t="s">
        <v>100</v>
      </c>
      <c r="BL1937" s="4" t="s">
        <v>1659</v>
      </c>
      <c r="BM1937" s="4" t="s">
        <v>32849</v>
      </c>
      <c r="BN1937" s="4" t="n">
        <v>21124776</v>
      </c>
      <c r="BO1937" s="4" t="s">
        <v>2582</v>
      </c>
      <c r="BP1937" s="4"/>
      <c r="BQ1937" s="4"/>
      <c r="BR1937" s="4" t="s">
        <v>104</v>
      </c>
      <c r="BS1937" s="4" t="s">
        <v>32850</v>
      </c>
      <c r="BT1937" s="4" t="str">
        <f aca="false">HYPERLINK("https%3A%2F%2Fwww.webofscience.com%2Fwos%2Fwoscc%2Ffull-record%2FWOS:000284686500016","View Full Record in Web of Science")</f>
        <v>View Full Record in Web of Science</v>
      </c>
    </row>
    <row r="1938" s="5" customFormat="true" ht="12.75" hidden="false" customHeight="false" outlineLevel="0" collapsed="false">
      <c r="A1938" s="4" t="s">
        <v>72</v>
      </c>
      <c r="B1938" s="4" t="s">
        <v>32851</v>
      </c>
      <c r="C1938" s="4"/>
      <c r="D1938" s="4"/>
      <c r="E1938" s="4"/>
      <c r="F1938" s="4" t="s">
        <v>32852</v>
      </c>
      <c r="G1938" s="4"/>
      <c r="H1938" s="4"/>
      <c r="I1938" s="4" t="s">
        <v>32853</v>
      </c>
      <c r="J1938" s="4" t="s">
        <v>32854</v>
      </c>
      <c r="K1938" s="4"/>
      <c r="L1938" s="4"/>
      <c r="M1938" s="4" t="s">
        <v>77</v>
      </c>
      <c r="N1938" s="4" t="s">
        <v>78</v>
      </c>
      <c r="O1938" s="4"/>
      <c r="P1938" s="4"/>
      <c r="Q1938" s="4"/>
      <c r="R1938" s="4"/>
      <c r="S1938" s="4"/>
      <c r="T1938" s="1" t="s">
        <v>32855</v>
      </c>
      <c r="U1938" s="4" t="s">
        <v>32856</v>
      </c>
      <c r="V1938" s="4" t="s">
        <v>32857</v>
      </c>
      <c r="W1938" s="4" t="s">
        <v>32858</v>
      </c>
      <c r="X1938" s="4" t="s">
        <v>32859</v>
      </c>
      <c r="Y1938" s="4" t="s">
        <v>32860</v>
      </c>
      <c r="Z1938" s="4" t="s">
        <v>32861</v>
      </c>
      <c r="AA1938" s="4" t="s">
        <v>32862</v>
      </c>
      <c r="AB1938" s="4" t="s">
        <v>32863</v>
      </c>
      <c r="AC1938" s="4" t="s">
        <v>32864</v>
      </c>
      <c r="AD1938" s="4" t="s">
        <v>32865</v>
      </c>
      <c r="AE1938" s="4" t="s">
        <v>32866</v>
      </c>
      <c r="AF1938" s="4"/>
      <c r="AG1938" s="4" t="n">
        <v>42</v>
      </c>
      <c r="AH1938" s="4" t="n">
        <v>23</v>
      </c>
      <c r="AI1938" s="4" t="n">
        <v>25</v>
      </c>
      <c r="AJ1938" s="4" t="n">
        <v>1</v>
      </c>
      <c r="AK1938" s="4" t="n">
        <v>12</v>
      </c>
      <c r="AL1938" s="4" t="s">
        <v>27808</v>
      </c>
      <c r="AM1938" s="4" t="s">
        <v>303</v>
      </c>
      <c r="AN1938" s="4" t="s">
        <v>27809</v>
      </c>
      <c r="AO1938" s="4" t="s">
        <v>32867</v>
      </c>
      <c r="AP1938" s="4" t="s">
        <v>32868</v>
      </c>
      <c r="AQ1938" s="4"/>
      <c r="AR1938" s="4" t="s">
        <v>32869</v>
      </c>
      <c r="AS1938" s="4" t="s">
        <v>32870</v>
      </c>
      <c r="AT1938" s="4"/>
      <c r="AU1938" s="4" t="n">
        <v>2013</v>
      </c>
      <c r="AV1938" s="4"/>
      <c r="AW1938" s="4"/>
      <c r="AX1938" s="4"/>
      <c r="AY1938" s="4"/>
      <c r="AZ1938" s="4"/>
      <c r="BA1938" s="4"/>
      <c r="BB1938" s="4"/>
      <c r="BC1938" s="4"/>
      <c r="BD1938" s="4" t="n">
        <v>210490</v>
      </c>
      <c r="BE1938" s="4" t="s">
        <v>32871</v>
      </c>
      <c r="BF1938" s="4" t="str">
        <f aca="false">HYPERLINK("http://dx.doi.org/10.1155/2013/210490","http://dx.doi.org/10.1155/2013/210490")</f>
        <v>http://dx.doi.org/10.1155/2013/210490</v>
      </c>
      <c r="BG1938" s="4"/>
      <c r="BH1938" s="4"/>
      <c r="BI1938" s="4" t="n">
        <v>8</v>
      </c>
      <c r="BJ1938" s="4" t="s">
        <v>628</v>
      </c>
      <c r="BK1938" s="4" t="s">
        <v>100</v>
      </c>
      <c r="BL1938" s="4" t="s">
        <v>628</v>
      </c>
      <c r="BM1938" s="4" t="s">
        <v>32872</v>
      </c>
      <c r="BN1938" s="4" t="n">
        <v>24363757</v>
      </c>
      <c r="BO1938" s="4" t="s">
        <v>5702</v>
      </c>
      <c r="BP1938" s="4"/>
      <c r="BQ1938" s="4"/>
      <c r="BR1938" s="4" t="s">
        <v>104</v>
      </c>
      <c r="BS1938" s="4" t="s">
        <v>32873</v>
      </c>
      <c r="BT1938" s="4" t="str">
        <f aca="false">HYPERLINK("https%3A%2F%2Fwww.webofscience.com%2Fwos%2Fwoscc%2Ffull-record%2FWOS:000328400800001","View Full Record in Web of Science")</f>
        <v>View Full Record in Web of Science</v>
      </c>
    </row>
    <row r="1939" s="5" customFormat="true" ht="12.75" hidden="false" customHeight="false" outlineLevel="0" collapsed="false">
      <c r="A1939" s="4" t="s">
        <v>72</v>
      </c>
      <c r="B1939" s="4" t="s">
        <v>32874</v>
      </c>
      <c r="C1939" s="4"/>
      <c r="D1939" s="4"/>
      <c r="E1939" s="4"/>
      <c r="F1939" s="4" t="s">
        <v>32875</v>
      </c>
      <c r="G1939" s="4"/>
      <c r="H1939" s="4"/>
      <c r="I1939" s="4" t="s">
        <v>32876</v>
      </c>
      <c r="J1939" s="4" t="s">
        <v>32877</v>
      </c>
      <c r="K1939" s="4"/>
      <c r="L1939" s="4"/>
      <c r="M1939" s="4" t="s">
        <v>77</v>
      </c>
      <c r="N1939" s="4" t="s">
        <v>78</v>
      </c>
      <c r="O1939" s="4"/>
      <c r="P1939" s="4"/>
      <c r="Q1939" s="4"/>
      <c r="R1939" s="4"/>
      <c r="S1939" s="4"/>
      <c r="T1939" s="1" t="s">
        <v>32878</v>
      </c>
      <c r="U1939" s="4"/>
      <c r="V1939" s="4" t="s">
        <v>32879</v>
      </c>
      <c r="W1939" s="4" t="s">
        <v>32880</v>
      </c>
      <c r="X1939" s="4" t="s">
        <v>32881</v>
      </c>
      <c r="Y1939" s="4" t="s">
        <v>32882</v>
      </c>
      <c r="Z1939" s="4" t="s">
        <v>32883</v>
      </c>
      <c r="AA1939" s="4"/>
      <c r="AB1939" s="4" t="s">
        <v>32884</v>
      </c>
      <c r="AC1939" s="4"/>
      <c r="AD1939" s="4"/>
      <c r="AE1939" s="4"/>
      <c r="AF1939" s="4"/>
      <c r="AG1939" s="4" t="n">
        <v>8</v>
      </c>
      <c r="AH1939" s="4" t="n">
        <v>5</v>
      </c>
      <c r="AI1939" s="4" t="n">
        <v>6</v>
      </c>
      <c r="AJ1939" s="4" t="n">
        <v>0</v>
      </c>
      <c r="AK1939" s="4" t="n">
        <v>0</v>
      </c>
      <c r="AL1939" s="4" t="s">
        <v>122</v>
      </c>
      <c r="AM1939" s="4" t="s">
        <v>123</v>
      </c>
      <c r="AN1939" s="4" t="s">
        <v>124</v>
      </c>
      <c r="AO1939" s="4" t="s">
        <v>32885</v>
      </c>
      <c r="AP1939" s="4"/>
      <c r="AQ1939" s="4"/>
      <c r="AR1939" s="4" t="s">
        <v>32886</v>
      </c>
      <c r="AS1939" s="4" t="s">
        <v>32887</v>
      </c>
      <c r="AT1939" s="4" t="s">
        <v>129</v>
      </c>
      <c r="AU1939" s="4" t="n">
        <v>2017</v>
      </c>
      <c r="AV1939" s="4" t="n">
        <v>130</v>
      </c>
      <c r="AW1939" s="4" t="n">
        <v>3</v>
      </c>
      <c r="AX1939" s="4"/>
      <c r="AY1939" s="4"/>
      <c r="AZ1939" s="4"/>
      <c r="BA1939" s="4"/>
      <c r="BB1939" s="4" t="n">
        <v>630</v>
      </c>
      <c r="BC1939" s="4" t="n">
        <v>632</v>
      </c>
      <c r="BD1939" s="4"/>
      <c r="BE1939" s="4" t="s">
        <v>32888</v>
      </c>
      <c r="BF1939" s="4" t="str">
        <f aca="false">HYPERLINK("http://dx.doi.org/10.1097/AOG.0000000000002165","http://dx.doi.org/10.1097/AOG.0000000000002165")</f>
        <v>http://dx.doi.org/10.1097/AOG.0000000000002165</v>
      </c>
      <c r="BG1939" s="4"/>
      <c r="BH1939" s="4"/>
      <c r="BI1939" s="4" t="n">
        <v>3</v>
      </c>
      <c r="BJ1939" s="4" t="s">
        <v>310</v>
      </c>
      <c r="BK1939" s="4" t="s">
        <v>100</v>
      </c>
      <c r="BL1939" s="4" t="s">
        <v>310</v>
      </c>
      <c r="BM1939" s="4" t="s">
        <v>32889</v>
      </c>
      <c r="BN1939" s="4" t="n">
        <v>28796690</v>
      </c>
      <c r="BO1939" s="4"/>
      <c r="BP1939" s="4"/>
      <c r="BQ1939" s="4"/>
      <c r="BR1939" s="4" t="s">
        <v>104</v>
      </c>
      <c r="BS1939" s="4" t="s">
        <v>32890</v>
      </c>
      <c r="BT1939" s="4" t="str">
        <f aca="false">HYPERLINK("https%3A%2F%2Fwww.webofscience.com%2Fwos%2Fwoscc%2Ffull-record%2FWOS:000408150300027","View Full Record in Web of Science")</f>
        <v>View Full Record in Web of Science</v>
      </c>
    </row>
    <row r="1940" s="5" customFormat="true" ht="12.75" hidden="false" customHeight="false" outlineLevel="0" collapsed="false">
      <c r="A1940" s="4" t="s">
        <v>72</v>
      </c>
      <c r="B1940" s="4" t="s">
        <v>32891</v>
      </c>
      <c r="C1940" s="4"/>
      <c r="D1940" s="4"/>
      <c r="E1940" s="4"/>
      <c r="F1940" s="4" t="s">
        <v>32892</v>
      </c>
      <c r="G1940" s="4"/>
      <c r="H1940" s="4"/>
      <c r="I1940" s="4" t="s">
        <v>32893</v>
      </c>
      <c r="J1940" s="4" t="s">
        <v>13758</v>
      </c>
      <c r="K1940" s="4"/>
      <c r="L1940" s="4"/>
      <c r="M1940" s="4" t="s">
        <v>77</v>
      </c>
      <c r="N1940" s="4" t="s">
        <v>78</v>
      </c>
      <c r="O1940" s="4"/>
      <c r="P1940" s="4"/>
      <c r="Q1940" s="4"/>
      <c r="R1940" s="4"/>
      <c r="S1940" s="4"/>
      <c r="T1940" s="1" t="s">
        <v>32894</v>
      </c>
      <c r="U1940" s="4" t="s">
        <v>32895</v>
      </c>
      <c r="V1940" s="4" t="s">
        <v>32896</v>
      </c>
      <c r="W1940" s="4" t="s">
        <v>32897</v>
      </c>
      <c r="X1940" s="4" t="s">
        <v>12669</v>
      </c>
      <c r="Y1940" s="4" t="s">
        <v>32898</v>
      </c>
      <c r="Z1940" s="4" t="s">
        <v>32899</v>
      </c>
      <c r="AA1940" s="4"/>
      <c r="AB1940" s="4"/>
      <c r="AC1940" s="4" t="s">
        <v>32900</v>
      </c>
      <c r="AD1940" s="4" t="s">
        <v>32901</v>
      </c>
      <c r="AE1940" s="4" t="s">
        <v>32902</v>
      </c>
      <c r="AF1940" s="4"/>
      <c r="AG1940" s="4" t="n">
        <v>21</v>
      </c>
      <c r="AH1940" s="4" t="n">
        <v>6</v>
      </c>
      <c r="AI1940" s="4" t="n">
        <v>9</v>
      </c>
      <c r="AJ1940" s="4" t="n">
        <v>3</v>
      </c>
      <c r="AK1940" s="4" t="n">
        <v>28</v>
      </c>
      <c r="AL1940" s="4" t="s">
        <v>13769</v>
      </c>
      <c r="AM1940" s="4" t="s">
        <v>16554</v>
      </c>
      <c r="AN1940" s="4" t="s">
        <v>16555</v>
      </c>
      <c r="AO1940" s="4" t="s">
        <v>13772</v>
      </c>
      <c r="AP1940" s="4" t="s">
        <v>13773</v>
      </c>
      <c r="AQ1940" s="4"/>
      <c r="AR1940" s="4" t="s">
        <v>13774</v>
      </c>
      <c r="AS1940" s="4" t="s">
        <v>13775</v>
      </c>
      <c r="AT1940" s="4" t="s">
        <v>390</v>
      </c>
      <c r="AU1940" s="4" t="n">
        <v>2017</v>
      </c>
      <c r="AV1940" s="4" t="n">
        <v>162</v>
      </c>
      <c r="AW1940" s="4" t="n">
        <v>5</v>
      </c>
      <c r="AX1940" s="4"/>
      <c r="AY1940" s="4"/>
      <c r="AZ1940" s="4"/>
      <c r="BA1940" s="4"/>
      <c r="BB1940" s="4" t="n">
        <v>1311</v>
      </c>
      <c r="BC1940" s="4" t="n">
        <v>1318</v>
      </c>
      <c r="BD1940" s="4"/>
      <c r="BE1940" s="4" t="s">
        <v>32903</v>
      </c>
      <c r="BF1940" s="4" t="str">
        <f aca="false">HYPERLINK("http://dx.doi.org/10.1007/s00705-017-3227-2","http://dx.doi.org/10.1007/s00705-017-3227-2")</f>
        <v>http://dx.doi.org/10.1007/s00705-017-3227-2</v>
      </c>
      <c r="BG1940" s="4"/>
      <c r="BH1940" s="4"/>
      <c r="BI1940" s="4" t="n">
        <v>8</v>
      </c>
      <c r="BJ1940" s="4" t="s">
        <v>163</v>
      </c>
      <c r="BK1940" s="4" t="s">
        <v>100</v>
      </c>
      <c r="BL1940" s="4" t="s">
        <v>163</v>
      </c>
      <c r="BM1940" s="4" t="s">
        <v>32904</v>
      </c>
      <c r="BN1940" s="4" t="n">
        <v>28155195</v>
      </c>
      <c r="BO1940" s="4"/>
      <c r="BP1940" s="4"/>
      <c r="BQ1940" s="4"/>
      <c r="BR1940" s="4" t="s">
        <v>104</v>
      </c>
      <c r="BS1940" s="4" t="s">
        <v>32905</v>
      </c>
      <c r="BT1940" s="4" t="str">
        <f aca="false">HYPERLINK("https%3A%2F%2Fwww.webofscience.com%2Fwos%2Fwoscc%2Ffull-record%2FWOS:000399200000015","View Full Record in Web of Science")</f>
        <v>View Full Record in Web of Science</v>
      </c>
    </row>
    <row r="1941" s="5" customFormat="true" ht="12.75" hidden="false" customHeight="false" outlineLevel="0" collapsed="false">
      <c r="A1941" s="4" t="s">
        <v>72</v>
      </c>
      <c r="B1941" s="4" t="s">
        <v>32906</v>
      </c>
      <c r="C1941" s="4"/>
      <c r="D1941" s="4"/>
      <c r="E1941" s="4"/>
      <c r="F1941" s="4" t="s">
        <v>32907</v>
      </c>
      <c r="G1941" s="4"/>
      <c r="H1941" s="4"/>
      <c r="I1941" s="4" t="s">
        <v>32908</v>
      </c>
      <c r="J1941" s="4" t="s">
        <v>6395</v>
      </c>
      <c r="K1941" s="4"/>
      <c r="L1941" s="4"/>
      <c r="M1941" s="4" t="s">
        <v>77</v>
      </c>
      <c r="N1941" s="4" t="s">
        <v>78</v>
      </c>
      <c r="O1941" s="4"/>
      <c r="P1941" s="4"/>
      <c r="Q1941" s="4"/>
      <c r="R1941" s="4"/>
      <c r="S1941" s="4"/>
      <c r="T1941" s="1" t="s">
        <v>32909</v>
      </c>
      <c r="U1941" s="4" t="s">
        <v>32910</v>
      </c>
      <c r="V1941" s="4" t="s">
        <v>32911</v>
      </c>
      <c r="W1941" s="4" t="s">
        <v>32912</v>
      </c>
      <c r="X1941" s="4" t="s">
        <v>32913</v>
      </c>
      <c r="Y1941" s="4" t="s">
        <v>32914</v>
      </c>
      <c r="Z1941" s="4" t="s">
        <v>32915</v>
      </c>
      <c r="AA1941" s="4" t="s">
        <v>32916</v>
      </c>
      <c r="AB1941" s="4" t="s">
        <v>32917</v>
      </c>
      <c r="AC1941" s="4" t="s">
        <v>32918</v>
      </c>
      <c r="AD1941" s="4"/>
      <c r="AE1941" s="4" t="s">
        <v>32919</v>
      </c>
      <c r="AF1941" s="4"/>
      <c r="AG1941" s="4" t="n">
        <v>58</v>
      </c>
      <c r="AH1941" s="4" t="n">
        <v>12</v>
      </c>
      <c r="AI1941" s="4" t="n">
        <v>12</v>
      </c>
      <c r="AJ1941" s="4" t="n">
        <v>1</v>
      </c>
      <c r="AK1941" s="4" t="n">
        <v>7</v>
      </c>
      <c r="AL1941" s="4" t="s">
        <v>6405</v>
      </c>
      <c r="AM1941" s="4" t="s">
        <v>6406</v>
      </c>
      <c r="AN1941" s="4" t="s">
        <v>6407</v>
      </c>
      <c r="AO1941" s="4" t="s">
        <v>6408</v>
      </c>
      <c r="AP1941" s="4"/>
      <c r="AQ1941" s="4"/>
      <c r="AR1941" s="4" t="s">
        <v>6409</v>
      </c>
      <c r="AS1941" s="4" t="s">
        <v>6410</v>
      </c>
      <c r="AT1941" s="4" t="s">
        <v>32920</v>
      </c>
      <c r="AU1941" s="4" t="n">
        <v>2015</v>
      </c>
      <c r="AV1941" s="4" t="n">
        <v>5</v>
      </c>
      <c r="AW1941" s="4"/>
      <c r="AX1941" s="4"/>
      <c r="AY1941" s="4"/>
      <c r="AZ1941" s="4"/>
      <c r="BA1941" s="4"/>
      <c r="BB1941" s="4"/>
      <c r="BC1941" s="4"/>
      <c r="BD1941" s="4" t="n">
        <v>15584</v>
      </c>
      <c r="BE1941" s="4" t="s">
        <v>32921</v>
      </c>
      <c r="BF1941" s="4" t="str">
        <f aca="false">HYPERLINK("http://dx.doi.org/10.1038/srep15584","http://dx.doi.org/10.1038/srep15584")</f>
        <v>http://dx.doi.org/10.1038/srep15584</v>
      </c>
      <c r="BG1941" s="4"/>
      <c r="BH1941" s="4"/>
      <c r="BI1941" s="4" t="n">
        <v>12</v>
      </c>
      <c r="BJ1941" s="4" t="s">
        <v>1658</v>
      </c>
      <c r="BK1941" s="4" t="s">
        <v>100</v>
      </c>
      <c r="BL1941" s="4" t="s">
        <v>1659</v>
      </c>
      <c r="BM1941" s="4" t="s">
        <v>32922</v>
      </c>
      <c r="BN1941" s="4" t="n">
        <v>26498473</v>
      </c>
      <c r="BO1941" s="4" t="s">
        <v>103</v>
      </c>
      <c r="BP1941" s="4"/>
      <c r="BQ1941" s="4"/>
      <c r="BR1941" s="4" t="s">
        <v>104</v>
      </c>
      <c r="BS1941" s="4" t="s">
        <v>32923</v>
      </c>
      <c r="BT1941" s="4" t="str">
        <f aca="false">HYPERLINK("https%3A%2F%2Fwww.webofscience.com%2Fwos%2Fwoscc%2Ffull-record%2FWOS:000363397800003","View Full Record in Web of Science")</f>
        <v>View Full Record in Web of Science</v>
      </c>
    </row>
    <row r="1942" s="5" customFormat="true" ht="12.75" hidden="false" customHeight="false" outlineLevel="0" collapsed="false">
      <c r="A1942" s="4" t="s">
        <v>72</v>
      </c>
      <c r="B1942" s="4" t="s">
        <v>32924</v>
      </c>
      <c r="C1942" s="4"/>
      <c r="D1942" s="4"/>
      <c r="E1942" s="4"/>
      <c r="F1942" s="4" t="s">
        <v>32925</v>
      </c>
      <c r="G1942" s="4"/>
      <c r="H1942" s="4"/>
      <c r="I1942" s="4" t="s">
        <v>32926</v>
      </c>
      <c r="J1942" s="4" t="s">
        <v>32927</v>
      </c>
      <c r="K1942" s="4"/>
      <c r="L1942" s="4"/>
      <c r="M1942" s="4" t="s">
        <v>77</v>
      </c>
      <c r="N1942" s="4" t="s">
        <v>78</v>
      </c>
      <c r="O1942" s="4"/>
      <c r="P1942" s="4"/>
      <c r="Q1942" s="4"/>
      <c r="R1942" s="4"/>
      <c r="S1942" s="4"/>
      <c r="T1942" s="1" t="s">
        <v>32928</v>
      </c>
      <c r="U1942" s="4" t="s">
        <v>32929</v>
      </c>
      <c r="V1942" s="4" t="s">
        <v>32930</v>
      </c>
      <c r="W1942" s="4" t="s">
        <v>32931</v>
      </c>
      <c r="X1942" s="4" t="s">
        <v>31269</v>
      </c>
      <c r="Y1942" s="4" t="s">
        <v>31636</v>
      </c>
      <c r="Z1942" s="4" t="s">
        <v>31271</v>
      </c>
      <c r="AA1942" s="4" t="s">
        <v>30205</v>
      </c>
      <c r="AB1942" s="4" t="s">
        <v>32932</v>
      </c>
      <c r="AC1942" s="4" t="s">
        <v>32933</v>
      </c>
      <c r="AD1942" s="4" t="s">
        <v>32934</v>
      </c>
      <c r="AE1942" s="4" t="s">
        <v>32935</v>
      </c>
      <c r="AF1942" s="4"/>
      <c r="AG1942" s="4" t="n">
        <v>18</v>
      </c>
      <c r="AH1942" s="4" t="n">
        <v>60</v>
      </c>
      <c r="AI1942" s="4" t="n">
        <v>78</v>
      </c>
      <c r="AJ1942" s="4" t="n">
        <v>1</v>
      </c>
      <c r="AK1942" s="4" t="n">
        <v>10</v>
      </c>
      <c r="AL1942" s="4" t="s">
        <v>12800</v>
      </c>
      <c r="AM1942" s="4" t="s">
        <v>593</v>
      </c>
      <c r="AN1942" s="4" t="s">
        <v>32936</v>
      </c>
      <c r="AO1942" s="4" t="s">
        <v>32937</v>
      </c>
      <c r="AP1942" s="4" t="s">
        <v>32938</v>
      </c>
      <c r="AQ1942" s="4"/>
      <c r="AR1942" s="4" t="s">
        <v>32939</v>
      </c>
      <c r="AS1942" s="4" t="s">
        <v>32940</v>
      </c>
      <c r="AT1942" s="4" t="s">
        <v>692</v>
      </c>
      <c r="AU1942" s="4" t="n">
        <v>2012</v>
      </c>
      <c r="AV1942" s="4" t="n">
        <v>19</v>
      </c>
      <c r="AW1942" s="4" t="n">
        <v>4</v>
      </c>
      <c r="AX1942" s="4"/>
      <c r="AY1942" s="4"/>
      <c r="AZ1942" s="4"/>
      <c r="BA1942" s="4"/>
      <c r="BB1942" s="4" t="n">
        <v>461</v>
      </c>
      <c r="BC1942" s="4" t="n">
        <v>463</v>
      </c>
      <c r="BD1942" s="4"/>
      <c r="BE1942" s="4" t="s">
        <v>32941</v>
      </c>
      <c r="BF1942" s="4" t="str">
        <f aca="false">HYPERLINK("http://dx.doi.org/10.1038/nsmb.2250","http://dx.doi.org/10.1038/nsmb.2250")</f>
        <v>http://dx.doi.org/10.1038/nsmb.2250</v>
      </c>
      <c r="BG1942" s="4"/>
      <c r="BH1942" s="4"/>
      <c r="BI1942" s="4" t="n">
        <v>3</v>
      </c>
      <c r="BJ1942" s="4" t="s">
        <v>32942</v>
      </c>
      <c r="BK1942" s="4" t="s">
        <v>100</v>
      </c>
      <c r="BL1942" s="4" t="s">
        <v>32942</v>
      </c>
      <c r="BM1942" s="4" t="s">
        <v>32943</v>
      </c>
      <c r="BN1942" s="4" t="n">
        <v>22388735</v>
      </c>
      <c r="BO1942" s="4" t="s">
        <v>4062</v>
      </c>
      <c r="BP1942" s="4"/>
      <c r="BQ1942" s="4"/>
      <c r="BR1942" s="4" t="s">
        <v>104</v>
      </c>
      <c r="BS1942" s="4" t="s">
        <v>32944</v>
      </c>
      <c r="BT1942" s="4" t="str">
        <f aca="false">HYPERLINK("https%3A%2F%2Fwww.webofscience.com%2Fwos%2Fwoscc%2Ffull-record%2FWOS:000302514400017","View Full Record in Web of Science")</f>
        <v>View Full Record in Web of Science</v>
      </c>
    </row>
    <row r="1943" s="5" customFormat="true" ht="12.75" hidden="false" customHeight="false" outlineLevel="0" collapsed="false">
      <c r="A1943" s="4" t="s">
        <v>72</v>
      </c>
      <c r="B1943" s="4" t="s">
        <v>32945</v>
      </c>
      <c r="C1943" s="4"/>
      <c r="D1943" s="4"/>
      <c r="E1943" s="4"/>
      <c r="F1943" s="4" t="s">
        <v>32946</v>
      </c>
      <c r="G1943" s="4"/>
      <c r="H1943" s="4"/>
      <c r="I1943" s="4" t="s">
        <v>32947</v>
      </c>
      <c r="J1943" s="4" t="s">
        <v>29489</v>
      </c>
      <c r="K1943" s="4"/>
      <c r="L1943" s="4"/>
      <c r="M1943" s="4" t="s">
        <v>77</v>
      </c>
      <c r="N1943" s="4" t="s">
        <v>78</v>
      </c>
      <c r="O1943" s="4"/>
      <c r="P1943" s="4"/>
      <c r="Q1943" s="4"/>
      <c r="R1943" s="4"/>
      <c r="S1943" s="4"/>
      <c r="T1943" s="1" t="s">
        <v>32948</v>
      </c>
      <c r="U1943" s="4" t="s">
        <v>32949</v>
      </c>
      <c r="V1943" s="4" t="s">
        <v>32950</v>
      </c>
      <c r="W1943" s="4" t="s">
        <v>32951</v>
      </c>
      <c r="X1943" s="4" t="s">
        <v>9462</v>
      </c>
      <c r="Y1943" s="4" t="s">
        <v>28067</v>
      </c>
      <c r="Z1943" s="4" t="s">
        <v>9464</v>
      </c>
      <c r="AA1943" s="4" t="s">
        <v>32952</v>
      </c>
      <c r="AB1943" s="4"/>
      <c r="AC1943" s="4" t="s">
        <v>32953</v>
      </c>
      <c r="AD1943" s="4" t="s">
        <v>32954</v>
      </c>
      <c r="AE1943" s="4" t="s">
        <v>32955</v>
      </c>
      <c r="AF1943" s="4"/>
      <c r="AG1943" s="4" t="n">
        <v>41</v>
      </c>
      <c r="AH1943" s="4" t="n">
        <v>20</v>
      </c>
      <c r="AI1943" s="4" t="n">
        <v>29</v>
      </c>
      <c r="AJ1943" s="4" t="n">
        <v>1</v>
      </c>
      <c r="AK1943" s="4" t="n">
        <v>12</v>
      </c>
      <c r="AL1943" s="4" t="s">
        <v>755</v>
      </c>
      <c r="AM1943" s="4" t="s">
        <v>273</v>
      </c>
      <c r="AN1943" s="4" t="s">
        <v>756</v>
      </c>
      <c r="AO1943" s="4" t="s">
        <v>29497</v>
      </c>
      <c r="AP1943" s="4" t="s">
        <v>29498</v>
      </c>
      <c r="AQ1943" s="4"/>
      <c r="AR1943" s="4" t="s">
        <v>29499</v>
      </c>
      <c r="AS1943" s="4" t="s">
        <v>29500</v>
      </c>
      <c r="AT1943" s="4" t="s">
        <v>185</v>
      </c>
      <c r="AU1943" s="4" t="n">
        <v>2013</v>
      </c>
      <c r="AV1943" s="4" t="n">
        <v>20</v>
      </c>
      <c r="AW1943" s="4" t="n">
        <v>8</v>
      </c>
      <c r="AX1943" s="4"/>
      <c r="AY1943" s="4"/>
      <c r="AZ1943" s="4"/>
      <c r="BA1943" s="4"/>
      <c r="BB1943" s="4" t="n">
        <v>1246</v>
      </c>
      <c r="BC1943" s="4" t="n">
        <v>1254</v>
      </c>
      <c r="BD1943" s="4"/>
      <c r="BE1943" s="4" t="s">
        <v>32956</v>
      </c>
      <c r="BF1943" s="4" t="str">
        <f aca="false">HYPERLINK("http://dx.doi.org/10.1128/CVI.00145-13","http://dx.doi.org/10.1128/CVI.00145-13")</f>
        <v>http://dx.doi.org/10.1128/CVI.00145-13</v>
      </c>
      <c r="BG1943" s="4"/>
      <c r="BH1943" s="4"/>
      <c r="BI1943" s="4" t="n">
        <v>9</v>
      </c>
      <c r="BJ1943" s="4" t="s">
        <v>536</v>
      </c>
      <c r="BK1943" s="4" t="s">
        <v>100</v>
      </c>
      <c r="BL1943" s="4" t="s">
        <v>536</v>
      </c>
      <c r="BM1943" s="4" t="s">
        <v>32957</v>
      </c>
      <c r="BN1943" s="4" t="n">
        <v>23761661</v>
      </c>
      <c r="BO1943" s="4" t="s">
        <v>103</v>
      </c>
      <c r="BP1943" s="4"/>
      <c r="BQ1943" s="4"/>
      <c r="BR1943" s="4" t="s">
        <v>104</v>
      </c>
      <c r="BS1943" s="4" t="s">
        <v>32958</v>
      </c>
      <c r="BT1943" s="4" t="str">
        <f aca="false">HYPERLINK("https%3A%2F%2Fwww.webofscience.com%2Fwos%2Fwoscc%2Ffull-record%2FWOS:000322316800020","View Full Record in Web of Science")</f>
        <v>View Full Record in Web of Science</v>
      </c>
    </row>
    <row r="1944" s="5" customFormat="true" ht="12.75" hidden="false" customHeight="false" outlineLevel="0" collapsed="false">
      <c r="A1944" s="4" t="s">
        <v>72</v>
      </c>
      <c r="B1944" s="4" t="s">
        <v>32959</v>
      </c>
      <c r="C1944" s="4"/>
      <c r="D1944" s="4"/>
      <c r="E1944" s="4"/>
      <c r="F1944" s="4" t="s">
        <v>32960</v>
      </c>
      <c r="G1944" s="4"/>
      <c r="H1944" s="4"/>
      <c r="I1944" s="4" t="s">
        <v>32961</v>
      </c>
      <c r="J1944" s="4" t="s">
        <v>514</v>
      </c>
      <c r="K1944" s="4"/>
      <c r="L1944" s="4"/>
      <c r="M1944" s="4" t="s">
        <v>77</v>
      </c>
      <c r="N1944" s="4" t="s">
        <v>78</v>
      </c>
      <c r="O1944" s="4"/>
      <c r="P1944" s="4"/>
      <c r="Q1944" s="4"/>
      <c r="R1944" s="4"/>
      <c r="S1944" s="4"/>
      <c r="T1944" s="1" t="s">
        <v>32962</v>
      </c>
      <c r="U1944" s="4" t="s">
        <v>32963</v>
      </c>
      <c r="V1944" s="4" t="s">
        <v>32964</v>
      </c>
      <c r="W1944" s="4" t="s">
        <v>32965</v>
      </c>
      <c r="X1944" s="4" t="s">
        <v>32966</v>
      </c>
      <c r="Y1944" s="4" t="s">
        <v>32967</v>
      </c>
      <c r="Z1944" s="4" t="s">
        <v>3893</v>
      </c>
      <c r="AA1944" s="4" t="s">
        <v>32968</v>
      </c>
      <c r="AB1944" s="4" t="s">
        <v>32969</v>
      </c>
      <c r="AC1944" s="4" t="s">
        <v>32970</v>
      </c>
      <c r="AD1944" s="4" t="s">
        <v>32971</v>
      </c>
      <c r="AE1944" s="4" t="s">
        <v>32972</v>
      </c>
      <c r="AF1944" s="4"/>
      <c r="AG1944" s="4" t="n">
        <v>29</v>
      </c>
      <c r="AH1944" s="4" t="n">
        <v>126</v>
      </c>
      <c r="AI1944" s="4" t="n">
        <v>141</v>
      </c>
      <c r="AJ1944" s="4" t="n">
        <v>1</v>
      </c>
      <c r="AK1944" s="4" t="n">
        <v>19</v>
      </c>
      <c r="AL1944" s="4" t="s">
        <v>527</v>
      </c>
      <c r="AM1944" s="4" t="s">
        <v>528</v>
      </c>
      <c r="AN1944" s="4" t="s">
        <v>529</v>
      </c>
      <c r="AO1944" s="4" t="s">
        <v>530</v>
      </c>
      <c r="AP1944" s="4" t="s">
        <v>531</v>
      </c>
      <c r="AQ1944" s="4"/>
      <c r="AR1944" s="4" t="s">
        <v>532</v>
      </c>
      <c r="AS1944" s="4" t="s">
        <v>533</v>
      </c>
      <c r="AT1944" s="4" t="s">
        <v>10024</v>
      </c>
      <c r="AU1944" s="4" t="n">
        <v>2012</v>
      </c>
      <c r="AV1944" s="4" t="n">
        <v>206</v>
      </c>
      <c r="AW1944" s="4"/>
      <c r="AX1944" s="4"/>
      <c r="AY1944" s="4" t="n">
        <v>1</v>
      </c>
      <c r="AZ1944" s="4"/>
      <c r="BA1944" s="4"/>
      <c r="BB1944" s="4" t="s">
        <v>32973</v>
      </c>
      <c r="BC1944" s="4" t="s">
        <v>32974</v>
      </c>
      <c r="BD1944" s="4"/>
      <c r="BE1944" s="4" t="s">
        <v>32975</v>
      </c>
      <c r="BF1944" s="4" t="str">
        <f aca="false">HYPERLINK("http://dx.doi.org/10.1093/infdis/jis538","http://dx.doi.org/10.1093/infdis/jis538")</f>
        <v>http://dx.doi.org/10.1093/infdis/jis538</v>
      </c>
      <c r="BG1944" s="4"/>
      <c r="BH1944" s="4"/>
      <c r="BI1944" s="4" t="n">
        <v>7</v>
      </c>
      <c r="BJ1944" s="4" t="s">
        <v>536</v>
      </c>
      <c r="BK1944" s="4" t="s">
        <v>100</v>
      </c>
      <c r="BL1944" s="4" t="s">
        <v>536</v>
      </c>
      <c r="BM1944" s="4" t="s">
        <v>32358</v>
      </c>
      <c r="BN1944" s="4" t="n">
        <v>23169964</v>
      </c>
      <c r="BO1944" s="4" t="s">
        <v>32976</v>
      </c>
      <c r="BP1944" s="4"/>
      <c r="BQ1944" s="4"/>
      <c r="BR1944" s="4" t="s">
        <v>104</v>
      </c>
      <c r="BS1944" s="4" t="s">
        <v>32977</v>
      </c>
      <c r="BT1944" s="4" t="str">
        <f aca="false">HYPERLINK("https%3A%2F%2Fwww.webofscience.com%2Fwos%2Fwoscc%2Ffull-record%2FWOS:000311667900025","View Full Record in Web of Science")</f>
        <v>View Full Record in Web of Science</v>
      </c>
    </row>
    <row r="1945" s="5" customFormat="true" ht="12.75" hidden="false" customHeight="false" outlineLevel="0" collapsed="false">
      <c r="A1945" s="4" t="s">
        <v>72</v>
      </c>
      <c r="B1945" s="4" t="s">
        <v>32978</v>
      </c>
      <c r="C1945" s="4"/>
      <c r="D1945" s="4"/>
      <c r="E1945" s="4"/>
      <c r="F1945" s="4" t="s">
        <v>32979</v>
      </c>
      <c r="G1945" s="4"/>
      <c r="H1945" s="4"/>
      <c r="I1945" s="4" t="s">
        <v>32980</v>
      </c>
      <c r="J1945" s="4" t="s">
        <v>27497</v>
      </c>
      <c r="K1945" s="4"/>
      <c r="L1945" s="4"/>
      <c r="M1945" s="4" t="s">
        <v>77</v>
      </c>
      <c r="N1945" s="4" t="s">
        <v>78</v>
      </c>
      <c r="O1945" s="4"/>
      <c r="P1945" s="4"/>
      <c r="Q1945" s="4"/>
      <c r="R1945" s="4"/>
      <c r="S1945" s="4"/>
      <c r="T1945" s="1" t="s">
        <v>32981</v>
      </c>
      <c r="U1945" s="4" t="s">
        <v>32982</v>
      </c>
      <c r="V1945" s="4" t="s">
        <v>32983</v>
      </c>
      <c r="W1945" s="4" t="s">
        <v>32984</v>
      </c>
      <c r="X1945" s="4" t="s">
        <v>32985</v>
      </c>
      <c r="Y1945" s="4" t="s">
        <v>32986</v>
      </c>
      <c r="Z1945" s="4" t="s">
        <v>32987</v>
      </c>
      <c r="AA1945" s="4" t="s">
        <v>32988</v>
      </c>
      <c r="AB1945" s="4" t="s">
        <v>32989</v>
      </c>
      <c r="AC1945" s="4" t="s">
        <v>32990</v>
      </c>
      <c r="AD1945" s="4" t="s">
        <v>32991</v>
      </c>
      <c r="AE1945" s="4" t="s">
        <v>32992</v>
      </c>
      <c r="AF1945" s="4"/>
      <c r="AG1945" s="4" t="n">
        <v>49</v>
      </c>
      <c r="AH1945" s="4" t="n">
        <v>65</v>
      </c>
      <c r="AI1945" s="4" t="n">
        <v>70</v>
      </c>
      <c r="AJ1945" s="4" t="n">
        <v>0</v>
      </c>
      <c r="AK1945" s="4" t="n">
        <v>5</v>
      </c>
      <c r="AL1945" s="4" t="s">
        <v>27506</v>
      </c>
      <c r="AM1945" s="4" t="s">
        <v>27507</v>
      </c>
      <c r="AN1945" s="4" t="s">
        <v>27508</v>
      </c>
      <c r="AO1945" s="4" t="s">
        <v>27509</v>
      </c>
      <c r="AP1945" s="4"/>
      <c r="AQ1945" s="4"/>
      <c r="AR1945" s="4" t="s">
        <v>27497</v>
      </c>
      <c r="AS1945" s="4" t="s">
        <v>27510</v>
      </c>
      <c r="AT1945" s="4" t="s">
        <v>8710</v>
      </c>
      <c r="AU1945" s="4" t="n">
        <v>2012</v>
      </c>
      <c r="AV1945" s="4" t="n">
        <v>7</v>
      </c>
      <c r="AW1945" s="4" t="n">
        <v>2</v>
      </c>
      <c r="AX1945" s="4"/>
      <c r="AY1945" s="4"/>
      <c r="AZ1945" s="4"/>
      <c r="BA1945" s="4"/>
      <c r="BB1945" s="4"/>
      <c r="BC1945" s="4"/>
      <c r="BD1945" s="4" t="s">
        <v>32993</v>
      </c>
      <c r="BE1945" s="4" t="s">
        <v>32994</v>
      </c>
      <c r="BF1945" s="4" t="str">
        <f aca="false">HYPERLINK("http://dx.doi.org/10.1371/journal.pone.0032056","http://dx.doi.org/10.1371/journal.pone.0032056")</f>
        <v>http://dx.doi.org/10.1371/journal.pone.0032056</v>
      </c>
      <c r="BG1945" s="4"/>
      <c r="BH1945" s="4"/>
      <c r="BI1945" s="4" t="n">
        <v>6</v>
      </c>
      <c r="BJ1945" s="4" t="s">
        <v>1658</v>
      </c>
      <c r="BK1945" s="4" t="s">
        <v>100</v>
      </c>
      <c r="BL1945" s="4" t="s">
        <v>1659</v>
      </c>
      <c r="BM1945" s="4" t="s">
        <v>32995</v>
      </c>
      <c r="BN1945" s="4" t="n">
        <v>22384139</v>
      </c>
      <c r="BO1945" s="4" t="s">
        <v>6349</v>
      </c>
      <c r="BP1945" s="4"/>
      <c r="BQ1945" s="4"/>
      <c r="BR1945" s="4" t="s">
        <v>104</v>
      </c>
      <c r="BS1945" s="4" t="s">
        <v>32996</v>
      </c>
      <c r="BT1945" s="4" t="str">
        <f aca="false">HYPERLINK("https%3A%2F%2Fwww.webofscience.com%2Fwos%2Fwoscc%2Ffull-record%2FWOS:000302875500068","View Full Record in Web of Science")</f>
        <v>View Full Record in Web of Science</v>
      </c>
    </row>
    <row r="1946" s="5" customFormat="true" ht="12.75" hidden="false" customHeight="false" outlineLevel="0" collapsed="false">
      <c r="A1946" s="4" t="s">
        <v>72</v>
      </c>
      <c r="B1946" s="4" t="s">
        <v>32997</v>
      </c>
      <c r="C1946" s="4"/>
      <c r="D1946" s="4"/>
      <c r="E1946" s="4"/>
      <c r="F1946" s="4" t="s">
        <v>32998</v>
      </c>
      <c r="G1946" s="4"/>
      <c r="H1946" s="4"/>
      <c r="I1946" s="4" t="s">
        <v>32999</v>
      </c>
      <c r="J1946" s="4" t="s">
        <v>2222</v>
      </c>
      <c r="K1946" s="4"/>
      <c r="L1946" s="4"/>
      <c r="M1946" s="4" t="s">
        <v>77</v>
      </c>
      <c r="N1946" s="4" t="s">
        <v>78</v>
      </c>
      <c r="O1946" s="4"/>
      <c r="P1946" s="4"/>
      <c r="Q1946" s="4"/>
      <c r="R1946" s="4"/>
      <c r="S1946" s="4"/>
      <c r="T1946" s="1" t="s">
        <v>33000</v>
      </c>
      <c r="U1946" s="4" t="s">
        <v>33001</v>
      </c>
      <c r="V1946" s="4" t="s">
        <v>33002</v>
      </c>
      <c r="W1946" s="4" t="s">
        <v>33003</v>
      </c>
      <c r="X1946" s="4" t="s">
        <v>33004</v>
      </c>
      <c r="Y1946" s="4" t="s">
        <v>33005</v>
      </c>
      <c r="Z1946" s="4" t="s">
        <v>33006</v>
      </c>
      <c r="AA1946" s="4"/>
      <c r="AB1946" s="4" t="s">
        <v>33007</v>
      </c>
      <c r="AC1946" s="4"/>
      <c r="AD1946" s="4"/>
      <c r="AE1946" s="4"/>
      <c r="AF1946" s="4"/>
      <c r="AG1946" s="4" t="n">
        <v>9</v>
      </c>
      <c r="AH1946" s="4" t="n">
        <v>14</v>
      </c>
      <c r="AI1946" s="4" t="n">
        <v>14</v>
      </c>
      <c r="AJ1946" s="4" t="n">
        <v>0</v>
      </c>
      <c r="AK1946" s="4" t="n">
        <v>0</v>
      </c>
      <c r="AL1946" s="4" t="s">
        <v>755</v>
      </c>
      <c r="AM1946" s="4" t="s">
        <v>273</v>
      </c>
      <c r="AN1946" s="4" t="s">
        <v>756</v>
      </c>
      <c r="AO1946" s="4" t="s">
        <v>2234</v>
      </c>
      <c r="AP1946" s="4"/>
      <c r="AQ1946" s="4"/>
      <c r="AR1946" s="4" t="s">
        <v>2236</v>
      </c>
      <c r="AS1946" s="4" t="s">
        <v>2237</v>
      </c>
      <c r="AT1946" s="4" t="s">
        <v>390</v>
      </c>
      <c r="AU1946" s="4" t="n">
        <v>2008</v>
      </c>
      <c r="AV1946" s="4" t="n">
        <v>46</v>
      </c>
      <c r="AW1946" s="4" t="n">
        <v>5</v>
      </c>
      <c r="AX1946" s="4"/>
      <c r="AY1946" s="4"/>
      <c r="AZ1946" s="4"/>
      <c r="BA1946" s="4"/>
      <c r="BB1946" s="4" t="n">
        <v>1840</v>
      </c>
      <c r="BC1946" s="4" t="n">
        <v>1841</v>
      </c>
      <c r="BD1946" s="4"/>
      <c r="BE1946" s="4" t="s">
        <v>33008</v>
      </c>
      <c r="BF1946" s="4" t="str">
        <f aca="false">HYPERLINK("http://dx.doi.org/10.1128/JCM.01554-07","http://dx.doi.org/10.1128/JCM.01554-07")</f>
        <v>http://dx.doi.org/10.1128/JCM.01554-07</v>
      </c>
      <c r="BG1946" s="4"/>
      <c r="BH1946" s="4"/>
      <c r="BI1946" s="4" t="n">
        <v>2</v>
      </c>
      <c r="BJ1946" s="4" t="s">
        <v>211</v>
      </c>
      <c r="BK1946" s="4" t="s">
        <v>100</v>
      </c>
      <c r="BL1946" s="4" t="s">
        <v>211</v>
      </c>
      <c r="BM1946" s="4" t="s">
        <v>31874</v>
      </c>
      <c r="BN1946" s="4" t="n">
        <v>18367577</v>
      </c>
      <c r="BO1946" s="4" t="s">
        <v>165</v>
      </c>
      <c r="BP1946" s="4"/>
      <c r="BQ1946" s="4"/>
      <c r="BR1946" s="4" t="s">
        <v>104</v>
      </c>
      <c r="BS1946" s="4" t="s">
        <v>33009</v>
      </c>
      <c r="BT1946" s="4" t="str">
        <f aca="false">HYPERLINK("https%3A%2F%2Fwww.webofscience.com%2Fwos%2Fwoscc%2Ffull-record%2FWOS:000255678200042","View Full Record in Web of Science")</f>
        <v>View Full Record in Web of Science</v>
      </c>
    </row>
    <row r="1947" s="5" customFormat="true" ht="12.75" hidden="false" customHeight="false" outlineLevel="0" collapsed="false">
      <c r="A1947" s="4" t="s">
        <v>72</v>
      </c>
      <c r="B1947" s="4" t="s">
        <v>33010</v>
      </c>
      <c r="C1947" s="4"/>
      <c r="D1947" s="4"/>
      <c r="E1947" s="4"/>
      <c r="F1947" s="4" t="s">
        <v>33011</v>
      </c>
      <c r="G1947" s="4"/>
      <c r="H1947" s="4"/>
      <c r="I1947" s="4" t="s">
        <v>33012</v>
      </c>
      <c r="J1947" s="4" t="s">
        <v>557</v>
      </c>
      <c r="K1947" s="4"/>
      <c r="L1947" s="4"/>
      <c r="M1947" s="4" t="s">
        <v>77</v>
      </c>
      <c r="N1947" s="4" t="s">
        <v>78</v>
      </c>
      <c r="O1947" s="4"/>
      <c r="P1947" s="4"/>
      <c r="Q1947" s="4"/>
      <c r="R1947" s="4"/>
      <c r="S1947" s="4"/>
      <c r="T1947" s="1" t="s">
        <v>33013</v>
      </c>
      <c r="U1947" s="4" t="s">
        <v>33014</v>
      </c>
      <c r="V1947" s="4" t="s">
        <v>33015</v>
      </c>
      <c r="W1947" s="4" t="s">
        <v>33016</v>
      </c>
      <c r="X1947" s="4" t="s">
        <v>33017</v>
      </c>
      <c r="Y1947" s="4" t="s">
        <v>33018</v>
      </c>
      <c r="Z1947" s="4" t="s">
        <v>33019</v>
      </c>
      <c r="AA1947" s="4" t="s">
        <v>33020</v>
      </c>
      <c r="AB1947" s="4" t="s">
        <v>33021</v>
      </c>
      <c r="AC1947" s="4" t="s">
        <v>33022</v>
      </c>
      <c r="AD1947" s="4" t="s">
        <v>33023</v>
      </c>
      <c r="AE1947" s="4" t="s">
        <v>33024</v>
      </c>
      <c r="AF1947" s="4"/>
      <c r="AG1947" s="4" t="n">
        <v>48</v>
      </c>
      <c r="AH1947" s="4" t="n">
        <v>71</v>
      </c>
      <c r="AI1947" s="4" t="n">
        <v>74</v>
      </c>
      <c r="AJ1947" s="4" t="n">
        <v>0</v>
      </c>
      <c r="AK1947" s="4" t="n">
        <v>10</v>
      </c>
      <c r="AL1947" s="4" t="s">
        <v>302</v>
      </c>
      <c r="AM1947" s="4" t="s">
        <v>303</v>
      </c>
      <c r="AN1947" s="4" t="s">
        <v>304</v>
      </c>
      <c r="AO1947" s="4"/>
      <c r="AP1947" s="4" t="s">
        <v>570</v>
      </c>
      <c r="AQ1947" s="4"/>
      <c r="AR1947" s="4" t="s">
        <v>571</v>
      </c>
      <c r="AS1947" s="4" t="s">
        <v>572</v>
      </c>
      <c r="AT1947" s="4" t="s">
        <v>27880</v>
      </c>
      <c r="AU1947" s="4" t="n">
        <v>2012</v>
      </c>
      <c r="AV1947" s="4" t="n">
        <v>12</v>
      </c>
      <c r="AW1947" s="4"/>
      <c r="AX1947" s="4"/>
      <c r="AY1947" s="4"/>
      <c r="AZ1947" s="4"/>
      <c r="BA1947" s="4"/>
      <c r="BB1947" s="4"/>
      <c r="BC1947" s="4"/>
      <c r="BD1947" s="4" t="n">
        <v>7</v>
      </c>
      <c r="BE1947" s="4" t="s">
        <v>33025</v>
      </c>
      <c r="BF1947" s="4" t="str">
        <f aca="false">HYPERLINK("http://dx.doi.org/10.1186/1471-2334-12-7","http://dx.doi.org/10.1186/1471-2334-12-7")</f>
        <v>http://dx.doi.org/10.1186/1471-2334-12-7</v>
      </c>
      <c r="BG1947" s="4"/>
      <c r="BH1947" s="4"/>
      <c r="BI1947" s="4" t="n">
        <v>8</v>
      </c>
      <c r="BJ1947" s="4" t="s">
        <v>575</v>
      </c>
      <c r="BK1947" s="4" t="s">
        <v>100</v>
      </c>
      <c r="BL1947" s="4" t="s">
        <v>575</v>
      </c>
      <c r="BM1947" s="4" t="s">
        <v>33026</v>
      </c>
      <c r="BN1947" s="4" t="n">
        <v>22251705</v>
      </c>
      <c r="BO1947" s="4" t="s">
        <v>103</v>
      </c>
      <c r="BP1947" s="4"/>
      <c r="BQ1947" s="4"/>
      <c r="BR1947" s="4" t="s">
        <v>104</v>
      </c>
      <c r="BS1947" s="4" t="s">
        <v>33027</v>
      </c>
      <c r="BT1947" s="4" t="str">
        <f aca="false">HYPERLINK("https%3A%2F%2Fwww.webofscience.com%2Fwos%2Fwoscc%2Ffull-record%2FWOS:000301060100001","View Full Record in Web of Science")</f>
        <v>View Full Record in Web of Science</v>
      </c>
    </row>
    <row r="1948" s="5" customFormat="true" ht="12.75" hidden="false" customHeight="false" outlineLevel="0" collapsed="false">
      <c r="A1948" s="4" t="s">
        <v>72</v>
      </c>
      <c r="B1948" s="4" t="s">
        <v>33028</v>
      </c>
      <c r="C1948" s="4"/>
      <c r="D1948" s="4"/>
      <c r="E1948" s="4"/>
      <c r="F1948" s="4" t="s">
        <v>33029</v>
      </c>
      <c r="G1948" s="4"/>
      <c r="H1948" s="4"/>
      <c r="I1948" s="4" t="s">
        <v>33030</v>
      </c>
      <c r="J1948" s="4" t="s">
        <v>109</v>
      </c>
      <c r="K1948" s="4"/>
      <c r="L1948" s="4"/>
      <c r="M1948" s="4" t="s">
        <v>77</v>
      </c>
      <c r="N1948" s="4" t="s">
        <v>78</v>
      </c>
      <c r="O1948" s="4"/>
      <c r="P1948" s="4"/>
      <c r="Q1948" s="4"/>
      <c r="R1948" s="4"/>
      <c r="S1948" s="4"/>
      <c r="T1948" s="1" t="s">
        <v>33031</v>
      </c>
      <c r="U1948" s="4" t="s">
        <v>6516</v>
      </c>
      <c r="V1948" s="4"/>
      <c r="W1948" s="4" t="s">
        <v>33032</v>
      </c>
      <c r="X1948" s="4" t="s">
        <v>33033</v>
      </c>
      <c r="Y1948" s="4" t="s">
        <v>33034</v>
      </c>
      <c r="Z1948" s="4" t="s">
        <v>33035</v>
      </c>
      <c r="AA1948" s="4" t="s">
        <v>33036</v>
      </c>
      <c r="AB1948" s="4" t="s">
        <v>33037</v>
      </c>
      <c r="AC1948" s="4" t="s">
        <v>33038</v>
      </c>
      <c r="AD1948" s="4" t="s">
        <v>33039</v>
      </c>
      <c r="AE1948" s="4"/>
      <c r="AF1948" s="4"/>
      <c r="AG1948" s="4" t="n">
        <v>3</v>
      </c>
      <c r="AH1948" s="4" t="n">
        <v>1</v>
      </c>
      <c r="AI1948" s="4" t="n">
        <v>1</v>
      </c>
      <c r="AJ1948" s="4" t="n">
        <v>0</v>
      </c>
      <c r="AK1948" s="4" t="n">
        <v>1</v>
      </c>
      <c r="AL1948" s="4" t="s">
        <v>122</v>
      </c>
      <c r="AM1948" s="4" t="s">
        <v>123</v>
      </c>
      <c r="AN1948" s="4" t="s">
        <v>124</v>
      </c>
      <c r="AO1948" s="4" t="s">
        <v>125</v>
      </c>
      <c r="AP1948" s="4" t="s">
        <v>126</v>
      </c>
      <c r="AQ1948" s="4"/>
      <c r="AR1948" s="4" t="s">
        <v>127</v>
      </c>
      <c r="AS1948" s="4" t="s">
        <v>128</v>
      </c>
      <c r="AT1948" s="4" t="s">
        <v>1041</v>
      </c>
      <c r="AU1948" s="4" t="n">
        <v>2016</v>
      </c>
      <c r="AV1948" s="4" t="n">
        <v>35</v>
      </c>
      <c r="AW1948" s="4" t="n">
        <v>2</v>
      </c>
      <c r="AX1948" s="4"/>
      <c r="AY1948" s="4"/>
      <c r="AZ1948" s="4"/>
      <c r="BA1948" s="4"/>
      <c r="BB1948" s="4" t="n">
        <v>226</v>
      </c>
      <c r="BC1948" s="4" t="n">
        <v>227</v>
      </c>
      <c r="BD1948" s="4"/>
      <c r="BE1948" s="4" t="s">
        <v>33040</v>
      </c>
      <c r="BF1948" s="4" t="str">
        <f aca="false">HYPERLINK("http://dx.doi.org/10.1097/INF.0000000000000981","http://dx.doi.org/10.1097/INF.0000000000000981")</f>
        <v>http://dx.doi.org/10.1097/INF.0000000000000981</v>
      </c>
      <c r="BG1948" s="4"/>
      <c r="BH1948" s="4"/>
      <c r="BI1948" s="4" t="n">
        <v>2</v>
      </c>
      <c r="BJ1948" s="4" t="s">
        <v>134</v>
      </c>
      <c r="BK1948" s="4" t="s">
        <v>100</v>
      </c>
      <c r="BL1948" s="4" t="s">
        <v>134</v>
      </c>
      <c r="BM1948" s="4" t="s">
        <v>33041</v>
      </c>
      <c r="BN1948" s="4" t="n">
        <v>26756267</v>
      </c>
      <c r="BO1948" s="4"/>
      <c r="BP1948" s="4"/>
      <c r="BQ1948" s="4"/>
      <c r="BR1948" s="4" t="s">
        <v>104</v>
      </c>
      <c r="BS1948" s="4" t="s">
        <v>33042</v>
      </c>
      <c r="BT1948" s="4" t="str">
        <f aca="false">HYPERLINK("https%3A%2F%2Fwww.webofscience.com%2Fwos%2Fwoscc%2Ffull-record%2FWOS:000368727500027","View Full Record in Web of Science")</f>
        <v>View Full Record in Web of Science</v>
      </c>
    </row>
    <row r="1949" s="5" customFormat="true" ht="12.75" hidden="false" customHeight="false" outlineLevel="0" collapsed="false">
      <c r="A1949" s="4" t="s">
        <v>72</v>
      </c>
      <c r="B1949" s="4" t="s">
        <v>33043</v>
      </c>
      <c r="C1949" s="4"/>
      <c r="D1949" s="4"/>
      <c r="E1949" s="4"/>
      <c r="F1949" s="4" t="s">
        <v>33044</v>
      </c>
      <c r="G1949" s="4"/>
      <c r="H1949" s="4"/>
      <c r="I1949" s="4" t="s">
        <v>33045</v>
      </c>
      <c r="J1949" s="4" t="s">
        <v>27548</v>
      </c>
      <c r="K1949" s="4"/>
      <c r="L1949" s="4"/>
      <c r="M1949" s="4" t="s">
        <v>77</v>
      </c>
      <c r="N1949" s="4" t="s">
        <v>78</v>
      </c>
      <c r="O1949" s="4"/>
      <c r="P1949" s="4"/>
      <c r="Q1949" s="4"/>
      <c r="R1949" s="4"/>
      <c r="S1949" s="4"/>
      <c r="T1949" s="1" t="s">
        <v>33046</v>
      </c>
      <c r="U1949" s="4" t="s">
        <v>33047</v>
      </c>
      <c r="V1949" s="4" t="s">
        <v>33048</v>
      </c>
      <c r="W1949" s="4" t="s">
        <v>33049</v>
      </c>
      <c r="X1949" s="4" t="s">
        <v>33050</v>
      </c>
      <c r="Y1949" s="4" t="s">
        <v>33051</v>
      </c>
      <c r="Z1949" s="4" t="s">
        <v>33052</v>
      </c>
      <c r="AA1949" s="4" t="s">
        <v>33053</v>
      </c>
      <c r="AB1949" s="4" t="s">
        <v>33054</v>
      </c>
      <c r="AC1949" s="4"/>
      <c r="AD1949" s="4"/>
      <c r="AE1949" s="4"/>
      <c r="AF1949" s="4"/>
      <c r="AG1949" s="4" t="n">
        <v>12</v>
      </c>
      <c r="AH1949" s="4" t="n">
        <v>13</v>
      </c>
      <c r="AI1949" s="4" t="n">
        <v>16</v>
      </c>
      <c r="AJ1949" s="4" t="n">
        <v>0</v>
      </c>
      <c r="AK1949" s="4" t="n">
        <v>13</v>
      </c>
      <c r="AL1949" s="4" t="s">
        <v>27851</v>
      </c>
      <c r="AM1949" s="4" t="s">
        <v>27561</v>
      </c>
      <c r="AN1949" s="4" t="s">
        <v>27562</v>
      </c>
      <c r="AO1949" s="4" t="s">
        <v>27563</v>
      </c>
      <c r="AP1949" s="4" t="s">
        <v>27564</v>
      </c>
      <c r="AQ1949" s="4"/>
      <c r="AR1949" s="4" t="s">
        <v>27565</v>
      </c>
      <c r="AS1949" s="4" t="s">
        <v>27566</v>
      </c>
      <c r="AT1949" s="4" t="s">
        <v>446</v>
      </c>
      <c r="AU1949" s="4" t="n">
        <v>2014</v>
      </c>
      <c r="AV1949" s="4" t="n">
        <v>20</v>
      </c>
      <c r="AW1949" s="4" t="n">
        <v>12</v>
      </c>
      <c r="AX1949" s="4"/>
      <c r="AY1949" s="4"/>
      <c r="AZ1949" s="4"/>
      <c r="BA1949" s="4"/>
      <c r="BB1949" s="4" t="n">
        <v>2115</v>
      </c>
      <c r="BC1949" s="4" t="n">
        <v>2118</v>
      </c>
      <c r="BD1949" s="4"/>
      <c r="BE1949" s="4" t="s">
        <v>33055</v>
      </c>
      <c r="BF1949" s="4" t="str">
        <f aca="false">HYPERLINK("http://dx.doi.org/10.3201/eid2012.140408","http://dx.doi.org/10.3201/eid2012.140408")</f>
        <v>http://dx.doi.org/10.3201/eid2012.140408</v>
      </c>
      <c r="BG1949" s="4"/>
      <c r="BH1949" s="4"/>
      <c r="BI1949" s="4" t="n">
        <v>4</v>
      </c>
      <c r="BJ1949" s="4" t="s">
        <v>965</v>
      </c>
      <c r="BK1949" s="4" t="s">
        <v>100</v>
      </c>
      <c r="BL1949" s="4" t="s">
        <v>965</v>
      </c>
      <c r="BM1949" s="4" t="s">
        <v>33056</v>
      </c>
      <c r="BN1949" s="4" t="n">
        <v>25417845</v>
      </c>
      <c r="BO1949" s="4" t="s">
        <v>2582</v>
      </c>
      <c r="BP1949" s="4"/>
      <c r="BQ1949" s="4"/>
      <c r="BR1949" s="4" t="s">
        <v>104</v>
      </c>
      <c r="BS1949" s="4" t="s">
        <v>33057</v>
      </c>
      <c r="BT1949" s="4" t="str">
        <f aca="false">HYPERLINK("https%3A%2F%2Fwww.webofscience.com%2Fwos%2Fwoscc%2Ffull-record%2FWOS:000345729900025","View Full Record in Web of Science")</f>
        <v>View Full Record in Web of Science</v>
      </c>
    </row>
    <row r="1950" s="5" customFormat="true" ht="12.75" hidden="false" customHeight="false" outlineLevel="0" collapsed="false">
      <c r="A1950" s="4" t="s">
        <v>72</v>
      </c>
      <c r="B1950" s="4" t="s">
        <v>33058</v>
      </c>
      <c r="C1950" s="4"/>
      <c r="D1950" s="4"/>
      <c r="E1950" s="4"/>
      <c r="F1950" s="4" t="s">
        <v>33059</v>
      </c>
      <c r="G1950" s="4"/>
      <c r="H1950" s="4"/>
      <c r="I1950" s="4" t="s">
        <v>33060</v>
      </c>
      <c r="J1950" s="4" t="s">
        <v>27497</v>
      </c>
      <c r="K1950" s="4"/>
      <c r="L1950" s="4"/>
      <c r="M1950" s="4" t="s">
        <v>77</v>
      </c>
      <c r="N1950" s="4" t="s">
        <v>78</v>
      </c>
      <c r="O1950" s="4"/>
      <c r="P1950" s="4"/>
      <c r="Q1950" s="4"/>
      <c r="R1950" s="4"/>
      <c r="S1950" s="4"/>
      <c r="T1950" s="1" t="s">
        <v>33061</v>
      </c>
      <c r="U1950" s="4" t="s">
        <v>33062</v>
      </c>
      <c r="V1950" s="4" t="s">
        <v>33063</v>
      </c>
      <c r="W1950" s="4" t="s">
        <v>33064</v>
      </c>
      <c r="X1950" s="4" t="s">
        <v>33065</v>
      </c>
      <c r="Y1950" s="4" t="s">
        <v>33066</v>
      </c>
      <c r="Z1950" s="4" t="s">
        <v>33067</v>
      </c>
      <c r="AA1950" s="4" t="s">
        <v>1076</v>
      </c>
      <c r="AB1950" s="4" t="s">
        <v>1077</v>
      </c>
      <c r="AC1950" s="4" t="s">
        <v>33068</v>
      </c>
      <c r="AD1950" s="4" t="s">
        <v>33069</v>
      </c>
      <c r="AE1950" s="4" t="s">
        <v>33070</v>
      </c>
      <c r="AF1950" s="4"/>
      <c r="AG1950" s="4" t="n">
        <v>92</v>
      </c>
      <c r="AH1950" s="4" t="n">
        <v>49</v>
      </c>
      <c r="AI1950" s="4" t="n">
        <v>53</v>
      </c>
      <c r="AJ1950" s="4" t="n">
        <v>0</v>
      </c>
      <c r="AK1950" s="4" t="n">
        <v>4</v>
      </c>
      <c r="AL1950" s="4" t="s">
        <v>27506</v>
      </c>
      <c r="AM1950" s="4" t="s">
        <v>27507</v>
      </c>
      <c r="AN1950" s="4" t="s">
        <v>27508</v>
      </c>
      <c r="AO1950" s="4" t="s">
        <v>27509</v>
      </c>
      <c r="AP1950" s="4"/>
      <c r="AQ1950" s="4"/>
      <c r="AR1950" s="4" t="s">
        <v>27497</v>
      </c>
      <c r="AS1950" s="4" t="s">
        <v>27510</v>
      </c>
      <c r="AT1950" s="4" t="s">
        <v>17452</v>
      </c>
      <c r="AU1950" s="4" t="n">
        <v>2017</v>
      </c>
      <c r="AV1950" s="4" t="n">
        <v>12</v>
      </c>
      <c r="AW1950" s="4" t="n">
        <v>2</v>
      </c>
      <c r="AX1950" s="4"/>
      <c r="AY1950" s="4"/>
      <c r="AZ1950" s="4"/>
      <c r="BA1950" s="4"/>
      <c r="BB1950" s="4"/>
      <c r="BC1950" s="4"/>
      <c r="BD1950" s="4" t="s">
        <v>33071</v>
      </c>
      <c r="BE1950" s="4" t="s">
        <v>33072</v>
      </c>
      <c r="BF1950" s="4" t="str">
        <f aca="false">HYPERLINK("http://dx.doi.org/10.1371/journal.pone.0171687","http://dx.doi.org/10.1371/journal.pone.0171687")</f>
        <v>http://dx.doi.org/10.1371/journal.pone.0171687</v>
      </c>
      <c r="BG1950" s="4"/>
      <c r="BH1950" s="4"/>
      <c r="BI1950" s="4" t="n">
        <v>19</v>
      </c>
      <c r="BJ1950" s="4" t="s">
        <v>1658</v>
      </c>
      <c r="BK1950" s="4" t="s">
        <v>100</v>
      </c>
      <c r="BL1950" s="4" t="s">
        <v>1659</v>
      </c>
      <c r="BM1950" s="4" t="s">
        <v>33073</v>
      </c>
      <c r="BN1950" s="4" t="n">
        <v>28182741</v>
      </c>
      <c r="BO1950" s="4" t="s">
        <v>190</v>
      </c>
      <c r="BP1950" s="4"/>
      <c r="BQ1950" s="4"/>
      <c r="BR1950" s="4" t="s">
        <v>104</v>
      </c>
      <c r="BS1950" s="4" t="s">
        <v>33074</v>
      </c>
      <c r="BT1950" s="4" t="str">
        <f aca="false">HYPERLINK("https%3A%2F%2Fwww.webofscience.com%2Fwos%2Fwoscc%2Ffull-record%2FWOS:000394231800089","View Full Record in Web of Science")</f>
        <v>View Full Record in Web of Science</v>
      </c>
    </row>
    <row r="1951" s="5" customFormat="true" ht="12.75" hidden="false" customHeight="false" outlineLevel="0" collapsed="false">
      <c r="A1951" s="4" t="s">
        <v>72</v>
      </c>
      <c r="B1951" s="4" t="s">
        <v>33075</v>
      </c>
      <c r="C1951" s="4"/>
      <c r="D1951" s="4"/>
      <c r="E1951" s="4"/>
      <c r="F1951" s="4" t="s">
        <v>33076</v>
      </c>
      <c r="G1951" s="4"/>
      <c r="H1951" s="4"/>
      <c r="I1951" s="4" t="s">
        <v>33077</v>
      </c>
      <c r="J1951" s="4" t="s">
        <v>27497</v>
      </c>
      <c r="K1951" s="4"/>
      <c r="L1951" s="4"/>
      <c r="M1951" s="4" t="s">
        <v>77</v>
      </c>
      <c r="N1951" s="4" t="s">
        <v>78</v>
      </c>
      <c r="O1951" s="4"/>
      <c r="P1951" s="4"/>
      <c r="Q1951" s="4"/>
      <c r="R1951" s="4"/>
      <c r="S1951" s="4"/>
      <c r="T1951" s="1" t="s">
        <v>33078</v>
      </c>
      <c r="U1951" s="4" t="s">
        <v>33079</v>
      </c>
      <c r="V1951" s="4" t="s">
        <v>33080</v>
      </c>
      <c r="W1951" s="4" t="s">
        <v>33081</v>
      </c>
      <c r="X1951" s="4" t="s">
        <v>33082</v>
      </c>
      <c r="Y1951" s="4" t="s">
        <v>33083</v>
      </c>
      <c r="Z1951" s="4" t="s">
        <v>33084</v>
      </c>
      <c r="AA1951" s="4" t="s">
        <v>33085</v>
      </c>
      <c r="AB1951" s="4" t="s">
        <v>33086</v>
      </c>
      <c r="AC1951" s="4" t="s">
        <v>33087</v>
      </c>
      <c r="AD1951" s="4" t="s">
        <v>6184</v>
      </c>
      <c r="AE1951" s="4" t="s">
        <v>33088</v>
      </c>
      <c r="AF1951" s="4"/>
      <c r="AG1951" s="4" t="n">
        <v>56</v>
      </c>
      <c r="AH1951" s="4" t="n">
        <v>19</v>
      </c>
      <c r="AI1951" s="4" t="n">
        <v>21</v>
      </c>
      <c r="AJ1951" s="4" t="n">
        <v>0</v>
      </c>
      <c r="AK1951" s="4" t="n">
        <v>1</v>
      </c>
      <c r="AL1951" s="4" t="s">
        <v>27506</v>
      </c>
      <c r="AM1951" s="4" t="s">
        <v>27507</v>
      </c>
      <c r="AN1951" s="4" t="s">
        <v>27508</v>
      </c>
      <c r="AO1951" s="4" t="s">
        <v>27509</v>
      </c>
      <c r="AP1951" s="4"/>
      <c r="AQ1951" s="4"/>
      <c r="AR1951" s="4" t="s">
        <v>27497</v>
      </c>
      <c r="AS1951" s="4" t="s">
        <v>27510</v>
      </c>
      <c r="AT1951" s="4" t="s">
        <v>33089</v>
      </c>
      <c r="AU1951" s="4" t="n">
        <v>2020</v>
      </c>
      <c r="AV1951" s="4" t="n">
        <v>15</v>
      </c>
      <c r="AW1951" s="4" t="n">
        <v>2</v>
      </c>
      <c r="AX1951" s="4"/>
      <c r="AY1951" s="4"/>
      <c r="AZ1951" s="4"/>
      <c r="BA1951" s="4"/>
      <c r="BB1951" s="4"/>
      <c r="BC1951" s="4"/>
      <c r="BD1951" s="4" t="s">
        <v>33090</v>
      </c>
      <c r="BE1951" s="4" t="s">
        <v>33091</v>
      </c>
      <c r="BF1951" s="4" t="str">
        <f aca="false">HYPERLINK("http://dx.doi.org/10.1371/journal.pone.0228329","http://dx.doi.org/10.1371/journal.pone.0228329")</f>
        <v>http://dx.doi.org/10.1371/journal.pone.0228329</v>
      </c>
      <c r="BG1951" s="4"/>
      <c r="BH1951" s="4"/>
      <c r="BI1951" s="4" t="n">
        <v>18</v>
      </c>
      <c r="BJ1951" s="4" t="s">
        <v>1658</v>
      </c>
      <c r="BK1951" s="4" t="s">
        <v>100</v>
      </c>
      <c r="BL1951" s="4" t="s">
        <v>1659</v>
      </c>
      <c r="BM1951" s="4" t="s">
        <v>33092</v>
      </c>
      <c r="BN1951" s="4" t="n">
        <v>32017782</v>
      </c>
      <c r="BO1951" s="4" t="s">
        <v>190</v>
      </c>
      <c r="BP1951" s="4"/>
      <c r="BQ1951" s="4"/>
      <c r="BR1951" s="4" t="s">
        <v>104</v>
      </c>
      <c r="BS1951" s="4" t="s">
        <v>33093</v>
      </c>
      <c r="BT1951" s="4" t="str">
        <f aca="false">HYPERLINK("https%3A%2F%2Fwww.webofscience.com%2Fwos%2Fwoscc%2Ffull-record%2FWOS:000534618100018","View Full Record in Web of Science")</f>
        <v>View Full Record in Web of Science</v>
      </c>
    </row>
    <row r="1952" s="5" customFormat="true" ht="12.75" hidden="false" customHeight="false" outlineLevel="0" collapsed="false">
      <c r="A1952" s="4" t="s">
        <v>72</v>
      </c>
      <c r="B1952" s="4" t="s">
        <v>33094</v>
      </c>
      <c r="C1952" s="4"/>
      <c r="D1952" s="4"/>
      <c r="E1952" s="4"/>
      <c r="F1952" s="4" t="s">
        <v>33094</v>
      </c>
      <c r="G1952" s="4"/>
      <c r="H1952" s="4"/>
      <c r="I1952" s="4" t="s">
        <v>33095</v>
      </c>
      <c r="J1952" s="4" t="s">
        <v>27548</v>
      </c>
      <c r="K1952" s="4"/>
      <c r="L1952" s="4"/>
      <c r="M1952" s="4" t="s">
        <v>77</v>
      </c>
      <c r="N1952" s="4" t="s">
        <v>78</v>
      </c>
      <c r="O1952" s="4"/>
      <c r="P1952" s="4"/>
      <c r="Q1952" s="4"/>
      <c r="R1952" s="4"/>
      <c r="S1952" s="4"/>
      <c r="T1952" s="1" t="s">
        <v>33096</v>
      </c>
      <c r="U1952" s="4" t="s">
        <v>33097</v>
      </c>
      <c r="V1952" s="4" t="s">
        <v>33098</v>
      </c>
      <c r="W1952" s="4" t="s">
        <v>33099</v>
      </c>
      <c r="X1952" s="4" t="s">
        <v>25928</v>
      </c>
      <c r="Y1952" s="4" t="s">
        <v>33100</v>
      </c>
      <c r="Z1952" s="4" t="s">
        <v>33101</v>
      </c>
      <c r="AA1952" s="4"/>
      <c r="AB1952" s="4" t="s">
        <v>22997</v>
      </c>
      <c r="AC1952" s="4"/>
      <c r="AD1952" s="4"/>
      <c r="AE1952" s="4"/>
      <c r="AF1952" s="4"/>
      <c r="AG1952" s="4" t="n">
        <v>16</v>
      </c>
      <c r="AH1952" s="4" t="n">
        <v>253</v>
      </c>
      <c r="AI1952" s="4" t="n">
        <v>295</v>
      </c>
      <c r="AJ1952" s="4" t="n">
        <v>0</v>
      </c>
      <c r="AK1952" s="4" t="n">
        <v>5</v>
      </c>
      <c r="AL1952" s="4" t="s">
        <v>27851</v>
      </c>
      <c r="AM1952" s="4" t="s">
        <v>27561</v>
      </c>
      <c r="AN1952" s="4" t="s">
        <v>27562</v>
      </c>
      <c r="AO1952" s="4" t="s">
        <v>27563</v>
      </c>
      <c r="AP1952" s="4" t="s">
        <v>27564</v>
      </c>
      <c r="AQ1952" s="4"/>
      <c r="AR1952" s="4" t="s">
        <v>27565</v>
      </c>
      <c r="AS1952" s="4" t="s">
        <v>27566</v>
      </c>
      <c r="AT1952" s="4" t="s">
        <v>97</v>
      </c>
      <c r="AU1952" s="4" t="n">
        <v>2003</v>
      </c>
      <c r="AV1952" s="4" t="n">
        <v>9</v>
      </c>
      <c r="AW1952" s="4" t="n">
        <v>3</v>
      </c>
      <c r="AX1952" s="4"/>
      <c r="AY1952" s="4"/>
      <c r="AZ1952" s="4"/>
      <c r="BA1952" s="4"/>
      <c r="BB1952" s="4" t="n">
        <v>372</v>
      </c>
      <c r="BC1952" s="4" t="n">
        <v>375</v>
      </c>
      <c r="BD1952" s="4"/>
      <c r="BE1952" s="4" t="s">
        <v>33102</v>
      </c>
      <c r="BF1952" s="4" t="str">
        <f aca="false">HYPERLINK("http://dx.doi.org/10.3201/eid0903.020289","http://dx.doi.org/10.3201/eid0903.020289")</f>
        <v>http://dx.doi.org/10.3201/eid0903.020289</v>
      </c>
      <c r="BG1952" s="4"/>
      <c r="BH1952" s="4"/>
      <c r="BI1952" s="4" t="n">
        <v>4</v>
      </c>
      <c r="BJ1952" s="4" t="s">
        <v>965</v>
      </c>
      <c r="BK1952" s="4" t="s">
        <v>100</v>
      </c>
      <c r="BL1952" s="4" t="s">
        <v>965</v>
      </c>
      <c r="BM1952" s="4" t="s">
        <v>33103</v>
      </c>
      <c r="BN1952" s="4" t="n">
        <v>12643835</v>
      </c>
      <c r="BO1952" s="4" t="s">
        <v>33104</v>
      </c>
      <c r="BP1952" s="4"/>
      <c r="BQ1952" s="4"/>
      <c r="BR1952" s="4" t="s">
        <v>104</v>
      </c>
      <c r="BS1952" s="4" t="s">
        <v>33105</v>
      </c>
      <c r="BT1952" s="4" t="str">
        <f aca="false">HYPERLINK("https%3A%2F%2Fwww.webofscience.com%2Fwos%2Fwoscc%2Ffull-record%2FWOS:000181507700015","View Full Record in Web of Science")</f>
        <v>View Full Record in Web of Science</v>
      </c>
    </row>
    <row r="1953" s="5" customFormat="true" ht="12.75" hidden="false" customHeight="false" outlineLevel="0" collapsed="false">
      <c r="A1953" s="4" t="s">
        <v>72</v>
      </c>
      <c r="B1953" s="4" t="s">
        <v>33106</v>
      </c>
      <c r="C1953" s="4"/>
      <c r="D1953" s="4"/>
      <c r="E1953" s="4"/>
      <c r="F1953" s="4" t="s">
        <v>33106</v>
      </c>
      <c r="G1953" s="4"/>
      <c r="H1953" s="4"/>
      <c r="I1953" s="4" t="s">
        <v>33107</v>
      </c>
      <c r="J1953" s="4" t="s">
        <v>27548</v>
      </c>
      <c r="K1953" s="4"/>
      <c r="L1953" s="4"/>
      <c r="M1953" s="4" t="s">
        <v>77</v>
      </c>
      <c r="N1953" s="4" t="s">
        <v>78</v>
      </c>
      <c r="O1953" s="4"/>
      <c r="P1953" s="4"/>
      <c r="Q1953" s="4"/>
      <c r="R1953" s="4"/>
      <c r="S1953" s="4"/>
      <c r="T1953" s="1" t="s">
        <v>33108</v>
      </c>
      <c r="U1953" s="4" t="s">
        <v>33109</v>
      </c>
      <c r="V1953" s="4" t="s">
        <v>33110</v>
      </c>
      <c r="W1953" s="4" t="s">
        <v>33111</v>
      </c>
      <c r="X1953" s="4" t="s">
        <v>33112</v>
      </c>
      <c r="Y1953" s="4" t="s">
        <v>33113</v>
      </c>
      <c r="Z1953" s="4" t="s">
        <v>15144</v>
      </c>
      <c r="AA1953" s="4" t="s">
        <v>33114</v>
      </c>
      <c r="AB1953" s="4" t="s">
        <v>33115</v>
      </c>
      <c r="AC1953" s="4"/>
      <c r="AD1953" s="4"/>
      <c r="AE1953" s="4"/>
      <c r="AF1953" s="4"/>
      <c r="AG1953" s="4" t="n">
        <v>15</v>
      </c>
      <c r="AH1953" s="4" t="n">
        <v>112</v>
      </c>
      <c r="AI1953" s="4" t="n">
        <v>122</v>
      </c>
      <c r="AJ1953" s="4" t="n">
        <v>0</v>
      </c>
      <c r="AK1953" s="4" t="n">
        <v>2</v>
      </c>
      <c r="AL1953" s="4" t="s">
        <v>27560</v>
      </c>
      <c r="AM1953" s="4" t="s">
        <v>27561</v>
      </c>
      <c r="AN1953" s="4" t="s">
        <v>27562</v>
      </c>
      <c r="AO1953" s="4" t="s">
        <v>27563</v>
      </c>
      <c r="AP1953" s="4" t="s">
        <v>27564</v>
      </c>
      <c r="AQ1953" s="4"/>
      <c r="AR1953" s="4" t="s">
        <v>27565</v>
      </c>
      <c r="AS1953" s="4" t="s">
        <v>27566</v>
      </c>
      <c r="AT1953" s="4" t="s">
        <v>486</v>
      </c>
      <c r="AU1953" s="4" t="n">
        <v>2004</v>
      </c>
      <c r="AV1953" s="4" t="n">
        <v>10</v>
      </c>
      <c r="AW1953" s="4" t="n">
        <v>6</v>
      </c>
      <c r="AX1953" s="4"/>
      <c r="AY1953" s="4"/>
      <c r="AZ1953" s="4"/>
      <c r="BA1953" s="4"/>
      <c r="BB1953" s="4" t="n">
        <v>1154</v>
      </c>
      <c r="BC1953" s="4" t="n">
        <v>1157</v>
      </c>
      <c r="BD1953" s="4"/>
      <c r="BE1953" s="4" t="s">
        <v>33116</v>
      </c>
      <c r="BF1953" s="4" t="str">
        <f aca="false">HYPERLINK("http://dx.doi.org/10.3201/eid1006.031097","http://dx.doi.org/10.3201/eid1006.031097")</f>
        <v>http://dx.doi.org/10.3201/eid1006.031097</v>
      </c>
      <c r="BG1953" s="4"/>
      <c r="BH1953" s="4"/>
      <c r="BI1953" s="4" t="n">
        <v>4</v>
      </c>
      <c r="BJ1953" s="4" t="s">
        <v>965</v>
      </c>
      <c r="BK1953" s="4" t="s">
        <v>100</v>
      </c>
      <c r="BL1953" s="4" t="s">
        <v>965</v>
      </c>
      <c r="BM1953" s="4" t="s">
        <v>33117</v>
      </c>
      <c r="BN1953" s="4" t="n">
        <v>15207075</v>
      </c>
      <c r="BO1953" s="4" t="s">
        <v>33118</v>
      </c>
      <c r="BP1953" s="4"/>
      <c r="BQ1953" s="4"/>
      <c r="BR1953" s="4" t="s">
        <v>104</v>
      </c>
      <c r="BS1953" s="4" t="s">
        <v>33119</v>
      </c>
      <c r="BT1953" s="4" t="str">
        <f aca="false">HYPERLINK("https%3A%2F%2Fwww.webofscience.com%2Fwos%2Fwoscc%2Ffull-record%2FWOS:000221749300031","View Full Record in Web of Science")</f>
        <v>View Full Record in Web of Science</v>
      </c>
    </row>
    <row r="1954" s="5" customFormat="true" ht="12.75" hidden="false" customHeight="false" outlineLevel="0" collapsed="false">
      <c r="A1954" s="4" t="s">
        <v>72</v>
      </c>
      <c r="B1954" s="4" t="s">
        <v>33120</v>
      </c>
      <c r="C1954" s="4"/>
      <c r="D1954" s="4"/>
      <c r="E1954" s="4"/>
      <c r="F1954" s="4" t="s">
        <v>33121</v>
      </c>
      <c r="G1954" s="4"/>
      <c r="H1954" s="4"/>
      <c r="I1954" s="4" t="s">
        <v>33122</v>
      </c>
      <c r="J1954" s="4" t="s">
        <v>29489</v>
      </c>
      <c r="K1954" s="4"/>
      <c r="L1954" s="4"/>
      <c r="M1954" s="4" t="s">
        <v>77</v>
      </c>
      <c r="N1954" s="4" t="s">
        <v>78</v>
      </c>
      <c r="O1954" s="4"/>
      <c r="P1954" s="4"/>
      <c r="Q1954" s="4"/>
      <c r="R1954" s="4"/>
      <c r="S1954" s="4"/>
      <c r="T1954" s="1" t="s">
        <v>33123</v>
      </c>
      <c r="U1954" s="4" t="s">
        <v>33124</v>
      </c>
      <c r="V1954" s="4" t="s">
        <v>33125</v>
      </c>
      <c r="W1954" s="4" t="s">
        <v>33126</v>
      </c>
      <c r="X1954" s="4" t="s">
        <v>33127</v>
      </c>
      <c r="Y1954" s="4" t="s">
        <v>33128</v>
      </c>
      <c r="Z1954" s="4" t="s">
        <v>33129</v>
      </c>
      <c r="AA1954" s="4" t="s">
        <v>33130</v>
      </c>
      <c r="AB1954" s="4"/>
      <c r="AC1954" s="4"/>
      <c r="AD1954" s="4"/>
      <c r="AE1954" s="4"/>
      <c r="AF1954" s="4"/>
      <c r="AG1954" s="4" t="n">
        <v>29</v>
      </c>
      <c r="AH1954" s="4" t="n">
        <v>9</v>
      </c>
      <c r="AI1954" s="4" t="n">
        <v>11</v>
      </c>
      <c r="AJ1954" s="4" t="n">
        <v>0</v>
      </c>
      <c r="AK1954" s="4" t="n">
        <v>8</v>
      </c>
      <c r="AL1954" s="4" t="s">
        <v>755</v>
      </c>
      <c r="AM1954" s="4" t="s">
        <v>273</v>
      </c>
      <c r="AN1954" s="4" t="s">
        <v>756</v>
      </c>
      <c r="AO1954" s="4" t="s">
        <v>29497</v>
      </c>
      <c r="AP1954" s="4" t="s">
        <v>29498</v>
      </c>
      <c r="AQ1954" s="4"/>
      <c r="AR1954" s="4" t="s">
        <v>29499</v>
      </c>
      <c r="AS1954" s="4" t="s">
        <v>29500</v>
      </c>
      <c r="AT1954" s="4" t="s">
        <v>97</v>
      </c>
      <c r="AU1954" s="4" t="n">
        <v>2014</v>
      </c>
      <c r="AV1954" s="4" t="n">
        <v>21</v>
      </c>
      <c r="AW1954" s="4" t="n">
        <v>3</v>
      </c>
      <c r="AX1954" s="4"/>
      <c r="AY1954" s="4"/>
      <c r="AZ1954" s="4"/>
      <c r="BA1954" s="4"/>
      <c r="BB1954" s="4" t="n">
        <v>383</v>
      </c>
      <c r="BC1954" s="4" t="n">
        <v>390</v>
      </c>
      <c r="BD1954" s="4"/>
      <c r="BE1954" s="4" t="s">
        <v>33131</v>
      </c>
      <c r="BF1954" s="4" t="str">
        <f aca="false">HYPERLINK("http://dx.doi.org/10.1128/CVI.00594-13","http://dx.doi.org/10.1128/CVI.00594-13")</f>
        <v>http://dx.doi.org/10.1128/CVI.00594-13</v>
      </c>
      <c r="BG1954" s="4"/>
      <c r="BH1954" s="4"/>
      <c r="BI1954" s="4" t="n">
        <v>8</v>
      </c>
      <c r="BJ1954" s="4" t="s">
        <v>536</v>
      </c>
      <c r="BK1954" s="4" t="s">
        <v>100</v>
      </c>
      <c r="BL1954" s="4" t="s">
        <v>536</v>
      </c>
      <c r="BM1954" s="4" t="s">
        <v>33132</v>
      </c>
      <c r="BN1954" s="4" t="n">
        <v>24403526</v>
      </c>
      <c r="BO1954" s="4" t="s">
        <v>103</v>
      </c>
      <c r="BP1954" s="4"/>
      <c r="BQ1954" s="4"/>
      <c r="BR1954" s="4" t="s">
        <v>104</v>
      </c>
      <c r="BS1954" s="4" t="s">
        <v>33133</v>
      </c>
      <c r="BT1954" s="4" t="str">
        <f aca="false">HYPERLINK("https%3A%2F%2Fwww.webofscience.com%2Fwos%2Fwoscc%2Ffull-record%2FWOS:000332036900015","View Full Record in Web of Science")</f>
        <v>View Full Record in Web of Science</v>
      </c>
    </row>
    <row r="1955" s="5" customFormat="true" ht="12.75" hidden="false" customHeight="false" outlineLevel="0" collapsed="false">
      <c r="A1955" s="4" t="s">
        <v>72</v>
      </c>
      <c r="B1955" s="4" t="s">
        <v>33134</v>
      </c>
      <c r="C1955" s="4"/>
      <c r="D1955" s="4"/>
      <c r="E1955" s="4"/>
      <c r="F1955" s="4" t="s">
        <v>33135</v>
      </c>
      <c r="G1955" s="4"/>
      <c r="H1955" s="4"/>
      <c r="I1955" s="4" t="s">
        <v>33136</v>
      </c>
      <c r="J1955" s="4" t="s">
        <v>27548</v>
      </c>
      <c r="K1955" s="4"/>
      <c r="L1955" s="4"/>
      <c r="M1955" s="4" t="s">
        <v>77</v>
      </c>
      <c r="N1955" s="4" t="s">
        <v>78</v>
      </c>
      <c r="O1955" s="4"/>
      <c r="P1955" s="4"/>
      <c r="Q1955" s="4"/>
      <c r="R1955" s="4"/>
      <c r="S1955" s="4"/>
      <c r="T1955" s="1" t="s">
        <v>33137</v>
      </c>
      <c r="U1955" s="4" t="s">
        <v>33138</v>
      </c>
      <c r="V1955" s="4" t="s">
        <v>33139</v>
      </c>
      <c r="W1955" s="4" t="s">
        <v>33140</v>
      </c>
      <c r="X1955" s="4" t="s">
        <v>33141</v>
      </c>
      <c r="Y1955" s="4" t="s">
        <v>33142</v>
      </c>
      <c r="Z1955" s="4" t="s">
        <v>33143</v>
      </c>
      <c r="AA1955" s="4" t="s">
        <v>33144</v>
      </c>
      <c r="AB1955" s="4" t="s">
        <v>33145</v>
      </c>
      <c r="AC1955" s="4" t="s">
        <v>33146</v>
      </c>
      <c r="AD1955" s="4" t="s">
        <v>33147</v>
      </c>
      <c r="AE1955" s="4" t="s">
        <v>33148</v>
      </c>
      <c r="AF1955" s="4"/>
      <c r="AG1955" s="4" t="n">
        <v>9</v>
      </c>
      <c r="AH1955" s="4" t="n">
        <v>110</v>
      </c>
      <c r="AI1955" s="4" t="n">
        <v>121</v>
      </c>
      <c r="AJ1955" s="4" t="n">
        <v>0</v>
      </c>
      <c r="AK1955" s="4" t="n">
        <v>30</v>
      </c>
      <c r="AL1955" s="4" t="s">
        <v>27560</v>
      </c>
      <c r="AM1955" s="4" t="s">
        <v>27561</v>
      </c>
      <c r="AN1955" s="4" t="s">
        <v>27562</v>
      </c>
      <c r="AO1955" s="4" t="s">
        <v>27563</v>
      </c>
      <c r="AP1955" s="4" t="s">
        <v>27564</v>
      </c>
      <c r="AQ1955" s="4"/>
      <c r="AR1955" s="4" t="s">
        <v>27565</v>
      </c>
      <c r="AS1955" s="4" t="s">
        <v>27566</v>
      </c>
      <c r="AT1955" s="4" t="s">
        <v>692</v>
      </c>
      <c r="AU1955" s="4" t="n">
        <v>2011</v>
      </c>
      <c r="AV1955" s="4" t="n">
        <v>17</v>
      </c>
      <c r="AW1955" s="4" t="n">
        <v>4</v>
      </c>
      <c r="AX1955" s="4"/>
      <c r="AY1955" s="4"/>
      <c r="AZ1955" s="4"/>
      <c r="BA1955" s="4"/>
      <c r="BB1955" s="4" t="n">
        <v>711</v>
      </c>
      <c r="BC1955" s="4" t="n">
        <v>713</v>
      </c>
      <c r="BD1955" s="4"/>
      <c r="BE1955" s="4" t="s">
        <v>33149</v>
      </c>
      <c r="BF1955" s="4" t="str">
        <f aca="false">HYPERLINK("http://dx.doi.org/10.3201/eid1704.100883","http://dx.doi.org/10.3201/eid1704.100883")</f>
        <v>http://dx.doi.org/10.3201/eid1704.100883</v>
      </c>
      <c r="BG1955" s="4"/>
      <c r="BH1955" s="4"/>
      <c r="BI1955" s="4" t="n">
        <v>3</v>
      </c>
      <c r="BJ1955" s="4" t="s">
        <v>965</v>
      </c>
      <c r="BK1955" s="4" t="s">
        <v>100</v>
      </c>
      <c r="BL1955" s="4" t="s">
        <v>965</v>
      </c>
      <c r="BM1955" s="4" t="s">
        <v>33150</v>
      </c>
      <c r="BN1955" s="4" t="n">
        <v>21470468</v>
      </c>
      <c r="BO1955" s="4" t="s">
        <v>103</v>
      </c>
      <c r="BP1955" s="4"/>
      <c r="BQ1955" s="4"/>
      <c r="BR1955" s="4" t="s">
        <v>104</v>
      </c>
      <c r="BS1955" s="4" t="s">
        <v>33151</v>
      </c>
      <c r="BT1955" s="4" t="str">
        <f aca="false">HYPERLINK("https%3A%2F%2Fwww.webofscience.com%2Fwos%2Fwoscc%2Ffull-record%2FWOS:000288975300025","View Full Record in Web of Science")</f>
        <v>View Full Record in Web of Science</v>
      </c>
    </row>
    <row r="1956" s="5" customFormat="true" ht="12.75" hidden="false" customHeight="false" outlineLevel="0" collapsed="false">
      <c r="A1956" s="4" t="s">
        <v>72</v>
      </c>
      <c r="B1956" s="4" t="s">
        <v>33152</v>
      </c>
      <c r="C1956" s="4"/>
      <c r="D1956" s="4"/>
      <c r="E1956" s="4"/>
      <c r="F1956" s="4" t="s">
        <v>33153</v>
      </c>
      <c r="G1956" s="4"/>
      <c r="H1956" s="4"/>
      <c r="I1956" s="4" t="s">
        <v>33154</v>
      </c>
      <c r="J1956" s="4" t="s">
        <v>33155</v>
      </c>
      <c r="K1956" s="4"/>
      <c r="L1956" s="4"/>
      <c r="M1956" s="4" t="s">
        <v>77</v>
      </c>
      <c r="N1956" s="4" t="s">
        <v>78</v>
      </c>
      <c r="O1956" s="4"/>
      <c r="P1956" s="4"/>
      <c r="Q1956" s="4"/>
      <c r="R1956" s="4"/>
      <c r="S1956" s="4"/>
      <c r="T1956" s="1" t="s">
        <v>33156</v>
      </c>
      <c r="U1956" s="4" t="s">
        <v>33157</v>
      </c>
      <c r="V1956" s="4" t="s">
        <v>33158</v>
      </c>
      <c r="W1956" s="4" t="s">
        <v>33159</v>
      </c>
      <c r="X1956" s="4" t="s">
        <v>33160</v>
      </c>
      <c r="Y1956" s="4" t="s">
        <v>33161</v>
      </c>
      <c r="Z1956" s="4" t="s">
        <v>33162</v>
      </c>
      <c r="AA1956" s="4" t="s">
        <v>33163</v>
      </c>
      <c r="AB1956" s="4" t="s">
        <v>33164</v>
      </c>
      <c r="AC1956" s="4" t="s">
        <v>33165</v>
      </c>
      <c r="AD1956" s="4" t="s">
        <v>33166</v>
      </c>
      <c r="AE1956" s="4" t="s">
        <v>33167</v>
      </c>
      <c r="AF1956" s="4"/>
      <c r="AG1956" s="4" t="n">
        <v>42</v>
      </c>
      <c r="AH1956" s="4" t="n">
        <v>22</v>
      </c>
      <c r="AI1956" s="4" t="n">
        <v>22</v>
      </c>
      <c r="AJ1956" s="4" t="n">
        <v>0</v>
      </c>
      <c r="AK1956" s="4" t="n">
        <v>1</v>
      </c>
      <c r="AL1956" s="4" t="s">
        <v>33168</v>
      </c>
      <c r="AM1956" s="4" t="s">
        <v>33169</v>
      </c>
      <c r="AN1956" s="4" t="s">
        <v>33170</v>
      </c>
      <c r="AO1956" s="4" t="s">
        <v>33171</v>
      </c>
      <c r="AP1956" s="4" t="s">
        <v>33172</v>
      </c>
      <c r="AQ1956" s="4"/>
      <c r="AR1956" s="4" t="s">
        <v>33173</v>
      </c>
      <c r="AS1956" s="4" t="s">
        <v>33174</v>
      </c>
      <c r="AT1956" s="4" t="s">
        <v>486</v>
      </c>
      <c r="AU1956" s="4" t="n">
        <v>2019</v>
      </c>
      <c r="AV1956" s="4" t="n">
        <v>9</v>
      </c>
      <c r="AW1956" s="4" t="n">
        <v>1</v>
      </c>
      <c r="AX1956" s="4"/>
      <c r="AY1956" s="4"/>
      <c r="AZ1956" s="4"/>
      <c r="BA1956" s="4"/>
      <c r="BB1956" s="4"/>
      <c r="BC1956" s="4"/>
      <c r="BD1956" s="4" t="n">
        <v>10433</v>
      </c>
      <c r="BE1956" s="4" t="s">
        <v>33175</v>
      </c>
      <c r="BF1956" s="4" t="str">
        <f aca="false">HYPERLINK("http://dx.doi.org/10.7189/jogh.09.010433","http://dx.doi.org/10.7189/jogh.09.010433")</f>
        <v>http://dx.doi.org/10.7189/jogh.09.010433</v>
      </c>
      <c r="BG1956" s="4"/>
      <c r="BH1956" s="4"/>
      <c r="BI1956" s="4" t="n">
        <v>9</v>
      </c>
      <c r="BJ1956" s="4" t="s">
        <v>1353</v>
      </c>
      <c r="BK1956" s="4" t="s">
        <v>1086</v>
      </c>
      <c r="BL1956" s="4" t="s">
        <v>1353</v>
      </c>
      <c r="BM1956" s="4" t="s">
        <v>33176</v>
      </c>
      <c r="BN1956" s="4" t="n">
        <v>31131104</v>
      </c>
      <c r="BO1956" s="4" t="s">
        <v>6349</v>
      </c>
      <c r="BP1956" s="4"/>
      <c r="BQ1956" s="4"/>
      <c r="BR1956" s="4" t="s">
        <v>104</v>
      </c>
      <c r="BS1956" s="4" t="s">
        <v>33177</v>
      </c>
      <c r="BT1956" s="4" t="str">
        <f aca="false">HYPERLINK("https%3A%2F%2Fwww.webofscience.com%2Fwos%2Fwoscc%2Ffull-record%2FWOS:000476640500058","View Full Record in Web of Science")</f>
        <v>View Full Record in Web of Science</v>
      </c>
    </row>
    <row r="1957" s="5" customFormat="true" ht="12.75" hidden="false" customHeight="false" outlineLevel="0" collapsed="false">
      <c r="A1957" s="4" t="s">
        <v>72</v>
      </c>
      <c r="B1957" s="4" t="s">
        <v>33178</v>
      </c>
      <c r="C1957" s="4"/>
      <c r="D1957" s="4"/>
      <c r="E1957" s="4"/>
      <c r="F1957" s="4" t="s">
        <v>33179</v>
      </c>
      <c r="G1957" s="4"/>
      <c r="H1957" s="4"/>
      <c r="I1957" s="4" t="s">
        <v>33180</v>
      </c>
      <c r="J1957" s="4" t="s">
        <v>27453</v>
      </c>
      <c r="K1957" s="4"/>
      <c r="L1957" s="4"/>
      <c r="M1957" s="4" t="s">
        <v>77</v>
      </c>
      <c r="N1957" s="4" t="s">
        <v>78</v>
      </c>
      <c r="O1957" s="4"/>
      <c r="P1957" s="4"/>
      <c r="Q1957" s="4"/>
      <c r="R1957" s="4"/>
      <c r="S1957" s="4"/>
      <c r="T1957" s="0"/>
      <c r="U1957" s="4" t="s">
        <v>796</v>
      </c>
      <c r="V1957" s="4"/>
      <c r="W1957" s="4" t="s">
        <v>33181</v>
      </c>
      <c r="X1957" s="4"/>
      <c r="Y1957" s="4" t="s">
        <v>33182</v>
      </c>
      <c r="Z1957" s="4" t="s">
        <v>33183</v>
      </c>
      <c r="AA1957" s="4"/>
      <c r="AB1957" s="4"/>
      <c r="AC1957" s="4"/>
      <c r="AD1957" s="4"/>
      <c r="AE1957" s="4"/>
      <c r="AF1957" s="4"/>
      <c r="AG1957" s="4" t="n">
        <v>8</v>
      </c>
      <c r="AH1957" s="4" t="n">
        <v>19</v>
      </c>
      <c r="AI1957" s="4" t="n">
        <v>20</v>
      </c>
      <c r="AJ1957" s="4" t="n">
        <v>0</v>
      </c>
      <c r="AK1957" s="4" t="n">
        <v>2</v>
      </c>
      <c r="AL1957" s="4" t="s">
        <v>27463</v>
      </c>
      <c r="AM1957" s="4" t="s">
        <v>16252</v>
      </c>
      <c r="AN1957" s="4" t="s">
        <v>27464</v>
      </c>
      <c r="AO1957" s="4" t="s">
        <v>27465</v>
      </c>
      <c r="AP1957" s="4" t="s">
        <v>27466</v>
      </c>
      <c r="AQ1957" s="4"/>
      <c r="AR1957" s="4" t="s">
        <v>27467</v>
      </c>
      <c r="AS1957" s="4" t="s">
        <v>27468</v>
      </c>
      <c r="AT1957" s="4" t="s">
        <v>129</v>
      </c>
      <c r="AU1957" s="4" t="n">
        <v>2007</v>
      </c>
      <c r="AV1957" s="4" t="n">
        <v>60</v>
      </c>
      <c r="AW1957" s="4" t="n">
        <v>5</v>
      </c>
      <c r="AX1957" s="4"/>
      <c r="AY1957" s="4"/>
      <c r="AZ1957" s="4"/>
      <c r="BA1957" s="4"/>
      <c r="BB1957" s="4" t="n">
        <v>328</v>
      </c>
      <c r="BC1957" s="4" t="n">
        <v>329</v>
      </c>
      <c r="BD1957" s="4"/>
      <c r="BE1957" s="4"/>
      <c r="BF1957" s="4"/>
      <c r="BG1957" s="4"/>
      <c r="BH1957" s="4"/>
      <c r="BI1957" s="4" t="n">
        <v>2</v>
      </c>
      <c r="BJ1957" s="4" t="s">
        <v>575</v>
      </c>
      <c r="BK1957" s="4" t="s">
        <v>100</v>
      </c>
      <c r="BL1957" s="4" t="s">
        <v>575</v>
      </c>
      <c r="BM1957" s="4" t="s">
        <v>33184</v>
      </c>
      <c r="BN1957" s="4" t="n">
        <v>17881883</v>
      </c>
      <c r="BO1957" s="4"/>
      <c r="BP1957" s="4"/>
      <c r="BQ1957" s="4"/>
      <c r="BR1957" s="4" t="s">
        <v>104</v>
      </c>
      <c r="BS1957" s="4" t="s">
        <v>33185</v>
      </c>
      <c r="BT1957" s="4" t="str">
        <f aca="false">HYPERLINK("https%3A%2F%2Fwww.webofscience.com%2Fwos%2Fwoscc%2Ffull-record%2FWOS:000249833600023","View Full Record in Web of Science")</f>
        <v>View Full Record in Web of Science</v>
      </c>
    </row>
    <row r="1958" s="5" customFormat="true" ht="12.75" hidden="false" customHeight="false" outlineLevel="0" collapsed="false">
      <c r="A1958" s="4" t="s">
        <v>72</v>
      </c>
      <c r="B1958" s="4" t="s">
        <v>33186</v>
      </c>
      <c r="C1958" s="4"/>
      <c r="D1958" s="4"/>
      <c r="E1958" s="4"/>
      <c r="F1958" s="4" t="s">
        <v>33187</v>
      </c>
      <c r="G1958" s="4"/>
      <c r="H1958" s="4"/>
      <c r="I1958" s="4" t="s">
        <v>33188</v>
      </c>
      <c r="J1958" s="4" t="s">
        <v>27548</v>
      </c>
      <c r="K1958" s="4"/>
      <c r="L1958" s="4"/>
      <c r="M1958" s="4" t="s">
        <v>77</v>
      </c>
      <c r="N1958" s="4" t="s">
        <v>78</v>
      </c>
      <c r="O1958" s="4"/>
      <c r="P1958" s="4"/>
      <c r="Q1958" s="4"/>
      <c r="R1958" s="4"/>
      <c r="S1958" s="4"/>
      <c r="T1958" s="1" t="s">
        <v>33189</v>
      </c>
      <c r="U1958" s="4" t="s">
        <v>33190</v>
      </c>
      <c r="V1958" s="4" t="s">
        <v>33191</v>
      </c>
      <c r="W1958" s="4" t="s">
        <v>33192</v>
      </c>
      <c r="X1958" s="4" t="s">
        <v>26208</v>
      </c>
      <c r="Y1958" s="4" t="s">
        <v>16736</v>
      </c>
      <c r="Z1958" s="4" t="s">
        <v>16737</v>
      </c>
      <c r="AA1958" s="4" t="s">
        <v>26210</v>
      </c>
      <c r="AB1958" s="4" t="s">
        <v>26211</v>
      </c>
      <c r="AC1958" s="4"/>
      <c r="AD1958" s="4"/>
      <c r="AE1958" s="4"/>
      <c r="AF1958" s="4"/>
      <c r="AG1958" s="4" t="n">
        <v>15</v>
      </c>
      <c r="AH1958" s="4" t="n">
        <v>23</v>
      </c>
      <c r="AI1958" s="4" t="n">
        <v>23</v>
      </c>
      <c r="AJ1958" s="4" t="n">
        <v>0</v>
      </c>
      <c r="AK1958" s="4" t="n">
        <v>0</v>
      </c>
      <c r="AL1958" s="4" t="s">
        <v>27960</v>
      </c>
      <c r="AM1958" s="4" t="s">
        <v>27561</v>
      </c>
      <c r="AN1958" s="4" t="s">
        <v>27961</v>
      </c>
      <c r="AO1958" s="4" t="s">
        <v>27563</v>
      </c>
      <c r="AP1958" s="4"/>
      <c r="AQ1958" s="4"/>
      <c r="AR1958" s="4" t="s">
        <v>27565</v>
      </c>
      <c r="AS1958" s="4" t="s">
        <v>27566</v>
      </c>
      <c r="AT1958" s="4" t="s">
        <v>129</v>
      </c>
      <c r="AU1958" s="4" t="n">
        <v>2006</v>
      </c>
      <c r="AV1958" s="4" t="n">
        <v>12</v>
      </c>
      <c r="AW1958" s="4" t="n">
        <v>9</v>
      </c>
      <c r="AX1958" s="4"/>
      <c r="AY1958" s="4"/>
      <c r="AZ1958" s="4"/>
      <c r="BA1958" s="4"/>
      <c r="BB1958" s="4" t="n">
        <v>1437</v>
      </c>
      <c r="BC1958" s="4" t="n">
        <v>1439</v>
      </c>
      <c r="BD1958" s="4"/>
      <c r="BE1958" s="4" t="s">
        <v>33193</v>
      </c>
      <c r="BF1958" s="4" t="str">
        <f aca="false">HYPERLINK("http://dx.doi.org/10.3201/eid1209.060207","http://dx.doi.org/10.3201/eid1209.060207")</f>
        <v>http://dx.doi.org/10.3201/eid1209.060207</v>
      </c>
      <c r="BG1958" s="4"/>
      <c r="BH1958" s="4"/>
      <c r="BI1958" s="4" t="n">
        <v>3</v>
      </c>
      <c r="BJ1958" s="4" t="s">
        <v>965</v>
      </c>
      <c r="BK1958" s="4" t="s">
        <v>100</v>
      </c>
      <c r="BL1958" s="4" t="s">
        <v>965</v>
      </c>
      <c r="BM1958" s="4" t="s">
        <v>33194</v>
      </c>
      <c r="BN1958" s="4" t="n">
        <v>17073098</v>
      </c>
      <c r="BO1958" s="4" t="s">
        <v>33195</v>
      </c>
      <c r="BP1958" s="4"/>
      <c r="BQ1958" s="4"/>
      <c r="BR1958" s="4" t="s">
        <v>104</v>
      </c>
      <c r="BS1958" s="4" t="s">
        <v>33196</v>
      </c>
      <c r="BT1958" s="4" t="str">
        <f aca="false">HYPERLINK("https%3A%2F%2Fwww.webofscience.com%2Fwos%2Fwoscc%2Ffull-record%2FWOS:000240081400022","View Full Record in Web of Science")</f>
        <v>View Full Record in Web of Science</v>
      </c>
    </row>
    <row r="1959" s="5" customFormat="true" ht="12.75" hidden="false" customHeight="false" outlineLevel="0" collapsed="false">
      <c r="A1959" s="4" t="s">
        <v>72</v>
      </c>
      <c r="B1959" s="4" t="s">
        <v>33197</v>
      </c>
      <c r="C1959" s="4"/>
      <c r="D1959" s="4"/>
      <c r="E1959" s="4"/>
      <c r="F1959" s="4" t="s">
        <v>33197</v>
      </c>
      <c r="G1959" s="4"/>
      <c r="H1959" s="4"/>
      <c r="I1959" s="4" t="s">
        <v>33198</v>
      </c>
      <c r="J1959" s="4" t="s">
        <v>27453</v>
      </c>
      <c r="K1959" s="4"/>
      <c r="L1959" s="4"/>
      <c r="M1959" s="4" t="s">
        <v>77</v>
      </c>
      <c r="N1959" s="4" t="s">
        <v>78</v>
      </c>
      <c r="O1959" s="4"/>
      <c r="P1959" s="4"/>
      <c r="Q1959" s="4"/>
      <c r="R1959" s="4"/>
      <c r="S1959" s="4"/>
      <c r="T1959" s="0"/>
      <c r="U1959" s="4"/>
      <c r="V1959" s="4"/>
      <c r="W1959" s="4" t="s">
        <v>33199</v>
      </c>
      <c r="X1959" s="4" t="s">
        <v>33200</v>
      </c>
      <c r="Y1959" s="4" t="s">
        <v>33201</v>
      </c>
      <c r="Z1959" s="4" t="s">
        <v>33202</v>
      </c>
      <c r="AA1959" s="4"/>
      <c r="AB1959" s="4"/>
      <c r="AC1959" s="4"/>
      <c r="AD1959" s="4"/>
      <c r="AE1959" s="4"/>
      <c r="AF1959" s="4"/>
      <c r="AG1959" s="4" t="n">
        <v>5</v>
      </c>
      <c r="AH1959" s="4" t="n">
        <v>10</v>
      </c>
      <c r="AI1959" s="4" t="n">
        <v>14</v>
      </c>
      <c r="AJ1959" s="4" t="n">
        <v>0</v>
      </c>
      <c r="AK1959" s="4" t="n">
        <v>0</v>
      </c>
      <c r="AL1959" s="4" t="s">
        <v>27463</v>
      </c>
      <c r="AM1959" s="4" t="s">
        <v>16252</v>
      </c>
      <c r="AN1959" s="4" t="s">
        <v>27464</v>
      </c>
      <c r="AO1959" s="4" t="s">
        <v>27465</v>
      </c>
      <c r="AP1959" s="4" t="s">
        <v>27466</v>
      </c>
      <c r="AQ1959" s="4"/>
      <c r="AR1959" s="4" t="s">
        <v>27467</v>
      </c>
      <c r="AS1959" s="4" t="s">
        <v>27468</v>
      </c>
      <c r="AT1959" s="4" t="s">
        <v>692</v>
      </c>
      <c r="AU1959" s="4" t="n">
        <v>2004</v>
      </c>
      <c r="AV1959" s="4" t="n">
        <v>57</v>
      </c>
      <c r="AW1959" s="4" t="n">
        <v>2</v>
      </c>
      <c r="AX1959" s="4"/>
      <c r="AY1959" s="4"/>
      <c r="AZ1959" s="4"/>
      <c r="BA1959" s="4"/>
      <c r="BB1959" s="4" t="n">
        <v>80</v>
      </c>
      <c r="BC1959" s="4" t="n">
        <v>82</v>
      </c>
      <c r="BD1959" s="4"/>
      <c r="BE1959" s="4"/>
      <c r="BF1959" s="4"/>
      <c r="BG1959" s="4"/>
      <c r="BH1959" s="4"/>
      <c r="BI1959" s="4" t="n">
        <v>3</v>
      </c>
      <c r="BJ1959" s="4" t="s">
        <v>575</v>
      </c>
      <c r="BK1959" s="4" t="s">
        <v>100</v>
      </c>
      <c r="BL1959" s="4" t="s">
        <v>575</v>
      </c>
      <c r="BM1959" s="4" t="s">
        <v>33203</v>
      </c>
      <c r="BN1959" s="4" t="n">
        <v>15118218</v>
      </c>
      <c r="BO1959" s="4"/>
      <c r="BP1959" s="4"/>
      <c r="BQ1959" s="4"/>
      <c r="BR1959" s="4" t="s">
        <v>104</v>
      </c>
      <c r="BS1959" s="4" t="s">
        <v>33204</v>
      </c>
      <c r="BT1959" s="4" t="str">
        <f aca="false">HYPERLINK("https%3A%2F%2Fwww.webofscience.com%2Fwos%2Fwoscc%2Ffull-record%2FWOS:000221138100015","View Full Record in Web of Science")</f>
        <v>View Full Record in Web of Science</v>
      </c>
    </row>
    <row r="1960" s="5" customFormat="true" ht="12.75" hidden="false" customHeight="false" outlineLevel="0" collapsed="false">
      <c r="A1960" s="4" t="s">
        <v>72</v>
      </c>
      <c r="B1960" s="4" t="s">
        <v>33205</v>
      </c>
      <c r="C1960" s="4"/>
      <c r="D1960" s="4"/>
      <c r="E1960" s="4"/>
      <c r="F1960" s="4" t="s">
        <v>33206</v>
      </c>
      <c r="G1960" s="4"/>
      <c r="H1960" s="4"/>
      <c r="I1960" s="4" t="s">
        <v>33207</v>
      </c>
      <c r="J1960" s="4" t="s">
        <v>27497</v>
      </c>
      <c r="K1960" s="4"/>
      <c r="L1960" s="4"/>
      <c r="M1960" s="4" t="s">
        <v>77</v>
      </c>
      <c r="N1960" s="4" t="s">
        <v>78</v>
      </c>
      <c r="O1960" s="4"/>
      <c r="P1960" s="4"/>
      <c r="Q1960" s="4"/>
      <c r="R1960" s="4"/>
      <c r="S1960" s="4"/>
      <c r="T1960" s="1" t="s">
        <v>33208</v>
      </c>
      <c r="U1960" s="4" t="s">
        <v>33209</v>
      </c>
      <c r="V1960" s="4" t="s">
        <v>33210</v>
      </c>
      <c r="W1960" s="4" t="s">
        <v>33211</v>
      </c>
      <c r="X1960" s="4" t="s">
        <v>33212</v>
      </c>
      <c r="Y1960" s="4" t="s">
        <v>33213</v>
      </c>
      <c r="Z1960" s="4" t="s">
        <v>33214</v>
      </c>
      <c r="AA1960" s="4" t="s">
        <v>23862</v>
      </c>
      <c r="AB1960" s="4" t="s">
        <v>33215</v>
      </c>
      <c r="AC1960" s="4" t="s">
        <v>33216</v>
      </c>
      <c r="AD1960" s="4" t="s">
        <v>33217</v>
      </c>
      <c r="AE1960" s="4" t="s">
        <v>33218</v>
      </c>
      <c r="AF1960" s="4"/>
      <c r="AG1960" s="4" t="n">
        <v>30</v>
      </c>
      <c r="AH1960" s="4" t="n">
        <v>136</v>
      </c>
      <c r="AI1960" s="4" t="n">
        <v>148</v>
      </c>
      <c r="AJ1960" s="4" t="n">
        <v>0</v>
      </c>
      <c r="AK1960" s="4" t="n">
        <v>0</v>
      </c>
      <c r="AL1960" s="4" t="s">
        <v>27506</v>
      </c>
      <c r="AM1960" s="4" t="s">
        <v>27507</v>
      </c>
      <c r="AN1960" s="4" t="s">
        <v>27508</v>
      </c>
      <c r="AO1960" s="4" t="s">
        <v>27509</v>
      </c>
      <c r="AP1960" s="4"/>
      <c r="AQ1960" s="4"/>
      <c r="AR1960" s="4" t="s">
        <v>27497</v>
      </c>
      <c r="AS1960" s="4" t="s">
        <v>27510</v>
      </c>
      <c r="AT1960" s="4" t="s">
        <v>7622</v>
      </c>
      <c r="AU1960" s="4" t="n">
        <v>2009</v>
      </c>
      <c r="AV1960" s="4" t="n">
        <v>4</v>
      </c>
      <c r="AW1960" s="4" t="n">
        <v>2</v>
      </c>
      <c r="AX1960" s="4"/>
      <c r="AY1960" s="4"/>
      <c r="AZ1960" s="4"/>
      <c r="BA1960" s="4"/>
      <c r="BB1960" s="4"/>
      <c r="BC1960" s="4"/>
      <c r="BD1960" s="4" t="s">
        <v>33219</v>
      </c>
      <c r="BE1960" s="4" t="s">
        <v>33220</v>
      </c>
      <c r="BF1960" s="4" t="str">
        <f aca="false">HYPERLINK("http://dx.doi.org/10.1371/journal.pone.0004596","http://dx.doi.org/10.1371/journal.pone.0004596")</f>
        <v>http://dx.doi.org/10.1371/journal.pone.0004596</v>
      </c>
      <c r="BG1960" s="4"/>
      <c r="BH1960" s="4"/>
      <c r="BI1960" s="4" t="n">
        <v>6</v>
      </c>
      <c r="BJ1960" s="4" t="s">
        <v>1658</v>
      </c>
      <c r="BK1960" s="4" t="s">
        <v>100</v>
      </c>
      <c r="BL1960" s="4" t="s">
        <v>1659</v>
      </c>
      <c r="BM1960" s="4" t="s">
        <v>33221</v>
      </c>
      <c r="BN1960" s="4" t="n">
        <v>19240806</v>
      </c>
      <c r="BO1960" s="4" t="s">
        <v>6349</v>
      </c>
      <c r="BP1960" s="4"/>
      <c r="BQ1960" s="4"/>
      <c r="BR1960" s="4" t="s">
        <v>104</v>
      </c>
      <c r="BS1960" s="4" t="s">
        <v>33222</v>
      </c>
      <c r="BT1960" s="4" t="str">
        <f aca="false">HYPERLINK("https%3A%2F%2Fwww.webofscience.com%2Fwos%2Fwoscc%2Ffull-record%2FWOS:000278086700011","View Full Record in Web of Science")</f>
        <v>View Full Record in Web of Science</v>
      </c>
    </row>
    <row r="1961" s="5" customFormat="true" ht="12.75" hidden="false" customHeight="false" outlineLevel="0" collapsed="false">
      <c r="A1961" s="4" t="s">
        <v>72</v>
      </c>
      <c r="B1961" s="4" t="s">
        <v>33223</v>
      </c>
      <c r="C1961" s="4"/>
      <c r="D1961" s="4"/>
      <c r="E1961" s="4"/>
      <c r="F1961" s="4" t="s">
        <v>33224</v>
      </c>
      <c r="G1961" s="4"/>
      <c r="H1961" s="4"/>
      <c r="I1961" s="4" t="s">
        <v>33225</v>
      </c>
      <c r="J1961" s="4" t="s">
        <v>6395</v>
      </c>
      <c r="K1961" s="4"/>
      <c r="L1961" s="4"/>
      <c r="M1961" s="4" t="s">
        <v>77</v>
      </c>
      <c r="N1961" s="4" t="s">
        <v>78</v>
      </c>
      <c r="O1961" s="4"/>
      <c r="P1961" s="4"/>
      <c r="Q1961" s="4"/>
      <c r="R1961" s="4"/>
      <c r="S1961" s="4"/>
      <c r="T1961" s="1" t="s">
        <v>33226</v>
      </c>
      <c r="U1961" s="4" t="s">
        <v>33227</v>
      </c>
      <c r="V1961" s="4" t="s">
        <v>33228</v>
      </c>
      <c r="W1961" s="4" t="s">
        <v>33229</v>
      </c>
      <c r="X1961" s="4" t="s">
        <v>33230</v>
      </c>
      <c r="Y1961" s="4" t="s">
        <v>33231</v>
      </c>
      <c r="Z1961" s="4" t="s">
        <v>33232</v>
      </c>
      <c r="AA1961" s="4"/>
      <c r="AB1961" s="4"/>
      <c r="AC1961" s="4" t="s">
        <v>33233</v>
      </c>
      <c r="AD1961" s="4" t="s">
        <v>33233</v>
      </c>
      <c r="AE1961" s="4" t="s">
        <v>33234</v>
      </c>
      <c r="AF1961" s="4"/>
      <c r="AG1961" s="4" t="n">
        <v>45</v>
      </c>
      <c r="AH1961" s="4" t="n">
        <v>0</v>
      </c>
      <c r="AI1961" s="4" t="n">
        <v>0</v>
      </c>
      <c r="AJ1961" s="4" t="n">
        <v>0</v>
      </c>
      <c r="AK1961" s="4" t="n">
        <v>0</v>
      </c>
      <c r="AL1961" s="4" t="s">
        <v>6405</v>
      </c>
      <c r="AM1961" s="4" t="s">
        <v>6406</v>
      </c>
      <c r="AN1961" s="4" t="s">
        <v>6407</v>
      </c>
      <c r="AO1961" s="4" t="s">
        <v>6408</v>
      </c>
      <c r="AP1961" s="4"/>
      <c r="AQ1961" s="4"/>
      <c r="AR1961" s="4" t="s">
        <v>6409</v>
      </c>
      <c r="AS1961" s="4" t="s">
        <v>6410</v>
      </c>
      <c r="AT1961" s="4" t="s">
        <v>33235</v>
      </c>
      <c r="AU1961" s="4" t="n">
        <v>2024</v>
      </c>
      <c r="AV1961" s="4" t="n">
        <v>14</v>
      </c>
      <c r="AW1961" s="4" t="n">
        <v>1</v>
      </c>
      <c r="AX1961" s="4"/>
      <c r="AY1961" s="4"/>
      <c r="AZ1961" s="4"/>
      <c r="BA1961" s="4"/>
      <c r="BB1961" s="4"/>
      <c r="BC1961" s="4"/>
      <c r="BD1961" s="4" t="n">
        <v>25876</v>
      </c>
      <c r="BE1961" s="4" t="s">
        <v>33236</v>
      </c>
      <c r="BF1961" s="4" t="str">
        <f aca="false">HYPERLINK("http://dx.doi.org/10.1038/s41598-024-77456-w","http://dx.doi.org/10.1038/s41598-024-77456-w")</f>
        <v>http://dx.doi.org/10.1038/s41598-024-77456-w</v>
      </c>
      <c r="BG1961" s="4"/>
      <c r="BH1961" s="4"/>
      <c r="BI1961" s="4" t="n">
        <v>11</v>
      </c>
      <c r="BJ1961" s="4" t="s">
        <v>1658</v>
      </c>
      <c r="BK1961" s="4" t="s">
        <v>100</v>
      </c>
      <c r="BL1961" s="4" t="s">
        <v>1659</v>
      </c>
      <c r="BM1961" s="4" t="s">
        <v>33237</v>
      </c>
      <c r="BN1961" s="4" t="n">
        <v>39468306</v>
      </c>
      <c r="BO1961" s="4" t="s">
        <v>1355</v>
      </c>
      <c r="BP1961" s="4"/>
      <c r="BQ1961" s="4"/>
      <c r="BR1961" s="4" t="s">
        <v>104</v>
      </c>
      <c r="BS1961" s="4" t="s">
        <v>33238</v>
      </c>
      <c r="BT1961" s="4" t="str">
        <f aca="false">HYPERLINK("https%3A%2F%2Fwww.webofscience.com%2Fwos%2Fwoscc%2Ffull-record%2FWOS:001345716800006","View Full Record in Web of Science")</f>
        <v>View Full Record in Web of Science</v>
      </c>
    </row>
    <row r="1962" s="5" customFormat="true" ht="12.75" hidden="false" customHeight="false" outlineLevel="0" collapsed="false">
      <c r="A1962" s="4" t="s">
        <v>72</v>
      </c>
      <c r="B1962" s="4" t="s">
        <v>33239</v>
      </c>
      <c r="C1962" s="4"/>
      <c r="D1962" s="4"/>
      <c r="E1962" s="4"/>
      <c r="F1962" s="4" t="s">
        <v>33240</v>
      </c>
      <c r="G1962" s="4"/>
      <c r="H1962" s="4"/>
      <c r="I1962" s="4" t="s">
        <v>33241</v>
      </c>
      <c r="J1962" s="4" t="s">
        <v>742</v>
      </c>
      <c r="K1962" s="4"/>
      <c r="L1962" s="4"/>
      <c r="M1962" s="4" t="s">
        <v>77</v>
      </c>
      <c r="N1962" s="4" t="s">
        <v>78</v>
      </c>
      <c r="O1962" s="4"/>
      <c r="P1962" s="4"/>
      <c r="Q1962" s="4"/>
      <c r="R1962" s="4"/>
      <c r="S1962" s="4"/>
      <c r="T1962" s="1" t="s">
        <v>33242</v>
      </c>
      <c r="U1962" s="4" t="s">
        <v>33243</v>
      </c>
      <c r="V1962" s="4" t="s">
        <v>33244</v>
      </c>
      <c r="W1962" s="4" t="s">
        <v>33245</v>
      </c>
      <c r="X1962" s="4" t="s">
        <v>2614</v>
      </c>
      <c r="Y1962" s="4" t="s">
        <v>33246</v>
      </c>
      <c r="Z1962" s="4" t="s">
        <v>14113</v>
      </c>
      <c r="AA1962" s="4" t="s">
        <v>33247</v>
      </c>
      <c r="AB1962" s="4"/>
      <c r="AC1962" s="4" t="s">
        <v>33248</v>
      </c>
      <c r="AD1962" s="4" t="s">
        <v>2416</v>
      </c>
      <c r="AE1962" s="4"/>
      <c r="AF1962" s="4"/>
      <c r="AG1962" s="4" t="n">
        <v>33</v>
      </c>
      <c r="AH1962" s="4" t="n">
        <v>51</v>
      </c>
      <c r="AI1962" s="4" t="n">
        <v>60</v>
      </c>
      <c r="AJ1962" s="4" t="n">
        <v>0</v>
      </c>
      <c r="AK1962" s="4" t="n">
        <v>4</v>
      </c>
      <c r="AL1962" s="4" t="s">
        <v>755</v>
      </c>
      <c r="AM1962" s="4" t="s">
        <v>273</v>
      </c>
      <c r="AN1962" s="4" t="s">
        <v>756</v>
      </c>
      <c r="AO1962" s="4" t="s">
        <v>757</v>
      </c>
      <c r="AP1962" s="4"/>
      <c r="AQ1962" s="4"/>
      <c r="AR1962" s="4" t="s">
        <v>759</v>
      </c>
      <c r="AS1962" s="4" t="s">
        <v>760</v>
      </c>
      <c r="AT1962" s="4" t="s">
        <v>185</v>
      </c>
      <c r="AU1962" s="4" t="n">
        <v>2008</v>
      </c>
      <c r="AV1962" s="4" t="n">
        <v>82</v>
      </c>
      <c r="AW1962" s="4" t="n">
        <v>16</v>
      </c>
      <c r="AX1962" s="4"/>
      <c r="AY1962" s="4"/>
      <c r="AZ1962" s="4"/>
      <c r="BA1962" s="4"/>
      <c r="BB1962" s="4" t="n">
        <v>8224</v>
      </c>
      <c r="BC1962" s="4" t="n">
        <v>8229</v>
      </c>
      <c r="BD1962" s="4"/>
      <c r="BE1962" s="4" t="s">
        <v>33249</v>
      </c>
      <c r="BF1962" s="4" t="str">
        <f aca="false">HYPERLINK("http://dx.doi.org/10.1128/JVI.02584-07","http://dx.doi.org/10.1128/JVI.02584-07")</f>
        <v>http://dx.doi.org/10.1128/JVI.02584-07</v>
      </c>
      <c r="BG1962" s="4"/>
      <c r="BH1962" s="4"/>
      <c r="BI1962" s="4" t="n">
        <v>6</v>
      </c>
      <c r="BJ1962" s="4" t="s">
        <v>163</v>
      </c>
      <c r="BK1962" s="4" t="s">
        <v>100</v>
      </c>
      <c r="BL1962" s="4" t="s">
        <v>163</v>
      </c>
      <c r="BM1962" s="4" t="s">
        <v>33250</v>
      </c>
      <c r="BN1962" s="4" t="n">
        <v>18550666</v>
      </c>
      <c r="BO1962" s="4" t="s">
        <v>165</v>
      </c>
      <c r="BP1962" s="4"/>
      <c r="BQ1962" s="4"/>
      <c r="BR1962" s="4" t="s">
        <v>104</v>
      </c>
      <c r="BS1962" s="4" t="s">
        <v>33251</v>
      </c>
      <c r="BT1962" s="4" t="str">
        <f aca="false">HYPERLINK("https%3A%2F%2Fwww.webofscience.com%2Fwos%2Fwoscc%2Ffull-record%2FWOS:000258166500046","View Full Record in Web of Science")</f>
        <v>View Full Record in Web of Science</v>
      </c>
    </row>
    <row r="1963" s="5" customFormat="true" ht="12.75" hidden="false" customHeight="false" outlineLevel="0" collapsed="false">
      <c r="A1963" s="4" t="s">
        <v>72</v>
      </c>
      <c r="B1963" s="4" t="s">
        <v>33252</v>
      </c>
      <c r="C1963" s="4"/>
      <c r="D1963" s="4"/>
      <c r="E1963" s="4"/>
      <c r="F1963" s="4" t="s">
        <v>33252</v>
      </c>
      <c r="G1963" s="4"/>
      <c r="H1963" s="4"/>
      <c r="I1963" s="4" t="s">
        <v>33253</v>
      </c>
      <c r="J1963" s="4" t="s">
        <v>27453</v>
      </c>
      <c r="K1963" s="4"/>
      <c r="L1963" s="4"/>
      <c r="M1963" s="4" t="s">
        <v>77</v>
      </c>
      <c r="N1963" s="4" t="s">
        <v>78</v>
      </c>
      <c r="O1963" s="4"/>
      <c r="P1963" s="4"/>
      <c r="Q1963" s="4"/>
      <c r="R1963" s="4"/>
      <c r="S1963" s="4"/>
      <c r="T1963" s="0"/>
      <c r="U1963" s="4" t="s">
        <v>33254</v>
      </c>
      <c r="V1963" s="4"/>
      <c r="W1963" s="4" t="s">
        <v>33255</v>
      </c>
      <c r="X1963" s="4" t="s">
        <v>33200</v>
      </c>
      <c r="Y1963" s="4" t="s">
        <v>33256</v>
      </c>
      <c r="Z1963" s="4" t="s">
        <v>33257</v>
      </c>
      <c r="AA1963" s="4"/>
      <c r="AB1963" s="4"/>
      <c r="AC1963" s="4"/>
      <c r="AD1963" s="4"/>
      <c r="AE1963" s="4"/>
      <c r="AF1963" s="4"/>
      <c r="AG1963" s="4" t="n">
        <v>8</v>
      </c>
      <c r="AH1963" s="4" t="n">
        <v>17</v>
      </c>
      <c r="AI1963" s="4" t="n">
        <v>19</v>
      </c>
      <c r="AJ1963" s="4" t="n">
        <v>0</v>
      </c>
      <c r="AK1963" s="4" t="n">
        <v>1</v>
      </c>
      <c r="AL1963" s="4" t="s">
        <v>27463</v>
      </c>
      <c r="AM1963" s="4" t="s">
        <v>16252</v>
      </c>
      <c r="AN1963" s="4" t="s">
        <v>27464</v>
      </c>
      <c r="AO1963" s="4" t="s">
        <v>27465</v>
      </c>
      <c r="AP1963" s="4" t="s">
        <v>27466</v>
      </c>
      <c r="AQ1963" s="4"/>
      <c r="AR1963" s="4" t="s">
        <v>27467</v>
      </c>
      <c r="AS1963" s="4" t="s">
        <v>27468</v>
      </c>
      <c r="AT1963" s="4" t="s">
        <v>486</v>
      </c>
      <c r="AU1963" s="4" t="n">
        <v>2003</v>
      </c>
      <c r="AV1963" s="4" t="n">
        <v>56</v>
      </c>
      <c r="AW1963" s="4" t="n">
        <v>3</v>
      </c>
      <c r="AX1963" s="4"/>
      <c r="AY1963" s="4"/>
      <c r="AZ1963" s="4"/>
      <c r="BA1963" s="4"/>
      <c r="BB1963" s="4" t="n">
        <v>127</v>
      </c>
      <c r="BC1963" s="4" t="n">
        <v>129</v>
      </c>
      <c r="BD1963" s="4"/>
      <c r="BE1963" s="4"/>
      <c r="BF1963" s="4"/>
      <c r="BG1963" s="4"/>
      <c r="BH1963" s="4"/>
      <c r="BI1963" s="4" t="n">
        <v>3</v>
      </c>
      <c r="BJ1963" s="4" t="s">
        <v>575</v>
      </c>
      <c r="BK1963" s="4" t="s">
        <v>100</v>
      </c>
      <c r="BL1963" s="4" t="s">
        <v>575</v>
      </c>
      <c r="BM1963" s="4" t="s">
        <v>33258</v>
      </c>
      <c r="BN1963" s="4" t="n">
        <v>12944683</v>
      </c>
      <c r="BO1963" s="4"/>
      <c r="BP1963" s="4"/>
      <c r="BQ1963" s="4"/>
      <c r="BR1963" s="4" t="s">
        <v>104</v>
      </c>
      <c r="BS1963" s="4" t="s">
        <v>33259</v>
      </c>
      <c r="BT1963" s="4" t="str">
        <f aca="false">HYPERLINK("https%3A%2F%2Fwww.webofscience.com%2Fwos%2Fwoscc%2Ffull-record%2FWOS:000185125200013","View Full Record in Web of Science")</f>
        <v>View Full Record in Web of Science</v>
      </c>
    </row>
    <row r="1964" s="5" customFormat="true" ht="12.75" hidden="false" customHeight="false" outlineLevel="0" collapsed="false">
      <c r="A1964" s="4" t="s">
        <v>72</v>
      </c>
      <c r="B1964" s="4" t="s">
        <v>33260</v>
      </c>
      <c r="C1964" s="4"/>
      <c r="D1964" s="4"/>
      <c r="E1964" s="4"/>
      <c r="F1964" s="4" t="s">
        <v>33261</v>
      </c>
      <c r="G1964" s="4"/>
      <c r="H1964" s="4"/>
      <c r="I1964" s="4" t="s">
        <v>33262</v>
      </c>
      <c r="J1964" s="4" t="s">
        <v>6395</v>
      </c>
      <c r="K1964" s="4"/>
      <c r="L1964" s="4"/>
      <c r="M1964" s="4" t="s">
        <v>77</v>
      </c>
      <c r="N1964" s="4" t="s">
        <v>78</v>
      </c>
      <c r="O1964" s="4"/>
      <c r="P1964" s="4"/>
      <c r="Q1964" s="4"/>
      <c r="R1964" s="4"/>
      <c r="S1964" s="4"/>
      <c r="T1964" s="1" t="s">
        <v>33263</v>
      </c>
      <c r="U1964" s="4" t="s">
        <v>33264</v>
      </c>
      <c r="V1964" s="4" t="s">
        <v>33265</v>
      </c>
      <c r="W1964" s="4" t="s">
        <v>33266</v>
      </c>
      <c r="X1964" s="4" t="s">
        <v>33267</v>
      </c>
      <c r="Y1964" s="4" t="s">
        <v>33268</v>
      </c>
      <c r="Z1964" s="4" t="s">
        <v>33269</v>
      </c>
      <c r="AA1964" s="4" t="s">
        <v>33270</v>
      </c>
      <c r="AB1964" s="4"/>
      <c r="AC1964" s="4" t="s">
        <v>33271</v>
      </c>
      <c r="AD1964" s="4" t="s">
        <v>33272</v>
      </c>
      <c r="AE1964" s="4" t="s">
        <v>33273</v>
      </c>
      <c r="AF1964" s="4"/>
      <c r="AG1964" s="4" t="n">
        <v>49</v>
      </c>
      <c r="AH1964" s="4" t="n">
        <v>1</v>
      </c>
      <c r="AI1964" s="4" t="n">
        <v>1</v>
      </c>
      <c r="AJ1964" s="4" t="n">
        <v>1</v>
      </c>
      <c r="AK1964" s="4" t="n">
        <v>6</v>
      </c>
      <c r="AL1964" s="4" t="s">
        <v>6405</v>
      </c>
      <c r="AM1964" s="4" t="s">
        <v>6406</v>
      </c>
      <c r="AN1964" s="4" t="s">
        <v>6407</v>
      </c>
      <c r="AO1964" s="4" t="s">
        <v>6408</v>
      </c>
      <c r="AP1964" s="4"/>
      <c r="AQ1964" s="4"/>
      <c r="AR1964" s="4" t="s">
        <v>6409</v>
      </c>
      <c r="AS1964" s="4" t="s">
        <v>6410</v>
      </c>
      <c r="AT1964" s="4" t="s">
        <v>10866</v>
      </c>
      <c r="AU1964" s="4" t="n">
        <v>2024</v>
      </c>
      <c r="AV1964" s="4" t="n">
        <v>14</v>
      </c>
      <c r="AW1964" s="4" t="n">
        <v>1</v>
      </c>
      <c r="AX1964" s="4"/>
      <c r="AY1964" s="4"/>
      <c r="AZ1964" s="4"/>
      <c r="BA1964" s="4"/>
      <c r="BB1964" s="4"/>
      <c r="BC1964" s="4"/>
      <c r="BD1964" s="4" t="n">
        <v>8230</v>
      </c>
      <c r="BE1964" s="4" t="s">
        <v>33274</v>
      </c>
      <c r="BF1964" s="4" t="str">
        <f aca="false">HYPERLINK("http://dx.doi.org/10.1038/s41598-024-58032-8","http://dx.doi.org/10.1038/s41598-024-58032-8")</f>
        <v>http://dx.doi.org/10.1038/s41598-024-58032-8</v>
      </c>
      <c r="BG1964" s="4"/>
      <c r="BH1964" s="4"/>
      <c r="BI1964" s="4" t="n">
        <v>11</v>
      </c>
      <c r="BJ1964" s="4" t="s">
        <v>1658</v>
      </c>
      <c r="BK1964" s="4" t="s">
        <v>100</v>
      </c>
      <c r="BL1964" s="4" t="s">
        <v>1659</v>
      </c>
      <c r="BM1964" s="4" t="s">
        <v>33275</v>
      </c>
      <c r="BN1964" s="4" t="n">
        <v>38589437</v>
      </c>
      <c r="BO1964" s="4" t="s">
        <v>1355</v>
      </c>
      <c r="BP1964" s="4"/>
      <c r="BQ1964" s="4"/>
      <c r="BR1964" s="4" t="s">
        <v>104</v>
      </c>
      <c r="BS1964" s="4" t="s">
        <v>33276</v>
      </c>
      <c r="BT1964" s="4" t="str">
        <f aca="false">HYPERLINK("https%3A%2F%2Fwww.webofscience.com%2Fwos%2Fwoscc%2Ffull-record%2FWOS:001198838600002","View Full Record in Web of Science")</f>
        <v>View Full Record in Web of Science</v>
      </c>
    </row>
    <row r="1965" s="5" customFormat="true" ht="12.75" hidden="false" customHeight="false" outlineLevel="0" collapsed="false">
      <c r="A1965" s="4" t="s">
        <v>72</v>
      </c>
      <c r="B1965" s="4" t="s">
        <v>33277</v>
      </c>
      <c r="C1965" s="4"/>
      <c r="D1965" s="4"/>
      <c r="E1965" s="4"/>
      <c r="F1965" s="4" t="s">
        <v>33277</v>
      </c>
      <c r="G1965" s="4"/>
      <c r="H1965" s="4"/>
      <c r="I1965" s="4" t="s">
        <v>33278</v>
      </c>
      <c r="J1965" s="4" t="s">
        <v>27548</v>
      </c>
      <c r="K1965" s="4"/>
      <c r="L1965" s="4"/>
      <c r="M1965" s="4" t="s">
        <v>77</v>
      </c>
      <c r="N1965" s="4" t="s">
        <v>78</v>
      </c>
      <c r="O1965" s="4"/>
      <c r="P1965" s="4"/>
      <c r="Q1965" s="4"/>
      <c r="R1965" s="4"/>
      <c r="S1965" s="4"/>
      <c r="T1965" s="1" t="s">
        <v>33279</v>
      </c>
      <c r="U1965" s="4" t="s">
        <v>33280</v>
      </c>
      <c r="V1965" s="4" t="s">
        <v>33281</v>
      </c>
      <c r="W1965" s="4" t="s">
        <v>33282</v>
      </c>
      <c r="X1965" s="4" t="s">
        <v>29510</v>
      </c>
      <c r="Y1965" s="4" t="s">
        <v>33283</v>
      </c>
      <c r="Z1965" s="4" t="s">
        <v>8604</v>
      </c>
      <c r="AA1965" s="4" t="s">
        <v>33284</v>
      </c>
      <c r="AB1965" s="4" t="s">
        <v>33285</v>
      </c>
      <c r="AC1965" s="4"/>
      <c r="AD1965" s="4"/>
      <c r="AE1965" s="4"/>
      <c r="AF1965" s="4"/>
      <c r="AG1965" s="4" t="n">
        <v>11</v>
      </c>
      <c r="AH1965" s="4" t="n">
        <v>16</v>
      </c>
      <c r="AI1965" s="4" t="n">
        <v>19</v>
      </c>
      <c r="AJ1965" s="4" t="n">
        <v>0</v>
      </c>
      <c r="AK1965" s="4" t="n">
        <v>1</v>
      </c>
      <c r="AL1965" s="4" t="s">
        <v>27560</v>
      </c>
      <c r="AM1965" s="4" t="s">
        <v>27561</v>
      </c>
      <c r="AN1965" s="4" t="s">
        <v>27562</v>
      </c>
      <c r="AO1965" s="4" t="s">
        <v>27563</v>
      </c>
      <c r="AP1965" s="4" t="s">
        <v>27564</v>
      </c>
      <c r="AQ1965" s="4"/>
      <c r="AR1965" s="4" t="s">
        <v>27565</v>
      </c>
      <c r="AS1965" s="4" t="s">
        <v>27566</v>
      </c>
      <c r="AT1965" s="4" t="s">
        <v>97</v>
      </c>
      <c r="AU1965" s="4" t="n">
        <v>2004</v>
      </c>
      <c r="AV1965" s="4" t="n">
        <v>10</v>
      </c>
      <c r="AW1965" s="4" t="n">
        <v>3</v>
      </c>
      <c r="AX1965" s="4"/>
      <c r="AY1965" s="4"/>
      <c r="AZ1965" s="4"/>
      <c r="BA1965" s="4"/>
      <c r="BB1965" s="4" t="n">
        <v>497</v>
      </c>
      <c r="BC1965" s="4" t="n">
        <v>500</v>
      </c>
      <c r="BD1965" s="4"/>
      <c r="BE1965" s="4" t="s">
        <v>33286</v>
      </c>
      <c r="BF1965" s="4" t="str">
        <f aca="false">HYPERLINK("http://dx.doi.org/10.3201/eid1003.030513","http://dx.doi.org/10.3201/eid1003.030513")</f>
        <v>http://dx.doi.org/10.3201/eid1003.030513</v>
      </c>
      <c r="BG1965" s="4"/>
      <c r="BH1965" s="4"/>
      <c r="BI1965" s="4" t="n">
        <v>4</v>
      </c>
      <c r="BJ1965" s="4" t="s">
        <v>965</v>
      </c>
      <c r="BK1965" s="4" t="s">
        <v>100</v>
      </c>
      <c r="BL1965" s="4" t="s">
        <v>965</v>
      </c>
      <c r="BM1965" s="4" t="s">
        <v>33287</v>
      </c>
      <c r="BN1965" s="4" t="n">
        <v>15109421</v>
      </c>
      <c r="BO1965" s="4" t="s">
        <v>2582</v>
      </c>
      <c r="BP1965" s="4"/>
      <c r="BQ1965" s="4"/>
      <c r="BR1965" s="4" t="s">
        <v>104</v>
      </c>
      <c r="BS1965" s="4" t="s">
        <v>33288</v>
      </c>
      <c r="BT1965" s="4" t="str">
        <f aca="false">HYPERLINK("https%3A%2F%2Fwww.webofscience.com%2Fwos%2Fwoscc%2Ffull-record%2FWOS:000220079400020","View Full Record in Web of Science")</f>
        <v>View Full Record in Web of Science</v>
      </c>
    </row>
    <row r="1966" s="5" customFormat="true" ht="12.75" hidden="false" customHeight="false" outlineLevel="0" collapsed="false">
      <c r="A1966" s="4" t="s">
        <v>72</v>
      </c>
      <c r="B1966" s="4" t="s">
        <v>33289</v>
      </c>
      <c r="C1966" s="4"/>
      <c r="D1966" s="4"/>
      <c r="E1966" s="4"/>
      <c r="F1966" s="4" t="s">
        <v>33290</v>
      </c>
      <c r="G1966" s="4"/>
      <c r="H1966" s="4"/>
      <c r="I1966" s="4" t="s">
        <v>33291</v>
      </c>
      <c r="J1966" s="4" t="s">
        <v>33292</v>
      </c>
      <c r="K1966" s="4"/>
      <c r="L1966" s="4"/>
      <c r="M1966" s="4" t="s">
        <v>77</v>
      </c>
      <c r="N1966" s="4" t="s">
        <v>78</v>
      </c>
      <c r="O1966" s="4"/>
      <c r="P1966" s="4"/>
      <c r="Q1966" s="4"/>
      <c r="R1966" s="4"/>
      <c r="S1966" s="4"/>
      <c r="T1966" s="1" t="s">
        <v>33293</v>
      </c>
      <c r="U1966" s="4" t="s">
        <v>33294</v>
      </c>
      <c r="V1966" s="4" t="s">
        <v>33295</v>
      </c>
      <c r="W1966" s="4" t="s">
        <v>33296</v>
      </c>
      <c r="X1966" s="4" t="s">
        <v>33297</v>
      </c>
      <c r="Y1966" s="4" t="s">
        <v>33298</v>
      </c>
      <c r="Z1966" s="4" t="s">
        <v>33299</v>
      </c>
      <c r="AA1966" s="4" t="s">
        <v>33300</v>
      </c>
      <c r="AB1966" s="4" t="s">
        <v>33301</v>
      </c>
      <c r="AC1966" s="4" t="s">
        <v>33302</v>
      </c>
      <c r="AD1966" s="4" t="s">
        <v>33302</v>
      </c>
      <c r="AE1966" s="4" t="s">
        <v>33303</v>
      </c>
      <c r="AF1966" s="4"/>
      <c r="AG1966" s="4" t="n">
        <v>24</v>
      </c>
      <c r="AH1966" s="4" t="n">
        <v>2</v>
      </c>
      <c r="AI1966" s="4" t="n">
        <v>2</v>
      </c>
      <c r="AJ1966" s="4" t="n">
        <v>0</v>
      </c>
      <c r="AK1966" s="4" t="n">
        <v>1</v>
      </c>
      <c r="AL1966" s="4" t="s">
        <v>6833</v>
      </c>
      <c r="AM1966" s="4" t="s">
        <v>1705</v>
      </c>
      <c r="AN1966" s="4" t="s">
        <v>6856</v>
      </c>
      <c r="AO1966" s="4" t="s">
        <v>32165</v>
      </c>
      <c r="AP1966" s="4" t="s">
        <v>32183</v>
      </c>
      <c r="AQ1966" s="4"/>
      <c r="AR1966" s="4" t="s">
        <v>32166</v>
      </c>
      <c r="AS1966" s="4" t="s">
        <v>32167</v>
      </c>
      <c r="AT1966" s="4" t="s">
        <v>390</v>
      </c>
      <c r="AU1966" s="4" t="n">
        <v>2024</v>
      </c>
      <c r="AV1966" s="4" t="n">
        <v>45</v>
      </c>
      <c r="AW1966" s="4" t="n">
        <v>5</v>
      </c>
      <c r="AX1966" s="4"/>
      <c r="AY1966" s="4"/>
      <c r="AZ1966" s="4"/>
      <c r="BA1966" s="4"/>
      <c r="BB1966" s="4" t="n">
        <v>630</v>
      </c>
      <c r="BC1966" s="4" t="n">
        <v>634</v>
      </c>
      <c r="BD1966" s="4"/>
      <c r="BE1966" s="4" t="s">
        <v>33304</v>
      </c>
      <c r="BF1966" s="4" t="str">
        <f aca="false">HYPERLINK("http://dx.doi.org/10.1017/ice.2023.286","http://dx.doi.org/10.1017/ice.2023.286")</f>
        <v>http://dx.doi.org/10.1017/ice.2023.286</v>
      </c>
      <c r="BG1966" s="4"/>
      <c r="BH1966" s="4" t="s">
        <v>964</v>
      </c>
      <c r="BI1966" s="4" t="n">
        <v>5</v>
      </c>
      <c r="BJ1966" s="4" t="s">
        <v>2113</v>
      </c>
      <c r="BK1966" s="4" t="s">
        <v>100</v>
      </c>
      <c r="BL1966" s="4" t="s">
        <v>2113</v>
      </c>
      <c r="BM1966" s="4" t="s">
        <v>33305</v>
      </c>
      <c r="BN1966" s="4" t="n">
        <v>38234188</v>
      </c>
      <c r="BO1966" s="4"/>
      <c r="BP1966" s="4"/>
      <c r="BQ1966" s="4"/>
      <c r="BR1966" s="4" t="s">
        <v>104</v>
      </c>
      <c r="BS1966" s="4" t="s">
        <v>33306</v>
      </c>
      <c r="BT1966" s="4" t="str">
        <f aca="false">HYPERLINK("https%3A%2F%2Fwww.webofscience.com%2Fwos%2Fwoscc%2Ffull-record%2FWOS:001144099500001","View Full Record in Web of Science")</f>
        <v>View Full Record in Web of Science</v>
      </c>
    </row>
    <row r="1967" s="5" customFormat="true" ht="12.75" hidden="false" customHeight="false" outlineLevel="0" collapsed="false">
      <c r="A1967" s="4" t="s">
        <v>72</v>
      </c>
      <c r="B1967" s="4" t="s">
        <v>33307</v>
      </c>
      <c r="C1967" s="4"/>
      <c r="D1967" s="4"/>
      <c r="E1967" s="4"/>
      <c r="F1967" s="4" t="s">
        <v>33308</v>
      </c>
      <c r="G1967" s="4"/>
      <c r="H1967" s="4"/>
      <c r="I1967" s="4" t="s">
        <v>33309</v>
      </c>
      <c r="J1967" s="4" t="s">
        <v>2820</v>
      </c>
      <c r="K1967" s="4"/>
      <c r="L1967" s="4"/>
      <c r="M1967" s="4" t="s">
        <v>77</v>
      </c>
      <c r="N1967" s="4" t="s">
        <v>78</v>
      </c>
      <c r="O1967" s="4"/>
      <c r="P1967" s="4"/>
      <c r="Q1967" s="4"/>
      <c r="R1967" s="4"/>
      <c r="S1967" s="4"/>
      <c r="T1967" s="1" t="s">
        <v>33310</v>
      </c>
      <c r="U1967" s="4" t="s">
        <v>33311</v>
      </c>
      <c r="V1967" s="4"/>
      <c r="W1967" s="4" t="s">
        <v>33312</v>
      </c>
      <c r="X1967" s="4" t="s">
        <v>33313</v>
      </c>
      <c r="Y1967" s="4" t="s">
        <v>33314</v>
      </c>
      <c r="Z1967" s="4" t="s">
        <v>33315</v>
      </c>
      <c r="AA1967" s="4" t="s">
        <v>33316</v>
      </c>
      <c r="AB1967" s="4" t="s">
        <v>33317</v>
      </c>
      <c r="AC1967" s="4" t="s">
        <v>33318</v>
      </c>
      <c r="AD1967" s="4" t="s">
        <v>33319</v>
      </c>
      <c r="AE1967" s="4" t="s">
        <v>33320</v>
      </c>
      <c r="AF1967" s="4"/>
      <c r="AG1967" s="4" t="n">
        <v>9</v>
      </c>
      <c r="AH1967" s="4" t="n">
        <v>16</v>
      </c>
      <c r="AI1967" s="4" t="n">
        <v>19</v>
      </c>
      <c r="AJ1967" s="4" t="n">
        <v>0</v>
      </c>
      <c r="AK1967" s="4" t="n">
        <v>2</v>
      </c>
      <c r="AL1967" s="4" t="s">
        <v>919</v>
      </c>
      <c r="AM1967" s="4" t="s">
        <v>593</v>
      </c>
      <c r="AN1967" s="4" t="s">
        <v>920</v>
      </c>
      <c r="AO1967" s="4" t="s">
        <v>2833</v>
      </c>
      <c r="AP1967" s="4" t="s">
        <v>2834</v>
      </c>
      <c r="AQ1967" s="4"/>
      <c r="AR1967" s="4" t="s">
        <v>2835</v>
      </c>
      <c r="AS1967" s="4" t="s">
        <v>2836</v>
      </c>
      <c r="AT1967" s="4" t="s">
        <v>599</v>
      </c>
      <c r="AU1967" s="4" t="n">
        <v>2018</v>
      </c>
      <c r="AV1967" s="4" t="n">
        <v>142</v>
      </c>
      <c r="AW1967" s="4" t="n">
        <v>1</v>
      </c>
      <c r="AX1967" s="4"/>
      <c r="AY1967" s="4"/>
      <c r="AZ1967" s="4"/>
      <c r="BA1967" s="4"/>
      <c r="BB1967" s="4" t="n">
        <v>297</v>
      </c>
      <c r="BC1967" s="4" t="n">
        <v>301</v>
      </c>
      <c r="BD1967" s="4"/>
      <c r="BE1967" s="4" t="s">
        <v>33321</v>
      </c>
      <c r="BF1967" s="4" t="str">
        <f aca="false">HYPERLINK("http://dx.doi.org/10.1016/j.jaci.2018.02.008","http://dx.doi.org/10.1016/j.jaci.2018.02.008")</f>
        <v>http://dx.doi.org/10.1016/j.jaci.2018.02.008</v>
      </c>
      <c r="BG1967" s="4"/>
      <c r="BH1967" s="4"/>
      <c r="BI1967" s="4" t="n">
        <v>11</v>
      </c>
      <c r="BJ1967" s="4" t="s">
        <v>254</v>
      </c>
      <c r="BK1967" s="4" t="s">
        <v>100</v>
      </c>
      <c r="BL1967" s="4" t="s">
        <v>254</v>
      </c>
      <c r="BM1967" s="4" t="s">
        <v>33322</v>
      </c>
      <c r="BN1967" s="4" t="n">
        <v>29481834</v>
      </c>
      <c r="BO1967" s="4" t="s">
        <v>695</v>
      </c>
      <c r="BP1967" s="4"/>
      <c r="BQ1967" s="4"/>
      <c r="BR1967" s="4" t="s">
        <v>104</v>
      </c>
      <c r="BS1967" s="4" t="s">
        <v>33323</v>
      </c>
      <c r="BT1967" s="4" t="str">
        <f aca="false">HYPERLINK("https%3A%2F%2Fwww.webofscience.com%2Fwos%2Fwoscc%2Ffull-record%2FWOS:000437837500036","View Full Record in Web of Science")</f>
        <v>View Full Record in Web of Science</v>
      </c>
    </row>
    <row r="1968" s="5" customFormat="true" ht="12.75" hidden="false" customHeight="false" outlineLevel="0" collapsed="false">
      <c r="A1968" s="4" t="s">
        <v>72</v>
      </c>
      <c r="B1968" s="4" t="s">
        <v>33324</v>
      </c>
      <c r="C1968" s="4"/>
      <c r="D1968" s="4"/>
      <c r="E1968" s="4"/>
      <c r="F1968" s="4" t="s">
        <v>33325</v>
      </c>
      <c r="G1968" s="4"/>
      <c r="H1968" s="4"/>
      <c r="I1968" s="4" t="s">
        <v>33326</v>
      </c>
      <c r="J1968" s="4" t="s">
        <v>29033</v>
      </c>
      <c r="K1968" s="4"/>
      <c r="L1968" s="4"/>
      <c r="M1968" s="4" t="s">
        <v>77</v>
      </c>
      <c r="N1968" s="4" t="s">
        <v>78</v>
      </c>
      <c r="O1968" s="4"/>
      <c r="P1968" s="4"/>
      <c r="Q1968" s="4"/>
      <c r="R1968" s="4"/>
      <c r="S1968" s="4"/>
      <c r="T1968" s="1" t="s">
        <v>33327</v>
      </c>
      <c r="U1968" s="4" t="s">
        <v>33328</v>
      </c>
      <c r="V1968" s="4" t="s">
        <v>33329</v>
      </c>
      <c r="W1968" s="4" t="s">
        <v>33330</v>
      </c>
      <c r="X1968" s="4" t="s">
        <v>33331</v>
      </c>
      <c r="Y1968" s="4" t="s">
        <v>33332</v>
      </c>
      <c r="Z1968" s="4" t="s">
        <v>33333</v>
      </c>
      <c r="AA1968" s="4"/>
      <c r="AB1968" s="4" t="s">
        <v>33334</v>
      </c>
      <c r="AC1968" s="4" t="s">
        <v>33335</v>
      </c>
      <c r="AD1968" s="4" t="s">
        <v>33336</v>
      </c>
      <c r="AE1968" s="4" t="s">
        <v>33337</v>
      </c>
      <c r="AF1968" s="4"/>
      <c r="AG1968" s="4" t="n">
        <v>42</v>
      </c>
      <c r="AH1968" s="4" t="n">
        <v>15</v>
      </c>
      <c r="AI1968" s="4" t="n">
        <v>18</v>
      </c>
      <c r="AJ1968" s="4" t="n">
        <v>1</v>
      </c>
      <c r="AK1968" s="4" t="n">
        <v>2</v>
      </c>
      <c r="AL1968" s="4" t="s">
        <v>29043</v>
      </c>
      <c r="AM1968" s="4" t="s">
        <v>29044</v>
      </c>
      <c r="AN1968" s="4" t="s">
        <v>29045</v>
      </c>
      <c r="AO1968" s="4" t="s">
        <v>29046</v>
      </c>
      <c r="AP1968" s="4" t="s">
        <v>33338</v>
      </c>
      <c r="AQ1968" s="4"/>
      <c r="AR1968" s="4" t="s">
        <v>29047</v>
      </c>
      <c r="AS1968" s="4" t="s">
        <v>29048</v>
      </c>
      <c r="AT1968" s="4"/>
      <c r="AU1968" s="4" t="n">
        <v>2017</v>
      </c>
      <c r="AV1968" s="4" t="n">
        <v>97</v>
      </c>
      <c r="AW1968" s="4" t="n">
        <v>1</v>
      </c>
      <c r="AX1968" s="4"/>
      <c r="AY1968" s="4"/>
      <c r="AZ1968" s="4"/>
      <c r="BA1968" s="4"/>
      <c r="BB1968" s="4" t="n">
        <v>88</v>
      </c>
      <c r="BC1968" s="4" t="n">
        <v>96</v>
      </c>
      <c r="BD1968" s="4"/>
      <c r="BE1968" s="4" t="s">
        <v>33339</v>
      </c>
      <c r="BF1968" s="4" t="str">
        <f aca="false">HYPERLINK("http://dx.doi.org/10.4269/ajtmh.17-0032","http://dx.doi.org/10.4269/ajtmh.17-0032")</f>
        <v>http://dx.doi.org/10.4269/ajtmh.17-0032</v>
      </c>
      <c r="BG1968" s="4"/>
      <c r="BH1968" s="4"/>
      <c r="BI1968" s="4" t="n">
        <v>9</v>
      </c>
      <c r="BJ1968" s="4" t="s">
        <v>9015</v>
      </c>
      <c r="BK1968" s="4" t="s">
        <v>100</v>
      </c>
      <c r="BL1968" s="4" t="s">
        <v>9015</v>
      </c>
      <c r="BM1968" s="4" t="s">
        <v>33340</v>
      </c>
      <c r="BN1968" s="4" t="n">
        <v>28719323</v>
      </c>
      <c r="BO1968" s="4" t="s">
        <v>1267</v>
      </c>
      <c r="BP1968" s="4"/>
      <c r="BQ1968" s="4"/>
      <c r="BR1968" s="4" t="s">
        <v>104</v>
      </c>
      <c r="BS1968" s="4" t="s">
        <v>33341</v>
      </c>
      <c r="BT1968" s="4" t="str">
        <f aca="false">HYPERLINK("https%3A%2F%2Fwww.webofscience.com%2Fwos%2Fwoscc%2Ffull-record%2FWOS:000409523900017","View Full Record in Web of Science")</f>
        <v>View Full Record in Web of Science</v>
      </c>
    </row>
    <row r="1969" s="5" customFormat="true" ht="12.75" hidden="false" customHeight="false" outlineLevel="0" collapsed="false">
      <c r="A1969" s="4" t="s">
        <v>72</v>
      </c>
      <c r="B1969" s="4" t="s">
        <v>33342</v>
      </c>
      <c r="C1969" s="4"/>
      <c r="D1969" s="4"/>
      <c r="E1969" s="4"/>
      <c r="F1969" s="4" t="s">
        <v>33343</v>
      </c>
      <c r="G1969" s="4"/>
      <c r="H1969" s="4"/>
      <c r="I1969" s="4" t="s">
        <v>33344</v>
      </c>
      <c r="J1969" s="4" t="s">
        <v>7145</v>
      </c>
      <c r="K1969" s="4"/>
      <c r="L1969" s="4"/>
      <c r="M1969" s="4" t="s">
        <v>77</v>
      </c>
      <c r="N1969" s="4" t="s">
        <v>78</v>
      </c>
      <c r="O1969" s="4"/>
      <c r="P1969" s="4"/>
      <c r="Q1969" s="4"/>
      <c r="R1969" s="4"/>
      <c r="S1969" s="4"/>
      <c r="T1969" s="1" t="s">
        <v>33345</v>
      </c>
      <c r="U1969" s="4" t="s">
        <v>33346</v>
      </c>
      <c r="V1969" s="4" t="s">
        <v>33347</v>
      </c>
      <c r="W1969" s="4" t="s">
        <v>33348</v>
      </c>
      <c r="X1969" s="4" t="s">
        <v>33349</v>
      </c>
      <c r="Y1969" s="4" t="s">
        <v>9721</v>
      </c>
      <c r="Z1969" s="4" t="s">
        <v>9722</v>
      </c>
      <c r="AA1969" s="4" t="s">
        <v>33350</v>
      </c>
      <c r="AB1969" s="4" t="s">
        <v>33351</v>
      </c>
      <c r="AC1969" s="4"/>
      <c r="AD1969" s="4"/>
      <c r="AE1969" s="4"/>
      <c r="AF1969" s="4"/>
      <c r="AG1969" s="4" t="n">
        <v>53</v>
      </c>
      <c r="AH1969" s="4" t="n">
        <v>77</v>
      </c>
      <c r="AI1969" s="4" t="n">
        <v>90</v>
      </c>
      <c r="AJ1969" s="4" t="n">
        <v>2</v>
      </c>
      <c r="AK1969" s="4" t="n">
        <v>8</v>
      </c>
      <c r="AL1969" s="4" t="s">
        <v>3426</v>
      </c>
      <c r="AM1969" s="4" t="s">
        <v>303</v>
      </c>
      <c r="AN1969" s="4" t="s">
        <v>3427</v>
      </c>
      <c r="AO1969" s="4" t="s">
        <v>7158</v>
      </c>
      <c r="AP1969" s="4" t="s">
        <v>7159</v>
      </c>
      <c r="AQ1969" s="4"/>
      <c r="AR1969" s="4" t="s">
        <v>7160</v>
      </c>
      <c r="AS1969" s="4" t="s">
        <v>7161</v>
      </c>
      <c r="AT1969" s="4" t="s">
        <v>446</v>
      </c>
      <c r="AU1969" s="4" t="n">
        <v>2008</v>
      </c>
      <c r="AV1969" s="4" t="n">
        <v>89</v>
      </c>
      <c r="AW1969" s="4"/>
      <c r="AX1969" s="4" t="n">
        <v>12</v>
      </c>
      <c r="AY1969" s="4"/>
      <c r="AZ1969" s="4"/>
      <c r="BA1969" s="4"/>
      <c r="BB1969" s="4" t="n">
        <v>2933</v>
      </c>
      <c r="BC1969" s="4" t="n">
        <v>2942</v>
      </c>
      <c r="BD1969" s="4"/>
      <c r="BE1969" s="4" t="s">
        <v>33352</v>
      </c>
      <c r="BF1969" s="4" t="str">
        <f aca="false">HYPERLINK("http://dx.doi.org/10.1099/vir.0.2008/006957-0","http://dx.doi.org/10.1099/vir.0.2008/006957-0")</f>
        <v>http://dx.doi.org/10.1099/vir.0.2008/006957-0</v>
      </c>
      <c r="BG1969" s="4"/>
      <c r="BH1969" s="4"/>
      <c r="BI1969" s="4" t="n">
        <v>10</v>
      </c>
      <c r="BJ1969" s="4" t="s">
        <v>7163</v>
      </c>
      <c r="BK1969" s="4" t="s">
        <v>100</v>
      </c>
      <c r="BL1969" s="4" t="s">
        <v>7163</v>
      </c>
      <c r="BM1969" s="4" t="s">
        <v>29621</v>
      </c>
      <c r="BN1969" s="4" t="n">
        <v>19008378</v>
      </c>
      <c r="BO1969" s="4" t="s">
        <v>30276</v>
      </c>
      <c r="BP1969" s="4"/>
      <c r="BQ1969" s="4"/>
      <c r="BR1969" s="4" t="s">
        <v>104</v>
      </c>
      <c r="BS1969" s="4" t="s">
        <v>33353</v>
      </c>
      <c r="BT1969" s="4" t="str">
        <f aca="false">HYPERLINK("https%3A%2F%2Fwww.webofscience.com%2Fwos%2Fwoscc%2Ffull-record%2FWOS:000261527800002","View Full Record in Web of Science")</f>
        <v>View Full Record in Web of Science</v>
      </c>
    </row>
    <row r="1970" s="5" customFormat="true" ht="12.75" hidden="false" customHeight="false" outlineLevel="0" collapsed="false">
      <c r="A1970" s="4" t="s">
        <v>72</v>
      </c>
      <c r="B1970" s="4" t="s">
        <v>33354</v>
      </c>
      <c r="C1970" s="4"/>
      <c r="D1970" s="4"/>
      <c r="E1970" s="4"/>
      <c r="F1970" s="4" t="s">
        <v>33355</v>
      </c>
      <c r="G1970" s="4"/>
      <c r="H1970" s="4"/>
      <c r="I1970" s="4" t="s">
        <v>33356</v>
      </c>
      <c r="J1970" s="4" t="s">
        <v>33357</v>
      </c>
      <c r="K1970" s="4"/>
      <c r="L1970" s="4"/>
      <c r="M1970" s="4" t="s">
        <v>77</v>
      </c>
      <c r="N1970" s="4" t="s">
        <v>78</v>
      </c>
      <c r="O1970" s="4"/>
      <c r="P1970" s="4"/>
      <c r="Q1970" s="4"/>
      <c r="R1970" s="4"/>
      <c r="S1970" s="4"/>
      <c r="T1970" s="0"/>
      <c r="U1970" s="4" t="s">
        <v>33358</v>
      </c>
      <c r="V1970" s="4"/>
      <c r="W1970" s="4" t="s">
        <v>33359</v>
      </c>
      <c r="X1970" s="4" t="s">
        <v>11729</v>
      </c>
      <c r="Y1970" s="4"/>
      <c r="Z1970" s="4" t="s">
        <v>33360</v>
      </c>
      <c r="AA1970" s="4"/>
      <c r="AB1970" s="4"/>
      <c r="AC1970" s="4"/>
      <c r="AD1970" s="4"/>
      <c r="AE1970" s="4"/>
      <c r="AF1970" s="4"/>
      <c r="AG1970" s="4" t="n">
        <v>10</v>
      </c>
      <c r="AH1970" s="4" t="n">
        <v>0</v>
      </c>
      <c r="AI1970" s="4" t="n">
        <v>0</v>
      </c>
      <c r="AJ1970" s="4" t="n">
        <v>0</v>
      </c>
      <c r="AK1970" s="4" t="n">
        <v>1</v>
      </c>
      <c r="AL1970" s="4" t="s">
        <v>33361</v>
      </c>
      <c r="AM1970" s="4" t="s">
        <v>27561</v>
      </c>
      <c r="AN1970" s="4" t="s">
        <v>33362</v>
      </c>
      <c r="AO1970" s="4" t="s">
        <v>33363</v>
      </c>
      <c r="AP1970" s="4" t="s">
        <v>33364</v>
      </c>
      <c r="AQ1970" s="4"/>
      <c r="AR1970" s="4" t="s">
        <v>33365</v>
      </c>
      <c r="AS1970" s="4" t="s">
        <v>33366</v>
      </c>
      <c r="AT1970" s="4" t="s">
        <v>26551</v>
      </c>
      <c r="AU1970" s="4" t="n">
        <v>2013</v>
      </c>
      <c r="AV1970" s="4" t="n">
        <v>62</v>
      </c>
      <c r="AW1970" s="4" t="n">
        <v>46</v>
      </c>
      <c r="AX1970" s="4"/>
      <c r="AY1970" s="4"/>
      <c r="AZ1970" s="4"/>
      <c r="BA1970" s="4"/>
      <c r="BB1970" s="4"/>
      <c r="BC1970" s="4"/>
      <c r="BD1970" s="4"/>
      <c r="BE1970" s="4"/>
      <c r="BF1970" s="4"/>
      <c r="BG1970" s="4"/>
      <c r="BH1970" s="4"/>
      <c r="BI1970" s="4" t="n">
        <v>5</v>
      </c>
      <c r="BJ1970" s="4" t="s">
        <v>1353</v>
      </c>
      <c r="BK1970" s="4" t="s">
        <v>100</v>
      </c>
      <c r="BL1970" s="4" t="s">
        <v>1353</v>
      </c>
      <c r="BM1970" s="4" t="s">
        <v>33367</v>
      </c>
      <c r="BN1970" s="4"/>
      <c r="BO1970" s="4"/>
      <c r="BP1970" s="4"/>
      <c r="BQ1970" s="4"/>
      <c r="BR1970" s="4" t="s">
        <v>104</v>
      </c>
      <c r="BS1970" s="4" t="s">
        <v>33368</v>
      </c>
      <c r="BT1970" s="4" t="str">
        <f aca="false">HYPERLINK("https%3A%2F%2Fwww.webofscience.com%2Fwos%2Fwoscc%2Ffull-record%2FWOS:000327534000001","View Full Record in Web of Science")</f>
        <v>View Full Record in Web of Science</v>
      </c>
    </row>
    <row r="1971" s="5" customFormat="true" ht="12.75" hidden="false" customHeight="false" outlineLevel="0" collapsed="false">
      <c r="A1971" s="4" t="s">
        <v>72</v>
      </c>
      <c r="B1971" s="4" t="s">
        <v>33369</v>
      </c>
      <c r="C1971" s="4"/>
      <c r="D1971" s="4"/>
      <c r="E1971" s="4"/>
      <c r="F1971" s="4" t="s">
        <v>33370</v>
      </c>
      <c r="G1971" s="4"/>
      <c r="H1971" s="4" t="s">
        <v>33371</v>
      </c>
      <c r="I1971" s="4" t="s">
        <v>33372</v>
      </c>
      <c r="J1971" s="4" t="s">
        <v>27453</v>
      </c>
      <c r="K1971" s="4"/>
      <c r="L1971" s="4"/>
      <c r="M1971" s="4" t="s">
        <v>77</v>
      </c>
      <c r="N1971" s="4" t="s">
        <v>78</v>
      </c>
      <c r="O1971" s="4"/>
      <c r="P1971" s="4"/>
      <c r="Q1971" s="4"/>
      <c r="R1971" s="4"/>
      <c r="S1971" s="4"/>
      <c r="T1971" s="0"/>
      <c r="U1971" s="4" t="s">
        <v>33373</v>
      </c>
      <c r="V1971" s="4"/>
      <c r="W1971" s="4" t="s">
        <v>33374</v>
      </c>
      <c r="X1971" s="4" t="s">
        <v>33375</v>
      </c>
      <c r="Y1971" s="4" t="s">
        <v>33376</v>
      </c>
      <c r="Z1971" s="4" t="s">
        <v>33377</v>
      </c>
      <c r="AA1971" s="4"/>
      <c r="AB1971" s="4"/>
      <c r="AC1971" s="4"/>
      <c r="AD1971" s="4"/>
      <c r="AE1971" s="4"/>
      <c r="AF1971" s="4"/>
      <c r="AG1971" s="4" t="n">
        <v>8</v>
      </c>
      <c r="AH1971" s="4" t="n">
        <v>2</v>
      </c>
      <c r="AI1971" s="4" t="n">
        <v>2</v>
      </c>
      <c r="AJ1971" s="4" t="n">
        <v>0</v>
      </c>
      <c r="AK1971" s="4" t="n">
        <v>0</v>
      </c>
      <c r="AL1971" s="4" t="s">
        <v>27463</v>
      </c>
      <c r="AM1971" s="4" t="s">
        <v>16252</v>
      </c>
      <c r="AN1971" s="4" t="s">
        <v>27464</v>
      </c>
      <c r="AO1971" s="4" t="s">
        <v>27465</v>
      </c>
      <c r="AP1971" s="4" t="s">
        <v>27466</v>
      </c>
      <c r="AQ1971" s="4"/>
      <c r="AR1971" s="4" t="s">
        <v>27467</v>
      </c>
      <c r="AS1971" s="4" t="s">
        <v>27468</v>
      </c>
      <c r="AT1971" s="4" t="s">
        <v>161</v>
      </c>
      <c r="AU1971" s="4" t="n">
        <v>2011</v>
      </c>
      <c r="AV1971" s="4" t="n">
        <v>64</v>
      </c>
      <c r="AW1971" s="4" t="n">
        <v>1</v>
      </c>
      <c r="AX1971" s="4"/>
      <c r="AY1971" s="4"/>
      <c r="AZ1971" s="4"/>
      <c r="BA1971" s="4"/>
      <c r="BB1971" s="4" t="n">
        <v>89</v>
      </c>
      <c r="BC1971" s="4" t="n">
        <v>91</v>
      </c>
      <c r="BD1971" s="4"/>
      <c r="BE1971" s="4"/>
      <c r="BF1971" s="4"/>
      <c r="BG1971" s="4"/>
      <c r="BH1971" s="4"/>
      <c r="BI1971" s="4" t="n">
        <v>3</v>
      </c>
      <c r="BJ1971" s="4" t="s">
        <v>575</v>
      </c>
      <c r="BK1971" s="4" t="s">
        <v>100</v>
      </c>
      <c r="BL1971" s="4" t="s">
        <v>575</v>
      </c>
      <c r="BM1971" s="4" t="s">
        <v>33378</v>
      </c>
      <c r="BN1971" s="4" t="n">
        <v>21266766</v>
      </c>
      <c r="BO1971" s="4"/>
      <c r="BP1971" s="4"/>
      <c r="BQ1971" s="4"/>
      <c r="BR1971" s="4" t="s">
        <v>104</v>
      </c>
      <c r="BS1971" s="4" t="s">
        <v>33379</v>
      </c>
      <c r="BT1971" s="4" t="str">
        <f aca="false">HYPERLINK("https%3A%2F%2Fwww.webofscience.com%2Fwos%2Fwoscc%2Ffull-record%2FWOS:000287058400020","View Full Record in Web of Science")</f>
        <v>View Full Record in Web of Science</v>
      </c>
    </row>
    <row r="1972" s="5" customFormat="true" ht="12.75" hidden="false" customHeight="false" outlineLevel="0" collapsed="false">
      <c r="A1972" s="4" t="s">
        <v>72</v>
      </c>
      <c r="B1972" s="4" t="s">
        <v>33380</v>
      </c>
      <c r="C1972" s="4"/>
      <c r="D1972" s="4"/>
      <c r="E1972" s="4"/>
      <c r="F1972" s="4" t="s">
        <v>33381</v>
      </c>
      <c r="G1972" s="4"/>
      <c r="H1972" s="4"/>
      <c r="I1972" s="4" t="s">
        <v>33382</v>
      </c>
      <c r="J1972" s="4" t="s">
        <v>6354</v>
      </c>
      <c r="K1972" s="4"/>
      <c r="L1972" s="4"/>
      <c r="M1972" s="4" t="s">
        <v>77</v>
      </c>
      <c r="N1972" s="4" t="s">
        <v>78</v>
      </c>
      <c r="O1972" s="4"/>
      <c r="P1972" s="4"/>
      <c r="Q1972" s="4"/>
      <c r="R1972" s="4"/>
      <c r="S1972" s="4"/>
      <c r="T1972" s="1" t="s">
        <v>33383</v>
      </c>
      <c r="U1972" s="4" t="s">
        <v>33384</v>
      </c>
      <c r="V1972" s="4"/>
      <c r="W1972" s="4" t="s">
        <v>33385</v>
      </c>
      <c r="X1972" s="4" t="s">
        <v>33386</v>
      </c>
      <c r="Y1972" s="4" t="s">
        <v>33387</v>
      </c>
      <c r="Z1972" s="4" t="s">
        <v>33388</v>
      </c>
      <c r="AA1972" s="4"/>
      <c r="AB1972" s="4"/>
      <c r="AC1972" s="4"/>
      <c r="AD1972" s="4"/>
      <c r="AE1972" s="4"/>
      <c r="AF1972" s="4"/>
      <c r="AG1972" s="4" t="n">
        <v>12</v>
      </c>
      <c r="AH1972" s="4" t="n">
        <v>2</v>
      </c>
      <c r="AI1972" s="4" t="n">
        <v>2</v>
      </c>
      <c r="AJ1972" s="4" t="n">
        <v>0</v>
      </c>
      <c r="AK1972" s="4" t="n">
        <v>0</v>
      </c>
      <c r="AL1972" s="4" t="s">
        <v>1565</v>
      </c>
      <c r="AM1972" s="4" t="s">
        <v>1566</v>
      </c>
      <c r="AN1972" s="4" t="s">
        <v>1567</v>
      </c>
      <c r="AO1972" s="4" t="s">
        <v>6367</v>
      </c>
      <c r="AP1972" s="4"/>
      <c r="AQ1972" s="4"/>
      <c r="AR1972" s="4" t="s">
        <v>6369</v>
      </c>
      <c r="AS1972" s="4" t="s">
        <v>6370</v>
      </c>
      <c r="AT1972" s="4" t="s">
        <v>804</v>
      </c>
      <c r="AU1972" s="4" t="n">
        <v>2010</v>
      </c>
      <c r="AV1972" s="4" t="n">
        <v>49</v>
      </c>
      <c r="AW1972" s="4" t="n">
        <v>11</v>
      </c>
      <c r="AX1972" s="4"/>
      <c r="AY1972" s="4"/>
      <c r="AZ1972" s="4"/>
      <c r="BA1972" s="4"/>
      <c r="BB1972" s="4" t="n">
        <v>1075</v>
      </c>
      <c r="BC1972" s="4" t="n">
        <v>1077</v>
      </c>
      <c r="BD1972" s="4"/>
      <c r="BE1972" s="4" t="s">
        <v>33389</v>
      </c>
      <c r="BF1972" s="4" t="str">
        <f aca="false">HYPERLINK("http://dx.doi.org/10.1177/0009922810368559","http://dx.doi.org/10.1177/0009922810368559")</f>
        <v>http://dx.doi.org/10.1177/0009922810368559</v>
      </c>
      <c r="BG1972" s="4"/>
      <c r="BH1972" s="4"/>
      <c r="BI1972" s="4" t="n">
        <v>3</v>
      </c>
      <c r="BJ1972" s="4" t="s">
        <v>601</v>
      </c>
      <c r="BK1972" s="4" t="s">
        <v>100</v>
      </c>
      <c r="BL1972" s="4" t="s">
        <v>601</v>
      </c>
      <c r="BM1972" s="4" t="s">
        <v>33390</v>
      </c>
      <c r="BN1972" s="4" t="n">
        <v>20522618</v>
      </c>
      <c r="BO1972" s="4" t="s">
        <v>656</v>
      </c>
      <c r="BP1972" s="4"/>
      <c r="BQ1972" s="4"/>
      <c r="BR1972" s="4" t="s">
        <v>104</v>
      </c>
      <c r="BS1972" s="4" t="s">
        <v>33391</v>
      </c>
      <c r="BT1972" s="4" t="str">
        <f aca="false">HYPERLINK("https%3A%2F%2Fwww.webofscience.com%2Fwos%2Fwoscc%2Ffull-record%2FWOS:000282815700012","View Full Record in Web of Science")</f>
        <v>View Full Record in Web of Science</v>
      </c>
    </row>
    <row r="1973" s="5" customFormat="true" ht="12.75" hidden="false" customHeight="false" outlineLevel="0" collapsed="false">
      <c r="A1973" s="4" t="s">
        <v>72</v>
      </c>
      <c r="B1973" s="4" t="s">
        <v>33392</v>
      </c>
      <c r="C1973" s="4"/>
      <c r="D1973" s="4"/>
      <c r="E1973" s="4"/>
      <c r="F1973" s="4" t="s">
        <v>33392</v>
      </c>
      <c r="G1973" s="4"/>
      <c r="H1973" s="4"/>
      <c r="I1973" s="4" t="s">
        <v>33393</v>
      </c>
      <c r="J1973" s="4" t="s">
        <v>2021</v>
      </c>
      <c r="K1973" s="4"/>
      <c r="L1973" s="4"/>
      <c r="M1973" s="4" t="s">
        <v>77</v>
      </c>
      <c r="N1973" s="4" t="s">
        <v>78</v>
      </c>
      <c r="O1973" s="4"/>
      <c r="P1973" s="4"/>
      <c r="Q1973" s="4"/>
      <c r="R1973" s="4"/>
      <c r="S1973" s="4"/>
      <c r="T1973" s="1" t="s">
        <v>33394</v>
      </c>
      <c r="U1973" s="4" t="s">
        <v>33395</v>
      </c>
      <c r="V1973" s="4" t="s">
        <v>33396</v>
      </c>
      <c r="W1973" s="4" t="s">
        <v>33397</v>
      </c>
      <c r="X1973" s="4" t="s">
        <v>33398</v>
      </c>
      <c r="Y1973" s="4" t="s">
        <v>33399</v>
      </c>
      <c r="Z1973" s="4" t="s">
        <v>12355</v>
      </c>
      <c r="AA1973" s="4"/>
      <c r="AB1973" s="4" t="s">
        <v>2414</v>
      </c>
      <c r="AC1973" s="4"/>
      <c r="AD1973" s="4"/>
      <c r="AE1973" s="4"/>
      <c r="AF1973" s="4"/>
      <c r="AG1973" s="4" t="n">
        <v>12</v>
      </c>
      <c r="AH1973" s="4" t="n">
        <v>81</v>
      </c>
      <c r="AI1973" s="4" t="n">
        <v>90</v>
      </c>
      <c r="AJ1973" s="4" t="n">
        <v>0</v>
      </c>
      <c r="AK1973" s="4" t="n">
        <v>1</v>
      </c>
      <c r="AL1973" s="4" t="s">
        <v>527</v>
      </c>
      <c r="AM1973" s="4" t="s">
        <v>528</v>
      </c>
      <c r="AN1973" s="4" t="s">
        <v>529</v>
      </c>
      <c r="AO1973" s="4" t="s">
        <v>2033</v>
      </c>
      <c r="AP1973" s="4" t="s">
        <v>2034</v>
      </c>
      <c r="AQ1973" s="4"/>
      <c r="AR1973" s="4" t="s">
        <v>2035</v>
      </c>
      <c r="AS1973" s="4" t="s">
        <v>2036</v>
      </c>
      <c r="AT1973" s="4" t="s">
        <v>7237</v>
      </c>
      <c r="AU1973" s="4" t="n">
        <v>2005</v>
      </c>
      <c r="AV1973" s="4" t="n">
        <v>41</v>
      </c>
      <c r="AW1973" s="4" t="n">
        <v>4</v>
      </c>
      <c r="AX1973" s="4"/>
      <c r="AY1973" s="4"/>
      <c r="AZ1973" s="4"/>
      <c r="BA1973" s="4"/>
      <c r="BB1973" s="4" t="n">
        <v>498</v>
      </c>
      <c r="BC1973" s="4" t="n">
        <v>502</v>
      </c>
      <c r="BD1973" s="4"/>
      <c r="BE1973" s="4" t="s">
        <v>33400</v>
      </c>
      <c r="BF1973" s="4" t="str">
        <f aca="false">HYPERLINK("http://dx.doi.org/10.1086/431981","http://dx.doi.org/10.1086/431981")</f>
        <v>http://dx.doi.org/10.1086/431981</v>
      </c>
      <c r="BG1973" s="4"/>
      <c r="BH1973" s="4"/>
      <c r="BI1973" s="4" t="n">
        <v>5</v>
      </c>
      <c r="BJ1973" s="4" t="s">
        <v>536</v>
      </c>
      <c r="BK1973" s="4" t="s">
        <v>100</v>
      </c>
      <c r="BL1973" s="4" t="s">
        <v>536</v>
      </c>
      <c r="BM1973" s="4" t="s">
        <v>33401</v>
      </c>
      <c r="BN1973" s="4" t="n">
        <v>16028158</v>
      </c>
      <c r="BO1973" s="4" t="s">
        <v>656</v>
      </c>
      <c r="BP1973" s="4"/>
      <c r="BQ1973" s="4"/>
      <c r="BR1973" s="4" t="s">
        <v>104</v>
      </c>
      <c r="BS1973" s="4" t="s">
        <v>33402</v>
      </c>
      <c r="BT1973" s="4" t="str">
        <f aca="false">HYPERLINK("https%3A%2F%2Fwww.webofscience.com%2Fwos%2Fwoscc%2Ffull-record%2FWOS:000230611000012","View Full Record in Web of Science")</f>
        <v>View Full Record in Web of Science</v>
      </c>
    </row>
    <row r="1974" s="5" customFormat="true" ht="12.75" hidden="false" customHeight="false" outlineLevel="0" collapsed="false">
      <c r="A1974" s="4" t="s">
        <v>72</v>
      </c>
      <c r="B1974" s="4" t="s">
        <v>33403</v>
      </c>
      <c r="C1974" s="4"/>
      <c r="D1974" s="4"/>
      <c r="E1974" s="4"/>
      <c r="F1974" s="4" t="s">
        <v>33404</v>
      </c>
      <c r="G1974" s="4"/>
      <c r="H1974" s="4"/>
      <c r="I1974" s="4" t="s">
        <v>33405</v>
      </c>
      <c r="J1974" s="4" t="s">
        <v>27475</v>
      </c>
      <c r="K1974" s="4"/>
      <c r="L1974" s="4"/>
      <c r="M1974" s="4" t="s">
        <v>77</v>
      </c>
      <c r="N1974" s="4" t="s">
        <v>78</v>
      </c>
      <c r="O1974" s="4"/>
      <c r="P1974" s="4"/>
      <c r="Q1974" s="4"/>
      <c r="R1974" s="4"/>
      <c r="S1974" s="4"/>
      <c r="T1974" s="1" t="s">
        <v>33406</v>
      </c>
      <c r="U1974" s="4" t="s">
        <v>33407</v>
      </c>
      <c r="V1974" s="4"/>
      <c r="W1974" s="4" t="s">
        <v>33408</v>
      </c>
      <c r="X1974" s="4" t="s">
        <v>33409</v>
      </c>
      <c r="Y1974" s="4" t="s">
        <v>33410</v>
      </c>
      <c r="Z1974" s="4" t="s">
        <v>33411</v>
      </c>
      <c r="AA1974" s="4"/>
      <c r="AB1974" s="4"/>
      <c r="AC1974" s="4"/>
      <c r="AD1974" s="4"/>
      <c r="AE1974" s="4"/>
      <c r="AF1974" s="4"/>
      <c r="AG1974" s="4" t="n">
        <v>44</v>
      </c>
      <c r="AH1974" s="4" t="n">
        <v>69</v>
      </c>
      <c r="AI1974" s="4" t="n">
        <v>85</v>
      </c>
      <c r="AJ1974" s="4" t="n">
        <v>0</v>
      </c>
      <c r="AK1974" s="4" t="n">
        <v>2</v>
      </c>
      <c r="AL1974" s="4" t="s">
        <v>27485</v>
      </c>
      <c r="AM1974" s="4" t="s">
        <v>27486</v>
      </c>
      <c r="AN1974" s="4" t="s">
        <v>27487</v>
      </c>
      <c r="AO1974" s="4" t="s">
        <v>27488</v>
      </c>
      <c r="AP1974" s="4" t="s">
        <v>32833</v>
      </c>
      <c r="AQ1974" s="4"/>
      <c r="AR1974" s="4" t="s">
        <v>27489</v>
      </c>
      <c r="AS1974" s="4" t="s">
        <v>27490</v>
      </c>
      <c r="AT1974" s="4" t="s">
        <v>30177</v>
      </c>
      <c r="AU1974" s="4" t="n">
        <v>2006</v>
      </c>
      <c r="AV1974" s="4" t="n">
        <v>355</v>
      </c>
      <c r="AW1974" s="4" t="n">
        <v>20</v>
      </c>
      <c r="AX1974" s="4"/>
      <c r="AY1974" s="4"/>
      <c r="AZ1974" s="4"/>
      <c r="BA1974" s="4"/>
      <c r="BB1974" s="4" t="n">
        <v>2125</v>
      </c>
      <c r="BC1974" s="4" t="n">
        <v>2130</v>
      </c>
      <c r="BD1974" s="4"/>
      <c r="BE1974" s="4" t="s">
        <v>33412</v>
      </c>
      <c r="BF1974" s="4" t="str">
        <f aca="false">HYPERLINK("http://dx.doi.org/10.1056/NEJMcp061493","http://dx.doi.org/10.1056/NEJMcp061493")</f>
        <v>http://dx.doi.org/10.1056/NEJMcp061493</v>
      </c>
      <c r="BG1974" s="4"/>
      <c r="BH1974" s="4"/>
      <c r="BI1974" s="4" t="n">
        <v>6</v>
      </c>
      <c r="BJ1974" s="4" t="s">
        <v>363</v>
      </c>
      <c r="BK1974" s="4" t="s">
        <v>100</v>
      </c>
      <c r="BL1974" s="4" t="s">
        <v>364</v>
      </c>
      <c r="BM1974" s="4" t="s">
        <v>33413</v>
      </c>
      <c r="BN1974" s="4" t="n">
        <v>17108344</v>
      </c>
      <c r="BO1974" s="4"/>
      <c r="BP1974" s="4"/>
      <c r="BQ1974" s="4"/>
      <c r="BR1974" s="4" t="s">
        <v>104</v>
      </c>
      <c r="BS1974" s="4" t="s">
        <v>33414</v>
      </c>
      <c r="BT1974" s="4" t="str">
        <f aca="false">HYPERLINK("https%3A%2F%2Fwww.webofscience.com%2Fwos%2Fwoscc%2Ffull-record%2FWOS:000241997300008","View Full Record in Web of Science")</f>
        <v>View Full Record in Web of Science</v>
      </c>
    </row>
    <row r="1975" s="5" customFormat="true" ht="12.75" hidden="false" customHeight="false" outlineLevel="0" collapsed="false">
      <c r="A1975" s="4" t="s">
        <v>72</v>
      </c>
      <c r="B1975" s="4" t="s">
        <v>33415</v>
      </c>
      <c r="C1975" s="4"/>
      <c r="D1975" s="4"/>
      <c r="E1975" s="4"/>
      <c r="F1975" s="4" t="s">
        <v>33416</v>
      </c>
      <c r="G1975" s="4"/>
      <c r="H1975" s="4"/>
      <c r="I1975" s="4" t="s">
        <v>33417</v>
      </c>
      <c r="J1975" s="4" t="s">
        <v>33418</v>
      </c>
      <c r="K1975" s="4"/>
      <c r="L1975" s="4"/>
      <c r="M1975" s="4" t="s">
        <v>77</v>
      </c>
      <c r="N1975" s="4" t="s">
        <v>78</v>
      </c>
      <c r="O1975" s="4"/>
      <c r="P1975" s="4"/>
      <c r="Q1975" s="4"/>
      <c r="R1975" s="4"/>
      <c r="S1975" s="4"/>
      <c r="T1975" s="1" t="s">
        <v>33419</v>
      </c>
      <c r="U1975" s="4" t="s">
        <v>33420</v>
      </c>
      <c r="V1975" s="4"/>
      <c r="W1975" s="4" t="s">
        <v>33421</v>
      </c>
      <c r="X1975" s="4" t="s">
        <v>33422</v>
      </c>
      <c r="Y1975" s="4" t="s">
        <v>33423</v>
      </c>
      <c r="Z1975" s="4" t="s">
        <v>33424</v>
      </c>
      <c r="AA1975" s="4"/>
      <c r="AB1975" s="4"/>
      <c r="AC1975" s="4"/>
      <c r="AD1975" s="4"/>
      <c r="AE1975" s="4"/>
      <c r="AF1975" s="4"/>
      <c r="AG1975" s="4" t="n">
        <v>42</v>
      </c>
      <c r="AH1975" s="4" t="n">
        <v>0</v>
      </c>
      <c r="AI1975" s="4" t="n">
        <v>1</v>
      </c>
      <c r="AJ1975" s="4" t="n">
        <v>0</v>
      </c>
      <c r="AK1975" s="4" t="n">
        <v>0</v>
      </c>
      <c r="AL1975" s="4" t="s">
        <v>1460</v>
      </c>
      <c r="AM1975" s="4" t="s">
        <v>593</v>
      </c>
      <c r="AN1975" s="4" t="s">
        <v>2088</v>
      </c>
      <c r="AO1975" s="4" t="s">
        <v>33425</v>
      </c>
      <c r="AP1975" s="4" t="s">
        <v>33426</v>
      </c>
      <c r="AQ1975" s="4"/>
      <c r="AR1975" s="4" t="s">
        <v>33427</v>
      </c>
      <c r="AS1975" s="4" t="s">
        <v>33428</v>
      </c>
      <c r="AT1975" s="4" t="s">
        <v>185</v>
      </c>
      <c r="AU1975" s="4" t="n">
        <v>2007</v>
      </c>
      <c r="AV1975" s="4" t="n">
        <v>33</v>
      </c>
      <c r="AW1975" s="4" t="n">
        <v>4</v>
      </c>
      <c r="AX1975" s="4"/>
      <c r="AY1975" s="4"/>
      <c r="AZ1975" s="4"/>
      <c r="BA1975" s="4"/>
      <c r="BB1975" s="4" t="n">
        <v>346</v>
      </c>
      <c r="BC1975" s="4" t="n">
        <v>351</v>
      </c>
      <c r="BD1975" s="4"/>
      <c r="BE1975" s="4" t="s">
        <v>33429</v>
      </c>
      <c r="BF1975" s="4" t="str">
        <f aca="false">HYPERLINK("http://dx.doi.org/10.1016/j.jen.2007.03.004","http://dx.doi.org/10.1016/j.jen.2007.03.004")</f>
        <v>http://dx.doi.org/10.1016/j.jen.2007.03.004</v>
      </c>
      <c r="BG1975" s="4"/>
      <c r="BH1975" s="4"/>
      <c r="BI1975" s="4" t="n">
        <v>6</v>
      </c>
      <c r="BJ1975" s="4" t="s">
        <v>33430</v>
      </c>
      <c r="BK1975" s="4" t="s">
        <v>1086</v>
      </c>
      <c r="BL1975" s="4" t="s">
        <v>33430</v>
      </c>
      <c r="BM1975" s="4" t="s">
        <v>33431</v>
      </c>
      <c r="BN1975" s="4" t="n">
        <v>17643797</v>
      </c>
      <c r="BO1975" s="4"/>
      <c r="BP1975" s="4"/>
      <c r="BQ1975" s="4"/>
      <c r="BR1975" s="4" t="s">
        <v>104</v>
      </c>
      <c r="BS1975" s="4" t="s">
        <v>33432</v>
      </c>
      <c r="BT1975" s="4" t="str">
        <f aca="false">HYPERLINK("https%3A%2F%2Fwww.webofscience.com%2Fwos%2Fwoscc%2Ffull-record%2FWOS:000248550500012","View Full Record in Web of Science")</f>
        <v>View Full Record in Web of Science</v>
      </c>
    </row>
    <row r="1976" s="5" customFormat="true" ht="12.75" hidden="false" customHeight="false" outlineLevel="0" collapsed="false">
      <c r="A1976" s="4" t="s">
        <v>72</v>
      </c>
      <c r="B1976" s="4" t="s">
        <v>33433</v>
      </c>
      <c r="C1976" s="4"/>
      <c r="D1976" s="4"/>
      <c r="E1976" s="4"/>
      <c r="F1976" s="4" t="s">
        <v>33434</v>
      </c>
      <c r="G1976" s="4"/>
      <c r="H1976" s="4"/>
      <c r="I1976" s="4" t="s">
        <v>33435</v>
      </c>
      <c r="J1976" s="4" t="s">
        <v>27453</v>
      </c>
      <c r="K1976" s="4"/>
      <c r="L1976" s="4"/>
      <c r="M1976" s="4" t="s">
        <v>77</v>
      </c>
      <c r="N1976" s="4" t="s">
        <v>78</v>
      </c>
      <c r="O1976" s="4"/>
      <c r="P1976" s="4"/>
      <c r="Q1976" s="4"/>
      <c r="R1976" s="4"/>
      <c r="S1976" s="4"/>
      <c r="T1976" s="0"/>
      <c r="U1976" s="4"/>
      <c r="V1976" s="4"/>
      <c r="W1976" s="4" t="s">
        <v>33436</v>
      </c>
      <c r="X1976" s="4" t="s">
        <v>26597</v>
      </c>
      <c r="Y1976" s="4" t="s">
        <v>33437</v>
      </c>
      <c r="Z1976" s="4"/>
      <c r="AA1976" s="4"/>
      <c r="AB1976" s="4"/>
      <c r="AC1976" s="4" t="s">
        <v>33438</v>
      </c>
      <c r="AD1976" s="4" t="s">
        <v>29467</v>
      </c>
      <c r="AE1976" s="4" t="s">
        <v>33439</v>
      </c>
      <c r="AF1976" s="4"/>
      <c r="AG1976" s="4" t="n">
        <v>9</v>
      </c>
      <c r="AH1976" s="4" t="n">
        <v>5</v>
      </c>
      <c r="AI1976" s="4" t="n">
        <v>6</v>
      </c>
      <c r="AJ1976" s="4" t="n">
        <v>0</v>
      </c>
      <c r="AK1976" s="4" t="n">
        <v>0</v>
      </c>
      <c r="AL1976" s="4" t="s">
        <v>27463</v>
      </c>
      <c r="AM1976" s="4" t="s">
        <v>16252</v>
      </c>
      <c r="AN1976" s="4" t="s">
        <v>27464</v>
      </c>
      <c r="AO1976" s="4" t="s">
        <v>27465</v>
      </c>
      <c r="AP1976" s="4" t="s">
        <v>27466</v>
      </c>
      <c r="AQ1976" s="4"/>
      <c r="AR1976" s="4" t="s">
        <v>27467</v>
      </c>
      <c r="AS1976" s="4" t="s">
        <v>27468</v>
      </c>
      <c r="AT1976" s="4" t="s">
        <v>97</v>
      </c>
      <c r="AU1976" s="4" t="n">
        <v>2010</v>
      </c>
      <c r="AV1976" s="4" t="n">
        <v>63</v>
      </c>
      <c r="AW1976" s="4" t="n">
        <v>2</v>
      </c>
      <c r="AX1976" s="4"/>
      <c r="AY1976" s="4"/>
      <c r="AZ1976" s="4"/>
      <c r="BA1976" s="4"/>
      <c r="BB1976" s="4" t="n">
        <v>139</v>
      </c>
      <c r="BC1976" s="4" t="n">
        <v>140</v>
      </c>
      <c r="BD1976" s="4"/>
      <c r="BE1976" s="4"/>
      <c r="BF1976" s="4"/>
      <c r="BG1976" s="4"/>
      <c r="BH1976" s="4"/>
      <c r="BI1976" s="4" t="n">
        <v>2</v>
      </c>
      <c r="BJ1976" s="4" t="s">
        <v>575</v>
      </c>
      <c r="BK1976" s="4" t="s">
        <v>100</v>
      </c>
      <c r="BL1976" s="4" t="s">
        <v>575</v>
      </c>
      <c r="BM1976" s="4" t="s">
        <v>33440</v>
      </c>
      <c r="BN1976" s="4" t="n">
        <v>20332580</v>
      </c>
      <c r="BO1976" s="4"/>
      <c r="BP1976" s="4"/>
      <c r="BQ1976" s="4"/>
      <c r="BR1976" s="4" t="s">
        <v>104</v>
      </c>
      <c r="BS1976" s="4" t="s">
        <v>33441</v>
      </c>
      <c r="BT1976" s="4" t="str">
        <f aca="false">HYPERLINK("https%3A%2F%2Fwww.webofscience.com%2Fwos%2Fwoscc%2Ffull-record%2FWOS:000276331700014","View Full Record in Web of Science")</f>
        <v>View Full Record in Web of Science</v>
      </c>
    </row>
    <row r="1977" s="5" customFormat="true" ht="12.75" hidden="false" customHeight="false" outlineLevel="0" collapsed="false">
      <c r="A1977" s="4" t="s">
        <v>72</v>
      </c>
      <c r="B1977" s="4" t="s">
        <v>33442</v>
      </c>
      <c r="C1977" s="4"/>
      <c r="D1977" s="4"/>
      <c r="E1977" s="4"/>
      <c r="F1977" s="4" t="s">
        <v>33443</v>
      </c>
      <c r="G1977" s="4"/>
      <c r="H1977" s="4"/>
      <c r="I1977" s="4" t="s">
        <v>33444</v>
      </c>
      <c r="J1977" s="4" t="s">
        <v>2222</v>
      </c>
      <c r="K1977" s="4"/>
      <c r="L1977" s="4"/>
      <c r="M1977" s="4" t="s">
        <v>77</v>
      </c>
      <c r="N1977" s="4" t="s">
        <v>78</v>
      </c>
      <c r="O1977" s="4"/>
      <c r="P1977" s="4"/>
      <c r="Q1977" s="4"/>
      <c r="R1977" s="4"/>
      <c r="S1977" s="4"/>
      <c r="T1977" s="1" t="s">
        <v>33445</v>
      </c>
      <c r="U1977" s="4" t="s">
        <v>33446</v>
      </c>
      <c r="V1977" s="4" t="s">
        <v>33447</v>
      </c>
      <c r="W1977" s="4" t="s">
        <v>33448</v>
      </c>
      <c r="X1977" s="4" t="s">
        <v>20918</v>
      </c>
      <c r="Y1977" s="4" t="s">
        <v>33449</v>
      </c>
      <c r="Z1977" s="4" t="s">
        <v>33450</v>
      </c>
      <c r="AA1977" s="4" t="s">
        <v>33451</v>
      </c>
      <c r="AB1977" s="4" t="s">
        <v>33452</v>
      </c>
      <c r="AC1977" s="4" t="s">
        <v>33453</v>
      </c>
      <c r="AD1977" s="4" t="s">
        <v>33454</v>
      </c>
      <c r="AE1977" s="4" t="s">
        <v>33455</v>
      </c>
      <c r="AF1977" s="4"/>
      <c r="AG1977" s="4" t="n">
        <v>36</v>
      </c>
      <c r="AH1977" s="4" t="n">
        <v>78</v>
      </c>
      <c r="AI1977" s="4" t="n">
        <v>93</v>
      </c>
      <c r="AJ1977" s="4" t="n">
        <v>0</v>
      </c>
      <c r="AK1977" s="4" t="n">
        <v>5</v>
      </c>
      <c r="AL1977" s="4" t="s">
        <v>755</v>
      </c>
      <c r="AM1977" s="4" t="s">
        <v>273</v>
      </c>
      <c r="AN1977" s="4" t="s">
        <v>756</v>
      </c>
      <c r="AO1977" s="4" t="s">
        <v>2234</v>
      </c>
      <c r="AP1977" s="4" t="s">
        <v>2235</v>
      </c>
      <c r="AQ1977" s="4"/>
      <c r="AR1977" s="4" t="s">
        <v>2236</v>
      </c>
      <c r="AS1977" s="4" t="s">
        <v>2237</v>
      </c>
      <c r="AT1977" s="4" t="s">
        <v>97</v>
      </c>
      <c r="AU1977" s="4" t="n">
        <v>2009</v>
      </c>
      <c r="AV1977" s="4" t="n">
        <v>47</v>
      </c>
      <c r="AW1977" s="4" t="n">
        <v>3</v>
      </c>
      <c r="AX1977" s="4"/>
      <c r="AY1977" s="4"/>
      <c r="AZ1977" s="4"/>
      <c r="BA1977" s="4"/>
      <c r="BB1977" s="4" t="n">
        <v>743</v>
      </c>
      <c r="BC1977" s="4" t="n">
        <v>750</v>
      </c>
      <c r="BD1977" s="4"/>
      <c r="BE1977" s="4" t="s">
        <v>33456</v>
      </c>
      <c r="BF1977" s="4" t="str">
        <f aca="false">HYPERLINK("http://dx.doi.org/10.1128/JCM.01297-08","http://dx.doi.org/10.1128/JCM.01297-08")</f>
        <v>http://dx.doi.org/10.1128/JCM.01297-08</v>
      </c>
      <c r="BG1977" s="4"/>
      <c r="BH1977" s="4"/>
      <c r="BI1977" s="4" t="n">
        <v>8</v>
      </c>
      <c r="BJ1977" s="4" t="s">
        <v>211</v>
      </c>
      <c r="BK1977" s="4" t="s">
        <v>100</v>
      </c>
      <c r="BL1977" s="4" t="s">
        <v>211</v>
      </c>
      <c r="BM1977" s="4" t="s">
        <v>33457</v>
      </c>
      <c r="BN1977" s="4" t="n">
        <v>19158263</v>
      </c>
      <c r="BO1977" s="4" t="s">
        <v>165</v>
      </c>
      <c r="BP1977" s="4"/>
      <c r="BQ1977" s="4"/>
      <c r="BR1977" s="4" t="s">
        <v>104</v>
      </c>
      <c r="BS1977" s="4" t="s">
        <v>33458</v>
      </c>
      <c r="BT1977" s="4" t="str">
        <f aca="false">HYPERLINK("https%3A%2F%2Fwww.webofscience.com%2Fwos%2Fwoscc%2Ffull-record%2FWOS:000263818800034","View Full Record in Web of Science")</f>
        <v>View Full Record in Web of Science</v>
      </c>
    </row>
    <row r="1978" s="5" customFormat="true" ht="12.75" hidden="false" customHeight="false" outlineLevel="0" collapsed="false">
      <c r="A1978" s="4" t="s">
        <v>72</v>
      </c>
      <c r="B1978" s="4" t="s">
        <v>33459</v>
      </c>
      <c r="C1978" s="4"/>
      <c r="D1978" s="4"/>
      <c r="E1978" s="4"/>
      <c r="F1978" s="4" t="s">
        <v>33460</v>
      </c>
      <c r="G1978" s="4"/>
      <c r="H1978" s="4"/>
      <c r="I1978" s="4" t="s">
        <v>33461</v>
      </c>
      <c r="J1978" s="4" t="s">
        <v>27915</v>
      </c>
      <c r="K1978" s="4"/>
      <c r="L1978" s="4"/>
      <c r="M1978" s="4" t="s">
        <v>77</v>
      </c>
      <c r="N1978" s="4" t="s">
        <v>78</v>
      </c>
      <c r="O1978" s="4"/>
      <c r="P1978" s="4"/>
      <c r="Q1978" s="4"/>
      <c r="R1978" s="4"/>
      <c r="S1978" s="4"/>
      <c r="T1978" s="1" t="s">
        <v>33462</v>
      </c>
      <c r="U1978" s="4" t="s">
        <v>33463</v>
      </c>
      <c r="V1978" s="4" t="s">
        <v>33464</v>
      </c>
      <c r="W1978" s="4" t="s">
        <v>33465</v>
      </c>
      <c r="X1978" s="4" t="s">
        <v>33466</v>
      </c>
      <c r="Y1978" s="4" t="s">
        <v>33467</v>
      </c>
      <c r="Z1978" s="4" t="s">
        <v>33468</v>
      </c>
      <c r="AA1978" s="4" t="s">
        <v>33469</v>
      </c>
      <c r="AB1978" s="4" t="s">
        <v>33470</v>
      </c>
      <c r="AC1978" s="4" t="s">
        <v>33471</v>
      </c>
      <c r="AD1978" s="4" t="s">
        <v>33472</v>
      </c>
      <c r="AE1978" s="4" t="s">
        <v>33473</v>
      </c>
      <c r="AF1978" s="4"/>
      <c r="AG1978" s="4" t="n">
        <v>55</v>
      </c>
      <c r="AH1978" s="4" t="n">
        <v>55</v>
      </c>
      <c r="AI1978" s="4" t="n">
        <v>61</v>
      </c>
      <c r="AJ1978" s="4" t="n">
        <v>0</v>
      </c>
      <c r="AK1978" s="4" t="n">
        <v>2</v>
      </c>
      <c r="AL1978" s="4" t="s">
        <v>27927</v>
      </c>
      <c r="AM1978" s="4" t="s">
        <v>27928</v>
      </c>
      <c r="AN1978" s="4" t="s">
        <v>27929</v>
      </c>
      <c r="AO1978" s="4" t="s">
        <v>27930</v>
      </c>
      <c r="AP1978" s="4" t="s">
        <v>27931</v>
      </c>
      <c r="AQ1978" s="4"/>
      <c r="AR1978" s="4" t="s">
        <v>27932</v>
      </c>
      <c r="AS1978" s="4" t="s">
        <v>27933</v>
      </c>
      <c r="AT1978" s="4" t="s">
        <v>3408</v>
      </c>
      <c r="AU1978" s="4" t="n">
        <v>2010</v>
      </c>
      <c r="AV1978" s="4" t="n">
        <v>184</v>
      </c>
      <c r="AW1978" s="4" t="n">
        <v>3</v>
      </c>
      <c r="AX1978" s="4"/>
      <c r="AY1978" s="4"/>
      <c r="AZ1978" s="4"/>
      <c r="BA1978" s="4"/>
      <c r="BB1978" s="4" t="n">
        <v>1168</v>
      </c>
      <c r="BC1978" s="4" t="n">
        <v>1179</v>
      </c>
      <c r="BD1978" s="4"/>
      <c r="BE1978" s="4" t="s">
        <v>33474</v>
      </c>
      <c r="BF1978" s="4" t="str">
        <f aca="false">HYPERLINK("http://dx.doi.org/10.4049/jimmunol.0902750","http://dx.doi.org/10.4049/jimmunol.0902750")</f>
        <v>http://dx.doi.org/10.4049/jimmunol.0902750</v>
      </c>
      <c r="BG1978" s="4"/>
      <c r="BH1978" s="4"/>
      <c r="BI1978" s="4" t="n">
        <v>12</v>
      </c>
      <c r="BJ1978" s="4" t="s">
        <v>628</v>
      </c>
      <c r="BK1978" s="4" t="s">
        <v>100</v>
      </c>
      <c r="BL1978" s="4" t="s">
        <v>628</v>
      </c>
      <c r="BM1978" s="4" t="s">
        <v>33475</v>
      </c>
      <c r="BN1978" s="4" t="n">
        <v>20042593</v>
      </c>
      <c r="BO1978" s="4" t="s">
        <v>33476</v>
      </c>
      <c r="BP1978" s="4"/>
      <c r="BQ1978" s="4"/>
      <c r="BR1978" s="4" t="s">
        <v>104</v>
      </c>
      <c r="BS1978" s="4" t="s">
        <v>33477</v>
      </c>
      <c r="BT1978" s="4" t="str">
        <f aca="false">HYPERLINK("https%3A%2F%2Fwww.webofscience.com%2Fwos%2Fwoscc%2Ffull-record%2FWOS:000273956400008","View Full Record in Web of Science")</f>
        <v>View Full Record in Web of Science</v>
      </c>
    </row>
    <row r="1979" s="5" customFormat="true" ht="12.75" hidden="false" customHeight="false" outlineLevel="0" collapsed="false">
      <c r="A1979" s="4" t="s">
        <v>72</v>
      </c>
      <c r="B1979" s="4" t="s">
        <v>33478</v>
      </c>
      <c r="C1979" s="4"/>
      <c r="D1979" s="4"/>
      <c r="E1979" s="4"/>
      <c r="F1979" s="4" t="s">
        <v>33479</v>
      </c>
      <c r="G1979" s="4"/>
      <c r="H1979" s="4"/>
      <c r="I1979" s="4" t="s">
        <v>33480</v>
      </c>
      <c r="J1979" s="4" t="s">
        <v>32422</v>
      </c>
      <c r="K1979" s="4"/>
      <c r="L1979" s="4"/>
      <c r="M1979" s="4" t="s">
        <v>77</v>
      </c>
      <c r="N1979" s="4" t="s">
        <v>78</v>
      </c>
      <c r="O1979" s="4"/>
      <c r="P1979" s="4"/>
      <c r="Q1979" s="4"/>
      <c r="R1979" s="4"/>
      <c r="S1979" s="4"/>
      <c r="T1979" s="1" t="s">
        <v>33481</v>
      </c>
      <c r="U1979" s="4" t="s">
        <v>33482</v>
      </c>
      <c r="V1979" s="4"/>
      <c r="W1979" s="4" t="s">
        <v>33483</v>
      </c>
      <c r="X1979" s="4" t="s">
        <v>33484</v>
      </c>
      <c r="Y1979" s="4" t="s">
        <v>33485</v>
      </c>
      <c r="Z1979" s="4"/>
      <c r="AA1979" s="4"/>
      <c r="AB1979" s="4" t="s">
        <v>33486</v>
      </c>
      <c r="AC1979" s="4"/>
      <c r="AD1979" s="4"/>
      <c r="AE1979" s="4"/>
      <c r="AF1979" s="4"/>
      <c r="AG1979" s="4" t="n">
        <v>63</v>
      </c>
      <c r="AH1979" s="4" t="n">
        <v>3</v>
      </c>
      <c r="AI1979" s="4" t="n">
        <v>3</v>
      </c>
      <c r="AJ1979" s="4" t="n">
        <v>0</v>
      </c>
      <c r="AK1979" s="4" t="n">
        <v>0</v>
      </c>
      <c r="AL1979" s="4" t="s">
        <v>7073</v>
      </c>
      <c r="AM1979" s="4" t="s">
        <v>7074</v>
      </c>
      <c r="AN1979" s="4" t="s">
        <v>7075</v>
      </c>
      <c r="AO1979" s="4" t="s">
        <v>32428</v>
      </c>
      <c r="AP1979" s="4" t="s">
        <v>32429</v>
      </c>
      <c r="AQ1979" s="4"/>
      <c r="AR1979" s="4" t="s">
        <v>32430</v>
      </c>
      <c r="AS1979" s="4" t="s">
        <v>32431</v>
      </c>
      <c r="AT1979" s="4" t="s">
        <v>336</v>
      </c>
      <c r="AU1979" s="4" t="n">
        <v>2019</v>
      </c>
      <c r="AV1979" s="4" t="n">
        <v>40</v>
      </c>
      <c r="AW1979" s="4" t="n">
        <v>10</v>
      </c>
      <c r="AX1979" s="4"/>
      <c r="AY1979" s="4"/>
      <c r="AZ1979" s="4"/>
      <c r="BA1979" s="4"/>
      <c r="BB1979" s="4" t="n">
        <v>497</v>
      </c>
      <c r="BC1979" s="4" t="n">
        <v>507</v>
      </c>
      <c r="BD1979" s="4"/>
      <c r="BE1979" s="4" t="s">
        <v>33487</v>
      </c>
      <c r="BF1979" s="4" t="str">
        <f aca="false">HYPERLINK("http://dx.doi.org/10.1542/pir.2018-0237","http://dx.doi.org/10.1542/pir.2018-0237")</f>
        <v>http://dx.doi.org/10.1542/pir.2018-0237</v>
      </c>
      <c r="BG1979" s="4"/>
      <c r="BH1979" s="4"/>
      <c r="BI1979" s="4" t="n">
        <v>11</v>
      </c>
      <c r="BJ1979" s="4" t="s">
        <v>601</v>
      </c>
      <c r="BK1979" s="4" t="s">
        <v>339</v>
      </c>
      <c r="BL1979" s="4" t="s">
        <v>601</v>
      </c>
      <c r="BM1979" s="4" t="s">
        <v>33488</v>
      </c>
      <c r="BN1979" s="4" t="n">
        <v>31575801</v>
      </c>
      <c r="BO1979" s="4"/>
      <c r="BP1979" s="4"/>
      <c r="BQ1979" s="4"/>
      <c r="BR1979" s="4" t="s">
        <v>104</v>
      </c>
      <c r="BS1979" s="4" t="s">
        <v>33489</v>
      </c>
      <c r="BT1979" s="4" t="str">
        <f aca="false">HYPERLINK("https%3A%2F%2Fwww.webofscience.com%2Fwos%2Fwoscc%2Ffull-record%2FWOS:000487424200002","View Full Record in Web of Science")</f>
        <v>View Full Record in Web of Science</v>
      </c>
    </row>
    <row r="1980" s="5" customFormat="true" ht="12.75" hidden="false" customHeight="false" outlineLevel="0" collapsed="false">
      <c r="A1980" s="4" t="s">
        <v>72</v>
      </c>
      <c r="B1980" s="4" t="s">
        <v>33490</v>
      </c>
      <c r="C1980" s="4"/>
      <c r="D1980" s="4"/>
      <c r="E1980" s="4"/>
      <c r="F1980" s="4" t="s">
        <v>33491</v>
      </c>
      <c r="G1980" s="4"/>
      <c r="H1980" s="4"/>
      <c r="I1980" s="4" t="s">
        <v>33492</v>
      </c>
      <c r="J1980" s="4" t="s">
        <v>22163</v>
      </c>
      <c r="K1980" s="4"/>
      <c r="L1980" s="4"/>
      <c r="M1980" s="4" t="s">
        <v>77</v>
      </c>
      <c r="N1980" s="4" t="s">
        <v>78</v>
      </c>
      <c r="O1980" s="4"/>
      <c r="P1980" s="4"/>
      <c r="Q1980" s="4"/>
      <c r="R1980" s="4"/>
      <c r="S1980" s="4"/>
      <c r="T1980" s="1" t="s">
        <v>33493</v>
      </c>
      <c r="U1980" s="4" t="s">
        <v>33494</v>
      </c>
      <c r="V1980" s="4"/>
      <c r="W1980" s="4" t="s">
        <v>33495</v>
      </c>
      <c r="X1980" s="4" t="s">
        <v>33496</v>
      </c>
      <c r="Y1980" s="4" t="s">
        <v>33497</v>
      </c>
      <c r="Z1980" s="4" t="s">
        <v>33498</v>
      </c>
      <c r="AA1980" s="4" t="s">
        <v>33499</v>
      </c>
      <c r="AB1980" s="4" t="s">
        <v>33500</v>
      </c>
      <c r="AC1980" s="4" t="s">
        <v>33501</v>
      </c>
      <c r="AD1980" s="4" t="s">
        <v>33501</v>
      </c>
      <c r="AE1980" s="4" t="s">
        <v>33502</v>
      </c>
      <c r="AF1980" s="4"/>
      <c r="AG1980" s="4" t="n">
        <v>22</v>
      </c>
      <c r="AH1980" s="4" t="n">
        <v>5</v>
      </c>
      <c r="AI1980" s="4" t="n">
        <v>6</v>
      </c>
      <c r="AJ1980" s="4" t="n">
        <v>1</v>
      </c>
      <c r="AK1980" s="4" t="n">
        <v>2</v>
      </c>
      <c r="AL1980" s="4" t="s">
        <v>1749</v>
      </c>
      <c r="AM1980" s="4" t="s">
        <v>1750</v>
      </c>
      <c r="AN1980" s="4" t="s">
        <v>1751</v>
      </c>
      <c r="AO1980" s="4" t="s">
        <v>22173</v>
      </c>
      <c r="AP1980" s="4" t="s">
        <v>33503</v>
      </c>
      <c r="AQ1980" s="4"/>
      <c r="AR1980" s="4" t="s">
        <v>22174</v>
      </c>
      <c r="AS1980" s="4" t="s">
        <v>22175</v>
      </c>
      <c r="AT1980" s="4" t="s">
        <v>599</v>
      </c>
      <c r="AU1980" s="4" t="n">
        <v>2020</v>
      </c>
      <c r="AV1980" s="4" t="n">
        <v>128</v>
      </c>
      <c r="AW1980" s="4"/>
      <c r="AX1980" s="4"/>
      <c r="AY1980" s="4"/>
      <c r="AZ1980" s="4"/>
      <c r="BA1980" s="4"/>
      <c r="BB1980" s="4"/>
      <c r="BC1980" s="4"/>
      <c r="BD1980" s="4" t="n">
        <v>108988</v>
      </c>
      <c r="BE1980" s="4" t="s">
        <v>33504</v>
      </c>
      <c r="BF1980" s="4" t="str">
        <f aca="false">HYPERLINK("http://dx.doi.org/10.1016/j.ejrad.2020.108988","http://dx.doi.org/10.1016/j.ejrad.2020.108988")</f>
        <v>http://dx.doi.org/10.1016/j.ejrad.2020.108988</v>
      </c>
      <c r="BG1980" s="4"/>
      <c r="BH1980" s="4"/>
      <c r="BI1980" s="4" t="n">
        <v>7</v>
      </c>
      <c r="BJ1980" s="4" t="s">
        <v>16579</v>
      </c>
      <c r="BK1980" s="4" t="s">
        <v>100</v>
      </c>
      <c r="BL1980" s="4" t="s">
        <v>16579</v>
      </c>
      <c r="BM1980" s="4" t="s">
        <v>33505</v>
      </c>
      <c r="BN1980" s="4" t="n">
        <v>32388320</v>
      </c>
      <c r="BO1980" s="4"/>
      <c r="BP1980" s="4"/>
      <c r="BQ1980" s="4"/>
      <c r="BR1980" s="4" t="s">
        <v>104</v>
      </c>
      <c r="BS1980" s="4" t="s">
        <v>33506</v>
      </c>
      <c r="BT1980" s="4" t="str">
        <f aca="false">HYPERLINK("https%3A%2F%2Fwww.webofscience.com%2Fwos%2Fwoscc%2Ffull-record%2FWOS:000540454100017","View Full Record in Web of Science")</f>
        <v>View Full Record in Web of Science</v>
      </c>
    </row>
    <row r="1981" s="5" customFormat="true" ht="12.75" hidden="false" customHeight="false" outlineLevel="0" collapsed="false">
      <c r="A1981" s="4" t="s">
        <v>72</v>
      </c>
      <c r="B1981" s="4" t="s">
        <v>33507</v>
      </c>
      <c r="C1981" s="4"/>
      <c r="D1981" s="4"/>
      <c r="E1981" s="4"/>
      <c r="F1981" s="4" t="s">
        <v>33507</v>
      </c>
      <c r="G1981" s="4"/>
      <c r="H1981" s="4"/>
      <c r="I1981" s="4" t="s">
        <v>33508</v>
      </c>
      <c r="J1981" s="4" t="s">
        <v>581</v>
      </c>
      <c r="K1981" s="4"/>
      <c r="L1981" s="4"/>
      <c r="M1981" s="4" t="s">
        <v>77</v>
      </c>
      <c r="N1981" s="4" t="s">
        <v>78</v>
      </c>
      <c r="O1981" s="4"/>
      <c r="P1981" s="4"/>
      <c r="Q1981" s="4"/>
      <c r="R1981" s="4"/>
      <c r="S1981" s="4"/>
      <c r="T1981" s="1" t="s">
        <v>33509</v>
      </c>
      <c r="U1981" s="4" t="s">
        <v>33510</v>
      </c>
      <c r="V1981" s="4"/>
      <c r="W1981" s="4" t="s">
        <v>33511</v>
      </c>
      <c r="X1981" s="4" t="s">
        <v>13129</v>
      </c>
      <c r="Y1981" s="4" t="s">
        <v>33512</v>
      </c>
      <c r="Z1981" s="4" t="s">
        <v>16495</v>
      </c>
      <c r="AA1981" s="4" t="s">
        <v>3047</v>
      </c>
      <c r="AB1981" s="4" t="s">
        <v>3048</v>
      </c>
      <c r="AC1981" s="4"/>
      <c r="AD1981" s="4"/>
      <c r="AE1981" s="4"/>
      <c r="AF1981" s="4"/>
      <c r="AG1981" s="4" t="n">
        <v>9</v>
      </c>
      <c r="AH1981" s="4" t="n">
        <v>22</v>
      </c>
      <c r="AI1981" s="4" t="n">
        <v>23</v>
      </c>
      <c r="AJ1981" s="4" t="n">
        <v>0</v>
      </c>
      <c r="AK1981" s="4" t="n">
        <v>0</v>
      </c>
      <c r="AL1981" s="4" t="s">
        <v>592</v>
      </c>
      <c r="AM1981" s="4" t="s">
        <v>593</v>
      </c>
      <c r="AN1981" s="4" t="s">
        <v>859</v>
      </c>
      <c r="AO1981" s="4" t="s">
        <v>595</v>
      </c>
      <c r="AP1981" s="4" t="s">
        <v>596</v>
      </c>
      <c r="AQ1981" s="4"/>
      <c r="AR1981" s="4" t="s">
        <v>597</v>
      </c>
      <c r="AS1981" s="4" t="s">
        <v>598</v>
      </c>
      <c r="AT1981" s="4" t="s">
        <v>486</v>
      </c>
      <c r="AU1981" s="4" t="n">
        <v>2005</v>
      </c>
      <c r="AV1981" s="4" t="n">
        <v>164</v>
      </c>
      <c r="AW1981" s="4" t="n">
        <v>6</v>
      </c>
      <c r="AX1981" s="4"/>
      <c r="AY1981" s="4"/>
      <c r="AZ1981" s="4"/>
      <c r="BA1981" s="4"/>
      <c r="BB1981" s="4" t="n">
        <v>400</v>
      </c>
      <c r="BC1981" s="4" t="n">
        <v>401</v>
      </c>
      <c r="BD1981" s="4"/>
      <c r="BE1981" s="4" t="s">
        <v>33513</v>
      </c>
      <c r="BF1981" s="4" t="str">
        <f aca="false">HYPERLINK("http://dx.doi.org/10.1007/s00431-005-1655-6","http://dx.doi.org/10.1007/s00431-005-1655-6")</f>
        <v>http://dx.doi.org/10.1007/s00431-005-1655-6</v>
      </c>
      <c r="BG1981" s="4"/>
      <c r="BH1981" s="4"/>
      <c r="BI1981" s="4" t="n">
        <v>2</v>
      </c>
      <c r="BJ1981" s="4" t="s">
        <v>601</v>
      </c>
      <c r="BK1981" s="4" t="s">
        <v>100</v>
      </c>
      <c r="BL1981" s="4" t="s">
        <v>601</v>
      </c>
      <c r="BM1981" s="4" t="s">
        <v>33514</v>
      </c>
      <c r="BN1981" s="4" t="n">
        <v>15772811</v>
      </c>
      <c r="BO1981" s="4"/>
      <c r="BP1981" s="4"/>
      <c r="BQ1981" s="4"/>
      <c r="BR1981" s="4" t="s">
        <v>104</v>
      </c>
      <c r="BS1981" s="4" t="s">
        <v>33515</v>
      </c>
      <c r="BT1981" s="4" t="str">
        <f aca="false">HYPERLINK("https%3A%2F%2Fwww.webofscience.com%2Fwos%2Fwoscc%2Ffull-record%2FWOS:000229801800014","View Full Record in Web of Science")</f>
        <v>View Full Record in Web of Science</v>
      </c>
    </row>
    <row r="1982" s="5" customFormat="true" ht="12.75" hidden="false" customHeight="false" outlineLevel="0" collapsed="false">
      <c r="A1982" s="4" t="s">
        <v>72</v>
      </c>
      <c r="B1982" s="4" t="s">
        <v>33516</v>
      </c>
      <c r="C1982" s="4"/>
      <c r="D1982" s="4"/>
      <c r="E1982" s="4"/>
      <c r="F1982" s="4" t="s">
        <v>33517</v>
      </c>
      <c r="G1982" s="4"/>
      <c r="H1982" s="4"/>
      <c r="I1982" s="4" t="s">
        <v>33518</v>
      </c>
      <c r="J1982" s="4" t="s">
        <v>27497</v>
      </c>
      <c r="K1982" s="4"/>
      <c r="L1982" s="4"/>
      <c r="M1982" s="4" t="s">
        <v>77</v>
      </c>
      <c r="N1982" s="4" t="s">
        <v>78</v>
      </c>
      <c r="O1982" s="4"/>
      <c r="P1982" s="4"/>
      <c r="Q1982" s="4"/>
      <c r="R1982" s="4"/>
      <c r="S1982" s="4"/>
      <c r="T1982" s="1" t="s">
        <v>33519</v>
      </c>
      <c r="U1982" s="4" t="s">
        <v>33520</v>
      </c>
      <c r="V1982" s="4" t="s">
        <v>33521</v>
      </c>
      <c r="W1982" s="4" t="s">
        <v>33522</v>
      </c>
      <c r="X1982" s="4" t="s">
        <v>33523</v>
      </c>
      <c r="Y1982" s="4" t="s">
        <v>33524</v>
      </c>
      <c r="Z1982" s="4" t="s">
        <v>33525</v>
      </c>
      <c r="AA1982" s="4" t="s">
        <v>33526</v>
      </c>
      <c r="AB1982" s="4" t="s">
        <v>33527</v>
      </c>
      <c r="AC1982" s="4"/>
      <c r="AD1982" s="4"/>
      <c r="AE1982" s="4"/>
      <c r="AF1982" s="4"/>
      <c r="AG1982" s="4" t="n">
        <v>64</v>
      </c>
      <c r="AH1982" s="4" t="n">
        <v>26</v>
      </c>
      <c r="AI1982" s="4" t="n">
        <v>30</v>
      </c>
      <c r="AJ1982" s="4" t="n">
        <v>0</v>
      </c>
      <c r="AK1982" s="4" t="n">
        <v>0</v>
      </c>
      <c r="AL1982" s="4" t="s">
        <v>27506</v>
      </c>
      <c r="AM1982" s="4" t="s">
        <v>27507</v>
      </c>
      <c r="AN1982" s="4" t="s">
        <v>27508</v>
      </c>
      <c r="AO1982" s="4" t="s">
        <v>27509</v>
      </c>
      <c r="AP1982" s="4"/>
      <c r="AQ1982" s="4"/>
      <c r="AR1982" s="4" t="s">
        <v>27497</v>
      </c>
      <c r="AS1982" s="4" t="s">
        <v>27510</v>
      </c>
      <c r="AT1982" s="4" t="s">
        <v>33528</v>
      </c>
      <c r="AU1982" s="4" t="n">
        <v>2017</v>
      </c>
      <c r="AV1982" s="4" t="n">
        <v>12</v>
      </c>
      <c r="AW1982" s="4" t="n">
        <v>5</v>
      </c>
      <c r="AX1982" s="4"/>
      <c r="AY1982" s="4"/>
      <c r="AZ1982" s="4"/>
      <c r="BA1982" s="4"/>
      <c r="BB1982" s="4"/>
      <c r="BC1982" s="4"/>
      <c r="BD1982" s="4" t="s">
        <v>33529</v>
      </c>
      <c r="BE1982" s="4" t="s">
        <v>33530</v>
      </c>
      <c r="BF1982" s="4" t="str">
        <f aca="false">HYPERLINK("http://dx.doi.org/10.1371/journal.pone.0176298","http://dx.doi.org/10.1371/journal.pone.0176298")</f>
        <v>http://dx.doi.org/10.1371/journal.pone.0176298</v>
      </c>
      <c r="BG1982" s="4"/>
      <c r="BH1982" s="4"/>
      <c r="BI1982" s="4" t="n">
        <v>18</v>
      </c>
      <c r="BJ1982" s="4" t="s">
        <v>1658</v>
      </c>
      <c r="BK1982" s="4" t="s">
        <v>100</v>
      </c>
      <c r="BL1982" s="4" t="s">
        <v>1659</v>
      </c>
      <c r="BM1982" s="4" t="s">
        <v>33531</v>
      </c>
      <c r="BN1982" s="4" t="n">
        <v>28467515</v>
      </c>
      <c r="BO1982" s="4" t="s">
        <v>6349</v>
      </c>
      <c r="BP1982" s="4"/>
      <c r="BQ1982" s="4"/>
      <c r="BR1982" s="4" t="s">
        <v>104</v>
      </c>
      <c r="BS1982" s="4" t="s">
        <v>33532</v>
      </c>
      <c r="BT1982" s="4" t="str">
        <f aca="false">HYPERLINK("https%3A%2F%2Fwww.webofscience.com%2Fwos%2Fwoscc%2Ffull-record%2FWOS:000400647000047","View Full Record in Web of Science")</f>
        <v>View Full Record in Web of Science</v>
      </c>
    </row>
    <row r="1983" s="5" customFormat="true" ht="12.75" hidden="false" customHeight="false" outlineLevel="0" collapsed="false">
      <c r="A1983" s="4" t="s">
        <v>72</v>
      </c>
      <c r="B1983" s="4" t="s">
        <v>33533</v>
      </c>
      <c r="C1983" s="4"/>
      <c r="D1983" s="4"/>
      <c r="E1983" s="4"/>
      <c r="F1983" s="4" t="s">
        <v>33534</v>
      </c>
      <c r="G1983" s="4"/>
      <c r="H1983" s="4"/>
      <c r="I1983" s="4" t="s">
        <v>33535</v>
      </c>
      <c r="J1983" s="4" t="s">
        <v>27453</v>
      </c>
      <c r="K1983" s="4"/>
      <c r="L1983" s="4"/>
      <c r="M1983" s="4" t="s">
        <v>77</v>
      </c>
      <c r="N1983" s="4" t="s">
        <v>78</v>
      </c>
      <c r="O1983" s="4"/>
      <c r="P1983" s="4"/>
      <c r="Q1983" s="4"/>
      <c r="R1983" s="4"/>
      <c r="S1983" s="4"/>
      <c r="T1983" s="1" t="s">
        <v>33536</v>
      </c>
      <c r="U1983" s="4" t="s">
        <v>33537</v>
      </c>
      <c r="V1983" s="4"/>
      <c r="W1983" s="4" t="s">
        <v>33538</v>
      </c>
      <c r="X1983" s="4" t="s">
        <v>33539</v>
      </c>
      <c r="Y1983" s="4" t="s">
        <v>33540</v>
      </c>
      <c r="Z1983" s="4" t="s">
        <v>33541</v>
      </c>
      <c r="AA1983" s="4" t="s">
        <v>14909</v>
      </c>
      <c r="AB1983" s="4" t="s">
        <v>14744</v>
      </c>
      <c r="AC1983" s="4"/>
      <c r="AD1983" s="4"/>
      <c r="AE1983" s="4"/>
      <c r="AF1983" s="4"/>
      <c r="AG1983" s="4" t="n">
        <v>16</v>
      </c>
      <c r="AH1983" s="4" t="n">
        <v>8</v>
      </c>
      <c r="AI1983" s="4" t="n">
        <v>8</v>
      </c>
      <c r="AJ1983" s="4" t="n">
        <v>0</v>
      </c>
      <c r="AK1983" s="4" t="n">
        <v>5</v>
      </c>
      <c r="AL1983" s="4" t="s">
        <v>27463</v>
      </c>
      <c r="AM1983" s="4" t="s">
        <v>16252</v>
      </c>
      <c r="AN1983" s="4" t="s">
        <v>27464</v>
      </c>
      <c r="AO1983" s="4" t="s">
        <v>27465</v>
      </c>
      <c r="AP1983" s="4" t="s">
        <v>27466</v>
      </c>
      <c r="AQ1983" s="4"/>
      <c r="AR1983" s="4" t="s">
        <v>27467</v>
      </c>
      <c r="AS1983" s="4" t="s">
        <v>27468</v>
      </c>
      <c r="AT1983" s="4" t="s">
        <v>599</v>
      </c>
      <c r="AU1983" s="4" t="n">
        <v>2014</v>
      </c>
      <c r="AV1983" s="4" t="n">
        <v>67</v>
      </c>
      <c r="AW1983" s="4" t="n">
        <v>4</v>
      </c>
      <c r="AX1983" s="4"/>
      <c r="AY1983" s="4"/>
      <c r="AZ1983" s="4"/>
      <c r="BA1983" s="4"/>
      <c r="BB1983" s="4" t="n">
        <v>318</v>
      </c>
      <c r="BC1983" s="4" t="n">
        <v>321</v>
      </c>
      <c r="BD1983" s="4"/>
      <c r="BE1983" s="4" t="s">
        <v>33542</v>
      </c>
      <c r="BF1983" s="4" t="str">
        <f aca="false">HYPERLINK("http://dx.doi.org/10.7883/yoken.67.318","http://dx.doi.org/10.7883/yoken.67.318")</f>
        <v>http://dx.doi.org/10.7883/yoken.67.318</v>
      </c>
      <c r="BG1983" s="4"/>
      <c r="BH1983" s="4"/>
      <c r="BI1983" s="4" t="n">
        <v>4</v>
      </c>
      <c r="BJ1983" s="4" t="s">
        <v>575</v>
      </c>
      <c r="BK1983" s="4" t="s">
        <v>100</v>
      </c>
      <c r="BL1983" s="4" t="s">
        <v>575</v>
      </c>
      <c r="BM1983" s="4" t="s">
        <v>33543</v>
      </c>
      <c r="BN1983" s="4" t="n">
        <v>25056083</v>
      </c>
      <c r="BO1983" s="4" t="s">
        <v>656</v>
      </c>
      <c r="BP1983" s="4"/>
      <c r="BQ1983" s="4"/>
      <c r="BR1983" s="4" t="s">
        <v>104</v>
      </c>
      <c r="BS1983" s="4" t="s">
        <v>33544</v>
      </c>
      <c r="BT1983" s="4" t="str">
        <f aca="false">HYPERLINK("https%3A%2F%2Fwww.webofscience.com%2Fwos%2Fwoscc%2Ffull-record%2FWOS:000339930800016","View Full Record in Web of Science")</f>
        <v>View Full Record in Web of Science</v>
      </c>
    </row>
    <row r="1984" s="5" customFormat="true" ht="12.75" hidden="false" customHeight="false" outlineLevel="0" collapsed="false">
      <c r="A1984" s="4" t="s">
        <v>72</v>
      </c>
      <c r="B1984" s="4" t="s">
        <v>33545</v>
      </c>
      <c r="C1984" s="4"/>
      <c r="D1984" s="4"/>
      <c r="E1984" s="4"/>
      <c r="F1984" s="4" t="s">
        <v>33546</v>
      </c>
      <c r="G1984" s="4"/>
      <c r="H1984" s="4"/>
      <c r="I1984" s="4" t="s">
        <v>33547</v>
      </c>
      <c r="J1984" s="4" t="s">
        <v>33548</v>
      </c>
      <c r="K1984" s="4"/>
      <c r="L1984" s="4"/>
      <c r="M1984" s="4" t="s">
        <v>77</v>
      </c>
      <c r="N1984" s="4" t="s">
        <v>78</v>
      </c>
      <c r="O1984" s="4"/>
      <c r="P1984" s="4"/>
      <c r="Q1984" s="4"/>
      <c r="R1984" s="4"/>
      <c r="S1984" s="4"/>
      <c r="T1984" s="1" t="s">
        <v>33549</v>
      </c>
      <c r="U1984" s="4" t="s">
        <v>33550</v>
      </c>
      <c r="V1984" s="4"/>
      <c r="W1984" s="4" t="s">
        <v>33551</v>
      </c>
      <c r="X1984" s="4" t="s">
        <v>33552</v>
      </c>
      <c r="Y1984" s="4" t="s">
        <v>33553</v>
      </c>
      <c r="Z1984" s="4" t="s">
        <v>33554</v>
      </c>
      <c r="AA1984" s="4"/>
      <c r="AB1984" s="4" t="s">
        <v>33555</v>
      </c>
      <c r="AC1984" s="4"/>
      <c r="AD1984" s="4"/>
      <c r="AE1984" s="4"/>
      <c r="AF1984" s="4"/>
      <c r="AG1984" s="4" t="n">
        <v>32</v>
      </c>
      <c r="AH1984" s="4" t="n">
        <v>23</v>
      </c>
      <c r="AI1984" s="4" t="n">
        <v>26</v>
      </c>
      <c r="AJ1984" s="4" t="n">
        <v>0</v>
      </c>
      <c r="AK1984" s="4" t="n">
        <v>3</v>
      </c>
      <c r="AL1984" s="4" t="s">
        <v>957</v>
      </c>
      <c r="AM1984" s="4" t="s">
        <v>123</v>
      </c>
      <c r="AN1984" s="4" t="s">
        <v>958</v>
      </c>
      <c r="AO1984" s="4" t="s">
        <v>33556</v>
      </c>
      <c r="AP1984" s="4" t="s">
        <v>33557</v>
      </c>
      <c r="AQ1984" s="4"/>
      <c r="AR1984" s="4" t="s">
        <v>33558</v>
      </c>
      <c r="AS1984" s="4" t="s">
        <v>33559</v>
      </c>
      <c r="AT1984" s="4" t="s">
        <v>804</v>
      </c>
      <c r="AU1984" s="4" t="n">
        <v>2017</v>
      </c>
      <c r="AV1984" s="4" t="n">
        <v>34</v>
      </c>
      <c r="AW1984" s="4" t="n">
        <v>6</v>
      </c>
      <c r="AX1984" s="4"/>
      <c r="AY1984" s="4"/>
      <c r="AZ1984" s="4"/>
      <c r="BA1984" s="4"/>
      <c r="BB1984" s="4" t="n">
        <v>510</v>
      </c>
      <c r="BC1984" s="4" t="n">
        <v>517</v>
      </c>
      <c r="BD1984" s="4"/>
      <c r="BE1984" s="4" t="s">
        <v>33560</v>
      </c>
      <c r="BF1984" s="4" t="str">
        <f aca="false">HYPERLINK("http://dx.doi.org/10.1053/j.semdp.2017.06.005","http://dx.doi.org/10.1053/j.semdp.2017.06.005")</f>
        <v>http://dx.doi.org/10.1053/j.semdp.2017.06.005</v>
      </c>
      <c r="BG1984" s="4"/>
      <c r="BH1984" s="4"/>
      <c r="BI1984" s="4" t="n">
        <v>8</v>
      </c>
      <c r="BJ1984" s="4" t="s">
        <v>33561</v>
      </c>
      <c r="BK1984" s="4" t="s">
        <v>100</v>
      </c>
      <c r="BL1984" s="4" t="s">
        <v>33561</v>
      </c>
      <c r="BM1984" s="4" t="s">
        <v>33562</v>
      </c>
      <c r="BN1984" s="4" t="n">
        <v>28693907</v>
      </c>
      <c r="BO1984" s="4" t="s">
        <v>165</v>
      </c>
      <c r="BP1984" s="4"/>
      <c r="BQ1984" s="4"/>
      <c r="BR1984" s="4" t="s">
        <v>104</v>
      </c>
      <c r="BS1984" s="4" t="s">
        <v>33563</v>
      </c>
      <c r="BT1984" s="4" t="str">
        <f aca="false">HYPERLINK("https%3A%2F%2Fwww.webofscience.com%2Fwos%2Fwoscc%2Ffull-record%2FWOS:000417548800003","View Full Record in Web of Science")</f>
        <v>View Full Record in Web of Science</v>
      </c>
    </row>
    <row r="1985" s="5" customFormat="true" ht="12.75" hidden="false" customHeight="false" outlineLevel="0" collapsed="false">
      <c r="A1985" s="4" t="s">
        <v>72</v>
      </c>
      <c r="B1985" s="4" t="s">
        <v>33564</v>
      </c>
      <c r="C1985" s="4"/>
      <c r="D1985" s="4"/>
      <c r="E1985" s="4"/>
      <c r="F1985" s="4" t="s">
        <v>33565</v>
      </c>
      <c r="G1985" s="4"/>
      <c r="H1985" s="4"/>
      <c r="I1985" s="4" t="s">
        <v>33566</v>
      </c>
      <c r="J1985" s="4" t="s">
        <v>27453</v>
      </c>
      <c r="K1985" s="4"/>
      <c r="L1985" s="4"/>
      <c r="M1985" s="4" t="s">
        <v>77</v>
      </c>
      <c r="N1985" s="4" t="s">
        <v>78</v>
      </c>
      <c r="O1985" s="4"/>
      <c r="P1985" s="4"/>
      <c r="Q1985" s="4"/>
      <c r="R1985" s="4"/>
      <c r="S1985" s="4"/>
      <c r="T1985" s="0"/>
      <c r="U1985" s="4" t="s">
        <v>889</v>
      </c>
      <c r="V1985" s="4"/>
      <c r="W1985" s="4" t="s">
        <v>33567</v>
      </c>
      <c r="X1985" s="4" t="s">
        <v>26597</v>
      </c>
      <c r="Y1985" s="4" t="s">
        <v>33568</v>
      </c>
      <c r="Z1985" s="4" t="s">
        <v>26795</v>
      </c>
      <c r="AA1985" s="4"/>
      <c r="AB1985" s="4"/>
      <c r="AC1985" s="4" t="s">
        <v>29466</v>
      </c>
      <c r="AD1985" s="4" t="s">
        <v>29467</v>
      </c>
      <c r="AE1985" s="4" t="s">
        <v>29468</v>
      </c>
      <c r="AF1985" s="4"/>
      <c r="AG1985" s="4" t="n">
        <v>16</v>
      </c>
      <c r="AH1985" s="4" t="n">
        <v>12</v>
      </c>
      <c r="AI1985" s="4" t="n">
        <v>12</v>
      </c>
      <c r="AJ1985" s="4" t="n">
        <v>0</v>
      </c>
      <c r="AK1985" s="4" t="n">
        <v>0</v>
      </c>
      <c r="AL1985" s="4" t="s">
        <v>27463</v>
      </c>
      <c r="AM1985" s="4" t="s">
        <v>16252</v>
      </c>
      <c r="AN1985" s="4" t="s">
        <v>27464</v>
      </c>
      <c r="AO1985" s="4" t="s">
        <v>27465</v>
      </c>
      <c r="AP1985" s="4" t="s">
        <v>27466</v>
      </c>
      <c r="AQ1985" s="4"/>
      <c r="AR1985" s="4" t="s">
        <v>27467</v>
      </c>
      <c r="AS1985" s="4" t="s">
        <v>27468</v>
      </c>
      <c r="AT1985" s="4" t="s">
        <v>161</v>
      </c>
      <c r="AU1985" s="4" t="n">
        <v>2011</v>
      </c>
      <c r="AV1985" s="4" t="n">
        <v>64</v>
      </c>
      <c r="AW1985" s="4" t="n">
        <v>1</v>
      </c>
      <c r="AX1985" s="4"/>
      <c r="AY1985" s="4"/>
      <c r="AZ1985" s="4"/>
      <c r="BA1985" s="4"/>
      <c r="BB1985" s="4" t="n">
        <v>85</v>
      </c>
      <c r="BC1985" s="4" t="n">
        <v>87</v>
      </c>
      <c r="BD1985" s="4"/>
      <c r="BE1985" s="4"/>
      <c r="BF1985" s="4"/>
      <c r="BG1985" s="4"/>
      <c r="BH1985" s="4"/>
      <c r="BI1985" s="4" t="n">
        <v>3</v>
      </c>
      <c r="BJ1985" s="4" t="s">
        <v>575</v>
      </c>
      <c r="BK1985" s="4" t="s">
        <v>100</v>
      </c>
      <c r="BL1985" s="4" t="s">
        <v>575</v>
      </c>
      <c r="BM1985" s="4" t="s">
        <v>33378</v>
      </c>
      <c r="BN1985" s="4" t="n">
        <v>21266764</v>
      </c>
      <c r="BO1985" s="4"/>
      <c r="BP1985" s="4"/>
      <c r="BQ1985" s="4"/>
      <c r="BR1985" s="4" t="s">
        <v>104</v>
      </c>
      <c r="BS1985" s="4" t="s">
        <v>33569</v>
      </c>
      <c r="BT1985" s="4" t="str">
        <f aca="false">HYPERLINK("https%3A%2F%2Fwww.webofscience.com%2Fwos%2Fwoscc%2Ffull-record%2FWOS:000287058400018","View Full Record in Web of Science")</f>
        <v>View Full Record in Web of Science</v>
      </c>
    </row>
    <row r="1986" s="5" customFormat="true" ht="12.75" hidden="false" customHeight="false" outlineLevel="0" collapsed="false">
      <c r="A1986" s="4" t="s">
        <v>72</v>
      </c>
      <c r="B1986" s="4" t="s">
        <v>33570</v>
      </c>
      <c r="C1986" s="4"/>
      <c r="D1986" s="4"/>
      <c r="E1986" s="4"/>
      <c r="F1986" s="4" t="s">
        <v>33571</v>
      </c>
      <c r="G1986" s="4"/>
      <c r="H1986" s="4"/>
      <c r="I1986" s="4" t="s">
        <v>33572</v>
      </c>
      <c r="J1986" s="4" t="s">
        <v>1174</v>
      </c>
      <c r="K1986" s="4"/>
      <c r="L1986" s="4"/>
      <c r="M1986" s="4" t="s">
        <v>77</v>
      </c>
      <c r="N1986" s="4" t="s">
        <v>78</v>
      </c>
      <c r="O1986" s="4"/>
      <c r="P1986" s="4"/>
      <c r="Q1986" s="4"/>
      <c r="R1986" s="4"/>
      <c r="S1986" s="4"/>
      <c r="T1986" s="1" t="s">
        <v>33573</v>
      </c>
      <c r="U1986" s="4" t="s">
        <v>33574</v>
      </c>
      <c r="V1986" s="4" t="s">
        <v>33575</v>
      </c>
      <c r="W1986" s="4" t="s">
        <v>33576</v>
      </c>
      <c r="X1986" s="4" t="s">
        <v>33577</v>
      </c>
      <c r="Y1986" s="4" t="s">
        <v>33578</v>
      </c>
      <c r="Z1986" s="4" t="s">
        <v>33579</v>
      </c>
      <c r="AA1986" s="4" t="s">
        <v>33580</v>
      </c>
      <c r="AB1986" s="4" t="s">
        <v>33581</v>
      </c>
      <c r="AC1986" s="4" t="s">
        <v>33582</v>
      </c>
      <c r="AD1986" s="4" t="s">
        <v>33583</v>
      </c>
      <c r="AE1986" s="4" t="s">
        <v>33584</v>
      </c>
      <c r="AF1986" s="4"/>
      <c r="AG1986" s="4" t="n">
        <v>50</v>
      </c>
      <c r="AH1986" s="4" t="n">
        <v>49</v>
      </c>
      <c r="AI1986" s="4" t="n">
        <v>51</v>
      </c>
      <c r="AJ1986" s="4" t="n">
        <v>0</v>
      </c>
      <c r="AK1986" s="4" t="n">
        <v>6</v>
      </c>
      <c r="AL1986" s="4" t="s">
        <v>1186</v>
      </c>
      <c r="AM1986" s="4" t="s">
        <v>303</v>
      </c>
      <c r="AN1986" s="4" t="s">
        <v>1187</v>
      </c>
      <c r="AO1986" s="4" t="s">
        <v>1188</v>
      </c>
      <c r="AP1986" s="4" t="s">
        <v>1189</v>
      </c>
      <c r="AQ1986" s="4"/>
      <c r="AR1986" s="4" t="s">
        <v>1174</v>
      </c>
      <c r="AS1986" s="4" t="s">
        <v>1190</v>
      </c>
      <c r="AT1986" s="4" t="s">
        <v>97</v>
      </c>
      <c r="AU1986" s="4" t="n">
        <v>2019</v>
      </c>
      <c r="AV1986" s="4" t="n">
        <v>74</v>
      </c>
      <c r="AW1986" s="4" t="n">
        <v>3</v>
      </c>
      <c r="AX1986" s="4"/>
      <c r="AY1986" s="4"/>
      <c r="AZ1986" s="4"/>
      <c r="BA1986" s="4"/>
      <c r="BB1986" s="4" t="n">
        <v>261</v>
      </c>
      <c r="BC1986" s="4" t="n">
        <v>269</v>
      </c>
      <c r="BD1986" s="4"/>
      <c r="BE1986" s="4" t="s">
        <v>33585</v>
      </c>
      <c r="BF1986" s="4" t="str">
        <f aca="false">HYPERLINK("http://dx.doi.org/10.1136/thoraxjnl-2018-212096","http://dx.doi.org/10.1136/thoraxjnl-2018-212096")</f>
        <v>http://dx.doi.org/10.1136/thoraxjnl-2018-212096</v>
      </c>
      <c r="BG1986" s="4"/>
      <c r="BH1986" s="4"/>
      <c r="BI1986" s="4" t="n">
        <v>9</v>
      </c>
      <c r="BJ1986" s="4" t="s">
        <v>338</v>
      </c>
      <c r="BK1986" s="4" t="s">
        <v>100</v>
      </c>
      <c r="BL1986" s="4" t="s">
        <v>338</v>
      </c>
      <c r="BM1986" s="4" t="s">
        <v>33586</v>
      </c>
      <c r="BN1986" s="4" t="n">
        <v>30337417</v>
      </c>
      <c r="BO1986" s="4" t="s">
        <v>136</v>
      </c>
      <c r="BP1986" s="4"/>
      <c r="BQ1986" s="4"/>
      <c r="BR1986" s="4" t="s">
        <v>104</v>
      </c>
      <c r="BS1986" s="4" t="s">
        <v>33587</v>
      </c>
      <c r="BT1986" s="4" t="str">
        <f aca="false">HYPERLINK("https%3A%2F%2Fwww.webofscience.com%2Fwos%2Fwoscc%2Ffull-record%2FWOS:000467327800010","View Full Record in Web of Science")</f>
        <v>View Full Record in Web of Science</v>
      </c>
    </row>
    <row r="1987" s="5" customFormat="true" ht="12.75" hidden="false" customHeight="false" outlineLevel="0" collapsed="false">
      <c r="A1987" s="4" t="s">
        <v>72</v>
      </c>
      <c r="B1987" s="4" t="s">
        <v>33588</v>
      </c>
      <c r="C1987" s="4"/>
      <c r="D1987" s="4"/>
      <c r="E1987" s="4"/>
      <c r="F1987" s="4" t="s">
        <v>33589</v>
      </c>
      <c r="G1987" s="4"/>
      <c r="H1987" s="4"/>
      <c r="I1987" s="4" t="s">
        <v>33590</v>
      </c>
      <c r="J1987" s="4" t="s">
        <v>33591</v>
      </c>
      <c r="K1987" s="4"/>
      <c r="L1987" s="4"/>
      <c r="M1987" s="4" t="s">
        <v>77</v>
      </c>
      <c r="N1987" s="4" t="s">
        <v>78</v>
      </c>
      <c r="O1987" s="4"/>
      <c r="P1987" s="4"/>
      <c r="Q1987" s="4"/>
      <c r="R1987" s="4"/>
      <c r="S1987" s="4"/>
      <c r="T1987" s="1" t="s">
        <v>33592</v>
      </c>
      <c r="U1987" s="4" t="s">
        <v>33593</v>
      </c>
      <c r="V1987" s="4" t="s">
        <v>33594</v>
      </c>
      <c r="W1987" s="4" t="s">
        <v>33595</v>
      </c>
      <c r="X1987" s="4" t="s">
        <v>33596</v>
      </c>
      <c r="Y1987" s="4" t="s">
        <v>33597</v>
      </c>
      <c r="Z1987" s="4" t="s">
        <v>33598</v>
      </c>
      <c r="AA1987" s="4" t="s">
        <v>33599</v>
      </c>
      <c r="AB1987" s="4" t="s">
        <v>33600</v>
      </c>
      <c r="AC1987" s="4" t="s">
        <v>33601</v>
      </c>
      <c r="AD1987" s="4" t="s">
        <v>33602</v>
      </c>
      <c r="AE1987" s="4" t="s">
        <v>33603</v>
      </c>
      <c r="AF1987" s="4"/>
      <c r="AG1987" s="4" t="n">
        <v>32</v>
      </c>
      <c r="AH1987" s="4" t="n">
        <v>5</v>
      </c>
      <c r="AI1987" s="4" t="n">
        <v>5</v>
      </c>
      <c r="AJ1987" s="4" t="n">
        <v>0</v>
      </c>
      <c r="AK1987" s="4" t="n">
        <v>1</v>
      </c>
      <c r="AL1987" s="4" t="s">
        <v>272</v>
      </c>
      <c r="AM1987" s="4" t="s">
        <v>273</v>
      </c>
      <c r="AN1987" s="4" t="s">
        <v>274</v>
      </c>
      <c r="AO1987" s="4" t="s">
        <v>33604</v>
      </c>
      <c r="AP1987" s="4"/>
      <c r="AQ1987" s="4"/>
      <c r="AR1987" s="4" t="s">
        <v>33591</v>
      </c>
      <c r="AS1987" s="4" t="s">
        <v>33605</v>
      </c>
      <c r="AT1987" s="4" t="s">
        <v>804</v>
      </c>
      <c r="AU1987" s="4" t="n">
        <v>2018</v>
      </c>
      <c r="AV1987" s="4" t="n">
        <v>3</v>
      </c>
      <c r="AW1987" s="4" t="n">
        <v>11</v>
      </c>
      <c r="AX1987" s="4"/>
      <c r="AY1987" s="4"/>
      <c r="AZ1987" s="4"/>
      <c r="BA1987" s="4"/>
      <c r="BB1987" s="4" t="n">
        <v>14732</v>
      </c>
      <c r="BC1987" s="4" t="n">
        <v>14745</v>
      </c>
      <c r="BD1987" s="4"/>
      <c r="BE1987" s="4" t="s">
        <v>33606</v>
      </c>
      <c r="BF1987" s="4" t="str">
        <f aca="false">HYPERLINK("http://dx.doi.org/10.1021/acsomega.8b01600","http://dx.doi.org/10.1021/acsomega.8b01600")</f>
        <v>http://dx.doi.org/10.1021/acsomega.8b01600</v>
      </c>
      <c r="BG1987" s="4"/>
      <c r="BH1987" s="4"/>
      <c r="BI1987" s="4" t="n">
        <v>14</v>
      </c>
      <c r="BJ1987" s="4" t="s">
        <v>7715</v>
      </c>
      <c r="BK1987" s="4" t="s">
        <v>100</v>
      </c>
      <c r="BL1987" s="4" t="s">
        <v>7717</v>
      </c>
      <c r="BM1987" s="4" t="s">
        <v>33607</v>
      </c>
      <c r="BN1987" s="4" t="n">
        <v>30555987</v>
      </c>
      <c r="BO1987" s="4" t="s">
        <v>103</v>
      </c>
      <c r="BP1987" s="4"/>
      <c r="BQ1987" s="4"/>
      <c r="BR1987" s="4" t="s">
        <v>104</v>
      </c>
      <c r="BS1987" s="4" t="s">
        <v>33608</v>
      </c>
      <c r="BT1987" s="4" t="str">
        <f aca="false">HYPERLINK("https%3A%2F%2Fwww.webofscience.com%2Fwos%2Fwoscc%2Ffull-record%2FWOS:000451992500021","View Full Record in Web of Science")</f>
        <v>View Full Record in Web of Science</v>
      </c>
    </row>
    <row r="1988" s="5" customFormat="true" ht="12.75" hidden="false" customHeight="false" outlineLevel="0" collapsed="false">
      <c r="A1988" s="4" t="s">
        <v>72</v>
      </c>
      <c r="B1988" s="4" t="s">
        <v>33609</v>
      </c>
      <c r="C1988" s="4"/>
      <c r="D1988" s="4"/>
      <c r="E1988" s="4"/>
      <c r="F1988" s="4" t="s">
        <v>33610</v>
      </c>
      <c r="G1988" s="4"/>
      <c r="H1988" s="4"/>
      <c r="I1988" s="4" t="s">
        <v>33611</v>
      </c>
      <c r="J1988" s="4" t="s">
        <v>33155</v>
      </c>
      <c r="K1988" s="4"/>
      <c r="L1988" s="4"/>
      <c r="M1988" s="4" t="s">
        <v>77</v>
      </c>
      <c r="N1988" s="4" t="s">
        <v>78</v>
      </c>
      <c r="O1988" s="4"/>
      <c r="P1988" s="4"/>
      <c r="Q1988" s="4"/>
      <c r="R1988" s="4"/>
      <c r="S1988" s="4"/>
      <c r="T1988" s="1" t="s">
        <v>33612</v>
      </c>
      <c r="U1988" s="4" t="s">
        <v>33613</v>
      </c>
      <c r="V1988" s="4" t="s">
        <v>33614</v>
      </c>
      <c r="W1988" s="4" t="s">
        <v>33615</v>
      </c>
      <c r="X1988" s="4" t="s">
        <v>33616</v>
      </c>
      <c r="Y1988" s="4" t="s">
        <v>33617</v>
      </c>
      <c r="Z1988" s="4" t="s">
        <v>33618</v>
      </c>
      <c r="AA1988" s="4"/>
      <c r="AB1988" s="4" t="s">
        <v>33619</v>
      </c>
      <c r="AC1988" s="4" t="s">
        <v>33620</v>
      </c>
      <c r="AD1988" s="4" t="s">
        <v>33621</v>
      </c>
      <c r="AE1988" s="4" t="s">
        <v>33622</v>
      </c>
      <c r="AF1988" s="4"/>
      <c r="AG1988" s="4" t="n">
        <v>37</v>
      </c>
      <c r="AH1988" s="4" t="n">
        <v>2</v>
      </c>
      <c r="AI1988" s="4" t="n">
        <v>2</v>
      </c>
      <c r="AJ1988" s="4" t="n">
        <v>0</v>
      </c>
      <c r="AK1988" s="4" t="n">
        <v>1</v>
      </c>
      <c r="AL1988" s="4" t="s">
        <v>33623</v>
      </c>
      <c r="AM1988" s="4" t="s">
        <v>33169</v>
      </c>
      <c r="AN1988" s="4" t="s">
        <v>33624</v>
      </c>
      <c r="AO1988" s="4" t="s">
        <v>33171</v>
      </c>
      <c r="AP1988" s="4" t="s">
        <v>33172</v>
      </c>
      <c r="AQ1988" s="4"/>
      <c r="AR1988" s="4" t="s">
        <v>33173</v>
      </c>
      <c r="AS1988" s="4" t="s">
        <v>33174</v>
      </c>
      <c r="AT1988" s="4"/>
      <c r="AU1988" s="4" t="n">
        <v>2022</v>
      </c>
      <c r="AV1988" s="4" t="n">
        <v>12</v>
      </c>
      <c r="AW1988" s="4"/>
      <c r="AX1988" s="4"/>
      <c r="AY1988" s="4"/>
      <c r="AZ1988" s="4"/>
      <c r="BA1988" s="4"/>
      <c r="BB1988" s="4"/>
      <c r="BC1988" s="4"/>
      <c r="BD1988" s="4" t="n">
        <v>4062</v>
      </c>
      <c r="BE1988" s="4" t="s">
        <v>33625</v>
      </c>
      <c r="BF1988" s="4" t="str">
        <f aca="false">HYPERLINK("http://dx.doi.org/10.7189/jogh.12.04062","http://dx.doi.org/10.7189/jogh.12.04062")</f>
        <v>http://dx.doi.org/10.7189/jogh.12.04062</v>
      </c>
      <c r="BG1988" s="4"/>
      <c r="BH1988" s="4"/>
      <c r="BI1988" s="4" t="n">
        <v>8</v>
      </c>
      <c r="BJ1988" s="4" t="s">
        <v>1353</v>
      </c>
      <c r="BK1988" s="4" t="s">
        <v>1086</v>
      </c>
      <c r="BL1988" s="4" t="s">
        <v>1353</v>
      </c>
      <c r="BM1988" s="4" t="s">
        <v>33626</v>
      </c>
      <c r="BN1988" s="4" t="n">
        <v>35866188</v>
      </c>
      <c r="BO1988" s="4" t="s">
        <v>190</v>
      </c>
      <c r="BP1988" s="4"/>
      <c r="BQ1988" s="4"/>
      <c r="BR1988" s="4" t="s">
        <v>104</v>
      </c>
      <c r="BS1988" s="4" t="s">
        <v>33627</v>
      </c>
      <c r="BT1988" s="4" t="str">
        <f aca="false">HYPERLINK("https%3A%2F%2Fwww.webofscience.com%2Fwos%2Fwoscc%2Ffull-record%2FWOS:000830654200001","View Full Record in Web of Science")</f>
        <v>View Full Record in Web of Science</v>
      </c>
    </row>
    <row r="1989" s="5" customFormat="true" ht="12.75" hidden="false" customHeight="false" outlineLevel="0" collapsed="false">
      <c r="A1989" s="4" t="s">
        <v>72</v>
      </c>
      <c r="B1989" s="4" t="s">
        <v>33628</v>
      </c>
      <c r="C1989" s="4"/>
      <c r="D1989" s="4"/>
      <c r="E1989" s="4"/>
      <c r="F1989" s="4" t="s">
        <v>33628</v>
      </c>
      <c r="G1989" s="4"/>
      <c r="H1989" s="4"/>
      <c r="I1989" s="4" t="s">
        <v>33629</v>
      </c>
      <c r="J1989" s="4" t="s">
        <v>2222</v>
      </c>
      <c r="K1989" s="4"/>
      <c r="L1989" s="4"/>
      <c r="M1989" s="4" t="s">
        <v>77</v>
      </c>
      <c r="N1989" s="4" t="s">
        <v>78</v>
      </c>
      <c r="O1989" s="4"/>
      <c r="P1989" s="4"/>
      <c r="Q1989" s="4"/>
      <c r="R1989" s="4"/>
      <c r="S1989" s="4"/>
      <c r="T1989" s="1" t="s">
        <v>33630</v>
      </c>
      <c r="U1989" s="4" t="s">
        <v>33631</v>
      </c>
      <c r="V1989" s="4" t="s">
        <v>33632</v>
      </c>
      <c r="W1989" s="4" t="s">
        <v>33633</v>
      </c>
      <c r="X1989" s="4" t="s">
        <v>6739</v>
      </c>
      <c r="Y1989" s="4" t="s">
        <v>33634</v>
      </c>
      <c r="Z1989" s="4" t="s">
        <v>33635</v>
      </c>
      <c r="AA1989" s="4"/>
      <c r="AB1989" s="4" t="s">
        <v>33636</v>
      </c>
      <c r="AC1989" s="4"/>
      <c r="AD1989" s="4"/>
      <c r="AE1989" s="4"/>
      <c r="AF1989" s="4"/>
      <c r="AG1989" s="4" t="n">
        <v>32</v>
      </c>
      <c r="AH1989" s="4" t="n">
        <v>49</v>
      </c>
      <c r="AI1989" s="4" t="n">
        <v>57</v>
      </c>
      <c r="AJ1989" s="4" t="n">
        <v>0</v>
      </c>
      <c r="AK1989" s="4" t="n">
        <v>1</v>
      </c>
      <c r="AL1989" s="4" t="s">
        <v>755</v>
      </c>
      <c r="AM1989" s="4" t="s">
        <v>273</v>
      </c>
      <c r="AN1989" s="4" t="s">
        <v>756</v>
      </c>
      <c r="AO1989" s="4" t="s">
        <v>2234</v>
      </c>
      <c r="AP1989" s="4" t="s">
        <v>2235</v>
      </c>
      <c r="AQ1989" s="4"/>
      <c r="AR1989" s="4" t="s">
        <v>2236</v>
      </c>
      <c r="AS1989" s="4" t="s">
        <v>2237</v>
      </c>
      <c r="AT1989" s="4" t="s">
        <v>446</v>
      </c>
      <c r="AU1989" s="4" t="n">
        <v>2004</v>
      </c>
      <c r="AV1989" s="4" t="n">
        <v>42</v>
      </c>
      <c r="AW1989" s="4" t="n">
        <v>12</v>
      </c>
      <c r="AX1989" s="4"/>
      <c r="AY1989" s="4"/>
      <c r="AZ1989" s="4"/>
      <c r="BA1989" s="4"/>
      <c r="BB1989" s="4" t="n">
        <v>5596</v>
      </c>
      <c r="BC1989" s="4" t="n">
        <v>5603</v>
      </c>
      <c r="BD1989" s="4"/>
      <c r="BE1989" s="4" t="s">
        <v>33637</v>
      </c>
      <c r="BF1989" s="4" t="str">
        <f aca="false">HYPERLINK("http://dx.doi.org/10.1128/JCM.42.12.5596-5603.2004","http://dx.doi.org/10.1128/JCM.42.12.5596-5603.2004")</f>
        <v>http://dx.doi.org/10.1128/JCM.42.12.5596-5603.2004</v>
      </c>
      <c r="BG1989" s="4"/>
      <c r="BH1989" s="4"/>
      <c r="BI1989" s="4" t="n">
        <v>8</v>
      </c>
      <c r="BJ1989" s="4" t="s">
        <v>211</v>
      </c>
      <c r="BK1989" s="4" t="s">
        <v>100</v>
      </c>
      <c r="BL1989" s="4" t="s">
        <v>211</v>
      </c>
      <c r="BM1989" s="4" t="s">
        <v>28927</v>
      </c>
      <c r="BN1989" s="4" t="n">
        <v>15583287</v>
      </c>
      <c r="BO1989" s="4" t="s">
        <v>165</v>
      </c>
      <c r="BP1989" s="4"/>
      <c r="BQ1989" s="4"/>
      <c r="BR1989" s="4" t="s">
        <v>104</v>
      </c>
      <c r="BS1989" s="4" t="s">
        <v>33638</v>
      </c>
      <c r="BT1989" s="4" t="str">
        <f aca="false">HYPERLINK("https%3A%2F%2Fwww.webofscience.com%2Fwos%2Fwoscc%2Ffull-record%2FWOS:000226035800026","View Full Record in Web of Science")</f>
        <v>View Full Record in Web of Science</v>
      </c>
    </row>
    <row r="1990" s="5" customFormat="true" ht="12.75" hidden="false" customHeight="false" outlineLevel="0" collapsed="false">
      <c r="A1990" s="4" t="s">
        <v>72</v>
      </c>
      <c r="B1990" s="4" t="s">
        <v>33639</v>
      </c>
      <c r="C1990" s="4"/>
      <c r="D1990" s="4"/>
      <c r="E1990" s="4"/>
      <c r="F1990" s="4" t="s">
        <v>33640</v>
      </c>
      <c r="G1990" s="4"/>
      <c r="H1990" s="4"/>
      <c r="I1990" s="4" t="s">
        <v>33641</v>
      </c>
      <c r="J1990" s="4" t="s">
        <v>28943</v>
      </c>
      <c r="K1990" s="4"/>
      <c r="L1990" s="4"/>
      <c r="M1990" s="4" t="s">
        <v>77</v>
      </c>
      <c r="N1990" s="4" t="s">
        <v>78</v>
      </c>
      <c r="O1990" s="4"/>
      <c r="P1990" s="4"/>
      <c r="Q1990" s="4"/>
      <c r="R1990" s="4"/>
      <c r="S1990" s="4"/>
      <c r="T1990" s="1" t="s">
        <v>27765</v>
      </c>
      <c r="U1990" s="4" t="s">
        <v>33642</v>
      </c>
      <c r="V1990" s="4"/>
      <c r="W1990" s="4" t="s">
        <v>33643</v>
      </c>
      <c r="X1990" s="4" t="s">
        <v>33644</v>
      </c>
      <c r="Y1990" s="4" t="s">
        <v>33645</v>
      </c>
      <c r="Z1990" s="4" t="s">
        <v>33646</v>
      </c>
      <c r="AA1990" s="4" t="s">
        <v>33647</v>
      </c>
      <c r="AB1990" s="4" t="s">
        <v>33648</v>
      </c>
      <c r="AC1990" s="4"/>
      <c r="AD1990" s="4"/>
      <c r="AE1990" s="4"/>
      <c r="AF1990" s="4"/>
      <c r="AG1990" s="4" t="n">
        <v>22</v>
      </c>
      <c r="AH1990" s="4" t="n">
        <v>6</v>
      </c>
      <c r="AI1990" s="4" t="n">
        <v>6</v>
      </c>
      <c r="AJ1990" s="4" t="n">
        <v>0</v>
      </c>
      <c r="AK1990" s="4" t="n">
        <v>0</v>
      </c>
      <c r="AL1990" s="4" t="s">
        <v>28952</v>
      </c>
      <c r="AM1990" s="4" t="s">
        <v>28953</v>
      </c>
      <c r="AN1990" s="4" t="s">
        <v>28954</v>
      </c>
      <c r="AO1990" s="4" t="s">
        <v>28955</v>
      </c>
      <c r="AP1990" s="4"/>
      <c r="AQ1990" s="4"/>
      <c r="AR1990" s="4" t="s">
        <v>28943</v>
      </c>
      <c r="AS1990" s="4" t="s">
        <v>28956</v>
      </c>
      <c r="AT1990" s="4" t="s">
        <v>33649</v>
      </c>
      <c r="AU1990" s="4" t="n">
        <v>2010</v>
      </c>
      <c r="AV1990" s="4" t="n">
        <v>15</v>
      </c>
      <c r="AW1990" s="4" t="n">
        <v>9</v>
      </c>
      <c r="AX1990" s="4"/>
      <c r="AY1990" s="4"/>
      <c r="AZ1990" s="4"/>
      <c r="BA1990" s="4"/>
      <c r="BB1990" s="4" t="n">
        <v>9</v>
      </c>
      <c r="BC1990" s="4" t="n">
        <v>12</v>
      </c>
      <c r="BD1990" s="4" t="n">
        <v>19499</v>
      </c>
      <c r="BE1990" s="4" t="s">
        <v>33650</v>
      </c>
      <c r="BF1990" s="4"/>
      <c r="BG1990" s="4"/>
      <c r="BH1990" s="4"/>
      <c r="BI1990" s="4" t="n">
        <v>4</v>
      </c>
      <c r="BJ1990" s="4" t="s">
        <v>575</v>
      </c>
      <c r="BK1990" s="4" t="s">
        <v>100</v>
      </c>
      <c r="BL1990" s="4" t="s">
        <v>575</v>
      </c>
      <c r="BM1990" s="4" t="s">
        <v>33651</v>
      </c>
      <c r="BN1990" s="4" t="n">
        <v>20214868</v>
      </c>
      <c r="BO1990" s="4"/>
      <c r="BP1990" s="4"/>
      <c r="BQ1990" s="4"/>
      <c r="BR1990" s="4" t="s">
        <v>104</v>
      </c>
      <c r="BS1990" s="4" t="s">
        <v>33652</v>
      </c>
      <c r="BT1990" s="4" t="str">
        <f aca="false">HYPERLINK("https%3A%2F%2Fwww.webofscience.com%2Fwos%2Fwoscc%2Ffull-record%2FWOS:000276448700003","View Full Record in Web of Science")</f>
        <v>View Full Record in Web of Science</v>
      </c>
    </row>
    <row r="1991" s="5" customFormat="true" ht="12.75" hidden="false" customHeight="false" outlineLevel="0" collapsed="false">
      <c r="A1991" s="4" t="s">
        <v>72</v>
      </c>
      <c r="B1991" s="4" t="s">
        <v>33653</v>
      </c>
      <c r="C1991" s="4"/>
      <c r="D1991" s="4"/>
      <c r="E1991" s="4"/>
      <c r="F1991" s="4" t="s">
        <v>33654</v>
      </c>
      <c r="G1991" s="4"/>
      <c r="H1991" s="4"/>
      <c r="I1991" s="4" t="s">
        <v>33655</v>
      </c>
      <c r="J1991" s="4" t="s">
        <v>30335</v>
      </c>
      <c r="K1991" s="4"/>
      <c r="L1991" s="4"/>
      <c r="M1991" s="4" t="s">
        <v>77</v>
      </c>
      <c r="N1991" s="4" t="s">
        <v>78</v>
      </c>
      <c r="O1991" s="4"/>
      <c r="P1991" s="4"/>
      <c r="Q1991" s="4"/>
      <c r="R1991" s="4"/>
      <c r="S1991" s="4"/>
      <c r="T1991" s="1" t="s">
        <v>33656</v>
      </c>
      <c r="U1991" s="4" t="s">
        <v>33657</v>
      </c>
      <c r="V1991" s="4" t="s">
        <v>33658</v>
      </c>
      <c r="W1991" s="4" t="s">
        <v>33659</v>
      </c>
      <c r="X1991" s="4" t="s">
        <v>33660</v>
      </c>
      <c r="Y1991" s="4" t="s">
        <v>33661</v>
      </c>
      <c r="Z1991" s="4"/>
      <c r="AA1991" s="4" t="s">
        <v>33662</v>
      </c>
      <c r="AB1991" s="4" t="s">
        <v>33663</v>
      </c>
      <c r="AC1991" s="4" t="s">
        <v>33664</v>
      </c>
      <c r="AD1991" s="4" t="s">
        <v>33665</v>
      </c>
      <c r="AE1991" s="4" t="s">
        <v>33666</v>
      </c>
      <c r="AF1991" s="4"/>
      <c r="AG1991" s="4" t="n">
        <v>46</v>
      </c>
      <c r="AH1991" s="4" t="n">
        <v>31</v>
      </c>
      <c r="AI1991" s="4" t="n">
        <v>33</v>
      </c>
      <c r="AJ1991" s="4" t="n">
        <v>0</v>
      </c>
      <c r="AK1991" s="4" t="n">
        <v>6</v>
      </c>
      <c r="AL1991" s="4" t="s">
        <v>919</v>
      </c>
      <c r="AM1991" s="4" t="s">
        <v>593</v>
      </c>
      <c r="AN1991" s="4" t="s">
        <v>920</v>
      </c>
      <c r="AO1991" s="4" t="s">
        <v>30345</v>
      </c>
      <c r="AP1991" s="4" t="s">
        <v>33667</v>
      </c>
      <c r="AQ1991" s="4"/>
      <c r="AR1991" s="4" t="s">
        <v>30346</v>
      </c>
      <c r="AS1991" s="4" t="s">
        <v>2881</v>
      </c>
      <c r="AT1991" s="4" t="s">
        <v>185</v>
      </c>
      <c r="AU1991" s="4" t="n">
        <v>2017</v>
      </c>
      <c r="AV1991" s="4" t="n">
        <v>187</v>
      </c>
      <c r="AW1991" s="4"/>
      <c r="AX1991" s="4"/>
      <c r="AY1991" s="4"/>
      <c r="AZ1991" s="4"/>
      <c r="BA1991" s="4"/>
      <c r="BB1991" s="4" t="n">
        <v>323</v>
      </c>
      <c r="BC1991" s="4" t="n">
        <v>327</v>
      </c>
      <c r="BD1991" s="4"/>
      <c r="BE1991" s="4" t="s">
        <v>33668</v>
      </c>
      <c r="BF1991" s="4" t="str">
        <f aca="false">HYPERLINK("http://dx.doi.org/10.1016/j.jpeds.2017.04.061","http://dx.doi.org/10.1016/j.jpeds.2017.04.061")</f>
        <v>http://dx.doi.org/10.1016/j.jpeds.2017.04.061</v>
      </c>
      <c r="BG1991" s="4"/>
      <c r="BH1991" s="4"/>
      <c r="BI1991" s="4" t="n">
        <v>5</v>
      </c>
      <c r="BJ1991" s="4" t="s">
        <v>601</v>
      </c>
      <c r="BK1991" s="4" t="s">
        <v>100</v>
      </c>
      <c r="BL1991" s="4" t="s">
        <v>601</v>
      </c>
      <c r="BM1991" s="4" t="s">
        <v>33669</v>
      </c>
      <c r="BN1991" s="4" t="n">
        <v>28578159</v>
      </c>
      <c r="BO1991" s="4" t="s">
        <v>695</v>
      </c>
      <c r="BP1991" s="4"/>
      <c r="BQ1991" s="4"/>
      <c r="BR1991" s="4" t="s">
        <v>104</v>
      </c>
      <c r="BS1991" s="4" t="s">
        <v>33670</v>
      </c>
      <c r="BT1991" s="4" t="str">
        <f aca="false">HYPERLINK("https%3A%2F%2Fwww.webofscience.com%2Fwos%2Fwoscc%2Ffull-record%2FWOS:000408221700055","View Full Record in Web of Science")</f>
        <v>View Full Record in Web of Science</v>
      </c>
    </row>
    <row r="1992" s="5" customFormat="true" ht="12.75" hidden="false" customHeight="false" outlineLevel="0" collapsed="false">
      <c r="A1992" s="4" t="s">
        <v>72</v>
      </c>
      <c r="B1992" s="4" t="s">
        <v>33671</v>
      </c>
      <c r="C1992" s="4"/>
      <c r="D1992" s="4"/>
      <c r="E1992" s="4"/>
      <c r="F1992" s="4" t="s">
        <v>33672</v>
      </c>
      <c r="G1992" s="4"/>
      <c r="H1992" s="4"/>
      <c r="I1992" s="4" t="s">
        <v>33673</v>
      </c>
      <c r="J1992" s="4" t="s">
        <v>15823</v>
      </c>
      <c r="K1992" s="4"/>
      <c r="L1992" s="4"/>
      <c r="M1992" s="4" t="s">
        <v>77</v>
      </c>
      <c r="N1992" s="4" t="s">
        <v>78</v>
      </c>
      <c r="O1992" s="4"/>
      <c r="P1992" s="4"/>
      <c r="Q1992" s="4"/>
      <c r="R1992" s="4"/>
      <c r="S1992" s="4"/>
      <c r="T1992" s="1" t="s">
        <v>33674</v>
      </c>
      <c r="U1992" s="4" t="s">
        <v>33675</v>
      </c>
      <c r="V1992" s="4" t="s">
        <v>33676</v>
      </c>
      <c r="W1992" s="4" t="s">
        <v>33677</v>
      </c>
      <c r="X1992" s="4" t="s">
        <v>33678</v>
      </c>
      <c r="Y1992" s="4" t="s">
        <v>33679</v>
      </c>
      <c r="Z1992" s="4" t="s">
        <v>33680</v>
      </c>
      <c r="AA1992" s="4" t="s">
        <v>33681</v>
      </c>
      <c r="AB1992" s="4" t="s">
        <v>33682</v>
      </c>
      <c r="AC1992" s="4"/>
      <c r="AD1992" s="4"/>
      <c r="AE1992" s="4"/>
      <c r="AF1992" s="4"/>
      <c r="AG1992" s="4" t="n">
        <v>37</v>
      </c>
      <c r="AH1992" s="4" t="n">
        <v>37</v>
      </c>
      <c r="AI1992" s="4" t="n">
        <v>40</v>
      </c>
      <c r="AJ1992" s="4" t="n">
        <v>0</v>
      </c>
      <c r="AK1992" s="4" t="n">
        <v>7</v>
      </c>
      <c r="AL1992" s="4" t="s">
        <v>755</v>
      </c>
      <c r="AM1992" s="4" t="s">
        <v>273</v>
      </c>
      <c r="AN1992" s="4" t="s">
        <v>756</v>
      </c>
      <c r="AO1992" s="4" t="s">
        <v>15835</v>
      </c>
      <c r="AP1992" s="4" t="s">
        <v>15836</v>
      </c>
      <c r="AQ1992" s="4"/>
      <c r="AR1992" s="4" t="s">
        <v>15837</v>
      </c>
      <c r="AS1992" s="4" t="s">
        <v>15838</v>
      </c>
      <c r="AT1992" s="4" t="s">
        <v>1041</v>
      </c>
      <c r="AU1992" s="4" t="n">
        <v>2013</v>
      </c>
      <c r="AV1992" s="4" t="n">
        <v>57</v>
      </c>
      <c r="AW1992" s="4" t="n">
        <v>2</v>
      </c>
      <c r="AX1992" s="4"/>
      <c r="AY1992" s="4"/>
      <c r="AZ1992" s="4"/>
      <c r="BA1992" s="4"/>
      <c r="BB1992" s="4" t="n">
        <v>983</v>
      </c>
      <c r="BC1992" s="4" t="n">
        <v>989</v>
      </c>
      <c r="BD1992" s="4"/>
      <c r="BE1992" s="4" t="s">
        <v>33683</v>
      </c>
      <c r="BF1992" s="4" t="str">
        <f aca="false">HYPERLINK("http://dx.doi.org/10.1128/AAC.01961-12","http://dx.doi.org/10.1128/AAC.01961-12")</f>
        <v>http://dx.doi.org/10.1128/AAC.01961-12</v>
      </c>
      <c r="BG1992" s="4"/>
      <c r="BH1992" s="4"/>
      <c r="BI1992" s="4" t="n">
        <v>7</v>
      </c>
      <c r="BJ1992" s="4" t="s">
        <v>7809</v>
      </c>
      <c r="BK1992" s="4" t="s">
        <v>100</v>
      </c>
      <c r="BL1992" s="4" t="s">
        <v>7809</v>
      </c>
      <c r="BM1992" s="4" t="s">
        <v>33684</v>
      </c>
      <c r="BN1992" s="4" t="n">
        <v>23229488</v>
      </c>
      <c r="BO1992" s="4" t="s">
        <v>538</v>
      </c>
      <c r="BP1992" s="4"/>
      <c r="BQ1992" s="4"/>
      <c r="BR1992" s="4" t="s">
        <v>104</v>
      </c>
      <c r="BS1992" s="4" t="s">
        <v>33685</v>
      </c>
      <c r="BT1992" s="4" t="str">
        <f aca="false">HYPERLINK("https%3A%2F%2Fwww.webofscience.com%2Fwos%2Fwoscc%2Ffull-record%2FWOS:000313896500039","View Full Record in Web of Science")</f>
        <v>View Full Record in Web of Science</v>
      </c>
    </row>
    <row r="1993" s="5" customFormat="true" ht="12.75" hidden="false" customHeight="false" outlineLevel="0" collapsed="false">
      <c r="A1993" s="4" t="s">
        <v>72</v>
      </c>
      <c r="B1993" s="4" t="s">
        <v>33686</v>
      </c>
      <c r="C1993" s="4"/>
      <c r="D1993" s="4"/>
      <c r="E1993" s="4"/>
      <c r="F1993" s="4" t="s">
        <v>33687</v>
      </c>
      <c r="G1993" s="4"/>
      <c r="H1993" s="4"/>
      <c r="I1993" s="4" t="s">
        <v>33688</v>
      </c>
      <c r="J1993" s="4" t="s">
        <v>27497</v>
      </c>
      <c r="K1993" s="4"/>
      <c r="L1993" s="4"/>
      <c r="M1993" s="4" t="s">
        <v>77</v>
      </c>
      <c r="N1993" s="4" t="s">
        <v>78</v>
      </c>
      <c r="O1993" s="4"/>
      <c r="P1993" s="4"/>
      <c r="Q1993" s="4"/>
      <c r="R1993" s="4"/>
      <c r="S1993" s="4"/>
      <c r="T1993" s="1" t="s">
        <v>33689</v>
      </c>
      <c r="U1993" s="4" t="s">
        <v>33690</v>
      </c>
      <c r="V1993" s="4" t="s">
        <v>33691</v>
      </c>
      <c r="W1993" s="4" t="s">
        <v>33692</v>
      </c>
      <c r="X1993" s="4" t="s">
        <v>33693</v>
      </c>
      <c r="Y1993" s="4" t="s">
        <v>33694</v>
      </c>
      <c r="Z1993" s="4" t="s">
        <v>33695</v>
      </c>
      <c r="AA1993" s="4" t="s">
        <v>33696</v>
      </c>
      <c r="AB1993" s="4" t="s">
        <v>33697</v>
      </c>
      <c r="AC1993" s="4" t="s">
        <v>33698</v>
      </c>
      <c r="AD1993" s="4" t="s">
        <v>33699</v>
      </c>
      <c r="AE1993" s="4" t="s">
        <v>33700</v>
      </c>
      <c r="AF1993" s="4"/>
      <c r="AG1993" s="4" t="n">
        <v>42</v>
      </c>
      <c r="AH1993" s="4" t="n">
        <v>80</v>
      </c>
      <c r="AI1993" s="4" t="n">
        <v>85</v>
      </c>
      <c r="AJ1993" s="4" t="n">
        <v>0</v>
      </c>
      <c r="AK1993" s="4" t="n">
        <v>4</v>
      </c>
      <c r="AL1993" s="4" t="s">
        <v>27506</v>
      </c>
      <c r="AM1993" s="4" t="s">
        <v>27507</v>
      </c>
      <c r="AN1993" s="4" t="s">
        <v>27508</v>
      </c>
      <c r="AO1993" s="4" t="s">
        <v>27509</v>
      </c>
      <c r="AP1993" s="4"/>
      <c r="AQ1993" s="4"/>
      <c r="AR1993" s="4" t="s">
        <v>27497</v>
      </c>
      <c r="AS1993" s="4" t="s">
        <v>27510</v>
      </c>
      <c r="AT1993" s="4" t="s">
        <v>12520</v>
      </c>
      <c r="AU1993" s="4" t="n">
        <v>2019</v>
      </c>
      <c r="AV1993" s="4" t="n">
        <v>14</v>
      </c>
      <c r="AW1993" s="4" t="n">
        <v>2</v>
      </c>
      <c r="AX1993" s="4"/>
      <c r="AY1993" s="4"/>
      <c r="AZ1993" s="4"/>
      <c r="BA1993" s="4"/>
      <c r="BB1993" s="4"/>
      <c r="BC1993" s="4"/>
      <c r="BD1993" s="4" t="s">
        <v>33701</v>
      </c>
      <c r="BE1993" s="4" t="s">
        <v>33702</v>
      </c>
      <c r="BF1993" s="4" t="str">
        <f aca="false">HYPERLINK("http://dx.doi.org/10.1371/journal.pone.0211927","http://dx.doi.org/10.1371/journal.pone.0211927")</f>
        <v>http://dx.doi.org/10.1371/journal.pone.0211927</v>
      </c>
      <c r="BG1993" s="4"/>
      <c r="BH1993" s="4"/>
      <c r="BI1993" s="4" t="n">
        <v>17</v>
      </c>
      <c r="BJ1993" s="4" t="s">
        <v>1658</v>
      </c>
      <c r="BK1993" s="4" t="s">
        <v>100</v>
      </c>
      <c r="BL1993" s="4" t="s">
        <v>1659</v>
      </c>
      <c r="BM1993" s="4" t="s">
        <v>33703</v>
      </c>
      <c r="BN1993" s="4" t="n">
        <v>30759167</v>
      </c>
      <c r="BO1993" s="4" t="s">
        <v>5702</v>
      </c>
      <c r="BP1993" s="4"/>
      <c r="BQ1993" s="4"/>
      <c r="BR1993" s="4" t="s">
        <v>104</v>
      </c>
      <c r="BS1993" s="4" t="s">
        <v>33704</v>
      </c>
      <c r="BT1993" s="4" t="str">
        <f aca="false">HYPERLINK("https%3A%2F%2Fwww.webofscience.com%2Fwos%2Fwoscc%2Ffull-record%2FWOS:000458761300062","View Full Record in Web of Science")</f>
        <v>View Full Record in Web of Science</v>
      </c>
    </row>
    <row r="1994" s="5" customFormat="true" ht="12.75" hidden="false" customHeight="false" outlineLevel="0" collapsed="false">
      <c r="A1994" s="4" t="s">
        <v>72</v>
      </c>
      <c r="B1994" s="4" t="s">
        <v>33705</v>
      </c>
      <c r="C1994" s="4"/>
      <c r="D1994" s="4"/>
      <c r="E1994" s="4"/>
      <c r="F1994" s="4" t="s">
        <v>33706</v>
      </c>
      <c r="G1994" s="4"/>
      <c r="H1994" s="4"/>
      <c r="I1994" s="4" t="s">
        <v>33707</v>
      </c>
      <c r="J1994" s="4" t="s">
        <v>27497</v>
      </c>
      <c r="K1994" s="4"/>
      <c r="L1994" s="4"/>
      <c r="M1994" s="4" t="s">
        <v>77</v>
      </c>
      <c r="N1994" s="4" t="s">
        <v>78</v>
      </c>
      <c r="O1994" s="4"/>
      <c r="P1994" s="4"/>
      <c r="Q1994" s="4"/>
      <c r="R1994" s="4"/>
      <c r="S1994" s="4"/>
      <c r="T1994" s="1" t="s">
        <v>33708</v>
      </c>
      <c r="U1994" s="4" t="s">
        <v>33709</v>
      </c>
      <c r="V1994" s="4" t="s">
        <v>33710</v>
      </c>
      <c r="W1994" s="4" t="s">
        <v>33711</v>
      </c>
      <c r="X1994" s="4" t="s">
        <v>33712</v>
      </c>
      <c r="Y1994" s="4" t="s">
        <v>33713</v>
      </c>
      <c r="Z1994" s="4" t="s">
        <v>33714</v>
      </c>
      <c r="AA1994" s="4" t="s">
        <v>33715</v>
      </c>
      <c r="AB1994" s="4" t="s">
        <v>33716</v>
      </c>
      <c r="AC1994" s="4" t="s">
        <v>33717</v>
      </c>
      <c r="AD1994" s="4" t="s">
        <v>33718</v>
      </c>
      <c r="AE1994" s="4" t="s">
        <v>33719</v>
      </c>
      <c r="AF1994" s="4"/>
      <c r="AG1994" s="4" t="n">
        <v>27</v>
      </c>
      <c r="AH1994" s="4" t="n">
        <v>50</v>
      </c>
      <c r="AI1994" s="4" t="n">
        <v>58</v>
      </c>
      <c r="AJ1994" s="4" t="n">
        <v>0</v>
      </c>
      <c r="AK1994" s="4" t="n">
        <v>10</v>
      </c>
      <c r="AL1994" s="4" t="s">
        <v>27506</v>
      </c>
      <c r="AM1994" s="4" t="s">
        <v>27507</v>
      </c>
      <c r="AN1994" s="4" t="s">
        <v>27508</v>
      </c>
      <c r="AO1994" s="4" t="s">
        <v>27509</v>
      </c>
      <c r="AP1994" s="4"/>
      <c r="AQ1994" s="4"/>
      <c r="AR1994" s="4" t="s">
        <v>27497</v>
      </c>
      <c r="AS1994" s="4" t="s">
        <v>27510</v>
      </c>
      <c r="AT1994" s="4" t="s">
        <v>13804</v>
      </c>
      <c r="AU1994" s="4" t="n">
        <v>2012</v>
      </c>
      <c r="AV1994" s="4" t="n">
        <v>7</v>
      </c>
      <c r="AW1994" s="4" t="n">
        <v>2</v>
      </c>
      <c r="AX1994" s="4"/>
      <c r="AY1994" s="4"/>
      <c r="AZ1994" s="4"/>
      <c r="BA1994" s="4"/>
      <c r="BB1994" s="4"/>
      <c r="BC1994" s="4"/>
      <c r="BD1994" s="4" t="s">
        <v>33720</v>
      </c>
      <c r="BE1994" s="4" t="s">
        <v>33721</v>
      </c>
      <c r="BF1994" s="4" t="str">
        <f aca="false">HYPERLINK("http://dx.doi.org/10.1371/journal.pone.0032174","http://dx.doi.org/10.1371/journal.pone.0032174")</f>
        <v>http://dx.doi.org/10.1371/journal.pone.0032174</v>
      </c>
      <c r="BG1994" s="4"/>
      <c r="BH1994" s="4"/>
      <c r="BI1994" s="4" t="n">
        <v>7</v>
      </c>
      <c r="BJ1994" s="4" t="s">
        <v>1658</v>
      </c>
      <c r="BK1994" s="4" t="s">
        <v>100</v>
      </c>
      <c r="BL1994" s="4" t="s">
        <v>1659</v>
      </c>
      <c r="BM1994" s="4" t="s">
        <v>33722</v>
      </c>
      <c r="BN1994" s="4" t="n">
        <v>22389685</v>
      </c>
      <c r="BO1994" s="4" t="s">
        <v>14604</v>
      </c>
      <c r="BP1994" s="4"/>
      <c r="BQ1994" s="4"/>
      <c r="BR1994" s="4" t="s">
        <v>104</v>
      </c>
      <c r="BS1994" s="4" t="s">
        <v>33723</v>
      </c>
      <c r="BT1994" s="4" t="str">
        <f aca="false">HYPERLINK("https%3A%2F%2Fwww.webofscience.com%2Fwos%2Fwoscc%2Ffull-record%2FWOS:000302999600023","View Full Record in Web of Science")</f>
        <v>View Full Record in Web of Science</v>
      </c>
    </row>
    <row r="1995" s="5" customFormat="true" ht="12.75" hidden="false" customHeight="false" outlineLevel="0" collapsed="false">
      <c r="A1995" s="4" t="s">
        <v>72</v>
      </c>
      <c r="B1995" s="4" t="s">
        <v>33724</v>
      </c>
      <c r="C1995" s="4"/>
      <c r="D1995" s="4"/>
      <c r="E1995" s="4"/>
      <c r="F1995" s="4" t="s">
        <v>33724</v>
      </c>
      <c r="G1995" s="4"/>
      <c r="H1995" s="4"/>
      <c r="I1995" s="4" t="s">
        <v>33725</v>
      </c>
      <c r="J1995" s="4" t="s">
        <v>514</v>
      </c>
      <c r="K1995" s="4"/>
      <c r="L1995" s="4"/>
      <c r="M1995" s="4" t="s">
        <v>77</v>
      </c>
      <c r="N1995" s="4" t="s">
        <v>78</v>
      </c>
      <c r="O1995" s="4"/>
      <c r="P1995" s="4"/>
      <c r="Q1995" s="4"/>
      <c r="R1995" s="4"/>
      <c r="S1995" s="4"/>
      <c r="T1995" s="1" t="s">
        <v>33726</v>
      </c>
      <c r="U1995" s="4" t="s">
        <v>33727</v>
      </c>
      <c r="V1995" s="4" t="s">
        <v>33728</v>
      </c>
      <c r="W1995" s="4" t="s">
        <v>33729</v>
      </c>
      <c r="X1995" s="4" t="s">
        <v>33730</v>
      </c>
      <c r="Y1995" s="4" t="s">
        <v>33731</v>
      </c>
      <c r="Z1995" s="4" t="s">
        <v>443</v>
      </c>
      <c r="AA1995" s="4"/>
      <c r="AB1995" s="4" t="s">
        <v>33732</v>
      </c>
      <c r="AC1995" s="4"/>
      <c r="AD1995" s="4"/>
      <c r="AE1995" s="4"/>
      <c r="AF1995" s="4"/>
      <c r="AG1995" s="4" t="n">
        <v>18</v>
      </c>
      <c r="AH1995" s="4" t="n">
        <v>127</v>
      </c>
      <c r="AI1995" s="4" t="n">
        <v>144</v>
      </c>
      <c r="AJ1995" s="4" t="n">
        <v>0</v>
      </c>
      <c r="AK1995" s="4" t="n">
        <v>3</v>
      </c>
      <c r="AL1995" s="4" t="s">
        <v>527</v>
      </c>
      <c r="AM1995" s="4" t="s">
        <v>528</v>
      </c>
      <c r="AN1995" s="4" t="s">
        <v>529</v>
      </c>
      <c r="AO1995" s="4" t="s">
        <v>530</v>
      </c>
      <c r="AP1995" s="4" t="s">
        <v>531</v>
      </c>
      <c r="AQ1995" s="4"/>
      <c r="AR1995" s="4" t="s">
        <v>532</v>
      </c>
      <c r="AS1995" s="4" t="s">
        <v>533</v>
      </c>
      <c r="AT1995" s="4" t="s">
        <v>33733</v>
      </c>
      <c r="AU1995" s="4" t="n">
        <v>2003</v>
      </c>
      <c r="AV1995" s="4" t="n">
        <v>187</v>
      </c>
      <c r="AW1995" s="4" t="n">
        <v>8</v>
      </c>
      <c r="AX1995" s="4"/>
      <c r="AY1995" s="4"/>
      <c r="AZ1995" s="4"/>
      <c r="BA1995" s="4"/>
      <c r="BB1995" s="4" t="n">
        <v>1314</v>
      </c>
      <c r="BC1995" s="4" t="n">
        <v>1318</v>
      </c>
      <c r="BD1995" s="4"/>
      <c r="BE1995" s="4" t="s">
        <v>33734</v>
      </c>
      <c r="BF1995" s="4" t="str">
        <f aca="false">HYPERLINK("http://dx.doi.org/10.1086/368411","http://dx.doi.org/10.1086/368411")</f>
        <v>http://dx.doi.org/10.1086/368411</v>
      </c>
      <c r="BG1995" s="4"/>
      <c r="BH1995" s="4"/>
      <c r="BI1995" s="4" t="n">
        <v>5</v>
      </c>
      <c r="BJ1995" s="4" t="s">
        <v>536</v>
      </c>
      <c r="BK1995" s="4" t="s">
        <v>100</v>
      </c>
      <c r="BL1995" s="4" t="s">
        <v>536</v>
      </c>
      <c r="BM1995" s="4" t="s">
        <v>33735</v>
      </c>
      <c r="BN1995" s="4" t="n">
        <v>12696012</v>
      </c>
      <c r="BO1995" s="4" t="s">
        <v>656</v>
      </c>
      <c r="BP1995" s="4"/>
      <c r="BQ1995" s="4"/>
      <c r="BR1995" s="4" t="s">
        <v>104</v>
      </c>
      <c r="BS1995" s="4" t="s">
        <v>33736</v>
      </c>
      <c r="BT1995" s="4" t="str">
        <f aca="false">HYPERLINK("https%3A%2F%2Fwww.webofscience.com%2Fwos%2Fwoscc%2Ffull-record%2FWOS:000181972000018","View Full Record in Web of Science")</f>
        <v>View Full Record in Web of Science</v>
      </c>
    </row>
    <row r="1996" s="5" customFormat="true" ht="12.75" hidden="false" customHeight="false" outlineLevel="0" collapsed="false">
      <c r="A1996" s="4" t="s">
        <v>72</v>
      </c>
      <c r="B1996" s="4" t="s">
        <v>15073</v>
      </c>
      <c r="C1996" s="4"/>
      <c r="D1996" s="4"/>
      <c r="E1996" s="4"/>
      <c r="F1996" s="4" t="s">
        <v>15074</v>
      </c>
      <c r="G1996" s="4"/>
      <c r="H1996" s="4"/>
      <c r="I1996" s="4" t="s">
        <v>33737</v>
      </c>
      <c r="J1996" s="4" t="s">
        <v>8945</v>
      </c>
      <c r="K1996" s="4"/>
      <c r="L1996" s="4"/>
      <c r="M1996" s="4" t="s">
        <v>77</v>
      </c>
      <c r="N1996" s="4" t="s">
        <v>78</v>
      </c>
      <c r="O1996" s="4"/>
      <c r="P1996" s="4"/>
      <c r="Q1996" s="4"/>
      <c r="R1996" s="4"/>
      <c r="S1996" s="4"/>
      <c r="T1996" s="1" t="s">
        <v>33738</v>
      </c>
      <c r="U1996" s="4" t="s">
        <v>33739</v>
      </c>
      <c r="V1996" s="4" t="s">
        <v>33740</v>
      </c>
      <c r="W1996" s="4" t="s">
        <v>33741</v>
      </c>
      <c r="X1996" s="4" t="s">
        <v>221</v>
      </c>
      <c r="Y1996" s="4" t="s">
        <v>33742</v>
      </c>
      <c r="Z1996" s="4" t="s">
        <v>223</v>
      </c>
      <c r="AA1996" s="4" t="s">
        <v>224</v>
      </c>
      <c r="AB1996" s="4" t="s">
        <v>15081</v>
      </c>
      <c r="AC1996" s="4"/>
      <c r="AD1996" s="4"/>
      <c r="AE1996" s="4"/>
      <c r="AF1996" s="4"/>
      <c r="AG1996" s="4" t="n">
        <v>28</v>
      </c>
      <c r="AH1996" s="4" t="n">
        <v>21</v>
      </c>
      <c r="AI1996" s="4" t="n">
        <v>25</v>
      </c>
      <c r="AJ1996" s="4" t="n">
        <v>0</v>
      </c>
      <c r="AK1996" s="4" t="n">
        <v>3</v>
      </c>
      <c r="AL1996" s="4" t="s">
        <v>8957</v>
      </c>
      <c r="AM1996" s="4" t="s">
        <v>303</v>
      </c>
      <c r="AN1996" s="4" t="s">
        <v>8958</v>
      </c>
      <c r="AO1996" s="4" t="s">
        <v>8959</v>
      </c>
      <c r="AP1996" s="4" t="s">
        <v>8960</v>
      </c>
      <c r="AQ1996" s="4"/>
      <c r="AR1996" s="4" t="s">
        <v>8961</v>
      </c>
      <c r="AS1996" s="4" t="s">
        <v>8962</v>
      </c>
      <c r="AT1996" s="4"/>
      <c r="AU1996" s="4" t="n">
        <v>2007</v>
      </c>
      <c r="AV1996" s="4" t="n">
        <v>39</v>
      </c>
      <c r="AW1996" s="4" t="n">
        <v>3</v>
      </c>
      <c r="AX1996" s="4"/>
      <c r="AY1996" s="4"/>
      <c r="AZ1996" s="4"/>
      <c r="BA1996" s="4"/>
      <c r="BB1996" s="4" t="n">
        <v>250</v>
      </c>
      <c r="BC1996" s="4" t="n">
        <v>254</v>
      </c>
      <c r="BD1996" s="4"/>
      <c r="BE1996" s="4" t="s">
        <v>33743</v>
      </c>
      <c r="BF1996" s="4" t="str">
        <f aca="false">HYPERLINK("http://dx.doi.org/10.1080/00365540600999126","http://dx.doi.org/10.1080/00365540600999126")</f>
        <v>http://dx.doi.org/10.1080/00365540600999126</v>
      </c>
      <c r="BG1996" s="4"/>
      <c r="BH1996" s="4"/>
      <c r="BI1996" s="4" t="n">
        <v>5</v>
      </c>
      <c r="BJ1996" s="4" t="s">
        <v>575</v>
      </c>
      <c r="BK1996" s="4" t="s">
        <v>100</v>
      </c>
      <c r="BL1996" s="4" t="s">
        <v>575</v>
      </c>
      <c r="BM1996" s="4" t="s">
        <v>33744</v>
      </c>
      <c r="BN1996" s="4" t="n">
        <v>17366056</v>
      </c>
      <c r="BO1996" s="4"/>
      <c r="BP1996" s="4"/>
      <c r="BQ1996" s="4"/>
      <c r="BR1996" s="4" t="s">
        <v>104</v>
      </c>
      <c r="BS1996" s="4" t="s">
        <v>33745</v>
      </c>
      <c r="BT1996" s="4" t="str">
        <f aca="false">HYPERLINK("https%3A%2F%2Fwww.webofscience.com%2Fwos%2Fwoscc%2Ffull-record%2FWOS:000245235300010","View Full Record in Web of Science")</f>
        <v>View Full Record in Web of Science</v>
      </c>
    </row>
    <row r="1997" s="5" customFormat="true" ht="12.75" hidden="false" customHeight="false" outlineLevel="0" collapsed="false">
      <c r="A1997" s="4" t="s">
        <v>72</v>
      </c>
      <c r="B1997" s="4" t="s">
        <v>33746</v>
      </c>
      <c r="C1997" s="4"/>
      <c r="D1997" s="4"/>
      <c r="E1997" s="4"/>
      <c r="F1997" s="4" t="s">
        <v>33747</v>
      </c>
      <c r="G1997" s="4"/>
      <c r="H1997" s="4"/>
      <c r="I1997" s="4" t="s">
        <v>33748</v>
      </c>
      <c r="J1997" s="4" t="s">
        <v>2222</v>
      </c>
      <c r="K1997" s="4"/>
      <c r="L1997" s="4"/>
      <c r="M1997" s="4" t="s">
        <v>77</v>
      </c>
      <c r="N1997" s="4" t="s">
        <v>78</v>
      </c>
      <c r="O1997" s="4"/>
      <c r="P1997" s="4"/>
      <c r="Q1997" s="4"/>
      <c r="R1997" s="4"/>
      <c r="S1997" s="4"/>
      <c r="T1997" s="1" t="s">
        <v>33749</v>
      </c>
      <c r="U1997" s="4" t="s">
        <v>33750</v>
      </c>
      <c r="V1997" s="4" t="s">
        <v>33751</v>
      </c>
      <c r="W1997" s="4" t="s">
        <v>33752</v>
      </c>
      <c r="X1997" s="4" t="s">
        <v>28094</v>
      </c>
      <c r="Y1997" s="4" t="s">
        <v>33753</v>
      </c>
      <c r="Z1997" s="4" t="s">
        <v>33754</v>
      </c>
      <c r="AA1997" s="4"/>
      <c r="AB1997" s="4"/>
      <c r="AC1997" s="4" t="s">
        <v>33755</v>
      </c>
      <c r="AD1997" s="4" t="s">
        <v>525</v>
      </c>
      <c r="AE1997" s="4" t="s">
        <v>33756</v>
      </c>
      <c r="AF1997" s="4"/>
      <c r="AG1997" s="4" t="n">
        <v>28</v>
      </c>
      <c r="AH1997" s="4" t="n">
        <v>54</v>
      </c>
      <c r="AI1997" s="4" t="n">
        <v>55</v>
      </c>
      <c r="AJ1997" s="4" t="n">
        <v>0</v>
      </c>
      <c r="AK1997" s="4" t="n">
        <v>10</v>
      </c>
      <c r="AL1997" s="4" t="s">
        <v>755</v>
      </c>
      <c r="AM1997" s="4" t="s">
        <v>273</v>
      </c>
      <c r="AN1997" s="4" t="s">
        <v>756</v>
      </c>
      <c r="AO1997" s="4" t="s">
        <v>2234</v>
      </c>
      <c r="AP1997" s="4" t="s">
        <v>2235</v>
      </c>
      <c r="AQ1997" s="4"/>
      <c r="AR1997" s="4" t="s">
        <v>2236</v>
      </c>
      <c r="AS1997" s="4" t="s">
        <v>2237</v>
      </c>
      <c r="AT1997" s="4" t="s">
        <v>336</v>
      </c>
      <c r="AU1997" s="4" t="n">
        <v>2014</v>
      </c>
      <c r="AV1997" s="4" t="n">
        <v>52</v>
      </c>
      <c r="AW1997" s="4" t="n">
        <v>10</v>
      </c>
      <c r="AX1997" s="4"/>
      <c r="AY1997" s="4"/>
      <c r="AZ1997" s="4"/>
      <c r="BA1997" s="4"/>
      <c r="BB1997" s="4" t="n">
        <v>3590</v>
      </c>
      <c r="BC1997" s="4" t="n">
        <v>3596</v>
      </c>
      <c r="BD1997" s="4"/>
      <c r="BE1997" s="4" t="s">
        <v>33757</v>
      </c>
      <c r="BF1997" s="4" t="str">
        <f aca="false">HYPERLINK("http://dx.doi.org/10.1128/JCM.01523-14","http://dx.doi.org/10.1128/JCM.01523-14")</f>
        <v>http://dx.doi.org/10.1128/JCM.01523-14</v>
      </c>
      <c r="BG1997" s="4"/>
      <c r="BH1997" s="4"/>
      <c r="BI1997" s="4" t="n">
        <v>7</v>
      </c>
      <c r="BJ1997" s="4" t="s">
        <v>211</v>
      </c>
      <c r="BK1997" s="4" t="s">
        <v>100</v>
      </c>
      <c r="BL1997" s="4" t="s">
        <v>211</v>
      </c>
      <c r="BM1997" s="4" t="s">
        <v>33758</v>
      </c>
      <c r="BN1997" s="4" t="n">
        <v>25056335</v>
      </c>
      <c r="BO1997" s="4" t="s">
        <v>538</v>
      </c>
      <c r="BP1997" s="4"/>
      <c r="BQ1997" s="4"/>
      <c r="BR1997" s="4" t="s">
        <v>104</v>
      </c>
      <c r="BS1997" s="4" t="s">
        <v>33759</v>
      </c>
      <c r="BT1997" s="4" t="str">
        <f aca="false">HYPERLINK("https%3A%2F%2Fwww.webofscience.com%2Fwos%2Fwoscc%2Ffull-record%2FWOS:000342371700011","View Full Record in Web of Science")</f>
        <v>View Full Record in Web of Science</v>
      </c>
    </row>
    <row r="1998" s="5" customFormat="true" ht="12.75" hidden="false" customHeight="false" outlineLevel="0" collapsed="false">
      <c r="A1998" s="4" t="s">
        <v>72</v>
      </c>
      <c r="B1998" s="4" t="s">
        <v>33760</v>
      </c>
      <c r="C1998" s="4"/>
      <c r="D1998" s="4"/>
      <c r="E1998" s="4"/>
      <c r="F1998" s="4" t="s">
        <v>33761</v>
      </c>
      <c r="G1998" s="4"/>
      <c r="H1998" s="4"/>
      <c r="I1998" s="4" t="s">
        <v>33762</v>
      </c>
      <c r="J1998" s="4" t="s">
        <v>27453</v>
      </c>
      <c r="K1998" s="4"/>
      <c r="L1998" s="4"/>
      <c r="M1998" s="4" t="s">
        <v>77</v>
      </c>
      <c r="N1998" s="4" t="s">
        <v>78</v>
      </c>
      <c r="O1998" s="4"/>
      <c r="P1998" s="4"/>
      <c r="Q1998" s="4"/>
      <c r="R1998" s="4"/>
      <c r="S1998" s="4"/>
      <c r="T1998" s="1" t="s">
        <v>33763</v>
      </c>
      <c r="U1998" s="4" t="s">
        <v>33764</v>
      </c>
      <c r="V1998" s="4" t="s">
        <v>33765</v>
      </c>
      <c r="W1998" s="4" t="s">
        <v>33766</v>
      </c>
      <c r="X1998" s="4"/>
      <c r="Y1998" s="4" t="s">
        <v>33767</v>
      </c>
      <c r="Z1998" s="4" t="s">
        <v>33768</v>
      </c>
      <c r="AA1998" s="4"/>
      <c r="AB1998" s="4"/>
      <c r="AC1998" s="4"/>
      <c r="AD1998" s="4"/>
      <c r="AE1998" s="4"/>
      <c r="AF1998" s="4"/>
      <c r="AG1998" s="4" t="n">
        <v>25</v>
      </c>
      <c r="AH1998" s="4" t="n">
        <v>0</v>
      </c>
      <c r="AI1998" s="4" t="n">
        <v>0</v>
      </c>
      <c r="AJ1998" s="4" t="n">
        <v>0</v>
      </c>
      <c r="AK1998" s="4" t="n">
        <v>0</v>
      </c>
      <c r="AL1998" s="4" t="s">
        <v>27463</v>
      </c>
      <c r="AM1998" s="4" t="s">
        <v>16252</v>
      </c>
      <c r="AN1998" s="4" t="s">
        <v>27464</v>
      </c>
      <c r="AO1998" s="4" t="s">
        <v>27465</v>
      </c>
      <c r="AP1998" s="4" t="s">
        <v>27466</v>
      </c>
      <c r="AQ1998" s="4"/>
      <c r="AR1998" s="4" t="s">
        <v>27467</v>
      </c>
      <c r="AS1998" s="4" t="s">
        <v>27468</v>
      </c>
      <c r="AT1998" s="4" t="s">
        <v>390</v>
      </c>
      <c r="AU1998" s="4" t="n">
        <v>2024</v>
      </c>
      <c r="AV1998" s="4" t="n">
        <v>77</v>
      </c>
      <c r="AW1998" s="4" t="n">
        <v>3</v>
      </c>
      <c r="AX1998" s="4"/>
      <c r="AY1998" s="4"/>
      <c r="AZ1998" s="4"/>
      <c r="BA1998" s="4"/>
      <c r="BB1998" s="4" t="n">
        <v>155</v>
      </c>
      <c r="BC1998" s="4" t="n">
        <v>160</v>
      </c>
      <c r="BD1998" s="4"/>
      <c r="BE1998" s="4" t="s">
        <v>33769</v>
      </c>
      <c r="BF1998" s="4" t="str">
        <f aca="false">HYPERLINK("http://dx.doi.org/10.7883/yoken.JJID.2023.265","http://dx.doi.org/10.7883/yoken.JJID.2023.265")</f>
        <v>http://dx.doi.org/10.7883/yoken.JJID.2023.265</v>
      </c>
      <c r="BG1998" s="4"/>
      <c r="BH1998" s="4"/>
      <c r="BI1998" s="4" t="n">
        <v>6</v>
      </c>
      <c r="BJ1998" s="4" t="s">
        <v>575</v>
      </c>
      <c r="BK1998" s="4" t="s">
        <v>100</v>
      </c>
      <c r="BL1998" s="4" t="s">
        <v>575</v>
      </c>
      <c r="BM1998" s="4" t="s">
        <v>31207</v>
      </c>
      <c r="BN1998" s="4" t="n">
        <v>38296544</v>
      </c>
      <c r="BO1998" s="4" t="s">
        <v>1355</v>
      </c>
      <c r="BP1998" s="4"/>
      <c r="BQ1998" s="4"/>
      <c r="BR1998" s="4" t="s">
        <v>104</v>
      </c>
      <c r="BS1998" s="4" t="s">
        <v>33770</v>
      </c>
      <c r="BT1998" s="4" t="str">
        <f aca="false">HYPERLINK("https%3A%2F%2Fwww.webofscience.com%2Fwos%2Fwoscc%2Ffull-record%2FWOS:001312464900005","View Full Record in Web of Science")</f>
        <v>View Full Record in Web of Science</v>
      </c>
    </row>
    <row r="1999" s="5" customFormat="true" ht="12.75" hidden="false" customHeight="false" outlineLevel="0" collapsed="false">
      <c r="A1999" s="4" t="s">
        <v>72</v>
      </c>
      <c r="B1999" s="4" t="s">
        <v>33771</v>
      </c>
      <c r="C1999" s="4"/>
      <c r="D1999" s="4"/>
      <c r="E1999" s="4"/>
      <c r="F1999" s="4" t="s">
        <v>33772</v>
      </c>
      <c r="G1999" s="4"/>
      <c r="H1999" s="4" t="s">
        <v>33773</v>
      </c>
      <c r="I1999" s="4" t="s">
        <v>33774</v>
      </c>
      <c r="J1999" s="4" t="s">
        <v>29033</v>
      </c>
      <c r="K1999" s="4"/>
      <c r="L1999" s="4"/>
      <c r="M1999" s="4" t="s">
        <v>77</v>
      </c>
      <c r="N1999" s="4" t="s">
        <v>78</v>
      </c>
      <c r="O1999" s="4"/>
      <c r="P1999" s="4"/>
      <c r="Q1999" s="4"/>
      <c r="R1999" s="4"/>
      <c r="S1999" s="4"/>
      <c r="T1999" s="1" t="s">
        <v>33775</v>
      </c>
      <c r="U1999" s="4" t="s">
        <v>33776</v>
      </c>
      <c r="V1999" s="4" t="s">
        <v>33777</v>
      </c>
      <c r="W1999" s="4" t="s">
        <v>33778</v>
      </c>
      <c r="X1999" s="4" t="s">
        <v>33779</v>
      </c>
      <c r="Y1999" s="4" t="s">
        <v>33780</v>
      </c>
      <c r="Z1999" s="4" t="s">
        <v>33781</v>
      </c>
      <c r="AA1999" s="4" t="s">
        <v>33782</v>
      </c>
      <c r="AB1999" s="4" t="s">
        <v>33783</v>
      </c>
      <c r="AC1999" s="4" t="s">
        <v>33784</v>
      </c>
      <c r="AD1999" s="4" t="s">
        <v>33784</v>
      </c>
      <c r="AE1999" s="4" t="s">
        <v>33785</v>
      </c>
      <c r="AF1999" s="4"/>
      <c r="AG1999" s="4" t="n">
        <v>30</v>
      </c>
      <c r="AH1999" s="4" t="n">
        <v>42</v>
      </c>
      <c r="AI1999" s="4" t="n">
        <v>44</v>
      </c>
      <c r="AJ1999" s="4" t="n">
        <v>0</v>
      </c>
      <c r="AK1999" s="4" t="n">
        <v>6</v>
      </c>
      <c r="AL1999" s="4" t="s">
        <v>29043</v>
      </c>
      <c r="AM1999" s="4" t="s">
        <v>29044</v>
      </c>
      <c r="AN1999" s="4" t="s">
        <v>29045</v>
      </c>
      <c r="AO1999" s="4" t="s">
        <v>29046</v>
      </c>
      <c r="AP1999" s="4" t="s">
        <v>33338</v>
      </c>
      <c r="AQ1999" s="4"/>
      <c r="AR1999" s="4" t="s">
        <v>29047</v>
      </c>
      <c r="AS1999" s="4" t="s">
        <v>29048</v>
      </c>
      <c r="AT1999" s="4"/>
      <c r="AU1999" s="4" t="n">
        <v>2017</v>
      </c>
      <c r="AV1999" s="4" t="n">
        <v>97</v>
      </c>
      <c r="AW1999" s="4" t="n">
        <v>1</v>
      </c>
      <c r="AX1999" s="4"/>
      <c r="AY1999" s="4"/>
      <c r="AZ1999" s="4"/>
      <c r="BA1999" s="4"/>
      <c r="BB1999" s="4" t="n">
        <v>68</v>
      </c>
      <c r="BC1999" s="4" t="n">
        <v>76</v>
      </c>
      <c r="BD1999" s="4"/>
      <c r="BE1999" s="4" t="s">
        <v>33786</v>
      </c>
      <c r="BF1999" s="4" t="str">
        <f aca="false">HYPERLINK("http://dx.doi.org/10.4269/ajtmh.16-0733","http://dx.doi.org/10.4269/ajtmh.16-0733")</f>
        <v>http://dx.doi.org/10.4269/ajtmh.16-0733</v>
      </c>
      <c r="BG1999" s="4"/>
      <c r="BH1999" s="4"/>
      <c r="BI1999" s="4" t="n">
        <v>9</v>
      </c>
      <c r="BJ1999" s="4" t="s">
        <v>9015</v>
      </c>
      <c r="BK1999" s="4" t="s">
        <v>100</v>
      </c>
      <c r="BL1999" s="4" t="s">
        <v>9015</v>
      </c>
      <c r="BM1999" s="4" t="s">
        <v>33340</v>
      </c>
      <c r="BN1999" s="4" t="n">
        <v>28719310</v>
      </c>
      <c r="BO1999" s="4" t="s">
        <v>1687</v>
      </c>
      <c r="BP1999" s="4"/>
      <c r="BQ1999" s="4"/>
      <c r="BR1999" s="4" t="s">
        <v>104</v>
      </c>
      <c r="BS1999" s="4" t="s">
        <v>33787</v>
      </c>
      <c r="BT1999" s="4" t="str">
        <f aca="false">HYPERLINK("https%3A%2F%2Fwww.webofscience.com%2Fwos%2Fwoscc%2Ffull-record%2FWOS:000409523900014","View Full Record in Web of Science")</f>
        <v>View Full Record in Web of Science</v>
      </c>
    </row>
    <row r="2000" s="5" customFormat="true" ht="12.75" hidden="false" customHeight="false" outlineLevel="0" collapsed="false">
      <c r="A2000" s="4" t="s">
        <v>72</v>
      </c>
      <c r="B2000" s="4" t="s">
        <v>33788</v>
      </c>
      <c r="C2000" s="4"/>
      <c r="D2000" s="4"/>
      <c r="E2000" s="4"/>
      <c r="F2000" s="4" t="s">
        <v>33789</v>
      </c>
      <c r="G2000" s="4"/>
      <c r="H2000" s="4"/>
      <c r="I2000" s="4" t="s">
        <v>33790</v>
      </c>
      <c r="J2000" s="4" t="s">
        <v>27820</v>
      </c>
      <c r="K2000" s="4"/>
      <c r="L2000" s="4"/>
      <c r="M2000" s="4" t="s">
        <v>77</v>
      </c>
      <c r="N2000" s="4" t="s">
        <v>78</v>
      </c>
      <c r="O2000" s="4"/>
      <c r="P2000" s="4"/>
      <c r="Q2000" s="4"/>
      <c r="R2000" s="4"/>
      <c r="S2000" s="4"/>
      <c r="T2000" s="1" t="s">
        <v>33791</v>
      </c>
      <c r="U2000" s="4" t="s">
        <v>33792</v>
      </c>
      <c r="V2000" s="4"/>
      <c r="W2000" s="4" t="s">
        <v>33793</v>
      </c>
      <c r="X2000" s="4" t="s">
        <v>33794</v>
      </c>
      <c r="Y2000" s="4" t="s">
        <v>33795</v>
      </c>
      <c r="Z2000" s="4" t="s">
        <v>33796</v>
      </c>
      <c r="AA2000" s="4" t="s">
        <v>750</v>
      </c>
      <c r="AB2000" s="4" t="s">
        <v>33797</v>
      </c>
      <c r="AC2000" s="4" t="s">
        <v>33798</v>
      </c>
      <c r="AD2000" s="4" t="s">
        <v>33799</v>
      </c>
      <c r="AE2000" s="4" t="s">
        <v>33800</v>
      </c>
      <c r="AF2000" s="4"/>
      <c r="AG2000" s="4" t="n">
        <v>34</v>
      </c>
      <c r="AH2000" s="4" t="n">
        <v>11</v>
      </c>
      <c r="AI2000" s="4" t="n">
        <v>12</v>
      </c>
      <c r="AJ2000" s="4" t="n">
        <v>0</v>
      </c>
      <c r="AK2000" s="4" t="n">
        <v>1</v>
      </c>
      <c r="AL2000" s="4" t="s">
        <v>27506</v>
      </c>
      <c r="AM2000" s="4" t="s">
        <v>27507</v>
      </c>
      <c r="AN2000" s="4" t="s">
        <v>27508</v>
      </c>
      <c r="AO2000" s="4" t="s">
        <v>27831</v>
      </c>
      <c r="AP2000" s="4" t="s">
        <v>27832</v>
      </c>
      <c r="AQ2000" s="4"/>
      <c r="AR2000" s="4" t="s">
        <v>27833</v>
      </c>
      <c r="AS2000" s="4" t="s">
        <v>27834</v>
      </c>
      <c r="AT2000" s="4" t="s">
        <v>161</v>
      </c>
      <c r="AU2000" s="4" t="n">
        <v>2019</v>
      </c>
      <c r="AV2000" s="4" t="n">
        <v>15</v>
      </c>
      <c r="AW2000" s="4" t="n">
        <v>1</v>
      </c>
      <c r="AX2000" s="4"/>
      <c r="AY2000" s="4"/>
      <c r="AZ2000" s="4"/>
      <c r="BA2000" s="4"/>
      <c r="BB2000" s="4"/>
      <c r="BC2000" s="4"/>
      <c r="BD2000" s="4" t="s">
        <v>33801</v>
      </c>
      <c r="BE2000" s="4" t="s">
        <v>33802</v>
      </c>
      <c r="BF2000" s="4" t="str">
        <f aca="false">HYPERLINK("http://dx.doi.org/10.1371/journal.ppat.1007387","http://dx.doi.org/10.1371/journal.ppat.1007387")</f>
        <v>http://dx.doi.org/10.1371/journal.ppat.1007387</v>
      </c>
      <c r="BG2000" s="4"/>
      <c r="BH2000" s="4"/>
      <c r="BI2000" s="4" t="n">
        <v>6</v>
      </c>
      <c r="BJ2000" s="4" t="s">
        <v>27837</v>
      </c>
      <c r="BK2000" s="4" t="s">
        <v>100</v>
      </c>
      <c r="BL2000" s="4" t="s">
        <v>27837</v>
      </c>
      <c r="BM2000" s="4" t="s">
        <v>33803</v>
      </c>
      <c r="BN2000" s="4" t="n">
        <v>30605483</v>
      </c>
      <c r="BO2000" s="4" t="s">
        <v>341</v>
      </c>
      <c r="BP2000" s="4"/>
      <c r="BQ2000" s="4"/>
      <c r="BR2000" s="4" t="s">
        <v>104</v>
      </c>
      <c r="BS2000" s="4" t="s">
        <v>33804</v>
      </c>
      <c r="BT2000" s="4" t="str">
        <f aca="false">HYPERLINK("https%3A%2F%2Fwww.webofscience.com%2Fwos%2Fwoscc%2Ffull-record%2FWOS:000457400000004","View Full Record in Web of Science")</f>
        <v>View Full Record in Web of Science</v>
      </c>
    </row>
    <row r="2001" s="5" customFormat="true" ht="12.75" hidden="false" customHeight="false" outlineLevel="0" collapsed="false">
      <c r="A2001" s="4" t="s">
        <v>72</v>
      </c>
      <c r="B2001" s="4" t="s">
        <v>33805</v>
      </c>
      <c r="C2001" s="4"/>
      <c r="D2001" s="4"/>
      <c r="E2001" s="4"/>
      <c r="F2001" s="4" t="s">
        <v>33805</v>
      </c>
      <c r="G2001" s="4"/>
      <c r="H2001" s="4"/>
      <c r="I2001" s="4" t="s">
        <v>33806</v>
      </c>
      <c r="J2001" s="4" t="s">
        <v>33807</v>
      </c>
      <c r="K2001" s="4"/>
      <c r="L2001" s="4"/>
      <c r="M2001" s="4" t="s">
        <v>77</v>
      </c>
      <c r="N2001" s="4" t="s">
        <v>78</v>
      </c>
      <c r="O2001" s="4"/>
      <c r="P2001" s="4"/>
      <c r="Q2001" s="4"/>
      <c r="R2001" s="4"/>
      <c r="S2001" s="4"/>
      <c r="T2001" s="1" t="s">
        <v>33808</v>
      </c>
      <c r="U2001" s="4" t="s">
        <v>33809</v>
      </c>
      <c r="V2001" s="4" t="s">
        <v>33810</v>
      </c>
      <c r="W2001" s="4" t="s">
        <v>33811</v>
      </c>
      <c r="X2001" s="4"/>
      <c r="Y2001" s="4" t="s">
        <v>33812</v>
      </c>
      <c r="Z2001" s="4" t="s">
        <v>33813</v>
      </c>
      <c r="AA2001" s="4"/>
      <c r="AB2001" s="4"/>
      <c r="AC2001" s="4"/>
      <c r="AD2001" s="4"/>
      <c r="AE2001" s="4"/>
      <c r="AF2001" s="4"/>
      <c r="AG2001" s="4" t="n">
        <v>24</v>
      </c>
      <c r="AH2001" s="4" t="n">
        <v>15</v>
      </c>
      <c r="AI2001" s="4" t="n">
        <v>22</v>
      </c>
      <c r="AJ2001" s="4" t="n">
        <v>0</v>
      </c>
      <c r="AK2001" s="4" t="n">
        <v>2</v>
      </c>
      <c r="AL2001" s="4" t="s">
        <v>33814</v>
      </c>
      <c r="AM2001" s="4" t="s">
        <v>33815</v>
      </c>
      <c r="AN2001" s="4" t="s">
        <v>33816</v>
      </c>
      <c r="AO2001" s="4" t="s">
        <v>33817</v>
      </c>
      <c r="AP2001" s="4"/>
      <c r="AQ2001" s="4"/>
      <c r="AR2001" s="4" t="s">
        <v>33818</v>
      </c>
      <c r="AS2001" s="4" t="s">
        <v>33819</v>
      </c>
      <c r="AT2001" s="4" t="s">
        <v>2882</v>
      </c>
      <c r="AU2001" s="4" t="n">
        <v>2004</v>
      </c>
      <c r="AV2001" s="4" t="n">
        <v>17</v>
      </c>
      <c r="AW2001" s="4" t="n">
        <v>6</v>
      </c>
      <c r="AX2001" s="4"/>
      <c r="AY2001" s="4"/>
      <c r="AZ2001" s="4"/>
      <c r="BA2001" s="4"/>
      <c r="BB2001" s="4" t="n">
        <v>466</v>
      </c>
      <c r="BC2001" s="4" t="n">
        <v>469</v>
      </c>
      <c r="BD2001" s="4"/>
      <c r="BE2001" s="4" t="s">
        <v>33820</v>
      </c>
      <c r="BF2001" s="4" t="str">
        <f aca="false">HYPERLINK("http://dx.doi.org/10.3122/jabfm.17.6.466","http://dx.doi.org/10.3122/jabfm.17.6.466")</f>
        <v>http://dx.doi.org/10.3122/jabfm.17.6.466</v>
      </c>
      <c r="BG2001" s="4"/>
      <c r="BH2001" s="4"/>
      <c r="BI2001" s="4" t="n">
        <v>4</v>
      </c>
      <c r="BJ2001" s="4" t="s">
        <v>363</v>
      </c>
      <c r="BK2001" s="4" t="s">
        <v>100</v>
      </c>
      <c r="BL2001" s="4" t="s">
        <v>364</v>
      </c>
      <c r="BM2001" s="4" t="s">
        <v>33821</v>
      </c>
      <c r="BN2001" s="4" t="n">
        <v>15575039</v>
      </c>
      <c r="BO2001" s="4" t="s">
        <v>656</v>
      </c>
      <c r="BP2001" s="4"/>
      <c r="BQ2001" s="4"/>
      <c r="BR2001" s="4" t="s">
        <v>104</v>
      </c>
      <c r="BS2001" s="4" t="s">
        <v>33822</v>
      </c>
      <c r="BT2001" s="4" t="str">
        <f aca="false">HYPERLINK("https%3A%2F%2Fwww.webofscience.com%2Fwos%2Fwoscc%2Ffull-record%2FWOS:000225458200009","View Full Record in Web of Science")</f>
        <v>View Full Record in Web of Science</v>
      </c>
    </row>
    <row r="2002" s="5" customFormat="true" ht="12.75" hidden="false" customHeight="false" outlineLevel="0" collapsed="false">
      <c r="A2002" s="4" t="s">
        <v>72</v>
      </c>
      <c r="B2002" s="4" t="s">
        <v>33823</v>
      </c>
      <c r="C2002" s="4"/>
      <c r="D2002" s="4"/>
      <c r="E2002" s="4"/>
      <c r="F2002" s="4" t="s">
        <v>33824</v>
      </c>
      <c r="G2002" s="4"/>
      <c r="H2002" s="4"/>
      <c r="I2002" s="4" t="s">
        <v>33825</v>
      </c>
      <c r="J2002" s="4" t="s">
        <v>742</v>
      </c>
      <c r="K2002" s="4"/>
      <c r="L2002" s="4"/>
      <c r="M2002" s="4" t="s">
        <v>77</v>
      </c>
      <c r="N2002" s="4" t="s">
        <v>78</v>
      </c>
      <c r="O2002" s="4"/>
      <c r="P2002" s="4"/>
      <c r="Q2002" s="4"/>
      <c r="R2002" s="4"/>
      <c r="S2002" s="4"/>
      <c r="T2002" s="1" t="s">
        <v>33826</v>
      </c>
      <c r="U2002" s="4" t="s">
        <v>33827</v>
      </c>
      <c r="V2002" s="4" t="s">
        <v>33828</v>
      </c>
      <c r="W2002" s="4" t="s">
        <v>33829</v>
      </c>
      <c r="X2002" s="4" t="s">
        <v>31526</v>
      </c>
      <c r="Y2002" s="4" t="s">
        <v>31527</v>
      </c>
      <c r="Z2002" s="4" t="s">
        <v>31528</v>
      </c>
      <c r="AA2002" s="4" t="s">
        <v>31956</v>
      </c>
      <c r="AB2002" s="4" t="s">
        <v>33830</v>
      </c>
      <c r="AC2002" s="4" t="s">
        <v>33831</v>
      </c>
      <c r="AD2002" s="4" t="s">
        <v>33832</v>
      </c>
      <c r="AE2002" s="4" t="s">
        <v>33833</v>
      </c>
      <c r="AF2002" s="4"/>
      <c r="AG2002" s="4" t="n">
        <v>63</v>
      </c>
      <c r="AH2002" s="4" t="n">
        <v>18</v>
      </c>
      <c r="AI2002" s="4" t="n">
        <v>27</v>
      </c>
      <c r="AJ2002" s="4" t="n">
        <v>0</v>
      </c>
      <c r="AK2002" s="4" t="n">
        <v>6</v>
      </c>
      <c r="AL2002" s="4" t="s">
        <v>755</v>
      </c>
      <c r="AM2002" s="4" t="s">
        <v>273</v>
      </c>
      <c r="AN2002" s="4" t="s">
        <v>756</v>
      </c>
      <c r="AO2002" s="4" t="s">
        <v>757</v>
      </c>
      <c r="AP2002" s="4" t="s">
        <v>758</v>
      </c>
      <c r="AQ2002" s="4"/>
      <c r="AR2002" s="4" t="s">
        <v>759</v>
      </c>
      <c r="AS2002" s="4" t="s">
        <v>760</v>
      </c>
      <c r="AT2002" s="4" t="s">
        <v>336</v>
      </c>
      <c r="AU2002" s="4" t="n">
        <v>2014</v>
      </c>
      <c r="AV2002" s="4" t="n">
        <v>88</v>
      </c>
      <c r="AW2002" s="4" t="n">
        <v>19</v>
      </c>
      <c r="AX2002" s="4"/>
      <c r="AY2002" s="4"/>
      <c r="AZ2002" s="4"/>
      <c r="BA2002" s="4"/>
      <c r="BB2002" s="4" t="n">
        <v>11611</v>
      </c>
      <c r="BC2002" s="4" t="n">
        <v>11616</v>
      </c>
      <c r="BD2002" s="4"/>
      <c r="BE2002" s="4" t="s">
        <v>33834</v>
      </c>
      <c r="BF2002" s="4" t="str">
        <f aca="false">HYPERLINK("http://dx.doi.org/10.1128/JVI.01726-14","http://dx.doi.org/10.1128/JVI.01726-14")</f>
        <v>http://dx.doi.org/10.1128/JVI.01726-14</v>
      </c>
      <c r="BG2002" s="4"/>
      <c r="BH2002" s="4"/>
      <c r="BI2002" s="4" t="n">
        <v>6</v>
      </c>
      <c r="BJ2002" s="4" t="s">
        <v>163</v>
      </c>
      <c r="BK2002" s="4" t="s">
        <v>100</v>
      </c>
      <c r="BL2002" s="4" t="s">
        <v>163</v>
      </c>
      <c r="BM2002" s="4" t="s">
        <v>32461</v>
      </c>
      <c r="BN2002" s="4" t="n">
        <v>25031352</v>
      </c>
      <c r="BO2002" s="4" t="s">
        <v>284</v>
      </c>
      <c r="BP2002" s="4"/>
      <c r="BQ2002" s="4"/>
      <c r="BR2002" s="4" t="s">
        <v>104</v>
      </c>
      <c r="BS2002" s="4" t="s">
        <v>33835</v>
      </c>
      <c r="BT2002" s="4" t="str">
        <f aca="false">HYPERLINK("https%3A%2F%2Fwww.webofscience.com%2Fwos%2Fwoscc%2Ffull-record%2FWOS:000341872700051","View Full Record in Web of Science")</f>
        <v>View Full Record in Web of Science</v>
      </c>
    </row>
    <row r="2003" s="5" customFormat="true" ht="12.75" hidden="false" customHeight="false" outlineLevel="0" collapsed="false">
      <c r="A2003" s="4" t="s">
        <v>72</v>
      </c>
      <c r="B2003" s="4" t="s">
        <v>33836</v>
      </c>
      <c r="C2003" s="4"/>
      <c r="D2003" s="4"/>
      <c r="E2003" s="4"/>
      <c r="F2003" s="4" t="s">
        <v>33836</v>
      </c>
      <c r="G2003" s="4"/>
      <c r="H2003" s="4"/>
      <c r="I2003" s="4" t="s">
        <v>33837</v>
      </c>
      <c r="J2003" s="4" t="s">
        <v>33838</v>
      </c>
      <c r="K2003" s="4"/>
      <c r="L2003" s="4"/>
      <c r="M2003" s="4" t="s">
        <v>77</v>
      </c>
      <c r="N2003" s="4" t="s">
        <v>78</v>
      </c>
      <c r="O2003" s="4"/>
      <c r="P2003" s="4"/>
      <c r="Q2003" s="4"/>
      <c r="R2003" s="4"/>
      <c r="S2003" s="4"/>
      <c r="T2003" s="1" t="s">
        <v>33839</v>
      </c>
      <c r="U2003" s="4" t="s">
        <v>33840</v>
      </c>
      <c r="V2003" s="4"/>
      <c r="W2003" s="4" t="s">
        <v>33841</v>
      </c>
      <c r="X2003" s="4" t="s">
        <v>6359</v>
      </c>
      <c r="Y2003" s="4" t="s">
        <v>33842</v>
      </c>
      <c r="Z2003" s="4"/>
      <c r="AA2003" s="4" t="s">
        <v>6362</v>
      </c>
      <c r="AB2003" s="4" t="s">
        <v>6363</v>
      </c>
      <c r="AC2003" s="4"/>
      <c r="AD2003" s="4"/>
      <c r="AE2003" s="4"/>
      <c r="AF2003" s="4"/>
      <c r="AG2003" s="4" t="n">
        <v>33</v>
      </c>
      <c r="AH2003" s="4" t="n">
        <v>9</v>
      </c>
      <c r="AI2003" s="4" t="n">
        <v>9</v>
      </c>
      <c r="AJ2003" s="4" t="n">
        <v>1</v>
      </c>
      <c r="AK2003" s="4" t="n">
        <v>3</v>
      </c>
      <c r="AL2003" s="4" t="s">
        <v>33843</v>
      </c>
      <c r="AM2003" s="4" t="s">
        <v>33844</v>
      </c>
      <c r="AN2003" s="4" t="s">
        <v>33845</v>
      </c>
      <c r="AO2003" s="4" t="s">
        <v>33846</v>
      </c>
      <c r="AP2003" s="4"/>
      <c r="AQ2003" s="4"/>
      <c r="AR2003" s="4" t="s">
        <v>33847</v>
      </c>
      <c r="AS2003" s="4" t="s">
        <v>33848</v>
      </c>
      <c r="AT2003" s="4" t="s">
        <v>161</v>
      </c>
      <c r="AU2003" s="4" t="n">
        <v>2005</v>
      </c>
      <c r="AV2003" s="4" t="n">
        <v>34</v>
      </c>
      <c r="AW2003" s="4" t="n">
        <v>1</v>
      </c>
      <c r="AX2003" s="4"/>
      <c r="AY2003" s="4"/>
      <c r="AZ2003" s="4"/>
      <c r="BA2003" s="4"/>
      <c r="BB2003" s="4" t="n">
        <v>35</v>
      </c>
      <c r="BC2003" s="4" t="n">
        <v>41</v>
      </c>
      <c r="BD2003" s="4"/>
      <c r="BE2003" s="4" t="s">
        <v>33849</v>
      </c>
      <c r="BF2003" s="4" t="str">
        <f aca="false">HYPERLINK("http://dx.doi.org/10.3928/0090-4481-20050101-10","http://dx.doi.org/10.3928/0090-4481-20050101-10")</f>
        <v>http://dx.doi.org/10.3928/0090-4481-20050101-10</v>
      </c>
      <c r="BG2003" s="4"/>
      <c r="BH2003" s="4"/>
      <c r="BI2003" s="4" t="n">
        <v>7</v>
      </c>
      <c r="BJ2003" s="4" t="s">
        <v>601</v>
      </c>
      <c r="BK2003" s="4" t="s">
        <v>100</v>
      </c>
      <c r="BL2003" s="4" t="s">
        <v>601</v>
      </c>
      <c r="BM2003" s="4" t="s">
        <v>33850</v>
      </c>
      <c r="BN2003" s="4" t="n">
        <v>15693214</v>
      </c>
      <c r="BO2003" s="4"/>
      <c r="BP2003" s="4"/>
      <c r="BQ2003" s="4"/>
      <c r="BR2003" s="4" t="s">
        <v>104</v>
      </c>
      <c r="BS2003" s="4" t="s">
        <v>33851</v>
      </c>
      <c r="BT2003" s="4" t="str">
        <f aca="false">HYPERLINK("https%3A%2F%2Fwww.webofscience.com%2Fwos%2Fwoscc%2Ffull-record%2FWOS:000226436200006","View Full Record in Web of Science")</f>
        <v>View Full Record in Web of Science</v>
      </c>
    </row>
    <row r="2004" s="5" customFormat="true" ht="12.75" hidden="false" customHeight="false" outlineLevel="0" collapsed="false">
      <c r="A2004" s="4" t="s">
        <v>72</v>
      </c>
      <c r="B2004" s="4" t="s">
        <v>33852</v>
      </c>
      <c r="C2004" s="4"/>
      <c r="D2004" s="4"/>
      <c r="E2004" s="4"/>
      <c r="F2004" s="4" t="s">
        <v>33853</v>
      </c>
      <c r="G2004" s="4"/>
      <c r="H2004" s="4"/>
      <c r="I2004" s="4" t="s">
        <v>33854</v>
      </c>
      <c r="J2004" s="4" t="s">
        <v>7145</v>
      </c>
      <c r="K2004" s="4"/>
      <c r="L2004" s="4"/>
      <c r="M2004" s="4" t="s">
        <v>77</v>
      </c>
      <c r="N2004" s="4" t="s">
        <v>78</v>
      </c>
      <c r="O2004" s="4"/>
      <c r="P2004" s="4"/>
      <c r="Q2004" s="4"/>
      <c r="R2004" s="4"/>
      <c r="S2004" s="4"/>
      <c r="T2004" s="1" t="s">
        <v>33855</v>
      </c>
      <c r="U2004" s="4" t="s">
        <v>33856</v>
      </c>
      <c r="V2004" s="4"/>
      <c r="W2004" s="4" t="s">
        <v>33857</v>
      </c>
      <c r="X2004" s="4" t="s">
        <v>33858</v>
      </c>
      <c r="Y2004" s="4" t="s">
        <v>29265</v>
      </c>
      <c r="Z2004" s="4" t="s">
        <v>14113</v>
      </c>
      <c r="AA2004" s="4" t="s">
        <v>2617</v>
      </c>
      <c r="AB2004" s="4" t="s">
        <v>31690</v>
      </c>
      <c r="AC2004" s="4" t="s">
        <v>33859</v>
      </c>
      <c r="AD2004" s="4" t="s">
        <v>15523</v>
      </c>
      <c r="AE2004" s="4"/>
      <c r="AF2004" s="4"/>
      <c r="AG2004" s="4" t="n">
        <v>47</v>
      </c>
      <c r="AH2004" s="4" t="n">
        <v>42</v>
      </c>
      <c r="AI2004" s="4" t="n">
        <v>46</v>
      </c>
      <c r="AJ2004" s="4" t="n">
        <v>0</v>
      </c>
      <c r="AK2004" s="4" t="n">
        <v>3</v>
      </c>
      <c r="AL2004" s="4" t="s">
        <v>3426</v>
      </c>
      <c r="AM2004" s="4" t="s">
        <v>303</v>
      </c>
      <c r="AN2004" s="4" t="s">
        <v>3427</v>
      </c>
      <c r="AO2004" s="4" t="s">
        <v>7158</v>
      </c>
      <c r="AP2004" s="4" t="s">
        <v>7159</v>
      </c>
      <c r="AQ2004" s="4"/>
      <c r="AR2004" s="4" t="s">
        <v>7160</v>
      </c>
      <c r="AS2004" s="4" t="s">
        <v>7161</v>
      </c>
      <c r="AT2004" s="4" t="s">
        <v>185</v>
      </c>
      <c r="AU2004" s="4" t="n">
        <v>2008</v>
      </c>
      <c r="AV2004" s="4" t="n">
        <v>89</v>
      </c>
      <c r="AW2004" s="4"/>
      <c r="AX2004" s="4" t="n">
        <v>8</v>
      </c>
      <c r="AY2004" s="4"/>
      <c r="AZ2004" s="4"/>
      <c r="BA2004" s="4"/>
      <c r="BB2004" s="4" t="n">
        <v>1978</v>
      </c>
      <c r="BC2004" s="4" t="n">
        <v>1986</v>
      </c>
      <c r="BD2004" s="4"/>
      <c r="BE2004" s="4" t="s">
        <v>33860</v>
      </c>
      <c r="BF2004" s="4" t="str">
        <f aca="false">HYPERLINK("http://dx.doi.org/10.1099/vir.0.2008/000778-0","http://dx.doi.org/10.1099/vir.0.2008/000778-0")</f>
        <v>http://dx.doi.org/10.1099/vir.0.2008/000778-0</v>
      </c>
      <c r="BG2004" s="4"/>
      <c r="BH2004" s="4"/>
      <c r="BI2004" s="4" t="n">
        <v>9</v>
      </c>
      <c r="BJ2004" s="4" t="s">
        <v>7163</v>
      </c>
      <c r="BK2004" s="4" t="s">
        <v>100</v>
      </c>
      <c r="BL2004" s="4" t="s">
        <v>7163</v>
      </c>
      <c r="BM2004" s="4" t="s">
        <v>30373</v>
      </c>
      <c r="BN2004" s="4" t="n">
        <v>18632970</v>
      </c>
      <c r="BO2004" s="4" t="s">
        <v>5372</v>
      </c>
      <c r="BP2004" s="4"/>
      <c r="BQ2004" s="4"/>
      <c r="BR2004" s="4" t="s">
        <v>104</v>
      </c>
      <c r="BS2004" s="4" t="s">
        <v>33861</v>
      </c>
      <c r="BT2004" s="4" t="str">
        <f aca="false">HYPERLINK("https%3A%2F%2Fwww.webofscience.com%2Fwos%2Fwoscc%2Ffull-record%2FWOS:000258301800022","View Full Record in Web of Science")</f>
        <v>View Full Record in Web of Science</v>
      </c>
    </row>
    <row r="2005" s="5" customFormat="true" ht="12.75" hidden="false" customHeight="false" outlineLevel="0" collapsed="false">
      <c r="A2005" s="4" t="s">
        <v>72</v>
      </c>
      <c r="B2005" s="4" t="s">
        <v>33862</v>
      </c>
      <c r="C2005" s="4"/>
      <c r="D2005" s="4"/>
      <c r="E2005" s="4"/>
      <c r="F2005" s="4" t="s">
        <v>33863</v>
      </c>
      <c r="G2005" s="4"/>
      <c r="H2005" s="4"/>
      <c r="I2005" s="4" t="s">
        <v>33864</v>
      </c>
      <c r="J2005" s="4" t="s">
        <v>557</v>
      </c>
      <c r="K2005" s="4"/>
      <c r="L2005" s="4"/>
      <c r="M2005" s="4" t="s">
        <v>77</v>
      </c>
      <c r="N2005" s="4" t="s">
        <v>78</v>
      </c>
      <c r="O2005" s="4"/>
      <c r="P2005" s="4"/>
      <c r="Q2005" s="4"/>
      <c r="R2005" s="4"/>
      <c r="S2005" s="4"/>
      <c r="T2005" s="1" t="s">
        <v>33865</v>
      </c>
      <c r="U2005" s="4" t="s">
        <v>33866</v>
      </c>
      <c r="V2005" s="4" t="s">
        <v>33867</v>
      </c>
      <c r="W2005" s="4" t="s">
        <v>33868</v>
      </c>
      <c r="X2005" s="4" t="s">
        <v>33869</v>
      </c>
      <c r="Y2005" s="4" t="s">
        <v>33870</v>
      </c>
      <c r="Z2005" s="4" t="s">
        <v>33871</v>
      </c>
      <c r="AA2005" s="4" t="s">
        <v>33872</v>
      </c>
      <c r="AB2005" s="4"/>
      <c r="AC2005" s="4" t="s">
        <v>33873</v>
      </c>
      <c r="AD2005" s="4" t="s">
        <v>33874</v>
      </c>
      <c r="AE2005" s="4" t="s">
        <v>33875</v>
      </c>
      <c r="AF2005" s="4"/>
      <c r="AG2005" s="4" t="n">
        <v>44</v>
      </c>
      <c r="AH2005" s="4" t="n">
        <v>44</v>
      </c>
      <c r="AI2005" s="4" t="n">
        <v>50</v>
      </c>
      <c r="AJ2005" s="4" t="n">
        <v>0</v>
      </c>
      <c r="AK2005" s="4" t="n">
        <v>4</v>
      </c>
      <c r="AL2005" s="4" t="s">
        <v>302</v>
      </c>
      <c r="AM2005" s="4" t="s">
        <v>303</v>
      </c>
      <c r="AN2005" s="4" t="s">
        <v>304</v>
      </c>
      <c r="AO2005" s="4"/>
      <c r="AP2005" s="4" t="s">
        <v>570</v>
      </c>
      <c r="AQ2005" s="4"/>
      <c r="AR2005" s="4" t="s">
        <v>571</v>
      </c>
      <c r="AS2005" s="4" t="s">
        <v>572</v>
      </c>
      <c r="AT2005" s="4" t="s">
        <v>33876</v>
      </c>
      <c r="AU2005" s="4" t="n">
        <v>2011</v>
      </c>
      <c r="AV2005" s="4" t="n">
        <v>11</v>
      </c>
      <c r="AW2005" s="4"/>
      <c r="AX2005" s="4"/>
      <c r="AY2005" s="4"/>
      <c r="AZ2005" s="4"/>
      <c r="BA2005" s="4"/>
      <c r="BB2005" s="4"/>
      <c r="BC2005" s="4"/>
      <c r="BD2005" s="4" t="n">
        <v>168</v>
      </c>
      <c r="BE2005" s="4" t="s">
        <v>33877</v>
      </c>
      <c r="BF2005" s="4" t="str">
        <f aca="false">HYPERLINK("http://dx.doi.org/10.1186/1471-2334-11-168","http://dx.doi.org/10.1186/1471-2334-11-168")</f>
        <v>http://dx.doi.org/10.1186/1471-2334-11-168</v>
      </c>
      <c r="BG2005" s="4"/>
      <c r="BH2005" s="4"/>
      <c r="BI2005" s="4" t="n">
        <v>10</v>
      </c>
      <c r="BJ2005" s="4" t="s">
        <v>575</v>
      </c>
      <c r="BK2005" s="4" t="s">
        <v>100</v>
      </c>
      <c r="BL2005" s="4" t="s">
        <v>575</v>
      </c>
      <c r="BM2005" s="4" t="s">
        <v>33878</v>
      </c>
      <c r="BN2005" s="4" t="n">
        <v>21663657</v>
      </c>
      <c r="BO2005" s="4" t="s">
        <v>103</v>
      </c>
      <c r="BP2005" s="4"/>
      <c r="BQ2005" s="4"/>
      <c r="BR2005" s="4" t="s">
        <v>104</v>
      </c>
      <c r="BS2005" s="4" t="s">
        <v>33879</v>
      </c>
      <c r="BT2005" s="4" t="str">
        <f aca="false">HYPERLINK("https%3A%2F%2Fwww.webofscience.com%2Fwos%2Fwoscc%2Ffull-record%2FWOS:000292082000001","View Full Record in Web of Science")</f>
        <v>View Full Record in Web of Science</v>
      </c>
    </row>
    <row r="2006" s="5" customFormat="true" ht="12.75" hidden="false" customHeight="false" outlineLevel="0" collapsed="false">
      <c r="A2006" s="4" t="s">
        <v>72</v>
      </c>
      <c r="B2006" s="4" t="s">
        <v>33880</v>
      </c>
      <c r="C2006" s="4"/>
      <c r="D2006" s="4"/>
      <c r="E2006" s="4"/>
      <c r="F2006" s="4" t="s">
        <v>33880</v>
      </c>
      <c r="G2006" s="4"/>
      <c r="H2006" s="4"/>
      <c r="I2006" s="4" t="s">
        <v>33881</v>
      </c>
      <c r="J2006" s="4" t="s">
        <v>33882</v>
      </c>
      <c r="K2006" s="4"/>
      <c r="L2006" s="4"/>
      <c r="M2006" s="4" t="s">
        <v>77</v>
      </c>
      <c r="N2006" s="4" t="s">
        <v>78</v>
      </c>
      <c r="O2006" s="4"/>
      <c r="P2006" s="4"/>
      <c r="Q2006" s="4"/>
      <c r="R2006" s="4"/>
      <c r="S2006" s="4"/>
      <c r="T2006" s="1" t="s">
        <v>33883</v>
      </c>
      <c r="U2006" s="4"/>
      <c r="V2006" s="4" t="s">
        <v>33884</v>
      </c>
      <c r="W2006" s="4" t="s">
        <v>33885</v>
      </c>
      <c r="X2006" s="4" t="s">
        <v>33886</v>
      </c>
      <c r="Y2006" s="4" t="s">
        <v>33887</v>
      </c>
      <c r="Z2006" s="4"/>
      <c r="AA2006" s="4" t="s">
        <v>33888</v>
      </c>
      <c r="AB2006" s="4" t="s">
        <v>33889</v>
      </c>
      <c r="AC2006" s="4" t="s">
        <v>33890</v>
      </c>
      <c r="AD2006" s="4" t="s">
        <v>2416</v>
      </c>
      <c r="AE2006" s="4"/>
      <c r="AF2006" s="4"/>
      <c r="AG2006" s="4" t="n">
        <v>5</v>
      </c>
      <c r="AH2006" s="4" t="n">
        <v>220</v>
      </c>
      <c r="AI2006" s="4" t="n">
        <v>247</v>
      </c>
      <c r="AJ2006" s="4" t="n">
        <v>0</v>
      </c>
      <c r="AK2006" s="4" t="n">
        <v>8</v>
      </c>
      <c r="AL2006" s="4" t="s">
        <v>33891</v>
      </c>
      <c r="AM2006" s="4" t="s">
        <v>303</v>
      </c>
      <c r="AN2006" s="4" t="s">
        <v>2106</v>
      </c>
      <c r="AO2006" s="4" t="s">
        <v>33892</v>
      </c>
      <c r="AP2006" s="4"/>
      <c r="AQ2006" s="4"/>
      <c r="AR2006" s="4" t="s">
        <v>33882</v>
      </c>
      <c r="AS2006" s="4" t="s">
        <v>33893</v>
      </c>
      <c r="AT2006" s="4" t="s">
        <v>6281</v>
      </c>
      <c r="AU2006" s="4" t="n">
        <v>2002</v>
      </c>
      <c r="AV2006" s="4" t="n">
        <v>360</v>
      </c>
      <c r="AW2006" s="4" t="n">
        <v>9343</v>
      </c>
      <c r="AX2006" s="4"/>
      <c r="AY2006" s="4"/>
      <c r="AZ2006" s="4"/>
      <c r="BA2006" s="4"/>
      <c r="BB2006" s="4" t="n">
        <v>1393</v>
      </c>
      <c r="BC2006" s="4" t="n">
        <v>1394</v>
      </c>
      <c r="BD2006" s="4"/>
      <c r="BE2006" s="4" t="s">
        <v>33894</v>
      </c>
      <c r="BF2006" s="4" t="str">
        <f aca="false">HYPERLINK("http://dx.doi.org/10.1016/S0140-6736(02)11391-2","http://dx.doi.org/10.1016/S0140-6736(02)11391-2")</f>
        <v>http://dx.doi.org/10.1016/S0140-6736(02)11391-2</v>
      </c>
      <c r="BG2006" s="4"/>
      <c r="BH2006" s="4"/>
      <c r="BI2006" s="4" t="n">
        <v>2</v>
      </c>
      <c r="BJ2006" s="4" t="s">
        <v>363</v>
      </c>
      <c r="BK2006" s="4" t="s">
        <v>100</v>
      </c>
      <c r="BL2006" s="4" t="s">
        <v>364</v>
      </c>
      <c r="BM2006" s="4" t="s">
        <v>33895</v>
      </c>
      <c r="BN2006" s="4" t="n">
        <v>12423987</v>
      </c>
      <c r="BO2006" s="4" t="s">
        <v>1089</v>
      </c>
      <c r="BP2006" s="4"/>
      <c r="BQ2006" s="4"/>
      <c r="BR2006" s="4" t="s">
        <v>104</v>
      </c>
      <c r="BS2006" s="4" t="s">
        <v>33896</v>
      </c>
      <c r="BT2006" s="4" t="str">
        <f aca="false">HYPERLINK("https%3A%2F%2Fwww.webofscience.com%2Fwos%2Fwoscc%2Ffull-record%2FWOS:000179081600014","View Full Record in Web of Science")</f>
        <v>View Full Record in Web of Science</v>
      </c>
    </row>
    <row r="2007" s="5" customFormat="true" ht="12.75" hidden="false" customHeight="false" outlineLevel="0" collapsed="false">
      <c r="A2007" s="4" t="s">
        <v>72</v>
      </c>
      <c r="B2007" s="4" t="s">
        <v>33897</v>
      </c>
      <c r="C2007" s="4"/>
      <c r="D2007" s="4"/>
      <c r="E2007" s="4"/>
      <c r="F2007" s="4" t="s">
        <v>33898</v>
      </c>
      <c r="G2007" s="4"/>
      <c r="H2007" s="4"/>
      <c r="I2007" s="4" t="s">
        <v>33899</v>
      </c>
      <c r="J2007" s="4" t="s">
        <v>742</v>
      </c>
      <c r="K2007" s="4"/>
      <c r="L2007" s="4"/>
      <c r="M2007" s="4" t="s">
        <v>77</v>
      </c>
      <c r="N2007" s="4" t="s">
        <v>78</v>
      </c>
      <c r="O2007" s="4"/>
      <c r="P2007" s="4"/>
      <c r="Q2007" s="4"/>
      <c r="R2007" s="4"/>
      <c r="S2007" s="4"/>
      <c r="T2007" s="1" t="s">
        <v>33900</v>
      </c>
      <c r="U2007" s="4" t="s">
        <v>33901</v>
      </c>
      <c r="V2007" s="4" t="s">
        <v>33902</v>
      </c>
      <c r="W2007" s="4" t="s">
        <v>33903</v>
      </c>
      <c r="X2007" s="4" t="s">
        <v>33904</v>
      </c>
      <c r="Y2007" s="4" t="s">
        <v>30813</v>
      </c>
      <c r="Z2007" s="4" t="s">
        <v>14113</v>
      </c>
      <c r="AA2007" s="4" t="s">
        <v>33905</v>
      </c>
      <c r="AB2007" s="4" t="s">
        <v>33906</v>
      </c>
      <c r="AC2007" s="4" t="s">
        <v>33907</v>
      </c>
      <c r="AD2007" s="4" t="s">
        <v>33908</v>
      </c>
      <c r="AE2007" s="4" t="s">
        <v>33909</v>
      </c>
      <c r="AF2007" s="4"/>
      <c r="AG2007" s="4" t="n">
        <v>47</v>
      </c>
      <c r="AH2007" s="4" t="n">
        <v>60</v>
      </c>
      <c r="AI2007" s="4" t="n">
        <v>63</v>
      </c>
      <c r="AJ2007" s="4" t="n">
        <v>0</v>
      </c>
      <c r="AK2007" s="4" t="n">
        <v>13</v>
      </c>
      <c r="AL2007" s="4" t="s">
        <v>755</v>
      </c>
      <c r="AM2007" s="4" t="s">
        <v>273</v>
      </c>
      <c r="AN2007" s="4" t="s">
        <v>756</v>
      </c>
      <c r="AO2007" s="4" t="s">
        <v>757</v>
      </c>
      <c r="AP2007" s="4" t="s">
        <v>758</v>
      </c>
      <c r="AQ2007" s="4"/>
      <c r="AR2007" s="4" t="s">
        <v>759</v>
      </c>
      <c r="AS2007" s="4" t="s">
        <v>760</v>
      </c>
      <c r="AT2007" s="4" t="s">
        <v>390</v>
      </c>
      <c r="AU2007" s="4" t="n">
        <v>2015</v>
      </c>
      <c r="AV2007" s="4" t="n">
        <v>89</v>
      </c>
      <c r="AW2007" s="4" t="n">
        <v>10</v>
      </c>
      <c r="AX2007" s="4"/>
      <c r="AY2007" s="4"/>
      <c r="AZ2007" s="4"/>
      <c r="BA2007" s="4"/>
      <c r="BB2007" s="4" t="n">
        <v>5557</v>
      </c>
      <c r="BC2007" s="4" t="n">
        <v>5568</v>
      </c>
      <c r="BD2007" s="4"/>
      <c r="BE2007" s="4" t="s">
        <v>33910</v>
      </c>
      <c r="BF2007" s="4" t="str">
        <f aca="false">HYPERLINK("http://dx.doi.org/10.1128/JVI.00264-15","http://dx.doi.org/10.1128/JVI.00264-15")</f>
        <v>http://dx.doi.org/10.1128/JVI.00264-15</v>
      </c>
      <c r="BG2007" s="4"/>
      <c r="BH2007" s="4"/>
      <c r="BI2007" s="4" t="n">
        <v>12</v>
      </c>
      <c r="BJ2007" s="4" t="s">
        <v>163</v>
      </c>
      <c r="BK2007" s="4" t="s">
        <v>100</v>
      </c>
      <c r="BL2007" s="4" t="s">
        <v>163</v>
      </c>
      <c r="BM2007" s="4" t="s">
        <v>33911</v>
      </c>
      <c r="BN2007" s="4" t="n">
        <v>25740991</v>
      </c>
      <c r="BO2007" s="4" t="s">
        <v>1267</v>
      </c>
      <c r="BP2007" s="4"/>
      <c r="BQ2007" s="4"/>
      <c r="BR2007" s="4" t="s">
        <v>104</v>
      </c>
      <c r="BS2007" s="4" t="s">
        <v>33912</v>
      </c>
      <c r="BT2007" s="4" t="str">
        <f aca="false">HYPERLINK("https%3A%2F%2Fwww.webofscience.com%2Fwos%2Fwoscc%2Ffull-record%2FWOS:000353329300033","View Full Record in Web of Science")</f>
        <v>View Full Record in Web of Science</v>
      </c>
    </row>
    <row r="2008" s="5" customFormat="true" ht="12.75" hidden="false" customHeight="false" outlineLevel="0" collapsed="false">
      <c r="A2008" s="4" t="s">
        <v>72</v>
      </c>
      <c r="B2008" s="4" t="s">
        <v>33913</v>
      </c>
      <c r="C2008" s="4"/>
      <c r="D2008" s="4"/>
      <c r="E2008" s="4"/>
      <c r="F2008" s="4" t="s">
        <v>33914</v>
      </c>
      <c r="G2008" s="4"/>
      <c r="H2008" s="4"/>
      <c r="I2008" s="4" t="s">
        <v>33915</v>
      </c>
      <c r="J2008" s="4" t="s">
        <v>27497</v>
      </c>
      <c r="K2008" s="4"/>
      <c r="L2008" s="4"/>
      <c r="M2008" s="4" t="s">
        <v>77</v>
      </c>
      <c r="N2008" s="4" t="s">
        <v>78</v>
      </c>
      <c r="O2008" s="4"/>
      <c r="P2008" s="4"/>
      <c r="Q2008" s="4"/>
      <c r="R2008" s="4"/>
      <c r="S2008" s="4"/>
      <c r="T2008" s="1" t="s">
        <v>33916</v>
      </c>
      <c r="U2008" s="4" t="s">
        <v>33917</v>
      </c>
      <c r="V2008" s="4" t="s">
        <v>33918</v>
      </c>
      <c r="W2008" s="4" t="s">
        <v>33919</v>
      </c>
      <c r="X2008" s="4" t="s">
        <v>14547</v>
      </c>
      <c r="Y2008" s="4" t="s">
        <v>33920</v>
      </c>
      <c r="Z2008" s="4" t="s">
        <v>5144</v>
      </c>
      <c r="AA2008" s="4"/>
      <c r="AB2008" s="4" t="s">
        <v>33921</v>
      </c>
      <c r="AC2008" s="4" t="s">
        <v>33922</v>
      </c>
      <c r="AD2008" s="4" t="s">
        <v>33922</v>
      </c>
      <c r="AE2008" s="4" t="s">
        <v>33923</v>
      </c>
      <c r="AF2008" s="4"/>
      <c r="AG2008" s="4" t="n">
        <v>15</v>
      </c>
      <c r="AH2008" s="4" t="n">
        <v>12</v>
      </c>
      <c r="AI2008" s="4" t="n">
        <v>12</v>
      </c>
      <c r="AJ2008" s="4" t="n">
        <v>0</v>
      </c>
      <c r="AK2008" s="4" t="n">
        <v>1</v>
      </c>
      <c r="AL2008" s="4" t="s">
        <v>27506</v>
      </c>
      <c r="AM2008" s="4" t="s">
        <v>27507</v>
      </c>
      <c r="AN2008" s="4" t="s">
        <v>27508</v>
      </c>
      <c r="AO2008" s="4" t="s">
        <v>27509</v>
      </c>
      <c r="AP2008" s="4"/>
      <c r="AQ2008" s="4"/>
      <c r="AR2008" s="4" t="s">
        <v>27497</v>
      </c>
      <c r="AS2008" s="4" t="s">
        <v>27510</v>
      </c>
      <c r="AT2008" s="4" t="s">
        <v>12502</v>
      </c>
      <c r="AU2008" s="4" t="n">
        <v>2019</v>
      </c>
      <c r="AV2008" s="4" t="n">
        <v>14</v>
      </c>
      <c r="AW2008" s="4" t="n">
        <v>2</v>
      </c>
      <c r="AX2008" s="4"/>
      <c r="AY2008" s="4"/>
      <c r="AZ2008" s="4"/>
      <c r="BA2008" s="4"/>
      <c r="BB2008" s="4"/>
      <c r="BC2008" s="4"/>
      <c r="BD2008" s="4" t="s">
        <v>33924</v>
      </c>
      <c r="BE2008" s="4" t="s">
        <v>33925</v>
      </c>
      <c r="BF2008" s="4" t="str">
        <f aca="false">HYPERLINK("http://dx.doi.org/10.1371/journal.pone.0211079","http://dx.doi.org/10.1371/journal.pone.0211079")</f>
        <v>http://dx.doi.org/10.1371/journal.pone.0211079</v>
      </c>
      <c r="BG2008" s="4"/>
      <c r="BH2008" s="4"/>
      <c r="BI2008" s="4" t="n">
        <v>9</v>
      </c>
      <c r="BJ2008" s="4" t="s">
        <v>1658</v>
      </c>
      <c r="BK2008" s="4" t="s">
        <v>100</v>
      </c>
      <c r="BL2008" s="4" t="s">
        <v>1659</v>
      </c>
      <c r="BM2008" s="4" t="s">
        <v>33926</v>
      </c>
      <c r="BN2008" s="4" t="n">
        <v>30779757</v>
      </c>
      <c r="BO2008" s="4" t="s">
        <v>341</v>
      </c>
      <c r="BP2008" s="4"/>
      <c r="BQ2008" s="4"/>
      <c r="BR2008" s="4" t="s">
        <v>104</v>
      </c>
      <c r="BS2008" s="4" t="s">
        <v>33927</v>
      </c>
      <c r="BT2008" s="4" t="str">
        <f aca="false">HYPERLINK("https%3A%2F%2Fwww.webofscience.com%2Fwos%2Fwoscc%2Ffull-record%2FWOS:000459062900010","View Full Record in Web of Science")</f>
        <v>View Full Record in Web of Science</v>
      </c>
    </row>
    <row r="2009" s="5" customFormat="true" ht="12.75" hidden="false" customHeight="false" outlineLevel="0" collapsed="false">
      <c r="A2009" s="4" t="s">
        <v>72</v>
      </c>
      <c r="B2009" s="4" t="s">
        <v>33928</v>
      </c>
      <c r="C2009" s="4"/>
      <c r="D2009" s="4"/>
      <c r="E2009" s="4"/>
      <c r="F2009" s="4" t="s">
        <v>33929</v>
      </c>
      <c r="G2009" s="4"/>
      <c r="H2009" s="4"/>
      <c r="I2009" s="4" t="s">
        <v>33930</v>
      </c>
      <c r="J2009" s="4" t="s">
        <v>4895</v>
      </c>
      <c r="K2009" s="4"/>
      <c r="L2009" s="4"/>
      <c r="M2009" s="4" t="s">
        <v>77</v>
      </c>
      <c r="N2009" s="4" t="s">
        <v>78</v>
      </c>
      <c r="O2009" s="4"/>
      <c r="P2009" s="4"/>
      <c r="Q2009" s="4"/>
      <c r="R2009" s="4"/>
      <c r="S2009" s="4"/>
      <c r="T2009" s="1" t="s">
        <v>33931</v>
      </c>
      <c r="U2009" s="4" t="s">
        <v>33932</v>
      </c>
      <c r="V2009" s="4" t="s">
        <v>33933</v>
      </c>
      <c r="W2009" s="4" t="s">
        <v>33934</v>
      </c>
      <c r="X2009" s="4"/>
      <c r="Y2009" s="4" t="s">
        <v>33935</v>
      </c>
      <c r="Z2009" s="4" t="s">
        <v>33936</v>
      </c>
      <c r="AA2009" s="4"/>
      <c r="AB2009" s="4" t="s">
        <v>33937</v>
      </c>
      <c r="AC2009" s="4"/>
      <c r="AD2009" s="4"/>
      <c r="AE2009" s="4"/>
      <c r="AF2009" s="4"/>
      <c r="AG2009" s="4" t="n">
        <v>25</v>
      </c>
      <c r="AH2009" s="4" t="n">
        <v>25</v>
      </c>
      <c r="AI2009" s="4" t="n">
        <v>31</v>
      </c>
      <c r="AJ2009" s="4" t="n">
        <v>0</v>
      </c>
      <c r="AK2009" s="4" t="n">
        <v>5</v>
      </c>
      <c r="AL2009" s="4" t="s">
        <v>592</v>
      </c>
      <c r="AM2009" s="4" t="s">
        <v>593</v>
      </c>
      <c r="AN2009" s="4" t="s">
        <v>594</v>
      </c>
      <c r="AO2009" s="4" t="s">
        <v>4905</v>
      </c>
      <c r="AP2009" s="4" t="s">
        <v>4906</v>
      </c>
      <c r="AQ2009" s="4"/>
      <c r="AR2009" s="4" t="s">
        <v>4907</v>
      </c>
      <c r="AS2009" s="4" t="s">
        <v>4908</v>
      </c>
      <c r="AT2009" s="4" t="s">
        <v>804</v>
      </c>
      <c r="AU2009" s="4" t="n">
        <v>2009</v>
      </c>
      <c r="AV2009" s="4" t="n">
        <v>28</v>
      </c>
      <c r="AW2009" s="4" t="n">
        <v>11</v>
      </c>
      <c r="AX2009" s="4"/>
      <c r="AY2009" s="4"/>
      <c r="AZ2009" s="4"/>
      <c r="BA2009" s="4"/>
      <c r="BB2009" s="4" t="n">
        <v>1305</v>
      </c>
      <c r="BC2009" s="4" t="n">
        <v>1310</v>
      </c>
      <c r="BD2009" s="4"/>
      <c r="BE2009" s="4" t="s">
        <v>33938</v>
      </c>
      <c r="BF2009" s="4" t="str">
        <f aca="false">HYPERLINK("http://dx.doi.org/10.1007/s10096-009-0780-y","http://dx.doi.org/10.1007/s10096-009-0780-y")</f>
        <v>http://dx.doi.org/10.1007/s10096-009-0780-y</v>
      </c>
      <c r="BG2009" s="4"/>
      <c r="BH2009" s="4"/>
      <c r="BI2009" s="4" t="n">
        <v>6</v>
      </c>
      <c r="BJ2009" s="4" t="s">
        <v>1467</v>
      </c>
      <c r="BK2009" s="4" t="s">
        <v>100</v>
      </c>
      <c r="BL2009" s="4" t="s">
        <v>1467</v>
      </c>
      <c r="BM2009" s="4" t="s">
        <v>33939</v>
      </c>
      <c r="BN2009" s="4" t="n">
        <v>19705175</v>
      </c>
      <c r="BO2009" s="4" t="s">
        <v>538</v>
      </c>
      <c r="BP2009" s="4"/>
      <c r="BQ2009" s="4"/>
      <c r="BR2009" s="4" t="s">
        <v>104</v>
      </c>
      <c r="BS2009" s="4" t="s">
        <v>33940</v>
      </c>
      <c r="BT2009" s="4" t="str">
        <f aca="false">HYPERLINK("https%3A%2F%2Fwww.webofscience.com%2Fwos%2Fwoscc%2Ffull-record%2FWOS:000271404400004","View Full Record in Web of Science")</f>
        <v>View Full Record in Web of Science</v>
      </c>
    </row>
    <row r="2010" s="5" customFormat="true" ht="12.75" hidden="false" customHeight="false" outlineLevel="0" collapsed="false">
      <c r="A2010" s="4" t="s">
        <v>72</v>
      </c>
      <c r="B2010" s="4" t="s">
        <v>33941</v>
      </c>
      <c r="C2010" s="4"/>
      <c r="D2010" s="4"/>
      <c r="E2010" s="4"/>
      <c r="F2010" s="4" t="s">
        <v>33941</v>
      </c>
      <c r="G2010" s="4"/>
      <c r="H2010" s="4"/>
      <c r="I2010" s="4" t="s">
        <v>33942</v>
      </c>
      <c r="J2010" s="4" t="s">
        <v>33838</v>
      </c>
      <c r="K2010" s="4"/>
      <c r="L2010" s="4"/>
      <c r="M2010" s="4" t="s">
        <v>77</v>
      </c>
      <c r="N2010" s="4" t="s">
        <v>78</v>
      </c>
      <c r="O2010" s="4"/>
      <c r="P2010" s="4"/>
      <c r="Q2010" s="4"/>
      <c r="R2010" s="4"/>
      <c r="S2010" s="4"/>
      <c r="T2010" s="1" t="s">
        <v>33943</v>
      </c>
      <c r="U2010" s="4" t="s">
        <v>33944</v>
      </c>
      <c r="V2010" s="4"/>
      <c r="W2010" s="4" t="s">
        <v>33945</v>
      </c>
      <c r="X2010" s="4" t="s">
        <v>33946</v>
      </c>
      <c r="Y2010" s="4" t="s">
        <v>33947</v>
      </c>
      <c r="Z2010" s="4"/>
      <c r="AA2010" s="4"/>
      <c r="AB2010" s="4"/>
      <c r="AC2010" s="4"/>
      <c r="AD2010" s="4"/>
      <c r="AE2010" s="4"/>
      <c r="AF2010" s="4"/>
      <c r="AG2010" s="4" t="n">
        <v>41</v>
      </c>
      <c r="AH2010" s="4" t="n">
        <v>42</v>
      </c>
      <c r="AI2010" s="4" t="n">
        <v>47</v>
      </c>
      <c r="AJ2010" s="4" t="n">
        <v>0</v>
      </c>
      <c r="AK2010" s="4" t="n">
        <v>2</v>
      </c>
      <c r="AL2010" s="4" t="s">
        <v>33843</v>
      </c>
      <c r="AM2010" s="4" t="s">
        <v>33844</v>
      </c>
      <c r="AN2010" s="4" t="s">
        <v>33845</v>
      </c>
      <c r="AO2010" s="4" t="s">
        <v>33846</v>
      </c>
      <c r="AP2010" s="4"/>
      <c r="AQ2010" s="4"/>
      <c r="AR2010" s="4" t="s">
        <v>33847</v>
      </c>
      <c r="AS2010" s="4" t="s">
        <v>33848</v>
      </c>
      <c r="AT2010" s="4" t="s">
        <v>161</v>
      </c>
      <c r="AU2010" s="4" t="n">
        <v>2005</v>
      </c>
      <c r="AV2010" s="4" t="n">
        <v>34</v>
      </c>
      <c r="AW2010" s="4" t="n">
        <v>1</v>
      </c>
      <c r="AX2010" s="4"/>
      <c r="AY2010" s="4"/>
      <c r="AZ2010" s="4"/>
      <c r="BA2010" s="4"/>
      <c r="BB2010" s="4" t="n">
        <v>24</v>
      </c>
      <c r="BC2010" s="4" t="n">
        <v>31</v>
      </c>
      <c r="BD2010" s="4"/>
      <c r="BE2010" s="4" t="s">
        <v>33948</v>
      </c>
      <c r="BF2010" s="4" t="str">
        <f aca="false">HYPERLINK("http://dx.doi.org/10.3928/0090-4481-20050101-08","http://dx.doi.org/10.3928/0090-4481-20050101-08")</f>
        <v>http://dx.doi.org/10.3928/0090-4481-20050101-08</v>
      </c>
      <c r="BG2010" s="4"/>
      <c r="BH2010" s="4"/>
      <c r="BI2010" s="4" t="n">
        <v>8</v>
      </c>
      <c r="BJ2010" s="4" t="s">
        <v>601</v>
      </c>
      <c r="BK2010" s="4" t="s">
        <v>100</v>
      </c>
      <c r="BL2010" s="4" t="s">
        <v>601</v>
      </c>
      <c r="BM2010" s="4" t="s">
        <v>33850</v>
      </c>
      <c r="BN2010" s="4" t="n">
        <v>15693213</v>
      </c>
      <c r="BO2010" s="4"/>
      <c r="BP2010" s="4"/>
      <c r="BQ2010" s="4"/>
      <c r="BR2010" s="4" t="s">
        <v>104</v>
      </c>
      <c r="BS2010" s="4" t="s">
        <v>33949</v>
      </c>
      <c r="BT2010" s="4" t="str">
        <f aca="false">HYPERLINK("https%3A%2F%2Fwww.webofscience.com%2Fwos%2Fwoscc%2Ffull-record%2FWOS:000226436200005","View Full Record in Web of Science")</f>
        <v>View Full Record in Web of Science</v>
      </c>
    </row>
    <row r="2011" s="5" customFormat="true" ht="12.75" hidden="false" customHeight="false" outlineLevel="0" collapsed="false">
      <c r="A2011" s="4" t="s">
        <v>72</v>
      </c>
      <c r="B2011" s="4" t="s">
        <v>33950</v>
      </c>
      <c r="C2011" s="4"/>
      <c r="D2011" s="4"/>
      <c r="E2011" s="4"/>
      <c r="F2011" s="4" t="s">
        <v>33951</v>
      </c>
      <c r="G2011" s="4"/>
      <c r="H2011" s="4"/>
      <c r="I2011" s="4" t="s">
        <v>33952</v>
      </c>
      <c r="J2011" s="4" t="s">
        <v>13758</v>
      </c>
      <c r="K2011" s="4"/>
      <c r="L2011" s="4"/>
      <c r="M2011" s="4" t="s">
        <v>77</v>
      </c>
      <c r="N2011" s="4" t="s">
        <v>78</v>
      </c>
      <c r="O2011" s="4"/>
      <c r="P2011" s="4"/>
      <c r="Q2011" s="4"/>
      <c r="R2011" s="4"/>
      <c r="S2011" s="4"/>
      <c r="T2011" s="1" t="s">
        <v>33953</v>
      </c>
      <c r="U2011" s="4" t="s">
        <v>33954</v>
      </c>
      <c r="V2011" s="4" t="s">
        <v>33955</v>
      </c>
      <c r="W2011" s="4" t="s">
        <v>33956</v>
      </c>
      <c r="X2011" s="4" t="s">
        <v>32913</v>
      </c>
      <c r="Y2011" s="4" t="s">
        <v>33957</v>
      </c>
      <c r="Z2011" s="4" t="s">
        <v>33958</v>
      </c>
      <c r="AA2011" s="4" t="s">
        <v>33959</v>
      </c>
      <c r="AB2011" s="4" t="s">
        <v>32917</v>
      </c>
      <c r="AC2011" s="4" t="s">
        <v>33960</v>
      </c>
      <c r="AD2011" s="4" t="s">
        <v>33961</v>
      </c>
      <c r="AE2011" s="4" t="s">
        <v>33962</v>
      </c>
      <c r="AF2011" s="4"/>
      <c r="AG2011" s="4" t="n">
        <v>40</v>
      </c>
      <c r="AH2011" s="4" t="n">
        <v>3</v>
      </c>
      <c r="AI2011" s="4" t="n">
        <v>3</v>
      </c>
      <c r="AJ2011" s="4" t="n">
        <v>0</v>
      </c>
      <c r="AK2011" s="4" t="n">
        <v>5</v>
      </c>
      <c r="AL2011" s="4" t="s">
        <v>13769</v>
      </c>
      <c r="AM2011" s="4" t="s">
        <v>16554</v>
      </c>
      <c r="AN2011" s="4" t="s">
        <v>16555</v>
      </c>
      <c r="AO2011" s="4" t="s">
        <v>13772</v>
      </c>
      <c r="AP2011" s="4" t="s">
        <v>13773</v>
      </c>
      <c r="AQ2011" s="4"/>
      <c r="AR2011" s="4" t="s">
        <v>13774</v>
      </c>
      <c r="AS2011" s="4" t="s">
        <v>13775</v>
      </c>
      <c r="AT2011" s="4" t="s">
        <v>336</v>
      </c>
      <c r="AU2011" s="4" t="n">
        <v>2015</v>
      </c>
      <c r="AV2011" s="4" t="n">
        <v>160</v>
      </c>
      <c r="AW2011" s="4" t="n">
        <v>10</v>
      </c>
      <c r="AX2011" s="4"/>
      <c r="AY2011" s="4"/>
      <c r="AZ2011" s="4"/>
      <c r="BA2011" s="4"/>
      <c r="BB2011" s="4" t="n">
        <v>2445</v>
      </c>
      <c r="BC2011" s="4" t="n">
        <v>2453</v>
      </c>
      <c r="BD2011" s="4"/>
      <c r="BE2011" s="4" t="s">
        <v>33963</v>
      </c>
      <c r="BF2011" s="4" t="str">
        <f aca="false">HYPERLINK("http://dx.doi.org/10.1007/s00705-015-2524-x","http://dx.doi.org/10.1007/s00705-015-2524-x")</f>
        <v>http://dx.doi.org/10.1007/s00705-015-2524-x</v>
      </c>
      <c r="BG2011" s="4"/>
      <c r="BH2011" s="4"/>
      <c r="BI2011" s="4" t="n">
        <v>9</v>
      </c>
      <c r="BJ2011" s="4" t="s">
        <v>163</v>
      </c>
      <c r="BK2011" s="4" t="s">
        <v>100</v>
      </c>
      <c r="BL2011" s="4" t="s">
        <v>163</v>
      </c>
      <c r="BM2011" s="4" t="s">
        <v>33964</v>
      </c>
      <c r="BN2011" s="4" t="n">
        <v>26175070</v>
      </c>
      <c r="BO2011" s="4"/>
      <c r="BP2011" s="4"/>
      <c r="BQ2011" s="4"/>
      <c r="BR2011" s="4" t="s">
        <v>104</v>
      </c>
      <c r="BS2011" s="4" t="s">
        <v>33965</v>
      </c>
      <c r="BT2011" s="4" t="str">
        <f aca="false">HYPERLINK("https%3A%2F%2Fwww.webofscience.com%2Fwos%2Fwoscc%2Ffull-record%2FWOS:000361817600006","View Full Record in Web of Science")</f>
        <v>View Full Record in Web of Science</v>
      </c>
    </row>
    <row r="2012" s="5" customFormat="true" ht="12.75" hidden="false" customHeight="false" outlineLevel="0" collapsed="false">
      <c r="A2012" s="4" t="s">
        <v>72</v>
      </c>
      <c r="B2012" s="4" t="s">
        <v>33966</v>
      </c>
      <c r="C2012" s="4"/>
      <c r="D2012" s="4"/>
      <c r="E2012" s="4"/>
      <c r="F2012" s="4" t="s">
        <v>33967</v>
      </c>
      <c r="G2012" s="4"/>
      <c r="H2012" s="4"/>
      <c r="I2012" s="4" t="s">
        <v>33968</v>
      </c>
      <c r="J2012" s="4" t="s">
        <v>33969</v>
      </c>
      <c r="K2012" s="4"/>
      <c r="L2012" s="4"/>
      <c r="M2012" s="4" t="s">
        <v>77</v>
      </c>
      <c r="N2012" s="4" t="s">
        <v>78</v>
      </c>
      <c r="O2012" s="4"/>
      <c r="P2012" s="4"/>
      <c r="Q2012" s="4"/>
      <c r="R2012" s="4"/>
      <c r="S2012" s="4"/>
      <c r="T2012" s="1" t="s">
        <v>33970</v>
      </c>
      <c r="U2012" s="4" t="s">
        <v>33971</v>
      </c>
      <c r="V2012" s="4" t="s">
        <v>33972</v>
      </c>
      <c r="W2012" s="4" t="s">
        <v>33973</v>
      </c>
      <c r="X2012" s="4" t="s">
        <v>33974</v>
      </c>
      <c r="Y2012" s="4" t="s">
        <v>33975</v>
      </c>
      <c r="Z2012" s="4" t="s">
        <v>7580</v>
      </c>
      <c r="AA2012" s="4" t="s">
        <v>33976</v>
      </c>
      <c r="AB2012" s="4" t="s">
        <v>7582</v>
      </c>
      <c r="AC2012" s="4"/>
      <c r="AD2012" s="4"/>
      <c r="AE2012" s="4"/>
      <c r="AF2012" s="4"/>
      <c r="AG2012" s="4" t="n">
        <v>47</v>
      </c>
      <c r="AH2012" s="4" t="n">
        <v>39</v>
      </c>
      <c r="AI2012" s="4" t="n">
        <v>40</v>
      </c>
      <c r="AJ2012" s="4" t="n">
        <v>2</v>
      </c>
      <c r="AK2012" s="4" t="n">
        <v>13</v>
      </c>
      <c r="AL2012" s="4" t="s">
        <v>383</v>
      </c>
      <c r="AM2012" s="4" t="s">
        <v>384</v>
      </c>
      <c r="AN2012" s="4" t="s">
        <v>385</v>
      </c>
      <c r="AO2012" s="4" t="s">
        <v>33977</v>
      </c>
      <c r="AP2012" s="4"/>
      <c r="AQ2012" s="4"/>
      <c r="AR2012" s="4" t="s">
        <v>33969</v>
      </c>
      <c r="AS2012" s="4" t="s">
        <v>33978</v>
      </c>
      <c r="AT2012" s="4" t="s">
        <v>692</v>
      </c>
      <c r="AU2012" s="4" t="n">
        <v>2023</v>
      </c>
      <c r="AV2012" s="4" t="n">
        <v>90</v>
      </c>
      <c r="AW2012" s="4"/>
      <c r="AX2012" s="4"/>
      <c r="AY2012" s="4"/>
      <c r="AZ2012" s="4"/>
      <c r="BA2012" s="4"/>
      <c r="BB2012" s="4"/>
      <c r="BC2012" s="4"/>
      <c r="BD2012" s="4" t="s">
        <v>33979</v>
      </c>
      <c r="BE2012" s="4" t="s">
        <v>33980</v>
      </c>
      <c r="BF2012" s="4" t="str">
        <f aca="false">HYPERLINK("http://dx.doi.org/10.1016/j.ebiom.2023.104493","http://dx.doi.org/10.1016/j.ebiom.2023.104493")</f>
        <v>http://dx.doi.org/10.1016/j.ebiom.2023.104493</v>
      </c>
      <c r="BG2012" s="4"/>
      <c r="BH2012" s="4" t="s">
        <v>1919</v>
      </c>
      <c r="BI2012" s="4" t="n">
        <v>16</v>
      </c>
      <c r="BJ2012" s="4" t="s">
        <v>4642</v>
      </c>
      <c r="BK2012" s="4" t="s">
        <v>100</v>
      </c>
      <c r="BL2012" s="4" t="s">
        <v>4643</v>
      </c>
      <c r="BM2012" s="4" t="s">
        <v>33981</v>
      </c>
      <c r="BN2012" s="4" t="n">
        <v>36857965</v>
      </c>
      <c r="BO2012" s="4" t="s">
        <v>2178</v>
      </c>
      <c r="BP2012" s="4" t="s">
        <v>1921</v>
      </c>
      <c r="BQ2012" s="4" t="s">
        <v>1922</v>
      </c>
      <c r="BR2012" s="4" t="s">
        <v>104</v>
      </c>
      <c r="BS2012" s="4" t="s">
        <v>33982</v>
      </c>
      <c r="BT2012" s="4" t="str">
        <f aca="false">HYPERLINK("https%3A%2F%2Fwww.webofscience.com%2Fwos%2Fwoscc%2Ffull-record%2FWOS:000949942300001","View Full Record in Web of Science")</f>
        <v>View Full Record in Web of Science</v>
      </c>
    </row>
    <row r="2013" s="5" customFormat="true" ht="12.75" hidden="false" customHeight="false" outlineLevel="0" collapsed="false">
      <c r="A2013" s="4" t="s">
        <v>72</v>
      </c>
      <c r="B2013" s="4" t="s">
        <v>33983</v>
      </c>
      <c r="C2013" s="4"/>
      <c r="D2013" s="4"/>
      <c r="E2013" s="4"/>
      <c r="F2013" s="4" t="s">
        <v>33984</v>
      </c>
      <c r="G2013" s="4"/>
      <c r="H2013" s="4"/>
      <c r="I2013" s="4" t="s">
        <v>33985</v>
      </c>
      <c r="J2013" s="4" t="s">
        <v>32854</v>
      </c>
      <c r="K2013" s="4"/>
      <c r="L2013" s="4"/>
      <c r="M2013" s="4" t="s">
        <v>77</v>
      </c>
      <c r="N2013" s="4" t="s">
        <v>78</v>
      </c>
      <c r="O2013" s="4"/>
      <c r="P2013" s="4"/>
      <c r="Q2013" s="4"/>
      <c r="R2013" s="4"/>
      <c r="S2013" s="4"/>
      <c r="T2013" s="1" t="s">
        <v>33986</v>
      </c>
      <c r="U2013" s="4" t="s">
        <v>33987</v>
      </c>
      <c r="V2013" s="4" t="s">
        <v>33988</v>
      </c>
      <c r="W2013" s="4" t="s">
        <v>33989</v>
      </c>
      <c r="X2013" s="4" t="s">
        <v>33990</v>
      </c>
      <c r="Y2013" s="4" t="s">
        <v>33991</v>
      </c>
      <c r="Z2013" s="4" t="s">
        <v>32861</v>
      </c>
      <c r="AA2013" s="4" t="s">
        <v>33992</v>
      </c>
      <c r="AB2013" s="4"/>
      <c r="AC2013" s="4" t="s">
        <v>33993</v>
      </c>
      <c r="AD2013" s="4" t="s">
        <v>33994</v>
      </c>
      <c r="AE2013" s="4" t="s">
        <v>33995</v>
      </c>
      <c r="AF2013" s="4"/>
      <c r="AG2013" s="4" t="n">
        <v>30</v>
      </c>
      <c r="AH2013" s="4" t="n">
        <v>12</v>
      </c>
      <c r="AI2013" s="4" t="n">
        <v>13</v>
      </c>
      <c r="AJ2013" s="4" t="n">
        <v>0</v>
      </c>
      <c r="AK2013" s="4" t="n">
        <v>2</v>
      </c>
      <c r="AL2013" s="4" t="s">
        <v>27808</v>
      </c>
      <c r="AM2013" s="4" t="s">
        <v>303</v>
      </c>
      <c r="AN2013" s="4" t="s">
        <v>27809</v>
      </c>
      <c r="AO2013" s="4" t="s">
        <v>32867</v>
      </c>
      <c r="AP2013" s="4" t="s">
        <v>32868</v>
      </c>
      <c r="AQ2013" s="4"/>
      <c r="AR2013" s="4" t="s">
        <v>32869</v>
      </c>
      <c r="AS2013" s="4" t="s">
        <v>32870</v>
      </c>
      <c r="AT2013" s="4"/>
      <c r="AU2013" s="4" t="n">
        <v>2013</v>
      </c>
      <c r="AV2013" s="4"/>
      <c r="AW2013" s="4"/>
      <c r="AX2013" s="4"/>
      <c r="AY2013" s="4"/>
      <c r="AZ2013" s="4"/>
      <c r="BA2013" s="4"/>
      <c r="BB2013" s="4"/>
      <c r="BC2013" s="4"/>
      <c r="BD2013" s="4" t="n">
        <v>869521</v>
      </c>
      <c r="BE2013" s="4" t="s">
        <v>33996</v>
      </c>
      <c r="BF2013" s="4" t="str">
        <f aca="false">HYPERLINK("http://dx.doi.org/10.1155/2013/869521","http://dx.doi.org/10.1155/2013/869521")</f>
        <v>http://dx.doi.org/10.1155/2013/869521</v>
      </c>
      <c r="BG2013" s="4"/>
      <c r="BH2013" s="4"/>
      <c r="BI2013" s="4" t="n">
        <v>7</v>
      </c>
      <c r="BJ2013" s="4" t="s">
        <v>628</v>
      </c>
      <c r="BK2013" s="4" t="s">
        <v>100</v>
      </c>
      <c r="BL2013" s="4" t="s">
        <v>628</v>
      </c>
      <c r="BM2013" s="4" t="s">
        <v>33997</v>
      </c>
      <c r="BN2013" s="4"/>
      <c r="BO2013" s="4" t="s">
        <v>341</v>
      </c>
      <c r="BP2013" s="4"/>
      <c r="BQ2013" s="4"/>
      <c r="BR2013" s="4" t="s">
        <v>104</v>
      </c>
      <c r="BS2013" s="4" t="s">
        <v>33998</v>
      </c>
      <c r="BT2013" s="4" t="str">
        <f aca="false">HYPERLINK("https%3A%2F%2Fwww.webofscience.com%2Fwos%2Fwoscc%2Ffull-record%2FWOS:000318078200001","View Full Record in Web of Science")</f>
        <v>View Full Record in Web of Science</v>
      </c>
    </row>
    <row r="2014" s="5" customFormat="true" ht="12.75" hidden="false" customHeight="false" outlineLevel="0" collapsed="false">
      <c r="A2014" s="4" t="s">
        <v>72</v>
      </c>
      <c r="B2014" s="4" t="s">
        <v>33999</v>
      </c>
      <c r="C2014" s="4"/>
      <c r="D2014" s="4"/>
      <c r="E2014" s="4"/>
      <c r="F2014" s="4" t="s">
        <v>34000</v>
      </c>
      <c r="G2014" s="4"/>
      <c r="H2014" s="4"/>
      <c r="I2014" s="4" t="s">
        <v>34001</v>
      </c>
      <c r="J2014" s="4" t="s">
        <v>27497</v>
      </c>
      <c r="K2014" s="4"/>
      <c r="L2014" s="4"/>
      <c r="M2014" s="4" t="s">
        <v>77</v>
      </c>
      <c r="N2014" s="4" t="s">
        <v>78</v>
      </c>
      <c r="O2014" s="4"/>
      <c r="P2014" s="4"/>
      <c r="Q2014" s="4"/>
      <c r="R2014" s="4"/>
      <c r="S2014" s="4"/>
      <c r="T2014" s="1" t="s">
        <v>34002</v>
      </c>
      <c r="U2014" s="4" t="s">
        <v>34003</v>
      </c>
      <c r="V2014" s="4" t="s">
        <v>34004</v>
      </c>
      <c r="W2014" s="4" t="s">
        <v>34005</v>
      </c>
      <c r="X2014" s="4" t="s">
        <v>34006</v>
      </c>
      <c r="Y2014" s="4" t="s">
        <v>34007</v>
      </c>
      <c r="Z2014" s="4" t="s">
        <v>34008</v>
      </c>
      <c r="AA2014" s="4" t="s">
        <v>34009</v>
      </c>
      <c r="AB2014" s="4" t="s">
        <v>7457</v>
      </c>
      <c r="AC2014" s="4" t="s">
        <v>34010</v>
      </c>
      <c r="AD2014" s="4" t="s">
        <v>34011</v>
      </c>
      <c r="AE2014" s="4" t="s">
        <v>34012</v>
      </c>
      <c r="AF2014" s="4"/>
      <c r="AG2014" s="4" t="n">
        <v>26</v>
      </c>
      <c r="AH2014" s="4" t="n">
        <v>19</v>
      </c>
      <c r="AI2014" s="4" t="n">
        <v>20</v>
      </c>
      <c r="AJ2014" s="4" t="n">
        <v>0</v>
      </c>
      <c r="AK2014" s="4" t="n">
        <v>7</v>
      </c>
      <c r="AL2014" s="4" t="s">
        <v>27506</v>
      </c>
      <c r="AM2014" s="4" t="s">
        <v>27507</v>
      </c>
      <c r="AN2014" s="4" t="s">
        <v>27508</v>
      </c>
      <c r="AO2014" s="4" t="s">
        <v>27509</v>
      </c>
      <c r="AP2014" s="4"/>
      <c r="AQ2014" s="4"/>
      <c r="AR2014" s="4" t="s">
        <v>27497</v>
      </c>
      <c r="AS2014" s="4" t="s">
        <v>27510</v>
      </c>
      <c r="AT2014" s="4" t="s">
        <v>34013</v>
      </c>
      <c r="AU2014" s="4" t="n">
        <v>2013</v>
      </c>
      <c r="AV2014" s="4" t="n">
        <v>8</v>
      </c>
      <c r="AW2014" s="4" t="n">
        <v>1</v>
      </c>
      <c r="AX2014" s="4"/>
      <c r="AY2014" s="4"/>
      <c r="AZ2014" s="4"/>
      <c r="BA2014" s="4"/>
      <c r="BB2014" s="4"/>
      <c r="BC2014" s="4"/>
      <c r="BD2014" s="4" t="s">
        <v>34014</v>
      </c>
      <c r="BE2014" s="4" t="s">
        <v>34015</v>
      </c>
      <c r="BF2014" s="4" t="str">
        <f aca="false">HYPERLINK("http://dx.doi.org/10.1371/journal.pone.0053857","http://dx.doi.org/10.1371/journal.pone.0053857")</f>
        <v>http://dx.doi.org/10.1371/journal.pone.0053857</v>
      </c>
      <c r="BG2014" s="4"/>
      <c r="BH2014" s="4"/>
      <c r="BI2014" s="4" t="n">
        <v>6</v>
      </c>
      <c r="BJ2014" s="4" t="s">
        <v>1658</v>
      </c>
      <c r="BK2014" s="4" t="s">
        <v>100</v>
      </c>
      <c r="BL2014" s="4" t="s">
        <v>1659</v>
      </c>
      <c r="BM2014" s="4" t="s">
        <v>34016</v>
      </c>
      <c r="BN2014" s="4" t="n">
        <v>23365643</v>
      </c>
      <c r="BO2014" s="4" t="s">
        <v>341</v>
      </c>
      <c r="BP2014" s="4"/>
      <c r="BQ2014" s="4"/>
      <c r="BR2014" s="4" t="s">
        <v>104</v>
      </c>
      <c r="BS2014" s="4" t="s">
        <v>34017</v>
      </c>
      <c r="BT2014" s="4" t="str">
        <f aca="false">HYPERLINK("https%3A%2F%2Fwww.webofscience.com%2Fwos%2Fwoscc%2Ffull-record%2FWOS:000314023600023","View Full Record in Web of Science")</f>
        <v>View Full Record in Web of Science</v>
      </c>
    </row>
    <row r="2015" s="5" customFormat="true" ht="12.75" hidden="false" customHeight="false" outlineLevel="0" collapsed="false">
      <c r="A2015" s="4" t="s">
        <v>72</v>
      </c>
      <c r="B2015" s="4" t="s">
        <v>34018</v>
      </c>
      <c r="C2015" s="4"/>
      <c r="D2015" s="4"/>
      <c r="E2015" s="4"/>
      <c r="F2015" s="4" t="s">
        <v>34019</v>
      </c>
      <c r="G2015" s="4"/>
      <c r="H2015" s="4"/>
      <c r="I2015" s="4" t="s">
        <v>34020</v>
      </c>
      <c r="J2015" s="4" t="s">
        <v>6395</v>
      </c>
      <c r="K2015" s="4"/>
      <c r="L2015" s="4"/>
      <c r="M2015" s="4" t="s">
        <v>77</v>
      </c>
      <c r="N2015" s="4" t="s">
        <v>78</v>
      </c>
      <c r="O2015" s="4"/>
      <c r="P2015" s="4"/>
      <c r="Q2015" s="4"/>
      <c r="R2015" s="4"/>
      <c r="S2015" s="4"/>
      <c r="T2015" s="1" t="s">
        <v>34021</v>
      </c>
      <c r="U2015" s="4" t="s">
        <v>34022</v>
      </c>
      <c r="V2015" s="4" t="s">
        <v>34023</v>
      </c>
      <c r="W2015" s="4" t="s">
        <v>34024</v>
      </c>
      <c r="X2015" s="4" t="s">
        <v>34025</v>
      </c>
      <c r="Y2015" s="4" t="s">
        <v>34026</v>
      </c>
      <c r="Z2015" s="4" t="s">
        <v>34027</v>
      </c>
      <c r="AA2015" s="4"/>
      <c r="AB2015" s="4"/>
      <c r="AC2015" s="4" t="s">
        <v>34028</v>
      </c>
      <c r="AD2015" s="4" t="s">
        <v>34029</v>
      </c>
      <c r="AE2015" s="4" t="s">
        <v>34030</v>
      </c>
      <c r="AF2015" s="4"/>
      <c r="AG2015" s="4" t="n">
        <v>36</v>
      </c>
      <c r="AH2015" s="4" t="n">
        <v>5</v>
      </c>
      <c r="AI2015" s="4" t="n">
        <v>5</v>
      </c>
      <c r="AJ2015" s="4" t="n">
        <v>1</v>
      </c>
      <c r="AK2015" s="4" t="n">
        <v>7</v>
      </c>
      <c r="AL2015" s="4" t="s">
        <v>6405</v>
      </c>
      <c r="AM2015" s="4" t="s">
        <v>6406</v>
      </c>
      <c r="AN2015" s="4" t="s">
        <v>6407</v>
      </c>
      <c r="AO2015" s="4" t="s">
        <v>6408</v>
      </c>
      <c r="AP2015" s="4"/>
      <c r="AQ2015" s="4"/>
      <c r="AR2015" s="4" t="s">
        <v>6409</v>
      </c>
      <c r="AS2015" s="4" t="s">
        <v>6410</v>
      </c>
      <c r="AT2015" s="4" t="s">
        <v>4740</v>
      </c>
      <c r="AU2015" s="4" t="n">
        <v>2022</v>
      </c>
      <c r="AV2015" s="4" t="n">
        <v>12</v>
      </c>
      <c r="AW2015" s="4" t="n">
        <v>1</v>
      </c>
      <c r="AX2015" s="4"/>
      <c r="AY2015" s="4"/>
      <c r="AZ2015" s="4"/>
      <c r="BA2015" s="4"/>
      <c r="BB2015" s="4"/>
      <c r="BC2015" s="4"/>
      <c r="BD2015" s="4" t="n">
        <v>939</v>
      </c>
      <c r="BE2015" s="4" t="s">
        <v>34031</v>
      </c>
      <c r="BF2015" s="4" t="str">
        <f aca="false">HYPERLINK("http://dx.doi.org/10.1038/s41598-022-04816-9","http://dx.doi.org/10.1038/s41598-022-04816-9")</f>
        <v>http://dx.doi.org/10.1038/s41598-022-04816-9</v>
      </c>
      <c r="BG2015" s="4"/>
      <c r="BH2015" s="4"/>
      <c r="BI2015" s="4" t="n">
        <v>11</v>
      </c>
      <c r="BJ2015" s="4" t="s">
        <v>1658</v>
      </c>
      <c r="BK2015" s="4" t="s">
        <v>100</v>
      </c>
      <c r="BL2015" s="4" t="s">
        <v>1659</v>
      </c>
      <c r="BM2015" s="4" t="s">
        <v>34032</v>
      </c>
      <c r="BN2015" s="4" t="n">
        <v>35042900</v>
      </c>
      <c r="BO2015" s="4" t="s">
        <v>103</v>
      </c>
      <c r="BP2015" s="4"/>
      <c r="BQ2015" s="4"/>
      <c r="BR2015" s="4" t="s">
        <v>104</v>
      </c>
      <c r="BS2015" s="4" t="s">
        <v>34033</v>
      </c>
      <c r="BT2015" s="4" t="str">
        <f aca="false">HYPERLINK("https%3A%2F%2Fwww.webofscience.com%2Fwos%2Fwoscc%2Ffull-record%2FWOS:000744120000029","View Full Record in Web of Science")</f>
        <v>View Full Record in Web of Science</v>
      </c>
    </row>
    <row r="2016" s="5" customFormat="true" ht="12.75" hidden="false" customHeight="false" outlineLevel="0" collapsed="false">
      <c r="A2016" s="4" t="s">
        <v>72</v>
      </c>
      <c r="B2016" s="4" t="s">
        <v>34034</v>
      </c>
      <c r="C2016" s="4"/>
      <c r="D2016" s="4"/>
      <c r="E2016" s="4"/>
      <c r="F2016" s="4" t="s">
        <v>34034</v>
      </c>
      <c r="G2016" s="4"/>
      <c r="H2016" s="4"/>
      <c r="I2016" s="4" t="s">
        <v>34035</v>
      </c>
      <c r="J2016" s="4" t="s">
        <v>28007</v>
      </c>
      <c r="K2016" s="4"/>
      <c r="L2016" s="4"/>
      <c r="M2016" s="4" t="s">
        <v>77</v>
      </c>
      <c r="N2016" s="4" t="s">
        <v>78</v>
      </c>
      <c r="O2016" s="4"/>
      <c r="P2016" s="4"/>
      <c r="Q2016" s="4"/>
      <c r="R2016" s="4"/>
      <c r="S2016" s="4"/>
      <c r="T2016" s="0"/>
      <c r="U2016" s="4"/>
      <c r="V2016" s="4"/>
      <c r="W2016" s="4" t="s">
        <v>17883</v>
      </c>
      <c r="X2016" s="4" t="s">
        <v>12119</v>
      </c>
      <c r="Y2016" s="4" t="s">
        <v>17884</v>
      </c>
      <c r="Z2016" s="4" t="s">
        <v>13853</v>
      </c>
      <c r="AA2016" s="4"/>
      <c r="AB2016" s="4"/>
      <c r="AC2016" s="4"/>
      <c r="AD2016" s="4"/>
      <c r="AE2016" s="4"/>
      <c r="AF2016" s="4"/>
      <c r="AG2016" s="4" t="n">
        <v>1</v>
      </c>
      <c r="AH2016" s="4" t="n">
        <v>0</v>
      </c>
      <c r="AI2016" s="4" t="n">
        <v>0</v>
      </c>
      <c r="AJ2016" s="4" t="n">
        <v>0</v>
      </c>
      <c r="AK2016" s="4" t="n">
        <v>0</v>
      </c>
      <c r="AL2016" s="4" t="s">
        <v>5523</v>
      </c>
      <c r="AM2016" s="4" t="s">
        <v>5524</v>
      </c>
      <c r="AN2016" s="4" t="s">
        <v>5525</v>
      </c>
      <c r="AO2016" s="4" t="s">
        <v>28014</v>
      </c>
      <c r="AP2016" s="4" t="s">
        <v>28015</v>
      </c>
      <c r="AQ2016" s="4"/>
      <c r="AR2016" s="4" t="s">
        <v>28007</v>
      </c>
      <c r="AS2016" s="4" t="s">
        <v>28016</v>
      </c>
      <c r="AT2016" s="4" t="s">
        <v>336</v>
      </c>
      <c r="AU2016" s="4" t="n">
        <v>2005</v>
      </c>
      <c r="AV2016" s="4" t="n">
        <v>24</v>
      </c>
      <c r="AW2016" s="4" t="n">
        <v>5</v>
      </c>
      <c r="AX2016" s="4"/>
      <c r="AY2016" s="4"/>
      <c r="AZ2016" s="4"/>
      <c r="BA2016" s="4"/>
      <c r="BB2016" s="4" t="n">
        <v>268</v>
      </c>
      <c r="BC2016" s="4" t="n">
        <v>268</v>
      </c>
      <c r="BD2016" s="4"/>
      <c r="BE2016" s="4"/>
      <c r="BF2016" s="4"/>
      <c r="BG2016" s="4"/>
      <c r="BH2016" s="4"/>
      <c r="BI2016" s="4" t="n">
        <v>1</v>
      </c>
      <c r="BJ2016" s="4" t="s">
        <v>28018</v>
      </c>
      <c r="BK2016" s="4" t="s">
        <v>100</v>
      </c>
      <c r="BL2016" s="4" t="s">
        <v>28019</v>
      </c>
      <c r="BM2016" s="4" t="s">
        <v>34036</v>
      </c>
      <c r="BN2016" s="4"/>
      <c r="BO2016" s="4"/>
      <c r="BP2016" s="4"/>
      <c r="BQ2016" s="4"/>
      <c r="BR2016" s="4" t="s">
        <v>104</v>
      </c>
      <c r="BS2016" s="4" t="s">
        <v>34037</v>
      </c>
      <c r="BT2016" s="4" t="str">
        <f aca="false">HYPERLINK("https%3A%2F%2Fwww.webofscience.com%2Fwos%2Fwoscc%2Ffull-record%2FWOS:000232785000009","View Full Record in Web of Science")</f>
        <v>View Full Record in Web of Science</v>
      </c>
    </row>
    <row r="2017" s="5" customFormat="true" ht="12.75" hidden="false" customHeight="false" outlineLevel="0" collapsed="false">
      <c r="A2017" s="4" t="s">
        <v>72</v>
      </c>
      <c r="B2017" s="4" t="s">
        <v>34034</v>
      </c>
      <c r="C2017" s="4"/>
      <c r="D2017" s="4"/>
      <c r="E2017" s="4"/>
      <c r="F2017" s="4" t="s">
        <v>34034</v>
      </c>
      <c r="G2017" s="4"/>
      <c r="H2017" s="4"/>
      <c r="I2017" s="4" t="s">
        <v>34038</v>
      </c>
      <c r="J2017" s="4" t="s">
        <v>28007</v>
      </c>
      <c r="K2017" s="4"/>
      <c r="L2017" s="4"/>
      <c r="M2017" s="4" t="s">
        <v>77</v>
      </c>
      <c r="N2017" s="4" t="s">
        <v>78</v>
      </c>
      <c r="O2017" s="4"/>
      <c r="P2017" s="4"/>
      <c r="Q2017" s="4"/>
      <c r="R2017" s="4"/>
      <c r="S2017" s="4"/>
      <c r="T2017" s="0"/>
      <c r="U2017" s="4"/>
      <c r="V2017" s="4"/>
      <c r="W2017" s="4" t="s">
        <v>17883</v>
      </c>
      <c r="X2017" s="4" t="s">
        <v>12119</v>
      </c>
      <c r="Y2017" s="4" t="s">
        <v>17884</v>
      </c>
      <c r="Z2017" s="4" t="s">
        <v>13853</v>
      </c>
      <c r="AA2017" s="4"/>
      <c r="AB2017" s="4"/>
      <c r="AC2017" s="4"/>
      <c r="AD2017" s="4"/>
      <c r="AE2017" s="4"/>
      <c r="AF2017" s="4"/>
      <c r="AG2017" s="4" t="n">
        <v>1</v>
      </c>
      <c r="AH2017" s="4" t="n">
        <v>0</v>
      </c>
      <c r="AI2017" s="4" t="n">
        <v>0</v>
      </c>
      <c r="AJ2017" s="4" t="n">
        <v>0</v>
      </c>
      <c r="AK2017" s="4" t="n">
        <v>0</v>
      </c>
      <c r="AL2017" s="4" t="s">
        <v>5523</v>
      </c>
      <c r="AM2017" s="4" t="s">
        <v>5524</v>
      </c>
      <c r="AN2017" s="4" t="s">
        <v>5525</v>
      </c>
      <c r="AO2017" s="4" t="s">
        <v>28014</v>
      </c>
      <c r="AP2017" s="4" t="s">
        <v>28015</v>
      </c>
      <c r="AQ2017" s="4"/>
      <c r="AR2017" s="4" t="s">
        <v>28007</v>
      </c>
      <c r="AS2017" s="4" t="s">
        <v>28016</v>
      </c>
      <c r="AT2017" s="4" t="s">
        <v>336</v>
      </c>
      <c r="AU2017" s="4" t="n">
        <v>2005</v>
      </c>
      <c r="AV2017" s="4" t="n">
        <v>24</v>
      </c>
      <c r="AW2017" s="4" t="n">
        <v>5</v>
      </c>
      <c r="AX2017" s="4"/>
      <c r="AY2017" s="4"/>
      <c r="AZ2017" s="4"/>
      <c r="BA2017" s="4"/>
      <c r="BB2017" s="4" t="n">
        <v>267</v>
      </c>
      <c r="BC2017" s="4" t="n">
        <v>267</v>
      </c>
      <c r="BD2017" s="4"/>
      <c r="BE2017" s="4"/>
      <c r="BF2017" s="4"/>
      <c r="BG2017" s="4"/>
      <c r="BH2017" s="4"/>
      <c r="BI2017" s="4" t="n">
        <v>1</v>
      </c>
      <c r="BJ2017" s="4" t="s">
        <v>28018</v>
      </c>
      <c r="BK2017" s="4" t="s">
        <v>100</v>
      </c>
      <c r="BL2017" s="4" t="s">
        <v>28019</v>
      </c>
      <c r="BM2017" s="4" t="s">
        <v>34036</v>
      </c>
      <c r="BN2017" s="4"/>
      <c r="BO2017" s="4"/>
      <c r="BP2017" s="4"/>
      <c r="BQ2017" s="4"/>
      <c r="BR2017" s="4" t="s">
        <v>104</v>
      </c>
      <c r="BS2017" s="4" t="s">
        <v>34039</v>
      </c>
      <c r="BT2017" s="4" t="str">
        <f aca="false">HYPERLINK("https%3A%2F%2Fwww.webofscience.com%2Fwos%2Fwoscc%2Ffull-record%2FWOS:000232785000008","View Full Record in Web of Science")</f>
        <v>View Full Record in Web of Science</v>
      </c>
    </row>
    <row r="2018" s="5" customFormat="true" ht="12.75" hidden="false" customHeight="false" outlineLevel="0" collapsed="false">
      <c r="A2018" s="4" t="s">
        <v>72</v>
      </c>
      <c r="B2018" s="4" t="s">
        <v>34040</v>
      </c>
      <c r="C2018" s="4"/>
      <c r="D2018" s="4"/>
      <c r="E2018" s="4"/>
      <c r="F2018" s="4" t="s">
        <v>34041</v>
      </c>
      <c r="G2018" s="4"/>
      <c r="H2018" s="4"/>
      <c r="I2018" s="4" t="s">
        <v>34042</v>
      </c>
      <c r="J2018" s="4" t="s">
        <v>2222</v>
      </c>
      <c r="K2018" s="4"/>
      <c r="L2018" s="4"/>
      <c r="M2018" s="4" t="s">
        <v>77</v>
      </c>
      <c r="N2018" s="4" t="s">
        <v>78</v>
      </c>
      <c r="O2018" s="4"/>
      <c r="P2018" s="4"/>
      <c r="Q2018" s="4"/>
      <c r="R2018" s="4"/>
      <c r="S2018" s="4"/>
      <c r="T2018" s="1" t="s">
        <v>34043</v>
      </c>
      <c r="U2018" s="4" t="s">
        <v>34044</v>
      </c>
      <c r="V2018" s="4" t="s">
        <v>34045</v>
      </c>
      <c r="W2018" s="4" t="s">
        <v>34046</v>
      </c>
      <c r="X2018" s="4" t="s">
        <v>34047</v>
      </c>
      <c r="Y2018" s="4" t="s">
        <v>34048</v>
      </c>
      <c r="Z2018" s="4" t="s">
        <v>34049</v>
      </c>
      <c r="AA2018" s="4"/>
      <c r="AB2018" s="4" t="s">
        <v>34050</v>
      </c>
      <c r="AC2018" s="4"/>
      <c r="AD2018" s="4"/>
      <c r="AE2018" s="4"/>
      <c r="AF2018" s="4"/>
      <c r="AG2018" s="4" t="n">
        <v>34</v>
      </c>
      <c r="AH2018" s="4" t="n">
        <v>100</v>
      </c>
      <c r="AI2018" s="4" t="n">
        <v>107</v>
      </c>
      <c r="AJ2018" s="4" t="n">
        <v>0</v>
      </c>
      <c r="AK2018" s="4" t="n">
        <v>7</v>
      </c>
      <c r="AL2018" s="4" t="s">
        <v>755</v>
      </c>
      <c r="AM2018" s="4" t="s">
        <v>273</v>
      </c>
      <c r="AN2018" s="4" t="s">
        <v>756</v>
      </c>
      <c r="AO2018" s="4" t="s">
        <v>2234</v>
      </c>
      <c r="AP2018" s="4" t="s">
        <v>2235</v>
      </c>
      <c r="AQ2018" s="4"/>
      <c r="AR2018" s="4" t="s">
        <v>2236</v>
      </c>
      <c r="AS2018" s="4" t="s">
        <v>2237</v>
      </c>
      <c r="AT2018" s="4" t="s">
        <v>129</v>
      </c>
      <c r="AU2018" s="4" t="n">
        <v>2007</v>
      </c>
      <c r="AV2018" s="4" t="n">
        <v>45</v>
      </c>
      <c r="AW2018" s="4" t="n">
        <v>9</v>
      </c>
      <c r="AX2018" s="4"/>
      <c r="AY2018" s="4"/>
      <c r="AZ2018" s="4"/>
      <c r="BA2018" s="4"/>
      <c r="BB2018" s="4" t="n">
        <v>2779</v>
      </c>
      <c r="BC2018" s="4" t="n">
        <v>2786</v>
      </c>
      <c r="BD2018" s="4"/>
      <c r="BE2018" s="4" t="s">
        <v>34051</v>
      </c>
      <c r="BF2018" s="4" t="str">
        <f aca="false">HYPERLINK("http://dx.doi.org/10.1128/JCM.00669-07","http://dx.doi.org/10.1128/JCM.00669-07")</f>
        <v>http://dx.doi.org/10.1128/JCM.00669-07</v>
      </c>
      <c r="BG2018" s="4"/>
      <c r="BH2018" s="4"/>
      <c r="BI2018" s="4" t="n">
        <v>8</v>
      </c>
      <c r="BJ2018" s="4" t="s">
        <v>211</v>
      </c>
      <c r="BK2018" s="4" t="s">
        <v>100</v>
      </c>
      <c r="BL2018" s="4" t="s">
        <v>211</v>
      </c>
      <c r="BM2018" s="4" t="s">
        <v>34052</v>
      </c>
      <c r="BN2018" s="4" t="n">
        <v>17596361</v>
      </c>
      <c r="BO2018" s="4" t="s">
        <v>3775</v>
      </c>
      <c r="BP2018" s="4"/>
      <c r="BQ2018" s="4"/>
      <c r="BR2018" s="4" t="s">
        <v>104</v>
      </c>
      <c r="BS2018" s="4" t="s">
        <v>34053</v>
      </c>
      <c r="BT2018" s="4" t="str">
        <f aca="false">HYPERLINK("https%3A%2F%2Fwww.webofscience.com%2Fwos%2Fwoscc%2Ffull-record%2FWOS:000249506900004","View Full Record in Web of Science")</f>
        <v>View Full Record in Web of Science</v>
      </c>
    </row>
    <row r="2019" s="5" customFormat="true" ht="12.75" hidden="false" customHeight="false" outlineLevel="0" collapsed="false">
      <c r="A2019" s="4" t="s">
        <v>72</v>
      </c>
      <c r="B2019" s="4" t="s">
        <v>34054</v>
      </c>
      <c r="C2019" s="4"/>
      <c r="D2019" s="4"/>
      <c r="E2019" s="4"/>
      <c r="F2019" s="4" t="s">
        <v>34055</v>
      </c>
      <c r="G2019" s="4"/>
      <c r="H2019" s="4"/>
      <c r="I2019" s="4" t="s">
        <v>34056</v>
      </c>
      <c r="J2019" s="4" t="s">
        <v>34057</v>
      </c>
      <c r="K2019" s="4"/>
      <c r="L2019" s="4"/>
      <c r="M2019" s="4" t="s">
        <v>77</v>
      </c>
      <c r="N2019" s="4" t="s">
        <v>78</v>
      </c>
      <c r="O2019" s="4"/>
      <c r="P2019" s="4"/>
      <c r="Q2019" s="4"/>
      <c r="R2019" s="4"/>
      <c r="S2019" s="4"/>
      <c r="T2019" s="1" t="s">
        <v>34058</v>
      </c>
      <c r="U2019" s="4"/>
      <c r="V2019" s="4" t="s">
        <v>34059</v>
      </c>
      <c r="W2019" s="4" t="s">
        <v>34060</v>
      </c>
      <c r="X2019" s="4"/>
      <c r="Y2019" s="4" t="s">
        <v>34061</v>
      </c>
      <c r="Z2019" s="4" t="s">
        <v>34062</v>
      </c>
      <c r="AA2019" s="4"/>
      <c r="AB2019" s="4"/>
      <c r="AC2019" s="4"/>
      <c r="AD2019" s="4"/>
      <c r="AE2019" s="4"/>
      <c r="AF2019" s="4"/>
      <c r="AG2019" s="4" t="n">
        <v>22</v>
      </c>
      <c r="AH2019" s="4" t="n">
        <v>1</v>
      </c>
      <c r="AI2019" s="4" t="n">
        <v>1</v>
      </c>
      <c r="AJ2019" s="4" t="n">
        <v>0</v>
      </c>
      <c r="AK2019" s="4" t="n">
        <v>0</v>
      </c>
      <c r="AL2019" s="4" t="s">
        <v>34063</v>
      </c>
      <c r="AM2019" s="4" t="s">
        <v>34064</v>
      </c>
      <c r="AN2019" s="4" t="s">
        <v>34065</v>
      </c>
      <c r="AO2019" s="4" t="s">
        <v>34066</v>
      </c>
      <c r="AP2019" s="4" t="s">
        <v>34067</v>
      </c>
      <c r="AQ2019" s="4"/>
      <c r="AR2019" s="4" t="s">
        <v>34068</v>
      </c>
      <c r="AS2019" s="4" t="s">
        <v>34069</v>
      </c>
      <c r="AT2019" s="4" t="s">
        <v>18836</v>
      </c>
      <c r="AU2019" s="4" t="n">
        <v>2023</v>
      </c>
      <c r="AV2019" s="4" t="n">
        <v>14</v>
      </c>
      <c r="AW2019" s="4" t="n">
        <v>4</v>
      </c>
      <c r="AX2019" s="4"/>
      <c r="AY2019" s="4"/>
      <c r="AZ2019" s="4"/>
      <c r="BA2019" s="4"/>
      <c r="BB2019" s="4" t="n">
        <v>1</v>
      </c>
      <c r="BC2019" s="4" t="n">
        <v>8</v>
      </c>
      <c r="BD2019" s="4"/>
      <c r="BE2019" s="4" t="s">
        <v>34070</v>
      </c>
      <c r="BF2019" s="4" t="str">
        <f aca="false">HYPERLINK("http://dx.doi.org/10.5365/wpsar.2023.14.4.1057","http://dx.doi.org/10.5365/wpsar.2023.14.4.1057")</f>
        <v>http://dx.doi.org/10.5365/wpsar.2023.14.4.1057</v>
      </c>
      <c r="BG2019" s="4"/>
      <c r="BH2019" s="4"/>
      <c r="BI2019" s="4" t="n">
        <v>8</v>
      </c>
      <c r="BJ2019" s="4" t="s">
        <v>1353</v>
      </c>
      <c r="BK2019" s="4" t="s">
        <v>339</v>
      </c>
      <c r="BL2019" s="4" t="s">
        <v>1353</v>
      </c>
      <c r="BM2019" s="4" t="s">
        <v>34071</v>
      </c>
      <c r="BN2019" s="4" t="n">
        <v>38230257</v>
      </c>
      <c r="BO2019" s="4" t="s">
        <v>190</v>
      </c>
      <c r="BP2019" s="4"/>
      <c r="BQ2019" s="4"/>
      <c r="BR2019" s="4" t="s">
        <v>104</v>
      </c>
      <c r="BS2019" s="4" t="s">
        <v>34072</v>
      </c>
      <c r="BT2019" s="4" t="str">
        <f aca="false">HYPERLINK("https%3A%2F%2Fwww.webofscience.com%2Fwos%2Fwoscc%2Ffull-record%2FWOS:001126717000001","View Full Record in Web of Science")</f>
        <v>View Full Record in Web of Science</v>
      </c>
    </row>
    <row r="2020" s="5" customFormat="true" ht="12.75" hidden="false" customHeight="false" outlineLevel="0" collapsed="false">
      <c r="A2020" s="4" t="s">
        <v>72</v>
      </c>
      <c r="B2020" s="4" t="s">
        <v>34034</v>
      </c>
      <c r="C2020" s="4"/>
      <c r="D2020" s="4"/>
      <c r="E2020" s="4"/>
      <c r="F2020" s="4" t="s">
        <v>34073</v>
      </c>
      <c r="G2020" s="4"/>
      <c r="H2020" s="4"/>
      <c r="I2020" s="4" t="s">
        <v>34074</v>
      </c>
      <c r="J2020" s="4" t="s">
        <v>28007</v>
      </c>
      <c r="K2020" s="4"/>
      <c r="L2020" s="4"/>
      <c r="M2020" s="4" t="s">
        <v>77</v>
      </c>
      <c r="N2020" s="4" t="s">
        <v>78</v>
      </c>
      <c r="O2020" s="4"/>
      <c r="P2020" s="4"/>
      <c r="Q2020" s="4"/>
      <c r="R2020" s="4"/>
      <c r="S2020" s="4"/>
      <c r="T2020" s="1" t="s">
        <v>34075</v>
      </c>
      <c r="U2020" s="4"/>
      <c r="V2020" s="4"/>
      <c r="W2020" s="4" t="s">
        <v>34076</v>
      </c>
      <c r="X2020" s="4"/>
      <c r="Y2020" s="4" t="s">
        <v>34077</v>
      </c>
      <c r="Z2020" s="4" t="s">
        <v>28013</v>
      </c>
      <c r="AA2020" s="4"/>
      <c r="AB2020" s="4"/>
      <c r="AC2020" s="4"/>
      <c r="AD2020" s="4"/>
      <c r="AE2020" s="4"/>
      <c r="AF2020" s="4"/>
      <c r="AG2020" s="4" t="n">
        <v>1</v>
      </c>
      <c r="AH2020" s="4" t="n">
        <v>0</v>
      </c>
      <c r="AI2020" s="4" t="n">
        <v>0</v>
      </c>
      <c r="AJ2020" s="4" t="n">
        <v>0</v>
      </c>
      <c r="AK2020" s="4" t="n">
        <v>1</v>
      </c>
      <c r="AL2020" s="4" t="s">
        <v>5523</v>
      </c>
      <c r="AM2020" s="4" t="s">
        <v>5524</v>
      </c>
      <c r="AN2020" s="4" t="s">
        <v>5525</v>
      </c>
      <c r="AO2020" s="4" t="s">
        <v>28014</v>
      </c>
      <c r="AP2020" s="4" t="s">
        <v>28015</v>
      </c>
      <c r="AQ2020" s="4"/>
      <c r="AR2020" s="4" t="s">
        <v>28007</v>
      </c>
      <c r="AS2020" s="4" t="s">
        <v>28016</v>
      </c>
      <c r="AT2020" s="4" t="s">
        <v>1041</v>
      </c>
      <c r="AU2020" s="4" t="n">
        <v>2007</v>
      </c>
      <c r="AV2020" s="4" t="n">
        <v>26</v>
      </c>
      <c r="AW2020" s="4" t="n">
        <v>1</v>
      </c>
      <c r="AX2020" s="4"/>
      <c r="AY2020" s="4"/>
      <c r="AZ2020" s="4"/>
      <c r="BA2020" s="4"/>
      <c r="BB2020" s="4" t="n">
        <v>51</v>
      </c>
      <c r="BC2020" s="4" t="n">
        <v>51</v>
      </c>
      <c r="BD2020" s="4"/>
      <c r="BE2020" s="4" t="s">
        <v>34078</v>
      </c>
      <c r="BF2020" s="4" t="str">
        <f aca="false">HYPERLINK("http://dx.doi.org/10.1089/hyb.2006.034.1","http://dx.doi.org/10.1089/hyb.2006.034.1")</f>
        <v>http://dx.doi.org/10.1089/hyb.2006.034.1</v>
      </c>
      <c r="BG2020" s="4"/>
      <c r="BH2020" s="4"/>
      <c r="BI2020" s="4" t="n">
        <v>1</v>
      </c>
      <c r="BJ2020" s="4" t="s">
        <v>28018</v>
      </c>
      <c r="BK2020" s="4" t="s">
        <v>100</v>
      </c>
      <c r="BL2020" s="4" t="s">
        <v>28019</v>
      </c>
      <c r="BM2020" s="4" t="s">
        <v>29484</v>
      </c>
      <c r="BN2020" s="4"/>
      <c r="BO2020" s="4"/>
      <c r="BP2020" s="4"/>
      <c r="BQ2020" s="4"/>
      <c r="BR2020" s="4" t="s">
        <v>104</v>
      </c>
      <c r="BS2020" s="4" t="s">
        <v>34079</v>
      </c>
      <c r="BT2020" s="4" t="str">
        <f aca="false">HYPERLINK("https%3A%2F%2Fwww.webofscience.com%2Fwos%2Fwoscc%2Ffull-record%2FWOS:000244402600011","View Full Record in Web of Science")</f>
        <v>View Full Record in Web of Science</v>
      </c>
    </row>
    <row r="2021" s="5" customFormat="true" ht="12.75" hidden="false" customHeight="false" outlineLevel="0" collapsed="false">
      <c r="A2021" s="4" t="s">
        <v>72</v>
      </c>
      <c r="B2021" s="4" t="s">
        <v>34080</v>
      </c>
      <c r="C2021" s="4"/>
      <c r="D2021" s="4"/>
      <c r="E2021" s="4"/>
      <c r="F2021" s="4" t="s">
        <v>34081</v>
      </c>
      <c r="G2021" s="4"/>
      <c r="H2021" s="4"/>
      <c r="I2021" s="4" t="s">
        <v>34082</v>
      </c>
      <c r="J2021" s="4" t="s">
        <v>6395</v>
      </c>
      <c r="K2021" s="4"/>
      <c r="L2021" s="4"/>
      <c r="M2021" s="4" t="s">
        <v>77</v>
      </c>
      <c r="N2021" s="4" t="s">
        <v>78</v>
      </c>
      <c r="O2021" s="4"/>
      <c r="P2021" s="4"/>
      <c r="Q2021" s="4"/>
      <c r="R2021" s="4"/>
      <c r="S2021" s="4"/>
      <c r="T2021" s="1" t="s">
        <v>34083</v>
      </c>
      <c r="U2021" s="4" t="s">
        <v>34084</v>
      </c>
      <c r="V2021" s="4" t="s">
        <v>34085</v>
      </c>
      <c r="W2021" s="4" t="s">
        <v>34086</v>
      </c>
      <c r="X2021" s="4" t="s">
        <v>34087</v>
      </c>
      <c r="Y2021" s="4" t="s">
        <v>34088</v>
      </c>
      <c r="Z2021" s="4" t="s">
        <v>34089</v>
      </c>
      <c r="AA2021" s="4"/>
      <c r="AB2021" s="4" t="s">
        <v>34090</v>
      </c>
      <c r="AC2021" s="4" t="s">
        <v>34091</v>
      </c>
      <c r="AD2021" s="4" t="s">
        <v>34092</v>
      </c>
      <c r="AE2021" s="4" t="s">
        <v>34093</v>
      </c>
      <c r="AF2021" s="4"/>
      <c r="AG2021" s="4" t="n">
        <v>28</v>
      </c>
      <c r="AH2021" s="4" t="n">
        <v>4</v>
      </c>
      <c r="AI2021" s="4" t="n">
        <v>5</v>
      </c>
      <c r="AJ2021" s="4" t="n">
        <v>1</v>
      </c>
      <c r="AK2021" s="4" t="n">
        <v>13</v>
      </c>
      <c r="AL2021" s="4" t="s">
        <v>6405</v>
      </c>
      <c r="AM2021" s="4" t="s">
        <v>6406</v>
      </c>
      <c r="AN2021" s="4" t="s">
        <v>6407</v>
      </c>
      <c r="AO2021" s="4" t="s">
        <v>6408</v>
      </c>
      <c r="AP2021" s="4"/>
      <c r="AQ2021" s="4"/>
      <c r="AR2021" s="4" t="s">
        <v>6409</v>
      </c>
      <c r="AS2021" s="4" t="s">
        <v>6410</v>
      </c>
      <c r="AT2021" s="4" t="s">
        <v>8493</v>
      </c>
      <c r="AU2021" s="4" t="n">
        <v>2020</v>
      </c>
      <c r="AV2021" s="4" t="n">
        <v>10</v>
      </c>
      <c r="AW2021" s="4" t="n">
        <v>1</v>
      </c>
      <c r="AX2021" s="4"/>
      <c r="AY2021" s="4"/>
      <c r="AZ2021" s="4"/>
      <c r="BA2021" s="4"/>
      <c r="BB2021" s="4"/>
      <c r="BC2021" s="4"/>
      <c r="BD2021" s="4" t="n">
        <v>13496</v>
      </c>
      <c r="BE2021" s="4" t="s">
        <v>34094</v>
      </c>
      <c r="BF2021" s="4" t="str">
        <f aca="false">HYPERLINK("http://dx.doi.org/10.1038/s41598-020-70090-2","http://dx.doi.org/10.1038/s41598-020-70090-2")</f>
        <v>http://dx.doi.org/10.1038/s41598-020-70090-2</v>
      </c>
      <c r="BG2021" s="4"/>
      <c r="BH2021" s="4"/>
      <c r="BI2021" s="4" t="n">
        <v>9</v>
      </c>
      <c r="BJ2021" s="4" t="s">
        <v>1658</v>
      </c>
      <c r="BK2021" s="4" t="s">
        <v>100</v>
      </c>
      <c r="BL2021" s="4" t="s">
        <v>1659</v>
      </c>
      <c r="BM2021" s="4" t="s">
        <v>34095</v>
      </c>
      <c r="BN2021" s="4" t="n">
        <v>32782312</v>
      </c>
      <c r="BO2021" s="4" t="s">
        <v>190</v>
      </c>
      <c r="BP2021" s="4"/>
      <c r="BQ2021" s="4"/>
      <c r="BR2021" s="4" t="s">
        <v>104</v>
      </c>
      <c r="BS2021" s="4" t="s">
        <v>34096</v>
      </c>
      <c r="BT2021" s="4" t="str">
        <f aca="false">HYPERLINK("https%3A%2F%2Fwww.webofscience.com%2Fwos%2Fwoscc%2Ffull-record%2FWOS:000561135700005","View Full Record in Web of Science")</f>
        <v>View Full Record in Web of Science</v>
      </c>
    </row>
    <row r="2022" s="5" customFormat="true" ht="12.75" hidden="false" customHeight="false" outlineLevel="0" collapsed="false">
      <c r="A2022" s="4" t="s">
        <v>72</v>
      </c>
      <c r="B2022" s="4" t="s">
        <v>34097</v>
      </c>
      <c r="C2022" s="4"/>
      <c r="D2022" s="4"/>
      <c r="E2022" s="4"/>
      <c r="F2022" s="4" t="s">
        <v>34098</v>
      </c>
      <c r="G2022" s="4"/>
      <c r="H2022" s="4"/>
      <c r="I2022" s="4" t="s">
        <v>34099</v>
      </c>
      <c r="J2022" s="4" t="s">
        <v>27497</v>
      </c>
      <c r="K2022" s="4"/>
      <c r="L2022" s="4"/>
      <c r="M2022" s="4" t="s">
        <v>77</v>
      </c>
      <c r="N2022" s="4" t="s">
        <v>78</v>
      </c>
      <c r="O2022" s="4"/>
      <c r="P2022" s="4"/>
      <c r="Q2022" s="4"/>
      <c r="R2022" s="4"/>
      <c r="S2022" s="4"/>
      <c r="T2022" s="1" t="s">
        <v>34100</v>
      </c>
      <c r="U2022" s="4" t="s">
        <v>34101</v>
      </c>
      <c r="V2022" s="4" t="s">
        <v>34102</v>
      </c>
      <c r="W2022" s="4" t="s">
        <v>34103</v>
      </c>
      <c r="X2022" s="4" t="s">
        <v>4402</v>
      </c>
      <c r="Y2022" s="4" t="s">
        <v>34104</v>
      </c>
      <c r="Z2022" s="4" t="s">
        <v>34105</v>
      </c>
      <c r="AA2022" s="4"/>
      <c r="AB2022" s="4"/>
      <c r="AC2022" s="4" t="s">
        <v>34106</v>
      </c>
      <c r="AD2022" s="4" t="s">
        <v>34107</v>
      </c>
      <c r="AE2022" s="4" t="s">
        <v>34108</v>
      </c>
      <c r="AF2022" s="4"/>
      <c r="AG2022" s="4" t="n">
        <v>52</v>
      </c>
      <c r="AH2022" s="4" t="n">
        <v>9</v>
      </c>
      <c r="AI2022" s="4" t="n">
        <v>14</v>
      </c>
      <c r="AJ2022" s="4" t="n">
        <v>0</v>
      </c>
      <c r="AK2022" s="4" t="n">
        <v>3</v>
      </c>
      <c r="AL2022" s="4" t="s">
        <v>27506</v>
      </c>
      <c r="AM2022" s="4" t="s">
        <v>27507</v>
      </c>
      <c r="AN2022" s="4" t="s">
        <v>27508</v>
      </c>
      <c r="AO2022" s="4" t="s">
        <v>27509</v>
      </c>
      <c r="AP2022" s="4"/>
      <c r="AQ2022" s="4"/>
      <c r="AR2022" s="4" t="s">
        <v>27497</v>
      </c>
      <c r="AS2022" s="4" t="s">
        <v>27510</v>
      </c>
      <c r="AT2022" s="4" t="s">
        <v>1756</v>
      </c>
      <c r="AU2022" s="4" t="n">
        <v>2020</v>
      </c>
      <c r="AV2022" s="4" t="n">
        <v>15</v>
      </c>
      <c r="AW2022" s="4" t="n">
        <v>8</v>
      </c>
      <c r="AX2022" s="4"/>
      <c r="AY2022" s="4"/>
      <c r="AZ2022" s="4"/>
      <c r="BA2022" s="4"/>
      <c r="BB2022" s="4"/>
      <c r="BC2022" s="4"/>
      <c r="BD2022" s="4" t="s">
        <v>34109</v>
      </c>
      <c r="BE2022" s="4" t="s">
        <v>34110</v>
      </c>
      <c r="BF2022" s="4" t="str">
        <f aca="false">HYPERLINK("http://dx.doi.org/10.1371/journal.pone.0237404","http://dx.doi.org/10.1371/journal.pone.0237404")</f>
        <v>http://dx.doi.org/10.1371/journal.pone.0237404</v>
      </c>
      <c r="BG2022" s="4"/>
      <c r="BH2022" s="4"/>
      <c r="BI2022" s="4" t="n">
        <v>20</v>
      </c>
      <c r="BJ2022" s="4" t="s">
        <v>1658</v>
      </c>
      <c r="BK2022" s="4" t="s">
        <v>100</v>
      </c>
      <c r="BL2022" s="4" t="s">
        <v>1659</v>
      </c>
      <c r="BM2022" s="4" t="s">
        <v>34111</v>
      </c>
      <c r="BN2022" s="4" t="n">
        <v>32776985</v>
      </c>
      <c r="BO2022" s="4" t="s">
        <v>190</v>
      </c>
      <c r="BP2022" s="4"/>
      <c r="BQ2022" s="4"/>
      <c r="BR2022" s="4" t="s">
        <v>104</v>
      </c>
      <c r="BS2022" s="4" t="s">
        <v>34112</v>
      </c>
      <c r="BT2022" s="4" t="str">
        <f aca="false">HYPERLINK("https%3A%2F%2Fwww.webofscience.com%2Fwos%2Fwoscc%2Ffull-record%2FWOS:000561393800030","View Full Record in Web of Science")</f>
        <v>View Full Record in Web of Science</v>
      </c>
    </row>
    <row r="2023" s="5" customFormat="true" ht="12.75" hidden="false" customHeight="false" outlineLevel="0" collapsed="false">
      <c r="A2023" s="4" t="s">
        <v>72</v>
      </c>
      <c r="B2023" s="4" t="s">
        <v>34113</v>
      </c>
      <c r="C2023" s="4"/>
      <c r="D2023" s="4"/>
      <c r="E2023" s="4"/>
      <c r="F2023" s="4" t="s">
        <v>34113</v>
      </c>
      <c r="G2023" s="4"/>
      <c r="H2023" s="4"/>
      <c r="I2023" s="4" t="s">
        <v>34114</v>
      </c>
      <c r="J2023" s="4" t="s">
        <v>34115</v>
      </c>
      <c r="K2023" s="4"/>
      <c r="L2023" s="4"/>
      <c r="M2023" s="4" t="s">
        <v>77</v>
      </c>
      <c r="N2023" s="4" t="s">
        <v>78</v>
      </c>
      <c r="O2023" s="4"/>
      <c r="P2023" s="4"/>
      <c r="Q2023" s="4"/>
      <c r="R2023" s="4"/>
      <c r="S2023" s="4"/>
      <c r="T2023" s="1" t="s">
        <v>34116</v>
      </c>
      <c r="U2023" s="4" t="s">
        <v>34117</v>
      </c>
      <c r="V2023" s="4" t="s">
        <v>34118</v>
      </c>
      <c r="W2023" s="4" t="s">
        <v>34119</v>
      </c>
      <c r="X2023" s="4" t="s">
        <v>34120</v>
      </c>
      <c r="Y2023" s="4" t="s">
        <v>34121</v>
      </c>
      <c r="Z2023" s="4" t="s">
        <v>34122</v>
      </c>
      <c r="AA2023" s="4" t="s">
        <v>34123</v>
      </c>
      <c r="AB2023" s="4" t="s">
        <v>7154</v>
      </c>
      <c r="AC2023" s="4"/>
      <c r="AD2023" s="4"/>
      <c r="AE2023" s="4"/>
      <c r="AF2023" s="4"/>
      <c r="AG2023" s="4" t="n">
        <v>24</v>
      </c>
      <c r="AH2023" s="4" t="n">
        <v>1547</v>
      </c>
      <c r="AI2023" s="4" t="n">
        <v>1708</v>
      </c>
      <c r="AJ2023" s="4" t="n">
        <v>2</v>
      </c>
      <c r="AK2023" s="4" t="n">
        <v>43</v>
      </c>
      <c r="AL2023" s="4" t="s">
        <v>12800</v>
      </c>
      <c r="AM2023" s="4" t="s">
        <v>593</v>
      </c>
      <c r="AN2023" s="4" t="s">
        <v>32936</v>
      </c>
      <c r="AO2023" s="4" t="s">
        <v>34124</v>
      </c>
      <c r="AP2023" s="4" t="s">
        <v>34125</v>
      </c>
      <c r="AQ2023" s="4"/>
      <c r="AR2023" s="4" t="s">
        <v>34126</v>
      </c>
      <c r="AS2023" s="4" t="s">
        <v>34127</v>
      </c>
      <c r="AT2023" s="4" t="s">
        <v>486</v>
      </c>
      <c r="AU2023" s="4" t="n">
        <v>2001</v>
      </c>
      <c r="AV2023" s="4" t="n">
        <v>7</v>
      </c>
      <c r="AW2023" s="4" t="n">
        <v>6</v>
      </c>
      <c r="AX2023" s="4"/>
      <c r="AY2023" s="4"/>
      <c r="AZ2023" s="4"/>
      <c r="BA2023" s="4"/>
      <c r="BB2023" s="4" t="n">
        <v>719</v>
      </c>
      <c r="BC2023" s="4" t="n">
        <v>724</v>
      </c>
      <c r="BD2023" s="4"/>
      <c r="BE2023" s="4" t="s">
        <v>34128</v>
      </c>
      <c r="BF2023" s="4" t="str">
        <f aca="false">HYPERLINK("http://dx.doi.org/10.1038/89098","http://dx.doi.org/10.1038/89098")</f>
        <v>http://dx.doi.org/10.1038/89098</v>
      </c>
      <c r="BG2023" s="4"/>
      <c r="BH2023" s="4"/>
      <c r="BI2023" s="4" t="n">
        <v>6</v>
      </c>
      <c r="BJ2023" s="4" t="s">
        <v>34129</v>
      </c>
      <c r="BK2023" s="4" t="s">
        <v>100</v>
      </c>
      <c r="BL2023" s="4" t="s">
        <v>34130</v>
      </c>
      <c r="BM2023" s="4" t="s">
        <v>34131</v>
      </c>
      <c r="BN2023" s="4" t="n">
        <v>11385510</v>
      </c>
      <c r="BO2023" s="4" t="s">
        <v>538</v>
      </c>
      <c r="BP2023" s="4"/>
      <c r="BQ2023" s="4"/>
      <c r="BR2023" s="4" t="s">
        <v>104</v>
      </c>
      <c r="BS2023" s="4" t="s">
        <v>34132</v>
      </c>
      <c r="BT2023" s="4" t="str">
        <f aca="false">HYPERLINK("https%3A%2F%2Fwww.webofscience.com%2Fwos%2Fwoscc%2Ffull-record%2FWOS:000169081500041","View Full Record in Web of Science")</f>
        <v>View Full Record in Web of Science</v>
      </c>
    </row>
    <row r="2024" s="5" customFormat="true" ht="12.75" hidden="false" customHeight="false" outlineLevel="0" collapsed="false">
      <c r="A2024" s="4" t="s">
        <v>72</v>
      </c>
      <c r="B2024" s="4" t="s">
        <v>34133</v>
      </c>
      <c r="C2024" s="4"/>
      <c r="D2024" s="4"/>
      <c r="E2024" s="4"/>
      <c r="F2024" s="4" t="s">
        <v>34133</v>
      </c>
      <c r="G2024" s="4"/>
      <c r="H2024" s="4"/>
      <c r="I2024" s="4" t="s">
        <v>34134</v>
      </c>
      <c r="J2024" s="4" t="s">
        <v>2021</v>
      </c>
      <c r="K2024" s="4"/>
      <c r="L2024" s="4"/>
      <c r="M2024" s="4" t="s">
        <v>77</v>
      </c>
      <c r="N2024" s="4" t="s">
        <v>78</v>
      </c>
      <c r="O2024" s="4"/>
      <c r="P2024" s="4"/>
      <c r="Q2024" s="4"/>
      <c r="R2024" s="4"/>
      <c r="S2024" s="4"/>
      <c r="T2024" s="1" t="s">
        <v>34135</v>
      </c>
      <c r="U2024" s="4" t="s">
        <v>34136</v>
      </c>
      <c r="V2024" s="4" t="s">
        <v>34137</v>
      </c>
      <c r="W2024" s="4" t="s">
        <v>34138</v>
      </c>
      <c r="X2024" s="4" t="s">
        <v>34139</v>
      </c>
      <c r="Y2024" s="4" t="s">
        <v>34140</v>
      </c>
      <c r="Z2024" s="4" t="s">
        <v>29999</v>
      </c>
      <c r="AA2024" s="4"/>
      <c r="AB2024" s="4"/>
      <c r="AC2024" s="4"/>
      <c r="AD2024" s="4"/>
      <c r="AE2024" s="4"/>
      <c r="AF2024" s="4"/>
      <c r="AG2024" s="4" t="n">
        <v>40</v>
      </c>
      <c r="AH2024" s="4" t="n">
        <v>77</v>
      </c>
      <c r="AI2024" s="4" t="n">
        <v>88</v>
      </c>
      <c r="AJ2024" s="4" t="n">
        <v>0</v>
      </c>
      <c r="AK2024" s="4" t="n">
        <v>3</v>
      </c>
      <c r="AL2024" s="4" t="s">
        <v>527</v>
      </c>
      <c r="AM2024" s="4" t="s">
        <v>528</v>
      </c>
      <c r="AN2024" s="4" t="s">
        <v>529</v>
      </c>
      <c r="AO2024" s="4" t="s">
        <v>2033</v>
      </c>
      <c r="AP2024" s="4" t="s">
        <v>2034</v>
      </c>
      <c r="AQ2024" s="4"/>
      <c r="AR2024" s="4" t="s">
        <v>2035</v>
      </c>
      <c r="AS2024" s="4" t="s">
        <v>2036</v>
      </c>
      <c r="AT2024" s="4" t="s">
        <v>5247</v>
      </c>
      <c r="AU2024" s="4" t="n">
        <v>2005</v>
      </c>
      <c r="AV2024" s="4" t="n">
        <v>41</v>
      </c>
      <c r="AW2024" s="4" t="n">
        <v>6</v>
      </c>
      <c r="AX2024" s="4"/>
      <c r="AY2024" s="4"/>
      <c r="AZ2024" s="4"/>
      <c r="BA2024" s="4"/>
      <c r="BB2024" s="4" t="n">
        <v>822</v>
      </c>
      <c r="BC2024" s="4" t="n">
        <v>828</v>
      </c>
      <c r="BD2024" s="4"/>
      <c r="BE2024" s="4" t="s">
        <v>34141</v>
      </c>
      <c r="BF2024" s="4" t="str">
        <f aca="false">HYPERLINK("http://dx.doi.org/10.1086/432800","http://dx.doi.org/10.1086/432800")</f>
        <v>http://dx.doi.org/10.1086/432800</v>
      </c>
      <c r="BG2024" s="4"/>
      <c r="BH2024" s="4"/>
      <c r="BI2024" s="4" t="n">
        <v>7</v>
      </c>
      <c r="BJ2024" s="4" t="s">
        <v>536</v>
      </c>
      <c r="BK2024" s="4" t="s">
        <v>100</v>
      </c>
      <c r="BL2024" s="4" t="s">
        <v>536</v>
      </c>
      <c r="BM2024" s="4" t="s">
        <v>34142</v>
      </c>
      <c r="BN2024" s="4" t="n">
        <v>16107980</v>
      </c>
      <c r="BO2024" s="4" t="s">
        <v>538</v>
      </c>
      <c r="BP2024" s="4"/>
      <c r="BQ2024" s="4"/>
      <c r="BR2024" s="4" t="s">
        <v>104</v>
      </c>
      <c r="BS2024" s="4" t="s">
        <v>34143</v>
      </c>
      <c r="BT2024" s="4" t="str">
        <f aca="false">HYPERLINK("https%3A%2F%2Fwww.webofscience.com%2Fwos%2Fwoscc%2Ffull-record%2FWOS:000231313800009","View Full Record in Web of Science")</f>
        <v>View Full Record in Web of Science</v>
      </c>
    </row>
    <row r="2025" s="5" customFormat="true" ht="12.75" hidden="false" customHeight="false" outlineLevel="0" collapsed="false">
      <c r="A2025" s="4" t="s">
        <v>72</v>
      </c>
      <c r="B2025" s="4" t="s">
        <v>34144</v>
      </c>
      <c r="C2025" s="4"/>
      <c r="D2025" s="4"/>
      <c r="E2025" s="4"/>
      <c r="F2025" s="4" t="s">
        <v>34145</v>
      </c>
      <c r="G2025" s="4"/>
      <c r="H2025" s="4"/>
      <c r="I2025" s="4" t="s">
        <v>34146</v>
      </c>
      <c r="J2025" s="4" t="s">
        <v>27453</v>
      </c>
      <c r="K2025" s="4"/>
      <c r="L2025" s="4"/>
      <c r="M2025" s="4" t="s">
        <v>77</v>
      </c>
      <c r="N2025" s="4" t="s">
        <v>78</v>
      </c>
      <c r="O2025" s="4"/>
      <c r="P2025" s="4"/>
      <c r="Q2025" s="4"/>
      <c r="R2025" s="4"/>
      <c r="S2025" s="4"/>
      <c r="T2025" s="1" t="s">
        <v>34147</v>
      </c>
      <c r="U2025" s="4"/>
      <c r="V2025" s="4" t="s">
        <v>34148</v>
      </c>
      <c r="W2025" s="4" t="s">
        <v>34149</v>
      </c>
      <c r="X2025" s="4"/>
      <c r="Y2025" s="4" t="s">
        <v>34150</v>
      </c>
      <c r="Z2025" s="4" t="s">
        <v>34151</v>
      </c>
      <c r="AA2025" s="4"/>
      <c r="AB2025" s="4"/>
      <c r="AC2025" s="4"/>
      <c r="AD2025" s="4"/>
      <c r="AE2025" s="4"/>
      <c r="AF2025" s="4"/>
      <c r="AG2025" s="4" t="n">
        <v>14</v>
      </c>
      <c r="AH2025" s="4" t="n">
        <v>16</v>
      </c>
      <c r="AI2025" s="4" t="n">
        <v>16</v>
      </c>
      <c r="AJ2025" s="4" t="n">
        <v>0</v>
      </c>
      <c r="AK2025" s="4" t="n">
        <v>3</v>
      </c>
      <c r="AL2025" s="4" t="s">
        <v>27463</v>
      </c>
      <c r="AM2025" s="4" t="s">
        <v>16252</v>
      </c>
      <c r="AN2025" s="4" t="s">
        <v>27464</v>
      </c>
      <c r="AO2025" s="4" t="s">
        <v>27465</v>
      </c>
      <c r="AP2025" s="4" t="s">
        <v>27466</v>
      </c>
      <c r="AQ2025" s="4"/>
      <c r="AR2025" s="4" t="s">
        <v>27467</v>
      </c>
      <c r="AS2025" s="4" t="s">
        <v>27468</v>
      </c>
      <c r="AT2025" s="4" t="s">
        <v>129</v>
      </c>
      <c r="AU2025" s="4" t="n">
        <v>2020</v>
      </c>
      <c r="AV2025" s="4" t="n">
        <v>73</v>
      </c>
      <c r="AW2025" s="4" t="n">
        <v>5</v>
      </c>
      <c r="AX2025" s="4"/>
      <c r="AY2025" s="4"/>
      <c r="AZ2025" s="4"/>
      <c r="BA2025" s="4"/>
      <c r="BB2025" s="4" t="n">
        <v>377</v>
      </c>
      <c r="BC2025" s="4" t="n">
        <v>380</v>
      </c>
      <c r="BD2025" s="4"/>
      <c r="BE2025" s="4" t="s">
        <v>34152</v>
      </c>
      <c r="BF2025" s="4" t="str">
        <f aca="false">HYPERLINK("http://dx.doi.org/10.7883/yoken.JJID.2020.181","http://dx.doi.org/10.7883/yoken.JJID.2020.181")</f>
        <v>http://dx.doi.org/10.7883/yoken.JJID.2020.181</v>
      </c>
      <c r="BG2025" s="4"/>
      <c r="BH2025" s="4"/>
      <c r="BI2025" s="4" t="n">
        <v>4</v>
      </c>
      <c r="BJ2025" s="4" t="s">
        <v>575</v>
      </c>
      <c r="BK2025" s="4" t="s">
        <v>100</v>
      </c>
      <c r="BL2025" s="4" t="s">
        <v>575</v>
      </c>
      <c r="BM2025" s="4" t="s">
        <v>34153</v>
      </c>
      <c r="BN2025" s="4" t="n">
        <v>32475878</v>
      </c>
      <c r="BO2025" s="4" t="s">
        <v>1355</v>
      </c>
      <c r="BP2025" s="4"/>
      <c r="BQ2025" s="4"/>
      <c r="BR2025" s="4" t="s">
        <v>104</v>
      </c>
      <c r="BS2025" s="4" t="s">
        <v>34154</v>
      </c>
      <c r="BT2025" s="4" t="str">
        <f aca="false">HYPERLINK("https%3A%2F%2Fwww.webofscience.com%2Fwos%2Fwoscc%2Ffull-record%2FWOS:000604405300012","View Full Record in Web of Science")</f>
        <v>View Full Record in Web of Science</v>
      </c>
    </row>
    <row r="2026" s="5" customFormat="true" ht="12.75" hidden="false" customHeight="false" outlineLevel="0" collapsed="false">
      <c r="A2026" s="4" t="s">
        <v>72</v>
      </c>
      <c r="B2026" s="4" t="s">
        <v>34155</v>
      </c>
      <c r="C2026" s="4"/>
      <c r="D2026" s="4"/>
      <c r="E2026" s="4"/>
      <c r="F2026" s="4" t="s">
        <v>34155</v>
      </c>
      <c r="G2026" s="4"/>
      <c r="H2026" s="4"/>
      <c r="I2026" s="4" t="s">
        <v>34156</v>
      </c>
      <c r="J2026" s="4" t="s">
        <v>949</v>
      </c>
      <c r="K2026" s="4"/>
      <c r="L2026" s="4"/>
      <c r="M2026" s="4" t="s">
        <v>77</v>
      </c>
      <c r="N2026" s="4" t="s">
        <v>78</v>
      </c>
      <c r="O2026" s="4"/>
      <c r="P2026" s="4"/>
      <c r="Q2026" s="4"/>
      <c r="R2026" s="4"/>
      <c r="S2026" s="4"/>
      <c r="T2026" s="1" t="s">
        <v>34157</v>
      </c>
      <c r="U2026" s="4" t="s">
        <v>34158</v>
      </c>
      <c r="V2026" s="4" t="s">
        <v>34159</v>
      </c>
      <c r="W2026" s="4" t="s">
        <v>34160</v>
      </c>
      <c r="X2026" s="4" t="s">
        <v>32426</v>
      </c>
      <c r="Y2026" s="4" t="s">
        <v>34161</v>
      </c>
      <c r="Z2026" s="4" t="s">
        <v>6724</v>
      </c>
      <c r="AA2026" s="4" t="s">
        <v>4709</v>
      </c>
      <c r="AB2026" s="4"/>
      <c r="AC2026" s="4" t="s">
        <v>34162</v>
      </c>
      <c r="AD2026" s="4" t="s">
        <v>2416</v>
      </c>
      <c r="AE2026" s="4"/>
      <c r="AF2026" s="4"/>
      <c r="AG2026" s="4" t="n">
        <v>74</v>
      </c>
      <c r="AH2026" s="4" t="n">
        <v>15</v>
      </c>
      <c r="AI2026" s="4" t="n">
        <v>17</v>
      </c>
      <c r="AJ2026" s="4" t="n">
        <v>0</v>
      </c>
      <c r="AK2026" s="4" t="n">
        <v>3</v>
      </c>
      <c r="AL2026" s="4" t="s">
        <v>957</v>
      </c>
      <c r="AM2026" s="4" t="s">
        <v>123</v>
      </c>
      <c r="AN2026" s="4" t="s">
        <v>958</v>
      </c>
      <c r="AO2026" s="4" t="s">
        <v>959</v>
      </c>
      <c r="AP2026" s="4" t="s">
        <v>960</v>
      </c>
      <c r="AQ2026" s="4"/>
      <c r="AR2026" s="4" t="s">
        <v>961</v>
      </c>
      <c r="AS2026" s="4" t="s">
        <v>962</v>
      </c>
      <c r="AT2026" s="4" t="s">
        <v>129</v>
      </c>
      <c r="AU2026" s="4" t="n">
        <v>2005</v>
      </c>
      <c r="AV2026" s="4" t="n">
        <v>19</v>
      </c>
      <c r="AW2026" s="4" t="n">
        <v>3</v>
      </c>
      <c r="AX2026" s="4"/>
      <c r="AY2026" s="4"/>
      <c r="AZ2026" s="4"/>
      <c r="BA2026" s="4"/>
      <c r="BB2026" s="4" t="n">
        <v>569</v>
      </c>
      <c r="BC2026" s="4" t="s">
        <v>986</v>
      </c>
      <c r="BD2026" s="4"/>
      <c r="BE2026" s="4" t="s">
        <v>34163</v>
      </c>
      <c r="BF2026" s="4" t="str">
        <f aca="false">HYPERLINK("http://dx.doi.org/10.1016/j.idc.2005.05.009","http://dx.doi.org/10.1016/j.idc.2005.05.009")</f>
        <v>http://dx.doi.org/10.1016/j.idc.2005.05.009</v>
      </c>
      <c r="BG2026" s="4"/>
      <c r="BH2026" s="4"/>
      <c r="BI2026" s="4" t="n">
        <v>17</v>
      </c>
      <c r="BJ2026" s="4" t="s">
        <v>965</v>
      </c>
      <c r="BK2026" s="4" t="s">
        <v>100</v>
      </c>
      <c r="BL2026" s="4" t="s">
        <v>965</v>
      </c>
      <c r="BM2026" s="4" t="s">
        <v>34164</v>
      </c>
      <c r="BN2026" s="4" t="n">
        <v>16102649</v>
      </c>
      <c r="BO2026" s="4" t="s">
        <v>1227</v>
      </c>
      <c r="BP2026" s="4"/>
      <c r="BQ2026" s="4"/>
      <c r="BR2026" s="4" t="s">
        <v>104</v>
      </c>
      <c r="BS2026" s="4" t="s">
        <v>34165</v>
      </c>
      <c r="BT2026" s="4" t="str">
        <f aca="false">HYPERLINK("https%3A%2F%2Fwww.webofscience.com%2Fwos%2Fwoscc%2Ffull-record%2FWOS:000231885400002","View Full Record in Web of Science")</f>
        <v>View Full Record in Web of Science</v>
      </c>
    </row>
    <row r="2027" s="5" customFormat="true" ht="12.75" hidden="false" customHeight="false" outlineLevel="0" collapsed="false">
      <c r="A2027" s="4" t="s">
        <v>72</v>
      </c>
      <c r="B2027" s="4" t="s">
        <v>34166</v>
      </c>
      <c r="C2027" s="4"/>
      <c r="D2027" s="4"/>
      <c r="E2027" s="4"/>
      <c r="F2027" s="4" t="s">
        <v>34167</v>
      </c>
      <c r="G2027" s="4"/>
      <c r="H2027" s="4"/>
      <c r="I2027" s="4" t="s">
        <v>34168</v>
      </c>
      <c r="J2027" s="4" t="s">
        <v>27497</v>
      </c>
      <c r="K2027" s="4"/>
      <c r="L2027" s="4"/>
      <c r="M2027" s="4" t="s">
        <v>77</v>
      </c>
      <c r="N2027" s="4" t="s">
        <v>78</v>
      </c>
      <c r="O2027" s="4"/>
      <c r="P2027" s="4"/>
      <c r="Q2027" s="4"/>
      <c r="R2027" s="4"/>
      <c r="S2027" s="4"/>
      <c r="T2027" s="1" t="s">
        <v>34169</v>
      </c>
      <c r="U2027" s="4" t="s">
        <v>34170</v>
      </c>
      <c r="V2027" s="4" t="s">
        <v>34171</v>
      </c>
      <c r="W2027" s="4" t="s">
        <v>34172</v>
      </c>
      <c r="X2027" s="4" t="s">
        <v>34173</v>
      </c>
      <c r="Y2027" s="4" t="s">
        <v>34174</v>
      </c>
      <c r="Z2027" s="4" t="s">
        <v>23861</v>
      </c>
      <c r="AA2027" s="4"/>
      <c r="AB2027" s="4" t="s">
        <v>34175</v>
      </c>
      <c r="AC2027" s="4" t="s">
        <v>34176</v>
      </c>
      <c r="AD2027" s="4" t="s">
        <v>34177</v>
      </c>
      <c r="AE2027" s="4" t="s">
        <v>34178</v>
      </c>
      <c r="AF2027" s="4"/>
      <c r="AG2027" s="4" t="n">
        <v>96</v>
      </c>
      <c r="AH2027" s="4" t="n">
        <v>21</v>
      </c>
      <c r="AI2027" s="4" t="n">
        <v>24</v>
      </c>
      <c r="AJ2027" s="4" t="n">
        <v>0</v>
      </c>
      <c r="AK2027" s="4" t="n">
        <v>3</v>
      </c>
      <c r="AL2027" s="4" t="s">
        <v>27506</v>
      </c>
      <c r="AM2027" s="4" t="s">
        <v>27507</v>
      </c>
      <c r="AN2027" s="4" t="s">
        <v>27508</v>
      </c>
      <c r="AO2027" s="4" t="s">
        <v>27509</v>
      </c>
      <c r="AP2027" s="4"/>
      <c r="AQ2027" s="4"/>
      <c r="AR2027" s="4" t="s">
        <v>27497</v>
      </c>
      <c r="AS2027" s="4" t="s">
        <v>27510</v>
      </c>
      <c r="AT2027" s="4" t="s">
        <v>210</v>
      </c>
      <c r="AU2027" s="4" t="n">
        <v>2014</v>
      </c>
      <c r="AV2027" s="4" t="n">
        <v>9</v>
      </c>
      <c r="AW2027" s="4" t="n">
        <v>7</v>
      </c>
      <c r="AX2027" s="4"/>
      <c r="AY2027" s="4"/>
      <c r="AZ2027" s="4"/>
      <c r="BA2027" s="4"/>
      <c r="BB2027" s="4"/>
      <c r="BC2027" s="4"/>
      <c r="BD2027" s="4" t="s">
        <v>34179</v>
      </c>
      <c r="BE2027" s="4" t="s">
        <v>34180</v>
      </c>
      <c r="BF2027" s="4" t="str">
        <f aca="false">HYPERLINK("http://dx.doi.org/10.1371/journal.pone.0102740","http://dx.doi.org/10.1371/journal.pone.0102740")</f>
        <v>http://dx.doi.org/10.1371/journal.pone.0102740</v>
      </c>
      <c r="BG2027" s="4"/>
      <c r="BH2027" s="4"/>
      <c r="BI2027" s="4" t="n">
        <v>14</v>
      </c>
      <c r="BJ2027" s="4" t="s">
        <v>1658</v>
      </c>
      <c r="BK2027" s="4" t="s">
        <v>100</v>
      </c>
      <c r="BL2027" s="4" t="s">
        <v>1659</v>
      </c>
      <c r="BM2027" s="4" t="s">
        <v>34181</v>
      </c>
      <c r="BN2027" s="4" t="n">
        <v>25036224</v>
      </c>
      <c r="BO2027" s="4" t="s">
        <v>2582</v>
      </c>
      <c r="BP2027" s="4"/>
      <c r="BQ2027" s="4"/>
      <c r="BR2027" s="4" t="s">
        <v>104</v>
      </c>
      <c r="BS2027" s="4" t="s">
        <v>34182</v>
      </c>
      <c r="BT2027" s="4" t="str">
        <f aca="false">HYPERLINK("https%3A%2F%2Fwww.webofscience.com%2Fwos%2Fwoscc%2Ffull-record%2FWOS:000339615200082","View Full Record in Web of Science")</f>
        <v>View Full Record in Web of Science</v>
      </c>
    </row>
    <row r="2028" s="5" customFormat="true" ht="12.75" hidden="false" customHeight="false" outlineLevel="0" collapsed="false">
      <c r="A2028" s="4" t="s">
        <v>72</v>
      </c>
      <c r="B2028" s="4" t="s">
        <v>34183</v>
      </c>
      <c r="C2028" s="4"/>
      <c r="D2028" s="4"/>
      <c r="E2028" s="4"/>
      <c r="F2028" s="4" t="s">
        <v>34184</v>
      </c>
      <c r="G2028" s="4"/>
      <c r="H2028" s="4"/>
      <c r="I2028" s="4" t="s">
        <v>34185</v>
      </c>
      <c r="J2028" s="4" t="s">
        <v>34186</v>
      </c>
      <c r="K2028" s="4"/>
      <c r="L2028" s="4"/>
      <c r="M2028" s="4" t="s">
        <v>77</v>
      </c>
      <c r="N2028" s="4" t="s">
        <v>78</v>
      </c>
      <c r="O2028" s="4"/>
      <c r="P2028" s="4"/>
      <c r="Q2028" s="4"/>
      <c r="R2028" s="4"/>
      <c r="S2028" s="4"/>
      <c r="T2028" s="1" t="s">
        <v>34187</v>
      </c>
      <c r="U2028" s="4" t="s">
        <v>34188</v>
      </c>
      <c r="V2028" s="4" t="s">
        <v>34189</v>
      </c>
      <c r="W2028" s="4" t="s">
        <v>34190</v>
      </c>
      <c r="X2028" s="4"/>
      <c r="Y2028" s="4" t="s">
        <v>34191</v>
      </c>
      <c r="Z2028" s="4" t="s">
        <v>34192</v>
      </c>
      <c r="AA2028" s="4" t="s">
        <v>34193</v>
      </c>
      <c r="AB2028" s="4"/>
      <c r="AC2028" s="4"/>
      <c r="AD2028" s="4"/>
      <c r="AE2028" s="4"/>
      <c r="AF2028" s="4"/>
      <c r="AG2028" s="4" t="n">
        <v>45</v>
      </c>
      <c r="AH2028" s="4" t="n">
        <v>2</v>
      </c>
      <c r="AI2028" s="4" t="n">
        <v>2</v>
      </c>
      <c r="AJ2028" s="4" t="n">
        <v>1</v>
      </c>
      <c r="AK2028" s="4" t="n">
        <v>6</v>
      </c>
      <c r="AL2028" s="4" t="s">
        <v>1460</v>
      </c>
      <c r="AM2028" s="4" t="s">
        <v>593</v>
      </c>
      <c r="AN2028" s="4" t="s">
        <v>2088</v>
      </c>
      <c r="AO2028" s="4" t="s">
        <v>34194</v>
      </c>
      <c r="AP2028" s="4" t="s">
        <v>34195</v>
      </c>
      <c r="AQ2028" s="4"/>
      <c r="AR2028" s="4" t="s">
        <v>34196</v>
      </c>
      <c r="AS2028" s="4" t="s">
        <v>34197</v>
      </c>
      <c r="AT2028" s="4" t="s">
        <v>3673</v>
      </c>
      <c r="AU2028" s="4" t="n">
        <v>2015</v>
      </c>
      <c r="AV2028" s="4" t="n">
        <v>47</v>
      </c>
      <c r="AW2028" s="4" t="n">
        <v>6</v>
      </c>
      <c r="AX2028" s="4"/>
      <c r="AY2028" s="4"/>
      <c r="AZ2028" s="4"/>
      <c r="BA2028" s="4"/>
      <c r="BB2028" s="4" t="n">
        <v>1790</v>
      </c>
      <c r="BC2028" s="4" t="n">
        <v>1795</v>
      </c>
      <c r="BD2028" s="4"/>
      <c r="BE2028" s="4" t="s">
        <v>34198</v>
      </c>
      <c r="BF2028" s="4" t="str">
        <f aca="false">HYPERLINK("http://dx.doi.org/10.1016/j.transproceed.2015.05.009","http://dx.doi.org/10.1016/j.transproceed.2015.05.009")</f>
        <v>http://dx.doi.org/10.1016/j.transproceed.2015.05.009</v>
      </c>
      <c r="BG2028" s="4"/>
      <c r="BH2028" s="4"/>
      <c r="BI2028" s="4" t="n">
        <v>6</v>
      </c>
      <c r="BJ2028" s="4" t="s">
        <v>10100</v>
      </c>
      <c r="BK2028" s="4" t="s">
        <v>100</v>
      </c>
      <c r="BL2028" s="4" t="s">
        <v>10100</v>
      </c>
      <c r="BM2028" s="4" t="s">
        <v>34199</v>
      </c>
      <c r="BN2028" s="4" t="n">
        <v>26293052</v>
      </c>
      <c r="BO2028" s="4" t="s">
        <v>165</v>
      </c>
      <c r="BP2028" s="4"/>
      <c r="BQ2028" s="4"/>
      <c r="BR2028" s="4" t="s">
        <v>104</v>
      </c>
      <c r="BS2028" s="4" t="s">
        <v>34200</v>
      </c>
      <c r="BT2028" s="4" t="str">
        <f aca="false">HYPERLINK("https%3A%2F%2Fwww.webofscience.com%2Fwos%2Fwoscc%2Ffull-record%2FWOS:000360776700042","View Full Record in Web of Science")</f>
        <v>View Full Record in Web of Science</v>
      </c>
    </row>
    <row r="2029" s="5" customFormat="true" ht="12.75" hidden="false" customHeight="false" outlineLevel="0" collapsed="false">
      <c r="A2029" s="4" t="s">
        <v>72</v>
      </c>
      <c r="B2029" s="4" t="s">
        <v>34201</v>
      </c>
      <c r="C2029" s="4"/>
      <c r="D2029" s="4"/>
      <c r="E2029" s="4"/>
      <c r="F2029" s="4" t="s">
        <v>34202</v>
      </c>
      <c r="G2029" s="4"/>
      <c r="H2029" s="4"/>
      <c r="I2029" s="4" t="s">
        <v>34203</v>
      </c>
      <c r="J2029" s="4" t="s">
        <v>514</v>
      </c>
      <c r="K2029" s="4"/>
      <c r="L2029" s="4"/>
      <c r="M2029" s="4" t="s">
        <v>77</v>
      </c>
      <c r="N2029" s="4" t="s">
        <v>78</v>
      </c>
      <c r="O2029" s="4"/>
      <c r="P2029" s="4"/>
      <c r="Q2029" s="4"/>
      <c r="R2029" s="4"/>
      <c r="S2029" s="4"/>
      <c r="T2029" s="1" t="s">
        <v>34204</v>
      </c>
      <c r="U2029" s="4" t="s">
        <v>34205</v>
      </c>
      <c r="V2029" s="4" t="s">
        <v>34206</v>
      </c>
      <c r="W2029" s="4" t="s">
        <v>34207</v>
      </c>
      <c r="X2029" s="4" t="s">
        <v>34208</v>
      </c>
      <c r="Y2029" s="4" t="s">
        <v>34209</v>
      </c>
      <c r="Z2029" s="4" t="s">
        <v>34210</v>
      </c>
      <c r="AA2029" s="4"/>
      <c r="AB2029" s="4" t="s">
        <v>34211</v>
      </c>
      <c r="AC2029" s="4" t="s">
        <v>34212</v>
      </c>
      <c r="AD2029" s="4" t="s">
        <v>34213</v>
      </c>
      <c r="AE2029" s="4" t="s">
        <v>34214</v>
      </c>
      <c r="AF2029" s="4"/>
      <c r="AG2029" s="4" t="n">
        <v>15</v>
      </c>
      <c r="AH2029" s="4" t="n">
        <v>17</v>
      </c>
      <c r="AI2029" s="4" t="n">
        <v>20</v>
      </c>
      <c r="AJ2029" s="4" t="n">
        <v>0</v>
      </c>
      <c r="AK2029" s="4" t="n">
        <v>0</v>
      </c>
      <c r="AL2029" s="4" t="s">
        <v>27444</v>
      </c>
      <c r="AM2029" s="4" t="s">
        <v>20223</v>
      </c>
      <c r="AN2029" s="4" t="s">
        <v>27445</v>
      </c>
      <c r="AO2029" s="4" t="s">
        <v>530</v>
      </c>
      <c r="AP2029" s="4"/>
      <c r="AQ2029" s="4"/>
      <c r="AR2029" s="4" t="s">
        <v>532</v>
      </c>
      <c r="AS2029" s="4" t="s">
        <v>533</v>
      </c>
      <c r="AT2029" s="4" t="s">
        <v>13969</v>
      </c>
      <c r="AU2029" s="4" t="n">
        <v>2010</v>
      </c>
      <c r="AV2029" s="4" t="n">
        <v>201</v>
      </c>
      <c r="AW2029" s="4" t="n">
        <v>2</v>
      </c>
      <c r="AX2029" s="4"/>
      <c r="AY2029" s="4"/>
      <c r="AZ2029" s="4"/>
      <c r="BA2029" s="4"/>
      <c r="BB2029" s="4" t="n">
        <v>297</v>
      </c>
      <c r="BC2029" s="4" t="n">
        <v>301</v>
      </c>
      <c r="BD2029" s="4"/>
      <c r="BE2029" s="4" t="s">
        <v>34215</v>
      </c>
      <c r="BF2029" s="4" t="str">
        <f aca="false">HYPERLINK("http://dx.doi.org/10.1086/649587","http://dx.doi.org/10.1086/649587")</f>
        <v>http://dx.doi.org/10.1086/649587</v>
      </c>
      <c r="BG2029" s="4"/>
      <c r="BH2029" s="4"/>
      <c r="BI2029" s="4" t="n">
        <v>5</v>
      </c>
      <c r="BJ2029" s="4" t="s">
        <v>536</v>
      </c>
      <c r="BK2029" s="4" t="s">
        <v>100</v>
      </c>
      <c r="BL2029" s="4" t="s">
        <v>536</v>
      </c>
      <c r="BM2029" s="4" t="s">
        <v>34216</v>
      </c>
      <c r="BN2029" s="4" t="n">
        <v>19951142</v>
      </c>
      <c r="BO2029" s="4" t="s">
        <v>165</v>
      </c>
      <c r="BP2029" s="4"/>
      <c r="BQ2029" s="4"/>
      <c r="BR2029" s="4" t="s">
        <v>104</v>
      </c>
      <c r="BS2029" s="4" t="s">
        <v>34217</v>
      </c>
      <c r="BT2029" s="4" t="str">
        <f aca="false">HYPERLINK("https%3A%2F%2Fwww.webofscience.com%2Fwos%2Fwoscc%2Ffull-record%2FWOS:000273051200017","View Full Record in Web of Science")</f>
        <v>View Full Record in Web of Science</v>
      </c>
    </row>
    <row r="2030" s="5" customFormat="true" ht="12.75" hidden="false" customHeight="false" outlineLevel="0" collapsed="false">
      <c r="A2030" s="4" t="s">
        <v>72</v>
      </c>
      <c r="B2030" s="4" t="s">
        <v>34218</v>
      </c>
      <c r="C2030" s="4"/>
      <c r="D2030" s="4"/>
      <c r="E2030" s="4"/>
      <c r="F2030" s="4" t="s">
        <v>34219</v>
      </c>
      <c r="G2030" s="4"/>
      <c r="H2030" s="4"/>
      <c r="I2030" s="4" t="s">
        <v>34220</v>
      </c>
      <c r="J2030" s="4" t="s">
        <v>27915</v>
      </c>
      <c r="K2030" s="4"/>
      <c r="L2030" s="4"/>
      <c r="M2030" s="4" t="s">
        <v>77</v>
      </c>
      <c r="N2030" s="4" t="s">
        <v>78</v>
      </c>
      <c r="O2030" s="4"/>
      <c r="P2030" s="4"/>
      <c r="Q2030" s="4"/>
      <c r="R2030" s="4"/>
      <c r="S2030" s="4"/>
      <c r="T2030" s="1" t="s">
        <v>34221</v>
      </c>
      <c r="U2030" s="4" t="s">
        <v>34222</v>
      </c>
      <c r="V2030" s="4" t="s">
        <v>34223</v>
      </c>
      <c r="W2030" s="4" t="s">
        <v>34224</v>
      </c>
      <c r="X2030" s="4" t="s">
        <v>34225</v>
      </c>
      <c r="Y2030" s="4" t="s">
        <v>34226</v>
      </c>
      <c r="Z2030" s="4" t="s">
        <v>749</v>
      </c>
      <c r="AA2030" s="4" t="s">
        <v>750</v>
      </c>
      <c r="AB2030" s="4" t="s">
        <v>34227</v>
      </c>
      <c r="AC2030" s="4" t="s">
        <v>34228</v>
      </c>
      <c r="AD2030" s="4" t="s">
        <v>34229</v>
      </c>
      <c r="AE2030" s="4" t="s">
        <v>34230</v>
      </c>
      <c r="AF2030" s="4"/>
      <c r="AG2030" s="4" t="n">
        <v>71</v>
      </c>
      <c r="AH2030" s="4" t="n">
        <v>20</v>
      </c>
      <c r="AI2030" s="4" t="n">
        <v>23</v>
      </c>
      <c r="AJ2030" s="4" t="n">
        <v>0</v>
      </c>
      <c r="AK2030" s="4" t="n">
        <v>8</v>
      </c>
      <c r="AL2030" s="4" t="s">
        <v>27927</v>
      </c>
      <c r="AM2030" s="4" t="s">
        <v>27928</v>
      </c>
      <c r="AN2030" s="4" t="s">
        <v>27929</v>
      </c>
      <c r="AO2030" s="4" t="s">
        <v>27930</v>
      </c>
      <c r="AP2030" s="4" t="s">
        <v>27931</v>
      </c>
      <c r="AQ2030" s="4"/>
      <c r="AR2030" s="4" t="s">
        <v>27932</v>
      </c>
      <c r="AS2030" s="4" t="s">
        <v>27933</v>
      </c>
      <c r="AT2030" s="4" t="s">
        <v>7237</v>
      </c>
      <c r="AU2030" s="4" t="n">
        <v>2018</v>
      </c>
      <c r="AV2030" s="4" t="n">
        <v>201</v>
      </c>
      <c r="AW2030" s="4" t="n">
        <v>4</v>
      </c>
      <c r="AX2030" s="4"/>
      <c r="AY2030" s="4"/>
      <c r="AZ2030" s="4"/>
      <c r="BA2030" s="4"/>
      <c r="BB2030" s="4" t="n">
        <v>1253</v>
      </c>
      <c r="BC2030" s="4" t="n">
        <v>1266</v>
      </c>
      <c r="BD2030" s="4"/>
      <c r="BE2030" s="4" t="s">
        <v>34231</v>
      </c>
      <c r="BF2030" s="4" t="str">
        <f aca="false">HYPERLINK("http://dx.doi.org/10.4049/jimmunol.1800096","http://dx.doi.org/10.4049/jimmunol.1800096")</f>
        <v>http://dx.doi.org/10.4049/jimmunol.1800096</v>
      </c>
      <c r="BG2030" s="4"/>
      <c r="BH2030" s="4"/>
      <c r="BI2030" s="4" t="n">
        <v>14</v>
      </c>
      <c r="BJ2030" s="4" t="s">
        <v>628</v>
      </c>
      <c r="BK2030" s="4" t="s">
        <v>100</v>
      </c>
      <c r="BL2030" s="4" t="s">
        <v>628</v>
      </c>
      <c r="BM2030" s="4" t="s">
        <v>34232</v>
      </c>
      <c r="BN2030" s="4" t="n">
        <v>29997123</v>
      </c>
      <c r="BO2030" s="4" t="s">
        <v>5372</v>
      </c>
      <c r="BP2030" s="4"/>
      <c r="BQ2030" s="4"/>
      <c r="BR2030" s="4" t="s">
        <v>104</v>
      </c>
      <c r="BS2030" s="4" t="s">
        <v>34233</v>
      </c>
      <c r="BT2030" s="4" t="str">
        <f aca="false">HYPERLINK("https%3A%2F%2Fwww.webofscience.com%2Fwos%2Fwoscc%2Ffull-record%2FWOS:000443583400015","View Full Record in Web of Science")</f>
        <v>View Full Record in Web of Science</v>
      </c>
    </row>
    <row r="2031" s="5" customFormat="true" ht="12.75" hidden="false" customHeight="false" outlineLevel="0" collapsed="false">
      <c r="A2031" s="4" t="s">
        <v>72</v>
      </c>
      <c r="B2031" s="4" t="s">
        <v>34234</v>
      </c>
      <c r="C2031" s="4"/>
      <c r="D2031" s="4"/>
      <c r="E2031" s="4"/>
      <c r="F2031" s="4" t="s">
        <v>34234</v>
      </c>
      <c r="G2031" s="4"/>
      <c r="H2031" s="4"/>
      <c r="I2031" s="4" t="s">
        <v>34235</v>
      </c>
      <c r="J2031" s="4" t="s">
        <v>7145</v>
      </c>
      <c r="K2031" s="4"/>
      <c r="L2031" s="4"/>
      <c r="M2031" s="4" t="s">
        <v>77</v>
      </c>
      <c r="N2031" s="4" t="s">
        <v>78</v>
      </c>
      <c r="O2031" s="4"/>
      <c r="P2031" s="4"/>
      <c r="Q2031" s="4"/>
      <c r="R2031" s="4"/>
      <c r="S2031" s="4"/>
      <c r="T2031" s="1" t="s">
        <v>34236</v>
      </c>
      <c r="U2031" s="4" t="s">
        <v>34237</v>
      </c>
      <c r="V2031" s="4" t="s">
        <v>34238</v>
      </c>
      <c r="W2031" s="4" t="s">
        <v>34239</v>
      </c>
      <c r="X2031" s="4" t="s">
        <v>34240</v>
      </c>
      <c r="Y2031" s="4" t="s">
        <v>34241</v>
      </c>
      <c r="Z2031" s="4" t="s">
        <v>34242</v>
      </c>
      <c r="AA2031" s="4"/>
      <c r="AB2031" s="4"/>
      <c r="AC2031" s="4"/>
      <c r="AD2031" s="4"/>
      <c r="AE2031" s="4"/>
      <c r="AF2031" s="4"/>
      <c r="AG2031" s="4" t="n">
        <v>46</v>
      </c>
      <c r="AH2031" s="4" t="n">
        <v>38</v>
      </c>
      <c r="AI2031" s="4" t="n">
        <v>45</v>
      </c>
      <c r="AJ2031" s="4" t="n">
        <v>2</v>
      </c>
      <c r="AK2031" s="4" t="n">
        <v>4</v>
      </c>
      <c r="AL2031" s="4" t="s">
        <v>3426</v>
      </c>
      <c r="AM2031" s="4" t="s">
        <v>303</v>
      </c>
      <c r="AN2031" s="4" t="s">
        <v>3427</v>
      </c>
      <c r="AO2031" s="4" t="s">
        <v>7158</v>
      </c>
      <c r="AP2031" s="4" t="s">
        <v>7159</v>
      </c>
      <c r="AQ2031" s="4"/>
      <c r="AR2031" s="4" t="s">
        <v>7160</v>
      </c>
      <c r="AS2031" s="4" t="s">
        <v>7161</v>
      </c>
      <c r="AT2031" s="4" t="s">
        <v>185</v>
      </c>
      <c r="AU2031" s="4" t="n">
        <v>2003</v>
      </c>
      <c r="AV2031" s="4" t="n">
        <v>84</v>
      </c>
      <c r="AW2031" s="4"/>
      <c r="AX2031" s="4" t="n">
        <v>8</v>
      </c>
      <c r="AY2031" s="4"/>
      <c r="AZ2031" s="4"/>
      <c r="BA2031" s="4"/>
      <c r="BB2031" s="4" t="n">
        <v>2169</v>
      </c>
      <c r="BC2031" s="4" t="n">
        <v>2178</v>
      </c>
      <c r="BD2031" s="4"/>
      <c r="BE2031" s="4" t="s">
        <v>34243</v>
      </c>
      <c r="BF2031" s="4" t="str">
        <f aca="false">HYPERLINK("http://dx.doi.org/10.1099/vir.0.19043-0","http://dx.doi.org/10.1099/vir.0.19043-0")</f>
        <v>http://dx.doi.org/10.1099/vir.0.19043-0</v>
      </c>
      <c r="BG2031" s="4"/>
      <c r="BH2031" s="4"/>
      <c r="BI2031" s="4" t="n">
        <v>10</v>
      </c>
      <c r="BJ2031" s="4" t="s">
        <v>7163</v>
      </c>
      <c r="BK2031" s="4" t="s">
        <v>100</v>
      </c>
      <c r="BL2031" s="4" t="s">
        <v>7163</v>
      </c>
      <c r="BM2031" s="4" t="s">
        <v>34244</v>
      </c>
      <c r="BN2031" s="4" t="n">
        <v>12867649</v>
      </c>
      <c r="BO2031" s="4" t="s">
        <v>656</v>
      </c>
      <c r="BP2031" s="4"/>
      <c r="BQ2031" s="4"/>
      <c r="BR2031" s="4" t="s">
        <v>104</v>
      </c>
      <c r="BS2031" s="4" t="s">
        <v>34245</v>
      </c>
      <c r="BT2031" s="4" t="str">
        <f aca="false">HYPERLINK("https%3A%2F%2Fwww.webofscience.com%2Fwos%2Fwoscc%2Ffull-record%2FWOS:000184411600026","View Full Record in Web of Science")</f>
        <v>View Full Record in Web of Science</v>
      </c>
    </row>
    <row r="2032" s="5" customFormat="true" ht="12.75" hidden="false" customHeight="false" outlineLevel="0" collapsed="false">
      <c r="A2032" s="4" t="s">
        <v>72</v>
      </c>
      <c r="B2032" s="4" t="s">
        <v>34246</v>
      </c>
      <c r="C2032" s="4"/>
      <c r="D2032" s="4"/>
      <c r="E2032" s="4"/>
      <c r="F2032" s="4" t="s">
        <v>34247</v>
      </c>
      <c r="G2032" s="4"/>
      <c r="H2032" s="4"/>
      <c r="I2032" s="4" t="s">
        <v>34248</v>
      </c>
      <c r="J2032" s="4" t="s">
        <v>34249</v>
      </c>
      <c r="K2032" s="4"/>
      <c r="L2032" s="4"/>
      <c r="M2032" s="4" t="s">
        <v>77</v>
      </c>
      <c r="N2032" s="4" t="s">
        <v>78</v>
      </c>
      <c r="O2032" s="4"/>
      <c r="P2032" s="4"/>
      <c r="Q2032" s="4"/>
      <c r="R2032" s="4"/>
      <c r="S2032" s="4"/>
      <c r="T2032" s="1" t="s">
        <v>34250</v>
      </c>
      <c r="U2032" s="4" t="s">
        <v>34251</v>
      </c>
      <c r="V2032" s="4" t="s">
        <v>34252</v>
      </c>
      <c r="W2032" s="4" t="s">
        <v>34253</v>
      </c>
      <c r="X2032" s="4" t="s">
        <v>34254</v>
      </c>
      <c r="Y2032" s="4" t="s">
        <v>34255</v>
      </c>
      <c r="Z2032" s="4" t="s">
        <v>16590</v>
      </c>
      <c r="AA2032" s="4" t="s">
        <v>34256</v>
      </c>
      <c r="AB2032" s="4" t="s">
        <v>34257</v>
      </c>
      <c r="AC2032" s="4"/>
      <c r="AD2032" s="4"/>
      <c r="AE2032" s="4"/>
      <c r="AF2032" s="4"/>
      <c r="AG2032" s="4" t="n">
        <v>85</v>
      </c>
      <c r="AH2032" s="4" t="n">
        <v>26</v>
      </c>
      <c r="AI2032" s="4" t="n">
        <v>27</v>
      </c>
      <c r="AJ2032" s="4" t="n">
        <v>0</v>
      </c>
      <c r="AK2032" s="4" t="n">
        <v>7</v>
      </c>
      <c r="AL2032" s="4" t="s">
        <v>1749</v>
      </c>
      <c r="AM2032" s="4" t="s">
        <v>1750</v>
      </c>
      <c r="AN2032" s="4" t="s">
        <v>1751</v>
      </c>
      <c r="AO2032" s="4" t="s">
        <v>34258</v>
      </c>
      <c r="AP2032" s="4" t="s">
        <v>34259</v>
      </c>
      <c r="AQ2032" s="4"/>
      <c r="AR2032" s="4" t="s">
        <v>34260</v>
      </c>
      <c r="AS2032" s="4" t="s">
        <v>34261</v>
      </c>
      <c r="AT2032" s="4" t="s">
        <v>336</v>
      </c>
      <c r="AU2032" s="4" t="n">
        <v>2013</v>
      </c>
      <c r="AV2032" s="4" t="n">
        <v>89</v>
      </c>
      <c r="AW2032" s="4"/>
      <c r="AX2032" s="4"/>
      <c r="AY2032" s="4" t="n">
        <v>3</v>
      </c>
      <c r="AZ2032" s="4"/>
      <c r="BA2032" s="4"/>
      <c r="BB2032" s="4" t="s">
        <v>25892</v>
      </c>
      <c r="BC2032" s="4" t="s">
        <v>34262</v>
      </c>
      <c r="BD2032" s="4"/>
      <c r="BE2032" s="4" t="s">
        <v>34263</v>
      </c>
      <c r="BF2032" s="4" t="str">
        <f aca="false">HYPERLINK("http://dx.doi.org/10.1016/j.earlhumdev.2013.07.016","http://dx.doi.org/10.1016/j.earlhumdev.2013.07.016")</f>
        <v>http://dx.doi.org/10.1016/j.earlhumdev.2013.07.016</v>
      </c>
      <c r="BG2032" s="4"/>
      <c r="BH2032" s="4"/>
      <c r="BI2032" s="4" t="n">
        <v>5</v>
      </c>
      <c r="BJ2032" s="4" t="s">
        <v>34264</v>
      </c>
      <c r="BK2032" s="4" t="s">
        <v>100</v>
      </c>
      <c r="BL2032" s="4" t="s">
        <v>34264</v>
      </c>
      <c r="BM2032" s="4" t="s">
        <v>34265</v>
      </c>
      <c r="BN2032" s="4" t="n">
        <v>23972293</v>
      </c>
      <c r="BO2032" s="4" t="s">
        <v>165</v>
      </c>
      <c r="BP2032" s="4"/>
      <c r="BQ2032" s="4"/>
      <c r="BR2032" s="4" t="s">
        <v>104</v>
      </c>
      <c r="BS2032" s="4" t="s">
        <v>34266</v>
      </c>
      <c r="BT2032" s="4" t="str">
        <f aca="false">HYPERLINK("https%3A%2F%2Fwww.webofscience.com%2Fwos%2Fwoscc%2Ffull-record%2FWOS:000327755800003","View Full Record in Web of Science")</f>
        <v>View Full Record in Web of Science</v>
      </c>
    </row>
    <row r="2033" s="5" customFormat="true" ht="12.75" hidden="false" customHeight="false" outlineLevel="0" collapsed="false">
      <c r="A2033" s="4" t="s">
        <v>72</v>
      </c>
      <c r="B2033" s="4" t="s">
        <v>34267</v>
      </c>
      <c r="C2033" s="4"/>
      <c r="D2033" s="4"/>
      <c r="E2033" s="4"/>
      <c r="F2033" s="4" t="s">
        <v>34268</v>
      </c>
      <c r="G2033" s="4"/>
      <c r="H2033" s="4"/>
      <c r="I2033" s="4" t="s">
        <v>34269</v>
      </c>
      <c r="J2033" s="4" t="s">
        <v>4895</v>
      </c>
      <c r="K2033" s="4"/>
      <c r="L2033" s="4"/>
      <c r="M2033" s="4" t="s">
        <v>77</v>
      </c>
      <c r="N2033" s="4" t="s">
        <v>78</v>
      </c>
      <c r="O2033" s="4"/>
      <c r="P2033" s="4"/>
      <c r="Q2033" s="4"/>
      <c r="R2033" s="4"/>
      <c r="S2033" s="4"/>
      <c r="T2033" s="1" t="s">
        <v>34270</v>
      </c>
      <c r="U2033" s="4" t="s">
        <v>34271</v>
      </c>
      <c r="V2033" s="4" t="s">
        <v>34272</v>
      </c>
      <c r="W2033" s="4" t="s">
        <v>34273</v>
      </c>
      <c r="X2033" s="4" t="s">
        <v>916</v>
      </c>
      <c r="Y2033" s="4" t="s">
        <v>34274</v>
      </c>
      <c r="Z2033" s="4" t="s">
        <v>10401</v>
      </c>
      <c r="AA2033" s="4"/>
      <c r="AB2033" s="4"/>
      <c r="AC2033" s="4"/>
      <c r="AD2033" s="4"/>
      <c r="AE2033" s="4"/>
      <c r="AF2033" s="4"/>
      <c r="AG2033" s="4" t="n">
        <v>25</v>
      </c>
      <c r="AH2033" s="4" t="n">
        <v>16</v>
      </c>
      <c r="AI2033" s="4" t="n">
        <v>18</v>
      </c>
      <c r="AJ2033" s="4" t="n">
        <v>0</v>
      </c>
      <c r="AK2033" s="4" t="n">
        <v>1</v>
      </c>
      <c r="AL2033" s="4" t="s">
        <v>592</v>
      </c>
      <c r="AM2033" s="4" t="s">
        <v>593</v>
      </c>
      <c r="AN2033" s="4" t="s">
        <v>594</v>
      </c>
      <c r="AO2033" s="4" t="s">
        <v>4905</v>
      </c>
      <c r="AP2033" s="4" t="s">
        <v>4906</v>
      </c>
      <c r="AQ2033" s="4"/>
      <c r="AR2033" s="4" t="s">
        <v>4907</v>
      </c>
      <c r="AS2033" s="4" t="s">
        <v>4908</v>
      </c>
      <c r="AT2033" s="4" t="s">
        <v>161</v>
      </c>
      <c r="AU2033" s="4" t="n">
        <v>2016</v>
      </c>
      <c r="AV2033" s="4" t="n">
        <v>35</v>
      </c>
      <c r="AW2033" s="4" t="n">
        <v>1</v>
      </c>
      <c r="AX2033" s="4"/>
      <c r="AY2033" s="4"/>
      <c r="AZ2033" s="4"/>
      <c r="BA2033" s="4"/>
      <c r="BB2033" s="4" t="n">
        <v>155</v>
      </c>
      <c r="BC2033" s="4" t="n">
        <v>158</v>
      </c>
      <c r="BD2033" s="4"/>
      <c r="BE2033" s="4" t="s">
        <v>34275</v>
      </c>
      <c r="BF2033" s="4" t="str">
        <f aca="false">HYPERLINK("http://dx.doi.org/10.1007/s10096-015-2521-8","http://dx.doi.org/10.1007/s10096-015-2521-8")</f>
        <v>http://dx.doi.org/10.1007/s10096-015-2521-8</v>
      </c>
      <c r="BG2033" s="4"/>
      <c r="BH2033" s="4"/>
      <c r="BI2033" s="4" t="n">
        <v>4</v>
      </c>
      <c r="BJ2033" s="4" t="s">
        <v>1467</v>
      </c>
      <c r="BK2033" s="4" t="s">
        <v>100</v>
      </c>
      <c r="BL2033" s="4" t="s">
        <v>1467</v>
      </c>
      <c r="BM2033" s="4" t="s">
        <v>34276</v>
      </c>
      <c r="BN2033" s="4" t="n">
        <v>26563893</v>
      </c>
      <c r="BO2033" s="4" t="s">
        <v>165</v>
      </c>
      <c r="BP2033" s="4"/>
      <c r="BQ2033" s="4"/>
      <c r="BR2033" s="4" t="s">
        <v>104</v>
      </c>
      <c r="BS2033" s="4" t="s">
        <v>34277</v>
      </c>
      <c r="BT2033" s="4" t="str">
        <f aca="false">HYPERLINK("https%3A%2F%2Fwww.webofscience.com%2Fwos%2Fwoscc%2Ffull-record%2FWOS:000368813700018","View Full Record in Web of Science")</f>
        <v>View Full Record in Web of Science</v>
      </c>
    </row>
    <row r="2034" s="5" customFormat="true" ht="12.75" hidden="false" customHeight="false" outlineLevel="0" collapsed="false">
      <c r="A2034" s="4" t="s">
        <v>72</v>
      </c>
      <c r="B2034" s="4" t="s">
        <v>34278</v>
      </c>
      <c r="C2034" s="4"/>
      <c r="D2034" s="4"/>
      <c r="E2034" s="4"/>
      <c r="F2034" s="4" t="s">
        <v>34279</v>
      </c>
      <c r="G2034" s="4"/>
      <c r="H2034" s="4"/>
      <c r="I2034" s="4" t="s">
        <v>34280</v>
      </c>
      <c r="J2034" s="4" t="s">
        <v>1174</v>
      </c>
      <c r="K2034" s="4"/>
      <c r="L2034" s="4"/>
      <c r="M2034" s="4" t="s">
        <v>77</v>
      </c>
      <c r="N2034" s="4" t="s">
        <v>78</v>
      </c>
      <c r="O2034" s="4"/>
      <c r="P2034" s="4"/>
      <c r="Q2034" s="4"/>
      <c r="R2034" s="4"/>
      <c r="S2034" s="4"/>
      <c r="T2034" s="1" t="s">
        <v>34281</v>
      </c>
      <c r="U2034" s="4" t="s">
        <v>34282</v>
      </c>
      <c r="V2034" s="4" t="s">
        <v>34283</v>
      </c>
      <c r="W2034" s="4" t="s">
        <v>34284</v>
      </c>
      <c r="X2034" s="4" t="s">
        <v>34285</v>
      </c>
      <c r="Y2034" s="4" t="s">
        <v>34286</v>
      </c>
      <c r="Z2034" s="4" t="s">
        <v>21712</v>
      </c>
      <c r="AA2034" s="4" t="s">
        <v>21713</v>
      </c>
      <c r="AB2034" s="4" t="s">
        <v>21714</v>
      </c>
      <c r="AC2034" s="4" t="s">
        <v>34287</v>
      </c>
      <c r="AD2034" s="4" t="s">
        <v>34288</v>
      </c>
      <c r="AE2034" s="4" t="s">
        <v>34289</v>
      </c>
      <c r="AF2034" s="4"/>
      <c r="AG2034" s="4" t="n">
        <v>35</v>
      </c>
      <c r="AH2034" s="4" t="n">
        <v>105</v>
      </c>
      <c r="AI2034" s="4" t="n">
        <v>113</v>
      </c>
      <c r="AJ2034" s="4" t="n">
        <v>0</v>
      </c>
      <c r="AK2034" s="4" t="n">
        <v>14</v>
      </c>
      <c r="AL2034" s="4" t="s">
        <v>1186</v>
      </c>
      <c r="AM2034" s="4" t="s">
        <v>303</v>
      </c>
      <c r="AN2034" s="4" t="s">
        <v>1187</v>
      </c>
      <c r="AO2034" s="4" t="s">
        <v>1188</v>
      </c>
      <c r="AP2034" s="4" t="s">
        <v>1189</v>
      </c>
      <c r="AQ2034" s="4"/>
      <c r="AR2034" s="4" t="s">
        <v>1174</v>
      </c>
      <c r="AS2034" s="4" t="s">
        <v>1190</v>
      </c>
      <c r="AT2034" s="4" t="s">
        <v>129</v>
      </c>
      <c r="AU2034" s="4" t="n">
        <v>2015</v>
      </c>
      <c r="AV2034" s="4" t="n">
        <v>70</v>
      </c>
      <c r="AW2034" s="4" t="n">
        <v>9</v>
      </c>
      <c r="AX2034" s="4"/>
      <c r="AY2034" s="4"/>
      <c r="AZ2034" s="4"/>
      <c r="BA2034" s="4"/>
      <c r="BB2034" s="4" t="n">
        <v>847</v>
      </c>
      <c r="BC2034" s="4" t="n">
        <v>853</v>
      </c>
      <c r="BD2034" s="4"/>
      <c r="BE2034" s="4" t="s">
        <v>34290</v>
      </c>
      <c r="BF2034" s="4" t="str">
        <f aca="false">HYPERLINK("http://dx.doi.org/10.1136/thoraxjnl-2015-206933","http://dx.doi.org/10.1136/thoraxjnl-2015-206933")</f>
        <v>http://dx.doi.org/10.1136/thoraxjnl-2015-206933</v>
      </c>
      <c r="BG2034" s="4"/>
      <c r="BH2034" s="4"/>
      <c r="BI2034" s="4" t="n">
        <v>7</v>
      </c>
      <c r="BJ2034" s="4" t="s">
        <v>338</v>
      </c>
      <c r="BK2034" s="4" t="s">
        <v>100</v>
      </c>
      <c r="BL2034" s="4" t="s">
        <v>338</v>
      </c>
      <c r="BM2034" s="4" t="s">
        <v>34291</v>
      </c>
      <c r="BN2034" s="4" t="n">
        <v>26077969</v>
      </c>
      <c r="BO2034" s="4" t="s">
        <v>656</v>
      </c>
      <c r="BP2034" s="4"/>
      <c r="BQ2034" s="4"/>
      <c r="BR2034" s="4" t="s">
        <v>104</v>
      </c>
      <c r="BS2034" s="4" t="s">
        <v>34292</v>
      </c>
      <c r="BT2034" s="4" t="str">
        <f aca="false">HYPERLINK("https%3A%2F%2Fwww.webofscience.com%2Fwos%2Fwoscc%2Ffull-record%2FWOS:000359808600009","View Full Record in Web of Science")</f>
        <v>View Full Record in Web of Science</v>
      </c>
    </row>
    <row r="2035" s="5" customFormat="true" ht="12.75" hidden="false" customHeight="false" outlineLevel="0" collapsed="false">
      <c r="A2035" s="4" t="s">
        <v>72</v>
      </c>
      <c r="B2035" s="4" t="s">
        <v>34293</v>
      </c>
      <c r="C2035" s="4"/>
      <c r="D2035" s="4"/>
      <c r="E2035" s="4"/>
      <c r="F2035" s="4" t="s">
        <v>34294</v>
      </c>
      <c r="G2035" s="4"/>
      <c r="H2035" s="4"/>
      <c r="I2035" s="4" t="s">
        <v>34295</v>
      </c>
      <c r="J2035" s="4" t="s">
        <v>29033</v>
      </c>
      <c r="K2035" s="4"/>
      <c r="L2035" s="4"/>
      <c r="M2035" s="4" t="s">
        <v>77</v>
      </c>
      <c r="N2035" s="4" t="s">
        <v>78</v>
      </c>
      <c r="O2035" s="4"/>
      <c r="P2035" s="4"/>
      <c r="Q2035" s="4"/>
      <c r="R2035" s="4"/>
      <c r="S2035" s="4"/>
      <c r="T2035" s="0"/>
      <c r="U2035" s="4" t="s">
        <v>34296</v>
      </c>
      <c r="V2035" s="4" t="s">
        <v>34297</v>
      </c>
      <c r="W2035" s="4" t="s">
        <v>34298</v>
      </c>
      <c r="X2035" s="4" t="s">
        <v>34299</v>
      </c>
      <c r="Y2035" s="4" t="s">
        <v>34300</v>
      </c>
      <c r="Z2035" s="4" t="s">
        <v>34301</v>
      </c>
      <c r="AA2035" s="4" t="s">
        <v>34302</v>
      </c>
      <c r="AB2035" s="4" t="s">
        <v>34303</v>
      </c>
      <c r="AC2035" s="4" t="s">
        <v>34304</v>
      </c>
      <c r="AD2035" s="4" t="s">
        <v>34304</v>
      </c>
      <c r="AE2035" s="4" t="s">
        <v>34305</v>
      </c>
      <c r="AF2035" s="4"/>
      <c r="AG2035" s="4" t="n">
        <v>31</v>
      </c>
      <c r="AH2035" s="4" t="n">
        <v>26</v>
      </c>
      <c r="AI2035" s="4" t="n">
        <v>31</v>
      </c>
      <c r="AJ2035" s="4" t="n">
        <v>0</v>
      </c>
      <c r="AK2035" s="4" t="n">
        <v>6</v>
      </c>
      <c r="AL2035" s="4" t="s">
        <v>29043</v>
      </c>
      <c r="AM2035" s="4" t="s">
        <v>29044</v>
      </c>
      <c r="AN2035" s="4" t="s">
        <v>29045</v>
      </c>
      <c r="AO2035" s="4" t="s">
        <v>29046</v>
      </c>
      <c r="AP2035" s="4" t="s">
        <v>33338</v>
      </c>
      <c r="AQ2035" s="4"/>
      <c r="AR2035" s="4" t="s">
        <v>29047</v>
      </c>
      <c r="AS2035" s="4" t="s">
        <v>29048</v>
      </c>
      <c r="AT2035" s="4" t="s">
        <v>390</v>
      </c>
      <c r="AU2035" s="4" t="n">
        <v>2015</v>
      </c>
      <c r="AV2035" s="4" t="n">
        <v>92</v>
      </c>
      <c r="AW2035" s="4" t="n">
        <v>5</v>
      </c>
      <c r="AX2035" s="4"/>
      <c r="AY2035" s="4"/>
      <c r="AZ2035" s="4"/>
      <c r="BA2035" s="4"/>
      <c r="BB2035" s="4" t="n">
        <v>1030</v>
      </c>
      <c r="BC2035" s="4" t="n">
        <v>1037</v>
      </c>
      <c r="BD2035" s="4"/>
      <c r="BE2035" s="4" t="s">
        <v>34306</v>
      </c>
      <c r="BF2035" s="4" t="str">
        <f aca="false">HYPERLINK("http://dx.doi.org/10.4269/ajtmh.14.0560","http://dx.doi.org/10.4269/ajtmh.14.0560")</f>
        <v>http://dx.doi.org/10.4269/ajtmh.14.0560</v>
      </c>
      <c r="BG2035" s="4"/>
      <c r="BH2035" s="4"/>
      <c r="BI2035" s="4" t="n">
        <v>8</v>
      </c>
      <c r="BJ2035" s="4" t="s">
        <v>9015</v>
      </c>
      <c r="BK2035" s="4" t="s">
        <v>100</v>
      </c>
      <c r="BL2035" s="4" t="s">
        <v>9015</v>
      </c>
      <c r="BM2035" s="4" t="s">
        <v>34307</v>
      </c>
      <c r="BN2035" s="4" t="n">
        <v>25758648</v>
      </c>
      <c r="BO2035" s="4"/>
      <c r="BP2035" s="4"/>
      <c r="BQ2035" s="4"/>
      <c r="BR2035" s="4" t="s">
        <v>104</v>
      </c>
      <c r="BS2035" s="4" t="s">
        <v>34308</v>
      </c>
      <c r="BT2035" s="4" t="str">
        <f aca="false">HYPERLINK("https%3A%2F%2Fwww.webofscience.com%2Fwos%2Fwoscc%2Ffull-record%2FWOS:000354074900028","View Full Record in Web of Science")</f>
        <v>View Full Record in Web of Science</v>
      </c>
    </row>
    <row r="2036" s="5" customFormat="true" ht="12.75" hidden="false" customHeight="false" outlineLevel="0" collapsed="false">
      <c r="A2036" s="4" t="s">
        <v>72</v>
      </c>
      <c r="B2036" s="4" t="s">
        <v>34309</v>
      </c>
      <c r="C2036" s="4"/>
      <c r="D2036" s="4"/>
      <c r="E2036" s="4"/>
      <c r="F2036" s="4" t="s">
        <v>34310</v>
      </c>
      <c r="G2036" s="4"/>
      <c r="H2036" s="4"/>
      <c r="I2036" s="4" t="s">
        <v>34311</v>
      </c>
      <c r="J2036" s="4" t="s">
        <v>4895</v>
      </c>
      <c r="K2036" s="4"/>
      <c r="L2036" s="4"/>
      <c r="M2036" s="4" t="s">
        <v>77</v>
      </c>
      <c r="N2036" s="4" t="s">
        <v>78</v>
      </c>
      <c r="O2036" s="4"/>
      <c r="P2036" s="4"/>
      <c r="Q2036" s="4"/>
      <c r="R2036" s="4"/>
      <c r="S2036" s="4"/>
      <c r="T2036" s="1" t="s">
        <v>34312</v>
      </c>
      <c r="U2036" s="4" t="s">
        <v>34313</v>
      </c>
      <c r="V2036" s="4" t="s">
        <v>34314</v>
      </c>
      <c r="W2036" s="4" t="s">
        <v>34315</v>
      </c>
      <c r="X2036" s="4" t="s">
        <v>34316</v>
      </c>
      <c r="Y2036" s="4" t="s">
        <v>34317</v>
      </c>
      <c r="Z2036" s="4" t="s">
        <v>34318</v>
      </c>
      <c r="AA2036" s="4"/>
      <c r="AB2036" s="4" t="s">
        <v>34319</v>
      </c>
      <c r="AC2036" s="4"/>
      <c r="AD2036" s="4"/>
      <c r="AE2036" s="4"/>
      <c r="AF2036" s="4"/>
      <c r="AG2036" s="4" t="n">
        <v>21</v>
      </c>
      <c r="AH2036" s="4" t="n">
        <v>62</v>
      </c>
      <c r="AI2036" s="4" t="n">
        <v>70</v>
      </c>
      <c r="AJ2036" s="4" t="n">
        <v>0</v>
      </c>
      <c r="AK2036" s="4" t="n">
        <v>14</v>
      </c>
      <c r="AL2036" s="4" t="s">
        <v>592</v>
      </c>
      <c r="AM2036" s="4" t="s">
        <v>593</v>
      </c>
      <c r="AN2036" s="4" t="s">
        <v>594</v>
      </c>
      <c r="AO2036" s="4" t="s">
        <v>4905</v>
      </c>
      <c r="AP2036" s="4" t="s">
        <v>4906</v>
      </c>
      <c r="AQ2036" s="4"/>
      <c r="AR2036" s="4" t="s">
        <v>4907</v>
      </c>
      <c r="AS2036" s="4" t="s">
        <v>4908</v>
      </c>
      <c r="AT2036" s="4" t="s">
        <v>804</v>
      </c>
      <c r="AU2036" s="4" t="n">
        <v>2012</v>
      </c>
      <c r="AV2036" s="4" t="n">
        <v>31</v>
      </c>
      <c r="AW2036" s="4" t="n">
        <v>11</v>
      </c>
      <c r="AX2036" s="4"/>
      <c r="AY2036" s="4"/>
      <c r="AZ2036" s="4"/>
      <c r="BA2036" s="4"/>
      <c r="BB2036" s="4" t="n">
        <v>3001</v>
      </c>
      <c r="BC2036" s="4" t="n">
        <v>3006</v>
      </c>
      <c r="BD2036" s="4"/>
      <c r="BE2036" s="4" t="s">
        <v>34320</v>
      </c>
      <c r="BF2036" s="4" t="str">
        <f aca="false">HYPERLINK("http://dx.doi.org/10.1007/s10096-012-1653-3","http://dx.doi.org/10.1007/s10096-012-1653-3")</f>
        <v>http://dx.doi.org/10.1007/s10096-012-1653-3</v>
      </c>
      <c r="BG2036" s="4"/>
      <c r="BH2036" s="4"/>
      <c r="BI2036" s="4" t="n">
        <v>6</v>
      </c>
      <c r="BJ2036" s="4" t="s">
        <v>1467</v>
      </c>
      <c r="BK2036" s="4" t="s">
        <v>100</v>
      </c>
      <c r="BL2036" s="4" t="s">
        <v>1467</v>
      </c>
      <c r="BM2036" s="4" t="s">
        <v>34321</v>
      </c>
      <c r="BN2036" s="4" t="n">
        <v>22678349</v>
      </c>
      <c r="BO2036" s="4" t="s">
        <v>538</v>
      </c>
      <c r="BP2036" s="4"/>
      <c r="BQ2036" s="4"/>
      <c r="BR2036" s="4" t="s">
        <v>104</v>
      </c>
      <c r="BS2036" s="4" t="s">
        <v>34322</v>
      </c>
      <c r="BT2036" s="4" t="str">
        <f aca="false">HYPERLINK("https%3A%2F%2Fwww.webofscience.com%2Fwos%2Fwoscc%2Ffull-record%2FWOS:000310247800018","View Full Record in Web of Science")</f>
        <v>View Full Record in Web of Science</v>
      </c>
    </row>
    <row r="2037" s="5" customFormat="true" ht="12.75" hidden="false" customHeight="false" outlineLevel="0" collapsed="false">
      <c r="A2037" s="4" t="s">
        <v>72</v>
      </c>
      <c r="B2037" s="4" t="s">
        <v>34323</v>
      </c>
      <c r="C2037" s="4"/>
      <c r="D2037" s="4"/>
      <c r="E2037" s="4"/>
      <c r="F2037" s="4" t="s">
        <v>34324</v>
      </c>
      <c r="G2037" s="4"/>
      <c r="H2037" s="4"/>
      <c r="I2037" s="4" t="s">
        <v>34325</v>
      </c>
      <c r="J2037" s="4" t="s">
        <v>27548</v>
      </c>
      <c r="K2037" s="4"/>
      <c r="L2037" s="4"/>
      <c r="M2037" s="4" t="s">
        <v>77</v>
      </c>
      <c r="N2037" s="4" t="s">
        <v>78</v>
      </c>
      <c r="O2037" s="4"/>
      <c r="P2037" s="4"/>
      <c r="Q2037" s="4"/>
      <c r="R2037" s="4"/>
      <c r="S2037" s="4"/>
      <c r="T2037" s="1" t="s">
        <v>34326</v>
      </c>
      <c r="U2037" s="4" t="s">
        <v>34327</v>
      </c>
      <c r="V2037" s="4" t="s">
        <v>34328</v>
      </c>
      <c r="W2037" s="4" t="s">
        <v>34329</v>
      </c>
      <c r="X2037" s="4" t="s">
        <v>34330</v>
      </c>
      <c r="Y2037" s="4" t="s">
        <v>34331</v>
      </c>
      <c r="Z2037" s="4" t="s">
        <v>34332</v>
      </c>
      <c r="AA2037" s="4" t="s">
        <v>34333</v>
      </c>
      <c r="AB2037" s="4" t="s">
        <v>34334</v>
      </c>
      <c r="AC2037" s="4"/>
      <c r="AD2037" s="4"/>
      <c r="AE2037" s="4"/>
      <c r="AF2037" s="4"/>
      <c r="AG2037" s="4" t="n">
        <v>15</v>
      </c>
      <c r="AH2037" s="4" t="n">
        <v>64</v>
      </c>
      <c r="AI2037" s="4" t="n">
        <v>67</v>
      </c>
      <c r="AJ2037" s="4" t="n">
        <v>0</v>
      </c>
      <c r="AK2037" s="4" t="n">
        <v>0</v>
      </c>
      <c r="AL2037" s="4" t="s">
        <v>27560</v>
      </c>
      <c r="AM2037" s="4" t="s">
        <v>27561</v>
      </c>
      <c r="AN2037" s="4" t="s">
        <v>27562</v>
      </c>
      <c r="AO2037" s="4" t="s">
        <v>27563</v>
      </c>
      <c r="AP2037" s="4" t="s">
        <v>27564</v>
      </c>
      <c r="AQ2037" s="4"/>
      <c r="AR2037" s="4" t="s">
        <v>27565</v>
      </c>
      <c r="AS2037" s="4" t="s">
        <v>27566</v>
      </c>
      <c r="AT2037" s="4" t="s">
        <v>185</v>
      </c>
      <c r="AU2037" s="4" t="n">
        <v>2006</v>
      </c>
      <c r="AV2037" s="4" t="n">
        <v>12</v>
      </c>
      <c r="AW2037" s="4" t="n">
        <v>8</v>
      </c>
      <c r="AX2037" s="4"/>
      <c r="AY2037" s="4"/>
      <c r="AZ2037" s="4"/>
      <c r="BA2037" s="4"/>
      <c r="BB2037" s="4" t="n">
        <v>1263</v>
      </c>
      <c r="BC2037" s="4" t="n">
        <v>1266</v>
      </c>
      <c r="BD2037" s="4"/>
      <c r="BE2037" s="4" t="s">
        <v>34335</v>
      </c>
      <c r="BF2037" s="4" t="str">
        <f aca="false">HYPERLINK("http://dx.doi.org/10.3201/eid1708.051239","http://dx.doi.org/10.3201/eid1708.051239")</f>
        <v>http://dx.doi.org/10.3201/eid1708.051239</v>
      </c>
      <c r="BG2037" s="4"/>
      <c r="BH2037" s="4"/>
      <c r="BI2037" s="4" t="n">
        <v>4</v>
      </c>
      <c r="BJ2037" s="4" t="s">
        <v>965</v>
      </c>
      <c r="BK2037" s="4" t="s">
        <v>100</v>
      </c>
      <c r="BL2037" s="4" t="s">
        <v>965</v>
      </c>
      <c r="BM2037" s="4" t="s">
        <v>34336</v>
      </c>
      <c r="BN2037" s="4" t="n">
        <v>16965711</v>
      </c>
      <c r="BO2037" s="4" t="s">
        <v>5702</v>
      </c>
      <c r="BP2037" s="4"/>
      <c r="BQ2037" s="4"/>
      <c r="BR2037" s="4" t="s">
        <v>104</v>
      </c>
      <c r="BS2037" s="4" t="s">
        <v>34337</v>
      </c>
      <c r="BT2037" s="4" t="str">
        <f aca="false">HYPERLINK("https%3A%2F%2Fwww.webofscience.com%2Fwos%2Fwoscc%2Ffull-record%2FWOS:000239358500017","View Full Record in Web of Science")</f>
        <v>View Full Record in Web of Science</v>
      </c>
    </row>
    <row r="2038" s="5" customFormat="true" ht="12.75" hidden="false" customHeight="false" outlineLevel="0" collapsed="false">
      <c r="A2038" s="4" t="s">
        <v>72</v>
      </c>
      <c r="B2038" s="4" t="s">
        <v>34338</v>
      </c>
      <c r="C2038" s="4"/>
      <c r="D2038" s="4"/>
      <c r="E2038" s="4"/>
      <c r="F2038" s="4" t="s">
        <v>34339</v>
      </c>
      <c r="G2038" s="4"/>
      <c r="H2038" s="4"/>
      <c r="I2038" s="4" t="s">
        <v>34340</v>
      </c>
      <c r="J2038" s="4" t="s">
        <v>34341</v>
      </c>
      <c r="K2038" s="4"/>
      <c r="L2038" s="4"/>
      <c r="M2038" s="4" t="s">
        <v>77</v>
      </c>
      <c r="N2038" s="4" t="s">
        <v>78</v>
      </c>
      <c r="O2038" s="4"/>
      <c r="P2038" s="4"/>
      <c r="Q2038" s="4"/>
      <c r="R2038" s="4"/>
      <c r="S2038" s="4"/>
      <c r="T2038" s="1" t="s">
        <v>34342</v>
      </c>
      <c r="U2038" s="4" t="s">
        <v>34343</v>
      </c>
      <c r="V2038" s="4" t="s">
        <v>34344</v>
      </c>
      <c r="W2038" s="4" t="s">
        <v>34345</v>
      </c>
      <c r="X2038" s="4" t="s">
        <v>34346</v>
      </c>
      <c r="Y2038" s="4" t="s">
        <v>12222</v>
      </c>
      <c r="Z2038" s="4" t="s">
        <v>34347</v>
      </c>
      <c r="AA2038" s="4" t="s">
        <v>34348</v>
      </c>
      <c r="AB2038" s="4" t="s">
        <v>34349</v>
      </c>
      <c r="AC2038" s="4" t="s">
        <v>34350</v>
      </c>
      <c r="AD2038" s="4" t="s">
        <v>34351</v>
      </c>
      <c r="AE2038" s="4"/>
      <c r="AF2038" s="4"/>
      <c r="AG2038" s="4" t="n">
        <v>32</v>
      </c>
      <c r="AH2038" s="4" t="n">
        <v>5</v>
      </c>
      <c r="AI2038" s="4" t="n">
        <v>11</v>
      </c>
      <c r="AJ2038" s="4" t="n">
        <v>0</v>
      </c>
      <c r="AK2038" s="4" t="n">
        <v>4</v>
      </c>
      <c r="AL2038" s="4" t="s">
        <v>302</v>
      </c>
      <c r="AM2038" s="4" t="s">
        <v>303</v>
      </c>
      <c r="AN2038" s="4" t="s">
        <v>304</v>
      </c>
      <c r="AO2038" s="4" t="s">
        <v>34352</v>
      </c>
      <c r="AP2038" s="4"/>
      <c r="AQ2038" s="4"/>
      <c r="AR2038" s="4" t="s">
        <v>34353</v>
      </c>
      <c r="AS2038" s="4" t="s">
        <v>34354</v>
      </c>
      <c r="AT2038" s="4" t="s">
        <v>32278</v>
      </c>
      <c r="AU2038" s="4" t="n">
        <v>2007</v>
      </c>
      <c r="AV2038" s="4" t="n">
        <v>7</v>
      </c>
      <c r="AW2038" s="4"/>
      <c r="AX2038" s="4"/>
      <c r="AY2038" s="4"/>
      <c r="AZ2038" s="4"/>
      <c r="BA2038" s="4"/>
      <c r="BB2038" s="4"/>
      <c r="BC2038" s="4"/>
      <c r="BD2038" s="4" t="n">
        <v>17</v>
      </c>
      <c r="BE2038" s="4" t="s">
        <v>34355</v>
      </c>
      <c r="BF2038" s="4" t="str">
        <f aca="false">HYPERLINK("http://dx.doi.org/10.1186/1472-6750-7-17","http://dx.doi.org/10.1186/1472-6750-7-17")</f>
        <v>http://dx.doi.org/10.1186/1472-6750-7-17</v>
      </c>
      <c r="BG2038" s="4"/>
      <c r="BH2038" s="4"/>
      <c r="BI2038" s="4" t="n">
        <v>9</v>
      </c>
      <c r="BJ2038" s="4" t="s">
        <v>24791</v>
      </c>
      <c r="BK2038" s="4" t="s">
        <v>100</v>
      </c>
      <c r="BL2038" s="4" t="s">
        <v>24791</v>
      </c>
      <c r="BM2038" s="4" t="s">
        <v>34356</v>
      </c>
      <c r="BN2038" s="4" t="n">
        <v>17411439</v>
      </c>
      <c r="BO2038" s="4" t="s">
        <v>190</v>
      </c>
      <c r="BP2038" s="4"/>
      <c r="BQ2038" s="4"/>
      <c r="BR2038" s="4" t="s">
        <v>104</v>
      </c>
      <c r="BS2038" s="4" t="s">
        <v>34357</v>
      </c>
      <c r="BT2038" s="4" t="str">
        <f aca="false">HYPERLINK("https%3A%2F%2Fwww.webofscience.com%2Fwos%2Fwoscc%2Ffull-record%2FWOS:000245862200001","View Full Record in Web of Science")</f>
        <v>View Full Record in Web of Science</v>
      </c>
    </row>
    <row r="2039" s="5" customFormat="true" ht="12.75" hidden="false" customHeight="false" outlineLevel="0" collapsed="false">
      <c r="A2039" s="4" t="s">
        <v>72</v>
      </c>
      <c r="B2039" s="4" t="s">
        <v>34358</v>
      </c>
      <c r="C2039" s="4"/>
      <c r="D2039" s="4"/>
      <c r="E2039" s="4"/>
      <c r="F2039" s="4" t="s">
        <v>34359</v>
      </c>
      <c r="G2039" s="4"/>
      <c r="H2039" s="4"/>
      <c r="I2039" s="4" t="s">
        <v>34360</v>
      </c>
      <c r="J2039" s="4" t="s">
        <v>27497</v>
      </c>
      <c r="K2039" s="4"/>
      <c r="L2039" s="4"/>
      <c r="M2039" s="4" t="s">
        <v>77</v>
      </c>
      <c r="N2039" s="4" t="s">
        <v>78</v>
      </c>
      <c r="O2039" s="4"/>
      <c r="P2039" s="4"/>
      <c r="Q2039" s="4"/>
      <c r="R2039" s="4"/>
      <c r="S2039" s="4"/>
      <c r="T2039" s="1" t="s">
        <v>34361</v>
      </c>
      <c r="U2039" s="4" t="s">
        <v>34362</v>
      </c>
      <c r="V2039" s="4" t="s">
        <v>34363</v>
      </c>
      <c r="W2039" s="4" t="s">
        <v>34364</v>
      </c>
      <c r="X2039" s="4" t="s">
        <v>34365</v>
      </c>
      <c r="Y2039" s="4" t="s">
        <v>34366</v>
      </c>
      <c r="Z2039" s="4" t="s">
        <v>34367</v>
      </c>
      <c r="AA2039" s="4" t="s">
        <v>34368</v>
      </c>
      <c r="AB2039" s="4" t="s">
        <v>34369</v>
      </c>
      <c r="AC2039" s="4" t="s">
        <v>34370</v>
      </c>
      <c r="AD2039" s="4" t="s">
        <v>34371</v>
      </c>
      <c r="AE2039" s="4" t="s">
        <v>34372</v>
      </c>
      <c r="AF2039" s="4"/>
      <c r="AG2039" s="4" t="n">
        <v>25</v>
      </c>
      <c r="AH2039" s="4" t="n">
        <v>9</v>
      </c>
      <c r="AI2039" s="4" t="n">
        <v>12</v>
      </c>
      <c r="AJ2039" s="4" t="n">
        <v>0</v>
      </c>
      <c r="AK2039" s="4" t="n">
        <v>23</v>
      </c>
      <c r="AL2039" s="4" t="s">
        <v>27506</v>
      </c>
      <c r="AM2039" s="4" t="s">
        <v>27507</v>
      </c>
      <c r="AN2039" s="4" t="s">
        <v>27508</v>
      </c>
      <c r="AO2039" s="4" t="s">
        <v>27509</v>
      </c>
      <c r="AP2039" s="4"/>
      <c r="AQ2039" s="4"/>
      <c r="AR2039" s="4" t="s">
        <v>27497</v>
      </c>
      <c r="AS2039" s="4" t="s">
        <v>27510</v>
      </c>
      <c r="AT2039" s="4" t="s">
        <v>27726</v>
      </c>
      <c r="AU2039" s="4" t="n">
        <v>2016</v>
      </c>
      <c r="AV2039" s="4" t="n">
        <v>11</v>
      </c>
      <c r="AW2039" s="4" t="n">
        <v>4</v>
      </c>
      <c r="AX2039" s="4"/>
      <c r="AY2039" s="4"/>
      <c r="AZ2039" s="4"/>
      <c r="BA2039" s="4"/>
      <c r="BB2039" s="4"/>
      <c r="BC2039" s="4"/>
      <c r="BD2039" s="4" t="s">
        <v>34373</v>
      </c>
      <c r="BE2039" s="4" t="s">
        <v>34374</v>
      </c>
      <c r="BF2039" s="4" t="str">
        <f aca="false">HYPERLINK("http://dx.doi.org/10.1371/journal.pone.0152702","http://dx.doi.org/10.1371/journal.pone.0152702")</f>
        <v>http://dx.doi.org/10.1371/journal.pone.0152702</v>
      </c>
      <c r="BG2039" s="4"/>
      <c r="BH2039" s="4"/>
      <c r="BI2039" s="4" t="n">
        <v>9</v>
      </c>
      <c r="BJ2039" s="4" t="s">
        <v>1658</v>
      </c>
      <c r="BK2039" s="4" t="s">
        <v>100</v>
      </c>
      <c r="BL2039" s="4" t="s">
        <v>1659</v>
      </c>
      <c r="BM2039" s="4" t="s">
        <v>34375</v>
      </c>
      <c r="BN2039" s="4" t="n">
        <v>27043208</v>
      </c>
      <c r="BO2039" s="4" t="s">
        <v>11315</v>
      </c>
      <c r="BP2039" s="4"/>
      <c r="BQ2039" s="4"/>
      <c r="BR2039" s="4" t="s">
        <v>104</v>
      </c>
      <c r="BS2039" s="4" t="s">
        <v>34376</v>
      </c>
      <c r="BT2039" s="4" t="str">
        <f aca="false">HYPERLINK("https%3A%2F%2Fwww.webofscience.com%2Fwos%2Fwoscc%2Ffull-record%2FWOS:000373592100027","View Full Record in Web of Science")</f>
        <v>View Full Record in Web of Science</v>
      </c>
    </row>
    <row r="2040" s="5" customFormat="true" ht="12.75" hidden="false" customHeight="false" outlineLevel="0" collapsed="false">
      <c r="A2040" s="4" t="s">
        <v>72</v>
      </c>
      <c r="B2040" s="4" t="s">
        <v>34377</v>
      </c>
      <c r="C2040" s="4"/>
      <c r="D2040" s="4"/>
      <c r="E2040" s="4"/>
      <c r="F2040" s="4" t="s">
        <v>34378</v>
      </c>
      <c r="G2040" s="4"/>
      <c r="H2040" s="4"/>
      <c r="I2040" s="4" t="s">
        <v>34379</v>
      </c>
      <c r="J2040" s="4" t="s">
        <v>34380</v>
      </c>
      <c r="K2040" s="4"/>
      <c r="L2040" s="4"/>
      <c r="M2040" s="4" t="s">
        <v>77</v>
      </c>
      <c r="N2040" s="4" t="s">
        <v>78</v>
      </c>
      <c r="O2040" s="4"/>
      <c r="P2040" s="4"/>
      <c r="Q2040" s="4"/>
      <c r="R2040" s="4"/>
      <c r="S2040" s="4"/>
      <c r="T2040" s="1" t="s">
        <v>34381</v>
      </c>
      <c r="U2040" s="4" t="s">
        <v>34382</v>
      </c>
      <c r="V2040" s="4" t="s">
        <v>34383</v>
      </c>
      <c r="W2040" s="4" t="s">
        <v>34384</v>
      </c>
      <c r="X2040" s="4" t="s">
        <v>34385</v>
      </c>
      <c r="Y2040" s="4" t="s">
        <v>34386</v>
      </c>
      <c r="Z2040" s="4" t="s">
        <v>34387</v>
      </c>
      <c r="AA2040" s="4" t="s">
        <v>34388</v>
      </c>
      <c r="AB2040" s="4" t="s">
        <v>34389</v>
      </c>
      <c r="AC2040" s="4" t="s">
        <v>34390</v>
      </c>
      <c r="AD2040" s="4" t="s">
        <v>34391</v>
      </c>
      <c r="AE2040" s="4" t="s">
        <v>34392</v>
      </c>
      <c r="AF2040" s="4"/>
      <c r="AG2040" s="4" t="n">
        <v>41</v>
      </c>
      <c r="AH2040" s="4" t="n">
        <v>0</v>
      </c>
      <c r="AI2040" s="4" t="n">
        <v>0</v>
      </c>
      <c r="AJ2040" s="4" t="n">
        <v>2</v>
      </c>
      <c r="AK2040" s="4" t="n">
        <v>8</v>
      </c>
      <c r="AL2040" s="4" t="s">
        <v>34393</v>
      </c>
      <c r="AM2040" s="4" t="s">
        <v>1705</v>
      </c>
      <c r="AN2040" s="4" t="s">
        <v>34394</v>
      </c>
      <c r="AO2040" s="4"/>
      <c r="AP2040" s="4" t="s">
        <v>34395</v>
      </c>
      <c r="AQ2040" s="4"/>
      <c r="AR2040" s="4" t="s">
        <v>34396</v>
      </c>
      <c r="AS2040" s="4" t="s">
        <v>34397</v>
      </c>
      <c r="AT2040" s="4" t="s">
        <v>14073</v>
      </c>
      <c r="AU2040" s="4" t="n">
        <v>2024</v>
      </c>
      <c r="AV2040" s="4" t="n">
        <v>3</v>
      </c>
      <c r="AW2040" s="4" t="n">
        <v>3</v>
      </c>
      <c r="AX2040" s="4"/>
      <c r="AY2040" s="4"/>
      <c r="AZ2040" s="4"/>
      <c r="BA2040" s="4"/>
      <c r="BB2040" s="4" t="n">
        <v>468</v>
      </c>
      <c r="BC2040" s="4" t="n">
        <v>478</v>
      </c>
      <c r="BD2040" s="4"/>
      <c r="BE2040" s="4" t="s">
        <v>34398</v>
      </c>
      <c r="BF2040" s="4" t="str">
        <f aca="false">HYPERLINK("http://dx.doi.org/10.1039/d3sd00316g","http://dx.doi.org/10.1039/d3sd00316g")</f>
        <v>http://dx.doi.org/10.1039/d3sd00316g</v>
      </c>
      <c r="BG2040" s="4"/>
      <c r="BH2040" s="4" t="s">
        <v>5299</v>
      </c>
      <c r="BI2040" s="4" t="n">
        <v>11</v>
      </c>
      <c r="BJ2040" s="4" t="s">
        <v>31460</v>
      </c>
      <c r="BK2040" s="4" t="s">
        <v>339</v>
      </c>
      <c r="BL2040" s="4" t="s">
        <v>7717</v>
      </c>
      <c r="BM2040" s="4" t="s">
        <v>34399</v>
      </c>
      <c r="BN2040" s="4"/>
      <c r="BO2040" s="4" t="s">
        <v>190</v>
      </c>
      <c r="BP2040" s="4"/>
      <c r="BQ2040" s="4"/>
      <c r="BR2040" s="4" t="s">
        <v>104</v>
      </c>
      <c r="BS2040" s="4" t="s">
        <v>34400</v>
      </c>
      <c r="BT2040" s="4" t="str">
        <f aca="false">HYPERLINK("https%3A%2F%2Fwww.webofscience.com%2Fwos%2Fwoscc%2Ffull-record%2FWOS:001166397700001","View Full Record in Web of Science")</f>
        <v>View Full Record in Web of Science</v>
      </c>
    </row>
    <row r="2041" s="5" customFormat="true" ht="12.75" hidden="false" customHeight="false" outlineLevel="0" collapsed="false">
      <c r="A2041" s="4" t="s">
        <v>72</v>
      </c>
      <c r="B2041" s="4" t="s">
        <v>34401</v>
      </c>
      <c r="C2041" s="4"/>
      <c r="D2041" s="4"/>
      <c r="E2041" s="4"/>
      <c r="F2041" s="4" t="s">
        <v>34401</v>
      </c>
      <c r="G2041" s="4"/>
      <c r="H2041" s="4"/>
      <c r="I2041" s="4" t="s">
        <v>34402</v>
      </c>
      <c r="J2041" s="4" t="s">
        <v>2021</v>
      </c>
      <c r="K2041" s="4"/>
      <c r="L2041" s="4"/>
      <c r="M2041" s="4" t="s">
        <v>77</v>
      </c>
      <c r="N2041" s="4" t="s">
        <v>78</v>
      </c>
      <c r="O2041" s="4"/>
      <c r="P2041" s="4"/>
      <c r="Q2041" s="4"/>
      <c r="R2041" s="4"/>
      <c r="S2041" s="4"/>
      <c r="T2041" s="1" t="s">
        <v>34403</v>
      </c>
      <c r="U2041" s="4" t="s">
        <v>34404</v>
      </c>
      <c r="V2041" s="4" t="s">
        <v>34405</v>
      </c>
      <c r="W2041" s="4" t="s">
        <v>34406</v>
      </c>
      <c r="X2041" s="4" t="s">
        <v>546</v>
      </c>
      <c r="Y2041" s="4" t="s">
        <v>1075</v>
      </c>
      <c r="Z2041" s="4" t="s">
        <v>548</v>
      </c>
      <c r="AA2041" s="4"/>
      <c r="AB2041" s="4"/>
      <c r="AC2041" s="4"/>
      <c r="AD2041" s="4"/>
      <c r="AE2041" s="4"/>
      <c r="AF2041" s="4"/>
      <c r="AG2041" s="4" t="n">
        <v>35</v>
      </c>
      <c r="AH2041" s="4" t="n">
        <v>139</v>
      </c>
      <c r="AI2041" s="4" t="n">
        <v>156</v>
      </c>
      <c r="AJ2041" s="4" t="n">
        <v>1</v>
      </c>
      <c r="AK2041" s="4" t="n">
        <v>4</v>
      </c>
      <c r="AL2041" s="4" t="s">
        <v>27444</v>
      </c>
      <c r="AM2041" s="4" t="s">
        <v>20223</v>
      </c>
      <c r="AN2041" s="4" t="s">
        <v>27445</v>
      </c>
      <c r="AO2041" s="4" t="s">
        <v>2033</v>
      </c>
      <c r="AP2041" s="4"/>
      <c r="AQ2041" s="4"/>
      <c r="AR2041" s="4" t="s">
        <v>2035</v>
      </c>
      <c r="AS2041" s="4" t="s">
        <v>2036</v>
      </c>
      <c r="AT2041" s="4" t="s">
        <v>1818</v>
      </c>
      <c r="AU2041" s="4" t="n">
        <v>2006</v>
      </c>
      <c r="AV2041" s="4" t="n">
        <v>42</v>
      </c>
      <c r="AW2041" s="4" t="n">
        <v>4</v>
      </c>
      <c r="AX2041" s="4"/>
      <c r="AY2041" s="4"/>
      <c r="AZ2041" s="4"/>
      <c r="BA2041" s="4"/>
      <c r="BB2041" s="4" t="n">
        <v>518</v>
      </c>
      <c r="BC2041" s="4" t="n">
        <v>524</v>
      </c>
      <c r="BD2041" s="4"/>
      <c r="BE2041" s="4" t="s">
        <v>34407</v>
      </c>
      <c r="BF2041" s="4" t="str">
        <f aca="false">HYPERLINK("http://dx.doi.org/10.1086/499955","http://dx.doi.org/10.1086/499955")</f>
        <v>http://dx.doi.org/10.1086/499955</v>
      </c>
      <c r="BG2041" s="4"/>
      <c r="BH2041" s="4"/>
      <c r="BI2041" s="4" t="n">
        <v>7</v>
      </c>
      <c r="BJ2041" s="4" t="s">
        <v>536</v>
      </c>
      <c r="BK2041" s="4" t="s">
        <v>100</v>
      </c>
      <c r="BL2041" s="4" t="s">
        <v>536</v>
      </c>
      <c r="BM2041" s="4" t="s">
        <v>34408</v>
      </c>
      <c r="BN2041" s="4" t="n">
        <v>16421796</v>
      </c>
      <c r="BO2041" s="4" t="s">
        <v>165</v>
      </c>
      <c r="BP2041" s="4"/>
      <c r="BQ2041" s="4"/>
      <c r="BR2041" s="4" t="s">
        <v>104</v>
      </c>
      <c r="BS2041" s="4" t="s">
        <v>34409</v>
      </c>
      <c r="BT2041" s="4" t="str">
        <f aca="false">HYPERLINK("https%3A%2F%2Fwww.webofscience.com%2Fwos%2Fwoscc%2Ffull-record%2FWOS:000234742800013","View Full Record in Web of Science")</f>
        <v>View Full Record in Web of Science</v>
      </c>
    </row>
    <row r="2042" s="5" customFormat="true" ht="12.75" hidden="false" customHeight="false" outlineLevel="0" collapsed="false">
      <c r="A2042" s="4" t="s">
        <v>72</v>
      </c>
      <c r="B2042" s="4" t="s">
        <v>34410</v>
      </c>
      <c r="C2042" s="4"/>
      <c r="D2042" s="4"/>
      <c r="E2042" s="4"/>
      <c r="F2042" s="4" t="s">
        <v>34411</v>
      </c>
      <c r="G2042" s="4"/>
      <c r="H2042" s="4"/>
      <c r="I2042" s="4" t="s">
        <v>34412</v>
      </c>
      <c r="J2042" s="4" t="s">
        <v>2021</v>
      </c>
      <c r="K2042" s="4"/>
      <c r="L2042" s="4"/>
      <c r="M2042" s="4" t="s">
        <v>77</v>
      </c>
      <c r="N2042" s="4" t="s">
        <v>78</v>
      </c>
      <c r="O2042" s="4"/>
      <c r="P2042" s="4"/>
      <c r="Q2042" s="4"/>
      <c r="R2042" s="4"/>
      <c r="S2042" s="4"/>
      <c r="T2042" s="1" t="s">
        <v>34413</v>
      </c>
      <c r="U2042" s="4" t="s">
        <v>34414</v>
      </c>
      <c r="V2042" s="4" t="s">
        <v>34415</v>
      </c>
      <c r="W2042" s="4" t="s">
        <v>34416</v>
      </c>
      <c r="X2042" s="4" t="s">
        <v>8245</v>
      </c>
      <c r="Y2042" s="4" t="s">
        <v>34417</v>
      </c>
      <c r="Z2042" s="4" t="s">
        <v>34418</v>
      </c>
      <c r="AA2042" s="4"/>
      <c r="AB2042" s="4"/>
      <c r="AC2042" s="4"/>
      <c r="AD2042" s="4"/>
      <c r="AE2042" s="4"/>
      <c r="AF2042" s="4"/>
      <c r="AG2042" s="4" t="n">
        <v>80</v>
      </c>
      <c r="AH2042" s="4" t="n">
        <v>44</v>
      </c>
      <c r="AI2042" s="4" t="n">
        <v>47</v>
      </c>
      <c r="AJ2042" s="4" t="n">
        <v>0</v>
      </c>
      <c r="AK2042" s="4" t="n">
        <v>4</v>
      </c>
      <c r="AL2042" s="4" t="s">
        <v>527</v>
      </c>
      <c r="AM2042" s="4" t="s">
        <v>528</v>
      </c>
      <c r="AN2042" s="4" t="s">
        <v>529</v>
      </c>
      <c r="AO2042" s="4" t="s">
        <v>2033</v>
      </c>
      <c r="AP2042" s="4" t="s">
        <v>2034</v>
      </c>
      <c r="AQ2042" s="4"/>
      <c r="AR2042" s="4" t="s">
        <v>2035</v>
      </c>
      <c r="AS2042" s="4" t="s">
        <v>2036</v>
      </c>
      <c r="AT2042" s="4" t="s">
        <v>8806</v>
      </c>
      <c r="AU2042" s="4" t="n">
        <v>2012</v>
      </c>
      <c r="AV2042" s="4" t="n">
        <v>55</v>
      </c>
      <c r="AW2042" s="4" t="n">
        <v>1</v>
      </c>
      <c r="AX2042" s="4"/>
      <c r="AY2042" s="4"/>
      <c r="AZ2042" s="4"/>
      <c r="BA2042" s="4"/>
      <c r="BB2042" s="4" t="n">
        <v>107</v>
      </c>
      <c r="BC2042" s="4" t="n">
        <v>113</v>
      </c>
      <c r="BD2042" s="4"/>
      <c r="BE2042" s="4" t="s">
        <v>34419</v>
      </c>
      <c r="BF2042" s="4" t="str">
        <f aca="false">HYPERLINK("http://dx.doi.org/10.1093/cid/cis297","http://dx.doi.org/10.1093/cid/cis297")</f>
        <v>http://dx.doi.org/10.1093/cid/cis297</v>
      </c>
      <c r="BG2042" s="4"/>
      <c r="BH2042" s="4"/>
      <c r="BI2042" s="4" t="n">
        <v>7</v>
      </c>
      <c r="BJ2042" s="4" t="s">
        <v>536</v>
      </c>
      <c r="BK2042" s="4" t="s">
        <v>100</v>
      </c>
      <c r="BL2042" s="4" t="s">
        <v>536</v>
      </c>
      <c r="BM2042" s="4" t="s">
        <v>34420</v>
      </c>
      <c r="BN2042" s="4" t="n">
        <v>22423119</v>
      </c>
      <c r="BO2042" s="4" t="s">
        <v>538</v>
      </c>
      <c r="BP2042" s="4"/>
      <c r="BQ2042" s="4"/>
      <c r="BR2042" s="4" t="s">
        <v>104</v>
      </c>
      <c r="BS2042" s="4" t="s">
        <v>34421</v>
      </c>
      <c r="BT2042" s="4" t="str">
        <f aca="false">HYPERLINK("https%3A%2F%2Fwww.webofscience.com%2Fwos%2Fwoscc%2Ffull-record%2FWOS:000305088500018","View Full Record in Web of Science")</f>
        <v>View Full Record in Web of Science</v>
      </c>
    </row>
    <row r="2043" s="5" customFormat="true" ht="12.75" hidden="false" customHeight="false" outlineLevel="0" collapsed="false">
      <c r="A2043" s="4" t="s">
        <v>72</v>
      </c>
      <c r="B2043" s="4" t="s">
        <v>34422</v>
      </c>
      <c r="C2043" s="4"/>
      <c r="D2043" s="4"/>
      <c r="E2043" s="4"/>
      <c r="F2043" s="4" t="s">
        <v>34423</v>
      </c>
      <c r="G2043" s="4"/>
      <c r="H2043" s="4"/>
      <c r="I2043" s="4" t="s">
        <v>34424</v>
      </c>
      <c r="J2043" s="4" t="s">
        <v>27915</v>
      </c>
      <c r="K2043" s="4"/>
      <c r="L2043" s="4"/>
      <c r="M2043" s="4" t="s">
        <v>77</v>
      </c>
      <c r="N2043" s="4" t="s">
        <v>78</v>
      </c>
      <c r="O2043" s="4"/>
      <c r="P2043" s="4"/>
      <c r="Q2043" s="4"/>
      <c r="R2043" s="4"/>
      <c r="S2043" s="4"/>
      <c r="T2043" s="1" t="s">
        <v>34425</v>
      </c>
      <c r="U2043" s="4" t="s">
        <v>34426</v>
      </c>
      <c r="V2043" s="4" t="s">
        <v>34427</v>
      </c>
      <c r="W2043" s="4" t="s">
        <v>34428</v>
      </c>
      <c r="X2043" s="4" t="s">
        <v>34429</v>
      </c>
      <c r="Y2043" s="4" t="s">
        <v>13746</v>
      </c>
      <c r="Z2043" s="4" t="s">
        <v>749</v>
      </c>
      <c r="AA2043" s="4" t="s">
        <v>750</v>
      </c>
      <c r="AB2043" s="4" t="s">
        <v>34430</v>
      </c>
      <c r="AC2043" s="4" t="s">
        <v>34431</v>
      </c>
      <c r="AD2043" s="4" t="s">
        <v>34432</v>
      </c>
      <c r="AE2043" s="4" t="s">
        <v>34433</v>
      </c>
      <c r="AF2043" s="4"/>
      <c r="AG2043" s="4" t="n">
        <v>71</v>
      </c>
      <c r="AH2043" s="4" t="n">
        <v>21</v>
      </c>
      <c r="AI2043" s="4" t="n">
        <v>24</v>
      </c>
      <c r="AJ2043" s="4" t="n">
        <v>0</v>
      </c>
      <c r="AK2043" s="4" t="n">
        <v>6</v>
      </c>
      <c r="AL2043" s="4" t="s">
        <v>27927</v>
      </c>
      <c r="AM2043" s="4" t="s">
        <v>27928</v>
      </c>
      <c r="AN2043" s="4" t="s">
        <v>27929</v>
      </c>
      <c r="AO2043" s="4" t="s">
        <v>27930</v>
      </c>
      <c r="AP2043" s="4" t="s">
        <v>27931</v>
      </c>
      <c r="AQ2043" s="4"/>
      <c r="AR2043" s="4" t="s">
        <v>27932</v>
      </c>
      <c r="AS2043" s="4" t="s">
        <v>27933</v>
      </c>
      <c r="AT2043" s="4" t="s">
        <v>8806</v>
      </c>
      <c r="AU2043" s="4" t="n">
        <v>2016</v>
      </c>
      <c r="AV2043" s="4" t="n">
        <v>197</v>
      </c>
      <c r="AW2043" s="4" t="n">
        <v>1</v>
      </c>
      <c r="AX2043" s="4"/>
      <c r="AY2043" s="4"/>
      <c r="AZ2043" s="4"/>
      <c r="BA2043" s="4"/>
      <c r="BB2043" s="4" t="n">
        <v>233</v>
      </c>
      <c r="BC2043" s="4" t="n">
        <v>243</v>
      </c>
      <c r="BD2043" s="4"/>
      <c r="BE2043" s="4" t="s">
        <v>34434</v>
      </c>
      <c r="BF2043" s="4" t="str">
        <f aca="false">HYPERLINK("http://dx.doi.org/10.4049/jimmunol.1502115","http://dx.doi.org/10.4049/jimmunol.1502115")</f>
        <v>http://dx.doi.org/10.4049/jimmunol.1502115</v>
      </c>
      <c r="BG2043" s="4"/>
      <c r="BH2043" s="4"/>
      <c r="BI2043" s="4" t="n">
        <v>11</v>
      </c>
      <c r="BJ2043" s="4" t="s">
        <v>628</v>
      </c>
      <c r="BK2043" s="4" t="s">
        <v>100</v>
      </c>
      <c r="BL2043" s="4" t="s">
        <v>628</v>
      </c>
      <c r="BM2043" s="4" t="s">
        <v>34435</v>
      </c>
      <c r="BN2043" s="4" t="n">
        <v>27259857</v>
      </c>
      <c r="BO2043" s="4" t="s">
        <v>5372</v>
      </c>
      <c r="BP2043" s="4"/>
      <c r="BQ2043" s="4"/>
      <c r="BR2043" s="4" t="s">
        <v>104</v>
      </c>
      <c r="BS2043" s="4" t="s">
        <v>34436</v>
      </c>
      <c r="BT2043" s="4" t="str">
        <f aca="false">HYPERLINK("https%3A%2F%2Fwww.webofscience.com%2Fwos%2Fwoscc%2Ffull-record%2FWOS:000378093700024","View Full Record in Web of Science")</f>
        <v>View Full Record in Web of Science</v>
      </c>
    </row>
    <row r="2044" s="5" customFormat="true" ht="12.75" hidden="false" customHeight="false" outlineLevel="0" collapsed="false">
      <c r="A2044" s="4" t="s">
        <v>72</v>
      </c>
      <c r="B2044" s="4" t="s">
        <v>34437</v>
      </c>
      <c r="C2044" s="4"/>
      <c r="D2044" s="4"/>
      <c r="E2044" s="4"/>
      <c r="F2044" s="4" t="s">
        <v>34438</v>
      </c>
      <c r="G2044" s="4"/>
      <c r="H2044" s="4"/>
      <c r="I2044" s="4" t="s">
        <v>34439</v>
      </c>
      <c r="J2044" s="4" t="s">
        <v>27497</v>
      </c>
      <c r="K2044" s="4"/>
      <c r="L2044" s="4"/>
      <c r="M2044" s="4" t="s">
        <v>77</v>
      </c>
      <c r="N2044" s="4" t="s">
        <v>78</v>
      </c>
      <c r="O2044" s="4"/>
      <c r="P2044" s="4"/>
      <c r="Q2044" s="4"/>
      <c r="R2044" s="4"/>
      <c r="S2044" s="4"/>
      <c r="T2044" s="1" t="s">
        <v>34440</v>
      </c>
      <c r="U2044" s="4" t="s">
        <v>34441</v>
      </c>
      <c r="V2044" s="4" t="s">
        <v>34442</v>
      </c>
      <c r="W2044" s="4" t="s">
        <v>34443</v>
      </c>
      <c r="X2044" s="4" t="s">
        <v>34444</v>
      </c>
      <c r="Y2044" s="4" t="s">
        <v>34445</v>
      </c>
      <c r="Z2044" s="4" t="s">
        <v>34446</v>
      </c>
      <c r="AA2044" s="4"/>
      <c r="AB2044" s="4"/>
      <c r="AC2044" s="4" t="s">
        <v>34447</v>
      </c>
      <c r="AD2044" s="4" t="s">
        <v>34448</v>
      </c>
      <c r="AE2044" s="4" t="s">
        <v>34449</v>
      </c>
      <c r="AF2044" s="4"/>
      <c r="AG2044" s="4" t="n">
        <v>40</v>
      </c>
      <c r="AH2044" s="4" t="n">
        <v>12</v>
      </c>
      <c r="AI2044" s="4" t="n">
        <v>12</v>
      </c>
      <c r="AJ2044" s="4" t="n">
        <v>0</v>
      </c>
      <c r="AK2044" s="4" t="n">
        <v>2</v>
      </c>
      <c r="AL2044" s="4" t="s">
        <v>27506</v>
      </c>
      <c r="AM2044" s="4" t="s">
        <v>27507</v>
      </c>
      <c r="AN2044" s="4" t="s">
        <v>27508</v>
      </c>
      <c r="AO2044" s="4" t="s">
        <v>27509</v>
      </c>
      <c r="AP2044" s="4"/>
      <c r="AQ2044" s="4"/>
      <c r="AR2044" s="4" t="s">
        <v>27497</v>
      </c>
      <c r="AS2044" s="4" t="s">
        <v>27510</v>
      </c>
      <c r="AT2044" s="4" t="s">
        <v>1709</v>
      </c>
      <c r="AU2044" s="4" t="n">
        <v>2013</v>
      </c>
      <c r="AV2044" s="4" t="n">
        <v>8</v>
      </c>
      <c r="AW2044" s="4" t="n">
        <v>4</v>
      </c>
      <c r="AX2044" s="4"/>
      <c r="AY2044" s="4"/>
      <c r="AZ2044" s="4"/>
      <c r="BA2044" s="4"/>
      <c r="BB2044" s="4"/>
      <c r="BC2044" s="4"/>
      <c r="BD2044" s="4" t="s">
        <v>34450</v>
      </c>
      <c r="BE2044" s="4" t="s">
        <v>34451</v>
      </c>
      <c r="BF2044" s="4" t="str">
        <f aca="false">HYPERLINK("http://dx.doi.org/10.1371/journal.pone.0063070","http://dx.doi.org/10.1371/journal.pone.0063070")</f>
        <v>http://dx.doi.org/10.1371/journal.pone.0063070</v>
      </c>
      <c r="BG2044" s="4"/>
      <c r="BH2044" s="4"/>
      <c r="BI2044" s="4" t="n">
        <v>10</v>
      </c>
      <c r="BJ2044" s="4" t="s">
        <v>1658</v>
      </c>
      <c r="BK2044" s="4" t="s">
        <v>100</v>
      </c>
      <c r="BL2044" s="4" t="s">
        <v>1659</v>
      </c>
      <c r="BM2044" s="4" t="s">
        <v>34452</v>
      </c>
      <c r="BN2044" s="4" t="n">
        <v>23646177</v>
      </c>
      <c r="BO2044" s="4" t="s">
        <v>190</v>
      </c>
      <c r="BP2044" s="4"/>
      <c r="BQ2044" s="4"/>
      <c r="BR2044" s="4" t="s">
        <v>104</v>
      </c>
      <c r="BS2044" s="4" t="s">
        <v>34453</v>
      </c>
      <c r="BT2044" s="4" t="str">
        <f aca="false">HYPERLINK("https%3A%2F%2Fwww.webofscience.com%2Fwos%2Fwoscc%2Ffull-record%2FWOS:000319077300132","View Full Record in Web of Science")</f>
        <v>View Full Record in Web of Science</v>
      </c>
    </row>
    <row r="2045" s="5" customFormat="true" ht="12.75" hidden="false" customHeight="false" outlineLevel="0" collapsed="false">
      <c r="A2045" s="4" t="s">
        <v>72</v>
      </c>
      <c r="B2045" s="4" t="s">
        <v>34454</v>
      </c>
      <c r="C2045" s="4"/>
      <c r="D2045" s="4"/>
      <c r="E2045" s="4"/>
      <c r="F2045" s="4" t="s">
        <v>34455</v>
      </c>
      <c r="G2045" s="4"/>
      <c r="H2045" s="4"/>
      <c r="I2045" s="4" t="s">
        <v>34456</v>
      </c>
      <c r="J2045" s="4" t="s">
        <v>24209</v>
      </c>
      <c r="K2045" s="4"/>
      <c r="L2045" s="4"/>
      <c r="M2045" s="4" t="s">
        <v>77</v>
      </c>
      <c r="N2045" s="4" t="s">
        <v>78</v>
      </c>
      <c r="O2045" s="4"/>
      <c r="P2045" s="4"/>
      <c r="Q2045" s="4"/>
      <c r="R2045" s="4"/>
      <c r="S2045" s="4"/>
      <c r="T2045" s="1" t="s">
        <v>34457</v>
      </c>
      <c r="U2045" s="4" t="s">
        <v>34458</v>
      </c>
      <c r="V2045" s="4" t="s">
        <v>34459</v>
      </c>
      <c r="W2045" s="4" t="s">
        <v>34460</v>
      </c>
      <c r="X2045" s="4" t="s">
        <v>34461</v>
      </c>
      <c r="Y2045" s="4" t="s">
        <v>34462</v>
      </c>
      <c r="Z2045" s="4" t="s">
        <v>34463</v>
      </c>
      <c r="AA2045" s="4" t="s">
        <v>34464</v>
      </c>
      <c r="AB2045" s="4" t="s">
        <v>34465</v>
      </c>
      <c r="AC2045" s="4" t="s">
        <v>34466</v>
      </c>
      <c r="AD2045" s="4" t="s">
        <v>34467</v>
      </c>
      <c r="AE2045" s="4" t="s">
        <v>34468</v>
      </c>
      <c r="AF2045" s="4"/>
      <c r="AG2045" s="4" t="n">
        <v>31</v>
      </c>
      <c r="AH2045" s="4" t="n">
        <v>15</v>
      </c>
      <c r="AI2045" s="4" t="n">
        <v>19</v>
      </c>
      <c r="AJ2045" s="4" t="n">
        <v>2</v>
      </c>
      <c r="AK2045" s="4" t="n">
        <v>6</v>
      </c>
      <c r="AL2045" s="4" t="s">
        <v>122</v>
      </c>
      <c r="AM2045" s="4" t="s">
        <v>123</v>
      </c>
      <c r="AN2045" s="4" t="s">
        <v>124</v>
      </c>
      <c r="AO2045" s="4" t="s">
        <v>24221</v>
      </c>
      <c r="AP2045" s="4" t="s">
        <v>24222</v>
      </c>
      <c r="AQ2045" s="4"/>
      <c r="AR2045" s="4" t="s">
        <v>24209</v>
      </c>
      <c r="AS2045" s="4" t="s">
        <v>24223</v>
      </c>
      <c r="AT2045" s="4" t="s">
        <v>129</v>
      </c>
      <c r="AU2045" s="4" t="n">
        <v>2015</v>
      </c>
      <c r="AV2045" s="4" t="n">
        <v>94</v>
      </c>
      <c r="AW2045" s="4" t="n">
        <v>38</v>
      </c>
      <c r="AX2045" s="4"/>
      <c r="AY2045" s="4"/>
      <c r="AZ2045" s="4"/>
      <c r="BA2045" s="4"/>
      <c r="BB2045" s="4"/>
      <c r="BC2045" s="4"/>
      <c r="BD2045" s="4" t="s">
        <v>34469</v>
      </c>
      <c r="BE2045" s="4" t="s">
        <v>34470</v>
      </c>
      <c r="BF2045" s="4" t="str">
        <f aca="false">HYPERLINK("http://dx.doi.org/10.1097/MD.0000000000001545","http://dx.doi.org/10.1097/MD.0000000000001545")</f>
        <v>http://dx.doi.org/10.1097/MD.0000000000001545</v>
      </c>
      <c r="BG2045" s="4"/>
      <c r="BH2045" s="4"/>
      <c r="BI2045" s="4" t="n">
        <v>9</v>
      </c>
      <c r="BJ2045" s="4" t="s">
        <v>363</v>
      </c>
      <c r="BK2045" s="4" t="s">
        <v>100</v>
      </c>
      <c r="BL2045" s="4" t="s">
        <v>364</v>
      </c>
      <c r="BM2045" s="4" t="s">
        <v>34471</v>
      </c>
      <c r="BN2045" s="4" t="n">
        <v>26402811</v>
      </c>
      <c r="BO2045" s="4" t="s">
        <v>190</v>
      </c>
      <c r="BP2045" s="4"/>
      <c r="BQ2045" s="4"/>
      <c r="BR2045" s="4" t="s">
        <v>104</v>
      </c>
      <c r="BS2045" s="4" t="s">
        <v>34472</v>
      </c>
      <c r="BT2045" s="4" t="str">
        <f aca="false">HYPERLINK("https%3A%2F%2Fwww.webofscience.com%2Fwos%2Fwoscc%2Ffull-record%2FWOS:000369533200017","View Full Record in Web of Science")</f>
        <v>View Full Record in Web of Science</v>
      </c>
    </row>
    <row r="2046" s="5" customFormat="true" ht="12.75" hidden="false" customHeight="false" outlineLevel="0" collapsed="false">
      <c r="A2046" s="4" t="s">
        <v>72</v>
      </c>
      <c r="B2046" s="4" t="s">
        <v>34473</v>
      </c>
      <c r="C2046" s="4"/>
      <c r="D2046" s="4"/>
      <c r="E2046" s="4"/>
      <c r="F2046" s="4" t="s">
        <v>34474</v>
      </c>
      <c r="G2046" s="4"/>
      <c r="H2046" s="4"/>
      <c r="I2046" s="4" t="s">
        <v>34475</v>
      </c>
      <c r="J2046" s="4" t="s">
        <v>1863</v>
      </c>
      <c r="K2046" s="4"/>
      <c r="L2046" s="4"/>
      <c r="M2046" s="4" t="s">
        <v>77</v>
      </c>
      <c r="N2046" s="4" t="s">
        <v>78</v>
      </c>
      <c r="O2046" s="4"/>
      <c r="P2046" s="4"/>
      <c r="Q2046" s="4"/>
      <c r="R2046" s="4"/>
      <c r="S2046" s="4"/>
      <c r="T2046" s="1" t="s">
        <v>34476</v>
      </c>
      <c r="U2046" s="4" t="s">
        <v>34477</v>
      </c>
      <c r="V2046" s="4" t="s">
        <v>34478</v>
      </c>
      <c r="W2046" s="4" t="s">
        <v>34479</v>
      </c>
      <c r="X2046" s="4" t="s">
        <v>34480</v>
      </c>
      <c r="Y2046" s="4" t="s">
        <v>34481</v>
      </c>
      <c r="Z2046" s="4" t="s">
        <v>34482</v>
      </c>
      <c r="AA2046" s="4"/>
      <c r="AB2046" s="4"/>
      <c r="AC2046" s="4" t="s">
        <v>34483</v>
      </c>
      <c r="AD2046" s="4" t="s">
        <v>34484</v>
      </c>
      <c r="AE2046" s="4" t="s">
        <v>34485</v>
      </c>
      <c r="AF2046" s="4"/>
      <c r="AG2046" s="4" t="n">
        <v>40</v>
      </c>
      <c r="AH2046" s="4" t="n">
        <v>7</v>
      </c>
      <c r="AI2046" s="4" t="n">
        <v>7</v>
      </c>
      <c r="AJ2046" s="4" t="n">
        <v>4</v>
      </c>
      <c r="AK2046" s="4" t="n">
        <v>4</v>
      </c>
      <c r="AL2046" s="4" t="s">
        <v>302</v>
      </c>
      <c r="AM2046" s="4" t="s">
        <v>303</v>
      </c>
      <c r="AN2046" s="4" t="s">
        <v>304</v>
      </c>
      <c r="AO2046" s="4"/>
      <c r="AP2046" s="4" t="s">
        <v>1876</v>
      </c>
      <c r="AQ2046" s="4"/>
      <c r="AR2046" s="4" t="s">
        <v>1877</v>
      </c>
      <c r="AS2046" s="4" t="s">
        <v>1878</v>
      </c>
      <c r="AT2046" s="4"/>
      <c r="AU2046" s="4" t="n">
        <v>2005</v>
      </c>
      <c r="AV2046" s="4" t="n">
        <v>2</v>
      </c>
      <c r="AW2046" s="4"/>
      <c r="AX2046" s="4"/>
      <c r="AY2046" s="4"/>
      <c r="AZ2046" s="4"/>
      <c r="BA2046" s="4"/>
      <c r="BB2046" s="4"/>
      <c r="BC2046" s="4"/>
      <c r="BD2046" s="4" t="n">
        <v>31</v>
      </c>
      <c r="BE2046" s="4" t="s">
        <v>34486</v>
      </c>
      <c r="BF2046" s="4" t="str">
        <f aca="false">HYPERLINK("http://dx.doi.org/10.1186/1743-422X-2-31","http://dx.doi.org/10.1186/1743-422X-2-31")</f>
        <v>http://dx.doi.org/10.1186/1743-422X-2-31</v>
      </c>
      <c r="BG2046" s="4"/>
      <c r="BH2046" s="4"/>
      <c r="BI2046" s="4" t="n">
        <v>9</v>
      </c>
      <c r="BJ2046" s="4" t="s">
        <v>163</v>
      </c>
      <c r="BK2046" s="4" t="s">
        <v>100</v>
      </c>
      <c r="BL2046" s="4" t="s">
        <v>163</v>
      </c>
      <c r="BM2046" s="4" t="s">
        <v>34487</v>
      </c>
      <c r="BN2046" s="4" t="n">
        <v>15826312</v>
      </c>
      <c r="BO2046" s="4" t="s">
        <v>190</v>
      </c>
      <c r="BP2046" s="4"/>
      <c r="BQ2046" s="4"/>
      <c r="BR2046" s="4" t="s">
        <v>104</v>
      </c>
      <c r="BS2046" s="4" t="s">
        <v>34488</v>
      </c>
      <c r="BT2046" s="4" t="str">
        <f aca="false">HYPERLINK("https%3A%2F%2Fwww.webofscience.com%2Fwos%2Fwoscc%2Ffull-record%2FWOS:000208519000031","View Full Record in Web of Science")</f>
        <v>View Full Record in Web of Science</v>
      </c>
    </row>
    <row r="2047" s="5" customFormat="true" ht="12.75" hidden="false" customHeight="false" outlineLevel="0" collapsed="false">
      <c r="A2047" s="4" t="s">
        <v>72</v>
      </c>
      <c r="B2047" s="4" t="s">
        <v>34489</v>
      </c>
      <c r="C2047" s="4"/>
      <c r="D2047" s="4"/>
      <c r="E2047" s="4"/>
      <c r="F2047" s="4" t="s">
        <v>34490</v>
      </c>
      <c r="G2047" s="4"/>
      <c r="H2047" s="4"/>
      <c r="I2047" s="4" t="s">
        <v>34491</v>
      </c>
      <c r="J2047" s="4" t="s">
        <v>34492</v>
      </c>
      <c r="K2047" s="4"/>
      <c r="L2047" s="4"/>
      <c r="M2047" s="4" t="s">
        <v>77</v>
      </c>
      <c r="N2047" s="4" t="s">
        <v>78</v>
      </c>
      <c r="O2047" s="4"/>
      <c r="P2047" s="4"/>
      <c r="Q2047" s="4"/>
      <c r="R2047" s="4"/>
      <c r="S2047" s="4"/>
      <c r="T2047" s="1" t="s">
        <v>34493</v>
      </c>
      <c r="U2047" s="4" t="s">
        <v>34494</v>
      </c>
      <c r="V2047" s="4" t="s">
        <v>34495</v>
      </c>
      <c r="W2047" s="4" t="s">
        <v>34496</v>
      </c>
      <c r="X2047" s="4" t="s">
        <v>34497</v>
      </c>
      <c r="Y2047" s="4" t="s">
        <v>34498</v>
      </c>
      <c r="Z2047" s="4" t="s">
        <v>34499</v>
      </c>
      <c r="AA2047" s="4" t="s">
        <v>34500</v>
      </c>
      <c r="AB2047" s="4"/>
      <c r="AC2047" s="4" t="s">
        <v>34501</v>
      </c>
      <c r="AD2047" s="4" t="s">
        <v>34502</v>
      </c>
      <c r="AE2047" s="4" t="s">
        <v>34503</v>
      </c>
      <c r="AF2047" s="4"/>
      <c r="AG2047" s="4" t="n">
        <v>39</v>
      </c>
      <c r="AH2047" s="4" t="n">
        <v>26</v>
      </c>
      <c r="AI2047" s="4" t="n">
        <v>27</v>
      </c>
      <c r="AJ2047" s="4" t="n">
        <v>0</v>
      </c>
      <c r="AK2047" s="4" t="n">
        <v>3</v>
      </c>
      <c r="AL2047" s="4" t="s">
        <v>34504</v>
      </c>
      <c r="AM2047" s="4" t="s">
        <v>11627</v>
      </c>
      <c r="AN2047" s="4" t="s">
        <v>34505</v>
      </c>
      <c r="AO2047" s="4" t="s">
        <v>34506</v>
      </c>
      <c r="AP2047" s="4"/>
      <c r="AQ2047" s="4"/>
      <c r="AR2047" s="4" t="s">
        <v>34492</v>
      </c>
      <c r="AS2047" s="4" t="s">
        <v>34507</v>
      </c>
      <c r="AT2047" s="4" t="s">
        <v>15557</v>
      </c>
      <c r="AU2047" s="4" t="n">
        <v>2020</v>
      </c>
      <c r="AV2047" s="4" t="n">
        <v>105</v>
      </c>
      <c r="AW2047" s="4" t="n">
        <v>1</v>
      </c>
      <c r="AX2047" s="4"/>
      <c r="AY2047" s="4"/>
      <c r="AZ2047" s="4"/>
      <c r="BA2047" s="4"/>
      <c r="BB2047" s="4" t="n">
        <v>235</v>
      </c>
      <c r="BC2047" s="4" t="n">
        <v>243</v>
      </c>
      <c r="BD2047" s="4"/>
      <c r="BE2047" s="4" t="s">
        <v>34508</v>
      </c>
      <c r="BF2047" s="4" t="str">
        <f aca="false">HYPERLINK("http://dx.doi.org/10.3324/haematol.2018.206896","http://dx.doi.org/10.3324/haematol.2018.206896")</f>
        <v>http://dx.doi.org/10.3324/haematol.2018.206896</v>
      </c>
      <c r="BG2047" s="4"/>
      <c r="BH2047" s="4"/>
      <c r="BI2047" s="4" t="n">
        <v>9</v>
      </c>
      <c r="BJ2047" s="4" t="s">
        <v>10888</v>
      </c>
      <c r="BK2047" s="4" t="s">
        <v>100</v>
      </c>
      <c r="BL2047" s="4" t="s">
        <v>10888</v>
      </c>
      <c r="BM2047" s="4" t="s">
        <v>34509</v>
      </c>
      <c r="BN2047" s="4" t="n">
        <v>31004020</v>
      </c>
      <c r="BO2047" s="4" t="s">
        <v>190</v>
      </c>
      <c r="BP2047" s="4"/>
      <c r="BQ2047" s="4"/>
      <c r="BR2047" s="4" t="s">
        <v>104</v>
      </c>
      <c r="BS2047" s="4" t="s">
        <v>34510</v>
      </c>
      <c r="BT2047" s="4" t="str">
        <f aca="false">HYPERLINK("https%3A%2F%2Fwww.webofscience.com%2Fwos%2Fwoscc%2Ffull-record%2FWOS:000505041200039","View Full Record in Web of Science")</f>
        <v>View Full Record in Web of Science</v>
      </c>
    </row>
    <row r="2048" s="5" customFormat="true" ht="12.75" hidden="false" customHeight="false" outlineLevel="0" collapsed="false">
      <c r="A2048" s="4" t="s">
        <v>72</v>
      </c>
      <c r="B2048" s="4" t="s">
        <v>34511</v>
      </c>
      <c r="C2048" s="4"/>
      <c r="D2048" s="4"/>
      <c r="E2048" s="4"/>
      <c r="F2048" s="4" t="s">
        <v>34512</v>
      </c>
      <c r="G2048" s="4"/>
      <c r="H2048" s="4"/>
      <c r="I2048" s="4" t="s">
        <v>34513</v>
      </c>
      <c r="J2048" s="4" t="s">
        <v>28943</v>
      </c>
      <c r="K2048" s="4"/>
      <c r="L2048" s="4"/>
      <c r="M2048" s="4" t="s">
        <v>77</v>
      </c>
      <c r="N2048" s="4" t="s">
        <v>78</v>
      </c>
      <c r="O2048" s="4"/>
      <c r="P2048" s="4"/>
      <c r="Q2048" s="4"/>
      <c r="R2048" s="4"/>
      <c r="S2048" s="4"/>
      <c r="T2048" s="1" t="s">
        <v>34514</v>
      </c>
      <c r="U2048" s="4" t="s">
        <v>34515</v>
      </c>
      <c r="V2048" s="4" t="s">
        <v>34516</v>
      </c>
      <c r="W2048" s="4" t="s">
        <v>34517</v>
      </c>
      <c r="X2048" s="4" t="s">
        <v>34518</v>
      </c>
      <c r="Y2048" s="4" t="s">
        <v>34519</v>
      </c>
      <c r="Z2048" s="4" t="s">
        <v>34520</v>
      </c>
      <c r="AA2048" s="4" t="s">
        <v>34521</v>
      </c>
      <c r="AB2048" s="4" t="s">
        <v>34522</v>
      </c>
      <c r="AC2048" s="4"/>
      <c r="AD2048" s="4"/>
      <c r="AE2048" s="4"/>
      <c r="AF2048" s="4"/>
      <c r="AG2048" s="4" t="n">
        <v>33</v>
      </c>
      <c r="AH2048" s="4" t="n">
        <v>31</v>
      </c>
      <c r="AI2048" s="4" t="n">
        <v>31</v>
      </c>
      <c r="AJ2048" s="4" t="n">
        <v>1</v>
      </c>
      <c r="AK2048" s="4" t="n">
        <v>6</v>
      </c>
      <c r="AL2048" s="4" t="s">
        <v>28952</v>
      </c>
      <c r="AM2048" s="4" t="s">
        <v>28953</v>
      </c>
      <c r="AN2048" s="4" t="s">
        <v>28954</v>
      </c>
      <c r="AO2048" s="4" t="s">
        <v>28955</v>
      </c>
      <c r="AP2048" s="4"/>
      <c r="AQ2048" s="4"/>
      <c r="AR2048" s="4" t="s">
        <v>28943</v>
      </c>
      <c r="AS2048" s="4" t="s">
        <v>28956</v>
      </c>
      <c r="AT2048" s="4" t="s">
        <v>1327</v>
      </c>
      <c r="AU2048" s="4" t="n">
        <v>2014</v>
      </c>
      <c r="AV2048" s="4" t="n">
        <v>19</v>
      </c>
      <c r="AW2048" s="4" t="n">
        <v>3</v>
      </c>
      <c r="AX2048" s="4"/>
      <c r="AY2048" s="4"/>
      <c r="AZ2048" s="4"/>
      <c r="BA2048" s="4"/>
      <c r="BB2048" s="4" t="n">
        <v>5</v>
      </c>
      <c r="BC2048" s="4" t="n">
        <v>14</v>
      </c>
      <c r="BD2048" s="4" t="n">
        <v>20680</v>
      </c>
      <c r="BE2048" s="4" t="s">
        <v>34523</v>
      </c>
      <c r="BF2048" s="4" t="str">
        <f aca="false">HYPERLINK("http://dx.doi.org/10.2807/1560-7917.ES2014.19.3.20680","http://dx.doi.org/10.2807/1560-7917.ES2014.19.3.20680")</f>
        <v>http://dx.doi.org/10.2807/1560-7917.ES2014.19.3.20680</v>
      </c>
      <c r="BG2048" s="4"/>
      <c r="BH2048" s="4"/>
      <c r="BI2048" s="4" t="n">
        <v>10</v>
      </c>
      <c r="BJ2048" s="4" t="s">
        <v>575</v>
      </c>
      <c r="BK2048" s="4" t="s">
        <v>100</v>
      </c>
      <c r="BL2048" s="4" t="s">
        <v>575</v>
      </c>
      <c r="BM2048" s="4" t="s">
        <v>34524</v>
      </c>
      <c r="BN2048" s="4" t="n">
        <v>24480060</v>
      </c>
      <c r="BO2048" s="4" t="s">
        <v>1355</v>
      </c>
      <c r="BP2048" s="4"/>
      <c r="BQ2048" s="4"/>
      <c r="BR2048" s="4" t="s">
        <v>104</v>
      </c>
      <c r="BS2048" s="4" t="s">
        <v>34525</v>
      </c>
      <c r="BT2048" s="4" t="str">
        <f aca="false">HYPERLINK("https%3A%2F%2Fwww.webofscience.com%2Fwos%2Fwoscc%2Ffull-record%2FWOS:000330193700002","View Full Record in Web of Science")</f>
        <v>View Full Record in Web of Science</v>
      </c>
    </row>
    <row r="2049" s="5" customFormat="true" ht="12.75" hidden="false" customHeight="false" outlineLevel="0" collapsed="false">
      <c r="A2049" s="4" t="s">
        <v>72</v>
      </c>
      <c r="B2049" s="4" t="s">
        <v>34526</v>
      </c>
      <c r="C2049" s="4"/>
      <c r="D2049" s="4"/>
      <c r="E2049" s="4"/>
      <c r="F2049" s="4" t="s">
        <v>34526</v>
      </c>
      <c r="G2049" s="4"/>
      <c r="H2049" s="4"/>
      <c r="I2049" s="4" t="s">
        <v>34527</v>
      </c>
      <c r="J2049" s="4" t="s">
        <v>27548</v>
      </c>
      <c r="K2049" s="4"/>
      <c r="L2049" s="4"/>
      <c r="M2049" s="4" t="s">
        <v>77</v>
      </c>
      <c r="N2049" s="4" t="s">
        <v>78</v>
      </c>
      <c r="O2049" s="4"/>
      <c r="P2049" s="4"/>
      <c r="Q2049" s="4"/>
      <c r="R2049" s="4"/>
      <c r="S2049" s="4"/>
      <c r="T2049" s="1" t="s">
        <v>34528</v>
      </c>
      <c r="U2049" s="4" t="s">
        <v>34529</v>
      </c>
      <c r="V2049" s="4" t="s">
        <v>34530</v>
      </c>
      <c r="W2049" s="4" t="s">
        <v>34531</v>
      </c>
      <c r="X2049" s="4" t="s">
        <v>30877</v>
      </c>
      <c r="Y2049" s="4" t="s">
        <v>34532</v>
      </c>
      <c r="Z2049" s="4" t="s">
        <v>13868</v>
      </c>
      <c r="AA2049" s="4"/>
      <c r="AB2049" s="4"/>
      <c r="AC2049" s="4"/>
      <c r="AD2049" s="4"/>
      <c r="AE2049" s="4"/>
      <c r="AF2049" s="4"/>
      <c r="AG2049" s="4" t="n">
        <v>15</v>
      </c>
      <c r="AH2049" s="4" t="n">
        <v>193</v>
      </c>
      <c r="AI2049" s="4" t="n">
        <v>228</v>
      </c>
      <c r="AJ2049" s="4" t="n">
        <v>1</v>
      </c>
      <c r="AK2049" s="4" t="n">
        <v>3</v>
      </c>
      <c r="AL2049" s="4" t="s">
        <v>27851</v>
      </c>
      <c r="AM2049" s="4" t="s">
        <v>27561</v>
      </c>
      <c r="AN2049" s="4" t="s">
        <v>27562</v>
      </c>
      <c r="AO2049" s="4" t="s">
        <v>27563</v>
      </c>
      <c r="AP2049" s="4" t="s">
        <v>27564</v>
      </c>
      <c r="AQ2049" s="4"/>
      <c r="AR2049" s="4" t="s">
        <v>27565</v>
      </c>
      <c r="AS2049" s="4" t="s">
        <v>27566</v>
      </c>
      <c r="AT2049" s="4" t="s">
        <v>390</v>
      </c>
      <c r="AU2049" s="4" t="n">
        <v>2006</v>
      </c>
      <c r="AV2049" s="4" t="n">
        <v>12</v>
      </c>
      <c r="AW2049" s="4" t="n">
        <v>5</v>
      </c>
      <c r="AX2049" s="4"/>
      <c r="AY2049" s="4"/>
      <c r="AZ2049" s="4"/>
      <c r="BA2049" s="4"/>
      <c r="BB2049" s="4" t="n">
        <v>848</v>
      </c>
      <c r="BC2049" s="4" t="n">
        <v>850</v>
      </c>
      <c r="BD2049" s="4"/>
      <c r="BE2049" s="4" t="s">
        <v>34533</v>
      </c>
      <c r="BF2049" s="4" t="str">
        <f aca="false">HYPERLINK("http://dx.doi.org/10.3201/eid1205.051424","http://dx.doi.org/10.3201/eid1205.051424")</f>
        <v>http://dx.doi.org/10.3201/eid1205.051424</v>
      </c>
      <c r="BG2049" s="4"/>
      <c r="BH2049" s="4"/>
      <c r="BI2049" s="4" t="n">
        <v>3</v>
      </c>
      <c r="BJ2049" s="4" t="s">
        <v>965</v>
      </c>
      <c r="BK2049" s="4" t="s">
        <v>100</v>
      </c>
      <c r="BL2049" s="4" t="s">
        <v>965</v>
      </c>
      <c r="BM2049" s="4" t="s">
        <v>34534</v>
      </c>
      <c r="BN2049" s="4" t="n">
        <v>16704852</v>
      </c>
      <c r="BO2049" s="4" t="s">
        <v>2582</v>
      </c>
      <c r="BP2049" s="4"/>
      <c r="BQ2049" s="4"/>
      <c r="BR2049" s="4" t="s">
        <v>104</v>
      </c>
      <c r="BS2049" s="4" t="s">
        <v>34535</v>
      </c>
      <c r="BT2049" s="4" t="str">
        <f aca="false">HYPERLINK("https%3A%2F%2Fwww.webofscience.com%2Fwos%2Fwoscc%2Ffull-record%2FWOS:000237187200027","View Full Record in Web of Science")</f>
        <v>View Full Record in Web of Science</v>
      </c>
    </row>
    <row r="2050" s="5" customFormat="true" ht="12.75" hidden="false" customHeight="false" outlineLevel="0" collapsed="false">
      <c r="A2050" s="4" t="s">
        <v>72</v>
      </c>
      <c r="B2050" s="4" t="s">
        <v>34536</v>
      </c>
      <c r="C2050" s="4"/>
      <c r="D2050" s="4"/>
      <c r="E2050" s="4"/>
      <c r="F2050" s="4" t="s">
        <v>34536</v>
      </c>
      <c r="G2050" s="4"/>
      <c r="H2050" s="4" t="s">
        <v>34537</v>
      </c>
      <c r="I2050" s="4" t="s">
        <v>34538</v>
      </c>
      <c r="J2050" s="4" t="s">
        <v>27548</v>
      </c>
      <c r="K2050" s="4"/>
      <c r="L2050" s="4"/>
      <c r="M2050" s="4" t="s">
        <v>77</v>
      </c>
      <c r="N2050" s="4" t="s">
        <v>78</v>
      </c>
      <c r="O2050" s="4"/>
      <c r="P2050" s="4"/>
      <c r="Q2050" s="4"/>
      <c r="R2050" s="4"/>
      <c r="S2050" s="4"/>
      <c r="T2050" s="1" t="s">
        <v>34539</v>
      </c>
      <c r="U2050" s="4" t="s">
        <v>34540</v>
      </c>
      <c r="V2050" s="4" t="s">
        <v>34541</v>
      </c>
      <c r="W2050" s="4" t="s">
        <v>34542</v>
      </c>
      <c r="X2050" s="4" t="s">
        <v>34543</v>
      </c>
      <c r="Y2050" s="4" t="s">
        <v>34544</v>
      </c>
      <c r="Z2050" s="4" t="s">
        <v>29999</v>
      </c>
      <c r="AA2050" s="4"/>
      <c r="AB2050" s="4"/>
      <c r="AC2050" s="4"/>
      <c r="AD2050" s="4"/>
      <c r="AE2050" s="4"/>
      <c r="AF2050" s="4"/>
      <c r="AG2050" s="4" t="n">
        <v>15</v>
      </c>
      <c r="AH2050" s="4" t="n">
        <v>24</v>
      </c>
      <c r="AI2050" s="4" t="n">
        <v>25</v>
      </c>
      <c r="AJ2050" s="4" t="n">
        <v>0</v>
      </c>
      <c r="AK2050" s="4" t="n">
        <v>2</v>
      </c>
      <c r="AL2050" s="4" t="s">
        <v>27851</v>
      </c>
      <c r="AM2050" s="4" t="s">
        <v>27561</v>
      </c>
      <c r="AN2050" s="4" t="s">
        <v>27562</v>
      </c>
      <c r="AO2050" s="4" t="s">
        <v>27563</v>
      </c>
      <c r="AP2050" s="4" t="s">
        <v>27564</v>
      </c>
      <c r="AQ2050" s="4"/>
      <c r="AR2050" s="4" t="s">
        <v>27565</v>
      </c>
      <c r="AS2050" s="4" t="s">
        <v>27566</v>
      </c>
      <c r="AT2050" s="4" t="s">
        <v>486</v>
      </c>
      <c r="AU2050" s="4" t="n">
        <v>2004</v>
      </c>
      <c r="AV2050" s="4" t="n">
        <v>10</v>
      </c>
      <c r="AW2050" s="4" t="n">
        <v>6</v>
      </c>
      <c r="AX2050" s="4"/>
      <c r="AY2050" s="4"/>
      <c r="AZ2050" s="4"/>
      <c r="BA2050" s="4"/>
      <c r="BB2050" s="4" t="n">
        <v>1143</v>
      </c>
      <c r="BC2050" s="4" t="n">
        <v>1146</v>
      </c>
      <c r="BD2050" s="4"/>
      <c r="BE2050" s="4" t="s">
        <v>34545</v>
      </c>
      <c r="BF2050" s="4" t="str">
        <f aca="false">HYPERLINK("http://dx.doi.org/10.3201/eid1006.030863","http://dx.doi.org/10.3201/eid1006.030863")</f>
        <v>http://dx.doi.org/10.3201/eid1006.030863</v>
      </c>
      <c r="BG2050" s="4"/>
      <c r="BH2050" s="4"/>
      <c r="BI2050" s="4" t="n">
        <v>4</v>
      </c>
      <c r="BJ2050" s="4" t="s">
        <v>965</v>
      </c>
      <c r="BK2050" s="4" t="s">
        <v>100</v>
      </c>
      <c r="BL2050" s="4" t="s">
        <v>965</v>
      </c>
      <c r="BM2050" s="4" t="s">
        <v>33117</v>
      </c>
      <c r="BN2050" s="4" t="n">
        <v>15207072</v>
      </c>
      <c r="BO2050" s="4" t="s">
        <v>341</v>
      </c>
      <c r="BP2050" s="4"/>
      <c r="BQ2050" s="4"/>
      <c r="BR2050" s="4" t="s">
        <v>104</v>
      </c>
      <c r="BS2050" s="4" t="s">
        <v>34546</v>
      </c>
      <c r="BT2050" s="4" t="str">
        <f aca="false">HYPERLINK("https%3A%2F%2Fwww.webofscience.com%2Fwos%2Fwoscc%2Ffull-record%2FWOS:000221749300028","View Full Record in Web of Science")</f>
        <v>View Full Record in Web of Science</v>
      </c>
    </row>
    <row r="2051" s="5" customFormat="true" ht="12.75" hidden="false" customHeight="false" outlineLevel="0" collapsed="false">
      <c r="A2051" s="4" t="s">
        <v>72</v>
      </c>
      <c r="B2051" s="4" t="s">
        <v>34547</v>
      </c>
      <c r="C2051" s="4"/>
      <c r="D2051" s="4"/>
      <c r="E2051" s="4"/>
      <c r="F2051" s="4" t="s">
        <v>34548</v>
      </c>
      <c r="G2051" s="4"/>
      <c r="H2051" s="4"/>
      <c r="I2051" s="4" t="s">
        <v>34549</v>
      </c>
      <c r="J2051" s="4" t="s">
        <v>27915</v>
      </c>
      <c r="K2051" s="4"/>
      <c r="L2051" s="4"/>
      <c r="M2051" s="4" t="s">
        <v>77</v>
      </c>
      <c r="N2051" s="4" t="s">
        <v>78</v>
      </c>
      <c r="O2051" s="4"/>
      <c r="P2051" s="4"/>
      <c r="Q2051" s="4"/>
      <c r="R2051" s="4"/>
      <c r="S2051" s="4"/>
      <c r="T2051" s="1" t="s">
        <v>34550</v>
      </c>
      <c r="U2051" s="4" t="s">
        <v>34551</v>
      </c>
      <c r="V2051" s="4" t="s">
        <v>34552</v>
      </c>
      <c r="W2051" s="4" t="s">
        <v>34553</v>
      </c>
      <c r="X2051" s="4" t="s">
        <v>34554</v>
      </c>
      <c r="Y2051" s="4" t="s">
        <v>34555</v>
      </c>
      <c r="Z2051" s="4" t="s">
        <v>749</v>
      </c>
      <c r="AA2051" s="4" t="s">
        <v>34556</v>
      </c>
      <c r="AB2051" s="4" t="s">
        <v>34557</v>
      </c>
      <c r="AC2051" s="4" t="s">
        <v>34558</v>
      </c>
      <c r="AD2051" s="4" t="s">
        <v>34559</v>
      </c>
      <c r="AE2051" s="4" t="s">
        <v>34560</v>
      </c>
      <c r="AF2051" s="4"/>
      <c r="AG2051" s="4" t="n">
        <v>66</v>
      </c>
      <c r="AH2051" s="4" t="n">
        <v>25</v>
      </c>
      <c r="AI2051" s="4" t="n">
        <v>28</v>
      </c>
      <c r="AJ2051" s="4" t="n">
        <v>0</v>
      </c>
      <c r="AK2051" s="4" t="n">
        <v>3</v>
      </c>
      <c r="AL2051" s="4" t="s">
        <v>27927</v>
      </c>
      <c r="AM2051" s="4" t="s">
        <v>27928</v>
      </c>
      <c r="AN2051" s="4" t="s">
        <v>27929</v>
      </c>
      <c r="AO2051" s="4" t="s">
        <v>27930</v>
      </c>
      <c r="AP2051" s="4" t="s">
        <v>27931</v>
      </c>
      <c r="AQ2051" s="4"/>
      <c r="AR2051" s="4" t="s">
        <v>27932</v>
      </c>
      <c r="AS2051" s="4" t="s">
        <v>27933</v>
      </c>
      <c r="AT2051" s="4" t="s">
        <v>21740</v>
      </c>
      <c r="AU2051" s="4" t="n">
        <v>2015</v>
      </c>
      <c r="AV2051" s="4" t="n">
        <v>195</v>
      </c>
      <c r="AW2051" s="4" t="n">
        <v>9</v>
      </c>
      <c r="AX2051" s="4"/>
      <c r="AY2051" s="4"/>
      <c r="AZ2051" s="4"/>
      <c r="BA2051" s="4"/>
      <c r="BB2051" s="4" t="n">
        <v>4319</v>
      </c>
      <c r="BC2051" s="4" t="n">
        <v>4330</v>
      </c>
      <c r="BD2051" s="4"/>
      <c r="BE2051" s="4" t="s">
        <v>34561</v>
      </c>
      <c r="BF2051" s="4" t="str">
        <f aca="false">HYPERLINK("http://dx.doi.org/10.4049/jimmunol.1403004","http://dx.doi.org/10.4049/jimmunol.1403004")</f>
        <v>http://dx.doi.org/10.4049/jimmunol.1403004</v>
      </c>
      <c r="BG2051" s="4"/>
      <c r="BH2051" s="4"/>
      <c r="BI2051" s="4" t="n">
        <v>12</v>
      </c>
      <c r="BJ2051" s="4" t="s">
        <v>628</v>
      </c>
      <c r="BK2051" s="4" t="s">
        <v>100</v>
      </c>
      <c r="BL2051" s="4" t="s">
        <v>628</v>
      </c>
      <c r="BM2051" s="4" t="s">
        <v>34562</v>
      </c>
      <c r="BN2051" s="4" t="n">
        <v>26401005</v>
      </c>
      <c r="BO2051" s="4" t="s">
        <v>5372</v>
      </c>
      <c r="BP2051" s="4"/>
      <c r="BQ2051" s="4"/>
      <c r="BR2051" s="4" t="s">
        <v>104</v>
      </c>
      <c r="BS2051" s="4" t="s">
        <v>34563</v>
      </c>
      <c r="BT2051" s="4" t="str">
        <f aca="false">HYPERLINK("https%3A%2F%2Fwww.webofscience.com%2Fwos%2Fwoscc%2Ffull-record%2FWOS:000362968500029","View Full Record in Web of Science")</f>
        <v>View Full Record in Web of Science</v>
      </c>
    </row>
    <row r="2052" s="5" customFormat="true" ht="12.75" hidden="false" customHeight="false" outlineLevel="0" collapsed="false">
      <c r="A2052" s="4" t="s">
        <v>72</v>
      </c>
      <c r="B2052" s="4" t="s">
        <v>34564</v>
      </c>
      <c r="C2052" s="4"/>
      <c r="D2052" s="4"/>
      <c r="E2052" s="4"/>
      <c r="F2052" s="4" t="s">
        <v>34565</v>
      </c>
      <c r="G2052" s="4"/>
      <c r="H2052" s="4"/>
      <c r="I2052" s="4" t="s">
        <v>34566</v>
      </c>
      <c r="J2052" s="4" t="s">
        <v>29489</v>
      </c>
      <c r="K2052" s="4"/>
      <c r="L2052" s="4"/>
      <c r="M2052" s="4" t="s">
        <v>77</v>
      </c>
      <c r="N2052" s="4" t="s">
        <v>78</v>
      </c>
      <c r="O2052" s="4"/>
      <c r="P2052" s="4"/>
      <c r="Q2052" s="4"/>
      <c r="R2052" s="4"/>
      <c r="S2052" s="4"/>
      <c r="T2052" s="1" t="s">
        <v>34567</v>
      </c>
      <c r="U2052" s="4" t="s">
        <v>34568</v>
      </c>
      <c r="V2052" s="4" t="s">
        <v>34569</v>
      </c>
      <c r="W2052" s="4" t="s">
        <v>34570</v>
      </c>
      <c r="X2052" s="4" t="s">
        <v>34571</v>
      </c>
      <c r="Y2052" s="4" t="s">
        <v>34572</v>
      </c>
      <c r="Z2052" s="4" t="s">
        <v>34573</v>
      </c>
      <c r="AA2052" s="4" t="s">
        <v>34574</v>
      </c>
      <c r="AB2052" s="4"/>
      <c r="AC2052" s="4" t="s">
        <v>34575</v>
      </c>
      <c r="AD2052" s="4" t="s">
        <v>34576</v>
      </c>
      <c r="AE2052" s="4" t="s">
        <v>34577</v>
      </c>
      <c r="AF2052" s="4"/>
      <c r="AG2052" s="4" t="n">
        <v>40</v>
      </c>
      <c r="AH2052" s="4" t="n">
        <v>31</v>
      </c>
      <c r="AI2052" s="4" t="n">
        <v>38</v>
      </c>
      <c r="AJ2052" s="4" t="n">
        <v>0</v>
      </c>
      <c r="AK2052" s="4" t="n">
        <v>16</v>
      </c>
      <c r="AL2052" s="4" t="s">
        <v>755</v>
      </c>
      <c r="AM2052" s="4" t="s">
        <v>273</v>
      </c>
      <c r="AN2052" s="4" t="s">
        <v>756</v>
      </c>
      <c r="AO2052" s="4" t="s">
        <v>29497</v>
      </c>
      <c r="AP2052" s="4" t="s">
        <v>29498</v>
      </c>
      <c r="AQ2052" s="4"/>
      <c r="AR2052" s="4" t="s">
        <v>29499</v>
      </c>
      <c r="AS2052" s="4" t="s">
        <v>29500</v>
      </c>
      <c r="AT2052" s="4" t="s">
        <v>486</v>
      </c>
      <c r="AU2052" s="4" t="n">
        <v>2016</v>
      </c>
      <c r="AV2052" s="4" t="n">
        <v>23</v>
      </c>
      <c r="AW2052" s="4" t="n">
        <v>6</v>
      </c>
      <c r="AX2052" s="4"/>
      <c r="AY2052" s="4"/>
      <c r="AZ2052" s="4"/>
      <c r="BA2052" s="4"/>
      <c r="BB2052" s="4" t="n">
        <v>451</v>
      </c>
      <c r="BC2052" s="4" t="n">
        <v>459</v>
      </c>
      <c r="BD2052" s="4"/>
      <c r="BE2052" s="4" t="s">
        <v>34578</v>
      </c>
      <c r="BF2052" s="4" t="str">
        <f aca="false">HYPERLINK("http://dx.doi.org/10.1128/CVI.00720-15","http://dx.doi.org/10.1128/CVI.00720-15")</f>
        <v>http://dx.doi.org/10.1128/CVI.00720-15</v>
      </c>
      <c r="BG2052" s="4"/>
      <c r="BH2052" s="4"/>
      <c r="BI2052" s="4" t="n">
        <v>9</v>
      </c>
      <c r="BJ2052" s="4" t="s">
        <v>536</v>
      </c>
      <c r="BK2052" s="4" t="s">
        <v>100</v>
      </c>
      <c r="BL2052" s="4" t="s">
        <v>536</v>
      </c>
      <c r="BM2052" s="4" t="s">
        <v>34579</v>
      </c>
      <c r="BN2052" s="4" t="n">
        <v>27030590</v>
      </c>
      <c r="BO2052" s="4" t="s">
        <v>190</v>
      </c>
      <c r="BP2052" s="4"/>
      <c r="BQ2052" s="4"/>
      <c r="BR2052" s="4" t="s">
        <v>104</v>
      </c>
      <c r="BS2052" s="4" t="s">
        <v>34580</v>
      </c>
      <c r="BT2052" s="4" t="str">
        <f aca="false">HYPERLINK("https%3A%2F%2Fwww.webofscience.com%2Fwos%2Fwoscc%2Ffull-record%2FWOS:000377457600003","View Full Record in Web of Science")</f>
        <v>View Full Record in Web of Science</v>
      </c>
    </row>
    <row r="2053" s="5" customFormat="true" ht="12.75" hidden="false" customHeight="false" outlineLevel="0" collapsed="false">
      <c r="A2053" s="4" t="s">
        <v>72</v>
      </c>
      <c r="B2053" s="4" t="s">
        <v>34581</v>
      </c>
      <c r="C2053" s="4"/>
      <c r="D2053" s="4"/>
      <c r="E2053" s="4"/>
      <c r="F2053" s="4" t="s">
        <v>34582</v>
      </c>
      <c r="G2053" s="4"/>
      <c r="H2053" s="4"/>
      <c r="I2053" s="4" t="s">
        <v>34583</v>
      </c>
      <c r="J2053" s="4" t="s">
        <v>34584</v>
      </c>
      <c r="K2053" s="4"/>
      <c r="L2053" s="4"/>
      <c r="M2053" s="4" t="s">
        <v>77</v>
      </c>
      <c r="N2053" s="4" t="s">
        <v>78</v>
      </c>
      <c r="O2053" s="4"/>
      <c r="P2053" s="4"/>
      <c r="Q2053" s="4"/>
      <c r="R2053" s="4"/>
      <c r="S2053" s="4"/>
      <c r="T2053" s="1" t="s">
        <v>34585</v>
      </c>
      <c r="U2053" s="4"/>
      <c r="V2053" s="4" t="s">
        <v>34586</v>
      </c>
      <c r="W2053" s="4" t="s">
        <v>34587</v>
      </c>
      <c r="X2053" s="4" t="s">
        <v>34588</v>
      </c>
      <c r="Y2053" s="4" t="s">
        <v>34589</v>
      </c>
      <c r="Z2053" s="4" t="s">
        <v>34590</v>
      </c>
      <c r="AA2053" s="4" t="s">
        <v>34591</v>
      </c>
      <c r="AB2053" s="4" t="s">
        <v>34592</v>
      </c>
      <c r="AC2053" s="4" t="s">
        <v>34593</v>
      </c>
      <c r="AD2053" s="4" t="s">
        <v>34594</v>
      </c>
      <c r="AE2053" s="4" t="s">
        <v>34595</v>
      </c>
      <c r="AF2053" s="4"/>
      <c r="AG2053" s="4" t="n">
        <v>18</v>
      </c>
      <c r="AH2053" s="4" t="n">
        <v>15</v>
      </c>
      <c r="AI2053" s="4" t="n">
        <v>16</v>
      </c>
      <c r="AJ2053" s="4" t="n">
        <v>0</v>
      </c>
      <c r="AK2053" s="4" t="n">
        <v>17</v>
      </c>
      <c r="AL2053" s="4" t="s">
        <v>34393</v>
      </c>
      <c r="AM2053" s="4" t="s">
        <v>1705</v>
      </c>
      <c r="AN2053" s="4" t="s">
        <v>34394</v>
      </c>
      <c r="AO2053" s="4" t="s">
        <v>34596</v>
      </c>
      <c r="AP2053" s="4" t="s">
        <v>34597</v>
      </c>
      <c r="AQ2053" s="4"/>
      <c r="AR2053" s="4" t="s">
        <v>34598</v>
      </c>
      <c r="AS2053" s="4" t="s">
        <v>34599</v>
      </c>
      <c r="AT2053" s="4" t="s">
        <v>34600</v>
      </c>
      <c r="AU2053" s="4" t="n">
        <v>2021</v>
      </c>
      <c r="AV2053" s="4" t="n">
        <v>57</v>
      </c>
      <c r="AW2053" s="4" t="n">
        <v>38</v>
      </c>
      <c r="AX2053" s="4"/>
      <c r="AY2053" s="4"/>
      <c r="AZ2053" s="4"/>
      <c r="BA2053" s="4"/>
      <c r="BB2053" s="4" t="n">
        <v>4666</v>
      </c>
      <c r="BC2053" s="4" t="n">
        <v>4669</v>
      </c>
      <c r="BD2053" s="4"/>
      <c r="BE2053" s="4" t="s">
        <v>34601</v>
      </c>
      <c r="BF2053" s="4" t="str">
        <f aca="false">HYPERLINK("http://dx.doi.org/10.1039/d1cc01593a","http://dx.doi.org/10.1039/d1cc01593a")</f>
        <v>http://dx.doi.org/10.1039/d1cc01593a</v>
      </c>
      <c r="BG2053" s="4"/>
      <c r="BH2053" s="4" t="s">
        <v>7257</v>
      </c>
      <c r="BI2053" s="4" t="n">
        <v>4</v>
      </c>
      <c r="BJ2053" s="4" t="s">
        <v>7715</v>
      </c>
      <c r="BK2053" s="4" t="s">
        <v>100</v>
      </c>
      <c r="BL2053" s="4" t="s">
        <v>7717</v>
      </c>
      <c r="BM2053" s="4" t="s">
        <v>34602</v>
      </c>
      <c r="BN2053" s="4" t="n">
        <v>33977992</v>
      </c>
      <c r="BO2053" s="4"/>
      <c r="BP2053" s="4"/>
      <c r="BQ2053" s="4"/>
      <c r="BR2053" s="4" t="s">
        <v>104</v>
      </c>
      <c r="BS2053" s="4" t="s">
        <v>34603</v>
      </c>
      <c r="BT2053" s="4" t="str">
        <f aca="false">HYPERLINK("https%3A%2F%2Fwww.webofscience.com%2Fwos%2Fwoscc%2Ffull-record%2FWOS:000639415700001","View Full Record in Web of Science")</f>
        <v>View Full Record in Web of Science</v>
      </c>
    </row>
    <row r="2054" s="5" customFormat="true" ht="12.75" hidden="false" customHeight="false" outlineLevel="0" collapsed="false">
      <c r="A2054" s="4" t="s">
        <v>72</v>
      </c>
      <c r="B2054" s="4" t="s">
        <v>34604</v>
      </c>
      <c r="C2054" s="4"/>
      <c r="D2054" s="4"/>
      <c r="E2054" s="4"/>
      <c r="F2054" s="4" t="s">
        <v>34605</v>
      </c>
      <c r="G2054" s="4"/>
      <c r="H2054" s="4"/>
      <c r="I2054" s="4" t="s">
        <v>34606</v>
      </c>
      <c r="J2054" s="4" t="s">
        <v>2222</v>
      </c>
      <c r="K2054" s="4"/>
      <c r="L2054" s="4"/>
      <c r="M2054" s="4" t="s">
        <v>77</v>
      </c>
      <c r="N2054" s="4" t="s">
        <v>78</v>
      </c>
      <c r="O2054" s="4"/>
      <c r="P2054" s="4"/>
      <c r="Q2054" s="4"/>
      <c r="R2054" s="4"/>
      <c r="S2054" s="4"/>
      <c r="T2054" s="1" t="s">
        <v>34607</v>
      </c>
      <c r="U2054" s="4" t="s">
        <v>10786</v>
      </c>
      <c r="V2054" s="4" t="s">
        <v>34608</v>
      </c>
      <c r="W2054" s="4" t="s">
        <v>34609</v>
      </c>
      <c r="X2054" s="4"/>
      <c r="Y2054" s="4" t="s">
        <v>34610</v>
      </c>
      <c r="Z2054" s="4" t="s">
        <v>34611</v>
      </c>
      <c r="AA2054" s="4"/>
      <c r="AB2054" s="4"/>
      <c r="AC2054" s="4"/>
      <c r="AD2054" s="4"/>
      <c r="AE2054" s="4"/>
      <c r="AF2054" s="4"/>
      <c r="AG2054" s="4" t="n">
        <v>9</v>
      </c>
      <c r="AH2054" s="4" t="n">
        <v>3</v>
      </c>
      <c r="AI2054" s="4" t="n">
        <v>4</v>
      </c>
      <c r="AJ2054" s="4" t="n">
        <v>0</v>
      </c>
      <c r="AK2054" s="4" t="n">
        <v>1</v>
      </c>
      <c r="AL2054" s="4" t="s">
        <v>755</v>
      </c>
      <c r="AM2054" s="4" t="s">
        <v>273</v>
      </c>
      <c r="AN2054" s="4" t="s">
        <v>756</v>
      </c>
      <c r="AO2054" s="4" t="s">
        <v>2234</v>
      </c>
      <c r="AP2054" s="4"/>
      <c r="AQ2054" s="4"/>
      <c r="AR2054" s="4" t="s">
        <v>2236</v>
      </c>
      <c r="AS2054" s="4" t="s">
        <v>2237</v>
      </c>
      <c r="AT2054" s="4" t="s">
        <v>692</v>
      </c>
      <c r="AU2054" s="4" t="n">
        <v>2008</v>
      </c>
      <c r="AV2054" s="4" t="n">
        <v>46</v>
      </c>
      <c r="AW2054" s="4" t="n">
        <v>4</v>
      </c>
      <c r="AX2054" s="4"/>
      <c r="AY2054" s="4"/>
      <c r="AZ2054" s="4"/>
      <c r="BA2054" s="4"/>
      <c r="BB2054" s="4" t="n">
        <v>1489</v>
      </c>
      <c r="BC2054" s="4" t="n">
        <v>1490</v>
      </c>
      <c r="BD2054" s="4"/>
      <c r="BE2054" s="4" t="s">
        <v>34612</v>
      </c>
      <c r="BF2054" s="4" t="str">
        <f aca="false">HYPERLINK("http://dx.doi.org/10.1128/JCM.02283-07","http://dx.doi.org/10.1128/JCM.02283-07")</f>
        <v>http://dx.doi.org/10.1128/JCM.02283-07</v>
      </c>
      <c r="BG2054" s="4"/>
      <c r="BH2054" s="4"/>
      <c r="BI2054" s="4" t="n">
        <v>2</v>
      </c>
      <c r="BJ2054" s="4" t="s">
        <v>211</v>
      </c>
      <c r="BK2054" s="4" t="s">
        <v>100</v>
      </c>
      <c r="BL2054" s="4" t="s">
        <v>211</v>
      </c>
      <c r="BM2054" s="4" t="s">
        <v>31292</v>
      </c>
      <c r="BN2054" s="4" t="n">
        <v>18234862</v>
      </c>
      <c r="BO2054" s="4" t="s">
        <v>165</v>
      </c>
      <c r="BP2054" s="4"/>
      <c r="BQ2054" s="4"/>
      <c r="BR2054" s="4" t="s">
        <v>104</v>
      </c>
      <c r="BS2054" s="4" t="s">
        <v>34613</v>
      </c>
      <c r="BT2054" s="4" t="str">
        <f aca="false">HYPERLINK("https%3A%2F%2Fwww.webofscience.com%2Fwos%2Fwoscc%2Ffull-record%2FWOS:000254866400049","View Full Record in Web of Science")</f>
        <v>View Full Record in Web of Science</v>
      </c>
    </row>
    <row r="2055" s="5" customFormat="true" ht="12.75" hidden="false" customHeight="false" outlineLevel="0" collapsed="false">
      <c r="A2055" s="4" t="s">
        <v>72</v>
      </c>
      <c r="B2055" s="4" t="s">
        <v>34614</v>
      </c>
      <c r="C2055" s="4"/>
      <c r="D2055" s="4"/>
      <c r="E2055" s="4"/>
      <c r="F2055" s="4" t="s">
        <v>34615</v>
      </c>
      <c r="G2055" s="4"/>
      <c r="H2055" s="4"/>
      <c r="I2055" s="4" t="s">
        <v>34616</v>
      </c>
      <c r="J2055" s="4" t="s">
        <v>2863</v>
      </c>
      <c r="K2055" s="4"/>
      <c r="L2055" s="4"/>
      <c r="M2055" s="4" t="s">
        <v>77</v>
      </c>
      <c r="N2055" s="4" t="s">
        <v>78</v>
      </c>
      <c r="O2055" s="4"/>
      <c r="P2055" s="4"/>
      <c r="Q2055" s="4"/>
      <c r="R2055" s="4"/>
      <c r="S2055" s="4"/>
      <c r="T2055" s="1" t="s">
        <v>34617</v>
      </c>
      <c r="U2055" s="4" t="s">
        <v>34618</v>
      </c>
      <c r="V2055" s="4" t="s">
        <v>34619</v>
      </c>
      <c r="W2055" s="4" t="s">
        <v>34620</v>
      </c>
      <c r="X2055" s="4" t="s">
        <v>34621</v>
      </c>
      <c r="Y2055" s="4" t="s">
        <v>34622</v>
      </c>
      <c r="Z2055" s="4" t="s">
        <v>34623</v>
      </c>
      <c r="AA2055" s="4" t="s">
        <v>34624</v>
      </c>
      <c r="AB2055" s="4" t="s">
        <v>34625</v>
      </c>
      <c r="AC2055" s="4"/>
      <c r="AD2055" s="4"/>
      <c r="AE2055" s="4"/>
      <c r="AF2055" s="4"/>
      <c r="AG2055" s="4" t="n">
        <v>18</v>
      </c>
      <c r="AH2055" s="4" t="n">
        <v>48</v>
      </c>
      <c r="AI2055" s="4" t="n">
        <v>53</v>
      </c>
      <c r="AJ2055" s="4" t="n">
        <v>0</v>
      </c>
      <c r="AK2055" s="4" t="n">
        <v>12</v>
      </c>
      <c r="AL2055" s="4" t="s">
        <v>2875</v>
      </c>
      <c r="AM2055" s="4" t="s">
        <v>2876</v>
      </c>
      <c r="AN2055" s="4" t="s">
        <v>2877</v>
      </c>
      <c r="AO2055" s="4" t="s">
        <v>2878</v>
      </c>
      <c r="AP2055" s="4"/>
      <c r="AQ2055" s="4"/>
      <c r="AR2055" s="4" t="s">
        <v>2880</v>
      </c>
      <c r="AS2055" s="4" t="s">
        <v>2881</v>
      </c>
      <c r="AT2055" s="4" t="s">
        <v>3673</v>
      </c>
      <c r="AU2055" s="4" t="n">
        <v>2011</v>
      </c>
      <c r="AV2055" s="4" t="n">
        <v>87</v>
      </c>
      <c r="AW2055" s="4" t="n">
        <v>4</v>
      </c>
      <c r="AX2055" s="4"/>
      <c r="AY2055" s="4"/>
      <c r="AZ2055" s="4"/>
      <c r="BA2055" s="4"/>
      <c r="BB2055" s="4" t="n">
        <v>307</v>
      </c>
      <c r="BC2055" s="4" t="n">
        <v>313</v>
      </c>
      <c r="BD2055" s="4"/>
      <c r="BE2055" s="4" t="s">
        <v>34626</v>
      </c>
      <c r="BF2055" s="4" t="str">
        <f aca="false">HYPERLINK("http://dx.doi.org/10.2223/JPED.2100","http://dx.doi.org/10.2223/JPED.2100")</f>
        <v>http://dx.doi.org/10.2223/JPED.2100</v>
      </c>
      <c r="BG2055" s="4"/>
      <c r="BH2055" s="4"/>
      <c r="BI2055" s="4" t="n">
        <v>7</v>
      </c>
      <c r="BJ2055" s="4" t="s">
        <v>601</v>
      </c>
      <c r="BK2055" s="4" t="s">
        <v>100</v>
      </c>
      <c r="BL2055" s="4" t="s">
        <v>601</v>
      </c>
      <c r="BM2055" s="4" t="s">
        <v>34627</v>
      </c>
      <c r="BN2055" s="4" t="n">
        <v>21655684</v>
      </c>
      <c r="BO2055" s="4"/>
      <c r="BP2055" s="4"/>
      <c r="BQ2055" s="4"/>
      <c r="BR2055" s="4" t="s">
        <v>104</v>
      </c>
      <c r="BS2055" s="4" t="s">
        <v>34628</v>
      </c>
      <c r="BT2055" s="4" t="str">
        <f aca="false">HYPERLINK("https%3A%2F%2Fwww.webofscience.com%2Fwos%2Fwoscc%2Ffull-record%2FWOS:000294572100006","View Full Record in Web of Science")</f>
        <v>View Full Record in Web of Science</v>
      </c>
    </row>
    <row r="2056" s="5" customFormat="true" ht="12.75" hidden="false" customHeight="false" outlineLevel="0" collapsed="false">
      <c r="A2056" s="4" t="s">
        <v>72</v>
      </c>
      <c r="B2056" s="4" t="s">
        <v>31709</v>
      </c>
      <c r="C2056" s="4"/>
      <c r="D2056" s="4"/>
      <c r="E2056" s="4"/>
      <c r="F2056" s="4" t="s">
        <v>31710</v>
      </c>
      <c r="G2056" s="4"/>
      <c r="H2056" s="4"/>
      <c r="I2056" s="4" t="s">
        <v>34629</v>
      </c>
      <c r="J2056" s="4" t="s">
        <v>34630</v>
      </c>
      <c r="K2056" s="4"/>
      <c r="L2056" s="4"/>
      <c r="M2056" s="4" t="s">
        <v>77</v>
      </c>
      <c r="N2056" s="4" t="s">
        <v>78</v>
      </c>
      <c r="O2056" s="4"/>
      <c r="P2056" s="4"/>
      <c r="Q2056" s="4"/>
      <c r="R2056" s="4"/>
      <c r="S2056" s="4"/>
      <c r="T2056" s="1" t="s">
        <v>34631</v>
      </c>
      <c r="U2056" s="4" t="s">
        <v>34632</v>
      </c>
      <c r="V2056" s="4" t="s">
        <v>34633</v>
      </c>
      <c r="W2056" s="4" t="s">
        <v>34634</v>
      </c>
      <c r="X2056" s="4" t="s">
        <v>31526</v>
      </c>
      <c r="Y2056" s="4" t="s">
        <v>34635</v>
      </c>
      <c r="Z2056" s="4" t="s">
        <v>31528</v>
      </c>
      <c r="AA2056" s="4" t="s">
        <v>34636</v>
      </c>
      <c r="AB2056" s="4" t="s">
        <v>34637</v>
      </c>
      <c r="AC2056" s="4" t="s">
        <v>34638</v>
      </c>
      <c r="AD2056" s="4" t="s">
        <v>34639</v>
      </c>
      <c r="AE2056" s="4" t="s">
        <v>34640</v>
      </c>
      <c r="AF2056" s="4"/>
      <c r="AG2056" s="4" t="n">
        <v>67</v>
      </c>
      <c r="AH2056" s="4" t="n">
        <v>39</v>
      </c>
      <c r="AI2056" s="4" t="n">
        <v>47</v>
      </c>
      <c r="AJ2056" s="4" t="n">
        <v>0</v>
      </c>
      <c r="AK2056" s="4" t="n">
        <v>19</v>
      </c>
      <c r="AL2056" s="4" t="s">
        <v>1704</v>
      </c>
      <c r="AM2056" s="4" t="s">
        <v>1705</v>
      </c>
      <c r="AN2056" s="4" t="s">
        <v>1706</v>
      </c>
      <c r="AO2056" s="4" t="s">
        <v>34641</v>
      </c>
      <c r="AP2056" s="4" t="s">
        <v>34642</v>
      </c>
      <c r="AQ2056" s="4"/>
      <c r="AR2056" s="4" t="s">
        <v>34630</v>
      </c>
      <c r="AS2056" s="4" t="s">
        <v>34643</v>
      </c>
      <c r="AT2056" s="4" t="s">
        <v>34644</v>
      </c>
      <c r="AU2056" s="4" t="n">
        <v>2014</v>
      </c>
      <c r="AV2056" s="4" t="n">
        <v>22</v>
      </c>
      <c r="AW2056" s="4" t="n">
        <v>1</v>
      </c>
      <c r="AX2056" s="4"/>
      <c r="AY2056" s="4"/>
      <c r="AZ2056" s="4"/>
      <c r="BA2056" s="4"/>
      <c r="BB2056" s="4" t="n">
        <v>136</v>
      </c>
      <c r="BC2056" s="4" t="n">
        <v>148</v>
      </c>
      <c r="BD2056" s="4"/>
      <c r="BE2056" s="4" t="s">
        <v>34645</v>
      </c>
      <c r="BF2056" s="4" t="str">
        <f aca="false">HYPERLINK("http://dx.doi.org/10.1016/j.str.2013.10.013","http://dx.doi.org/10.1016/j.str.2013.10.013")</f>
        <v>http://dx.doi.org/10.1016/j.str.2013.10.013</v>
      </c>
      <c r="BG2056" s="4"/>
      <c r="BH2056" s="4"/>
      <c r="BI2056" s="4" t="n">
        <v>13</v>
      </c>
      <c r="BJ2056" s="4" t="s">
        <v>32942</v>
      </c>
      <c r="BK2056" s="4" t="s">
        <v>100</v>
      </c>
      <c r="BL2056" s="4" t="s">
        <v>32942</v>
      </c>
      <c r="BM2056" s="4" t="s">
        <v>34646</v>
      </c>
      <c r="BN2056" s="4" t="n">
        <v>24316400</v>
      </c>
      <c r="BO2056" s="4" t="s">
        <v>284</v>
      </c>
      <c r="BP2056" s="4"/>
      <c r="BQ2056" s="4"/>
      <c r="BR2056" s="4" t="s">
        <v>104</v>
      </c>
      <c r="BS2056" s="4" t="s">
        <v>34647</v>
      </c>
      <c r="BT2056" s="4" t="str">
        <f aca="false">HYPERLINK("https%3A%2F%2Fwww.webofscience.com%2Fwos%2Fwoscc%2Ffull-record%2FWOS:000329593000015","View Full Record in Web of Science")</f>
        <v>View Full Record in Web of Science</v>
      </c>
    </row>
    <row r="2057" s="5" customFormat="true" ht="12.75" hidden="false" customHeight="false" outlineLevel="0" collapsed="false">
      <c r="A2057" s="4" t="s">
        <v>72</v>
      </c>
      <c r="B2057" s="4" t="s">
        <v>3125</v>
      </c>
      <c r="C2057" s="4"/>
      <c r="D2057" s="4"/>
      <c r="E2057" s="4"/>
      <c r="F2057" s="4" t="s">
        <v>3126</v>
      </c>
      <c r="G2057" s="4"/>
      <c r="H2057" s="4"/>
      <c r="I2057" s="4" t="s">
        <v>34648</v>
      </c>
      <c r="J2057" s="4" t="s">
        <v>2021</v>
      </c>
      <c r="K2057" s="4"/>
      <c r="L2057" s="4"/>
      <c r="M2057" s="4" t="s">
        <v>77</v>
      </c>
      <c r="N2057" s="4" t="s">
        <v>78</v>
      </c>
      <c r="O2057" s="4"/>
      <c r="P2057" s="4"/>
      <c r="Q2057" s="4"/>
      <c r="R2057" s="4"/>
      <c r="S2057" s="4"/>
      <c r="T2057" s="1" t="s">
        <v>34649</v>
      </c>
      <c r="U2057" s="4" t="s">
        <v>34650</v>
      </c>
      <c r="V2057" s="4" t="s">
        <v>34651</v>
      </c>
      <c r="W2057" s="4" t="s">
        <v>34652</v>
      </c>
      <c r="X2057" s="4" t="s">
        <v>3132</v>
      </c>
      <c r="Y2057" s="4" t="s">
        <v>34653</v>
      </c>
      <c r="Z2057" s="4" t="s">
        <v>3134</v>
      </c>
      <c r="AA2057" s="4"/>
      <c r="AB2057" s="4"/>
      <c r="AC2057" s="4" t="s">
        <v>34654</v>
      </c>
      <c r="AD2057" s="4" t="s">
        <v>34655</v>
      </c>
      <c r="AE2057" s="4" t="s">
        <v>34656</v>
      </c>
      <c r="AF2057" s="4"/>
      <c r="AG2057" s="4" t="n">
        <v>62</v>
      </c>
      <c r="AH2057" s="4" t="n">
        <v>187</v>
      </c>
      <c r="AI2057" s="4" t="n">
        <v>196</v>
      </c>
      <c r="AJ2057" s="4" t="n">
        <v>0</v>
      </c>
      <c r="AK2057" s="4" t="n">
        <v>18</v>
      </c>
      <c r="AL2057" s="4" t="s">
        <v>527</v>
      </c>
      <c r="AM2057" s="4" t="s">
        <v>528</v>
      </c>
      <c r="AN2057" s="4" t="s">
        <v>529</v>
      </c>
      <c r="AO2057" s="4" t="s">
        <v>2033</v>
      </c>
      <c r="AP2057" s="4"/>
      <c r="AQ2057" s="4"/>
      <c r="AR2057" s="4" t="s">
        <v>2035</v>
      </c>
      <c r="AS2057" s="4" t="s">
        <v>2036</v>
      </c>
      <c r="AT2057" s="4" t="s">
        <v>2640</v>
      </c>
      <c r="AU2057" s="4" t="n">
        <v>2011</v>
      </c>
      <c r="AV2057" s="4" t="n">
        <v>52</v>
      </c>
      <c r="AW2057" s="4"/>
      <c r="AX2057" s="4"/>
      <c r="AY2057" s="4" t="n">
        <v>4</v>
      </c>
      <c r="AZ2057" s="4"/>
      <c r="BA2057" s="4"/>
      <c r="BB2057" s="4" t="s">
        <v>34657</v>
      </c>
      <c r="BC2057" s="4" t="s">
        <v>34658</v>
      </c>
      <c r="BD2057" s="4"/>
      <c r="BE2057" s="4" t="s">
        <v>34659</v>
      </c>
      <c r="BF2057" s="4" t="str">
        <f aca="false">HYPERLINK("http://dx.doi.org/10.1093/cid/cir043","http://dx.doi.org/10.1093/cid/cir043")</f>
        <v>http://dx.doi.org/10.1093/cid/cir043</v>
      </c>
      <c r="BG2057" s="4"/>
      <c r="BH2057" s="4"/>
      <c r="BI2057" s="4" t="n">
        <v>6</v>
      </c>
      <c r="BJ2057" s="4" t="s">
        <v>536</v>
      </c>
      <c r="BK2057" s="4" t="s">
        <v>100</v>
      </c>
      <c r="BL2057" s="4" t="s">
        <v>536</v>
      </c>
      <c r="BM2057" s="4" t="s">
        <v>34660</v>
      </c>
      <c r="BN2057" s="4"/>
      <c r="BO2057" s="4" t="s">
        <v>538</v>
      </c>
      <c r="BP2057" s="4"/>
      <c r="BQ2057" s="4"/>
      <c r="BR2057" s="4" t="s">
        <v>104</v>
      </c>
      <c r="BS2057" s="4" t="s">
        <v>34661</v>
      </c>
      <c r="BT2057" s="4" t="str">
        <f aca="false">HYPERLINK("https%3A%2F%2Fwww.webofscience.com%2Fwos%2Fwoscc%2Ffull-record%2FWOS:000289165000002","View Full Record in Web of Science")</f>
        <v>View Full Record in Web of Science</v>
      </c>
    </row>
    <row r="2058" s="5" customFormat="true" ht="12.75" hidden="false" customHeight="false" outlineLevel="0" collapsed="false">
      <c r="A2058" s="4" t="s">
        <v>72</v>
      </c>
      <c r="B2058" s="4" t="s">
        <v>34662</v>
      </c>
      <c r="C2058" s="4"/>
      <c r="D2058" s="4"/>
      <c r="E2058" s="4"/>
      <c r="F2058" s="4" t="s">
        <v>34663</v>
      </c>
      <c r="G2058" s="4"/>
      <c r="H2058" s="4"/>
      <c r="I2058" s="4" t="s">
        <v>34664</v>
      </c>
      <c r="J2058" s="4" t="s">
        <v>2021</v>
      </c>
      <c r="K2058" s="4"/>
      <c r="L2058" s="4"/>
      <c r="M2058" s="4" t="s">
        <v>77</v>
      </c>
      <c r="N2058" s="4" t="s">
        <v>78</v>
      </c>
      <c r="O2058" s="4"/>
      <c r="P2058" s="4"/>
      <c r="Q2058" s="4"/>
      <c r="R2058" s="4"/>
      <c r="S2058" s="4"/>
      <c r="T2058" s="1" t="s">
        <v>34665</v>
      </c>
      <c r="U2058" s="4" t="s">
        <v>34666</v>
      </c>
      <c r="V2058" s="4" t="s">
        <v>34667</v>
      </c>
      <c r="W2058" s="4" t="s">
        <v>34668</v>
      </c>
      <c r="X2058" s="4" t="s">
        <v>1258</v>
      </c>
      <c r="Y2058" s="4" t="s">
        <v>34669</v>
      </c>
      <c r="Z2058" s="4" t="s">
        <v>1260</v>
      </c>
      <c r="AA2058" s="4"/>
      <c r="AB2058" s="4" t="s">
        <v>1261</v>
      </c>
      <c r="AC2058" s="4"/>
      <c r="AD2058" s="4"/>
      <c r="AE2058" s="4"/>
      <c r="AF2058" s="4"/>
      <c r="AG2058" s="4" t="n">
        <v>12</v>
      </c>
      <c r="AH2058" s="4" t="n">
        <v>76</v>
      </c>
      <c r="AI2058" s="4" t="n">
        <v>83</v>
      </c>
      <c r="AJ2058" s="4" t="n">
        <v>0</v>
      </c>
      <c r="AK2058" s="4" t="n">
        <v>0</v>
      </c>
      <c r="AL2058" s="4" t="s">
        <v>527</v>
      </c>
      <c r="AM2058" s="4" t="s">
        <v>528</v>
      </c>
      <c r="AN2058" s="4" t="s">
        <v>529</v>
      </c>
      <c r="AO2058" s="4" t="s">
        <v>2033</v>
      </c>
      <c r="AP2058" s="4" t="s">
        <v>2034</v>
      </c>
      <c r="AQ2058" s="4"/>
      <c r="AR2058" s="4" t="s">
        <v>2035</v>
      </c>
      <c r="AS2058" s="4" t="s">
        <v>2036</v>
      </c>
      <c r="AT2058" s="4" t="s">
        <v>2037</v>
      </c>
      <c r="AU2058" s="4" t="n">
        <v>2006</v>
      </c>
      <c r="AV2058" s="4" t="n">
        <v>42</v>
      </c>
      <c r="AW2058" s="4" t="n">
        <v>12</v>
      </c>
      <c r="AX2058" s="4"/>
      <c r="AY2058" s="4"/>
      <c r="AZ2058" s="4"/>
      <c r="BA2058" s="4"/>
      <c r="BB2058" s="4" t="s">
        <v>34670</v>
      </c>
      <c r="BC2058" s="4" t="s">
        <v>34671</v>
      </c>
      <c r="BD2058" s="4"/>
      <c r="BE2058" s="4" t="s">
        <v>34672</v>
      </c>
      <c r="BF2058" s="4" t="str">
        <f aca="false">HYPERLINK("http://dx.doi.org/10.1086/504378","http://dx.doi.org/10.1086/504378")</f>
        <v>http://dx.doi.org/10.1086/504378</v>
      </c>
      <c r="BG2058" s="4"/>
      <c r="BH2058" s="4"/>
      <c r="BI2058" s="4" t="n">
        <v>3</v>
      </c>
      <c r="BJ2058" s="4" t="s">
        <v>536</v>
      </c>
      <c r="BK2058" s="4" t="s">
        <v>100</v>
      </c>
      <c r="BL2058" s="4" t="s">
        <v>536</v>
      </c>
      <c r="BM2058" s="4" t="s">
        <v>34673</v>
      </c>
      <c r="BN2058" s="4" t="n">
        <v>16705567</v>
      </c>
      <c r="BO2058" s="4" t="s">
        <v>656</v>
      </c>
      <c r="BP2058" s="4"/>
      <c r="BQ2058" s="4"/>
      <c r="BR2058" s="4" t="s">
        <v>104</v>
      </c>
      <c r="BS2058" s="4" t="s">
        <v>34674</v>
      </c>
      <c r="BT2058" s="4" t="str">
        <f aca="false">HYPERLINK("https%3A%2F%2Fwww.webofscience.com%2Fwos%2Fwoscc%2Ffull-record%2FWOS:000237624800040","View Full Record in Web of Science")</f>
        <v>View Full Record in Web of Science</v>
      </c>
    </row>
    <row r="2059" s="5" customFormat="true" ht="12.75" hidden="false" customHeight="false" outlineLevel="0" collapsed="false">
      <c r="A2059" s="4" t="s">
        <v>72</v>
      </c>
      <c r="B2059" s="4" t="s">
        <v>34675</v>
      </c>
      <c r="C2059" s="4"/>
      <c r="D2059" s="4"/>
      <c r="E2059" s="4"/>
      <c r="F2059" s="4" t="s">
        <v>34676</v>
      </c>
      <c r="G2059" s="4"/>
      <c r="H2059" s="4"/>
      <c r="I2059" s="4" t="s">
        <v>34677</v>
      </c>
      <c r="J2059" s="4" t="s">
        <v>32854</v>
      </c>
      <c r="K2059" s="4"/>
      <c r="L2059" s="4"/>
      <c r="M2059" s="4" t="s">
        <v>77</v>
      </c>
      <c r="N2059" s="4" t="s">
        <v>78</v>
      </c>
      <c r="O2059" s="4"/>
      <c r="P2059" s="4"/>
      <c r="Q2059" s="4"/>
      <c r="R2059" s="4"/>
      <c r="S2059" s="4"/>
      <c r="T2059" s="1" t="s">
        <v>34678</v>
      </c>
      <c r="U2059" s="4" t="s">
        <v>34679</v>
      </c>
      <c r="V2059" s="4" t="s">
        <v>34680</v>
      </c>
      <c r="W2059" s="4" t="s">
        <v>34681</v>
      </c>
      <c r="X2059" s="4" t="s">
        <v>34682</v>
      </c>
      <c r="Y2059" s="4" t="s">
        <v>34683</v>
      </c>
      <c r="Z2059" s="4" t="s">
        <v>3061</v>
      </c>
      <c r="AA2059" s="4" t="s">
        <v>18868</v>
      </c>
      <c r="AB2059" s="4" t="s">
        <v>34684</v>
      </c>
      <c r="AC2059" s="4"/>
      <c r="AD2059" s="4"/>
      <c r="AE2059" s="4"/>
      <c r="AF2059" s="4"/>
      <c r="AG2059" s="4" t="n">
        <v>15</v>
      </c>
      <c r="AH2059" s="4" t="n">
        <v>4</v>
      </c>
      <c r="AI2059" s="4" t="n">
        <v>5</v>
      </c>
      <c r="AJ2059" s="4" t="n">
        <v>0</v>
      </c>
      <c r="AK2059" s="4" t="n">
        <v>0</v>
      </c>
      <c r="AL2059" s="4" t="s">
        <v>29784</v>
      </c>
      <c r="AM2059" s="4" t="s">
        <v>593</v>
      </c>
      <c r="AN2059" s="4" t="s">
        <v>29785</v>
      </c>
      <c r="AO2059" s="4" t="s">
        <v>32867</v>
      </c>
      <c r="AP2059" s="4"/>
      <c r="AQ2059" s="4"/>
      <c r="AR2059" s="4" t="s">
        <v>32869</v>
      </c>
      <c r="AS2059" s="4" t="s">
        <v>32870</v>
      </c>
      <c r="AT2059" s="4"/>
      <c r="AU2059" s="4" t="n">
        <v>2013</v>
      </c>
      <c r="AV2059" s="4"/>
      <c r="AW2059" s="4"/>
      <c r="AX2059" s="4"/>
      <c r="AY2059" s="4"/>
      <c r="AZ2059" s="4"/>
      <c r="BA2059" s="4"/>
      <c r="BB2059" s="4"/>
      <c r="BC2059" s="4"/>
      <c r="BD2059" s="4" t="n">
        <v>236081</v>
      </c>
      <c r="BE2059" s="4" t="s">
        <v>34685</v>
      </c>
      <c r="BF2059" s="4" t="str">
        <f aca="false">HYPERLINK("http://dx.doi.org/10.1155/2013/236081","http://dx.doi.org/10.1155/2013/236081")</f>
        <v>http://dx.doi.org/10.1155/2013/236081</v>
      </c>
      <c r="BG2059" s="4"/>
      <c r="BH2059" s="4"/>
      <c r="BI2059" s="4" t="n">
        <v>5</v>
      </c>
      <c r="BJ2059" s="4" t="s">
        <v>628</v>
      </c>
      <c r="BK2059" s="4" t="s">
        <v>100</v>
      </c>
      <c r="BL2059" s="4" t="s">
        <v>628</v>
      </c>
      <c r="BM2059" s="4" t="s">
        <v>34686</v>
      </c>
      <c r="BN2059" s="4" t="n">
        <v>23533453</v>
      </c>
      <c r="BO2059" s="4" t="s">
        <v>341</v>
      </c>
      <c r="BP2059" s="4"/>
      <c r="BQ2059" s="4"/>
      <c r="BR2059" s="4" t="s">
        <v>104</v>
      </c>
      <c r="BS2059" s="4" t="s">
        <v>34687</v>
      </c>
      <c r="BT2059" s="4" t="str">
        <f aca="false">HYPERLINK("https%3A%2F%2Fwww.webofscience.com%2Fwos%2Fwoscc%2Ffull-record%2FWOS:000315863000001","View Full Record in Web of Science")</f>
        <v>View Full Record in Web of Science</v>
      </c>
    </row>
    <row r="2060" s="5" customFormat="true" ht="12.75" hidden="false" customHeight="false" outlineLevel="0" collapsed="false">
      <c r="A2060" s="4" t="s">
        <v>72</v>
      </c>
      <c r="B2060" s="4" t="s">
        <v>34688</v>
      </c>
      <c r="C2060" s="4"/>
      <c r="D2060" s="4"/>
      <c r="E2060" s="4"/>
      <c r="F2060" s="4" t="s">
        <v>34689</v>
      </c>
      <c r="G2060" s="4"/>
      <c r="H2060" s="4" t="s">
        <v>34690</v>
      </c>
      <c r="I2060" s="4" t="s">
        <v>34691</v>
      </c>
      <c r="J2060" s="4" t="s">
        <v>13758</v>
      </c>
      <c r="K2060" s="4"/>
      <c r="L2060" s="4"/>
      <c r="M2060" s="4" t="s">
        <v>77</v>
      </c>
      <c r="N2060" s="4" t="s">
        <v>78</v>
      </c>
      <c r="O2060" s="4"/>
      <c r="P2060" s="4"/>
      <c r="Q2060" s="4"/>
      <c r="R2060" s="4"/>
      <c r="S2060" s="4"/>
      <c r="T2060" s="1" t="s">
        <v>34692</v>
      </c>
      <c r="U2060" s="4" t="s">
        <v>34693</v>
      </c>
      <c r="V2060" s="4" t="s">
        <v>34694</v>
      </c>
      <c r="W2060" s="4" t="s">
        <v>34695</v>
      </c>
      <c r="X2060" s="4" t="s">
        <v>34696</v>
      </c>
      <c r="Y2060" s="4" t="s">
        <v>34697</v>
      </c>
      <c r="Z2060" s="4" t="s">
        <v>34698</v>
      </c>
      <c r="AA2060" s="4" t="s">
        <v>34699</v>
      </c>
      <c r="AB2060" s="4" t="s">
        <v>34700</v>
      </c>
      <c r="AC2060" s="4" t="s">
        <v>34701</v>
      </c>
      <c r="AD2060" s="4" t="s">
        <v>34702</v>
      </c>
      <c r="AE2060" s="4" t="s">
        <v>34703</v>
      </c>
      <c r="AF2060" s="4"/>
      <c r="AG2060" s="4" t="n">
        <v>24</v>
      </c>
      <c r="AH2060" s="4" t="n">
        <v>30</v>
      </c>
      <c r="AI2060" s="4" t="n">
        <v>33</v>
      </c>
      <c r="AJ2060" s="4" t="n">
        <v>0</v>
      </c>
      <c r="AK2060" s="4" t="n">
        <v>13</v>
      </c>
      <c r="AL2060" s="4" t="s">
        <v>13769</v>
      </c>
      <c r="AM2060" s="4" t="s">
        <v>16554</v>
      </c>
      <c r="AN2060" s="4" t="s">
        <v>16555</v>
      </c>
      <c r="AO2060" s="4" t="s">
        <v>13772</v>
      </c>
      <c r="AP2060" s="4" t="s">
        <v>13773</v>
      </c>
      <c r="AQ2060" s="4"/>
      <c r="AR2060" s="4" t="s">
        <v>13774</v>
      </c>
      <c r="AS2060" s="4" t="s">
        <v>13775</v>
      </c>
      <c r="AT2060" s="4" t="s">
        <v>692</v>
      </c>
      <c r="AU2060" s="4" t="n">
        <v>2014</v>
      </c>
      <c r="AV2060" s="4" t="n">
        <v>159</v>
      </c>
      <c r="AW2060" s="4" t="n">
        <v>4</v>
      </c>
      <c r="AX2060" s="4"/>
      <c r="AY2060" s="4"/>
      <c r="AZ2060" s="4"/>
      <c r="BA2060" s="4"/>
      <c r="BB2060" s="4" t="n">
        <v>669</v>
      </c>
      <c r="BC2060" s="4" t="n">
        <v>676</v>
      </c>
      <c r="BD2060" s="4"/>
      <c r="BE2060" s="4" t="s">
        <v>34704</v>
      </c>
      <c r="BF2060" s="4" t="str">
        <f aca="false">HYPERLINK("http://dx.doi.org/10.1007/s00705-013-1876-3","http://dx.doi.org/10.1007/s00705-013-1876-3")</f>
        <v>http://dx.doi.org/10.1007/s00705-013-1876-3</v>
      </c>
      <c r="BG2060" s="4"/>
      <c r="BH2060" s="4"/>
      <c r="BI2060" s="4" t="n">
        <v>8</v>
      </c>
      <c r="BJ2060" s="4" t="s">
        <v>163</v>
      </c>
      <c r="BK2060" s="4" t="s">
        <v>100</v>
      </c>
      <c r="BL2060" s="4" t="s">
        <v>163</v>
      </c>
      <c r="BM2060" s="4" t="s">
        <v>34705</v>
      </c>
      <c r="BN2060" s="4" t="n">
        <v>24126621</v>
      </c>
      <c r="BO2060" s="4" t="s">
        <v>538</v>
      </c>
      <c r="BP2060" s="4"/>
      <c r="BQ2060" s="4"/>
      <c r="BR2060" s="4" t="s">
        <v>104</v>
      </c>
      <c r="BS2060" s="4" t="s">
        <v>34706</v>
      </c>
      <c r="BT2060" s="4" t="str">
        <f aca="false">HYPERLINK("https%3A%2F%2Fwww.webofscience.com%2Fwos%2Fwoscc%2Ffull-record%2FWOS:000334055200006","View Full Record in Web of Science")</f>
        <v>View Full Record in Web of Science</v>
      </c>
    </row>
    <row r="2061" s="5" customFormat="true" ht="12.75" hidden="false" customHeight="false" outlineLevel="0" collapsed="false">
      <c r="A2061" s="4" t="s">
        <v>72</v>
      </c>
      <c r="B2061" s="4" t="s">
        <v>34707</v>
      </c>
      <c r="C2061" s="4"/>
      <c r="D2061" s="4"/>
      <c r="E2061" s="4"/>
      <c r="F2061" s="4" t="s">
        <v>34708</v>
      </c>
      <c r="G2061" s="4"/>
      <c r="H2061" s="4"/>
      <c r="I2061" s="4" t="s">
        <v>34709</v>
      </c>
      <c r="J2061" s="4" t="s">
        <v>27453</v>
      </c>
      <c r="K2061" s="4"/>
      <c r="L2061" s="4"/>
      <c r="M2061" s="4" t="s">
        <v>77</v>
      </c>
      <c r="N2061" s="4" t="s">
        <v>78</v>
      </c>
      <c r="O2061" s="4"/>
      <c r="P2061" s="4"/>
      <c r="Q2061" s="4"/>
      <c r="R2061" s="4"/>
      <c r="S2061" s="4"/>
      <c r="T2061" s="1" t="s">
        <v>34710</v>
      </c>
      <c r="U2061" s="4" t="s">
        <v>34711</v>
      </c>
      <c r="V2061" s="4" t="s">
        <v>34712</v>
      </c>
      <c r="W2061" s="4" t="s">
        <v>34713</v>
      </c>
      <c r="X2061" s="4" t="s">
        <v>34714</v>
      </c>
      <c r="Y2061" s="4" t="s">
        <v>34715</v>
      </c>
      <c r="Z2061" s="4" t="s">
        <v>34716</v>
      </c>
      <c r="AA2061" s="4" t="s">
        <v>4952</v>
      </c>
      <c r="AB2061" s="4" t="s">
        <v>4953</v>
      </c>
      <c r="AC2061" s="4"/>
      <c r="AD2061" s="4"/>
      <c r="AE2061" s="4"/>
      <c r="AF2061" s="4"/>
      <c r="AG2061" s="4" t="n">
        <v>33</v>
      </c>
      <c r="AH2061" s="4" t="n">
        <v>9</v>
      </c>
      <c r="AI2061" s="4" t="n">
        <v>9</v>
      </c>
      <c r="AJ2061" s="4" t="n">
        <v>0</v>
      </c>
      <c r="AK2061" s="4" t="n">
        <v>3</v>
      </c>
      <c r="AL2061" s="4" t="s">
        <v>27463</v>
      </c>
      <c r="AM2061" s="4" t="s">
        <v>16252</v>
      </c>
      <c r="AN2061" s="4" t="s">
        <v>27464</v>
      </c>
      <c r="AO2061" s="4" t="s">
        <v>27465</v>
      </c>
      <c r="AP2061" s="4" t="s">
        <v>27466</v>
      </c>
      <c r="AQ2061" s="4"/>
      <c r="AR2061" s="4" t="s">
        <v>27467</v>
      </c>
      <c r="AS2061" s="4" t="s">
        <v>27468</v>
      </c>
      <c r="AT2061" s="4" t="s">
        <v>161</v>
      </c>
      <c r="AU2061" s="4" t="n">
        <v>2021</v>
      </c>
      <c r="AV2061" s="4" t="n">
        <v>74</v>
      </c>
      <c r="AW2061" s="4" t="n">
        <v>1</v>
      </c>
      <c r="AX2061" s="4"/>
      <c r="AY2061" s="4"/>
      <c r="AZ2061" s="4"/>
      <c r="BA2061" s="4"/>
      <c r="BB2061" s="4" t="n">
        <v>23</v>
      </c>
      <c r="BC2061" s="4" t="n">
        <v>28</v>
      </c>
      <c r="BD2061" s="4"/>
      <c r="BE2061" s="4" t="s">
        <v>34717</v>
      </c>
      <c r="BF2061" s="4" t="str">
        <f aca="false">HYPERLINK("http://dx.doi.org/10.7883/yoken.JJID.2020.154","http://dx.doi.org/10.7883/yoken.JJID.2020.154")</f>
        <v>http://dx.doi.org/10.7883/yoken.JJID.2020.154</v>
      </c>
      <c r="BG2061" s="4"/>
      <c r="BH2061" s="4"/>
      <c r="BI2061" s="4" t="n">
        <v>6</v>
      </c>
      <c r="BJ2061" s="4" t="s">
        <v>575</v>
      </c>
      <c r="BK2061" s="4" t="s">
        <v>100</v>
      </c>
      <c r="BL2061" s="4" t="s">
        <v>575</v>
      </c>
      <c r="BM2061" s="4" t="s">
        <v>34718</v>
      </c>
      <c r="BN2061" s="4" t="n">
        <v>32611977</v>
      </c>
      <c r="BO2061" s="4" t="s">
        <v>1355</v>
      </c>
      <c r="BP2061" s="4"/>
      <c r="BQ2061" s="4"/>
      <c r="BR2061" s="4" t="s">
        <v>104</v>
      </c>
      <c r="BS2061" s="4" t="s">
        <v>34719</v>
      </c>
      <c r="BT2061" s="4" t="str">
        <f aca="false">HYPERLINK("https%3A%2F%2Fwww.webofscience.com%2Fwos%2Fwoscc%2Ffull-record%2FWOS:000626621300004","View Full Record in Web of Science")</f>
        <v>View Full Record in Web of Science</v>
      </c>
    </row>
    <row r="2062" s="5" customFormat="true" ht="12.75" hidden="false" customHeight="false" outlineLevel="0" collapsed="false">
      <c r="A2062" s="4" t="s">
        <v>72</v>
      </c>
      <c r="B2062" s="4" t="s">
        <v>34720</v>
      </c>
      <c r="C2062" s="4"/>
      <c r="D2062" s="4"/>
      <c r="E2062" s="4"/>
      <c r="F2062" s="4" t="s">
        <v>34720</v>
      </c>
      <c r="G2062" s="4"/>
      <c r="H2062" s="4" t="s">
        <v>34721</v>
      </c>
      <c r="I2062" s="4" t="s">
        <v>34722</v>
      </c>
      <c r="J2062" s="4" t="s">
        <v>27475</v>
      </c>
      <c r="K2062" s="4"/>
      <c r="L2062" s="4"/>
      <c r="M2062" s="4" t="s">
        <v>77</v>
      </c>
      <c r="N2062" s="4" t="s">
        <v>78</v>
      </c>
      <c r="O2062" s="4"/>
      <c r="P2062" s="4"/>
      <c r="Q2062" s="4"/>
      <c r="R2062" s="4"/>
      <c r="S2062" s="4"/>
      <c r="T2062" s="1" t="s">
        <v>34723</v>
      </c>
      <c r="U2062" s="4" t="s">
        <v>34724</v>
      </c>
      <c r="V2062" s="4" t="s">
        <v>34725</v>
      </c>
      <c r="W2062" s="4" t="s">
        <v>34726</v>
      </c>
      <c r="X2062" s="4" t="s">
        <v>34727</v>
      </c>
      <c r="Y2062" s="4" t="s">
        <v>34728</v>
      </c>
      <c r="Z2062" s="4"/>
      <c r="AA2062" s="4" t="s">
        <v>34729</v>
      </c>
      <c r="AB2062" s="4" t="s">
        <v>34730</v>
      </c>
      <c r="AC2062" s="4"/>
      <c r="AD2062" s="4"/>
      <c r="AE2062" s="4"/>
      <c r="AF2062" s="4"/>
      <c r="AG2062" s="4" t="n">
        <v>23</v>
      </c>
      <c r="AH2062" s="4" t="n">
        <v>795</v>
      </c>
      <c r="AI2062" s="4" t="n">
        <v>957</v>
      </c>
      <c r="AJ2062" s="4" t="n">
        <v>0</v>
      </c>
      <c r="AK2062" s="4" t="n">
        <v>55</v>
      </c>
      <c r="AL2062" s="4" t="s">
        <v>34731</v>
      </c>
      <c r="AM2062" s="4" t="s">
        <v>27486</v>
      </c>
      <c r="AN2062" s="4" t="s">
        <v>27487</v>
      </c>
      <c r="AO2062" s="4" t="s">
        <v>27488</v>
      </c>
      <c r="AP2062" s="4"/>
      <c r="AQ2062" s="4"/>
      <c r="AR2062" s="4" t="s">
        <v>27489</v>
      </c>
      <c r="AS2062" s="4" t="s">
        <v>27490</v>
      </c>
      <c r="AT2062" s="4" t="s">
        <v>10994</v>
      </c>
      <c r="AU2062" s="4" t="n">
        <v>2003</v>
      </c>
      <c r="AV2062" s="4" t="n">
        <v>348</v>
      </c>
      <c r="AW2062" s="4" t="n">
        <v>20</v>
      </c>
      <c r="AX2062" s="4"/>
      <c r="AY2062" s="4"/>
      <c r="AZ2062" s="4"/>
      <c r="BA2062" s="4"/>
      <c r="BB2062" s="4" t="n">
        <v>1995</v>
      </c>
      <c r="BC2062" s="4" t="n">
        <v>2005</v>
      </c>
      <c r="BD2062" s="4"/>
      <c r="BE2062" s="4" t="s">
        <v>34732</v>
      </c>
      <c r="BF2062" s="4" t="str">
        <f aca="false">HYPERLINK("http://dx.doi.org/10.1056/NEJMoa030634","http://dx.doi.org/10.1056/NEJMoa030634")</f>
        <v>http://dx.doi.org/10.1056/NEJMoa030634</v>
      </c>
      <c r="BG2062" s="4"/>
      <c r="BH2062" s="4"/>
      <c r="BI2062" s="4" t="n">
        <v>11</v>
      </c>
      <c r="BJ2062" s="4" t="s">
        <v>363</v>
      </c>
      <c r="BK2062" s="4" t="s">
        <v>100</v>
      </c>
      <c r="BL2062" s="4" t="s">
        <v>364</v>
      </c>
      <c r="BM2062" s="4" t="s">
        <v>34733</v>
      </c>
      <c r="BN2062" s="4" t="n">
        <v>12671061</v>
      </c>
      <c r="BO2062" s="4" t="s">
        <v>165</v>
      </c>
      <c r="BP2062" s="4"/>
      <c r="BQ2062" s="4"/>
      <c r="BR2062" s="4" t="s">
        <v>104</v>
      </c>
      <c r="BS2062" s="4" t="s">
        <v>34734</v>
      </c>
      <c r="BT2062" s="4" t="str">
        <f aca="false">HYPERLINK("https%3A%2F%2Fwww.webofscience.com%2Fwos%2Fwoscc%2Ffull-record%2FWOS:000182823400008","View Full Record in Web of Science")</f>
        <v>View Full Record in Web of Science</v>
      </c>
    </row>
    <row r="2063" s="5" customFormat="true" ht="12.75" hidden="false" customHeight="false" outlineLevel="0" collapsed="false">
      <c r="A2063" s="4" t="s">
        <v>72</v>
      </c>
      <c r="B2063" s="4" t="s">
        <v>20573</v>
      </c>
      <c r="C2063" s="4"/>
      <c r="D2063" s="4"/>
      <c r="E2063" s="4"/>
      <c r="F2063" s="4" t="s">
        <v>20574</v>
      </c>
      <c r="G2063" s="4"/>
      <c r="H2063" s="4"/>
      <c r="I2063" s="4" t="s">
        <v>34735</v>
      </c>
      <c r="J2063" s="4" t="s">
        <v>27497</v>
      </c>
      <c r="K2063" s="4"/>
      <c r="L2063" s="4"/>
      <c r="M2063" s="4" t="s">
        <v>77</v>
      </c>
      <c r="N2063" s="4" t="s">
        <v>78</v>
      </c>
      <c r="O2063" s="4"/>
      <c r="P2063" s="4"/>
      <c r="Q2063" s="4"/>
      <c r="R2063" s="4"/>
      <c r="S2063" s="4"/>
      <c r="T2063" s="1" t="s">
        <v>34736</v>
      </c>
      <c r="U2063" s="4" t="s">
        <v>34737</v>
      </c>
      <c r="V2063" s="4" t="s">
        <v>34738</v>
      </c>
      <c r="W2063" s="4" t="s">
        <v>34739</v>
      </c>
      <c r="X2063" s="4" t="s">
        <v>34740</v>
      </c>
      <c r="Y2063" s="4" t="s">
        <v>34741</v>
      </c>
      <c r="Z2063" s="4" t="s">
        <v>20582</v>
      </c>
      <c r="AA2063" s="4" t="s">
        <v>34742</v>
      </c>
      <c r="AB2063" s="4" t="s">
        <v>20584</v>
      </c>
      <c r="AC2063" s="4"/>
      <c r="AD2063" s="4"/>
      <c r="AE2063" s="4"/>
      <c r="AF2063" s="4"/>
      <c r="AG2063" s="4" t="n">
        <v>61</v>
      </c>
      <c r="AH2063" s="4" t="n">
        <v>129</v>
      </c>
      <c r="AI2063" s="4" t="n">
        <v>143</v>
      </c>
      <c r="AJ2063" s="4" t="n">
        <v>0</v>
      </c>
      <c r="AK2063" s="4" t="n">
        <v>75</v>
      </c>
      <c r="AL2063" s="4" t="s">
        <v>27506</v>
      </c>
      <c r="AM2063" s="4" t="s">
        <v>27507</v>
      </c>
      <c r="AN2063" s="4" t="s">
        <v>27508</v>
      </c>
      <c r="AO2063" s="4" t="s">
        <v>27509</v>
      </c>
      <c r="AP2063" s="4"/>
      <c r="AQ2063" s="4"/>
      <c r="AR2063" s="4" t="s">
        <v>27497</v>
      </c>
      <c r="AS2063" s="4" t="s">
        <v>27510</v>
      </c>
      <c r="AT2063" s="4" t="s">
        <v>31721</v>
      </c>
      <c r="AU2063" s="4" t="n">
        <v>2016</v>
      </c>
      <c r="AV2063" s="4" t="n">
        <v>11</v>
      </c>
      <c r="AW2063" s="4" t="n">
        <v>5</v>
      </c>
      <c r="AX2063" s="4"/>
      <c r="AY2063" s="4"/>
      <c r="AZ2063" s="4"/>
      <c r="BA2063" s="4"/>
      <c r="BB2063" s="4"/>
      <c r="BC2063" s="4"/>
      <c r="BD2063" s="4" t="s">
        <v>34743</v>
      </c>
      <c r="BE2063" s="4" t="s">
        <v>34744</v>
      </c>
      <c r="BF2063" s="4" t="str">
        <f aca="false">HYPERLINK("http://dx.doi.org/10.1371/journal.pone.0155589","http://dx.doi.org/10.1371/journal.pone.0155589")</f>
        <v>http://dx.doi.org/10.1371/journal.pone.0155589</v>
      </c>
      <c r="BG2063" s="4"/>
      <c r="BH2063" s="4"/>
      <c r="BI2063" s="4" t="n">
        <v>19</v>
      </c>
      <c r="BJ2063" s="4" t="s">
        <v>1658</v>
      </c>
      <c r="BK2063" s="4" t="s">
        <v>100</v>
      </c>
      <c r="BL2063" s="4" t="s">
        <v>1659</v>
      </c>
      <c r="BM2063" s="4" t="s">
        <v>34745</v>
      </c>
      <c r="BN2063" s="4" t="n">
        <v>27196110</v>
      </c>
      <c r="BO2063" s="4" t="s">
        <v>6349</v>
      </c>
      <c r="BP2063" s="4"/>
      <c r="BQ2063" s="4"/>
      <c r="BR2063" s="4" t="s">
        <v>104</v>
      </c>
      <c r="BS2063" s="4" t="s">
        <v>34746</v>
      </c>
      <c r="BT2063" s="4" t="str">
        <f aca="false">HYPERLINK("https%3A%2F%2Fwww.webofscience.com%2Fwos%2Fwoscc%2Ffull-record%2FWOS:000376291100063","View Full Record in Web of Science")</f>
        <v>View Full Record in Web of Science</v>
      </c>
    </row>
    <row r="2064" s="5" customFormat="true" ht="12.75" hidden="false" customHeight="false" outlineLevel="0" collapsed="false">
      <c r="A2064" s="4" t="s">
        <v>72</v>
      </c>
      <c r="B2064" s="4" t="s">
        <v>34747</v>
      </c>
      <c r="C2064" s="4"/>
      <c r="D2064" s="4"/>
      <c r="E2064" s="4"/>
      <c r="F2064" s="4" t="s">
        <v>34748</v>
      </c>
      <c r="G2064" s="4"/>
      <c r="H2064" s="4"/>
      <c r="I2064" s="4" t="s">
        <v>34749</v>
      </c>
      <c r="J2064" s="4" t="s">
        <v>2222</v>
      </c>
      <c r="K2064" s="4"/>
      <c r="L2064" s="4"/>
      <c r="M2064" s="4" t="s">
        <v>77</v>
      </c>
      <c r="N2064" s="4" t="s">
        <v>78</v>
      </c>
      <c r="O2064" s="4"/>
      <c r="P2064" s="4"/>
      <c r="Q2064" s="4"/>
      <c r="R2064" s="4"/>
      <c r="S2064" s="4"/>
      <c r="T2064" s="1" t="s">
        <v>34750</v>
      </c>
      <c r="U2064" s="4" t="s">
        <v>34751</v>
      </c>
      <c r="V2064" s="4" t="s">
        <v>34752</v>
      </c>
      <c r="W2064" s="4" t="s">
        <v>34753</v>
      </c>
      <c r="X2064" s="4" t="s">
        <v>34754</v>
      </c>
      <c r="Y2064" s="4" t="s">
        <v>34755</v>
      </c>
      <c r="Z2064" s="4" t="s">
        <v>34756</v>
      </c>
      <c r="AA2064" s="4" t="s">
        <v>4567</v>
      </c>
      <c r="AB2064" s="4" t="s">
        <v>34757</v>
      </c>
      <c r="AC2064" s="4"/>
      <c r="AD2064" s="4"/>
      <c r="AE2064" s="4"/>
      <c r="AF2064" s="4"/>
      <c r="AG2064" s="4" t="n">
        <v>41</v>
      </c>
      <c r="AH2064" s="4" t="n">
        <v>138</v>
      </c>
      <c r="AI2064" s="4" t="n">
        <v>157</v>
      </c>
      <c r="AJ2064" s="4" t="n">
        <v>0</v>
      </c>
      <c r="AK2064" s="4" t="n">
        <v>14</v>
      </c>
      <c r="AL2064" s="4" t="s">
        <v>755</v>
      </c>
      <c r="AM2064" s="4" t="s">
        <v>273</v>
      </c>
      <c r="AN2064" s="4" t="s">
        <v>756</v>
      </c>
      <c r="AO2064" s="4" t="s">
        <v>2234</v>
      </c>
      <c r="AP2064" s="4" t="s">
        <v>2235</v>
      </c>
      <c r="AQ2064" s="4"/>
      <c r="AR2064" s="4" t="s">
        <v>2236</v>
      </c>
      <c r="AS2064" s="4" t="s">
        <v>2237</v>
      </c>
      <c r="AT2064" s="4" t="s">
        <v>599</v>
      </c>
      <c r="AU2064" s="4" t="n">
        <v>2007</v>
      </c>
      <c r="AV2064" s="4" t="n">
        <v>45</v>
      </c>
      <c r="AW2064" s="4" t="n">
        <v>7</v>
      </c>
      <c r="AX2064" s="4"/>
      <c r="AY2064" s="4"/>
      <c r="AZ2064" s="4"/>
      <c r="BA2064" s="4"/>
      <c r="BB2064" s="4" t="n">
        <v>2105</v>
      </c>
      <c r="BC2064" s="4" t="n">
        <v>2109</v>
      </c>
      <c r="BD2064" s="4"/>
      <c r="BE2064" s="4" t="s">
        <v>34758</v>
      </c>
      <c r="BF2064" s="4" t="str">
        <f aca="false">HYPERLINK("http://dx.doi.org/10.1128/JCM.00210-07","http://dx.doi.org/10.1128/JCM.00210-07")</f>
        <v>http://dx.doi.org/10.1128/JCM.00210-07</v>
      </c>
      <c r="BG2064" s="4"/>
      <c r="BH2064" s="4"/>
      <c r="BI2064" s="4" t="n">
        <v>5</v>
      </c>
      <c r="BJ2064" s="4" t="s">
        <v>211</v>
      </c>
      <c r="BK2064" s="4" t="s">
        <v>100</v>
      </c>
      <c r="BL2064" s="4" t="s">
        <v>211</v>
      </c>
      <c r="BM2064" s="4" t="s">
        <v>29376</v>
      </c>
      <c r="BN2064" s="4" t="n">
        <v>17507510</v>
      </c>
      <c r="BO2064" s="4" t="s">
        <v>165</v>
      </c>
      <c r="BP2064" s="4"/>
      <c r="BQ2064" s="4"/>
      <c r="BR2064" s="4" t="s">
        <v>104</v>
      </c>
      <c r="BS2064" s="4" t="s">
        <v>34759</v>
      </c>
      <c r="BT2064" s="4" t="str">
        <f aca="false">HYPERLINK("https%3A%2F%2Fwww.webofscience.com%2Fwos%2Fwoscc%2Ffull-record%2FWOS:000248072900001","View Full Record in Web of Science")</f>
        <v>View Full Record in Web of Science</v>
      </c>
    </row>
    <row r="2065" s="5" customFormat="true" ht="12.75" hidden="false" customHeight="false" outlineLevel="0" collapsed="false">
      <c r="A2065" s="4" t="s">
        <v>72</v>
      </c>
      <c r="B2065" s="4" t="s">
        <v>34760</v>
      </c>
      <c r="C2065" s="4"/>
      <c r="D2065" s="4"/>
      <c r="E2065" s="4"/>
      <c r="F2065" s="4" t="s">
        <v>34761</v>
      </c>
      <c r="G2065" s="4"/>
      <c r="H2065" s="4"/>
      <c r="I2065" s="4" t="s">
        <v>34762</v>
      </c>
      <c r="J2065" s="4" t="s">
        <v>34763</v>
      </c>
      <c r="K2065" s="4"/>
      <c r="L2065" s="4"/>
      <c r="M2065" s="4" t="s">
        <v>77</v>
      </c>
      <c r="N2065" s="4" t="s">
        <v>78</v>
      </c>
      <c r="O2065" s="4"/>
      <c r="P2065" s="4"/>
      <c r="Q2065" s="4"/>
      <c r="R2065" s="4"/>
      <c r="S2065" s="4"/>
      <c r="T2065" s="1" t="s">
        <v>34764</v>
      </c>
      <c r="U2065" s="4" t="s">
        <v>34765</v>
      </c>
      <c r="V2065" s="4" t="s">
        <v>34766</v>
      </c>
      <c r="W2065" s="4" t="s">
        <v>34767</v>
      </c>
      <c r="X2065" s="4" t="s">
        <v>34768</v>
      </c>
      <c r="Y2065" s="4" t="s">
        <v>34769</v>
      </c>
      <c r="Z2065" s="4" t="s">
        <v>34770</v>
      </c>
      <c r="AA2065" s="4" t="s">
        <v>34771</v>
      </c>
      <c r="AB2065" s="4" t="s">
        <v>34772</v>
      </c>
      <c r="AC2065" s="4"/>
      <c r="AD2065" s="4"/>
      <c r="AE2065" s="4"/>
      <c r="AF2065" s="4"/>
      <c r="AG2065" s="4" t="n">
        <v>46</v>
      </c>
      <c r="AH2065" s="4" t="n">
        <v>17</v>
      </c>
      <c r="AI2065" s="4" t="n">
        <v>17</v>
      </c>
      <c r="AJ2065" s="4" t="n">
        <v>0</v>
      </c>
      <c r="AK2065" s="4" t="n">
        <v>4</v>
      </c>
      <c r="AL2065" s="4" t="s">
        <v>27808</v>
      </c>
      <c r="AM2065" s="4" t="s">
        <v>303</v>
      </c>
      <c r="AN2065" s="4" t="s">
        <v>27809</v>
      </c>
      <c r="AO2065" s="4" t="s">
        <v>34773</v>
      </c>
      <c r="AP2065" s="4" t="s">
        <v>34774</v>
      </c>
      <c r="AQ2065" s="4"/>
      <c r="AR2065" s="4" t="s">
        <v>34775</v>
      </c>
      <c r="AS2065" s="4" t="s">
        <v>34776</v>
      </c>
      <c r="AT2065" s="4" t="s">
        <v>2539</v>
      </c>
      <c r="AU2065" s="4" t="n">
        <v>2021</v>
      </c>
      <c r="AV2065" s="4" t="n">
        <v>2021</v>
      </c>
      <c r="AW2065" s="4"/>
      <c r="AX2065" s="4"/>
      <c r="AY2065" s="4"/>
      <c r="AZ2065" s="4"/>
      <c r="BA2065" s="4"/>
      <c r="BB2065" s="4"/>
      <c r="BC2065" s="4"/>
      <c r="BD2065" s="4" t="n">
        <v>2276261</v>
      </c>
      <c r="BE2065" s="4" t="s">
        <v>34777</v>
      </c>
      <c r="BF2065" s="4" t="str">
        <f aca="false">HYPERLINK("http://dx.doi.org/10.1155/2021/2276261","http://dx.doi.org/10.1155/2021/2276261")</f>
        <v>http://dx.doi.org/10.1155/2021/2276261</v>
      </c>
      <c r="BG2065" s="4"/>
      <c r="BH2065" s="4"/>
      <c r="BI2065" s="4" t="n">
        <v>9</v>
      </c>
      <c r="BJ2065" s="4" t="s">
        <v>211</v>
      </c>
      <c r="BK2065" s="4" t="s">
        <v>339</v>
      </c>
      <c r="BL2065" s="4" t="s">
        <v>211</v>
      </c>
      <c r="BM2065" s="4" t="s">
        <v>34778</v>
      </c>
      <c r="BN2065" s="4" t="n">
        <v>35003265</v>
      </c>
      <c r="BO2065" s="4" t="s">
        <v>103</v>
      </c>
      <c r="BP2065" s="4"/>
      <c r="BQ2065" s="4"/>
      <c r="BR2065" s="4" t="s">
        <v>104</v>
      </c>
      <c r="BS2065" s="4" t="s">
        <v>34779</v>
      </c>
      <c r="BT2065" s="4" t="str">
        <f aca="false">HYPERLINK("https%3A%2F%2Fwww.webofscience.com%2Fwos%2Fwoscc%2Ffull-record%2FWOS:000741159300001","View Full Record in Web of Science")</f>
        <v>View Full Record in Web of Science</v>
      </c>
    </row>
    <row r="2066" s="5" customFormat="true" ht="12.75" hidden="false" customHeight="false" outlineLevel="0" collapsed="false">
      <c r="A2066" s="4" t="s">
        <v>72</v>
      </c>
      <c r="B2066" s="4" t="s">
        <v>34780</v>
      </c>
      <c r="C2066" s="4"/>
      <c r="D2066" s="4"/>
      <c r="E2066" s="4"/>
      <c r="F2066" s="4" t="s">
        <v>34781</v>
      </c>
      <c r="G2066" s="4"/>
      <c r="H2066" s="4"/>
      <c r="I2066" s="4" t="s">
        <v>34782</v>
      </c>
      <c r="J2066" s="4" t="s">
        <v>27497</v>
      </c>
      <c r="K2066" s="4"/>
      <c r="L2066" s="4"/>
      <c r="M2066" s="4" t="s">
        <v>77</v>
      </c>
      <c r="N2066" s="4" t="s">
        <v>78</v>
      </c>
      <c r="O2066" s="4"/>
      <c r="P2066" s="4"/>
      <c r="Q2066" s="4"/>
      <c r="R2066" s="4"/>
      <c r="S2066" s="4"/>
      <c r="T2066" s="1" t="s">
        <v>34783</v>
      </c>
      <c r="U2066" s="4" t="s">
        <v>34784</v>
      </c>
      <c r="V2066" s="4" t="s">
        <v>34785</v>
      </c>
      <c r="W2066" s="4" t="s">
        <v>34786</v>
      </c>
      <c r="X2066" s="4" t="s">
        <v>34787</v>
      </c>
      <c r="Y2066" s="4" t="s">
        <v>34788</v>
      </c>
      <c r="Z2066" s="4" t="s">
        <v>34789</v>
      </c>
      <c r="AA2066" s="4" t="s">
        <v>34790</v>
      </c>
      <c r="AB2066" s="4" t="s">
        <v>34791</v>
      </c>
      <c r="AC2066" s="4" t="s">
        <v>34792</v>
      </c>
      <c r="AD2066" s="4" t="s">
        <v>34448</v>
      </c>
      <c r="AE2066" s="4" t="s">
        <v>34793</v>
      </c>
      <c r="AF2066" s="4"/>
      <c r="AG2066" s="4" t="n">
        <v>37</v>
      </c>
      <c r="AH2066" s="4" t="n">
        <v>24</v>
      </c>
      <c r="AI2066" s="4" t="n">
        <v>25</v>
      </c>
      <c r="AJ2066" s="4" t="n">
        <v>0</v>
      </c>
      <c r="AK2066" s="4" t="n">
        <v>10</v>
      </c>
      <c r="AL2066" s="4" t="s">
        <v>27506</v>
      </c>
      <c r="AM2066" s="4" t="s">
        <v>27507</v>
      </c>
      <c r="AN2066" s="4" t="s">
        <v>27508</v>
      </c>
      <c r="AO2066" s="4" t="s">
        <v>27509</v>
      </c>
      <c r="AP2066" s="4"/>
      <c r="AQ2066" s="4"/>
      <c r="AR2066" s="4" t="s">
        <v>27497</v>
      </c>
      <c r="AS2066" s="4" t="s">
        <v>27510</v>
      </c>
      <c r="AT2066" s="4" t="s">
        <v>17720</v>
      </c>
      <c r="AU2066" s="4" t="n">
        <v>2018</v>
      </c>
      <c r="AV2066" s="4" t="n">
        <v>13</v>
      </c>
      <c r="AW2066" s="4" t="n">
        <v>6</v>
      </c>
      <c r="AX2066" s="4"/>
      <c r="AY2066" s="4"/>
      <c r="AZ2066" s="4"/>
      <c r="BA2066" s="4"/>
      <c r="BB2066" s="4"/>
      <c r="BC2066" s="4"/>
      <c r="BD2066" s="4" t="s">
        <v>34794</v>
      </c>
      <c r="BE2066" s="4" t="s">
        <v>34795</v>
      </c>
      <c r="BF2066" s="4" t="str">
        <f aca="false">HYPERLINK("http://dx.doi.org/10.1371/journal.pone.0199714","http://dx.doi.org/10.1371/journal.pone.0199714")</f>
        <v>http://dx.doi.org/10.1371/journal.pone.0199714</v>
      </c>
      <c r="BG2066" s="4"/>
      <c r="BH2066" s="4"/>
      <c r="BI2066" s="4" t="n">
        <v>15</v>
      </c>
      <c r="BJ2066" s="4" t="s">
        <v>1658</v>
      </c>
      <c r="BK2066" s="4" t="s">
        <v>100</v>
      </c>
      <c r="BL2066" s="4" t="s">
        <v>1659</v>
      </c>
      <c r="BM2066" s="4" t="s">
        <v>34796</v>
      </c>
      <c r="BN2066" s="4" t="n">
        <v>29940028</v>
      </c>
      <c r="BO2066" s="4" t="s">
        <v>6349</v>
      </c>
      <c r="BP2066" s="4"/>
      <c r="BQ2066" s="4"/>
      <c r="BR2066" s="4" t="s">
        <v>104</v>
      </c>
      <c r="BS2066" s="4" t="s">
        <v>34797</v>
      </c>
      <c r="BT2066" s="4" t="str">
        <f aca="false">HYPERLINK("https%3A%2F%2Fwww.webofscience.com%2Fwos%2Fwoscc%2Ffull-record%2FWOS:000436088700038","View Full Record in Web of Science")</f>
        <v>View Full Record in Web of Science</v>
      </c>
    </row>
    <row r="2067" s="5" customFormat="true" ht="12.75" hidden="false" customHeight="false" outlineLevel="0" collapsed="false">
      <c r="A2067" s="4" t="s">
        <v>72</v>
      </c>
      <c r="B2067" s="4" t="s">
        <v>34798</v>
      </c>
      <c r="C2067" s="4"/>
      <c r="D2067" s="4"/>
      <c r="E2067" s="4"/>
      <c r="F2067" s="4" t="s">
        <v>34799</v>
      </c>
      <c r="G2067" s="4"/>
      <c r="H2067" s="4"/>
      <c r="I2067" s="4" t="s">
        <v>34800</v>
      </c>
      <c r="J2067" s="4" t="s">
        <v>27497</v>
      </c>
      <c r="K2067" s="4"/>
      <c r="L2067" s="4"/>
      <c r="M2067" s="4" t="s">
        <v>77</v>
      </c>
      <c r="N2067" s="4" t="s">
        <v>78</v>
      </c>
      <c r="O2067" s="4"/>
      <c r="P2067" s="4"/>
      <c r="Q2067" s="4"/>
      <c r="R2067" s="4"/>
      <c r="S2067" s="4"/>
      <c r="T2067" s="1" t="s">
        <v>34801</v>
      </c>
      <c r="U2067" s="4" t="s">
        <v>34802</v>
      </c>
      <c r="V2067" s="4" t="s">
        <v>34803</v>
      </c>
      <c r="W2067" s="4" t="s">
        <v>34804</v>
      </c>
      <c r="X2067" s="4" t="s">
        <v>34805</v>
      </c>
      <c r="Y2067" s="4" t="s">
        <v>34806</v>
      </c>
      <c r="Z2067" s="4" t="s">
        <v>34807</v>
      </c>
      <c r="AA2067" s="4" t="s">
        <v>34808</v>
      </c>
      <c r="AB2067" s="4"/>
      <c r="AC2067" s="4" t="s">
        <v>34809</v>
      </c>
      <c r="AD2067" s="4" t="s">
        <v>34810</v>
      </c>
      <c r="AE2067" s="4" t="s">
        <v>34811</v>
      </c>
      <c r="AF2067" s="4"/>
      <c r="AG2067" s="4" t="n">
        <v>38</v>
      </c>
      <c r="AH2067" s="4" t="n">
        <v>50</v>
      </c>
      <c r="AI2067" s="4" t="n">
        <v>59</v>
      </c>
      <c r="AJ2067" s="4" t="n">
        <v>0</v>
      </c>
      <c r="AK2067" s="4" t="n">
        <v>10</v>
      </c>
      <c r="AL2067" s="4" t="s">
        <v>27506</v>
      </c>
      <c r="AM2067" s="4" t="s">
        <v>27507</v>
      </c>
      <c r="AN2067" s="4" t="s">
        <v>27508</v>
      </c>
      <c r="AO2067" s="4" t="s">
        <v>27509</v>
      </c>
      <c r="AP2067" s="4"/>
      <c r="AQ2067" s="4"/>
      <c r="AR2067" s="4" t="s">
        <v>27497</v>
      </c>
      <c r="AS2067" s="4" t="s">
        <v>27510</v>
      </c>
      <c r="AT2067" s="4" t="s">
        <v>2037</v>
      </c>
      <c r="AU2067" s="4" t="n">
        <v>2012</v>
      </c>
      <c r="AV2067" s="4" t="n">
        <v>7</v>
      </c>
      <c r="AW2067" s="4" t="n">
        <v>6</v>
      </c>
      <c r="AX2067" s="4"/>
      <c r="AY2067" s="4"/>
      <c r="AZ2067" s="4"/>
      <c r="BA2067" s="4"/>
      <c r="BB2067" s="4"/>
      <c r="BC2067" s="4"/>
      <c r="BD2067" s="4" t="s">
        <v>34812</v>
      </c>
      <c r="BE2067" s="4" t="s">
        <v>34813</v>
      </c>
      <c r="BF2067" s="4" t="str">
        <f aca="false">HYPERLINK("http://dx.doi.org/10.1371/journal.pone.0038638","http://dx.doi.org/10.1371/journal.pone.0038638")</f>
        <v>http://dx.doi.org/10.1371/journal.pone.0038638</v>
      </c>
      <c r="BG2067" s="4"/>
      <c r="BH2067" s="4"/>
      <c r="BI2067" s="4" t="n">
        <v>7</v>
      </c>
      <c r="BJ2067" s="4" t="s">
        <v>1658</v>
      </c>
      <c r="BK2067" s="4" t="s">
        <v>100</v>
      </c>
      <c r="BL2067" s="4" t="s">
        <v>1659</v>
      </c>
      <c r="BM2067" s="4" t="s">
        <v>34814</v>
      </c>
      <c r="BN2067" s="4" t="n">
        <v>22719912</v>
      </c>
      <c r="BO2067" s="4" t="s">
        <v>341</v>
      </c>
      <c r="BP2067" s="4"/>
      <c r="BQ2067" s="4"/>
      <c r="BR2067" s="4" t="s">
        <v>104</v>
      </c>
      <c r="BS2067" s="4" t="s">
        <v>34815</v>
      </c>
      <c r="BT2067" s="4" t="str">
        <f aca="false">HYPERLINK("https%3A%2F%2Fwww.webofscience.com%2Fwos%2Fwoscc%2Ffull-record%2FWOS:000305350000018","View Full Record in Web of Science")</f>
        <v>View Full Record in Web of Science</v>
      </c>
    </row>
    <row r="2068" s="5" customFormat="true" ht="12.75" hidden="false" customHeight="false" outlineLevel="0" collapsed="false">
      <c r="A2068" s="4" t="s">
        <v>72</v>
      </c>
      <c r="B2068" s="4" t="s">
        <v>34816</v>
      </c>
      <c r="C2068" s="4"/>
      <c r="D2068" s="4"/>
      <c r="E2068" s="4"/>
      <c r="F2068" s="4" t="s">
        <v>34817</v>
      </c>
      <c r="G2068" s="4"/>
      <c r="H2068" s="4"/>
      <c r="I2068" s="4" t="s">
        <v>34818</v>
      </c>
      <c r="J2068" s="4" t="s">
        <v>2222</v>
      </c>
      <c r="K2068" s="4"/>
      <c r="L2068" s="4"/>
      <c r="M2068" s="4" t="s">
        <v>77</v>
      </c>
      <c r="N2068" s="4" t="s">
        <v>78</v>
      </c>
      <c r="O2068" s="4"/>
      <c r="P2068" s="4"/>
      <c r="Q2068" s="4"/>
      <c r="R2068" s="4"/>
      <c r="S2068" s="4"/>
      <c r="T2068" s="1" t="s">
        <v>34819</v>
      </c>
      <c r="U2068" s="4" t="s">
        <v>34820</v>
      </c>
      <c r="V2068" s="4" t="s">
        <v>34821</v>
      </c>
      <c r="W2068" s="4" t="s">
        <v>34822</v>
      </c>
      <c r="X2068" s="4" t="s">
        <v>34823</v>
      </c>
      <c r="Y2068" s="4" t="s">
        <v>34824</v>
      </c>
      <c r="Z2068" s="4" t="s">
        <v>34825</v>
      </c>
      <c r="AA2068" s="4" t="s">
        <v>34826</v>
      </c>
      <c r="AB2068" s="4" t="s">
        <v>34827</v>
      </c>
      <c r="AC2068" s="4" t="s">
        <v>34828</v>
      </c>
      <c r="AD2068" s="4" t="s">
        <v>34829</v>
      </c>
      <c r="AE2068" s="4" t="s">
        <v>34830</v>
      </c>
      <c r="AF2068" s="4"/>
      <c r="AG2068" s="4" t="n">
        <v>14</v>
      </c>
      <c r="AH2068" s="4" t="n">
        <v>58</v>
      </c>
      <c r="AI2068" s="4" t="n">
        <v>60</v>
      </c>
      <c r="AJ2068" s="4" t="n">
        <v>0</v>
      </c>
      <c r="AK2068" s="4" t="n">
        <v>9</v>
      </c>
      <c r="AL2068" s="4" t="s">
        <v>755</v>
      </c>
      <c r="AM2068" s="4" t="s">
        <v>273</v>
      </c>
      <c r="AN2068" s="4" t="s">
        <v>756</v>
      </c>
      <c r="AO2068" s="4" t="s">
        <v>2234</v>
      </c>
      <c r="AP2068" s="4"/>
      <c r="AQ2068" s="4"/>
      <c r="AR2068" s="4" t="s">
        <v>2236</v>
      </c>
      <c r="AS2068" s="4" t="s">
        <v>2237</v>
      </c>
      <c r="AT2068" s="4" t="s">
        <v>336</v>
      </c>
      <c r="AU2068" s="4" t="n">
        <v>2012</v>
      </c>
      <c r="AV2068" s="4" t="n">
        <v>50</v>
      </c>
      <c r="AW2068" s="4" t="n">
        <v>10</v>
      </c>
      <c r="AX2068" s="4"/>
      <c r="AY2068" s="4"/>
      <c r="AZ2068" s="4"/>
      <c r="BA2068" s="4"/>
      <c r="BB2068" s="4" t="n">
        <v>3216</v>
      </c>
      <c r="BC2068" s="4" t="n">
        <v>3221</v>
      </c>
      <c r="BD2068" s="4"/>
      <c r="BE2068" s="4" t="s">
        <v>34831</v>
      </c>
      <c r="BF2068" s="4" t="str">
        <f aca="false">HYPERLINK("http://dx.doi.org/10.1128/JCM.00538-12","http://dx.doi.org/10.1128/JCM.00538-12")</f>
        <v>http://dx.doi.org/10.1128/JCM.00538-12</v>
      </c>
      <c r="BG2068" s="4"/>
      <c r="BH2068" s="4"/>
      <c r="BI2068" s="4" t="n">
        <v>6</v>
      </c>
      <c r="BJ2068" s="4" t="s">
        <v>211</v>
      </c>
      <c r="BK2068" s="4" t="s">
        <v>100</v>
      </c>
      <c r="BL2068" s="4" t="s">
        <v>211</v>
      </c>
      <c r="BM2068" s="4" t="s">
        <v>34832</v>
      </c>
      <c r="BN2068" s="4" t="n">
        <v>22814461</v>
      </c>
      <c r="BO2068" s="4" t="s">
        <v>538</v>
      </c>
      <c r="BP2068" s="4"/>
      <c r="BQ2068" s="4"/>
      <c r="BR2068" s="4" t="s">
        <v>104</v>
      </c>
      <c r="BS2068" s="4" t="s">
        <v>34833</v>
      </c>
      <c r="BT2068" s="4" t="str">
        <f aca="false">HYPERLINK("https%3A%2F%2Fwww.webofscience.com%2Fwos%2Fwoscc%2Ffull-record%2FWOS:000308870200011","View Full Record in Web of Science")</f>
        <v>View Full Record in Web of Science</v>
      </c>
    </row>
    <row r="2069" s="5" customFormat="true" ht="12.75" hidden="false" customHeight="false" outlineLevel="0" collapsed="false">
      <c r="A2069" s="4" t="s">
        <v>72</v>
      </c>
      <c r="B2069" s="4" t="s">
        <v>34834</v>
      </c>
      <c r="C2069" s="4"/>
      <c r="D2069" s="4"/>
      <c r="E2069" s="4"/>
      <c r="F2069" s="4" t="s">
        <v>34835</v>
      </c>
      <c r="G2069" s="4"/>
      <c r="H2069" s="4"/>
      <c r="I2069" s="4" t="s">
        <v>34836</v>
      </c>
      <c r="J2069" s="4" t="s">
        <v>13758</v>
      </c>
      <c r="K2069" s="4"/>
      <c r="L2069" s="4"/>
      <c r="M2069" s="4" t="s">
        <v>77</v>
      </c>
      <c r="N2069" s="4" t="s">
        <v>78</v>
      </c>
      <c r="O2069" s="4"/>
      <c r="P2069" s="4"/>
      <c r="Q2069" s="4"/>
      <c r="R2069" s="4"/>
      <c r="S2069" s="4"/>
      <c r="T2069" s="1" t="s">
        <v>34837</v>
      </c>
      <c r="U2069" s="4" t="s">
        <v>34838</v>
      </c>
      <c r="V2069" s="4" t="s">
        <v>34839</v>
      </c>
      <c r="W2069" s="4" t="s">
        <v>34840</v>
      </c>
      <c r="X2069" s="4" t="s">
        <v>34841</v>
      </c>
      <c r="Y2069" s="4" t="s">
        <v>34842</v>
      </c>
      <c r="Z2069" s="4" t="s">
        <v>34843</v>
      </c>
      <c r="AA2069" s="4" t="s">
        <v>34844</v>
      </c>
      <c r="AB2069" s="4"/>
      <c r="AC2069" s="4"/>
      <c r="AD2069" s="4"/>
      <c r="AE2069" s="4"/>
      <c r="AF2069" s="4"/>
      <c r="AG2069" s="4" t="n">
        <v>65</v>
      </c>
      <c r="AH2069" s="4" t="n">
        <v>20</v>
      </c>
      <c r="AI2069" s="4" t="n">
        <v>22</v>
      </c>
      <c r="AJ2069" s="4" t="n">
        <v>0</v>
      </c>
      <c r="AK2069" s="4" t="n">
        <v>12</v>
      </c>
      <c r="AL2069" s="4" t="s">
        <v>13769</v>
      </c>
      <c r="AM2069" s="4" t="s">
        <v>16554</v>
      </c>
      <c r="AN2069" s="4" t="s">
        <v>16555</v>
      </c>
      <c r="AO2069" s="4" t="s">
        <v>13772</v>
      </c>
      <c r="AP2069" s="4" t="s">
        <v>13773</v>
      </c>
      <c r="AQ2069" s="4"/>
      <c r="AR2069" s="4" t="s">
        <v>13774</v>
      </c>
      <c r="AS2069" s="4" t="s">
        <v>13775</v>
      </c>
      <c r="AT2069" s="4" t="s">
        <v>97</v>
      </c>
      <c r="AU2069" s="4" t="n">
        <v>2017</v>
      </c>
      <c r="AV2069" s="4" t="n">
        <v>162</v>
      </c>
      <c r="AW2069" s="4" t="n">
        <v>3</v>
      </c>
      <c r="AX2069" s="4"/>
      <c r="AY2069" s="4"/>
      <c r="AZ2069" s="4"/>
      <c r="BA2069" s="4"/>
      <c r="BB2069" s="4" t="n">
        <v>763</v>
      </c>
      <c r="BC2069" s="4" t="n">
        <v>773</v>
      </c>
      <c r="BD2069" s="4"/>
      <c r="BE2069" s="4" t="s">
        <v>34845</v>
      </c>
      <c r="BF2069" s="4" t="str">
        <f aca="false">HYPERLINK("http://dx.doi.org/10.1007/s00705-016-3146-7","http://dx.doi.org/10.1007/s00705-016-3146-7")</f>
        <v>http://dx.doi.org/10.1007/s00705-016-3146-7</v>
      </c>
      <c r="BG2069" s="4"/>
      <c r="BH2069" s="4"/>
      <c r="BI2069" s="4" t="n">
        <v>11</v>
      </c>
      <c r="BJ2069" s="4" t="s">
        <v>163</v>
      </c>
      <c r="BK2069" s="4" t="s">
        <v>100</v>
      </c>
      <c r="BL2069" s="4" t="s">
        <v>163</v>
      </c>
      <c r="BM2069" s="4" t="s">
        <v>34846</v>
      </c>
      <c r="BN2069" s="4" t="n">
        <v>27885562</v>
      </c>
      <c r="BO2069" s="4"/>
      <c r="BP2069" s="4"/>
      <c r="BQ2069" s="4"/>
      <c r="BR2069" s="4" t="s">
        <v>104</v>
      </c>
      <c r="BS2069" s="4" t="s">
        <v>34847</v>
      </c>
      <c r="BT2069" s="4" t="str">
        <f aca="false">HYPERLINK("https%3A%2F%2Fwww.webofscience.com%2Fwos%2Fwoscc%2Ffull-record%2FWOS:000395185300017","View Full Record in Web of Science")</f>
        <v>View Full Record in Web of Science</v>
      </c>
    </row>
    <row r="2070" s="5" customFormat="true" ht="12.75" hidden="false" customHeight="false" outlineLevel="0" collapsed="false">
      <c r="A2070" s="4" t="s">
        <v>72</v>
      </c>
      <c r="B2070" s="4" t="s">
        <v>34848</v>
      </c>
      <c r="C2070" s="4"/>
      <c r="D2070" s="4"/>
      <c r="E2070" s="4"/>
      <c r="F2070" s="4" t="s">
        <v>34849</v>
      </c>
      <c r="G2070" s="4"/>
      <c r="H2070" s="4"/>
      <c r="I2070" s="4" t="s">
        <v>34850</v>
      </c>
      <c r="J2070" s="4" t="s">
        <v>27497</v>
      </c>
      <c r="K2070" s="4"/>
      <c r="L2070" s="4"/>
      <c r="M2070" s="4" t="s">
        <v>77</v>
      </c>
      <c r="N2070" s="4" t="s">
        <v>78</v>
      </c>
      <c r="O2070" s="4"/>
      <c r="P2070" s="4"/>
      <c r="Q2070" s="4"/>
      <c r="R2070" s="4"/>
      <c r="S2070" s="4"/>
      <c r="T2070" s="1" t="s">
        <v>34851</v>
      </c>
      <c r="U2070" s="4" t="s">
        <v>34852</v>
      </c>
      <c r="V2070" s="4" t="s">
        <v>34853</v>
      </c>
      <c r="W2070" s="4" t="s">
        <v>34854</v>
      </c>
      <c r="X2070" s="4" t="s">
        <v>34855</v>
      </c>
      <c r="Y2070" s="4" t="s">
        <v>34856</v>
      </c>
      <c r="Z2070" s="4" t="s">
        <v>22996</v>
      </c>
      <c r="AA2070" s="4" t="s">
        <v>34857</v>
      </c>
      <c r="AB2070" s="4" t="s">
        <v>34858</v>
      </c>
      <c r="AC2070" s="4" t="s">
        <v>34859</v>
      </c>
      <c r="AD2070" s="4" t="s">
        <v>34860</v>
      </c>
      <c r="AE2070" s="4" t="s">
        <v>34861</v>
      </c>
      <c r="AF2070" s="4"/>
      <c r="AG2070" s="4" t="n">
        <v>32</v>
      </c>
      <c r="AH2070" s="4" t="n">
        <v>142</v>
      </c>
      <c r="AI2070" s="4" t="n">
        <v>164</v>
      </c>
      <c r="AJ2070" s="4" t="n">
        <v>0</v>
      </c>
      <c r="AK2070" s="4" t="n">
        <v>9</v>
      </c>
      <c r="AL2070" s="4" t="s">
        <v>27506</v>
      </c>
      <c r="AM2070" s="4" t="s">
        <v>27507</v>
      </c>
      <c r="AN2070" s="4" t="s">
        <v>28522</v>
      </c>
      <c r="AO2070" s="4" t="s">
        <v>27509</v>
      </c>
      <c r="AP2070" s="4"/>
      <c r="AQ2070" s="4"/>
      <c r="AR2070" s="4" t="s">
        <v>27497</v>
      </c>
      <c r="AS2070" s="4" t="s">
        <v>27510</v>
      </c>
      <c r="AT2070" s="4" t="s">
        <v>3631</v>
      </c>
      <c r="AU2070" s="4" t="n">
        <v>2011</v>
      </c>
      <c r="AV2070" s="4" t="n">
        <v>6</v>
      </c>
      <c r="AW2070" s="4" t="n">
        <v>4</v>
      </c>
      <c r="AX2070" s="4"/>
      <c r="AY2070" s="4"/>
      <c r="AZ2070" s="4"/>
      <c r="BA2070" s="4"/>
      <c r="BB2070" s="4"/>
      <c r="BC2070" s="4"/>
      <c r="BD2070" s="4" t="s">
        <v>34862</v>
      </c>
      <c r="BE2070" s="4" t="s">
        <v>34863</v>
      </c>
      <c r="BF2070" s="4" t="str">
        <f aca="false">HYPERLINK("http://dx.doi.org/10.1371/journal.pone.0018928","http://dx.doi.org/10.1371/journal.pone.0018928")</f>
        <v>http://dx.doi.org/10.1371/journal.pone.0018928</v>
      </c>
      <c r="BG2070" s="4"/>
      <c r="BH2070" s="4"/>
      <c r="BI2070" s="4" t="n">
        <v>9</v>
      </c>
      <c r="BJ2070" s="4" t="s">
        <v>1658</v>
      </c>
      <c r="BK2070" s="4" t="s">
        <v>100</v>
      </c>
      <c r="BL2070" s="4" t="s">
        <v>1659</v>
      </c>
      <c r="BM2070" s="4" t="s">
        <v>34864</v>
      </c>
      <c r="BN2070" s="4" t="n">
        <v>21533115</v>
      </c>
      <c r="BO2070" s="4" t="s">
        <v>11315</v>
      </c>
      <c r="BP2070" s="4"/>
      <c r="BQ2070" s="4"/>
      <c r="BR2070" s="4" t="s">
        <v>104</v>
      </c>
      <c r="BS2070" s="4" t="s">
        <v>34865</v>
      </c>
      <c r="BT2070" s="4" t="str">
        <f aca="false">HYPERLINK("https%3A%2F%2Fwww.webofscience.com%2Fwos%2Fwoscc%2Ffull-record%2FWOS:000289620100031","View Full Record in Web of Science")</f>
        <v>View Full Record in Web of Science</v>
      </c>
    </row>
    <row r="2071" s="5" customFormat="true" ht="12.75" hidden="false" customHeight="false" outlineLevel="0" collapsed="false">
      <c r="A2071" s="4" t="s">
        <v>72</v>
      </c>
      <c r="B2071" s="4" t="s">
        <v>34866</v>
      </c>
      <c r="C2071" s="4"/>
      <c r="D2071" s="4"/>
      <c r="E2071" s="4"/>
      <c r="F2071" s="4" t="s">
        <v>34867</v>
      </c>
      <c r="G2071" s="4"/>
      <c r="H2071" s="4"/>
      <c r="I2071" s="4" t="s">
        <v>34868</v>
      </c>
      <c r="J2071" s="4" t="s">
        <v>27497</v>
      </c>
      <c r="K2071" s="4"/>
      <c r="L2071" s="4"/>
      <c r="M2071" s="4" t="s">
        <v>77</v>
      </c>
      <c r="N2071" s="4" t="s">
        <v>78</v>
      </c>
      <c r="O2071" s="4"/>
      <c r="P2071" s="4"/>
      <c r="Q2071" s="4"/>
      <c r="R2071" s="4"/>
      <c r="S2071" s="4"/>
      <c r="T2071" s="1" t="s">
        <v>34869</v>
      </c>
      <c r="U2071" s="4" t="s">
        <v>34870</v>
      </c>
      <c r="V2071" s="4" t="s">
        <v>34871</v>
      </c>
      <c r="W2071" s="4" t="s">
        <v>34872</v>
      </c>
      <c r="X2071" s="4" t="s">
        <v>34873</v>
      </c>
      <c r="Y2071" s="4" t="s">
        <v>34874</v>
      </c>
      <c r="Z2071" s="4" t="s">
        <v>34875</v>
      </c>
      <c r="AA2071" s="4"/>
      <c r="AB2071" s="4"/>
      <c r="AC2071" s="4" t="s">
        <v>34876</v>
      </c>
      <c r="AD2071" s="4" t="s">
        <v>34877</v>
      </c>
      <c r="AE2071" s="4" t="s">
        <v>34878</v>
      </c>
      <c r="AF2071" s="4"/>
      <c r="AG2071" s="4" t="n">
        <v>32</v>
      </c>
      <c r="AH2071" s="4" t="n">
        <v>42</v>
      </c>
      <c r="AI2071" s="4" t="n">
        <v>66</v>
      </c>
      <c r="AJ2071" s="4" t="n">
        <v>0</v>
      </c>
      <c r="AK2071" s="4" t="n">
        <v>12</v>
      </c>
      <c r="AL2071" s="4" t="s">
        <v>27506</v>
      </c>
      <c r="AM2071" s="4" t="s">
        <v>27507</v>
      </c>
      <c r="AN2071" s="4" t="s">
        <v>27508</v>
      </c>
      <c r="AO2071" s="4" t="s">
        <v>27509</v>
      </c>
      <c r="AP2071" s="4"/>
      <c r="AQ2071" s="4"/>
      <c r="AR2071" s="4" t="s">
        <v>27497</v>
      </c>
      <c r="AS2071" s="4" t="s">
        <v>27510</v>
      </c>
      <c r="AT2071" s="4" t="s">
        <v>5979</v>
      </c>
      <c r="AU2071" s="4" t="n">
        <v>2013</v>
      </c>
      <c r="AV2071" s="4" t="n">
        <v>8</v>
      </c>
      <c r="AW2071" s="4" t="n">
        <v>5</v>
      </c>
      <c r="AX2071" s="4"/>
      <c r="AY2071" s="4"/>
      <c r="AZ2071" s="4"/>
      <c r="BA2071" s="4"/>
      <c r="BB2071" s="4"/>
      <c r="BC2071" s="4"/>
      <c r="BD2071" s="4" t="s">
        <v>34879</v>
      </c>
      <c r="BE2071" s="4" t="s">
        <v>34880</v>
      </c>
      <c r="BF2071" s="4" t="str">
        <f aca="false">HYPERLINK("http://dx.doi.org/10.1371/journal.pone.0064254","http://dx.doi.org/10.1371/journal.pone.0064254")</f>
        <v>http://dx.doi.org/10.1371/journal.pone.0064254</v>
      </c>
      <c r="BG2071" s="4"/>
      <c r="BH2071" s="4"/>
      <c r="BI2071" s="4" t="n">
        <v>5</v>
      </c>
      <c r="BJ2071" s="4" t="s">
        <v>1658</v>
      </c>
      <c r="BK2071" s="4" t="s">
        <v>100</v>
      </c>
      <c r="BL2071" s="4" t="s">
        <v>1659</v>
      </c>
      <c r="BM2071" s="4" t="s">
        <v>34881</v>
      </c>
      <c r="BN2071" s="4" t="n">
        <v>23691184</v>
      </c>
      <c r="BO2071" s="4" t="s">
        <v>6349</v>
      </c>
      <c r="BP2071" s="4"/>
      <c r="BQ2071" s="4"/>
      <c r="BR2071" s="4" t="s">
        <v>104</v>
      </c>
      <c r="BS2071" s="4" t="s">
        <v>34882</v>
      </c>
      <c r="BT2071" s="4" t="str">
        <f aca="false">HYPERLINK("https%3A%2F%2Fwww.webofscience.com%2Fwos%2Fwoscc%2Ffull-record%2FWOS:000319107400111","View Full Record in Web of Science")</f>
        <v>View Full Record in Web of Science</v>
      </c>
    </row>
    <row r="2072" s="5" customFormat="true" ht="12.75" hidden="false" customHeight="false" outlineLevel="0" collapsed="false">
      <c r="A2072" s="4" t="s">
        <v>72</v>
      </c>
      <c r="B2072" s="4" t="s">
        <v>34883</v>
      </c>
      <c r="C2072" s="4"/>
      <c r="D2072" s="4"/>
      <c r="E2072" s="4"/>
      <c r="F2072" s="4" t="s">
        <v>34883</v>
      </c>
      <c r="G2072" s="4"/>
      <c r="H2072" s="4"/>
      <c r="I2072" s="4" t="s">
        <v>34884</v>
      </c>
      <c r="J2072" s="4" t="s">
        <v>34885</v>
      </c>
      <c r="K2072" s="4"/>
      <c r="L2072" s="4"/>
      <c r="M2072" s="4" t="s">
        <v>77</v>
      </c>
      <c r="N2072" s="4" t="s">
        <v>78</v>
      </c>
      <c r="O2072" s="4"/>
      <c r="P2072" s="4"/>
      <c r="Q2072" s="4"/>
      <c r="R2072" s="4"/>
      <c r="S2072" s="4"/>
      <c r="T2072" s="1" t="s">
        <v>34886</v>
      </c>
      <c r="U2072" s="4" t="s">
        <v>34887</v>
      </c>
      <c r="V2072" s="4" t="s">
        <v>34888</v>
      </c>
      <c r="W2072" s="4" t="s">
        <v>34889</v>
      </c>
      <c r="X2072" s="4" t="s">
        <v>34890</v>
      </c>
      <c r="Y2072" s="4" t="s">
        <v>34891</v>
      </c>
      <c r="Z2072" s="4" t="s">
        <v>34892</v>
      </c>
      <c r="AA2072" s="4"/>
      <c r="AB2072" s="4"/>
      <c r="AC2072" s="4"/>
      <c r="AD2072" s="4"/>
      <c r="AE2072" s="4"/>
      <c r="AF2072" s="4"/>
      <c r="AG2072" s="4" t="n">
        <v>49</v>
      </c>
      <c r="AH2072" s="4" t="n">
        <v>14</v>
      </c>
      <c r="AI2072" s="4" t="n">
        <v>17</v>
      </c>
      <c r="AJ2072" s="4" t="n">
        <v>3</v>
      </c>
      <c r="AK2072" s="4" t="n">
        <v>6</v>
      </c>
      <c r="AL2072" s="4" t="s">
        <v>957</v>
      </c>
      <c r="AM2072" s="4" t="s">
        <v>123</v>
      </c>
      <c r="AN2072" s="4" t="s">
        <v>958</v>
      </c>
      <c r="AO2072" s="4" t="s">
        <v>34893</v>
      </c>
      <c r="AP2072" s="4" t="s">
        <v>34894</v>
      </c>
      <c r="AQ2072" s="4"/>
      <c r="AR2072" s="4" t="s">
        <v>34895</v>
      </c>
      <c r="AS2072" s="4" t="s">
        <v>34896</v>
      </c>
      <c r="AT2072" s="4" t="s">
        <v>486</v>
      </c>
      <c r="AU2072" s="4" t="n">
        <v>2005</v>
      </c>
      <c r="AV2072" s="4" t="n">
        <v>52</v>
      </c>
      <c r="AW2072" s="4" t="n">
        <v>3</v>
      </c>
      <c r="AX2072" s="4"/>
      <c r="AY2072" s="4"/>
      <c r="AZ2072" s="4"/>
      <c r="BA2072" s="4"/>
      <c r="BB2072" s="4" t="n">
        <v>695</v>
      </c>
      <c r="BC2072" s="4" t="s">
        <v>986</v>
      </c>
      <c r="BD2072" s="4"/>
      <c r="BE2072" s="4" t="s">
        <v>34897</v>
      </c>
      <c r="BF2072" s="4" t="str">
        <f aca="false">HYPERLINK("http://dx.doi.org/10.1016/j.pcl.2005.02.010","http://dx.doi.org/10.1016/j.pcl.2005.02.010")</f>
        <v>http://dx.doi.org/10.1016/j.pcl.2005.02.010</v>
      </c>
      <c r="BG2072" s="4"/>
      <c r="BH2072" s="4"/>
      <c r="BI2072" s="4" t="n">
        <v>17</v>
      </c>
      <c r="BJ2072" s="4" t="s">
        <v>601</v>
      </c>
      <c r="BK2072" s="4" t="s">
        <v>100</v>
      </c>
      <c r="BL2072" s="4" t="s">
        <v>601</v>
      </c>
      <c r="BM2072" s="4" t="s">
        <v>34898</v>
      </c>
      <c r="BN2072" s="4" t="n">
        <v>15925658</v>
      </c>
      <c r="BO2072" s="4" t="s">
        <v>1227</v>
      </c>
      <c r="BP2072" s="4"/>
      <c r="BQ2072" s="4"/>
      <c r="BR2072" s="4" t="s">
        <v>104</v>
      </c>
      <c r="BS2072" s="4" t="s">
        <v>34899</v>
      </c>
      <c r="BT2072" s="4" t="str">
        <f aca="false">HYPERLINK("https%3A%2F%2Fwww.webofscience.com%2Fwos%2Fwoscc%2Ffull-record%2FWOS:000230166000003","View Full Record in Web of Science")</f>
        <v>View Full Record in Web of Science</v>
      </c>
    </row>
    <row r="2073" s="5" customFormat="true" ht="12.75" hidden="false" customHeight="false" outlineLevel="0" collapsed="false">
      <c r="A2073" s="4" t="s">
        <v>72</v>
      </c>
      <c r="B2073" s="4" t="s">
        <v>34900</v>
      </c>
      <c r="C2073" s="4"/>
      <c r="D2073" s="4"/>
      <c r="E2073" s="4"/>
      <c r="F2073" s="4" t="s">
        <v>34901</v>
      </c>
      <c r="G2073" s="4"/>
      <c r="H2073" s="4"/>
      <c r="I2073" s="4" t="s">
        <v>34902</v>
      </c>
      <c r="J2073" s="4" t="s">
        <v>3415</v>
      </c>
      <c r="K2073" s="4"/>
      <c r="L2073" s="4"/>
      <c r="M2073" s="4" t="s">
        <v>77</v>
      </c>
      <c r="N2073" s="4" t="s">
        <v>78</v>
      </c>
      <c r="O2073" s="4"/>
      <c r="P2073" s="4"/>
      <c r="Q2073" s="4"/>
      <c r="R2073" s="4"/>
      <c r="S2073" s="4"/>
      <c r="T2073" s="1" t="s">
        <v>34903</v>
      </c>
      <c r="U2073" s="4" t="s">
        <v>34904</v>
      </c>
      <c r="V2073" s="4" t="s">
        <v>34905</v>
      </c>
      <c r="W2073" s="4" t="s">
        <v>34906</v>
      </c>
      <c r="X2073" s="4" t="s">
        <v>34907</v>
      </c>
      <c r="Y2073" s="4" t="s">
        <v>34908</v>
      </c>
      <c r="Z2073" s="4" t="s">
        <v>34909</v>
      </c>
      <c r="AA2073" s="4" t="s">
        <v>28982</v>
      </c>
      <c r="AB2073" s="4" t="s">
        <v>1368</v>
      </c>
      <c r="AC2073" s="4" t="s">
        <v>34910</v>
      </c>
      <c r="AD2073" s="4" t="s">
        <v>34911</v>
      </c>
      <c r="AE2073" s="4" t="s">
        <v>34912</v>
      </c>
      <c r="AF2073" s="4"/>
      <c r="AG2073" s="4" t="n">
        <v>26</v>
      </c>
      <c r="AH2073" s="4" t="n">
        <v>31</v>
      </c>
      <c r="AI2073" s="4" t="n">
        <v>31</v>
      </c>
      <c r="AJ2073" s="4" t="n">
        <v>0</v>
      </c>
      <c r="AK2073" s="4" t="n">
        <v>3</v>
      </c>
      <c r="AL2073" s="4" t="s">
        <v>3426</v>
      </c>
      <c r="AM2073" s="4" t="s">
        <v>303</v>
      </c>
      <c r="AN2073" s="4" t="s">
        <v>3427</v>
      </c>
      <c r="AO2073" s="4" t="s">
        <v>3428</v>
      </c>
      <c r="AP2073" s="4" t="s">
        <v>3429</v>
      </c>
      <c r="AQ2073" s="4"/>
      <c r="AR2073" s="4" t="s">
        <v>3430</v>
      </c>
      <c r="AS2073" s="4" t="s">
        <v>3431</v>
      </c>
      <c r="AT2073" s="4" t="s">
        <v>692</v>
      </c>
      <c r="AU2073" s="4" t="n">
        <v>2009</v>
      </c>
      <c r="AV2073" s="4" t="n">
        <v>58</v>
      </c>
      <c r="AW2073" s="4" t="n">
        <v>4</v>
      </c>
      <c r="AX2073" s="4"/>
      <c r="AY2073" s="4"/>
      <c r="AZ2073" s="4"/>
      <c r="BA2073" s="4"/>
      <c r="BB2073" s="4" t="n">
        <v>408</v>
      </c>
      <c r="BC2073" s="4" t="n">
        <v>413</v>
      </c>
      <c r="BD2073" s="4"/>
      <c r="BE2073" s="4" t="s">
        <v>34913</v>
      </c>
      <c r="BF2073" s="4" t="str">
        <f aca="false">HYPERLINK("http://dx.doi.org/10.1099/jmm.0.006098-0","http://dx.doi.org/10.1099/jmm.0.006098-0")</f>
        <v>http://dx.doi.org/10.1099/jmm.0.006098-0</v>
      </c>
      <c r="BG2073" s="4"/>
      <c r="BH2073" s="4"/>
      <c r="BI2073" s="4" t="n">
        <v>6</v>
      </c>
      <c r="BJ2073" s="4" t="s">
        <v>211</v>
      </c>
      <c r="BK2073" s="4" t="s">
        <v>100</v>
      </c>
      <c r="BL2073" s="4" t="s">
        <v>211</v>
      </c>
      <c r="BM2073" s="4" t="s">
        <v>34914</v>
      </c>
      <c r="BN2073" s="4" t="n">
        <v>19273634</v>
      </c>
      <c r="BO2073" s="4" t="s">
        <v>2643</v>
      </c>
      <c r="BP2073" s="4"/>
      <c r="BQ2073" s="4"/>
      <c r="BR2073" s="4" t="s">
        <v>104</v>
      </c>
      <c r="BS2073" s="4" t="s">
        <v>34915</v>
      </c>
      <c r="BT2073" s="4" t="str">
        <f aca="false">HYPERLINK("https%3A%2F%2Fwww.webofscience.com%2Fwos%2Fwoscc%2Ffull-record%2FWOS:000264908600004","View Full Record in Web of Science")</f>
        <v>View Full Record in Web of Science</v>
      </c>
    </row>
    <row r="2074" s="5" customFormat="true" ht="12.75" hidden="false" customHeight="false" outlineLevel="0" collapsed="false">
      <c r="A2074" s="4" t="s">
        <v>72</v>
      </c>
      <c r="B2074" s="4" t="s">
        <v>34916</v>
      </c>
      <c r="C2074" s="4"/>
      <c r="D2074" s="4"/>
      <c r="E2074" s="4"/>
      <c r="F2074" s="4" t="s">
        <v>34917</v>
      </c>
      <c r="G2074" s="4"/>
      <c r="H2074" s="4" t="s">
        <v>34918</v>
      </c>
      <c r="I2074" s="4" t="s">
        <v>34919</v>
      </c>
      <c r="J2074" s="4" t="s">
        <v>34920</v>
      </c>
      <c r="K2074" s="4"/>
      <c r="L2074" s="4"/>
      <c r="M2074" s="4" t="s">
        <v>77</v>
      </c>
      <c r="N2074" s="4" t="s">
        <v>78</v>
      </c>
      <c r="O2074" s="4"/>
      <c r="P2074" s="4"/>
      <c r="Q2074" s="4"/>
      <c r="R2074" s="4"/>
      <c r="S2074" s="4"/>
      <c r="T2074" s="1" t="s">
        <v>34921</v>
      </c>
      <c r="U2074" s="4" t="s">
        <v>34922</v>
      </c>
      <c r="V2074" s="4" t="s">
        <v>34923</v>
      </c>
      <c r="W2074" s="4" t="s">
        <v>34924</v>
      </c>
      <c r="X2074" s="4" t="s">
        <v>34925</v>
      </c>
      <c r="Y2074" s="4" t="s">
        <v>34926</v>
      </c>
      <c r="Z2074" s="4" t="s">
        <v>34927</v>
      </c>
      <c r="AA2074" s="4" t="s">
        <v>34928</v>
      </c>
      <c r="AB2074" s="4" t="s">
        <v>34929</v>
      </c>
      <c r="AC2074" s="4" t="s">
        <v>34930</v>
      </c>
      <c r="AD2074" s="4" t="s">
        <v>34931</v>
      </c>
      <c r="AE2074" s="4"/>
      <c r="AF2074" s="4"/>
      <c r="AG2074" s="4" t="n">
        <v>74</v>
      </c>
      <c r="AH2074" s="4" t="n">
        <v>80</v>
      </c>
      <c r="AI2074" s="4" t="n">
        <v>89</v>
      </c>
      <c r="AJ2074" s="4" t="n">
        <v>0</v>
      </c>
      <c r="AK2074" s="4" t="n">
        <v>18</v>
      </c>
      <c r="AL2074" s="4" t="s">
        <v>782</v>
      </c>
      <c r="AM2074" s="4" t="s">
        <v>783</v>
      </c>
      <c r="AN2074" s="4" t="s">
        <v>784</v>
      </c>
      <c r="AO2074" s="4" t="s">
        <v>34932</v>
      </c>
      <c r="AP2074" s="4" t="s">
        <v>34933</v>
      </c>
      <c r="AQ2074" s="4"/>
      <c r="AR2074" s="4" t="s">
        <v>34934</v>
      </c>
      <c r="AS2074" s="4" t="s">
        <v>34935</v>
      </c>
      <c r="AT2074" s="4" t="s">
        <v>336</v>
      </c>
      <c r="AU2074" s="4" t="n">
        <v>2017</v>
      </c>
      <c r="AV2074" s="4" t="n">
        <v>17</v>
      </c>
      <c r="AW2074" s="4" t="n">
        <v>10</v>
      </c>
      <c r="AX2074" s="4"/>
      <c r="AY2074" s="4"/>
      <c r="AZ2074" s="4"/>
      <c r="BA2074" s="4"/>
      <c r="BB2074" s="4" t="s">
        <v>34936</v>
      </c>
      <c r="BC2074" s="4" t="s">
        <v>34937</v>
      </c>
      <c r="BD2074" s="4"/>
      <c r="BE2074" s="4" t="s">
        <v>34938</v>
      </c>
      <c r="BF2074" s="4" t="str">
        <f aca="false">HYPERLINK("http://dx.doi.org/10.1016/S1473-3099(17)30238-4","http://dx.doi.org/10.1016/S1473-3099(17)30238-4")</f>
        <v>http://dx.doi.org/10.1016/S1473-3099(17)30238-4</v>
      </c>
      <c r="BG2074" s="4"/>
      <c r="BH2074" s="4"/>
      <c r="BI2074" s="4" t="n">
        <v>7</v>
      </c>
      <c r="BJ2074" s="4" t="s">
        <v>575</v>
      </c>
      <c r="BK2074" s="4" t="s">
        <v>100</v>
      </c>
      <c r="BL2074" s="4" t="s">
        <v>575</v>
      </c>
      <c r="BM2074" s="4" t="s">
        <v>34939</v>
      </c>
      <c r="BN2074" s="4" t="n">
        <v>28457597</v>
      </c>
      <c r="BO2074" s="4" t="s">
        <v>1687</v>
      </c>
      <c r="BP2074" s="4"/>
      <c r="BQ2074" s="4"/>
      <c r="BR2074" s="4" t="s">
        <v>104</v>
      </c>
      <c r="BS2074" s="4" t="s">
        <v>34940</v>
      </c>
      <c r="BT2074" s="4" t="str">
        <f aca="false">HYPERLINK("https%3A%2F%2Fwww.webofscience.com%2Fwos%2Fwoscc%2Ffull-record%2FWOS:000411213600002","View Full Record in Web of Science")</f>
        <v>View Full Record in Web of Science</v>
      </c>
    </row>
    <row r="2075" s="5" customFormat="true" ht="12.75" hidden="false" customHeight="false" outlineLevel="0" collapsed="false">
      <c r="A2075" s="4" t="s">
        <v>72</v>
      </c>
      <c r="B2075" s="4" t="s">
        <v>34941</v>
      </c>
      <c r="C2075" s="4"/>
      <c r="D2075" s="4"/>
      <c r="E2075" s="4"/>
      <c r="F2075" s="4" t="s">
        <v>34942</v>
      </c>
      <c r="G2075" s="4"/>
      <c r="H2075" s="4"/>
      <c r="I2075" s="4" t="s">
        <v>34943</v>
      </c>
      <c r="J2075" s="4" t="s">
        <v>12792</v>
      </c>
      <c r="K2075" s="4"/>
      <c r="L2075" s="4"/>
      <c r="M2075" s="4" t="s">
        <v>77</v>
      </c>
      <c r="N2075" s="4" t="s">
        <v>78</v>
      </c>
      <c r="O2075" s="4"/>
      <c r="P2075" s="4"/>
      <c r="Q2075" s="4"/>
      <c r="R2075" s="4"/>
      <c r="S2075" s="4"/>
      <c r="T2075" s="1" t="s">
        <v>34944</v>
      </c>
      <c r="U2075" s="4" t="s">
        <v>34945</v>
      </c>
      <c r="V2075" s="4" t="s">
        <v>34946</v>
      </c>
      <c r="W2075" s="4" t="s">
        <v>34947</v>
      </c>
      <c r="X2075" s="4" t="s">
        <v>34948</v>
      </c>
      <c r="Y2075" s="4" t="s">
        <v>34949</v>
      </c>
      <c r="Z2075" s="4" t="s">
        <v>4054</v>
      </c>
      <c r="AA2075" s="4" t="s">
        <v>34950</v>
      </c>
      <c r="AB2075" s="4" t="s">
        <v>34951</v>
      </c>
      <c r="AC2075" s="4" t="s">
        <v>34952</v>
      </c>
      <c r="AD2075" s="4" t="s">
        <v>34953</v>
      </c>
      <c r="AE2075" s="4" t="s">
        <v>34954</v>
      </c>
      <c r="AF2075" s="4"/>
      <c r="AG2075" s="4" t="n">
        <v>39</v>
      </c>
      <c r="AH2075" s="4" t="n">
        <v>11</v>
      </c>
      <c r="AI2075" s="4" t="n">
        <v>11</v>
      </c>
      <c r="AJ2075" s="4" t="n">
        <v>0</v>
      </c>
      <c r="AK2075" s="4" t="n">
        <v>1</v>
      </c>
      <c r="AL2075" s="4" t="s">
        <v>1242</v>
      </c>
      <c r="AM2075" s="4" t="s">
        <v>303</v>
      </c>
      <c r="AN2075" s="4" t="s">
        <v>467</v>
      </c>
      <c r="AO2075" s="4" t="s">
        <v>12802</v>
      </c>
      <c r="AP2075" s="4" t="s">
        <v>14780</v>
      </c>
      <c r="AQ2075" s="4"/>
      <c r="AR2075" s="4" t="s">
        <v>12803</v>
      </c>
      <c r="AS2075" s="4" t="s">
        <v>12804</v>
      </c>
      <c r="AT2075" s="4" t="s">
        <v>692</v>
      </c>
      <c r="AU2075" s="4" t="n">
        <v>2022</v>
      </c>
      <c r="AV2075" s="4" t="n">
        <v>57</v>
      </c>
      <c r="AW2075" s="4" t="n">
        <v>4</v>
      </c>
      <c r="AX2075" s="4"/>
      <c r="AY2075" s="4"/>
      <c r="AZ2075" s="4"/>
      <c r="BA2075" s="4"/>
      <c r="BB2075" s="4" t="n">
        <v>649</v>
      </c>
      <c r="BC2075" s="4" t="n">
        <v>657</v>
      </c>
      <c r="BD2075" s="4"/>
      <c r="BE2075" s="4" t="s">
        <v>34955</v>
      </c>
      <c r="BF2075" s="4" t="str">
        <f aca="false">HYPERLINK("http://dx.doi.org/10.1038/s41409-022-01575-z","http://dx.doi.org/10.1038/s41409-022-01575-z")</f>
        <v>http://dx.doi.org/10.1038/s41409-022-01575-z</v>
      </c>
      <c r="BG2075" s="4"/>
      <c r="BH2075" s="4" t="s">
        <v>10762</v>
      </c>
      <c r="BI2075" s="4" t="n">
        <v>9</v>
      </c>
      <c r="BJ2075" s="4" t="s">
        <v>12806</v>
      </c>
      <c r="BK2075" s="4" t="s">
        <v>100</v>
      </c>
      <c r="BL2075" s="4" t="s">
        <v>12806</v>
      </c>
      <c r="BM2075" s="4" t="s">
        <v>34956</v>
      </c>
      <c r="BN2075" s="4" t="n">
        <v>35173288</v>
      </c>
      <c r="BO2075" s="4" t="s">
        <v>538</v>
      </c>
      <c r="BP2075" s="4"/>
      <c r="BQ2075" s="4"/>
      <c r="BR2075" s="4" t="s">
        <v>104</v>
      </c>
      <c r="BS2075" s="4" t="s">
        <v>34957</v>
      </c>
      <c r="BT2075" s="4" t="str">
        <f aca="false">HYPERLINK("https%3A%2F%2Fwww.webofscience.com%2Fwos%2Fwoscc%2Ffull-record%2FWOS:000757536000002","View Full Record in Web of Science")</f>
        <v>View Full Record in Web of Science</v>
      </c>
    </row>
    <row r="2076" s="5" customFormat="true" ht="12.75" hidden="false" customHeight="false" outlineLevel="0" collapsed="false">
      <c r="A2076" s="4" t="s">
        <v>72</v>
      </c>
      <c r="B2076" s="4" t="s">
        <v>34958</v>
      </c>
      <c r="C2076" s="4"/>
      <c r="D2076" s="4"/>
      <c r="E2076" s="4"/>
      <c r="F2076" s="4" t="s">
        <v>34959</v>
      </c>
      <c r="G2076" s="4"/>
      <c r="H2076" s="4"/>
      <c r="I2076" s="4" t="s">
        <v>34960</v>
      </c>
      <c r="J2076" s="4" t="s">
        <v>27453</v>
      </c>
      <c r="K2076" s="4"/>
      <c r="L2076" s="4"/>
      <c r="M2076" s="4" t="s">
        <v>77</v>
      </c>
      <c r="N2076" s="4" t="s">
        <v>78</v>
      </c>
      <c r="O2076" s="4"/>
      <c r="P2076" s="4"/>
      <c r="Q2076" s="4"/>
      <c r="R2076" s="4"/>
      <c r="S2076" s="4"/>
      <c r="T2076" s="0"/>
      <c r="U2076" s="4" t="s">
        <v>34961</v>
      </c>
      <c r="V2076" s="4" t="s">
        <v>34962</v>
      </c>
      <c r="W2076" s="4" t="s">
        <v>34963</v>
      </c>
      <c r="X2076" s="4" t="s">
        <v>34964</v>
      </c>
      <c r="Y2076" s="4" t="s">
        <v>26598</v>
      </c>
      <c r="Z2076" s="4" t="s">
        <v>34965</v>
      </c>
      <c r="AA2076" s="4"/>
      <c r="AB2076" s="4"/>
      <c r="AC2076" s="4"/>
      <c r="AD2076" s="4"/>
      <c r="AE2076" s="4"/>
      <c r="AF2076" s="4"/>
      <c r="AG2076" s="4" t="n">
        <v>31</v>
      </c>
      <c r="AH2076" s="4" t="n">
        <v>64</v>
      </c>
      <c r="AI2076" s="4" t="n">
        <v>68</v>
      </c>
      <c r="AJ2076" s="4" t="n">
        <v>0</v>
      </c>
      <c r="AK2076" s="4" t="n">
        <v>3</v>
      </c>
      <c r="AL2076" s="4" t="s">
        <v>27463</v>
      </c>
      <c r="AM2076" s="4" t="s">
        <v>16252</v>
      </c>
      <c r="AN2076" s="4" t="s">
        <v>27464</v>
      </c>
      <c r="AO2076" s="4" t="s">
        <v>27465</v>
      </c>
      <c r="AP2076" s="4" t="s">
        <v>27466</v>
      </c>
      <c r="AQ2076" s="4"/>
      <c r="AR2076" s="4" t="s">
        <v>27467</v>
      </c>
      <c r="AS2076" s="4" t="s">
        <v>27468</v>
      </c>
      <c r="AT2076" s="4" t="s">
        <v>390</v>
      </c>
      <c r="AU2076" s="4" t="n">
        <v>2008</v>
      </c>
      <c r="AV2076" s="4" t="n">
        <v>61</v>
      </c>
      <c r="AW2076" s="4" t="n">
        <v>3</v>
      </c>
      <c r="AX2076" s="4"/>
      <c r="AY2076" s="4"/>
      <c r="AZ2076" s="4"/>
      <c r="BA2076" s="4"/>
      <c r="BB2076" s="4" t="n">
        <v>196</v>
      </c>
      <c r="BC2076" s="4" t="n">
        <v>201</v>
      </c>
      <c r="BD2076" s="4"/>
      <c r="BE2076" s="4"/>
      <c r="BF2076" s="4"/>
      <c r="BG2076" s="4"/>
      <c r="BH2076" s="4"/>
      <c r="BI2076" s="4" t="n">
        <v>6</v>
      </c>
      <c r="BJ2076" s="4" t="s">
        <v>575</v>
      </c>
      <c r="BK2076" s="4" t="s">
        <v>100</v>
      </c>
      <c r="BL2076" s="4" t="s">
        <v>575</v>
      </c>
      <c r="BM2076" s="4" t="s">
        <v>34966</v>
      </c>
      <c r="BN2076" s="4" t="n">
        <v>18503168</v>
      </c>
      <c r="BO2076" s="4"/>
      <c r="BP2076" s="4"/>
      <c r="BQ2076" s="4"/>
      <c r="BR2076" s="4" t="s">
        <v>104</v>
      </c>
      <c r="BS2076" s="4" t="s">
        <v>34967</v>
      </c>
      <c r="BT2076" s="4" t="str">
        <f aca="false">HYPERLINK("https%3A%2F%2Fwww.webofscience.com%2Fwos%2Fwoscc%2Ffull-record%2FWOS:000256389800006","View Full Record in Web of Science")</f>
        <v>View Full Record in Web of Science</v>
      </c>
    </row>
    <row r="2077" s="5" customFormat="true" ht="12.75" hidden="false" customHeight="false" outlineLevel="0" collapsed="false">
      <c r="A2077" s="4" t="s">
        <v>72</v>
      </c>
      <c r="B2077" s="4" t="s">
        <v>34968</v>
      </c>
      <c r="C2077" s="4"/>
      <c r="D2077" s="4"/>
      <c r="E2077" s="4"/>
      <c r="F2077" s="4" t="s">
        <v>34969</v>
      </c>
      <c r="G2077" s="4"/>
      <c r="H2077" s="4"/>
      <c r="I2077" s="4" t="s">
        <v>34970</v>
      </c>
      <c r="J2077" s="4" t="s">
        <v>2222</v>
      </c>
      <c r="K2077" s="4"/>
      <c r="L2077" s="4"/>
      <c r="M2077" s="4" t="s">
        <v>77</v>
      </c>
      <c r="N2077" s="4" t="s">
        <v>78</v>
      </c>
      <c r="O2077" s="4"/>
      <c r="P2077" s="4"/>
      <c r="Q2077" s="4"/>
      <c r="R2077" s="4"/>
      <c r="S2077" s="4"/>
      <c r="T2077" s="1" t="s">
        <v>34971</v>
      </c>
      <c r="U2077" s="4" t="s">
        <v>34972</v>
      </c>
      <c r="V2077" s="4" t="s">
        <v>34973</v>
      </c>
      <c r="W2077" s="4" t="s">
        <v>34974</v>
      </c>
      <c r="X2077" s="4" t="s">
        <v>34975</v>
      </c>
      <c r="Y2077" s="4" t="s">
        <v>34976</v>
      </c>
      <c r="Z2077" s="4" t="s">
        <v>11128</v>
      </c>
      <c r="AA2077" s="4" t="s">
        <v>34977</v>
      </c>
      <c r="AB2077" s="4" t="s">
        <v>34978</v>
      </c>
      <c r="AC2077" s="4"/>
      <c r="AD2077" s="4"/>
      <c r="AE2077" s="4"/>
      <c r="AF2077" s="4"/>
      <c r="AG2077" s="4" t="n">
        <v>41</v>
      </c>
      <c r="AH2077" s="4" t="n">
        <v>53</v>
      </c>
      <c r="AI2077" s="4" t="n">
        <v>57</v>
      </c>
      <c r="AJ2077" s="4" t="n">
        <v>0</v>
      </c>
      <c r="AK2077" s="4" t="n">
        <v>2</v>
      </c>
      <c r="AL2077" s="4" t="s">
        <v>755</v>
      </c>
      <c r="AM2077" s="4" t="s">
        <v>273</v>
      </c>
      <c r="AN2077" s="4" t="s">
        <v>756</v>
      </c>
      <c r="AO2077" s="4" t="s">
        <v>2234</v>
      </c>
      <c r="AP2077" s="4" t="s">
        <v>2235</v>
      </c>
      <c r="AQ2077" s="4"/>
      <c r="AR2077" s="4" t="s">
        <v>2236</v>
      </c>
      <c r="AS2077" s="4" t="s">
        <v>2237</v>
      </c>
      <c r="AT2077" s="4" t="s">
        <v>692</v>
      </c>
      <c r="AU2077" s="4" t="n">
        <v>2008</v>
      </c>
      <c r="AV2077" s="4" t="n">
        <v>46</v>
      </c>
      <c r="AW2077" s="4" t="n">
        <v>4</v>
      </c>
      <c r="AX2077" s="4"/>
      <c r="AY2077" s="4"/>
      <c r="AZ2077" s="4"/>
      <c r="BA2077" s="4"/>
      <c r="BB2077" s="4" t="n">
        <v>1337</v>
      </c>
      <c r="BC2077" s="4" t="n">
        <v>1342</v>
      </c>
      <c r="BD2077" s="4"/>
      <c r="BE2077" s="4" t="s">
        <v>34979</v>
      </c>
      <c r="BF2077" s="4" t="str">
        <f aca="false">HYPERLINK("http://dx.doi.org/10.1128/JCM.02160-07","http://dx.doi.org/10.1128/JCM.02160-07")</f>
        <v>http://dx.doi.org/10.1128/JCM.02160-07</v>
      </c>
      <c r="BG2077" s="4"/>
      <c r="BH2077" s="4"/>
      <c r="BI2077" s="4" t="n">
        <v>6</v>
      </c>
      <c r="BJ2077" s="4" t="s">
        <v>211</v>
      </c>
      <c r="BK2077" s="4" t="s">
        <v>100</v>
      </c>
      <c r="BL2077" s="4" t="s">
        <v>211</v>
      </c>
      <c r="BM2077" s="4" t="s">
        <v>31292</v>
      </c>
      <c r="BN2077" s="4" t="n">
        <v>18287315</v>
      </c>
      <c r="BO2077" s="4" t="s">
        <v>165</v>
      </c>
      <c r="BP2077" s="4"/>
      <c r="BQ2077" s="4"/>
      <c r="BR2077" s="4" t="s">
        <v>104</v>
      </c>
      <c r="BS2077" s="4" t="s">
        <v>34980</v>
      </c>
      <c r="BT2077" s="4" t="str">
        <f aca="false">HYPERLINK("https%3A%2F%2Fwww.webofscience.com%2Fwos%2Fwoscc%2Ffull-record%2FWOS:000254866400027","View Full Record in Web of Science")</f>
        <v>View Full Record in Web of Science</v>
      </c>
    </row>
    <row r="2078" s="5" customFormat="true" ht="12.75" hidden="false" customHeight="false" outlineLevel="0" collapsed="false">
      <c r="A2078" s="4" t="s">
        <v>72</v>
      </c>
      <c r="B2078" s="4" t="s">
        <v>34981</v>
      </c>
      <c r="C2078" s="4"/>
      <c r="D2078" s="4"/>
      <c r="E2078" s="4"/>
      <c r="F2078" s="4" t="s">
        <v>34982</v>
      </c>
      <c r="G2078" s="4"/>
      <c r="H2078" s="4"/>
      <c r="I2078" s="4" t="s">
        <v>34983</v>
      </c>
      <c r="J2078" s="4" t="s">
        <v>3741</v>
      </c>
      <c r="K2078" s="4"/>
      <c r="L2078" s="4"/>
      <c r="M2078" s="4" t="s">
        <v>77</v>
      </c>
      <c r="N2078" s="4" t="s">
        <v>78</v>
      </c>
      <c r="O2078" s="4"/>
      <c r="P2078" s="4"/>
      <c r="Q2078" s="4"/>
      <c r="R2078" s="4"/>
      <c r="S2078" s="4"/>
      <c r="T2078" s="1" t="s">
        <v>34984</v>
      </c>
      <c r="U2078" s="4" t="s">
        <v>34985</v>
      </c>
      <c r="V2078" s="4" t="s">
        <v>34986</v>
      </c>
      <c r="W2078" s="4" t="s">
        <v>34987</v>
      </c>
      <c r="X2078" s="4" t="s">
        <v>34988</v>
      </c>
      <c r="Y2078" s="4" t="s">
        <v>34989</v>
      </c>
      <c r="Z2078" s="4" t="s">
        <v>34990</v>
      </c>
      <c r="AA2078" s="4"/>
      <c r="AB2078" s="4"/>
      <c r="AC2078" s="4" t="s">
        <v>34991</v>
      </c>
      <c r="AD2078" s="4" t="s">
        <v>34991</v>
      </c>
      <c r="AE2078" s="4" t="s">
        <v>34992</v>
      </c>
      <c r="AF2078" s="4"/>
      <c r="AG2078" s="4" t="n">
        <v>177</v>
      </c>
      <c r="AH2078" s="4" t="n">
        <v>11</v>
      </c>
      <c r="AI2078" s="4" t="n">
        <v>14</v>
      </c>
      <c r="AJ2078" s="4" t="n">
        <v>0</v>
      </c>
      <c r="AK2078" s="4" t="n">
        <v>6</v>
      </c>
      <c r="AL2078" s="4" t="s">
        <v>755</v>
      </c>
      <c r="AM2078" s="4" t="s">
        <v>273</v>
      </c>
      <c r="AN2078" s="4" t="s">
        <v>756</v>
      </c>
      <c r="AO2078" s="4" t="s">
        <v>3753</v>
      </c>
      <c r="AP2078" s="4"/>
      <c r="AQ2078" s="4"/>
      <c r="AR2078" s="4" t="s">
        <v>3754</v>
      </c>
      <c r="AS2078" s="4" t="s">
        <v>3755</v>
      </c>
      <c r="AT2078" s="4" t="s">
        <v>185</v>
      </c>
      <c r="AU2078" s="4" t="n">
        <v>2016</v>
      </c>
      <c r="AV2078" s="4" t="n">
        <v>4</v>
      </c>
      <c r="AW2078" s="4" t="n">
        <v>4</v>
      </c>
      <c r="AX2078" s="4"/>
      <c r="AY2078" s="4"/>
      <c r="AZ2078" s="4"/>
      <c r="BA2078" s="4"/>
      <c r="BB2078" s="4"/>
      <c r="BC2078" s="4"/>
      <c r="BD2078" s="4" t="s">
        <v>34993</v>
      </c>
      <c r="BE2078" s="4" t="s">
        <v>34994</v>
      </c>
      <c r="BF2078" s="4" t="str">
        <f aca="false">HYPERLINK("http://dx.doi.org/10.1128/microbiolspec.DMIH2-0029-2016","http://dx.doi.org/10.1128/microbiolspec.DMIH2-0029-2016")</f>
        <v>http://dx.doi.org/10.1128/microbiolspec.DMIH2-0029-2016</v>
      </c>
      <c r="BG2078" s="4"/>
      <c r="BH2078" s="4"/>
      <c r="BI2078" s="4" t="n">
        <v>29</v>
      </c>
      <c r="BJ2078" s="4" t="s">
        <v>211</v>
      </c>
      <c r="BK2078" s="4" t="s">
        <v>100</v>
      </c>
      <c r="BL2078" s="4" t="s">
        <v>211</v>
      </c>
      <c r="BM2078" s="4" t="s">
        <v>34995</v>
      </c>
      <c r="BN2078" s="4" t="n">
        <v>27726814</v>
      </c>
      <c r="BO2078" s="4"/>
      <c r="BP2078" s="4"/>
      <c r="BQ2078" s="4"/>
      <c r="BR2078" s="4" t="s">
        <v>104</v>
      </c>
      <c r="BS2078" s="4" t="s">
        <v>34996</v>
      </c>
      <c r="BT2078" s="4" t="str">
        <f aca="false">HYPERLINK("https%3A%2F%2Fwww.webofscience.com%2Fwos%2Fwoscc%2Ffull-record%2FWOS:000381804000018","View Full Record in Web of Science")</f>
        <v>View Full Record in Web of Science</v>
      </c>
    </row>
    <row r="2079" s="5" customFormat="true" ht="12.75" hidden="false" customHeight="false" outlineLevel="0" collapsed="false">
      <c r="A2079" s="4" t="s">
        <v>72</v>
      </c>
      <c r="B2079" s="4" t="s">
        <v>34997</v>
      </c>
      <c r="C2079" s="4"/>
      <c r="D2079" s="4"/>
      <c r="E2079" s="4"/>
      <c r="F2079" s="4" t="s">
        <v>34998</v>
      </c>
      <c r="G2079" s="4"/>
      <c r="H2079" s="4"/>
      <c r="I2079" s="4" t="s">
        <v>34999</v>
      </c>
      <c r="J2079" s="4" t="s">
        <v>27497</v>
      </c>
      <c r="K2079" s="4"/>
      <c r="L2079" s="4"/>
      <c r="M2079" s="4" t="s">
        <v>77</v>
      </c>
      <c r="N2079" s="4" t="s">
        <v>78</v>
      </c>
      <c r="O2079" s="4"/>
      <c r="P2079" s="4"/>
      <c r="Q2079" s="4"/>
      <c r="R2079" s="4"/>
      <c r="S2079" s="4"/>
      <c r="T2079" s="1" t="s">
        <v>35000</v>
      </c>
      <c r="U2079" s="4" t="s">
        <v>35001</v>
      </c>
      <c r="V2079" s="4" t="s">
        <v>35002</v>
      </c>
      <c r="W2079" s="4" t="s">
        <v>35003</v>
      </c>
      <c r="X2079" s="4" t="s">
        <v>35004</v>
      </c>
      <c r="Y2079" s="4" t="s">
        <v>35005</v>
      </c>
      <c r="Z2079" s="4" t="s">
        <v>35006</v>
      </c>
      <c r="AA2079" s="4" t="s">
        <v>35007</v>
      </c>
      <c r="AB2079" s="4" t="s">
        <v>35008</v>
      </c>
      <c r="AC2079" s="4"/>
      <c r="AD2079" s="4"/>
      <c r="AE2079" s="4"/>
      <c r="AF2079" s="4"/>
      <c r="AG2079" s="4" t="n">
        <v>59</v>
      </c>
      <c r="AH2079" s="4" t="n">
        <v>42</v>
      </c>
      <c r="AI2079" s="4" t="n">
        <v>47</v>
      </c>
      <c r="AJ2079" s="4" t="n">
        <v>0</v>
      </c>
      <c r="AK2079" s="4" t="n">
        <v>4</v>
      </c>
      <c r="AL2079" s="4" t="s">
        <v>27506</v>
      </c>
      <c r="AM2079" s="4" t="s">
        <v>27507</v>
      </c>
      <c r="AN2079" s="4" t="s">
        <v>27508</v>
      </c>
      <c r="AO2079" s="4" t="s">
        <v>27509</v>
      </c>
      <c r="AP2079" s="4"/>
      <c r="AQ2079" s="4"/>
      <c r="AR2079" s="4" t="s">
        <v>27497</v>
      </c>
      <c r="AS2079" s="4" t="s">
        <v>27510</v>
      </c>
      <c r="AT2079" s="4" t="s">
        <v>2461</v>
      </c>
      <c r="AU2079" s="4" t="n">
        <v>2017</v>
      </c>
      <c r="AV2079" s="4" t="n">
        <v>12</v>
      </c>
      <c r="AW2079" s="4" t="n">
        <v>3</v>
      </c>
      <c r="AX2079" s="4"/>
      <c r="AY2079" s="4"/>
      <c r="AZ2079" s="4"/>
      <c r="BA2079" s="4"/>
      <c r="BB2079" s="4"/>
      <c r="BC2079" s="4"/>
      <c r="BD2079" s="4" t="s">
        <v>35009</v>
      </c>
      <c r="BE2079" s="4" t="s">
        <v>35010</v>
      </c>
      <c r="BF2079" s="4" t="str">
        <f aca="false">HYPERLINK("http://dx.doi.org/10.1371/journal.pone.0174488","http://dx.doi.org/10.1371/journal.pone.0174488")</f>
        <v>http://dx.doi.org/10.1371/journal.pone.0174488</v>
      </c>
      <c r="BG2079" s="4"/>
      <c r="BH2079" s="4"/>
      <c r="BI2079" s="4" t="n">
        <v>21</v>
      </c>
      <c r="BJ2079" s="4" t="s">
        <v>1658</v>
      </c>
      <c r="BK2079" s="4" t="s">
        <v>100</v>
      </c>
      <c r="BL2079" s="4" t="s">
        <v>1659</v>
      </c>
      <c r="BM2079" s="4" t="s">
        <v>35011</v>
      </c>
      <c r="BN2079" s="4" t="n">
        <v>28346512</v>
      </c>
      <c r="BO2079" s="4" t="s">
        <v>190</v>
      </c>
      <c r="BP2079" s="4"/>
      <c r="BQ2079" s="4"/>
      <c r="BR2079" s="4" t="s">
        <v>104</v>
      </c>
      <c r="BS2079" s="4" t="s">
        <v>35012</v>
      </c>
      <c r="BT2079" s="4" t="str">
        <f aca="false">HYPERLINK("https%3A%2F%2Fwww.webofscience.com%2Fwos%2Fwoscc%2Ffull-record%2FWOS:000399174300051","View Full Record in Web of Science")</f>
        <v>View Full Record in Web of Science</v>
      </c>
    </row>
    <row r="2080" s="5" customFormat="true" ht="12.75" hidden="false" customHeight="false" outlineLevel="0" collapsed="false">
      <c r="A2080" s="4" t="s">
        <v>72</v>
      </c>
      <c r="B2080" s="4" t="s">
        <v>35013</v>
      </c>
      <c r="C2080" s="4"/>
      <c r="D2080" s="4"/>
      <c r="E2080" s="4"/>
      <c r="F2080" s="4" t="s">
        <v>35014</v>
      </c>
      <c r="G2080" s="4"/>
      <c r="H2080" s="4"/>
      <c r="I2080" s="4" t="s">
        <v>35015</v>
      </c>
      <c r="J2080" s="4" t="s">
        <v>33155</v>
      </c>
      <c r="K2080" s="4"/>
      <c r="L2080" s="4"/>
      <c r="M2080" s="4" t="s">
        <v>77</v>
      </c>
      <c r="N2080" s="4" t="s">
        <v>78</v>
      </c>
      <c r="O2080" s="4"/>
      <c r="P2080" s="4"/>
      <c r="Q2080" s="4"/>
      <c r="R2080" s="4"/>
      <c r="S2080" s="4"/>
      <c r="T2080" s="1" t="s">
        <v>35016</v>
      </c>
      <c r="U2080" s="4" t="s">
        <v>35017</v>
      </c>
      <c r="V2080" s="4" t="s">
        <v>35018</v>
      </c>
      <c r="W2080" s="4" t="s">
        <v>35019</v>
      </c>
      <c r="X2080" s="4" t="s">
        <v>35020</v>
      </c>
      <c r="Y2080" s="4" t="s">
        <v>35021</v>
      </c>
      <c r="Z2080" s="4" t="s">
        <v>35022</v>
      </c>
      <c r="AA2080" s="4" t="s">
        <v>35023</v>
      </c>
      <c r="AB2080" s="4" t="s">
        <v>35024</v>
      </c>
      <c r="AC2080" s="4" t="s">
        <v>35025</v>
      </c>
      <c r="AD2080" s="4" t="s">
        <v>35026</v>
      </c>
      <c r="AE2080" s="4" t="s">
        <v>35027</v>
      </c>
      <c r="AF2080" s="4"/>
      <c r="AG2080" s="4" t="n">
        <v>36</v>
      </c>
      <c r="AH2080" s="4" t="n">
        <v>8</v>
      </c>
      <c r="AI2080" s="4" t="n">
        <v>8</v>
      </c>
      <c r="AJ2080" s="4" t="n">
        <v>0</v>
      </c>
      <c r="AK2080" s="4" t="n">
        <v>0</v>
      </c>
      <c r="AL2080" s="4" t="s">
        <v>33623</v>
      </c>
      <c r="AM2080" s="4" t="s">
        <v>33169</v>
      </c>
      <c r="AN2080" s="4" t="s">
        <v>33624</v>
      </c>
      <c r="AO2080" s="4" t="s">
        <v>33171</v>
      </c>
      <c r="AP2080" s="4" t="s">
        <v>33172</v>
      </c>
      <c r="AQ2080" s="4"/>
      <c r="AR2080" s="4" t="s">
        <v>33173</v>
      </c>
      <c r="AS2080" s="4" t="s">
        <v>33174</v>
      </c>
      <c r="AT2080" s="4"/>
      <c r="AU2080" s="4" t="n">
        <v>2021</v>
      </c>
      <c r="AV2080" s="4" t="n">
        <v>11</v>
      </c>
      <c r="AW2080" s="4"/>
      <c r="AX2080" s="4"/>
      <c r="AY2080" s="4"/>
      <c r="AZ2080" s="4"/>
      <c r="BA2080" s="4"/>
      <c r="BB2080" s="4"/>
      <c r="BC2080" s="4"/>
      <c r="BD2080" s="4" t="n">
        <v>4027</v>
      </c>
      <c r="BE2080" s="4" t="s">
        <v>35028</v>
      </c>
      <c r="BF2080" s="4" t="str">
        <f aca="false">HYPERLINK("http://dx.doi.org/10.7189/jogh.11.04027","http://dx.doi.org/10.7189/jogh.11.04027")</f>
        <v>http://dx.doi.org/10.7189/jogh.11.04027</v>
      </c>
      <c r="BG2080" s="4"/>
      <c r="BH2080" s="4"/>
      <c r="BI2080" s="4" t="n">
        <v>10</v>
      </c>
      <c r="BJ2080" s="4" t="s">
        <v>1353</v>
      </c>
      <c r="BK2080" s="4" t="s">
        <v>1086</v>
      </c>
      <c r="BL2080" s="4" t="s">
        <v>1353</v>
      </c>
      <c r="BM2080" s="4" t="s">
        <v>35029</v>
      </c>
      <c r="BN2080" s="4" t="n">
        <v>33880179</v>
      </c>
      <c r="BO2080" s="4" t="s">
        <v>103</v>
      </c>
      <c r="BP2080" s="4"/>
      <c r="BQ2080" s="4"/>
      <c r="BR2080" s="4" t="s">
        <v>104</v>
      </c>
      <c r="BS2080" s="4" t="s">
        <v>35030</v>
      </c>
      <c r="BT2080" s="4" t="str">
        <f aca="false">HYPERLINK("https%3A%2F%2Fwww.webofscience.com%2Fwos%2Fwoscc%2Ffull-record%2FWOS:000692133800027","View Full Record in Web of Science")</f>
        <v>View Full Record in Web of Science</v>
      </c>
    </row>
    <row r="2081" s="5" customFormat="true" ht="12.75" hidden="false" customHeight="false" outlineLevel="0" collapsed="false">
      <c r="A2081" s="4" t="s">
        <v>72</v>
      </c>
      <c r="B2081" s="4" t="s">
        <v>35031</v>
      </c>
      <c r="C2081" s="4"/>
      <c r="D2081" s="4"/>
      <c r="E2081" s="4"/>
      <c r="F2081" s="4" t="s">
        <v>35032</v>
      </c>
      <c r="G2081" s="4"/>
      <c r="H2081" s="4"/>
      <c r="I2081" s="4" t="s">
        <v>35033</v>
      </c>
      <c r="J2081" s="4" t="s">
        <v>35034</v>
      </c>
      <c r="K2081" s="4"/>
      <c r="L2081" s="4"/>
      <c r="M2081" s="4" t="s">
        <v>77</v>
      </c>
      <c r="N2081" s="4" t="s">
        <v>78</v>
      </c>
      <c r="O2081" s="4"/>
      <c r="P2081" s="4"/>
      <c r="Q2081" s="4"/>
      <c r="R2081" s="4"/>
      <c r="S2081" s="4"/>
      <c r="T2081" s="1" t="s">
        <v>35035</v>
      </c>
      <c r="U2081" s="4" t="s">
        <v>35036</v>
      </c>
      <c r="V2081" s="4" t="s">
        <v>35037</v>
      </c>
      <c r="W2081" s="4" t="s">
        <v>35038</v>
      </c>
      <c r="X2081" s="4" t="s">
        <v>16516</v>
      </c>
      <c r="Y2081" s="4" t="s">
        <v>35039</v>
      </c>
      <c r="Z2081" s="4" t="s">
        <v>14338</v>
      </c>
      <c r="AA2081" s="4" t="s">
        <v>35040</v>
      </c>
      <c r="AB2081" s="4" t="s">
        <v>35041</v>
      </c>
      <c r="AC2081" s="4" t="s">
        <v>35042</v>
      </c>
      <c r="AD2081" s="4" t="s">
        <v>35043</v>
      </c>
      <c r="AE2081" s="4" t="s">
        <v>35044</v>
      </c>
      <c r="AF2081" s="4"/>
      <c r="AG2081" s="4" t="n">
        <v>29</v>
      </c>
      <c r="AH2081" s="4" t="n">
        <v>15</v>
      </c>
      <c r="AI2081" s="4" t="n">
        <v>18</v>
      </c>
      <c r="AJ2081" s="4" t="n">
        <v>0</v>
      </c>
      <c r="AK2081" s="4" t="n">
        <v>3</v>
      </c>
      <c r="AL2081" s="4" t="s">
        <v>27808</v>
      </c>
      <c r="AM2081" s="4" t="s">
        <v>303</v>
      </c>
      <c r="AN2081" s="4" t="s">
        <v>27809</v>
      </c>
      <c r="AO2081" s="4" t="s">
        <v>35045</v>
      </c>
      <c r="AP2081" s="4" t="s">
        <v>35046</v>
      </c>
      <c r="AQ2081" s="4"/>
      <c r="AR2081" s="4" t="s">
        <v>35047</v>
      </c>
      <c r="AS2081" s="4" t="s">
        <v>35048</v>
      </c>
      <c r="AT2081" s="4"/>
      <c r="AU2081" s="4" t="n">
        <v>2016</v>
      </c>
      <c r="AV2081" s="4" t="n">
        <v>2016</v>
      </c>
      <c r="AW2081" s="4"/>
      <c r="AX2081" s="4"/>
      <c r="AY2081" s="4"/>
      <c r="AZ2081" s="4"/>
      <c r="BA2081" s="4"/>
      <c r="BB2081" s="4"/>
      <c r="BC2081" s="4"/>
      <c r="BD2081" s="4" t="s">
        <v>35049</v>
      </c>
      <c r="BE2081" s="4" t="s">
        <v>35050</v>
      </c>
      <c r="BF2081" s="4" t="str">
        <f aca="false">HYPERLINK("http://dx.doi.org/10.1155/2016/2168780","http://dx.doi.org/10.1155/2016/2168780")</f>
        <v>http://dx.doi.org/10.1155/2016/2168780</v>
      </c>
      <c r="BG2081" s="4"/>
      <c r="BH2081" s="4"/>
      <c r="BI2081" s="4" t="n">
        <v>8</v>
      </c>
      <c r="BJ2081" s="4" t="s">
        <v>211</v>
      </c>
      <c r="BK2081" s="4" t="s">
        <v>339</v>
      </c>
      <c r="BL2081" s="4" t="s">
        <v>211</v>
      </c>
      <c r="BM2081" s="4" t="s">
        <v>35051</v>
      </c>
      <c r="BN2081" s="4" t="n">
        <v>27656298</v>
      </c>
      <c r="BO2081" s="4" t="s">
        <v>35052</v>
      </c>
      <c r="BP2081" s="4"/>
      <c r="BQ2081" s="4"/>
      <c r="BR2081" s="4" t="s">
        <v>104</v>
      </c>
      <c r="BS2081" s="4" t="s">
        <v>35053</v>
      </c>
      <c r="BT2081" s="4" t="str">
        <f aca="false">HYPERLINK("https%3A%2F%2Fwww.webofscience.com%2Fwos%2Fwoscc%2Ffull-record%2FWOS:000383092400001","View Full Record in Web of Science")</f>
        <v>View Full Record in Web of Science</v>
      </c>
    </row>
    <row r="2082" s="5" customFormat="true" ht="12.75" hidden="false" customHeight="false" outlineLevel="0" collapsed="false">
      <c r="A2082" s="4" t="s">
        <v>72</v>
      </c>
      <c r="B2082" s="4" t="s">
        <v>35054</v>
      </c>
      <c r="C2082" s="4"/>
      <c r="D2082" s="4"/>
      <c r="E2082" s="4"/>
      <c r="F2082" s="4" t="s">
        <v>35055</v>
      </c>
      <c r="G2082" s="4"/>
      <c r="H2082" s="4"/>
      <c r="I2082" s="4" t="s">
        <v>35056</v>
      </c>
      <c r="J2082" s="4" t="s">
        <v>35057</v>
      </c>
      <c r="K2082" s="4"/>
      <c r="L2082" s="4"/>
      <c r="M2082" s="4" t="s">
        <v>77</v>
      </c>
      <c r="N2082" s="4" t="s">
        <v>78</v>
      </c>
      <c r="O2082" s="4"/>
      <c r="P2082" s="4"/>
      <c r="Q2082" s="4"/>
      <c r="R2082" s="4"/>
      <c r="S2082" s="4"/>
      <c r="T2082" s="1" t="s">
        <v>35058</v>
      </c>
      <c r="U2082" s="4" t="s">
        <v>35059</v>
      </c>
      <c r="V2082" s="4" t="s">
        <v>35060</v>
      </c>
      <c r="W2082" s="4" t="s">
        <v>35061</v>
      </c>
      <c r="X2082" s="4" t="s">
        <v>9631</v>
      </c>
      <c r="Y2082" s="4" t="s">
        <v>35062</v>
      </c>
      <c r="Z2082" s="4" t="s">
        <v>6724</v>
      </c>
      <c r="AA2082" s="4" t="s">
        <v>8008</v>
      </c>
      <c r="AB2082" s="4" t="s">
        <v>35063</v>
      </c>
      <c r="AC2082" s="4" t="s">
        <v>35064</v>
      </c>
      <c r="AD2082" s="4" t="s">
        <v>35065</v>
      </c>
      <c r="AE2082" s="4" t="s">
        <v>35066</v>
      </c>
      <c r="AF2082" s="4"/>
      <c r="AG2082" s="4" t="n">
        <v>81</v>
      </c>
      <c r="AH2082" s="4" t="n">
        <v>134</v>
      </c>
      <c r="AI2082" s="4" t="n">
        <v>155</v>
      </c>
      <c r="AJ2082" s="4" t="n">
        <v>0</v>
      </c>
      <c r="AK2082" s="4" t="n">
        <v>9</v>
      </c>
      <c r="AL2082" s="4" t="s">
        <v>35067</v>
      </c>
      <c r="AM2082" s="4" t="s">
        <v>35068</v>
      </c>
      <c r="AN2082" s="4" t="s">
        <v>35069</v>
      </c>
      <c r="AO2082" s="4" t="s">
        <v>35070</v>
      </c>
      <c r="AP2082" s="4"/>
      <c r="AQ2082" s="4"/>
      <c r="AR2082" s="4" t="s">
        <v>35071</v>
      </c>
      <c r="AS2082" s="4" t="s">
        <v>35072</v>
      </c>
      <c r="AT2082" s="4" t="s">
        <v>185</v>
      </c>
      <c r="AU2082" s="4" t="n">
        <v>2012</v>
      </c>
      <c r="AV2082" s="4" t="n">
        <v>122</v>
      </c>
      <c r="AW2082" s="4" t="n">
        <v>8</v>
      </c>
      <c r="AX2082" s="4"/>
      <c r="AY2082" s="4"/>
      <c r="AZ2082" s="4"/>
      <c r="BA2082" s="4"/>
      <c r="BB2082" s="4" t="n">
        <v>2967</v>
      </c>
      <c r="BC2082" s="4" t="n">
        <v>2982</v>
      </c>
      <c r="BD2082" s="4"/>
      <c r="BE2082" s="4" t="s">
        <v>35073</v>
      </c>
      <c r="BF2082" s="4" t="str">
        <f aca="false">HYPERLINK("http://dx.doi.org/10.1172/JCI62860","http://dx.doi.org/10.1172/JCI62860")</f>
        <v>http://dx.doi.org/10.1172/JCI62860</v>
      </c>
      <c r="BG2082" s="4"/>
      <c r="BH2082" s="4"/>
      <c r="BI2082" s="4" t="n">
        <v>16</v>
      </c>
      <c r="BJ2082" s="4" t="s">
        <v>5761</v>
      </c>
      <c r="BK2082" s="4" t="s">
        <v>100</v>
      </c>
      <c r="BL2082" s="4" t="s">
        <v>5762</v>
      </c>
      <c r="BM2082" s="4" t="s">
        <v>35074</v>
      </c>
      <c r="BN2082" s="4" t="n">
        <v>22797302</v>
      </c>
      <c r="BO2082" s="4" t="s">
        <v>538</v>
      </c>
      <c r="BP2082" s="4"/>
      <c r="BQ2082" s="4"/>
      <c r="BR2082" s="4" t="s">
        <v>104</v>
      </c>
      <c r="BS2082" s="4" t="s">
        <v>35075</v>
      </c>
      <c r="BT2082" s="4" t="str">
        <f aca="false">HYPERLINK("https%3A%2F%2Fwww.webofscience.com%2Fwos%2Fwoscc%2Ffull-record%2FWOS:000307128600032","View Full Record in Web of Science")</f>
        <v>View Full Record in Web of Science</v>
      </c>
    </row>
    <row r="2083" s="5" customFormat="true" ht="12.75" hidden="false" customHeight="false" outlineLevel="0" collapsed="false">
      <c r="A2083" s="4" t="s">
        <v>72</v>
      </c>
      <c r="B2083" s="4" t="s">
        <v>35076</v>
      </c>
      <c r="C2083" s="4"/>
      <c r="D2083" s="4"/>
      <c r="E2083" s="4"/>
      <c r="F2083" s="4" t="s">
        <v>35077</v>
      </c>
      <c r="G2083" s="4"/>
      <c r="H2083" s="4"/>
      <c r="I2083" s="4" t="s">
        <v>35078</v>
      </c>
      <c r="J2083" s="4" t="s">
        <v>27453</v>
      </c>
      <c r="K2083" s="4"/>
      <c r="L2083" s="4"/>
      <c r="M2083" s="4" t="s">
        <v>77</v>
      </c>
      <c r="N2083" s="4" t="s">
        <v>78</v>
      </c>
      <c r="O2083" s="4"/>
      <c r="P2083" s="4"/>
      <c r="Q2083" s="4"/>
      <c r="R2083" s="4"/>
      <c r="S2083" s="4"/>
      <c r="T2083" s="0"/>
      <c r="U2083" s="4" t="s">
        <v>35079</v>
      </c>
      <c r="V2083" s="4" t="s">
        <v>35080</v>
      </c>
      <c r="W2083" s="4" t="s">
        <v>35081</v>
      </c>
      <c r="X2083" s="4" t="s">
        <v>6996</v>
      </c>
      <c r="Y2083" s="4" t="s">
        <v>35082</v>
      </c>
      <c r="Z2083" s="4" t="s">
        <v>35083</v>
      </c>
      <c r="AA2083" s="4" t="s">
        <v>35084</v>
      </c>
      <c r="AB2083" s="4" t="s">
        <v>17610</v>
      </c>
      <c r="AC2083" s="4" t="s">
        <v>35085</v>
      </c>
      <c r="AD2083" s="4" t="s">
        <v>35086</v>
      </c>
      <c r="AE2083" s="4" t="s">
        <v>35087</v>
      </c>
      <c r="AF2083" s="4"/>
      <c r="AG2083" s="4" t="n">
        <v>24</v>
      </c>
      <c r="AH2083" s="4" t="n">
        <v>23</v>
      </c>
      <c r="AI2083" s="4" t="n">
        <v>30</v>
      </c>
      <c r="AJ2083" s="4" t="n">
        <v>0</v>
      </c>
      <c r="AK2083" s="4" t="n">
        <v>2</v>
      </c>
      <c r="AL2083" s="4" t="s">
        <v>27463</v>
      </c>
      <c r="AM2083" s="4" t="s">
        <v>16252</v>
      </c>
      <c r="AN2083" s="4" t="s">
        <v>27464</v>
      </c>
      <c r="AO2083" s="4" t="s">
        <v>27465</v>
      </c>
      <c r="AP2083" s="4" t="s">
        <v>27466</v>
      </c>
      <c r="AQ2083" s="4"/>
      <c r="AR2083" s="4" t="s">
        <v>27467</v>
      </c>
      <c r="AS2083" s="4" t="s">
        <v>27468</v>
      </c>
      <c r="AT2083" s="4" t="s">
        <v>804</v>
      </c>
      <c r="AU2083" s="4" t="n">
        <v>2008</v>
      </c>
      <c r="AV2083" s="4" t="n">
        <v>61</v>
      </c>
      <c r="AW2083" s="4" t="n">
        <v>6</v>
      </c>
      <c r="AX2083" s="4"/>
      <c r="AY2083" s="4"/>
      <c r="AZ2083" s="4"/>
      <c r="BA2083" s="4"/>
      <c r="BB2083" s="4" t="n">
        <v>446</v>
      </c>
      <c r="BC2083" s="4" t="n">
        <v>449</v>
      </c>
      <c r="BD2083" s="4"/>
      <c r="BE2083" s="4"/>
      <c r="BF2083" s="4"/>
      <c r="BG2083" s="4"/>
      <c r="BH2083" s="4"/>
      <c r="BI2083" s="4" t="n">
        <v>4</v>
      </c>
      <c r="BJ2083" s="4" t="s">
        <v>575</v>
      </c>
      <c r="BK2083" s="4" t="s">
        <v>100</v>
      </c>
      <c r="BL2083" s="4" t="s">
        <v>575</v>
      </c>
      <c r="BM2083" s="4" t="s">
        <v>30509</v>
      </c>
      <c r="BN2083" s="4" t="n">
        <v>19050351</v>
      </c>
      <c r="BO2083" s="4"/>
      <c r="BP2083" s="4"/>
      <c r="BQ2083" s="4"/>
      <c r="BR2083" s="4" t="s">
        <v>104</v>
      </c>
      <c r="BS2083" s="4" t="s">
        <v>35088</v>
      </c>
      <c r="BT2083" s="4" t="str">
        <f aca="false">HYPERLINK("https%3A%2F%2Fwww.webofscience.com%2Fwos%2Fwoscc%2Ffull-record%2FWOS:000261391700005","View Full Record in Web of Science")</f>
        <v>View Full Record in Web of Science</v>
      </c>
    </row>
    <row r="2084" s="5" customFormat="true" ht="12.75" hidden="false" customHeight="false" outlineLevel="0" collapsed="false">
      <c r="A2084" s="4" t="s">
        <v>72</v>
      </c>
      <c r="B2084" s="4" t="s">
        <v>35089</v>
      </c>
      <c r="C2084" s="4"/>
      <c r="D2084" s="4"/>
      <c r="E2084" s="4"/>
      <c r="F2084" s="4" t="s">
        <v>35090</v>
      </c>
      <c r="G2084" s="4"/>
      <c r="H2084" s="4"/>
      <c r="I2084" s="4" t="s">
        <v>35091</v>
      </c>
      <c r="J2084" s="4" t="s">
        <v>35092</v>
      </c>
      <c r="K2084" s="4"/>
      <c r="L2084" s="4"/>
      <c r="M2084" s="4" t="s">
        <v>77</v>
      </c>
      <c r="N2084" s="4" t="s">
        <v>78</v>
      </c>
      <c r="O2084" s="4"/>
      <c r="P2084" s="4"/>
      <c r="Q2084" s="4"/>
      <c r="R2084" s="4"/>
      <c r="S2084" s="4"/>
      <c r="T2084" s="1" t="s">
        <v>35093</v>
      </c>
      <c r="U2084" s="4" t="s">
        <v>35094</v>
      </c>
      <c r="V2084" s="4" t="s">
        <v>35095</v>
      </c>
      <c r="W2084" s="4" t="s">
        <v>35096</v>
      </c>
      <c r="X2084" s="4" t="s">
        <v>35097</v>
      </c>
      <c r="Y2084" s="4" t="s">
        <v>35098</v>
      </c>
      <c r="Z2084" s="4" t="s">
        <v>35099</v>
      </c>
      <c r="AA2084" s="4" t="s">
        <v>35100</v>
      </c>
      <c r="AB2084" s="4" t="s">
        <v>35101</v>
      </c>
      <c r="AC2084" s="4"/>
      <c r="AD2084" s="4"/>
      <c r="AE2084" s="4" t="s">
        <v>35102</v>
      </c>
      <c r="AF2084" s="4"/>
      <c r="AG2084" s="4" t="n">
        <v>179</v>
      </c>
      <c r="AH2084" s="4" t="n">
        <v>0</v>
      </c>
      <c r="AI2084" s="4" t="n">
        <v>0</v>
      </c>
      <c r="AJ2084" s="4" t="n">
        <v>2</v>
      </c>
      <c r="AK2084" s="4" t="n">
        <v>2</v>
      </c>
      <c r="AL2084" s="4" t="s">
        <v>10039</v>
      </c>
      <c r="AM2084" s="4" t="s">
        <v>10040</v>
      </c>
      <c r="AN2084" s="4" t="s">
        <v>21829</v>
      </c>
      <c r="AO2084" s="4" t="s">
        <v>35103</v>
      </c>
      <c r="AP2084" s="4" t="s">
        <v>35104</v>
      </c>
      <c r="AQ2084" s="4"/>
      <c r="AR2084" s="4" t="s">
        <v>35105</v>
      </c>
      <c r="AS2084" s="4" t="s">
        <v>35106</v>
      </c>
      <c r="AT2084" s="4" t="s">
        <v>6698</v>
      </c>
      <c r="AU2084" s="4" t="n">
        <v>2024</v>
      </c>
      <c r="AV2084" s="4" t="n">
        <v>33</v>
      </c>
      <c r="AW2084" s="4" t="n">
        <v>172</v>
      </c>
      <c r="AX2084" s="4"/>
      <c r="AY2084" s="4"/>
      <c r="AZ2084" s="4"/>
      <c r="BA2084" s="4"/>
      <c r="BB2084" s="4"/>
      <c r="BC2084" s="4"/>
      <c r="BD2084" s="4" t="n">
        <v>240008</v>
      </c>
      <c r="BE2084" s="4" t="s">
        <v>35107</v>
      </c>
      <c r="BF2084" s="4" t="str">
        <f aca="false">HYPERLINK("http://dx.doi.org/10.1183/16000617.0008-2024","http://dx.doi.org/10.1183/16000617.0008-2024")</f>
        <v>http://dx.doi.org/10.1183/16000617.0008-2024</v>
      </c>
      <c r="BG2084" s="4"/>
      <c r="BH2084" s="4"/>
      <c r="BI2084" s="4" t="n">
        <v>24</v>
      </c>
      <c r="BJ2084" s="4" t="s">
        <v>338</v>
      </c>
      <c r="BK2084" s="4" t="s">
        <v>100</v>
      </c>
      <c r="BL2084" s="4" t="s">
        <v>338</v>
      </c>
      <c r="BM2084" s="4" t="s">
        <v>35108</v>
      </c>
      <c r="BN2084" s="4" t="n">
        <v>38925790</v>
      </c>
      <c r="BO2084" s="4" t="s">
        <v>103</v>
      </c>
      <c r="BP2084" s="4"/>
      <c r="BQ2084" s="4"/>
      <c r="BR2084" s="4" t="s">
        <v>104</v>
      </c>
      <c r="BS2084" s="4" t="s">
        <v>35109</v>
      </c>
      <c r="BT2084" s="4" t="str">
        <f aca="false">HYPERLINK("https%3A%2F%2Fwww.webofscience.com%2Fwos%2Fwoscc%2Ffull-record%2FWOS:001266091000003","View Full Record in Web of Science")</f>
        <v>View Full Record in Web of Science</v>
      </c>
    </row>
    <row r="2085" s="5" customFormat="true" ht="12.75" hidden="false" customHeight="false" outlineLevel="0" collapsed="false">
      <c r="A2085" s="4" t="s">
        <v>72</v>
      </c>
      <c r="B2085" s="4" t="s">
        <v>35110</v>
      </c>
      <c r="C2085" s="4"/>
      <c r="D2085" s="4"/>
      <c r="E2085" s="4"/>
      <c r="F2085" s="4" t="s">
        <v>35111</v>
      </c>
      <c r="G2085" s="4"/>
      <c r="H2085" s="4"/>
      <c r="I2085" s="4" t="s">
        <v>35112</v>
      </c>
      <c r="J2085" s="4" t="s">
        <v>35113</v>
      </c>
      <c r="K2085" s="4"/>
      <c r="L2085" s="4"/>
      <c r="M2085" s="4" t="s">
        <v>77</v>
      </c>
      <c r="N2085" s="4" t="s">
        <v>78</v>
      </c>
      <c r="O2085" s="4"/>
      <c r="P2085" s="4"/>
      <c r="Q2085" s="4"/>
      <c r="R2085" s="4"/>
      <c r="S2085" s="4"/>
      <c r="T2085" s="1" t="s">
        <v>35114</v>
      </c>
      <c r="U2085" s="4" t="s">
        <v>35115</v>
      </c>
      <c r="V2085" s="4" t="s">
        <v>35116</v>
      </c>
      <c r="W2085" s="4" t="s">
        <v>35117</v>
      </c>
      <c r="X2085" s="4" t="s">
        <v>35118</v>
      </c>
      <c r="Y2085" s="4" t="s">
        <v>35119</v>
      </c>
      <c r="Z2085" s="4" t="s">
        <v>35120</v>
      </c>
      <c r="AA2085" s="4"/>
      <c r="AB2085" s="4"/>
      <c r="AC2085" s="4"/>
      <c r="AD2085" s="4"/>
      <c r="AE2085" s="4"/>
      <c r="AF2085" s="4"/>
      <c r="AG2085" s="4" t="n">
        <v>94</v>
      </c>
      <c r="AH2085" s="4" t="n">
        <v>46</v>
      </c>
      <c r="AI2085" s="4" t="n">
        <v>54</v>
      </c>
      <c r="AJ2085" s="4" t="n">
        <v>0</v>
      </c>
      <c r="AK2085" s="4" t="n">
        <v>5</v>
      </c>
      <c r="AL2085" s="4" t="s">
        <v>28794</v>
      </c>
      <c r="AM2085" s="4" t="s">
        <v>28795</v>
      </c>
      <c r="AN2085" s="4" t="s">
        <v>28796</v>
      </c>
      <c r="AO2085" s="4" t="s">
        <v>35121</v>
      </c>
      <c r="AP2085" s="4" t="s">
        <v>35122</v>
      </c>
      <c r="AQ2085" s="4"/>
      <c r="AR2085" s="4" t="s">
        <v>35113</v>
      </c>
      <c r="AS2085" s="4" t="s">
        <v>35123</v>
      </c>
      <c r="AT2085" s="4"/>
      <c r="AU2085" s="4" t="n">
        <v>2007</v>
      </c>
      <c r="AV2085" s="4" t="n">
        <v>67</v>
      </c>
      <c r="AW2085" s="4" t="n">
        <v>10</v>
      </c>
      <c r="AX2085" s="4"/>
      <c r="AY2085" s="4"/>
      <c r="AZ2085" s="4"/>
      <c r="BA2085" s="4"/>
      <c r="BB2085" s="4" t="n">
        <v>1411</v>
      </c>
      <c r="BC2085" s="4" t="n">
        <v>1427</v>
      </c>
      <c r="BD2085" s="4"/>
      <c r="BE2085" s="4" t="s">
        <v>35124</v>
      </c>
      <c r="BF2085" s="4" t="str">
        <f aca="false">HYPERLINK("http://dx.doi.org/10.2165/00003495-200767100-00004","http://dx.doi.org/10.2165/00003495-200767100-00004")</f>
        <v>http://dx.doi.org/10.2165/00003495-200767100-00004</v>
      </c>
      <c r="BG2085" s="4"/>
      <c r="BH2085" s="4"/>
      <c r="BI2085" s="4" t="n">
        <v>17</v>
      </c>
      <c r="BJ2085" s="4" t="s">
        <v>35125</v>
      </c>
      <c r="BK2085" s="4" t="s">
        <v>100</v>
      </c>
      <c r="BL2085" s="4" t="s">
        <v>35125</v>
      </c>
      <c r="BM2085" s="4" t="s">
        <v>35126</v>
      </c>
      <c r="BN2085" s="4" t="n">
        <v>17600390</v>
      </c>
      <c r="BO2085" s="4" t="s">
        <v>1267</v>
      </c>
      <c r="BP2085" s="4"/>
      <c r="BQ2085" s="4"/>
      <c r="BR2085" s="4" t="s">
        <v>104</v>
      </c>
      <c r="BS2085" s="4" t="s">
        <v>35127</v>
      </c>
      <c r="BT2085" s="4" t="str">
        <f aca="false">HYPERLINK("https%3A%2F%2Fwww.webofscience.com%2Fwos%2Fwoscc%2Ffull-record%2FWOS:000248379200004","View Full Record in Web of Science")</f>
        <v>View Full Record in Web of Science</v>
      </c>
    </row>
    <row r="2086" s="5" customFormat="true" ht="12.75" hidden="false" customHeight="false" outlineLevel="0" collapsed="false">
      <c r="A2086" s="4" t="s">
        <v>72</v>
      </c>
      <c r="B2086" s="4" t="s">
        <v>35128</v>
      </c>
      <c r="C2086" s="4"/>
      <c r="D2086" s="4"/>
      <c r="E2086" s="4"/>
      <c r="F2086" s="4" t="s">
        <v>35129</v>
      </c>
      <c r="G2086" s="4"/>
      <c r="H2086" s="4"/>
      <c r="I2086" s="4" t="s">
        <v>35130</v>
      </c>
      <c r="J2086" s="4" t="s">
        <v>29489</v>
      </c>
      <c r="K2086" s="4"/>
      <c r="L2086" s="4"/>
      <c r="M2086" s="4" t="s">
        <v>77</v>
      </c>
      <c r="N2086" s="4" t="s">
        <v>78</v>
      </c>
      <c r="O2086" s="4"/>
      <c r="P2086" s="4"/>
      <c r="Q2086" s="4"/>
      <c r="R2086" s="4"/>
      <c r="S2086" s="4"/>
      <c r="T2086" s="1" t="s">
        <v>35131</v>
      </c>
      <c r="U2086" s="4" t="s">
        <v>35132</v>
      </c>
      <c r="V2086" s="4" t="s">
        <v>35133</v>
      </c>
      <c r="W2086" s="4" t="s">
        <v>35134</v>
      </c>
      <c r="X2086" s="4" t="s">
        <v>33017</v>
      </c>
      <c r="Y2086" s="4"/>
      <c r="Z2086" s="4" t="s">
        <v>35135</v>
      </c>
      <c r="AA2086" s="4" t="s">
        <v>941</v>
      </c>
      <c r="AB2086" s="4" t="s">
        <v>35136</v>
      </c>
      <c r="AC2086" s="4"/>
      <c r="AD2086" s="4"/>
      <c r="AE2086" s="4"/>
      <c r="AF2086" s="4"/>
      <c r="AG2086" s="4" t="n">
        <v>16</v>
      </c>
      <c r="AH2086" s="4" t="n">
        <v>20</v>
      </c>
      <c r="AI2086" s="4" t="n">
        <v>21</v>
      </c>
      <c r="AJ2086" s="4" t="n">
        <v>0</v>
      </c>
      <c r="AK2086" s="4" t="n">
        <v>4</v>
      </c>
      <c r="AL2086" s="4" t="s">
        <v>755</v>
      </c>
      <c r="AM2086" s="4" t="s">
        <v>273</v>
      </c>
      <c r="AN2086" s="4" t="s">
        <v>756</v>
      </c>
      <c r="AO2086" s="4" t="s">
        <v>29497</v>
      </c>
      <c r="AP2086" s="4" t="s">
        <v>29498</v>
      </c>
      <c r="AQ2086" s="4"/>
      <c r="AR2086" s="4" t="s">
        <v>29499</v>
      </c>
      <c r="AS2086" s="4" t="s">
        <v>29500</v>
      </c>
      <c r="AT2086" s="4" t="s">
        <v>161</v>
      </c>
      <c r="AU2086" s="4" t="n">
        <v>2013</v>
      </c>
      <c r="AV2086" s="4" t="n">
        <v>20</v>
      </c>
      <c r="AW2086" s="4" t="n">
        <v>1</v>
      </c>
      <c r="AX2086" s="4"/>
      <c r="AY2086" s="4"/>
      <c r="AZ2086" s="4"/>
      <c r="BA2086" s="4"/>
      <c r="BB2086" s="4" t="n">
        <v>113</v>
      </c>
      <c r="BC2086" s="4" t="n">
        <v>114</v>
      </c>
      <c r="BD2086" s="4"/>
      <c r="BE2086" s="4" t="s">
        <v>35137</v>
      </c>
      <c r="BF2086" s="4" t="str">
        <f aca="false">HYPERLINK("http://dx.doi.org/10.1128/CVI.00325-12","http://dx.doi.org/10.1128/CVI.00325-12")</f>
        <v>http://dx.doi.org/10.1128/CVI.00325-12</v>
      </c>
      <c r="BG2086" s="4"/>
      <c r="BH2086" s="4"/>
      <c r="BI2086" s="4" t="n">
        <v>2</v>
      </c>
      <c r="BJ2086" s="4" t="s">
        <v>536</v>
      </c>
      <c r="BK2086" s="4" t="s">
        <v>100</v>
      </c>
      <c r="BL2086" s="4" t="s">
        <v>536</v>
      </c>
      <c r="BM2086" s="4" t="s">
        <v>35138</v>
      </c>
      <c r="BN2086" s="4" t="n">
        <v>23114699</v>
      </c>
      <c r="BO2086" s="4" t="s">
        <v>190</v>
      </c>
      <c r="BP2086" s="4"/>
      <c r="BQ2086" s="4"/>
      <c r="BR2086" s="4" t="s">
        <v>104</v>
      </c>
      <c r="BS2086" s="4" t="s">
        <v>35139</v>
      </c>
      <c r="BT2086" s="4" t="str">
        <f aca="false">HYPERLINK("https%3A%2F%2Fwww.webofscience.com%2Fwos%2Fwoscc%2Ffull-record%2FWOS:000313064400017","View Full Record in Web of Science")</f>
        <v>View Full Record in Web of Science</v>
      </c>
    </row>
    <row r="2087" s="5" customFormat="true" ht="12.75" hidden="false" customHeight="false" outlineLevel="0" collapsed="false">
      <c r="A2087" s="4" t="s">
        <v>72</v>
      </c>
      <c r="B2087" s="4" t="s">
        <v>35140</v>
      </c>
      <c r="C2087" s="4"/>
      <c r="D2087" s="4"/>
      <c r="E2087" s="4"/>
      <c r="F2087" s="4" t="s">
        <v>35141</v>
      </c>
      <c r="G2087" s="4"/>
      <c r="H2087" s="4"/>
      <c r="I2087" s="4" t="s">
        <v>35142</v>
      </c>
      <c r="J2087" s="4" t="s">
        <v>2222</v>
      </c>
      <c r="K2087" s="4"/>
      <c r="L2087" s="4"/>
      <c r="M2087" s="4" t="s">
        <v>77</v>
      </c>
      <c r="N2087" s="4" t="s">
        <v>78</v>
      </c>
      <c r="O2087" s="4"/>
      <c r="P2087" s="4"/>
      <c r="Q2087" s="4"/>
      <c r="R2087" s="4"/>
      <c r="S2087" s="4"/>
      <c r="T2087" s="1" t="s">
        <v>35143</v>
      </c>
      <c r="U2087" s="4" t="s">
        <v>35144</v>
      </c>
      <c r="V2087" s="4" t="s">
        <v>35145</v>
      </c>
      <c r="W2087" s="4" t="s">
        <v>35146</v>
      </c>
      <c r="X2087" s="4" t="s">
        <v>1478</v>
      </c>
      <c r="Y2087" s="4" t="s">
        <v>35147</v>
      </c>
      <c r="Z2087" s="4" t="s">
        <v>35148</v>
      </c>
      <c r="AA2087" s="4" t="s">
        <v>35149</v>
      </c>
      <c r="AB2087" s="4"/>
      <c r="AC2087" s="4" t="s">
        <v>35150</v>
      </c>
      <c r="AD2087" s="4" t="s">
        <v>35151</v>
      </c>
      <c r="AE2087" s="4" t="s">
        <v>35152</v>
      </c>
      <c r="AF2087" s="4"/>
      <c r="AG2087" s="4" t="n">
        <v>22</v>
      </c>
      <c r="AH2087" s="4" t="n">
        <v>17</v>
      </c>
      <c r="AI2087" s="4" t="n">
        <v>20</v>
      </c>
      <c r="AJ2087" s="4" t="n">
        <v>0</v>
      </c>
      <c r="AK2087" s="4" t="n">
        <v>6</v>
      </c>
      <c r="AL2087" s="4" t="s">
        <v>755</v>
      </c>
      <c r="AM2087" s="4" t="s">
        <v>273</v>
      </c>
      <c r="AN2087" s="4" t="s">
        <v>756</v>
      </c>
      <c r="AO2087" s="4" t="s">
        <v>2234</v>
      </c>
      <c r="AP2087" s="4" t="s">
        <v>2235</v>
      </c>
      <c r="AQ2087" s="4"/>
      <c r="AR2087" s="4" t="s">
        <v>2236</v>
      </c>
      <c r="AS2087" s="4" t="s">
        <v>2237</v>
      </c>
      <c r="AT2087" s="4" t="s">
        <v>161</v>
      </c>
      <c r="AU2087" s="4" t="n">
        <v>2013</v>
      </c>
      <c r="AV2087" s="4" t="n">
        <v>51</v>
      </c>
      <c r="AW2087" s="4" t="n">
        <v>1</v>
      </c>
      <c r="AX2087" s="4"/>
      <c r="AY2087" s="4"/>
      <c r="AZ2087" s="4"/>
      <c r="BA2087" s="4"/>
      <c r="BB2087" s="4" t="n">
        <v>324</v>
      </c>
      <c r="BC2087" s="4" t="n">
        <v>327</v>
      </c>
      <c r="BD2087" s="4"/>
      <c r="BE2087" s="4" t="s">
        <v>35153</v>
      </c>
      <c r="BF2087" s="4" t="str">
        <f aca="false">HYPERLINK("http://dx.doi.org/10.1128/JCM.02871-12","http://dx.doi.org/10.1128/JCM.02871-12")</f>
        <v>http://dx.doi.org/10.1128/JCM.02871-12</v>
      </c>
      <c r="BG2087" s="4"/>
      <c r="BH2087" s="4"/>
      <c r="BI2087" s="4" t="n">
        <v>4</v>
      </c>
      <c r="BJ2087" s="4" t="s">
        <v>211</v>
      </c>
      <c r="BK2087" s="4" t="s">
        <v>100</v>
      </c>
      <c r="BL2087" s="4" t="s">
        <v>211</v>
      </c>
      <c r="BM2087" s="4" t="s">
        <v>35154</v>
      </c>
      <c r="BN2087" s="4" t="n">
        <v>23135933</v>
      </c>
      <c r="BO2087" s="4" t="s">
        <v>1267</v>
      </c>
      <c r="BP2087" s="4"/>
      <c r="BQ2087" s="4"/>
      <c r="BR2087" s="4" t="s">
        <v>104</v>
      </c>
      <c r="BS2087" s="4" t="s">
        <v>35155</v>
      </c>
      <c r="BT2087" s="4" t="str">
        <f aca="false">HYPERLINK("https%3A%2F%2Fwww.webofscience.com%2Fwos%2Fwoscc%2Ffull-record%2FWOS:000314105100058","View Full Record in Web of Science")</f>
        <v>View Full Record in Web of Science</v>
      </c>
    </row>
    <row r="2088" s="5" customFormat="true" ht="12.75" hidden="false" customHeight="false" outlineLevel="0" collapsed="false">
      <c r="A2088" s="4" t="s">
        <v>72</v>
      </c>
      <c r="B2088" s="4" t="s">
        <v>35156</v>
      </c>
      <c r="C2088" s="4"/>
      <c r="D2088" s="4"/>
      <c r="E2088" s="4"/>
      <c r="F2088" s="4" t="s">
        <v>35157</v>
      </c>
      <c r="G2088" s="4"/>
      <c r="H2088" s="4"/>
      <c r="I2088" s="4" t="s">
        <v>35158</v>
      </c>
      <c r="J2088" s="4" t="s">
        <v>10031</v>
      </c>
      <c r="K2088" s="4"/>
      <c r="L2088" s="4"/>
      <c r="M2088" s="4" t="s">
        <v>77</v>
      </c>
      <c r="N2088" s="4" t="s">
        <v>78</v>
      </c>
      <c r="O2088" s="4"/>
      <c r="P2088" s="4"/>
      <c r="Q2088" s="4"/>
      <c r="R2088" s="4"/>
      <c r="S2088" s="4"/>
      <c r="T2088" s="1" t="s">
        <v>35159</v>
      </c>
      <c r="U2088" s="4" t="s">
        <v>35160</v>
      </c>
      <c r="V2088" s="4" t="s">
        <v>35161</v>
      </c>
      <c r="W2088" s="4" t="s">
        <v>35162</v>
      </c>
      <c r="X2088" s="4" t="s">
        <v>35163</v>
      </c>
      <c r="Y2088" s="4" t="s">
        <v>35164</v>
      </c>
      <c r="Z2088" s="4" t="s">
        <v>25855</v>
      </c>
      <c r="AA2088" s="4" t="s">
        <v>35165</v>
      </c>
      <c r="AB2088" s="4" t="s">
        <v>35166</v>
      </c>
      <c r="AC2088" s="4" t="s">
        <v>35167</v>
      </c>
      <c r="AD2088" s="4" t="s">
        <v>35168</v>
      </c>
      <c r="AE2088" s="4" t="s">
        <v>35169</v>
      </c>
      <c r="AF2088" s="4"/>
      <c r="AG2088" s="4" t="n">
        <v>31</v>
      </c>
      <c r="AH2088" s="4" t="n">
        <v>59</v>
      </c>
      <c r="AI2088" s="4" t="n">
        <v>65</v>
      </c>
      <c r="AJ2088" s="4" t="n">
        <v>0</v>
      </c>
      <c r="AK2088" s="4" t="n">
        <v>6</v>
      </c>
      <c r="AL2088" s="4" t="s">
        <v>10039</v>
      </c>
      <c r="AM2088" s="4" t="s">
        <v>10040</v>
      </c>
      <c r="AN2088" s="4" t="s">
        <v>21829</v>
      </c>
      <c r="AO2088" s="4" t="s">
        <v>10042</v>
      </c>
      <c r="AP2088" s="4"/>
      <c r="AQ2088" s="4"/>
      <c r="AR2088" s="4" t="s">
        <v>10043</v>
      </c>
      <c r="AS2088" s="4" t="s">
        <v>10044</v>
      </c>
      <c r="AT2088" s="4" t="s">
        <v>185</v>
      </c>
      <c r="AU2088" s="4" t="n">
        <v>2013</v>
      </c>
      <c r="AV2088" s="4" t="n">
        <v>42</v>
      </c>
      <c r="AW2088" s="4" t="n">
        <v>2</v>
      </c>
      <c r="AX2088" s="4"/>
      <c r="AY2088" s="4"/>
      <c r="AZ2088" s="4"/>
      <c r="BA2088" s="4"/>
      <c r="BB2088" s="4" t="n">
        <v>461</v>
      </c>
      <c r="BC2088" s="4" t="n">
        <v>469</v>
      </c>
      <c r="BD2088" s="4"/>
      <c r="BE2088" s="4" t="s">
        <v>35170</v>
      </c>
      <c r="BF2088" s="4" t="str">
        <f aca="false">HYPERLINK("http://dx.doi.org/10.1183/09031936.00101812","http://dx.doi.org/10.1183/09031936.00101812")</f>
        <v>http://dx.doi.org/10.1183/09031936.00101812</v>
      </c>
      <c r="BG2088" s="4"/>
      <c r="BH2088" s="4"/>
      <c r="BI2088" s="4" t="n">
        <v>9</v>
      </c>
      <c r="BJ2088" s="4" t="s">
        <v>338</v>
      </c>
      <c r="BK2088" s="4" t="s">
        <v>100</v>
      </c>
      <c r="BL2088" s="4" t="s">
        <v>338</v>
      </c>
      <c r="BM2088" s="4" t="s">
        <v>35171</v>
      </c>
      <c r="BN2088" s="4" t="n">
        <v>23645407</v>
      </c>
      <c r="BO2088" s="4" t="s">
        <v>656</v>
      </c>
      <c r="BP2088" s="4"/>
      <c r="BQ2088" s="4"/>
      <c r="BR2088" s="4" t="s">
        <v>104</v>
      </c>
      <c r="BS2088" s="4" t="s">
        <v>35172</v>
      </c>
      <c r="BT2088" s="4" t="str">
        <f aca="false">HYPERLINK("https%3A%2F%2Fwww.webofscience.com%2Fwos%2Fwoscc%2Ffull-record%2FWOS:000323586100021","View Full Record in Web of Science")</f>
        <v>View Full Record in Web of Science</v>
      </c>
    </row>
    <row r="2089" s="5" customFormat="true" ht="12.75" hidden="false" customHeight="false" outlineLevel="0" collapsed="false">
      <c r="A2089" s="4" t="s">
        <v>72</v>
      </c>
      <c r="B2089" s="4" t="s">
        <v>35173</v>
      </c>
      <c r="C2089" s="4"/>
      <c r="D2089" s="4"/>
      <c r="E2089" s="4"/>
      <c r="F2089" s="4" t="s">
        <v>35174</v>
      </c>
      <c r="G2089" s="4"/>
      <c r="H2089" s="4"/>
      <c r="I2089" s="4" t="s">
        <v>35175</v>
      </c>
      <c r="J2089" s="4" t="s">
        <v>742</v>
      </c>
      <c r="K2089" s="4"/>
      <c r="L2089" s="4"/>
      <c r="M2089" s="4" t="s">
        <v>77</v>
      </c>
      <c r="N2089" s="4" t="s">
        <v>78</v>
      </c>
      <c r="O2089" s="4"/>
      <c r="P2089" s="4"/>
      <c r="Q2089" s="4"/>
      <c r="R2089" s="4"/>
      <c r="S2089" s="4"/>
      <c r="T2089" s="1" t="s">
        <v>35176</v>
      </c>
      <c r="U2089" s="4" t="s">
        <v>35177</v>
      </c>
      <c r="V2089" s="4" t="s">
        <v>35178</v>
      </c>
      <c r="W2089" s="4" t="s">
        <v>35179</v>
      </c>
      <c r="X2089" s="4" t="s">
        <v>13866</v>
      </c>
      <c r="Y2089" s="4" t="s">
        <v>35180</v>
      </c>
      <c r="Z2089" s="4" t="s">
        <v>13868</v>
      </c>
      <c r="AA2089" s="4" t="s">
        <v>13869</v>
      </c>
      <c r="AB2089" s="4"/>
      <c r="AC2089" s="4"/>
      <c r="AD2089" s="4"/>
      <c r="AE2089" s="4"/>
      <c r="AF2089" s="4"/>
      <c r="AG2089" s="4" t="n">
        <v>72</v>
      </c>
      <c r="AH2089" s="4" t="n">
        <v>22</v>
      </c>
      <c r="AI2089" s="4" t="n">
        <v>29</v>
      </c>
      <c r="AJ2089" s="4" t="n">
        <v>0</v>
      </c>
      <c r="AK2089" s="4" t="n">
        <v>5</v>
      </c>
      <c r="AL2089" s="4" t="s">
        <v>755</v>
      </c>
      <c r="AM2089" s="4" t="s">
        <v>273</v>
      </c>
      <c r="AN2089" s="4" t="s">
        <v>756</v>
      </c>
      <c r="AO2089" s="4" t="s">
        <v>757</v>
      </c>
      <c r="AP2089" s="4" t="s">
        <v>758</v>
      </c>
      <c r="AQ2089" s="4"/>
      <c r="AR2089" s="4" t="s">
        <v>759</v>
      </c>
      <c r="AS2089" s="4" t="s">
        <v>760</v>
      </c>
      <c r="AT2089" s="4" t="s">
        <v>446</v>
      </c>
      <c r="AU2089" s="4" t="n">
        <v>2007</v>
      </c>
      <c r="AV2089" s="4" t="n">
        <v>81</v>
      </c>
      <c r="AW2089" s="4" t="n">
        <v>24</v>
      </c>
      <c r="AX2089" s="4"/>
      <c r="AY2089" s="4"/>
      <c r="AZ2089" s="4"/>
      <c r="BA2089" s="4"/>
      <c r="BB2089" s="4" t="n">
        <v>13435</v>
      </c>
      <c r="BC2089" s="4" t="n">
        <v>13443</v>
      </c>
      <c r="BD2089" s="4"/>
      <c r="BE2089" s="4" t="s">
        <v>35181</v>
      </c>
      <c r="BF2089" s="4" t="str">
        <f aca="false">HYPERLINK("http://dx.doi.org/10.1128/JVI.01469-07","http://dx.doi.org/10.1128/JVI.01469-07")</f>
        <v>http://dx.doi.org/10.1128/JVI.01469-07</v>
      </c>
      <c r="BG2089" s="4"/>
      <c r="BH2089" s="4"/>
      <c r="BI2089" s="4" t="n">
        <v>9</v>
      </c>
      <c r="BJ2089" s="4" t="s">
        <v>163</v>
      </c>
      <c r="BK2089" s="4" t="s">
        <v>100</v>
      </c>
      <c r="BL2089" s="4" t="s">
        <v>163</v>
      </c>
      <c r="BM2089" s="4" t="s">
        <v>35182</v>
      </c>
      <c r="BN2089" s="4" t="n">
        <v>17913798</v>
      </c>
      <c r="BO2089" s="4" t="s">
        <v>165</v>
      </c>
      <c r="BP2089" s="4"/>
      <c r="BQ2089" s="4"/>
      <c r="BR2089" s="4" t="s">
        <v>104</v>
      </c>
      <c r="BS2089" s="4" t="s">
        <v>35183</v>
      </c>
      <c r="BT2089" s="4" t="str">
        <f aca="false">HYPERLINK("https%3A%2F%2Fwww.webofscience.com%2Fwos%2Fwoscc%2Ffull-record%2FWOS:000251552100016","View Full Record in Web of Science")</f>
        <v>View Full Record in Web of Science</v>
      </c>
    </row>
    <row r="2090" s="5" customFormat="true" ht="12.75" hidden="false" customHeight="false" outlineLevel="0" collapsed="false">
      <c r="A2090" s="4" t="s">
        <v>72</v>
      </c>
      <c r="B2090" s="4" t="s">
        <v>35184</v>
      </c>
      <c r="C2090" s="4"/>
      <c r="D2090" s="4"/>
      <c r="E2090" s="4"/>
      <c r="F2090" s="4" t="s">
        <v>35185</v>
      </c>
      <c r="G2090" s="4"/>
      <c r="H2090" s="4"/>
      <c r="I2090" s="4" t="s">
        <v>35186</v>
      </c>
      <c r="J2090" s="4" t="s">
        <v>6395</v>
      </c>
      <c r="K2090" s="4"/>
      <c r="L2090" s="4"/>
      <c r="M2090" s="4" t="s">
        <v>77</v>
      </c>
      <c r="N2090" s="4" t="s">
        <v>78</v>
      </c>
      <c r="O2090" s="4"/>
      <c r="P2090" s="4"/>
      <c r="Q2090" s="4"/>
      <c r="R2090" s="4"/>
      <c r="S2090" s="4"/>
      <c r="T2090" s="1" t="s">
        <v>35187</v>
      </c>
      <c r="U2090" s="4" t="s">
        <v>35188</v>
      </c>
      <c r="V2090" s="4" t="s">
        <v>35189</v>
      </c>
      <c r="W2090" s="4" t="s">
        <v>35190</v>
      </c>
      <c r="X2090" s="4" t="s">
        <v>35191</v>
      </c>
      <c r="Y2090" s="4" t="s">
        <v>35192</v>
      </c>
      <c r="Z2090" s="4" t="s">
        <v>35193</v>
      </c>
      <c r="AA2090" s="4" t="s">
        <v>35194</v>
      </c>
      <c r="AB2090" s="4" t="s">
        <v>35195</v>
      </c>
      <c r="AC2090" s="4" t="s">
        <v>35196</v>
      </c>
      <c r="AD2090" s="4" t="s">
        <v>35197</v>
      </c>
      <c r="AE2090" s="4" t="s">
        <v>35198</v>
      </c>
      <c r="AF2090" s="4"/>
      <c r="AG2090" s="4" t="n">
        <v>46</v>
      </c>
      <c r="AH2090" s="4" t="n">
        <v>26</v>
      </c>
      <c r="AI2090" s="4" t="n">
        <v>26</v>
      </c>
      <c r="AJ2090" s="4" t="n">
        <v>0</v>
      </c>
      <c r="AK2090" s="4" t="n">
        <v>6</v>
      </c>
      <c r="AL2090" s="4" t="s">
        <v>6405</v>
      </c>
      <c r="AM2090" s="4" t="s">
        <v>6406</v>
      </c>
      <c r="AN2090" s="4" t="s">
        <v>6407</v>
      </c>
      <c r="AO2090" s="4" t="s">
        <v>6408</v>
      </c>
      <c r="AP2090" s="4"/>
      <c r="AQ2090" s="4"/>
      <c r="AR2090" s="4" t="s">
        <v>6409</v>
      </c>
      <c r="AS2090" s="4" t="s">
        <v>6410</v>
      </c>
      <c r="AT2090" s="4" t="s">
        <v>4924</v>
      </c>
      <c r="AU2090" s="4" t="n">
        <v>2019</v>
      </c>
      <c r="AV2090" s="4" t="n">
        <v>9</v>
      </c>
      <c r="AW2090" s="4"/>
      <c r="AX2090" s="4"/>
      <c r="AY2090" s="4"/>
      <c r="AZ2090" s="4"/>
      <c r="BA2090" s="4"/>
      <c r="BB2090" s="4"/>
      <c r="BC2090" s="4"/>
      <c r="BD2090" s="4" t="n">
        <v>11493</v>
      </c>
      <c r="BE2090" s="4" t="s">
        <v>35199</v>
      </c>
      <c r="BF2090" s="4" t="str">
        <f aca="false">HYPERLINK("http://dx.doi.org/10.1038/s41598-019-48013-7","http://dx.doi.org/10.1038/s41598-019-48013-7")</f>
        <v>http://dx.doi.org/10.1038/s41598-019-48013-7</v>
      </c>
      <c r="BG2090" s="4"/>
      <c r="BH2090" s="4"/>
      <c r="BI2090" s="4" t="n">
        <v>12</v>
      </c>
      <c r="BJ2090" s="4" t="s">
        <v>1658</v>
      </c>
      <c r="BK2090" s="4" t="s">
        <v>100</v>
      </c>
      <c r="BL2090" s="4" t="s">
        <v>1659</v>
      </c>
      <c r="BM2090" s="4" t="s">
        <v>35200</v>
      </c>
      <c r="BN2090" s="4" t="n">
        <v>31391513</v>
      </c>
      <c r="BO2090" s="4" t="s">
        <v>103</v>
      </c>
      <c r="BP2090" s="4"/>
      <c r="BQ2090" s="4"/>
      <c r="BR2090" s="4" t="s">
        <v>104</v>
      </c>
      <c r="BS2090" s="4" t="s">
        <v>35201</v>
      </c>
      <c r="BT2090" s="4" t="str">
        <f aca="false">HYPERLINK("https%3A%2F%2Fwww.webofscience.com%2Fwos%2Fwoscc%2Ffull-record%2FWOS:000479030000065","View Full Record in Web of Science")</f>
        <v>View Full Record in Web of Science</v>
      </c>
    </row>
    <row r="2091" s="5" customFormat="true" ht="12.75" hidden="false" customHeight="false" outlineLevel="0" collapsed="false">
      <c r="A2091" s="4" t="s">
        <v>72</v>
      </c>
      <c r="B2091" s="4" t="s">
        <v>35202</v>
      </c>
      <c r="C2091" s="4"/>
      <c r="D2091" s="4"/>
      <c r="E2091" s="4"/>
      <c r="F2091" s="4" t="s">
        <v>35203</v>
      </c>
      <c r="G2091" s="4"/>
      <c r="H2091" s="4"/>
      <c r="I2091" s="4" t="s">
        <v>35204</v>
      </c>
      <c r="J2091" s="4" t="s">
        <v>6395</v>
      </c>
      <c r="K2091" s="4"/>
      <c r="L2091" s="4"/>
      <c r="M2091" s="4" t="s">
        <v>77</v>
      </c>
      <c r="N2091" s="4" t="s">
        <v>78</v>
      </c>
      <c r="O2091" s="4"/>
      <c r="P2091" s="4"/>
      <c r="Q2091" s="4"/>
      <c r="R2091" s="4"/>
      <c r="S2091" s="4"/>
      <c r="T2091" s="1" t="s">
        <v>35205</v>
      </c>
      <c r="U2091" s="4"/>
      <c r="V2091" s="4" t="s">
        <v>35206</v>
      </c>
      <c r="W2091" s="4" t="s">
        <v>35207</v>
      </c>
      <c r="X2091" s="4" t="s">
        <v>35208</v>
      </c>
      <c r="Y2091" s="4" t="s">
        <v>35209</v>
      </c>
      <c r="Z2091" s="4" t="s">
        <v>35210</v>
      </c>
      <c r="AA2091" s="4" t="s">
        <v>15890</v>
      </c>
      <c r="AB2091" s="4" t="s">
        <v>35211</v>
      </c>
      <c r="AC2091" s="4" t="s">
        <v>35212</v>
      </c>
      <c r="AD2091" s="4" t="s">
        <v>35213</v>
      </c>
      <c r="AE2091" s="4" t="s">
        <v>35214</v>
      </c>
      <c r="AF2091" s="4"/>
      <c r="AG2091" s="4" t="n">
        <v>39</v>
      </c>
      <c r="AH2091" s="4" t="n">
        <v>12</v>
      </c>
      <c r="AI2091" s="4" t="n">
        <v>12</v>
      </c>
      <c r="AJ2091" s="4" t="n">
        <v>0</v>
      </c>
      <c r="AK2091" s="4" t="n">
        <v>0</v>
      </c>
      <c r="AL2091" s="4" t="s">
        <v>6405</v>
      </c>
      <c r="AM2091" s="4" t="s">
        <v>6406</v>
      </c>
      <c r="AN2091" s="4" t="s">
        <v>6407</v>
      </c>
      <c r="AO2091" s="4" t="s">
        <v>6408</v>
      </c>
      <c r="AP2091" s="4"/>
      <c r="AQ2091" s="4"/>
      <c r="AR2091" s="4" t="s">
        <v>6409</v>
      </c>
      <c r="AS2091" s="4" t="s">
        <v>6410</v>
      </c>
      <c r="AT2091" s="4" t="s">
        <v>33649</v>
      </c>
      <c r="AU2091" s="4" t="n">
        <v>2021</v>
      </c>
      <c r="AV2091" s="4" t="n">
        <v>11</v>
      </c>
      <c r="AW2091" s="4" t="n">
        <v>1</v>
      </c>
      <c r="AX2091" s="4"/>
      <c r="AY2091" s="4"/>
      <c r="AZ2091" s="4"/>
      <c r="BA2091" s="4"/>
      <c r="BB2091" s="4"/>
      <c r="BC2091" s="4"/>
      <c r="BD2091" s="4" t="n">
        <v>5163</v>
      </c>
      <c r="BE2091" s="4" t="s">
        <v>35215</v>
      </c>
      <c r="BF2091" s="4" t="str">
        <f aca="false">HYPERLINK("http://dx.doi.org/10.1038/s41598-021-84423-2","http://dx.doi.org/10.1038/s41598-021-84423-2")</f>
        <v>http://dx.doi.org/10.1038/s41598-021-84423-2</v>
      </c>
      <c r="BG2091" s="4"/>
      <c r="BH2091" s="4"/>
      <c r="BI2091" s="4" t="n">
        <v>11</v>
      </c>
      <c r="BJ2091" s="4" t="s">
        <v>1658</v>
      </c>
      <c r="BK2091" s="4" t="s">
        <v>100</v>
      </c>
      <c r="BL2091" s="4" t="s">
        <v>1659</v>
      </c>
      <c r="BM2091" s="4" t="s">
        <v>35216</v>
      </c>
      <c r="BN2091" s="4" t="n">
        <v>33664311</v>
      </c>
      <c r="BO2091" s="4" t="s">
        <v>190</v>
      </c>
      <c r="BP2091" s="4"/>
      <c r="BQ2091" s="4"/>
      <c r="BR2091" s="4" t="s">
        <v>104</v>
      </c>
      <c r="BS2091" s="4" t="s">
        <v>35217</v>
      </c>
      <c r="BT2091" s="4" t="str">
        <f aca="false">HYPERLINK("https%3A%2F%2Fwww.webofscience.com%2Fwos%2Fwoscc%2Ffull-record%2FWOS:000626139000053","View Full Record in Web of Science")</f>
        <v>View Full Record in Web of Science</v>
      </c>
    </row>
    <row r="2092" s="5" customFormat="true" ht="12.75" hidden="false" customHeight="false" outlineLevel="0" collapsed="false">
      <c r="A2092" s="4" t="s">
        <v>72</v>
      </c>
      <c r="B2092" s="4" t="s">
        <v>35218</v>
      </c>
      <c r="C2092" s="4"/>
      <c r="D2092" s="4"/>
      <c r="E2092" s="4"/>
      <c r="F2092" s="4" t="s">
        <v>35219</v>
      </c>
      <c r="G2092" s="4"/>
      <c r="H2092" s="4"/>
      <c r="I2092" s="4" t="s">
        <v>35220</v>
      </c>
      <c r="J2092" s="4" t="s">
        <v>35221</v>
      </c>
      <c r="K2092" s="4"/>
      <c r="L2092" s="4"/>
      <c r="M2092" s="4" t="s">
        <v>77</v>
      </c>
      <c r="N2092" s="4" t="s">
        <v>78</v>
      </c>
      <c r="O2092" s="4"/>
      <c r="P2092" s="4"/>
      <c r="Q2092" s="4"/>
      <c r="R2092" s="4"/>
      <c r="S2092" s="4"/>
      <c r="T2092" s="0"/>
      <c r="U2092" s="4" t="s">
        <v>35222</v>
      </c>
      <c r="V2092" s="4" t="s">
        <v>35223</v>
      </c>
      <c r="W2092" s="4" t="s">
        <v>35224</v>
      </c>
      <c r="X2092" s="4" t="s">
        <v>35225</v>
      </c>
      <c r="Y2092" s="4" t="s">
        <v>35226</v>
      </c>
      <c r="Z2092" s="4" t="s">
        <v>35227</v>
      </c>
      <c r="AA2092" s="4" t="s">
        <v>35228</v>
      </c>
      <c r="AB2092" s="4" t="s">
        <v>35229</v>
      </c>
      <c r="AC2092" s="4" t="s">
        <v>35230</v>
      </c>
      <c r="AD2092" s="4" t="s">
        <v>35231</v>
      </c>
      <c r="AE2092" s="4" t="s">
        <v>35232</v>
      </c>
      <c r="AF2092" s="4"/>
      <c r="AG2092" s="4" t="n">
        <v>30</v>
      </c>
      <c r="AH2092" s="4" t="n">
        <v>38</v>
      </c>
      <c r="AI2092" s="4" t="n">
        <v>38</v>
      </c>
      <c r="AJ2092" s="4" t="n">
        <v>0</v>
      </c>
      <c r="AK2092" s="4" t="n">
        <v>1</v>
      </c>
      <c r="AL2092" s="4" t="s">
        <v>35233</v>
      </c>
      <c r="AM2092" s="4" t="s">
        <v>28818</v>
      </c>
      <c r="AN2092" s="4" t="s">
        <v>35234</v>
      </c>
      <c r="AO2092" s="4" t="s">
        <v>35235</v>
      </c>
      <c r="AP2092" s="4"/>
      <c r="AQ2092" s="4"/>
      <c r="AR2092" s="4" t="s">
        <v>35233</v>
      </c>
      <c r="AS2092" s="4" t="s">
        <v>35236</v>
      </c>
      <c r="AT2092" s="4" t="s">
        <v>804</v>
      </c>
      <c r="AU2092" s="4" t="n">
        <v>2014</v>
      </c>
      <c r="AV2092" s="4" t="n">
        <v>35</v>
      </c>
      <c r="AW2092" s="4" t="n">
        <v>11</v>
      </c>
      <c r="AX2092" s="4"/>
      <c r="AY2092" s="4"/>
      <c r="AZ2092" s="4"/>
      <c r="BA2092" s="4"/>
      <c r="BB2092" s="4" t="n">
        <v>1348</v>
      </c>
      <c r="BC2092" s="4" t="n">
        <v>1353</v>
      </c>
      <c r="BD2092" s="4"/>
      <c r="BE2092" s="4"/>
      <c r="BF2092" s="4"/>
      <c r="BG2092" s="4"/>
      <c r="BH2092" s="4"/>
      <c r="BI2092" s="4" t="n">
        <v>6</v>
      </c>
      <c r="BJ2092" s="4" t="s">
        <v>363</v>
      </c>
      <c r="BK2092" s="4" t="s">
        <v>100</v>
      </c>
      <c r="BL2092" s="4" t="s">
        <v>364</v>
      </c>
      <c r="BM2092" s="4" t="s">
        <v>35237</v>
      </c>
      <c r="BN2092" s="4" t="n">
        <v>25399211</v>
      </c>
      <c r="BO2092" s="4"/>
      <c r="BP2092" s="4"/>
      <c r="BQ2092" s="4"/>
      <c r="BR2092" s="4" t="s">
        <v>104</v>
      </c>
      <c r="BS2092" s="4" t="s">
        <v>35238</v>
      </c>
      <c r="BT2092" s="4" t="str">
        <f aca="false">HYPERLINK("https%3A%2F%2Fwww.webofscience.com%2Fwos%2Fwoscc%2Ffull-record%2FWOS:000345911100006","View Full Record in Web of Science")</f>
        <v>View Full Record in Web of Science</v>
      </c>
    </row>
    <row r="2093" s="5" customFormat="true" ht="12.75" hidden="false" customHeight="false" outlineLevel="0" collapsed="false">
      <c r="A2093" s="4" t="s">
        <v>72</v>
      </c>
      <c r="B2093" s="4" t="s">
        <v>35239</v>
      </c>
      <c r="C2093" s="4"/>
      <c r="D2093" s="4"/>
      <c r="E2093" s="4"/>
      <c r="F2093" s="4" t="s">
        <v>35239</v>
      </c>
      <c r="G2093" s="4"/>
      <c r="H2093" s="4"/>
      <c r="I2093" s="4" t="s">
        <v>35240</v>
      </c>
      <c r="J2093" s="4" t="s">
        <v>34885</v>
      </c>
      <c r="K2093" s="4"/>
      <c r="L2093" s="4"/>
      <c r="M2093" s="4" t="s">
        <v>77</v>
      </c>
      <c r="N2093" s="4" t="s">
        <v>78</v>
      </c>
      <c r="O2093" s="4"/>
      <c r="P2093" s="4"/>
      <c r="Q2093" s="4"/>
      <c r="R2093" s="4"/>
      <c r="S2093" s="4"/>
      <c r="T2093" s="1" t="s">
        <v>35241</v>
      </c>
      <c r="U2093" s="4" t="s">
        <v>35242</v>
      </c>
      <c r="V2093" s="4" t="s">
        <v>35243</v>
      </c>
      <c r="W2093" s="4" t="s">
        <v>35244</v>
      </c>
      <c r="X2093" s="4" t="s">
        <v>35245</v>
      </c>
      <c r="Y2093" s="4" t="s">
        <v>35246</v>
      </c>
      <c r="Z2093" s="4" t="s">
        <v>35247</v>
      </c>
      <c r="AA2093" s="4"/>
      <c r="AB2093" s="4"/>
      <c r="AC2093" s="4"/>
      <c r="AD2093" s="4"/>
      <c r="AE2093" s="4"/>
      <c r="AF2093" s="4"/>
      <c r="AG2093" s="4" t="n">
        <v>48</v>
      </c>
      <c r="AH2093" s="4" t="n">
        <v>20</v>
      </c>
      <c r="AI2093" s="4" t="n">
        <v>27</v>
      </c>
      <c r="AJ2093" s="4" t="n">
        <v>0</v>
      </c>
      <c r="AK2093" s="4" t="n">
        <v>1</v>
      </c>
      <c r="AL2093" s="4" t="s">
        <v>957</v>
      </c>
      <c r="AM2093" s="4" t="s">
        <v>123</v>
      </c>
      <c r="AN2093" s="4" t="s">
        <v>958</v>
      </c>
      <c r="AO2093" s="4" t="s">
        <v>34893</v>
      </c>
      <c r="AP2093" s="4" t="s">
        <v>34894</v>
      </c>
      <c r="AQ2093" s="4"/>
      <c r="AR2093" s="4" t="s">
        <v>34895</v>
      </c>
      <c r="AS2093" s="4" t="s">
        <v>34896</v>
      </c>
      <c r="AT2093" s="4" t="s">
        <v>185</v>
      </c>
      <c r="AU2093" s="4" t="n">
        <v>2005</v>
      </c>
      <c r="AV2093" s="4" t="n">
        <v>52</v>
      </c>
      <c r="AW2093" s="4" t="n">
        <v>4</v>
      </c>
      <c r="AX2093" s="4"/>
      <c r="AY2093" s="4"/>
      <c r="AZ2093" s="4"/>
      <c r="BA2093" s="4"/>
      <c r="BB2093" s="4" t="n">
        <v>1047</v>
      </c>
      <c r="BC2093" s="4" t="s">
        <v>986</v>
      </c>
      <c r="BD2093" s="4"/>
      <c r="BE2093" s="4" t="s">
        <v>35248</v>
      </c>
      <c r="BF2093" s="4" t="str">
        <f aca="false">HYPERLINK("http://dx.doi.org/10.1016/j.pcl.2005.04.002","http://dx.doi.org/10.1016/j.pcl.2005.04.002")</f>
        <v>http://dx.doi.org/10.1016/j.pcl.2005.04.002</v>
      </c>
      <c r="BG2093" s="4"/>
      <c r="BH2093" s="4"/>
      <c r="BI2093" s="4" t="n">
        <v>12</v>
      </c>
      <c r="BJ2093" s="4" t="s">
        <v>601</v>
      </c>
      <c r="BK2093" s="4" t="s">
        <v>100</v>
      </c>
      <c r="BL2093" s="4" t="s">
        <v>601</v>
      </c>
      <c r="BM2093" s="4" t="s">
        <v>35249</v>
      </c>
      <c r="BN2093" s="4" t="n">
        <v>16009256</v>
      </c>
      <c r="BO2093" s="4"/>
      <c r="BP2093" s="4"/>
      <c r="BQ2093" s="4"/>
      <c r="BR2093" s="4" t="s">
        <v>104</v>
      </c>
      <c r="BS2093" s="4" t="s">
        <v>35250</v>
      </c>
      <c r="BT2093" s="4" t="str">
        <f aca="false">HYPERLINK("https%3A%2F%2Fwww.webofscience.com%2Fwos%2Fwoscc%2Ffull-record%2FWOS:000230935900006","View Full Record in Web of Science")</f>
        <v>View Full Record in Web of Science</v>
      </c>
    </row>
    <row r="2094" s="5" customFormat="true" ht="12.75" hidden="false" customHeight="false" outlineLevel="0" collapsed="false">
      <c r="A2094" s="4" t="s">
        <v>72</v>
      </c>
      <c r="B2094" s="4" t="s">
        <v>35251</v>
      </c>
      <c r="C2094" s="4"/>
      <c r="D2094" s="4"/>
      <c r="E2094" s="4"/>
      <c r="F2094" s="4" t="s">
        <v>35252</v>
      </c>
      <c r="G2094" s="4"/>
      <c r="H2094" s="4"/>
      <c r="I2094" s="4" t="s">
        <v>35253</v>
      </c>
      <c r="J2094" s="4" t="s">
        <v>13758</v>
      </c>
      <c r="K2094" s="4"/>
      <c r="L2094" s="4"/>
      <c r="M2094" s="4" t="s">
        <v>77</v>
      </c>
      <c r="N2094" s="4" t="s">
        <v>78</v>
      </c>
      <c r="O2094" s="4"/>
      <c r="P2094" s="4"/>
      <c r="Q2094" s="4"/>
      <c r="R2094" s="4"/>
      <c r="S2094" s="4"/>
      <c r="T2094" s="1" t="s">
        <v>35254</v>
      </c>
      <c r="U2094" s="4" t="s">
        <v>35255</v>
      </c>
      <c r="V2094" s="4" t="s">
        <v>35256</v>
      </c>
      <c r="W2094" s="4" t="s">
        <v>35257</v>
      </c>
      <c r="X2094" s="4"/>
      <c r="Y2094" s="4" t="s">
        <v>35258</v>
      </c>
      <c r="Z2094" s="4" t="s">
        <v>35259</v>
      </c>
      <c r="AA2094" s="4"/>
      <c r="AB2094" s="4"/>
      <c r="AC2094" s="4"/>
      <c r="AD2094" s="4"/>
      <c r="AE2094" s="4"/>
      <c r="AF2094" s="4"/>
      <c r="AG2094" s="4" t="n">
        <v>39</v>
      </c>
      <c r="AH2094" s="4" t="n">
        <v>13</v>
      </c>
      <c r="AI2094" s="4" t="n">
        <v>15</v>
      </c>
      <c r="AJ2094" s="4" t="n">
        <v>0</v>
      </c>
      <c r="AK2094" s="4" t="n">
        <v>9</v>
      </c>
      <c r="AL2094" s="4" t="s">
        <v>13769</v>
      </c>
      <c r="AM2094" s="4" t="s">
        <v>16554</v>
      </c>
      <c r="AN2094" s="4" t="s">
        <v>16555</v>
      </c>
      <c r="AO2094" s="4" t="s">
        <v>13772</v>
      </c>
      <c r="AP2094" s="4" t="s">
        <v>13773</v>
      </c>
      <c r="AQ2094" s="4"/>
      <c r="AR2094" s="4" t="s">
        <v>13774</v>
      </c>
      <c r="AS2094" s="4" t="s">
        <v>13775</v>
      </c>
      <c r="AT2094" s="4" t="s">
        <v>185</v>
      </c>
      <c r="AU2094" s="4" t="n">
        <v>2014</v>
      </c>
      <c r="AV2094" s="4" t="n">
        <v>159</v>
      </c>
      <c r="AW2094" s="4" t="n">
        <v>8</v>
      </c>
      <c r="AX2094" s="4"/>
      <c r="AY2094" s="4"/>
      <c r="AZ2094" s="4"/>
      <c r="BA2094" s="4"/>
      <c r="BB2094" s="4" t="n">
        <v>2003</v>
      </c>
      <c r="BC2094" s="4" t="n">
        <v>2010</v>
      </c>
      <c r="BD2094" s="4"/>
      <c r="BE2094" s="4" t="s">
        <v>35260</v>
      </c>
      <c r="BF2094" s="4" t="str">
        <f aca="false">HYPERLINK("http://dx.doi.org/10.1007/s00705-014-2035-1","http://dx.doi.org/10.1007/s00705-014-2035-1")</f>
        <v>http://dx.doi.org/10.1007/s00705-014-2035-1</v>
      </c>
      <c r="BG2094" s="4"/>
      <c r="BH2094" s="4"/>
      <c r="BI2094" s="4" t="n">
        <v>8</v>
      </c>
      <c r="BJ2094" s="4" t="s">
        <v>163</v>
      </c>
      <c r="BK2094" s="4" t="s">
        <v>100</v>
      </c>
      <c r="BL2094" s="4" t="s">
        <v>163</v>
      </c>
      <c r="BM2094" s="4" t="s">
        <v>35261</v>
      </c>
      <c r="BN2094" s="4" t="n">
        <v>24610554</v>
      </c>
      <c r="BO2094" s="4" t="s">
        <v>1267</v>
      </c>
      <c r="BP2094" s="4"/>
      <c r="BQ2094" s="4"/>
      <c r="BR2094" s="4" t="s">
        <v>104</v>
      </c>
      <c r="BS2094" s="4" t="s">
        <v>35262</v>
      </c>
      <c r="BT2094" s="4" t="str">
        <f aca="false">HYPERLINK("https%3A%2F%2Fwww.webofscience.com%2Fwos%2Fwoscc%2Ffull-record%2FWOS:000339888300013","View Full Record in Web of Science")</f>
        <v>View Full Record in Web of Science</v>
      </c>
    </row>
    <row r="2095" s="5" customFormat="true" ht="12.75" hidden="false" customHeight="false" outlineLevel="0" collapsed="false">
      <c r="A2095" s="4" t="s">
        <v>72</v>
      </c>
      <c r="B2095" s="4" t="s">
        <v>35263</v>
      </c>
      <c r="C2095" s="4"/>
      <c r="D2095" s="4"/>
      <c r="E2095" s="4"/>
      <c r="F2095" s="4" t="s">
        <v>35264</v>
      </c>
      <c r="G2095" s="4"/>
      <c r="H2095" s="4"/>
      <c r="I2095" s="4" t="s">
        <v>35265</v>
      </c>
      <c r="J2095" s="4" t="s">
        <v>1174</v>
      </c>
      <c r="K2095" s="4"/>
      <c r="L2095" s="4"/>
      <c r="M2095" s="4" t="s">
        <v>77</v>
      </c>
      <c r="N2095" s="4" t="s">
        <v>78</v>
      </c>
      <c r="O2095" s="4"/>
      <c r="P2095" s="4"/>
      <c r="Q2095" s="4"/>
      <c r="R2095" s="4"/>
      <c r="S2095" s="4"/>
      <c r="T2095" s="1" t="s">
        <v>35266</v>
      </c>
      <c r="U2095" s="4" t="s">
        <v>35267</v>
      </c>
      <c r="V2095" s="4" t="s">
        <v>35268</v>
      </c>
      <c r="W2095" s="4" t="s">
        <v>35269</v>
      </c>
      <c r="X2095" s="4" t="s">
        <v>35270</v>
      </c>
      <c r="Y2095" s="4" t="s">
        <v>3401</v>
      </c>
      <c r="Z2095" s="4" t="s">
        <v>35271</v>
      </c>
      <c r="AA2095" s="4" t="s">
        <v>35272</v>
      </c>
      <c r="AB2095" s="4" t="s">
        <v>35273</v>
      </c>
      <c r="AC2095" s="4" t="s">
        <v>35274</v>
      </c>
      <c r="AD2095" s="4" t="s">
        <v>35275</v>
      </c>
      <c r="AE2095" s="4" t="s">
        <v>35276</v>
      </c>
      <c r="AF2095" s="4"/>
      <c r="AG2095" s="4" t="n">
        <v>39</v>
      </c>
      <c r="AH2095" s="4" t="n">
        <v>48</v>
      </c>
      <c r="AI2095" s="4" t="n">
        <v>51</v>
      </c>
      <c r="AJ2095" s="4" t="n">
        <v>0</v>
      </c>
      <c r="AK2095" s="4" t="n">
        <v>3</v>
      </c>
      <c r="AL2095" s="4" t="s">
        <v>1186</v>
      </c>
      <c r="AM2095" s="4" t="s">
        <v>303</v>
      </c>
      <c r="AN2095" s="4" t="s">
        <v>1187</v>
      </c>
      <c r="AO2095" s="4" t="s">
        <v>1188</v>
      </c>
      <c r="AP2095" s="4" t="s">
        <v>1189</v>
      </c>
      <c r="AQ2095" s="4"/>
      <c r="AR2095" s="4" t="s">
        <v>1174</v>
      </c>
      <c r="AS2095" s="4" t="s">
        <v>1190</v>
      </c>
      <c r="AT2095" s="4" t="s">
        <v>336</v>
      </c>
      <c r="AU2095" s="4" t="n">
        <v>2018</v>
      </c>
      <c r="AV2095" s="4" t="n">
        <v>73</v>
      </c>
      <c r="AW2095" s="4" t="n">
        <v>10</v>
      </c>
      <c r="AX2095" s="4"/>
      <c r="AY2095" s="4"/>
      <c r="AZ2095" s="4"/>
      <c r="BA2095" s="4"/>
      <c r="BB2095" s="4" t="n">
        <v>969</v>
      </c>
      <c r="BC2095" s="4" t="s">
        <v>986</v>
      </c>
      <c r="BD2095" s="4"/>
      <c r="BE2095" s="4" t="s">
        <v>35277</v>
      </c>
      <c r="BF2095" s="4" t="str">
        <f aca="false">HYPERLINK("http://dx.doi.org/10.1136/thoraxjnl-2017-210233","http://dx.doi.org/10.1136/thoraxjnl-2017-210233")</f>
        <v>http://dx.doi.org/10.1136/thoraxjnl-2017-210233</v>
      </c>
      <c r="BG2095" s="4"/>
      <c r="BH2095" s="4"/>
      <c r="BI2095" s="4" t="n">
        <v>11</v>
      </c>
      <c r="BJ2095" s="4" t="s">
        <v>338</v>
      </c>
      <c r="BK2095" s="4" t="s">
        <v>100</v>
      </c>
      <c r="BL2095" s="4" t="s">
        <v>338</v>
      </c>
      <c r="BM2095" s="4" t="s">
        <v>35278</v>
      </c>
      <c r="BN2095" s="4" t="n">
        <v>29247051</v>
      </c>
      <c r="BO2095" s="4" t="s">
        <v>136</v>
      </c>
      <c r="BP2095" s="4"/>
      <c r="BQ2095" s="4"/>
      <c r="BR2095" s="4" t="s">
        <v>104</v>
      </c>
      <c r="BS2095" s="4" t="s">
        <v>35279</v>
      </c>
      <c r="BT2095" s="4" t="str">
        <f aca="false">HYPERLINK("https%3A%2F%2Fwww.webofscience.com%2Fwos%2Fwoscc%2Ffull-record%2FWOS:000446090900013","View Full Record in Web of Science")</f>
        <v>View Full Record in Web of Science</v>
      </c>
    </row>
    <row r="2096" s="5" customFormat="true" ht="12.75" hidden="false" customHeight="false" outlineLevel="0" collapsed="false">
      <c r="A2096" s="4" t="s">
        <v>72</v>
      </c>
      <c r="B2096" s="4" t="s">
        <v>35280</v>
      </c>
      <c r="C2096" s="4"/>
      <c r="D2096" s="4"/>
      <c r="E2096" s="4"/>
      <c r="F2096" s="4" t="s">
        <v>35280</v>
      </c>
      <c r="G2096" s="4"/>
      <c r="H2096" s="4"/>
      <c r="I2096" s="4" t="s">
        <v>35281</v>
      </c>
      <c r="J2096" s="4" t="s">
        <v>33882</v>
      </c>
      <c r="K2096" s="4"/>
      <c r="L2096" s="4"/>
      <c r="M2096" s="4" t="s">
        <v>77</v>
      </c>
      <c r="N2096" s="4" t="s">
        <v>78</v>
      </c>
      <c r="O2096" s="4"/>
      <c r="P2096" s="4"/>
      <c r="Q2096" s="4"/>
      <c r="R2096" s="4"/>
      <c r="S2096" s="4"/>
      <c r="T2096" s="1" t="s">
        <v>35282</v>
      </c>
      <c r="U2096" s="4" t="s">
        <v>35283</v>
      </c>
      <c r="V2096" s="4" t="s">
        <v>35284</v>
      </c>
      <c r="W2096" s="4" t="s">
        <v>35285</v>
      </c>
      <c r="X2096" s="4" t="s">
        <v>35286</v>
      </c>
      <c r="Y2096" s="4" t="s">
        <v>35287</v>
      </c>
      <c r="Z2096" s="4" t="s">
        <v>28195</v>
      </c>
      <c r="AA2096" s="4" t="s">
        <v>35288</v>
      </c>
      <c r="AB2096" s="4" t="s">
        <v>35289</v>
      </c>
      <c r="AC2096" s="4"/>
      <c r="AD2096" s="4"/>
      <c r="AE2096" s="4"/>
      <c r="AF2096" s="4"/>
      <c r="AG2096" s="4" t="n">
        <v>29</v>
      </c>
      <c r="AH2096" s="4" t="n">
        <v>786</v>
      </c>
      <c r="AI2096" s="4" t="n">
        <v>888</v>
      </c>
      <c r="AJ2096" s="4" t="n">
        <v>3</v>
      </c>
      <c r="AK2096" s="4" t="n">
        <v>146</v>
      </c>
      <c r="AL2096" s="4" t="s">
        <v>1460</v>
      </c>
      <c r="AM2096" s="4" t="s">
        <v>593</v>
      </c>
      <c r="AN2096" s="4" t="s">
        <v>2088</v>
      </c>
      <c r="AO2096" s="4" t="s">
        <v>33892</v>
      </c>
      <c r="AP2096" s="4" t="s">
        <v>35290</v>
      </c>
      <c r="AQ2096" s="4"/>
      <c r="AR2096" s="4" t="s">
        <v>33882</v>
      </c>
      <c r="AS2096" s="4" t="s">
        <v>33893</v>
      </c>
      <c r="AT2096" s="4" t="s">
        <v>35291</v>
      </c>
      <c r="AU2096" s="4" t="n">
        <v>2003</v>
      </c>
      <c r="AV2096" s="4" t="n">
        <v>362</v>
      </c>
      <c r="AW2096" s="4" t="n">
        <v>9380</v>
      </c>
      <c r="AX2096" s="4"/>
      <c r="AY2096" s="4"/>
      <c r="AZ2096" s="4"/>
      <c r="BA2096" s="4"/>
      <c r="BB2096" s="4" t="n">
        <v>263</v>
      </c>
      <c r="BC2096" s="4" t="n">
        <v>270</v>
      </c>
      <c r="BD2096" s="4"/>
      <c r="BE2096" s="4" t="s">
        <v>35292</v>
      </c>
      <c r="BF2096" s="4" t="str">
        <f aca="false">HYPERLINK("http://dx.doi.org/10.1016/S0140-6736(03)13967-0","http://dx.doi.org/10.1016/S0140-6736(03)13967-0")</f>
        <v>http://dx.doi.org/10.1016/S0140-6736(03)13967-0</v>
      </c>
      <c r="BG2096" s="4"/>
      <c r="BH2096" s="4"/>
      <c r="BI2096" s="4" t="n">
        <v>8</v>
      </c>
      <c r="BJ2096" s="4" t="s">
        <v>363</v>
      </c>
      <c r="BK2096" s="4" t="s">
        <v>100</v>
      </c>
      <c r="BL2096" s="4" t="s">
        <v>364</v>
      </c>
      <c r="BM2096" s="4" t="s">
        <v>35293</v>
      </c>
      <c r="BN2096" s="4" t="n">
        <v>12892955</v>
      </c>
      <c r="BO2096" s="4" t="s">
        <v>284</v>
      </c>
      <c r="BP2096" s="4"/>
      <c r="BQ2096" s="4"/>
      <c r="BR2096" s="4" t="s">
        <v>104</v>
      </c>
      <c r="BS2096" s="4" t="s">
        <v>35294</v>
      </c>
      <c r="BT2096" s="4" t="str">
        <f aca="false">HYPERLINK("https%3A%2F%2Fwww.webofscience.com%2Fwos%2Fwoscc%2Ffull-record%2FWOS:000184413400007","View Full Record in Web of Science")</f>
        <v>View Full Record in Web of Science</v>
      </c>
    </row>
    <row r="2097" s="5" customFormat="true" ht="12.75" hidden="false" customHeight="false" outlineLevel="0" collapsed="false">
      <c r="A2097" s="4" t="s">
        <v>72</v>
      </c>
      <c r="B2097" s="4" t="s">
        <v>35295</v>
      </c>
      <c r="C2097" s="4"/>
      <c r="D2097" s="4"/>
      <c r="E2097" s="4"/>
      <c r="F2097" s="4" t="s">
        <v>35296</v>
      </c>
      <c r="G2097" s="4"/>
      <c r="H2097" s="4"/>
      <c r="I2097" s="4" t="s">
        <v>35297</v>
      </c>
      <c r="J2097" s="4" t="s">
        <v>33882</v>
      </c>
      <c r="K2097" s="4"/>
      <c r="L2097" s="4"/>
      <c r="M2097" s="4" t="s">
        <v>77</v>
      </c>
      <c r="N2097" s="4" t="s">
        <v>78</v>
      </c>
      <c r="O2097" s="4"/>
      <c r="P2097" s="4"/>
      <c r="Q2097" s="4"/>
      <c r="R2097" s="4"/>
      <c r="S2097" s="4"/>
      <c r="T2097" s="1" t="s">
        <v>35298</v>
      </c>
      <c r="U2097" s="4" t="s">
        <v>35299</v>
      </c>
      <c r="V2097" s="4" t="s">
        <v>35300</v>
      </c>
      <c r="W2097" s="4" t="s">
        <v>35301</v>
      </c>
      <c r="X2097" s="4" t="s">
        <v>35302</v>
      </c>
      <c r="Y2097" s="4" t="s">
        <v>35303</v>
      </c>
      <c r="Z2097" s="4" t="s">
        <v>25017</v>
      </c>
      <c r="AA2097" s="4" t="s">
        <v>117</v>
      </c>
      <c r="AB2097" s="4"/>
      <c r="AC2097" s="4" t="s">
        <v>35304</v>
      </c>
      <c r="AD2097" s="4" t="s">
        <v>35305</v>
      </c>
      <c r="AE2097" s="4" t="s">
        <v>35306</v>
      </c>
      <c r="AF2097" s="4"/>
      <c r="AG2097" s="4" t="n">
        <v>152</v>
      </c>
      <c r="AH2097" s="4" t="n">
        <v>844</v>
      </c>
      <c r="AI2097" s="4" t="n">
        <v>941</v>
      </c>
      <c r="AJ2097" s="4" t="n">
        <v>3</v>
      </c>
      <c r="AK2097" s="4" t="n">
        <v>162</v>
      </c>
      <c r="AL2097" s="4" t="s">
        <v>1460</v>
      </c>
      <c r="AM2097" s="4" t="s">
        <v>593</v>
      </c>
      <c r="AN2097" s="4" t="s">
        <v>2088</v>
      </c>
      <c r="AO2097" s="4" t="s">
        <v>33892</v>
      </c>
      <c r="AP2097" s="4" t="s">
        <v>35290</v>
      </c>
      <c r="AQ2097" s="4"/>
      <c r="AR2097" s="4" t="s">
        <v>33882</v>
      </c>
      <c r="AS2097" s="4" t="s">
        <v>33893</v>
      </c>
      <c r="AT2097" s="4" t="s">
        <v>27377</v>
      </c>
      <c r="AU2097" s="4" t="n">
        <v>2011</v>
      </c>
      <c r="AV2097" s="4" t="n">
        <v>377</v>
      </c>
      <c r="AW2097" s="4" t="n">
        <v>9773</v>
      </c>
      <c r="AX2097" s="4"/>
      <c r="AY2097" s="4"/>
      <c r="AZ2097" s="4"/>
      <c r="BA2097" s="4"/>
      <c r="BB2097" s="4" t="n">
        <v>1264</v>
      </c>
      <c r="BC2097" s="4" t="n">
        <v>1275</v>
      </c>
      <c r="BD2097" s="4"/>
      <c r="BE2097" s="4" t="s">
        <v>35307</v>
      </c>
      <c r="BF2097" s="4" t="str">
        <f aca="false">HYPERLINK("http://dx.doi.org/10.1016/S0140-6736(10)61459-6","http://dx.doi.org/10.1016/S0140-6736(10)61459-6")</f>
        <v>http://dx.doi.org/10.1016/S0140-6736(10)61459-6</v>
      </c>
      <c r="BG2097" s="4"/>
      <c r="BH2097" s="4"/>
      <c r="BI2097" s="4" t="n">
        <v>12</v>
      </c>
      <c r="BJ2097" s="4" t="s">
        <v>363</v>
      </c>
      <c r="BK2097" s="4" t="s">
        <v>100</v>
      </c>
      <c r="BL2097" s="4" t="s">
        <v>364</v>
      </c>
      <c r="BM2097" s="4" t="s">
        <v>35308</v>
      </c>
      <c r="BN2097" s="4" t="n">
        <v>21435708</v>
      </c>
      <c r="BO2097" s="4" t="s">
        <v>9673</v>
      </c>
      <c r="BP2097" s="4"/>
      <c r="BQ2097" s="4"/>
      <c r="BR2097" s="4" t="s">
        <v>104</v>
      </c>
      <c r="BS2097" s="4" t="s">
        <v>35309</v>
      </c>
      <c r="BT2097" s="4" t="str">
        <f aca="false">HYPERLINK("https%3A%2F%2Fwww.webofscience.com%2Fwos%2Fwoscc%2Ffull-record%2FWOS:000289597300033","View Full Record in Web of Science")</f>
        <v>View Full Record in Web of Science</v>
      </c>
    </row>
    <row r="2098" s="5" customFormat="true" ht="12.75" hidden="false" customHeight="false" outlineLevel="0" collapsed="false">
      <c r="A2098" s="4" t="s">
        <v>72</v>
      </c>
      <c r="B2098" s="4" t="s">
        <v>35310</v>
      </c>
      <c r="C2098" s="4"/>
      <c r="D2098" s="4"/>
      <c r="E2098" s="4"/>
      <c r="F2098" s="4" t="s">
        <v>35311</v>
      </c>
      <c r="G2098" s="4"/>
      <c r="H2098" s="4"/>
      <c r="I2098" s="4" t="s">
        <v>35312</v>
      </c>
      <c r="J2098" s="4" t="s">
        <v>27915</v>
      </c>
      <c r="K2098" s="4"/>
      <c r="L2098" s="4"/>
      <c r="M2098" s="4" t="s">
        <v>77</v>
      </c>
      <c r="N2098" s="4" t="s">
        <v>78</v>
      </c>
      <c r="O2098" s="4"/>
      <c r="P2098" s="4"/>
      <c r="Q2098" s="4"/>
      <c r="R2098" s="4"/>
      <c r="S2098" s="4"/>
      <c r="T2098" s="1" t="s">
        <v>35313</v>
      </c>
      <c r="U2098" s="4" t="s">
        <v>35314</v>
      </c>
      <c r="V2098" s="4" t="s">
        <v>35315</v>
      </c>
      <c r="W2098" s="4" t="s">
        <v>35316</v>
      </c>
      <c r="X2098" s="4" t="s">
        <v>35317</v>
      </c>
      <c r="Y2098" s="4" t="s">
        <v>35318</v>
      </c>
      <c r="Z2098" s="4" t="s">
        <v>35319</v>
      </c>
      <c r="AA2098" s="4"/>
      <c r="AB2098" s="4" t="s">
        <v>35320</v>
      </c>
      <c r="AC2098" s="4"/>
      <c r="AD2098" s="4"/>
      <c r="AE2098" s="4"/>
      <c r="AF2098" s="4"/>
      <c r="AG2098" s="4" t="n">
        <v>62</v>
      </c>
      <c r="AH2098" s="4" t="n">
        <v>23</v>
      </c>
      <c r="AI2098" s="4" t="n">
        <v>29</v>
      </c>
      <c r="AJ2098" s="4" t="n">
        <v>0</v>
      </c>
      <c r="AK2098" s="4" t="n">
        <v>1</v>
      </c>
      <c r="AL2098" s="4" t="s">
        <v>27927</v>
      </c>
      <c r="AM2098" s="4" t="s">
        <v>27928</v>
      </c>
      <c r="AN2098" s="4" t="s">
        <v>27929</v>
      </c>
      <c r="AO2098" s="4" t="s">
        <v>27930</v>
      </c>
      <c r="AP2098" s="4" t="s">
        <v>27931</v>
      </c>
      <c r="AQ2098" s="4"/>
      <c r="AR2098" s="4" t="s">
        <v>27932</v>
      </c>
      <c r="AS2098" s="4" t="s">
        <v>27933</v>
      </c>
      <c r="AT2098" s="4" t="s">
        <v>10994</v>
      </c>
      <c r="AU2098" s="4" t="n">
        <v>2006</v>
      </c>
      <c r="AV2098" s="4" t="n">
        <v>176</v>
      </c>
      <c r="AW2098" s="4" t="n">
        <v>10</v>
      </c>
      <c r="AX2098" s="4"/>
      <c r="AY2098" s="4"/>
      <c r="AZ2098" s="4"/>
      <c r="BA2098" s="4"/>
      <c r="BB2098" s="4" t="n">
        <v>5848</v>
      </c>
      <c r="BC2098" s="4" t="n">
        <v>5855</v>
      </c>
      <c r="BD2098" s="4"/>
      <c r="BE2098" s="4" t="s">
        <v>35321</v>
      </c>
      <c r="BF2098" s="4" t="str">
        <f aca="false">HYPERLINK("http://dx.doi.org/10.4049/jimmunol.176.10.5848","http://dx.doi.org/10.4049/jimmunol.176.10.5848")</f>
        <v>http://dx.doi.org/10.4049/jimmunol.176.10.5848</v>
      </c>
      <c r="BG2098" s="4"/>
      <c r="BH2098" s="4"/>
      <c r="BI2098" s="4" t="n">
        <v>8</v>
      </c>
      <c r="BJ2098" s="4" t="s">
        <v>628</v>
      </c>
      <c r="BK2098" s="4" t="s">
        <v>100</v>
      </c>
      <c r="BL2098" s="4" t="s">
        <v>628</v>
      </c>
      <c r="BM2098" s="4" t="s">
        <v>35322</v>
      </c>
      <c r="BN2098" s="4" t="n">
        <v>16670291</v>
      </c>
      <c r="BO2098" s="4" t="s">
        <v>656</v>
      </c>
      <c r="BP2098" s="4"/>
      <c r="BQ2098" s="4"/>
      <c r="BR2098" s="4" t="s">
        <v>104</v>
      </c>
      <c r="BS2098" s="4" t="s">
        <v>35323</v>
      </c>
      <c r="BT2098" s="4" t="str">
        <f aca="false">HYPERLINK("https%3A%2F%2Fwww.webofscience.com%2Fwos%2Fwoscc%2Ffull-record%2FWOS:000237705200021","View Full Record in Web of Science")</f>
        <v>View Full Record in Web of Science</v>
      </c>
    </row>
    <row r="2099" s="5" customFormat="true" ht="12.75" hidden="false" customHeight="false" outlineLevel="0" collapsed="false">
      <c r="A2099" s="4" t="s">
        <v>72</v>
      </c>
      <c r="B2099" s="4" t="s">
        <v>35324</v>
      </c>
      <c r="C2099" s="4"/>
      <c r="D2099" s="4"/>
      <c r="E2099" s="4"/>
      <c r="F2099" s="4" t="s">
        <v>35325</v>
      </c>
      <c r="G2099" s="4"/>
      <c r="H2099" s="4"/>
      <c r="I2099" s="4" t="s">
        <v>35326</v>
      </c>
      <c r="J2099" s="4" t="s">
        <v>27497</v>
      </c>
      <c r="K2099" s="4"/>
      <c r="L2099" s="4"/>
      <c r="M2099" s="4" t="s">
        <v>77</v>
      </c>
      <c r="N2099" s="4" t="s">
        <v>78</v>
      </c>
      <c r="O2099" s="4"/>
      <c r="P2099" s="4"/>
      <c r="Q2099" s="4"/>
      <c r="R2099" s="4"/>
      <c r="S2099" s="4"/>
      <c r="T2099" s="1" t="s">
        <v>35327</v>
      </c>
      <c r="U2099" s="4" t="s">
        <v>35328</v>
      </c>
      <c r="V2099" s="4" t="s">
        <v>35329</v>
      </c>
      <c r="W2099" s="4" t="s">
        <v>35330</v>
      </c>
      <c r="X2099" s="4" t="s">
        <v>35331</v>
      </c>
      <c r="Y2099" s="4" t="s">
        <v>35332</v>
      </c>
      <c r="Z2099" s="4" t="s">
        <v>35333</v>
      </c>
      <c r="AA2099" s="4" t="s">
        <v>35334</v>
      </c>
      <c r="AB2099" s="4" t="s">
        <v>35335</v>
      </c>
      <c r="AC2099" s="4" t="s">
        <v>35336</v>
      </c>
      <c r="AD2099" s="4" t="s">
        <v>35337</v>
      </c>
      <c r="AE2099" s="4" t="s">
        <v>35338</v>
      </c>
      <c r="AF2099" s="4"/>
      <c r="AG2099" s="4" t="n">
        <v>18</v>
      </c>
      <c r="AH2099" s="4" t="n">
        <v>28</v>
      </c>
      <c r="AI2099" s="4" t="n">
        <v>30</v>
      </c>
      <c r="AJ2099" s="4" t="n">
        <v>0</v>
      </c>
      <c r="AK2099" s="4" t="n">
        <v>1</v>
      </c>
      <c r="AL2099" s="4" t="s">
        <v>27506</v>
      </c>
      <c r="AM2099" s="4" t="s">
        <v>27507</v>
      </c>
      <c r="AN2099" s="4" t="s">
        <v>27508</v>
      </c>
      <c r="AO2099" s="4" t="s">
        <v>27509</v>
      </c>
      <c r="AP2099" s="4"/>
      <c r="AQ2099" s="4"/>
      <c r="AR2099" s="4" t="s">
        <v>27497</v>
      </c>
      <c r="AS2099" s="4" t="s">
        <v>27510</v>
      </c>
      <c r="AT2099" s="4" t="s">
        <v>14378</v>
      </c>
      <c r="AU2099" s="4" t="n">
        <v>2013</v>
      </c>
      <c r="AV2099" s="4" t="n">
        <v>8</v>
      </c>
      <c r="AW2099" s="4" t="n">
        <v>5</v>
      </c>
      <c r="AX2099" s="4"/>
      <c r="AY2099" s="4"/>
      <c r="AZ2099" s="4"/>
      <c r="BA2099" s="4"/>
      <c r="BB2099" s="4"/>
      <c r="BC2099" s="4"/>
      <c r="BD2099" s="4" t="s">
        <v>35339</v>
      </c>
      <c r="BE2099" s="4" t="s">
        <v>35340</v>
      </c>
      <c r="BF2099" s="4" t="str">
        <f aca="false">HYPERLINK("http://dx.doi.org/10.1371/journal.pone.0064295","http://dx.doi.org/10.1371/journal.pone.0064295")</f>
        <v>http://dx.doi.org/10.1371/journal.pone.0064295</v>
      </c>
      <c r="BG2099" s="4"/>
      <c r="BH2099" s="4"/>
      <c r="BI2099" s="4" t="n">
        <v>9</v>
      </c>
      <c r="BJ2099" s="4" t="s">
        <v>1658</v>
      </c>
      <c r="BK2099" s="4" t="s">
        <v>100</v>
      </c>
      <c r="BL2099" s="4" t="s">
        <v>1659</v>
      </c>
      <c r="BM2099" s="4" t="s">
        <v>35341</v>
      </c>
      <c r="BN2099" s="4" t="n">
        <v>23717587</v>
      </c>
      <c r="BO2099" s="4" t="s">
        <v>341</v>
      </c>
      <c r="BP2099" s="4"/>
      <c r="BQ2099" s="4"/>
      <c r="BR2099" s="4" t="s">
        <v>104</v>
      </c>
      <c r="BS2099" s="4" t="s">
        <v>35342</v>
      </c>
      <c r="BT2099" s="4" t="str">
        <f aca="false">HYPERLINK("https%3A%2F%2Fwww.webofscience.com%2Fwos%2Fwoscc%2Ffull-record%2FWOS:000320362700131","View Full Record in Web of Science")</f>
        <v>View Full Record in Web of Science</v>
      </c>
    </row>
    <row r="2100" s="5" customFormat="true" ht="12.75" hidden="false" customHeight="false" outlineLevel="0" collapsed="false">
      <c r="A2100" s="4" t="s">
        <v>72</v>
      </c>
      <c r="B2100" s="4" t="s">
        <v>35343</v>
      </c>
      <c r="C2100" s="4"/>
      <c r="D2100" s="4"/>
      <c r="E2100" s="4"/>
      <c r="F2100" s="4" t="s">
        <v>35344</v>
      </c>
      <c r="G2100" s="4"/>
      <c r="H2100" s="4"/>
      <c r="I2100" s="4" t="s">
        <v>35345</v>
      </c>
      <c r="J2100" s="4" t="s">
        <v>27497</v>
      </c>
      <c r="K2100" s="4"/>
      <c r="L2100" s="4"/>
      <c r="M2100" s="4" t="s">
        <v>77</v>
      </c>
      <c r="N2100" s="4" t="s">
        <v>78</v>
      </c>
      <c r="O2100" s="4"/>
      <c r="P2100" s="4"/>
      <c r="Q2100" s="4"/>
      <c r="R2100" s="4"/>
      <c r="S2100" s="4"/>
      <c r="T2100" s="1" t="s">
        <v>35346</v>
      </c>
      <c r="U2100" s="4" t="s">
        <v>35347</v>
      </c>
      <c r="V2100" s="4" t="s">
        <v>35348</v>
      </c>
      <c r="W2100" s="4" t="s">
        <v>35349</v>
      </c>
      <c r="X2100" s="4" t="s">
        <v>35350</v>
      </c>
      <c r="Y2100" s="4" t="s">
        <v>35351</v>
      </c>
      <c r="Z2100" s="4" t="s">
        <v>31029</v>
      </c>
      <c r="AA2100" s="4" t="s">
        <v>35352</v>
      </c>
      <c r="AB2100" s="4" t="s">
        <v>20807</v>
      </c>
      <c r="AC2100" s="4" t="s">
        <v>35353</v>
      </c>
      <c r="AD2100" s="4" t="s">
        <v>35354</v>
      </c>
      <c r="AE2100" s="4" t="s">
        <v>35355</v>
      </c>
      <c r="AF2100" s="4"/>
      <c r="AG2100" s="4" t="n">
        <v>57</v>
      </c>
      <c r="AH2100" s="4" t="n">
        <v>75</v>
      </c>
      <c r="AI2100" s="4" t="n">
        <v>100</v>
      </c>
      <c r="AJ2100" s="4" t="n">
        <v>0</v>
      </c>
      <c r="AK2100" s="4" t="n">
        <v>16</v>
      </c>
      <c r="AL2100" s="4" t="s">
        <v>27506</v>
      </c>
      <c r="AM2100" s="4" t="s">
        <v>27507</v>
      </c>
      <c r="AN2100" s="4" t="s">
        <v>27508</v>
      </c>
      <c r="AO2100" s="4" t="s">
        <v>27509</v>
      </c>
      <c r="AP2100" s="4"/>
      <c r="AQ2100" s="4"/>
      <c r="AR2100" s="4" t="s">
        <v>27497</v>
      </c>
      <c r="AS2100" s="4" t="s">
        <v>27510</v>
      </c>
      <c r="AT2100" s="4" t="s">
        <v>35356</v>
      </c>
      <c r="AU2100" s="4" t="n">
        <v>2014</v>
      </c>
      <c r="AV2100" s="4" t="n">
        <v>9</v>
      </c>
      <c r="AW2100" s="4" t="n">
        <v>5</v>
      </c>
      <c r="AX2100" s="4"/>
      <c r="AY2100" s="4"/>
      <c r="AZ2100" s="4"/>
      <c r="BA2100" s="4"/>
      <c r="BB2100" s="4"/>
      <c r="BC2100" s="4"/>
      <c r="BD2100" s="4" t="s">
        <v>35357</v>
      </c>
      <c r="BE2100" s="4" t="s">
        <v>35358</v>
      </c>
      <c r="BF2100" s="4" t="str">
        <f aca="false">HYPERLINK("http://dx.doi.org/10.1371/journal.pone.0096674","http://dx.doi.org/10.1371/journal.pone.0096674")</f>
        <v>http://dx.doi.org/10.1371/journal.pone.0096674</v>
      </c>
      <c r="BG2100" s="4"/>
      <c r="BH2100" s="4"/>
      <c r="BI2100" s="4" t="n">
        <v>9</v>
      </c>
      <c r="BJ2100" s="4" t="s">
        <v>1658</v>
      </c>
      <c r="BK2100" s="4" t="s">
        <v>100</v>
      </c>
      <c r="BL2100" s="4" t="s">
        <v>1659</v>
      </c>
      <c r="BM2100" s="4" t="s">
        <v>35359</v>
      </c>
      <c r="BN2100" s="4" t="n">
        <v>24797911</v>
      </c>
      <c r="BO2100" s="4" t="s">
        <v>341</v>
      </c>
      <c r="BP2100" s="4"/>
      <c r="BQ2100" s="4"/>
      <c r="BR2100" s="4" t="s">
        <v>104</v>
      </c>
      <c r="BS2100" s="4" t="s">
        <v>35360</v>
      </c>
      <c r="BT2100" s="4" t="str">
        <f aca="false">HYPERLINK("https%3A%2F%2Fwww.webofscience.com%2Fwos%2Fwoscc%2Ffull-record%2FWOS:000336656000114","View Full Record in Web of Science")</f>
        <v>View Full Record in Web of Science</v>
      </c>
    </row>
    <row r="2101" s="5" customFormat="true" ht="12.75" hidden="false" customHeight="false" outlineLevel="0" collapsed="false">
      <c r="A2101" s="4" t="s">
        <v>72</v>
      </c>
      <c r="B2101" s="4" t="s">
        <v>35361</v>
      </c>
      <c r="C2101" s="4"/>
      <c r="D2101" s="4"/>
      <c r="E2101" s="4"/>
      <c r="F2101" s="4" t="s">
        <v>35362</v>
      </c>
      <c r="G2101" s="4"/>
      <c r="H2101" s="4"/>
      <c r="I2101" s="4" t="s">
        <v>35363</v>
      </c>
      <c r="J2101" s="4" t="s">
        <v>35364</v>
      </c>
      <c r="K2101" s="4"/>
      <c r="L2101" s="4"/>
      <c r="M2101" s="4" t="s">
        <v>77</v>
      </c>
      <c r="N2101" s="4" t="s">
        <v>78</v>
      </c>
      <c r="O2101" s="4"/>
      <c r="P2101" s="4"/>
      <c r="Q2101" s="4"/>
      <c r="R2101" s="4"/>
      <c r="S2101" s="4"/>
      <c r="T2101" s="1" t="s">
        <v>35365</v>
      </c>
      <c r="U2101" s="4" t="s">
        <v>35366</v>
      </c>
      <c r="V2101" s="4" t="s">
        <v>35367</v>
      </c>
      <c r="W2101" s="4" t="s">
        <v>35368</v>
      </c>
      <c r="X2101" s="4" t="s">
        <v>35369</v>
      </c>
      <c r="Y2101" s="4" t="s">
        <v>35370</v>
      </c>
      <c r="Z2101" s="4" t="s">
        <v>35371</v>
      </c>
      <c r="AA2101" s="4" t="s">
        <v>35372</v>
      </c>
      <c r="AB2101" s="4" t="s">
        <v>35373</v>
      </c>
      <c r="AC2101" s="4" t="s">
        <v>35374</v>
      </c>
      <c r="AD2101" s="4" t="s">
        <v>35375</v>
      </c>
      <c r="AE2101" s="4" t="s">
        <v>35376</v>
      </c>
      <c r="AF2101" s="4"/>
      <c r="AG2101" s="4" t="n">
        <v>35</v>
      </c>
      <c r="AH2101" s="4" t="n">
        <v>15</v>
      </c>
      <c r="AI2101" s="4" t="n">
        <v>15</v>
      </c>
      <c r="AJ2101" s="4" t="n">
        <v>0</v>
      </c>
      <c r="AK2101" s="4" t="n">
        <v>2</v>
      </c>
      <c r="AL2101" s="4" t="s">
        <v>383</v>
      </c>
      <c r="AM2101" s="4" t="s">
        <v>384</v>
      </c>
      <c r="AN2101" s="4" t="s">
        <v>385</v>
      </c>
      <c r="AO2101" s="4" t="s">
        <v>35377</v>
      </c>
      <c r="AP2101" s="4" t="s">
        <v>35378</v>
      </c>
      <c r="AQ2101" s="4"/>
      <c r="AR2101" s="4" t="s">
        <v>35379</v>
      </c>
      <c r="AS2101" s="4" t="s">
        <v>35380</v>
      </c>
      <c r="AT2101" s="4" t="s">
        <v>4251</v>
      </c>
      <c r="AU2101" s="4" t="n">
        <v>2022</v>
      </c>
      <c r="AV2101" s="4" t="n">
        <v>6</v>
      </c>
      <c r="AW2101" s="4" t="n">
        <v>18</v>
      </c>
      <c r="AX2101" s="4"/>
      <c r="AY2101" s="4"/>
      <c r="AZ2101" s="4"/>
      <c r="BA2101" s="4"/>
      <c r="BB2101" s="4" t="n">
        <v>5307</v>
      </c>
      <c r="BC2101" s="4" t="n">
        <v>5316</v>
      </c>
      <c r="BD2101" s="4"/>
      <c r="BE2101" s="4" t="s">
        <v>35381</v>
      </c>
      <c r="BF2101" s="4" t="str">
        <f aca="false">HYPERLINK("http://dx.doi.org/10.1182/bloodadvances.2021004915","http://dx.doi.org/10.1182/bloodadvances.2021004915")</f>
        <v>http://dx.doi.org/10.1182/bloodadvances.2021004915</v>
      </c>
      <c r="BG2101" s="4"/>
      <c r="BH2101" s="4" t="s">
        <v>6262</v>
      </c>
      <c r="BI2101" s="4" t="n">
        <v>10</v>
      </c>
      <c r="BJ2101" s="4" t="s">
        <v>10888</v>
      </c>
      <c r="BK2101" s="4" t="s">
        <v>100</v>
      </c>
      <c r="BL2101" s="4" t="s">
        <v>10888</v>
      </c>
      <c r="BM2101" s="4" t="s">
        <v>35382</v>
      </c>
      <c r="BN2101" s="4" t="n">
        <v>35446933</v>
      </c>
      <c r="BO2101" s="4" t="s">
        <v>190</v>
      </c>
      <c r="BP2101" s="4"/>
      <c r="BQ2101" s="4"/>
      <c r="BR2101" s="4" t="s">
        <v>104</v>
      </c>
      <c r="BS2101" s="4" t="s">
        <v>35383</v>
      </c>
      <c r="BT2101" s="4" t="str">
        <f aca="false">HYPERLINK("https%3A%2F%2Fwww.webofscience.com%2Fwos%2Fwoscc%2Ffull-record%2FWOS:000874686400007","View Full Record in Web of Science")</f>
        <v>View Full Record in Web of Science</v>
      </c>
    </row>
    <row r="2102" s="5" customFormat="true" ht="12.75" hidden="false" customHeight="false" outlineLevel="0" collapsed="false">
      <c r="A2102" s="4" t="s">
        <v>72</v>
      </c>
      <c r="B2102" s="4" t="s">
        <v>35384</v>
      </c>
      <c r="C2102" s="4"/>
      <c r="D2102" s="4"/>
      <c r="E2102" s="4"/>
      <c r="F2102" s="4" t="s">
        <v>35385</v>
      </c>
      <c r="G2102" s="4"/>
      <c r="H2102" s="4"/>
      <c r="I2102" s="4" t="s">
        <v>35386</v>
      </c>
      <c r="J2102" s="4" t="s">
        <v>35387</v>
      </c>
      <c r="K2102" s="4"/>
      <c r="L2102" s="4"/>
      <c r="M2102" s="4" t="s">
        <v>77</v>
      </c>
      <c r="N2102" s="4" t="s">
        <v>78</v>
      </c>
      <c r="O2102" s="4"/>
      <c r="P2102" s="4"/>
      <c r="Q2102" s="4"/>
      <c r="R2102" s="4"/>
      <c r="S2102" s="4"/>
      <c r="T2102" s="1" t="s">
        <v>35388</v>
      </c>
      <c r="U2102" s="4" t="s">
        <v>35389</v>
      </c>
      <c r="V2102" s="4" t="s">
        <v>35390</v>
      </c>
      <c r="W2102" s="4" t="s">
        <v>35391</v>
      </c>
      <c r="X2102" s="4" t="s">
        <v>35392</v>
      </c>
      <c r="Y2102" s="4" t="s">
        <v>35393</v>
      </c>
      <c r="Z2102" s="4" t="s">
        <v>35394</v>
      </c>
      <c r="AA2102" s="4" t="s">
        <v>35395</v>
      </c>
      <c r="AB2102" s="4" t="s">
        <v>35396</v>
      </c>
      <c r="AC2102" s="4"/>
      <c r="AD2102" s="4"/>
      <c r="AE2102" s="4"/>
      <c r="AF2102" s="4"/>
      <c r="AG2102" s="4" t="n">
        <v>54</v>
      </c>
      <c r="AH2102" s="4" t="n">
        <v>35</v>
      </c>
      <c r="AI2102" s="4" t="n">
        <v>39</v>
      </c>
      <c r="AJ2102" s="4" t="n">
        <v>0</v>
      </c>
      <c r="AK2102" s="4" t="n">
        <v>2</v>
      </c>
      <c r="AL2102" s="4" t="s">
        <v>35397</v>
      </c>
      <c r="AM2102" s="4" t="s">
        <v>35398</v>
      </c>
      <c r="AN2102" s="4" t="s">
        <v>35399</v>
      </c>
      <c r="AO2102" s="4" t="s">
        <v>35400</v>
      </c>
      <c r="AP2102" s="4" t="s">
        <v>35401</v>
      </c>
      <c r="AQ2102" s="4"/>
      <c r="AR2102" s="4" t="s">
        <v>35402</v>
      </c>
      <c r="AS2102" s="4" t="s">
        <v>35403</v>
      </c>
      <c r="AT2102" s="4"/>
      <c r="AU2102" s="4" t="n">
        <v>2008</v>
      </c>
      <c r="AV2102" s="4" t="n">
        <v>50</v>
      </c>
      <c r="AW2102" s="4" t="n">
        <v>2</v>
      </c>
      <c r="AX2102" s="4"/>
      <c r="AY2102" s="4"/>
      <c r="AZ2102" s="4"/>
      <c r="BA2102" s="4"/>
      <c r="BB2102" s="4" t="n">
        <v>6</v>
      </c>
      <c r="BC2102" s="4" t="n">
        <v>12</v>
      </c>
      <c r="BD2102" s="4"/>
      <c r="BE2102" s="4" t="s">
        <v>35404</v>
      </c>
      <c r="BF2102" s="4" t="str">
        <f aca="false">HYPERLINK("http://dx.doi.org/10.1080/20786204.2008.10873685","http://dx.doi.org/10.1080/20786204.2008.10873685")</f>
        <v>http://dx.doi.org/10.1080/20786204.2008.10873685</v>
      </c>
      <c r="BG2102" s="4"/>
      <c r="BH2102" s="4"/>
      <c r="BI2102" s="4" t="n">
        <v>5</v>
      </c>
      <c r="BJ2102" s="4" t="s">
        <v>363</v>
      </c>
      <c r="BK2102" s="4" t="s">
        <v>339</v>
      </c>
      <c r="BL2102" s="4" t="s">
        <v>364</v>
      </c>
      <c r="BM2102" s="4" t="s">
        <v>35405</v>
      </c>
      <c r="BN2102" s="4" t="n">
        <v>21603094</v>
      </c>
      <c r="BO2102" s="4" t="s">
        <v>11469</v>
      </c>
      <c r="BP2102" s="4"/>
      <c r="BQ2102" s="4"/>
      <c r="BR2102" s="4" t="s">
        <v>104</v>
      </c>
      <c r="BS2102" s="4" t="s">
        <v>35406</v>
      </c>
      <c r="BT2102" s="4" t="str">
        <f aca="false">HYPERLINK("https%3A%2F%2Fwww.webofscience.com%2Fwos%2Fwoscc%2Ffull-record%2FWOS:000218649500002","View Full Record in Web of Science")</f>
        <v>View Full Record in Web of Science</v>
      </c>
    </row>
    <row r="2103" s="5" customFormat="true" ht="12.75" hidden="false" customHeight="false" outlineLevel="0" collapsed="false">
      <c r="A2103" s="4" t="s">
        <v>72</v>
      </c>
      <c r="B2103" s="4" t="s">
        <v>35407</v>
      </c>
      <c r="C2103" s="4"/>
      <c r="D2103" s="4"/>
      <c r="E2103" s="4"/>
      <c r="F2103" s="4" t="s">
        <v>35408</v>
      </c>
      <c r="G2103" s="4"/>
      <c r="H2103" s="4"/>
      <c r="I2103" s="4" t="s">
        <v>35409</v>
      </c>
      <c r="J2103" s="4" t="s">
        <v>35410</v>
      </c>
      <c r="K2103" s="4"/>
      <c r="L2103" s="4"/>
      <c r="M2103" s="4" t="s">
        <v>77</v>
      </c>
      <c r="N2103" s="4" t="s">
        <v>78</v>
      </c>
      <c r="O2103" s="4"/>
      <c r="P2103" s="4"/>
      <c r="Q2103" s="4"/>
      <c r="R2103" s="4"/>
      <c r="S2103" s="4"/>
      <c r="T2103" s="1" t="s">
        <v>35411</v>
      </c>
      <c r="U2103" s="4" t="s">
        <v>35412</v>
      </c>
      <c r="V2103" s="4" t="s">
        <v>35413</v>
      </c>
      <c r="W2103" s="4" t="s">
        <v>35414</v>
      </c>
      <c r="X2103" s="4" t="s">
        <v>546</v>
      </c>
      <c r="Y2103" s="4" t="s">
        <v>35415</v>
      </c>
      <c r="Z2103" s="4" t="s">
        <v>548</v>
      </c>
      <c r="AA2103" s="4"/>
      <c r="AB2103" s="4"/>
      <c r="AC2103" s="4"/>
      <c r="AD2103" s="4"/>
      <c r="AE2103" s="4"/>
      <c r="AF2103" s="4"/>
      <c r="AG2103" s="4" t="n">
        <v>74</v>
      </c>
      <c r="AH2103" s="4" t="n">
        <v>17</v>
      </c>
      <c r="AI2103" s="4" t="n">
        <v>19</v>
      </c>
      <c r="AJ2103" s="4" t="n">
        <v>0</v>
      </c>
      <c r="AK2103" s="4" t="n">
        <v>5</v>
      </c>
      <c r="AL2103" s="4" t="s">
        <v>957</v>
      </c>
      <c r="AM2103" s="4" t="s">
        <v>123</v>
      </c>
      <c r="AN2103" s="4" t="s">
        <v>958</v>
      </c>
      <c r="AO2103" s="4" t="s">
        <v>35416</v>
      </c>
      <c r="AP2103" s="4" t="s">
        <v>35417</v>
      </c>
      <c r="AQ2103" s="4"/>
      <c r="AR2103" s="4" t="s">
        <v>35418</v>
      </c>
      <c r="AS2103" s="4" t="s">
        <v>35419</v>
      </c>
      <c r="AT2103" s="4" t="s">
        <v>185</v>
      </c>
      <c r="AU2103" s="4" t="n">
        <v>2007</v>
      </c>
      <c r="AV2103" s="4" t="n">
        <v>23</v>
      </c>
      <c r="AW2103" s="4" t="n">
        <v>3</v>
      </c>
      <c r="AX2103" s="4"/>
      <c r="AY2103" s="4"/>
      <c r="AZ2103" s="4"/>
      <c r="BA2103" s="4"/>
      <c r="BB2103" s="4" t="n">
        <v>535</v>
      </c>
      <c r="BC2103" s="4" t="s">
        <v>986</v>
      </c>
      <c r="BD2103" s="4"/>
      <c r="BE2103" s="4" t="s">
        <v>35420</v>
      </c>
      <c r="BF2103" s="4" t="str">
        <f aca="false">HYPERLINK("http://dx.doi.org/10.1016/j.cger.2007.02.002","http://dx.doi.org/10.1016/j.cger.2007.02.002")</f>
        <v>http://dx.doi.org/10.1016/j.cger.2007.02.002</v>
      </c>
      <c r="BG2103" s="4"/>
      <c r="BH2103" s="4"/>
      <c r="BI2103" s="4" t="n">
        <v>19</v>
      </c>
      <c r="BJ2103" s="4" t="s">
        <v>1087</v>
      </c>
      <c r="BK2103" s="4" t="s">
        <v>100</v>
      </c>
      <c r="BL2103" s="4" t="s">
        <v>1087</v>
      </c>
      <c r="BM2103" s="4" t="s">
        <v>35421</v>
      </c>
      <c r="BN2103" s="4" t="n">
        <v>17631232</v>
      </c>
      <c r="BO2103" s="4" t="s">
        <v>1089</v>
      </c>
      <c r="BP2103" s="4"/>
      <c r="BQ2103" s="4"/>
      <c r="BR2103" s="4" t="s">
        <v>104</v>
      </c>
      <c r="BS2103" s="4" t="s">
        <v>35422</v>
      </c>
      <c r="BT2103" s="4" t="str">
        <f aca="false">HYPERLINK("https%3A%2F%2Fwww.webofscience.com%2Fwos%2Fwoscc%2Ffull-record%2FWOS:000206481400006","View Full Record in Web of Science")</f>
        <v>View Full Record in Web of Science</v>
      </c>
    </row>
    <row r="2104" s="5" customFormat="true" ht="12.75" hidden="false" customHeight="false" outlineLevel="0" collapsed="false">
      <c r="A2104" s="4" t="s">
        <v>72</v>
      </c>
      <c r="B2104" s="4" t="s">
        <v>35423</v>
      </c>
      <c r="C2104" s="4"/>
      <c r="D2104" s="4"/>
      <c r="E2104" s="4"/>
      <c r="F2104" s="4" t="s">
        <v>35424</v>
      </c>
      <c r="G2104" s="4"/>
      <c r="H2104" s="4"/>
      <c r="I2104" s="4" t="s">
        <v>35425</v>
      </c>
      <c r="J2104" s="4" t="s">
        <v>514</v>
      </c>
      <c r="K2104" s="4"/>
      <c r="L2104" s="4"/>
      <c r="M2104" s="4" t="s">
        <v>77</v>
      </c>
      <c r="N2104" s="4" t="s">
        <v>78</v>
      </c>
      <c r="O2104" s="4"/>
      <c r="P2104" s="4"/>
      <c r="Q2104" s="4"/>
      <c r="R2104" s="4"/>
      <c r="S2104" s="4"/>
      <c r="T2104" s="1" t="s">
        <v>35426</v>
      </c>
      <c r="U2104" s="4" t="s">
        <v>35427</v>
      </c>
      <c r="V2104" s="4" t="s">
        <v>35428</v>
      </c>
      <c r="W2104" s="4" t="s">
        <v>35429</v>
      </c>
      <c r="X2104" s="4" t="s">
        <v>35430</v>
      </c>
      <c r="Y2104" s="4" t="s">
        <v>35431</v>
      </c>
      <c r="Z2104" s="4" t="s">
        <v>35432</v>
      </c>
      <c r="AA2104" s="4" t="s">
        <v>35433</v>
      </c>
      <c r="AB2104" s="4" t="s">
        <v>35434</v>
      </c>
      <c r="AC2104" s="4"/>
      <c r="AD2104" s="4"/>
      <c r="AE2104" s="4"/>
      <c r="AF2104" s="4"/>
      <c r="AG2104" s="4" t="n">
        <v>15</v>
      </c>
      <c r="AH2104" s="4" t="n">
        <v>43</v>
      </c>
      <c r="AI2104" s="4" t="n">
        <v>43</v>
      </c>
      <c r="AJ2104" s="4" t="n">
        <v>0</v>
      </c>
      <c r="AK2104" s="4" t="n">
        <v>5</v>
      </c>
      <c r="AL2104" s="4" t="s">
        <v>527</v>
      </c>
      <c r="AM2104" s="4" t="s">
        <v>528</v>
      </c>
      <c r="AN2104" s="4" t="s">
        <v>529</v>
      </c>
      <c r="AO2104" s="4" t="s">
        <v>530</v>
      </c>
      <c r="AP2104" s="4" t="s">
        <v>531</v>
      </c>
      <c r="AQ2104" s="4"/>
      <c r="AR2104" s="4" t="s">
        <v>532</v>
      </c>
      <c r="AS2104" s="4" t="s">
        <v>533</v>
      </c>
      <c r="AT2104" s="4" t="s">
        <v>733</v>
      </c>
      <c r="AU2104" s="4" t="n">
        <v>2007</v>
      </c>
      <c r="AV2104" s="4" t="n">
        <v>195</v>
      </c>
      <c r="AW2104" s="4" t="n">
        <v>5</v>
      </c>
      <c r="AX2104" s="4"/>
      <c r="AY2104" s="4"/>
      <c r="AZ2104" s="4"/>
      <c r="BA2104" s="4"/>
      <c r="BB2104" s="4" t="n">
        <v>675</v>
      </c>
      <c r="BC2104" s="4" t="n">
        <v>679</v>
      </c>
      <c r="BD2104" s="4"/>
      <c r="BE2104" s="4" t="s">
        <v>35435</v>
      </c>
      <c r="BF2104" s="4" t="str">
        <f aca="false">HYPERLINK("http://dx.doi.org/10.1086/511432","http://dx.doi.org/10.1086/511432")</f>
        <v>http://dx.doi.org/10.1086/511432</v>
      </c>
      <c r="BG2104" s="4"/>
      <c r="BH2104" s="4"/>
      <c r="BI2104" s="4" t="n">
        <v>5</v>
      </c>
      <c r="BJ2104" s="4" t="s">
        <v>536</v>
      </c>
      <c r="BK2104" s="4" t="s">
        <v>100</v>
      </c>
      <c r="BL2104" s="4" t="s">
        <v>536</v>
      </c>
      <c r="BM2104" s="4" t="s">
        <v>35436</v>
      </c>
      <c r="BN2104" s="4" t="n">
        <v>17262708</v>
      </c>
      <c r="BO2104" s="4" t="s">
        <v>1267</v>
      </c>
      <c r="BP2104" s="4"/>
      <c r="BQ2104" s="4"/>
      <c r="BR2104" s="4" t="s">
        <v>104</v>
      </c>
      <c r="BS2104" s="4" t="s">
        <v>35437</v>
      </c>
      <c r="BT2104" s="4" t="str">
        <f aca="false">HYPERLINK("https%3A%2F%2Fwww.webofscience.com%2Fwos%2Fwoscc%2Ffull-record%2FWOS:000244242700011","View Full Record in Web of Science")</f>
        <v>View Full Record in Web of Science</v>
      </c>
    </row>
    <row r="2105" s="5" customFormat="true" ht="12.75" hidden="false" customHeight="false" outlineLevel="0" collapsed="false">
      <c r="A2105" s="4" t="s">
        <v>72</v>
      </c>
      <c r="B2105" s="4" t="s">
        <v>35438</v>
      </c>
      <c r="C2105" s="4"/>
      <c r="D2105" s="4"/>
      <c r="E2105" s="4"/>
      <c r="F2105" s="4" t="s">
        <v>35439</v>
      </c>
      <c r="G2105" s="4"/>
      <c r="H2105" s="4"/>
      <c r="I2105" s="4" t="s">
        <v>35440</v>
      </c>
      <c r="J2105" s="4" t="s">
        <v>35441</v>
      </c>
      <c r="K2105" s="4"/>
      <c r="L2105" s="4"/>
      <c r="M2105" s="4" t="s">
        <v>77</v>
      </c>
      <c r="N2105" s="4" t="s">
        <v>78</v>
      </c>
      <c r="O2105" s="4"/>
      <c r="P2105" s="4"/>
      <c r="Q2105" s="4"/>
      <c r="R2105" s="4"/>
      <c r="S2105" s="4"/>
      <c r="T2105" s="1" t="s">
        <v>35442</v>
      </c>
      <c r="U2105" s="4" t="s">
        <v>35443</v>
      </c>
      <c r="V2105" s="4" t="s">
        <v>35444</v>
      </c>
      <c r="W2105" s="4" t="s">
        <v>35445</v>
      </c>
      <c r="X2105" s="4" t="s">
        <v>33552</v>
      </c>
      <c r="Y2105" s="4" t="s">
        <v>35446</v>
      </c>
      <c r="Z2105" s="4" t="s">
        <v>35447</v>
      </c>
      <c r="AA2105" s="4" t="s">
        <v>35448</v>
      </c>
      <c r="AB2105" s="4"/>
      <c r="AC2105" s="4"/>
      <c r="AD2105" s="4"/>
      <c r="AE2105" s="4"/>
      <c r="AF2105" s="4"/>
      <c r="AG2105" s="4" t="n">
        <v>12</v>
      </c>
      <c r="AH2105" s="4" t="n">
        <v>2</v>
      </c>
      <c r="AI2105" s="4" t="n">
        <v>2</v>
      </c>
      <c r="AJ2105" s="4" t="n">
        <v>0</v>
      </c>
      <c r="AK2105" s="4" t="n">
        <v>0</v>
      </c>
      <c r="AL2105" s="4" t="s">
        <v>122</v>
      </c>
      <c r="AM2105" s="4" t="s">
        <v>123</v>
      </c>
      <c r="AN2105" s="4" t="s">
        <v>124</v>
      </c>
      <c r="AO2105" s="4" t="s">
        <v>35449</v>
      </c>
      <c r="AP2105" s="4"/>
      <c r="AQ2105" s="4"/>
      <c r="AR2105" s="4" t="s">
        <v>35450</v>
      </c>
      <c r="AS2105" s="4" t="s">
        <v>35451</v>
      </c>
      <c r="AT2105" s="4" t="s">
        <v>534</v>
      </c>
      <c r="AU2105" s="4" t="n">
        <v>2019</v>
      </c>
      <c r="AV2105" s="4" t="n">
        <v>13</v>
      </c>
      <c r="AW2105" s="4" t="n">
        <v>3</v>
      </c>
      <c r="AX2105" s="4"/>
      <c r="AY2105" s="4"/>
      <c r="AZ2105" s="4"/>
      <c r="BA2105" s="4"/>
      <c r="BB2105" s="4" t="n">
        <v>114</v>
      </c>
      <c r="BC2105" s="4" t="n">
        <v>117</v>
      </c>
      <c r="BD2105" s="4"/>
      <c r="BE2105" s="4" t="s">
        <v>35452</v>
      </c>
      <c r="BF2105" s="4" t="str">
        <f aca="false">HYPERLINK("http://dx.doi.org/10.1213/XAA.0000000000001008","http://dx.doi.org/10.1213/XAA.0000000000001008")</f>
        <v>http://dx.doi.org/10.1213/XAA.0000000000001008</v>
      </c>
      <c r="BG2105" s="4"/>
      <c r="BH2105" s="4"/>
      <c r="BI2105" s="4" t="n">
        <v>4</v>
      </c>
      <c r="BJ2105" s="4" t="s">
        <v>35453</v>
      </c>
      <c r="BK2105" s="4" t="s">
        <v>339</v>
      </c>
      <c r="BL2105" s="4" t="s">
        <v>35453</v>
      </c>
      <c r="BM2105" s="4" t="s">
        <v>35454</v>
      </c>
      <c r="BN2105" s="4" t="n">
        <v>30985319</v>
      </c>
      <c r="BO2105" s="4"/>
      <c r="BP2105" s="4"/>
      <c r="BQ2105" s="4"/>
      <c r="BR2105" s="4" t="s">
        <v>104</v>
      </c>
      <c r="BS2105" s="4" t="s">
        <v>35455</v>
      </c>
      <c r="BT2105" s="4" t="str">
        <f aca="false">HYPERLINK("https%3A%2F%2Fwww.webofscience.com%2Fwos%2Fwoscc%2Ffull-record%2FWOS:000484477900011","View Full Record in Web of Science")</f>
        <v>View Full Record in Web of Science</v>
      </c>
    </row>
    <row r="2106" s="5" customFormat="true" ht="12.75" hidden="false" customHeight="false" outlineLevel="0" collapsed="false">
      <c r="A2106" s="4" t="s">
        <v>72</v>
      </c>
      <c r="B2106" s="4" t="s">
        <v>35456</v>
      </c>
      <c r="C2106" s="4"/>
      <c r="D2106" s="4"/>
      <c r="E2106" s="4"/>
      <c r="F2106" s="4" t="s">
        <v>35457</v>
      </c>
      <c r="G2106" s="4"/>
      <c r="H2106" s="4"/>
      <c r="I2106" s="4" t="s">
        <v>35458</v>
      </c>
      <c r="J2106" s="4" t="s">
        <v>27497</v>
      </c>
      <c r="K2106" s="4"/>
      <c r="L2106" s="4"/>
      <c r="M2106" s="4" t="s">
        <v>77</v>
      </c>
      <c r="N2106" s="4" t="s">
        <v>78</v>
      </c>
      <c r="O2106" s="4"/>
      <c r="P2106" s="4"/>
      <c r="Q2106" s="4"/>
      <c r="R2106" s="4"/>
      <c r="S2106" s="4"/>
      <c r="T2106" s="1" t="s">
        <v>35459</v>
      </c>
      <c r="U2106" s="4" t="s">
        <v>35460</v>
      </c>
      <c r="V2106" s="4" t="s">
        <v>35461</v>
      </c>
      <c r="W2106" s="4" t="s">
        <v>35462</v>
      </c>
      <c r="X2106" s="4" t="s">
        <v>35463</v>
      </c>
      <c r="Y2106" s="4" t="s">
        <v>35464</v>
      </c>
      <c r="Z2106" s="4" t="s">
        <v>35465</v>
      </c>
      <c r="AA2106" s="4"/>
      <c r="AB2106" s="4"/>
      <c r="AC2106" s="4" t="s">
        <v>35466</v>
      </c>
      <c r="AD2106" s="4" t="s">
        <v>35467</v>
      </c>
      <c r="AE2106" s="4" t="s">
        <v>35468</v>
      </c>
      <c r="AF2106" s="4"/>
      <c r="AG2106" s="4" t="n">
        <v>21</v>
      </c>
      <c r="AH2106" s="4" t="n">
        <v>40</v>
      </c>
      <c r="AI2106" s="4" t="n">
        <v>48</v>
      </c>
      <c r="AJ2106" s="4" t="n">
        <v>0</v>
      </c>
      <c r="AK2106" s="4" t="n">
        <v>6</v>
      </c>
      <c r="AL2106" s="4" t="s">
        <v>27506</v>
      </c>
      <c r="AM2106" s="4" t="s">
        <v>27507</v>
      </c>
      <c r="AN2106" s="4" t="s">
        <v>27508</v>
      </c>
      <c r="AO2106" s="4" t="s">
        <v>27509</v>
      </c>
      <c r="AP2106" s="4"/>
      <c r="AQ2106" s="4"/>
      <c r="AR2106" s="4" t="s">
        <v>27497</v>
      </c>
      <c r="AS2106" s="4" t="s">
        <v>27510</v>
      </c>
      <c r="AT2106" s="4" t="s">
        <v>16948</v>
      </c>
      <c r="AU2106" s="4" t="n">
        <v>2012</v>
      </c>
      <c r="AV2106" s="4" t="n">
        <v>7</v>
      </c>
      <c r="AW2106" s="4" t="n">
        <v>9</v>
      </c>
      <c r="AX2106" s="4"/>
      <c r="AY2106" s="4"/>
      <c r="AZ2106" s="4"/>
      <c r="BA2106" s="4"/>
      <c r="BB2106" s="4"/>
      <c r="BC2106" s="4"/>
      <c r="BD2106" s="4" t="s">
        <v>35469</v>
      </c>
      <c r="BE2106" s="4" t="s">
        <v>35470</v>
      </c>
      <c r="BF2106" s="4" t="str">
        <f aca="false">HYPERLINK("http://dx.doi.org/10.1371/journal.pone.0044568","http://dx.doi.org/10.1371/journal.pone.0044568")</f>
        <v>http://dx.doi.org/10.1371/journal.pone.0044568</v>
      </c>
      <c r="BG2106" s="4"/>
      <c r="BH2106" s="4"/>
      <c r="BI2106" s="4" t="n">
        <v>6</v>
      </c>
      <c r="BJ2106" s="4" t="s">
        <v>1658</v>
      </c>
      <c r="BK2106" s="4" t="s">
        <v>100</v>
      </c>
      <c r="BL2106" s="4" t="s">
        <v>1659</v>
      </c>
      <c r="BM2106" s="4" t="s">
        <v>35471</v>
      </c>
      <c r="BN2106" s="4" t="n">
        <v>22970251</v>
      </c>
      <c r="BO2106" s="4" t="s">
        <v>6349</v>
      </c>
      <c r="BP2106" s="4"/>
      <c r="BQ2106" s="4"/>
      <c r="BR2106" s="4" t="s">
        <v>104</v>
      </c>
      <c r="BS2106" s="4" t="s">
        <v>35472</v>
      </c>
      <c r="BT2106" s="4" t="str">
        <f aca="false">HYPERLINK("https%3A%2F%2Fwww.webofscience.com%2Fwos%2Fwoscc%2Ffull-record%2FWOS:000308462000030","View Full Record in Web of Science")</f>
        <v>View Full Record in Web of Science</v>
      </c>
    </row>
    <row r="2107" s="5" customFormat="true" ht="12.75" hidden="false" customHeight="false" outlineLevel="0" collapsed="false">
      <c r="A2107" s="4" t="s">
        <v>72</v>
      </c>
      <c r="B2107" s="4" t="s">
        <v>35473</v>
      </c>
      <c r="C2107" s="4"/>
      <c r="D2107" s="4"/>
      <c r="E2107" s="4"/>
      <c r="F2107" s="4" t="s">
        <v>35474</v>
      </c>
      <c r="G2107" s="4"/>
      <c r="H2107" s="4"/>
      <c r="I2107" s="4" t="s">
        <v>35475</v>
      </c>
      <c r="J2107" s="4" t="s">
        <v>35476</v>
      </c>
      <c r="K2107" s="4"/>
      <c r="L2107" s="4"/>
      <c r="M2107" s="4" t="s">
        <v>77</v>
      </c>
      <c r="N2107" s="4" t="s">
        <v>78</v>
      </c>
      <c r="O2107" s="4"/>
      <c r="P2107" s="4"/>
      <c r="Q2107" s="4"/>
      <c r="R2107" s="4"/>
      <c r="S2107" s="4"/>
      <c r="T2107" s="1" t="s">
        <v>35477</v>
      </c>
      <c r="U2107" s="4" t="s">
        <v>35478</v>
      </c>
      <c r="V2107" s="4" t="s">
        <v>35479</v>
      </c>
      <c r="W2107" s="4" t="s">
        <v>35480</v>
      </c>
      <c r="X2107" s="4" t="s">
        <v>35481</v>
      </c>
      <c r="Y2107" s="4" t="s">
        <v>35482</v>
      </c>
      <c r="Z2107" s="4" t="s">
        <v>35483</v>
      </c>
      <c r="AA2107" s="4" t="s">
        <v>35484</v>
      </c>
      <c r="AB2107" s="4" t="s">
        <v>35485</v>
      </c>
      <c r="AC2107" s="4" t="s">
        <v>35486</v>
      </c>
      <c r="AD2107" s="4" t="s">
        <v>35487</v>
      </c>
      <c r="AE2107" s="4" t="s">
        <v>35488</v>
      </c>
      <c r="AF2107" s="4"/>
      <c r="AG2107" s="4" t="n">
        <v>47</v>
      </c>
      <c r="AH2107" s="4" t="n">
        <v>56</v>
      </c>
      <c r="AI2107" s="4" t="n">
        <v>59</v>
      </c>
      <c r="AJ2107" s="4" t="n">
        <v>7</v>
      </c>
      <c r="AK2107" s="4" t="n">
        <v>93</v>
      </c>
      <c r="AL2107" s="4" t="s">
        <v>782</v>
      </c>
      <c r="AM2107" s="4" t="s">
        <v>783</v>
      </c>
      <c r="AN2107" s="4" t="s">
        <v>784</v>
      </c>
      <c r="AO2107" s="4"/>
      <c r="AP2107" s="4" t="s">
        <v>35489</v>
      </c>
      <c r="AQ2107" s="4"/>
      <c r="AR2107" s="4" t="s">
        <v>35490</v>
      </c>
      <c r="AS2107" s="4" t="s">
        <v>35491</v>
      </c>
      <c r="AT2107" s="4" t="s">
        <v>97</v>
      </c>
      <c r="AU2107" s="4" t="n">
        <v>2021</v>
      </c>
      <c r="AV2107" s="4" t="n">
        <v>5</v>
      </c>
      <c r="AW2107" s="4" t="n">
        <v>3</v>
      </c>
      <c r="AX2107" s="4"/>
      <c r="AY2107" s="4"/>
      <c r="AZ2107" s="4"/>
      <c r="BA2107" s="4"/>
      <c r="BB2107" s="4" t="s">
        <v>35492</v>
      </c>
      <c r="BC2107" s="4" t="s">
        <v>35493</v>
      </c>
      <c r="BD2107" s="4"/>
      <c r="BE2107" s="4" t="s">
        <v>35494</v>
      </c>
      <c r="BF2107" s="4"/>
      <c r="BG2107" s="4"/>
      <c r="BH2107" s="4"/>
      <c r="BI2107" s="4" t="n">
        <v>10</v>
      </c>
      <c r="BJ2107" s="4" t="s">
        <v>3921</v>
      </c>
      <c r="BK2107" s="4" t="s">
        <v>1086</v>
      </c>
      <c r="BL2107" s="4" t="s">
        <v>3922</v>
      </c>
      <c r="BM2107" s="4" t="s">
        <v>35495</v>
      </c>
      <c r="BN2107" s="4" t="n">
        <v>33713616</v>
      </c>
      <c r="BO2107" s="4" t="s">
        <v>35496</v>
      </c>
      <c r="BP2107" s="4"/>
      <c r="BQ2107" s="4"/>
      <c r="BR2107" s="4" t="s">
        <v>104</v>
      </c>
      <c r="BS2107" s="4" t="s">
        <v>35497</v>
      </c>
      <c r="BT2107" s="4" t="str">
        <f aca="false">HYPERLINK("https%3A%2F%2Fwww.webofscience.com%2Fwos%2Fwoscc%2Ffull-record%2FWOS:000629882600009","View Full Record in Web of Science")</f>
        <v>View Full Record in Web of Science</v>
      </c>
    </row>
    <row r="2108" s="5" customFormat="true" ht="12.75" hidden="false" customHeight="false" outlineLevel="0" collapsed="false">
      <c r="A2108" s="4" t="s">
        <v>72</v>
      </c>
      <c r="B2108" s="4" t="s">
        <v>35498</v>
      </c>
      <c r="C2108" s="4"/>
      <c r="D2108" s="4"/>
      <c r="E2108" s="4"/>
      <c r="F2108" s="4" t="s">
        <v>35499</v>
      </c>
      <c r="G2108" s="4"/>
      <c r="H2108" s="4"/>
      <c r="I2108" s="4" t="s">
        <v>35500</v>
      </c>
      <c r="J2108" s="4" t="s">
        <v>35501</v>
      </c>
      <c r="K2108" s="4"/>
      <c r="L2108" s="4"/>
      <c r="M2108" s="4" t="s">
        <v>77</v>
      </c>
      <c r="N2108" s="4" t="s">
        <v>78</v>
      </c>
      <c r="O2108" s="4"/>
      <c r="P2108" s="4"/>
      <c r="Q2108" s="4"/>
      <c r="R2108" s="4"/>
      <c r="S2108" s="4"/>
      <c r="T2108" s="1" t="s">
        <v>35502</v>
      </c>
      <c r="U2108" s="4" t="s">
        <v>35503</v>
      </c>
      <c r="V2108" s="4" t="s">
        <v>35504</v>
      </c>
      <c r="W2108" s="4" t="s">
        <v>35505</v>
      </c>
      <c r="X2108" s="4" t="s">
        <v>35506</v>
      </c>
      <c r="Y2108" s="4" t="s">
        <v>35507</v>
      </c>
      <c r="Z2108" s="4" t="s">
        <v>35508</v>
      </c>
      <c r="AA2108" s="4"/>
      <c r="AB2108" s="4"/>
      <c r="AC2108" s="4" t="s">
        <v>35509</v>
      </c>
      <c r="AD2108" s="4" t="s">
        <v>35509</v>
      </c>
      <c r="AE2108" s="4" t="s">
        <v>35510</v>
      </c>
      <c r="AF2108" s="4"/>
      <c r="AG2108" s="4" t="n">
        <v>9</v>
      </c>
      <c r="AH2108" s="4" t="n">
        <v>189</v>
      </c>
      <c r="AI2108" s="4" t="n">
        <v>193</v>
      </c>
      <c r="AJ2108" s="4" t="n">
        <v>0</v>
      </c>
      <c r="AK2108" s="4" t="n">
        <v>10</v>
      </c>
      <c r="AL2108" s="4" t="s">
        <v>35511</v>
      </c>
      <c r="AM2108" s="4" t="s">
        <v>35512</v>
      </c>
      <c r="AN2108" s="4" t="s">
        <v>35513</v>
      </c>
      <c r="AO2108" s="4" t="s">
        <v>35514</v>
      </c>
      <c r="AP2108" s="4" t="s">
        <v>35515</v>
      </c>
      <c r="AQ2108" s="4"/>
      <c r="AR2108" s="4" t="s">
        <v>35516</v>
      </c>
      <c r="AS2108" s="4" t="s">
        <v>35517</v>
      </c>
      <c r="AT2108" s="4" t="s">
        <v>390</v>
      </c>
      <c r="AU2108" s="4" t="n">
        <v>2015</v>
      </c>
      <c r="AV2108" s="4" t="n">
        <v>139</v>
      </c>
      <c r="AW2108" s="4" t="n">
        <v>5</v>
      </c>
      <c r="AX2108" s="4"/>
      <c r="AY2108" s="4"/>
      <c r="AZ2108" s="4"/>
      <c r="BA2108" s="4"/>
      <c r="BB2108" s="4" t="n">
        <v>636</v>
      </c>
      <c r="BC2108" s="4" t="n">
        <v>641</v>
      </c>
      <c r="BD2108" s="4"/>
      <c r="BE2108" s="4" t="s">
        <v>35518</v>
      </c>
      <c r="BF2108" s="4" t="str">
        <f aca="false">HYPERLINK("http://dx.doi.org/10.5858/arpa.2014-0257-OA","http://dx.doi.org/10.5858/arpa.2014-0257-OA")</f>
        <v>http://dx.doi.org/10.5858/arpa.2014-0257-OA</v>
      </c>
      <c r="BG2108" s="4"/>
      <c r="BH2108" s="4"/>
      <c r="BI2108" s="4" t="n">
        <v>6</v>
      </c>
      <c r="BJ2108" s="4" t="s">
        <v>35519</v>
      </c>
      <c r="BK2108" s="4" t="s">
        <v>100</v>
      </c>
      <c r="BL2108" s="4" t="s">
        <v>35520</v>
      </c>
      <c r="BM2108" s="4" t="s">
        <v>35521</v>
      </c>
      <c r="BN2108" s="4" t="n">
        <v>25152311</v>
      </c>
      <c r="BO2108" s="4"/>
      <c r="BP2108" s="4"/>
      <c r="BQ2108" s="4"/>
      <c r="BR2108" s="4" t="s">
        <v>104</v>
      </c>
      <c r="BS2108" s="4" t="s">
        <v>35522</v>
      </c>
      <c r="BT2108" s="4" t="str">
        <f aca="false">HYPERLINK("https%3A%2F%2Fwww.webofscience.com%2Fwos%2Fwoscc%2Ffull-record%2FWOS:000354851400018","View Full Record in Web of Science")</f>
        <v>View Full Record in Web of Science</v>
      </c>
    </row>
    <row r="2109" s="5" customFormat="true" ht="12.75" hidden="false" customHeight="false" outlineLevel="0" collapsed="false">
      <c r="A2109" s="4" t="s">
        <v>72</v>
      </c>
      <c r="B2109" s="4" t="s">
        <v>35523</v>
      </c>
      <c r="C2109" s="4"/>
      <c r="D2109" s="4"/>
      <c r="E2109" s="4"/>
      <c r="F2109" s="4" t="s">
        <v>35524</v>
      </c>
      <c r="G2109" s="4"/>
      <c r="H2109" s="4"/>
      <c r="I2109" s="4" t="s">
        <v>35525</v>
      </c>
      <c r="J2109" s="4" t="s">
        <v>2222</v>
      </c>
      <c r="K2109" s="4"/>
      <c r="L2109" s="4"/>
      <c r="M2109" s="4" t="s">
        <v>77</v>
      </c>
      <c r="N2109" s="4" t="s">
        <v>78</v>
      </c>
      <c r="O2109" s="4"/>
      <c r="P2109" s="4"/>
      <c r="Q2109" s="4"/>
      <c r="R2109" s="4"/>
      <c r="S2109" s="4"/>
      <c r="T2109" s="1" t="s">
        <v>35526</v>
      </c>
      <c r="U2109" s="4" t="s">
        <v>35527</v>
      </c>
      <c r="V2109" s="4" t="s">
        <v>35528</v>
      </c>
      <c r="W2109" s="4" t="s">
        <v>35529</v>
      </c>
      <c r="X2109" s="4" t="s">
        <v>35530</v>
      </c>
      <c r="Y2109" s="4" t="s">
        <v>35531</v>
      </c>
      <c r="Z2109" s="4" t="s">
        <v>35532</v>
      </c>
      <c r="AA2109" s="4" t="s">
        <v>35533</v>
      </c>
      <c r="AB2109" s="4" t="s">
        <v>35534</v>
      </c>
      <c r="AC2109" s="4"/>
      <c r="AD2109" s="4"/>
      <c r="AE2109" s="4"/>
      <c r="AF2109" s="4"/>
      <c r="AG2109" s="4" t="n">
        <v>36</v>
      </c>
      <c r="AH2109" s="4" t="n">
        <v>90</v>
      </c>
      <c r="AI2109" s="4" t="n">
        <v>102</v>
      </c>
      <c r="AJ2109" s="4" t="n">
        <v>0</v>
      </c>
      <c r="AK2109" s="4" t="n">
        <v>9</v>
      </c>
      <c r="AL2109" s="4" t="s">
        <v>755</v>
      </c>
      <c r="AM2109" s="4" t="s">
        <v>273</v>
      </c>
      <c r="AN2109" s="4" t="s">
        <v>756</v>
      </c>
      <c r="AO2109" s="4" t="s">
        <v>2234</v>
      </c>
      <c r="AP2109" s="4"/>
      <c r="AQ2109" s="4"/>
      <c r="AR2109" s="4" t="s">
        <v>2236</v>
      </c>
      <c r="AS2109" s="4" t="s">
        <v>2237</v>
      </c>
      <c r="AT2109" s="4" t="s">
        <v>692</v>
      </c>
      <c r="AU2109" s="4" t="n">
        <v>2008</v>
      </c>
      <c r="AV2109" s="4" t="n">
        <v>46</v>
      </c>
      <c r="AW2109" s="4" t="n">
        <v>4</v>
      </c>
      <c r="AX2109" s="4"/>
      <c r="AY2109" s="4"/>
      <c r="AZ2109" s="4"/>
      <c r="BA2109" s="4"/>
      <c r="BB2109" s="4" t="n">
        <v>1232</v>
      </c>
      <c r="BC2109" s="4" t="n">
        <v>1240</v>
      </c>
      <c r="BD2109" s="4"/>
      <c r="BE2109" s="4" t="s">
        <v>35535</v>
      </c>
      <c r="BF2109" s="4" t="str">
        <f aca="false">HYPERLINK("http://dx.doi.org/10.1128/JCM.02294-07","http://dx.doi.org/10.1128/JCM.02294-07")</f>
        <v>http://dx.doi.org/10.1128/JCM.02294-07</v>
      </c>
      <c r="BG2109" s="4"/>
      <c r="BH2109" s="4"/>
      <c r="BI2109" s="4" t="n">
        <v>9</v>
      </c>
      <c r="BJ2109" s="4" t="s">
        <v>211</v>
      </c>
      <c r="BK2109" s="4" t="s">
        <v>100</v>
      </c>
      <c r="BL2109" s="4" t="s">
        <v>211</v>
      </c>
      <c r="BM2109" s="4" t="s">
        <v>31292</v>
      </c>
      <c r="BN2109" s="4" t="n">
        <v>18256230</v>
      </c>
      <c r="BO2109" s="4" t="s">
        <v>165</v>
      </c>
      <c r="BP2109" s="4"/>
      <c r="BQ2109" s="4"/>
      <c r="BR2109" s="4" t="s">
        <v>104</v>
      </c>
      <c r="BS2109" s="4" t="s">
        <v>35536</v>
      </c>
      <c r="BT2109" s="4" t="str">
        <f aca="false">HYPERLINK("https%3A%2F%2Fwww.webofscience.com%2Fwos%2Fwoscc%2Ffull-record%2FWOS:000254866400012","View Full Record in Web of Science")</f>
        <v>View Full Record in Web of Science</v>
      </c>
    </row>
    <row r="2110" s="5" customFormat="true" ht="12.75" hidden="false" customHeight="false" outlineLevel="0" collapsed="false">
      <c r="A2110" s="4" t="s">
        <v>72</v>
      </c>
      <c r="B2110" s="4" t="s">
        <v>35537</v>
      </c>
      <c r="C2110" s="4"/>
      <c r="D2110" s="4"/>
      <c r="E2110" s="4"/>
      <c r="F2110" s="4" t="s">
        <v>35538</v>
      </c>
      <c r="G2110" s="4"/>
      <c r="H2110" s="4"/>
      <c r="I2110" s="4" t="s">
        <v>35539</v>
      </c>
      <c r="J2110" s="4" t="s">
        <v>2021</v>
      </c>
      <c r="K2110" s="4"/>
      <c r="L2110" s="4"/>
      <c r="M2110" s="4" t="s">
        <v>77</v>
      </c>
      <c r="N2110" s="4" t="s">
        <v>78</v>
      </c>
      <c r="O2110" s="4"/>
      <c r="P2110" s="4"/>
      <c r="Q2110" s="4"/>
      <c r="R2110" s="4"/>
      <c r="S2110" s="4"/>
      <c r="T2110" s="1" t="s">
        <v>35540</v>
      </c>
      <c r="U2110" s="4" t="s">
        <v>35541</v>
      </c>
      <c r="V2110" s="4" t="s">
        <v>35542</v>
      </c>
      <c r="W2110" s="4" t="s">
        <v>35543</v>
      </c>
      <c r="X2110" s="4" t="s">
        <v>35544</v>
      </c>
      <c r="Y2110" s="4" t="s">
        <v>35545</v>
      </c>
      <c r="Z2110" s="4" t="s">
        <v>35546</v>
      </c>
      <c r="AA2110" s="4" t="s">
        <v>35547</v>
      </c>
      <c r="AB2110" s="4" t="s">
        <v>35548</v>
      </c>
      <c r="AC2110" s="4"/>
      <c r="AD2110" s="4"/>
      <c r="AE2110" s="4"/>
      <c r="AF2110" s="4"/>
      <c r="AG2110" s="4" t="n">
        <v>26</v>
      </c>
      <c r="AH2110" s="4" t="n">
        <v>67</v>
      </c>
      <c r="AI2110" s="4" t="n">
        <v>76</v>
      </c>
      <c r="AJ2110" s="4" t="n">
        <v>0</v>
      </c>
      <c r="AK2110" s="4" t="n">
        <v>2</v>
      </c>
      <c r="AL2110" s="4" t="s">
        <v>527</v>
      </c>
      <c r="AM2110" s="4" t="s">
        <v>528</v>
      </c>
      <c r="AN2110" s="4" t="s">
        <v>529</v>
      </c>
      <c r="AO2110" s="4" t="s">
        <v>2033</v>
      </c>
      <c r="AP2110" s="4" t="s">
        <v>2034</v>
      </c>
      <c r="AQ2110" s="4"/>
      <c r="AR2110" s="4" t="s">
        <v>2035</v>
      </c>
      <c r="AS2110" s="4" t="s">
        <v>2036</v>
      </c>
      <c r="AT2110" s="4" t="s">
        <v>4483</v>
      </c>
      <c r="AU2110" s="4" t="n">
        <v>2007</v>
      </c>
      <c r="AV2110" s="4" t="n">
        <v>45</v>
      </c>
      <c r="AW2110" s="4" t="n">
        <v>2</v>
      </c>
      <c r="AX2110" s="4"/>
      <c r="AY2110" s="4"/>
      <c r="AZ2110" s="4"/>
      <c r="BA2110" s="4"/>
      <c r="BB2110" s="4" t="n">
        <v>234</v>
      </c>
      <c r="BC2110" s="4" t="n">
        <v>240</v>
      </c>
      <c r="BD2110" s="4"/>
      <c r="BE2110" s="4" t="s">
        <v>35549</v>
      </c>
      <c r="BF2110" s="4" t="str">
        <f aca="false">HYPERLINK("http://dx.doi.org/10.1086/518986","http://dx.doi.org/10.1086/518986")</f>
        <v>http://dx.doi.org/10.1086/518986</v>
      </c>
      <c r="BG2110" s="4"/>
      <c r="BH2110" s="4"/>
      <c r="BI2110" s="4" t="n">
        <v>7</v>
      </c>
      <c r="BJ2110" s="4" t="s">
        <v>536</v>
      </c>
      <c r="BK2110" s="4" t="s">
        <v>100</v>
      </c>
      <c r="BL2110" s="4" t="s">
        <v>536</v>
      </c>
      <c r="BM2110" s="4" t="s">
        <v>35550</v>
      </c>
      <c r="BN2110" s="4" t="n">
        <v>17578785</v>
      </c>
      <c r="BO2110" s="4" t="s">
        <v>656</v>
      </c>
      <c r="BP2110" s="4"/>
      <c r="BQ2110" s="4"/>
      <c r="BR2110" s="4" t="s">
        <v>104</v>
      </c>
      <c r="BS2110" s="4" t="s">
        <v>35551</v>
      </c>
      <c r="BT2110" s="4" t="str">
        <f aca="false">HYPERLINK("https%3A%2F%2Fwww.webofscience.com%2Fwos%2Fwoscc%2Ffull-record%2FWOS:000247343900015","View Full Record in Web of Science")</f>
        <v>View Full Record in Web of Science</v>
      </c>
    </row>
    <row r="2111" s="5" customFormat="true" ht="12.75" hidden="false" customHeight="false" outlineLevel="0" collapsed="false">
      <c r="A2111" s="4" t="s">
        <v>72</v>
      </c>
      <c r="B2111" s="4" t="s">
        <v>35552</v>
      </c>
      <c r="C2111" s="4"/>
      <c r="D2111" s="4"/>
      <c r="E2111" s="4"/>
      <c r="F2111" s="4" t="s">
        <v>35553</v>
      </c>
      <c r="G2111" s="4"/>
      <c r="H2111" s="4"/>
      <c r="I2111" s="4" t="s">
        <v>35554</v>
      </c>
      <c r="J2111" s="4" t="s">
        <v>2222</v>
      </c>
      <c r="K2111" s="4"/>
      <c r="L2111" s="4"/>
      <c r="M2111" s="4" t="s">
        <v>77</v>
      </c>
      <c r="N2111" s="4" t="s">
        <v>78</v>
      </c>
      <c r="O2111" s="4"/>
      <c r="P2111" s="4"/>
      <c r="Q2111" s="4"/>
      <c r="R2111" s="4"/>
      <c r="S2111" s="4"/>
      <c r="T2111" s="1" t="s">
        <v>35555</v>
      </c>
      <c r="U2111" s="4" t="s">
        <v>35556</v>
      </c>
      <c r="V2111" s="4" t="s">
        <v>35557</v>
      </c>
      <c r="W2111" s="4" t="s">
        <v>35558</v>
      </c>
      <c r="X2111" s="4" t="s">
        <v>35559</v>
      </c>
      <c r="Y2111" s="4" t="s">
        <v>35560</v>
      </c>
      <c r="Z2111" s="4" t="s">
        <v>35561</v>
      </c>
      <c r="AA2111" s="4"/>
      <c r="AB2111" s="4"/>
      <c r="AC2111" s="4" t="s">
        <v>35562</v>
      </c>
      <c r="AD2111" s="4" t="s">
        <v>35563</v>
      </c>
      <c r="AE2111" s="4" t="s">
        <v>35564</v>
      </c>
      <c r="AF2111" s="4"/>
      <c r="AG2111" s="4" t="n">
        <v>37</v>
      </c>
      <c r="AH2111" s="4" t="n">
        <v>109</v>
      </c>
      <c r="AI2111" s="4" t="n">
        <v>127</v>
      </c>
      <c r="AJ2111" s="4" t="n">
        <v>0</v>
      </c>
      <c r="AK2111" s="4" t="n">
        <v>9</v>
      </c>
      <c r="AL2111" s="4" t="s">
        <v>755</v>
      </c>
      <c r="AM2111" s="4" t="s">
        <v>273</v>
      </c>
      <c r="AN2111" s="4" t="s">
        <v>756</v>
      </c>
      <c r="AO2111" s="4" t="s">
        <v>2234</v>
      </c>
      <c r="AP2111" s="4"/>
      <c r="AQ2111" s="4"/>
      <c r="AR2111" s="4" t="s">
        <v>2236</v>
      </c>
      <c r="AS2111" s="4" t="s">
        <v>2237</v>
      </c>
      <c r="AT2111" s="4" t="s">
        <v>804</v>
      </c>
      <c r="AU2111" s="4" t="n">
        <v>2011</v>
      </c>
      <c r="AV2111" s="4" t="n">
        <v>49</v>
      </c>
      <c r="AW2111" s="4" t="n">
        <v>11</v>
      </c>
      <c r="AX2111" s="4"/>
      <c r="AY2111" s="4"/>
      <c r="AZ2111" s="4"/>
      <c r="BA2111" s="4"/>
      <c r="BB2111" s="4" t="n">
        <v>3750</v>
      </c>
      <c r="BC2111" s="4" t="n">
        <v>3755</v>
      </c>
      <c r="BD2111" s="4"/>
      <c r="BE2111" s="4" t="s">
        <v>35565</v>
      </c>
      <c r="BF2111" s="4" t="str">
        <f aca="false">HYPERLINK("http://dx.doi.org/10.1128/JCM.01186-11","http://dx.doi.org/10.1128/JCM.01186-11")</f>
        <v>http://dx.doi.org/10.1128/JCM.01186-11</v>
      </c>
      <c r="BG2111" s="4"/>
      <c r="BH2111" s="4"/>
      <c r="BI2111" s="4" t="n">
        <v>6</v>
      </c>
      <c r="BJ2111" s="4" t="s">
        <v>211</v>
      </c>
      <c r="BK2111" s="4" t="s">
        <v>100</v>
      </c>
      <c r="BL2111" s="4" t="s">
        <v>211</v>
      </c>
      <c r="BM2111" s="4" t="s">
        <v>35566</v>
      </c>
      <c r="BN2111" s="4" t="n">
        <v>21900518</v>
      </c>
      <c r="BO2111" s="4" t="s">
        <v>165</v>
      </c>
      <c r="BP2111" s="4"/>
      <c r="BQ2111" s="4"/>
      <c r="BR2111" s="4" t="s">
        <v>104</v>
      </c>
      <c r="BS2111" s="4" t="s">
        <v>35567</v>
      </c>
      <c r="BT2111" s="4" t="str">
        <f aca="false">HYPERLINK("https%3A%2F%2Fwww.webofscience.com%2Fwos%2Fwoscc%2Ffull-record%2FWOS:000296617300005","View Full Record in Web of Science")</f>
        <v>View Full Record in Web of Science</v>
      </c>
    </row>
    <row r="2112" s="5" customFormat="true" ht="12.75" hidden="false" customHeight="false" outlineLevel="0" collapsed="false">
      <c r="A2112" s="4" t="s">
        <v>72</v>
      </c>
      <c r="B2112" s="4" t="s">
        <v>35568</v>
      </c>
      <c r="C2112" s="4"/>
      <c r="D2112" s="4"/>
      <c r="E2112" s="4"/>
      <c r="F2112" s="4" t="s">
        <v>35569</v>
      </c>
      <c r="G2112" s="4"/>
      <c r="H2112" s="4"/>
      <c r="I2112" s="4" t="s">
        <v>35570</v>
      </c>
      <c r="J2112" s="4" t="s">
        <v>30899</v>
      </c>
      <c r="K2112" s="4"/>
      <c r="L2112" s="4"/>
      <c r="M2112" s="4" t="s">
        <v>77</v>
      </c>
      <c r="N2112" s="4" t="s">
        <v>78</v>
      </c>
      <c r="O2112" s="4"/>
      <c r="P2112" s="4"/>
      <c r="Q2112" s="4"/>
      <c r="R2112" s="4"/>
      <c r="S2112" s="4"/>
      <c r="T2112" s="1" t="s">
        <v>35571</v>
      </c>
      <c r="U2112" s="4" t="s">
        <v>35572</v>
      </c>
      <c r="V2112" s="4" t="s">
        <v>35573</v>
      </c>
      <c r="W2112" s="4" t="s">
        <v>35574</v>
      </c>
      <c r="X2112" s="4" t="s">
        <v>2351</v>
      </c>
      <c r="Y2112" s="4" t="s">
        <v>35575</v>
      </c>
      <c r="Z2112" s="4" t="s">
        <v>16590</v>
      </c>
      <c r="AA2112" s="4" t="s">
        <v>35576</v>
      </c>
      <c r="AB2112" s="4" t="s">
        <v>35577</v>
      </c>
      <c r="AC2112" s="4" t="s">
        <v>35578</v>
      </c>
      <c r="AD2112" s="4" t="s">
        <v>35578</v>
      </c>
      <c r="AE2112" s="4" t="s">
        <v>35579</v>
      </c>
      <c r="AF2112" s="4"/>
      <c r="AG2112" s="4" t="n">
        <v>30</v>
      </c>
      <c r="AH2112" s="4" t="n">
        <v>157</v>
      </c>
      <c r="AI2112" s="4" t="n">
        <v>179</v>
      </c>
      <c r="AJ2112" s="4" t="n">
        <v>0</v>
      </c>
      <c r="AK2112" s="4" t="n">
        <v>6</v>
      </c>
      <c r="AL2112" s="4" t="s">
        <v>1186</v>
      </c>
      <c r="AM2112" s="4" t="s">
        <v>303</v>
      </c>
      <c r="AN2112" s="4" t="s">
        <v>1187</v>
      </c>
      <c r="AO2112" s="4" t="s">
        <v>30906</v>
      </c>
      <c r="AP2112" s="4" t="s">
        <v>30907</v>
      </c>
      <c r="AQ2112" s="4"/>
      <c r="AR2112" s="4" t="s">
        <v>30908</v>
      </c>
      <c r="AS2112" s="4" t="s">
        <v>30909</v>
      </c>
      <c r="AT2112" s="4" t="s">
        <v>161</v>
      </c>
      <c r="AU2112" s="4" t="n">
        <v>2010</v>
      </c>
      <c r="AV2112" s="4" t="n">
        <v>95</v>
      </c>
      <c r="AW2112" s="4" t="n">
        <v>1</v>
      </c>
      <c r="AX2112" s="4"/>
      <c r="AY2112" s="4"/>
      <c r="AZ2112" s="4"/>
      <c r="BA2112" s="4"/>
      <c r="BB2112" s="4" t="n">
        <v>35</v>
      </c>
      <c r="BC2112" s="4" t="n">
        <v>41</v>
      </c>
      <c r="BD2112" s="4"/>
      <c r="BE2112" s="4" t="s">
        <v>35580</v>
      </c>
      <c r="BF2112" s="4" t="str">
        <f aca="false">HYPERLINK("http://dx.doi.org/10.1136/adc.2008.153361","http://dx.doi.org/10.1136/adc.2008.153361")</f>
        <v>http://dx.doi.org/10.1136/adc.2008.153361</v>
      </c>
      <c r="BG2112" s="4"/>
      <c r="BH2112" s="4"/>
      <c r="BI2112" s="4" t="n">
        <v>7</v>
      </c>
      <c r="BJ2112" s="4" t="s">
        <v>601</v>
      </c>
      <c r="BK2112" s="4" t="s">
        <v>100</v>
      </c>
      <c r="BL2112" s="4" t="s">
        <v>601</v>
      </c>
      <c r="BM2112" s="4" t="s">
        <v>35581</v>
      </c>
      <c r="BN2112" s="4" t="n">
        <v>19822538</v>
      </c>
      <c r="BO2112" s="4"/>
      <c r="BP2112" s="4"/>
      <c r="BQ2112" s="4"/>
      <c r="BR2112" s="4" t="s">
        <v>104</v>
      </c>
      <c r="BS2112" s="4" t="s">
        <v>35582</v>
      </c>
      <c r="BT2112" s="4" t="str">
        <f aca="false">HYPERLINK("https%3A%2F%2Fwww.webofscience.com%2Fwos%2Fwoscc%2Ffull-record%2FWOS:000273146900009","View Full Record in Web of Science")</f>
        <v>View Full Record in Web of Science</v>
      </c>
    </row>
    <row r="2113" s="5" customFormat="true" ht="12.75" hidden="false" customHeight="false" outlineLevel="0" collapsed="false">
      <c r="A2113" s="4" t="s">
        <v>72</v>
      </c>
      <c r="B2113" s="4" t="s">
        <v>35583</v>
      </c>
      <c r="C2113" s="4"/>
      <c r="D2113" s="4"/>
      <c r="E2113" s="4"/>
      <c r="F2113" s="4" t="s">
        <v>35584</v>
      </c>
      <c r="G2113" s="4"/>
      <c r="H2113" s="4"/>
      <c r="I2113" s="4" t="s">
        <v>35585</v>
      </c>
      <c r="J2113" s="4" t="s">
        <v>27497</v>
      </c>
      <c r="K2113" s="4"/>
      <c r="L2113" s="4"/>
      <c r="M2113" s="4" t="s">
        <v>77</v>
      </c>
      <c r="N2113" s="4" t="s">
        <v>78</v>
      </c>
      <c r="O2113" s="4"/>
      <c r="P2113" s="4"/>
      <c r="Q2113" s="4"/>
      <c r="R2113" s="4"/>
      <c r="S2113" s="4"/>
      <c r="T2113" s="1" t="s">
        <v>35586</v>
      </c>
      <c r="U2113" s="4" t="s">
        <v>35587</v>
      </c>
      <c r="V2113" s="4" t="s">
        <v>35588</v>
      </c>
      <c r="W2113" s="4" t="s">
        <v>35589</v>
      </c>
      <c r="X2113" s="4" t="s">
        <v>35590</v>
      </c>
      <c r="Y2113" s="4" t="s">
        <v>35591</v>
      </c>
      <c r="Z2113" s="4" t="s">
        <v>32987</v>
      </c>
      <c r="AA2113" s="4" t="s">
        <v>35592</v>
      </c>
      <c r="AB2113" s="4" t="s">
        <v>35593</v>
      </c>
      <c r="AC2113" s="4" t="s">
        <v>35594</v>
      </c>
      <c r="AD2113" s="4" t="s">
        <v>35595</v>
      </c>
      <c r="AE2113" s="4" t="s">
        <v>35596</v>
      </c>
      <c r="AF2113" s="4"/>
      <c r="AG2113" s="4" t="n">
        <v>50</v>
      </c>
      <c r="AH2113" s="4" t="n">
        <v>19</v>
      </c>
      <c r="AI2113" s="4" t="n">
        <v>20</v>
      </c>
      <c r="AJ2113" s="4" t="n">
        <v>0</v>
      </c>
      <c r="AK2113" s="4" t="n">
        <v>5</v>
      </c>
      <c r="AL2113" s="4" t="s">
        <v>27506</v>
      </c>
      <c r="AM2113" s="4" t="s">
        <v>27507</v>
      </c>
      <c r="AN2113" s="4" t="s">
        <v>27508</v>
      </c>
      <c r="AO2113" s="4" t="s">
        <v>27509</v>
      </c>
      <c r="AP2113" s="4"/>
      <c r="AQ2113" s="4"/>
      <c r="AR2113" s="4" t="s">
        <v>27497</v>
      </c>
      <c r="AS2113" s="4" t="s">
        <v>27510</v>
      </c>
      <c r="AT2113" s="4" t="s">
        <v>6728</v>
      </c>
      <c r="AU2113" s="4" t="n">
        <v>2016</v>
      </c>
      <c r="AV2113" s="4" t="n">
        <v>11</v>
      </c>
      <c r="AW2113" s="4" t="n">
        <v>2</v>
      </c>
      <c r="AX2113" s="4"/>
      <c r="AY2113" s="4"/>
      <c r="AZ2113" s="4"/>
      <c r="BA2113" s="4"/>
      <c r="BB2113" s="4"/>
      <c r="BC2113" s="4"/>
      <c r="BD2113" s="4" t="s">
        <v>35597</v>
      </c>
      <c r="BE2113" s="4" t="s">
        <v>35598</v>
      </c>
      <c r="BF2113" s="4" t="str">
        <f aca="false">HYPERLINK("http://dx.doi.org/10.1371/journal.pone.0147982","http://dx.doi.org/10.1371/journal.pone.0147982")</f>
        <v>http://dx.doi.org/10.1371/journal.pone.0147982</v>
      </c>
      <c r="BG2113" s="4"/>
      <c r="BH2113" s="4"/>
      <c r="BI2113" s="4" t="n">
        <v>14</v>
      </c>
      <c r="BJ2113" s="4" t="s">
        <v>1658</v>
      </c>
      <c r="BK2113" s="4" t="s">
        <v>100</v>
      </c>
      <c r="BL2113" s="4" t="s">
        <v>1659</v>
      </c>
      <c r="BM2113" s="4" t="s">
        <v>35599</v>
      </c>
      <c r="BN2113" s="4" t="n">
        <v>26840782</v>
      </c>
      <c r="BO2113" s="4" t="s">
        <v>11315</v>
      </c>
      <c r="BP2113" s="4"/>
      <c r="BQ2113" s="4"/>
      <c r="BR2113" s="4" t="s">
        <v>104</v>
      </c>
      <c r="BS2113" s="4" t="s">
        <v>35600</v>
      </c>
      <c r="BT2113" s="4" t="str">
        <f aca="false">HYPERLINK("https%3A%2F%2Fwww.webofscience.com%2Fwos%2Fwoscc%2Ffull-record%2FWOS:000369550200074","View Full Record in Web of Science")</f>
        <v>View Full Record in Web of Science</v>
      </c>
    </row>
    <row r="2114" s="5" customFormat="true" ht="12.75" hidden="false" customHeight="false" outlineLevel="0" collapsed="false">
      <c r="A2114" s="4" t="s">
        <v>72</v>
      </c>
      <c r="B2114" s="4" t="s">
        <v>35601</v>
      </c>
      <c r="C2114" s="4"/>
      <c r="D2114" s="4"/>
      <c r="E2114" s="4"/>
      <c r="F2114" s="4" t="s">
        <v>35602</v>
      </c>
      <c r="G2114" s="4"/>
      <c r="H2114" s="4"/>
      <c r="I2114" s="4" t="s">
        <v>35603</v>
      </c>
      <c r="J2114" s="4" t="s">
        <v>30702</v>
      </c>
      <c r="K2114" s="4"/>
      <c r="L2114" s="4"/>
      <c r="M2114" s="4" t="s">
        <v>77</v>
      </c>
      <c r="N2114" s="4" t="s">
        <v>78</v>
      </c>
      <c r="O2114" s="4"/>
      <c r="P2114" s="4"/>
      <c r="Q2114" s="4"/>
      <c r="R2114" s="4"/>
      <c r="S2114" s="4"/>
      <c r="T2114" s="1" t="s">
        <v>35604</v>
      </c>
      <c r="U2114" s="4" t="s">
        <v>35605</v>
      </c>
      <c r="V2114" s="4" t="s">
        <v>35606</v>
      </c>
      <c r="W2114" s="4" t="s">
        <v>35607</v>
      </c>
      <c r="X2114" s="4" t="s">
        <v>35608</v>
      </c>
      <c r="Y2114" s="4" t="s">
        <v>35609</v>
      </c>
      <c r="Z2114" s="4" t="s">
        <v>35610</v>
      </c>
      <c r="AA2114" s="4" t="s">
        <v>35611</v>
      </c>
      <c r="AB2114" s="4" t="s">
        <v>12856</v>
      </c>
      <c r="AC2114" s="4" t="s">
        <v>35612</v>
      </c>
      <c r="AD2114" s="4" t="s">
        <v>18996</v>
      </c>
      <c r="AE2114" s="4" t="s">
        <v>35613</v>
      </c>
      <c r="AF2114" s="4"/>
      <c r="AG2114" s="4" t="n">
        <v>42</v>
      </c>
      <c r="AH2114" s="4" t="n">
        <v>92</v>
      </c>
      <c r="AI2114" s="4" t="n">
        <v>110</v>
      </c>
      <c r="AJ2114" s="4" t="n">
        <v>1</v>
      </c>
      <c r="AK2114" s="4" t="n">
        <v>24</v>
      </c>
      <c r="AL2114" s="4" t="s">
        <v>782</v>
      </c>
      <c r="AM2114" s="4" t="s">
        <v>783</v>
      </c>
      <c r="AN2114" s="4" t="s">
        <v>784</v>
      </c>
      <c r="AO2114" s="4" t="s">
        <v>30712</v>
      </c>
      <c r="AP2114" s="4" t="s">
        <v>30713</v>
      </c>
      <c r="AQ2114" s="4"/>
      <c r="AR2114" s="4" t="s">
        <v>30714</v>
      </c>
      <c r="AS2114" s="4" t="s">
        <v>30715</v>
      </c>
      <c r="AT2114" s="4" t="s">
        <v>692</v>
      </c>
      <c r="AU2114" s="4" t="n">
        <v>2015</v>
      </c>
      <c r="AV2114" s="4" t="n">
        <v>11</v>
      </c>
      <c r="AW2114" s="4"/>
      <c r="AX2114" s="4"/>
      <c r="AY2114" s="4"/>
      <c r="AZ2114" s="4"/>
      <c r="BA2114" s="4"/>
      <c r="BB2114" s="4" t="n">
        <v>70</v>
      </c>
      <c r="BC2114" s="4" t="n">
        <v>75</v>
      </c>
      <c r="BD2114" s="4"/>
      <c r="BE2114" s="4" t="s">
        <v>35614</v>
      </c>
      <c r="BF2114" s="4" t="str">
        <f aca="false">HYPERLINK("http://dx.doi.org/10.1016/j.coviro.2015.03.002","http://dx.doi.org/10.1016/j.coviro.2015.03.002")</f>
        <v>http://dx.doi.org/10.1016/j.coviro.2015.03.002</v>
      </c>
      <c r="BG2114" s="4"/>
      <c r="BH2114" s="4"/>
      <c r="BI2114" s="4" t="n">
        <v>6</v>
      </c>
      <c r="BJ2114" s="4" t="s">
        <v>163</v>
      </c>
      <c r="BK2114" s="4" t="s">
        <v>100</v>
      </c>
      <c r="BL2114" s="4" t="s">
        <v>163</v>
      </c>
      <c r="BM2114" s="4" t="s">
        <v>35615</v>
      </c>
      <c r="BN2114" s="4" t="n">
        <v>25819327</v>
      </c>
      <c r="BO2114" s="4" t="s">
        <v>4062</v>
      </c>
      <c r="BP2114" s="4"/>
      <c r="BQ2114" s="4"/>
      <c r="BR2114" s="4" t="s">
        <v>104</v>
      </c>
      <c r="BS2114" s="4" t="s">
        <v>35616</v>
      </c>
      <c r="BT2114" s="4" t="str">
        <f aca="false">HYPERLINK("https%3A%2F%2Fwww.webofscience.com%2Fwos%2Fwoscc%2Ffull-record%2FWOS:000356547000012","View Full Record in Web of Science")</f>
        <v>View Full Record in Web of Science</v>
      </c>
    </row>
    <row r="2115" s="5" customFormat="true" ht="12.75" hidden="false" customHeight="false" outlineLevel="0" collapsed="false">
      <c r="A2115" s="4" t="s">
        <v>72</v>
      </c>
      <c r="B2115" s="4" t="s">
        <v>35617</v>
      </c>
      <c r="C2115" s="4"/>
      <c r="D2115" s="4"/>
      <c r="E2115" s="4"/>
      <c r="F2115" s="4" t="s">
        <v>35618</v>
      </c>
      <c r="G2115" s="4"/>
      <c r="H2115" s="4"/>
      <c r="I2115" s="4" t="s">
        <v>35619</v>
      </c>
      <c r="J2115" s="4" t="s">
        <v>33155</v>
      </c>
      <c r="K2115" s="4"/>
      <c r="L2115" s="4"/>
      <c r="M2115" s="4" t="s">
        <v>77</v>
      </c>
      <c r="N2115" s="4" t="s">
        <v>78</v>
      </c>
      <c r="O2115" s="4"/>
      <c r="P2115" s="4"/>
      <c r="Q2115" s="4"/>
      <c r="R2115" s="4"/>
      <c r="S2115" s="4"/>
      <c r="T2115" s="1" t="s">
        <v>35620</v>
      </c>
      <c r="U2115" s="4" t="s">
        <v>35621</v>
      </c>
      <c r="V2115" s="4" t="s">
        <v>35622</v>
      </c>
      <c r="W2115" s="4" t="s">
        <v>35623</v>
      </c>
      <c r="X2115" s="4" t="s">
        <v>35624</v>
      </c>
      <c r="Y2115" s="4" t="s">
        <v>35625</v>
      </c>
      <c r="Z2115" s="4" t="s">
        <v>35626</v>
      </c>
      <c r="AA2115" s="4" t="s">
        <v>35627</v>
      </c>
      <c r="AB2115" s="4" t="s">
        <v>35628</v>
      </c>
      <c r="AC2115" s="4" t="s">
        <v>35629</v>
      </c>
      <c r="AD2115" s="4" t="s">
        <v>35630</v>
      </c>
      <c r="AE2115" s="4" t="s">
        <v>35631</v>
      </c>
      <c r="AF2115" s="4"/>
      <c r="AG2115" s="4" t="n">
        <v>38</v>
      </c>
      <c r="AH2115" s="4" t="n">
        <v>2</v>
      </c>
      <c r="AI2115" s="4" t="n">
        <v>2</v>
      </c>
      <c r="AJ2115" s="4" t="n">
        <v>2</v>
      </c>
      <c r="AK2115" s="4" t="n">
        <v>2</v>
      </c>
      <c r="AL2115" s="4" t="s">
        <v>33623</v>
      </c>
      <c r="AM2115" s="4" t="s">
        <v>33169</v>
      </c>
      <c r="AN2115" s="4" t="s">
        <v>33624</v>
      </c>
      <c r="AO2115" s="4" t="s">
        <v>33171</v>
      </c>
      <c r="AP2115" s="4" t="s">
        <v>33172</v>
      </c>
      <c r="AQ2115" s="4"/>
      <c r="AR2115" s="4" t="s">
        <v>33173</v>
      </c>
      <c r="AS2115" s="4" t="s">
        <v>33174</v>
      </c>
      <c r="AT2115" s="4"/>
      <c r="AU2115" s="4" t="n">
        <v>2022</v>
      </c>
      <c r="AV2115" s="4" t="n">
        <v>12</v>
      </c>
      <c r="AW2115" s="4"/>
      <c r="AX2115" s="4"/>
      <c r="AY2115" s="4"/>
      <c r="AZ2115" s="4"/>
      <c r="BA2115" s="4"/>
      <c r="BB2115" s="4"/>
      <c r="BC2115" s="4"/>
      <c r="BD2115" s="4" t="n">
        <v>4050</v>
      </c>
      <c r="BE2115" s="4" t="s">
        <v>35632</v>
      </c>
      <c r="BF2115" s="4" t="str">
        <f aca="false">HYPERLINK("http://dx.doi.org/10.7189/jogh.12.04050","http://dx.doi.org/10.7189/jogh.12.04050")</f>
        <v>http://dx.doi.org/10.7189/jogh.12.04050</v>
      </c>
      <c r="BG2115" s="4"/>
      <c r="BH2115" s="4"/>
      <c r="BI2115" s="4" t="n">
        <v>9</v>
      </c>
      <c r="BJ2115" s="4" t="s">
        <v>1353</v>
      </c>
      <c r="BK2115" s="4" t="s">
        <v>1086</v>
      </c>
      <c r="BL2115" s="4" t="s">
        <v>1353</v>
      </c>
      <c r="BM2115" s="4" t="s">
        <v>35633</v>
      </c>
      <c r="BN2115" s="4" t="n">
        <v>35976005</v>
      </c>
      <c r="BO2115" s="4" t="s">
        <v>190</v>
      </c>
      <c r="BP2115" s="4"/>
      <c r="BQ2115" s="4"/>
      <c r="BR2115" s="4" t="s">
        <v>104</v>
      </c>
      <c r="BS2115" s="4" t="s">
        <v>35634</v>
      </c>
      <c r="BT2115" s="4" t="str">
        <f aca="false">HYPERLINK("https%3A%2F%2Fwww.webofscience.com%2Fwos%2Fwoscc%2Ffull-record%2FWOS:000829309400001","View Full Record in Web of Science")</f>
        <v>View Full Record in Web of Science</v>
      </c>
    </row>
    <row r="2116" s="5" customFormat="true" ht="12.75" hidden="false" customHeight="false" outlineLevel="0" collapsed="false">
      <c r="A2116" s="4" t="s">
        <v>72</v>
      </c>
      <c r="B2116" s="4" t="s">
        <v>35635</v>
      </c>
      <c r="C2116" s="4"/>
      <c r="D2116" s="4"/>
      <c r="E2116" s="4"/>
      <c r="F2116" s="4" t="s">
        <v>35636</v>
      </c>
      <c r="G2116" s="4"/>
      <c r="H2116" s="4" t="s">
        <v>35637</v>
      </c>
      <c r="I2116" s="4" t="s">
        <v>35638</v>
      </c>
      <c r="J2116" s="4" t="s">
        <v>19092</v>
      </c>
      <c r="K2116" s="4"/>
      <c r="L2116" s="4"/>
      <c r="M2116" s="4" t="s">
        <v>77</v>
      </c>
      <c r="N2116" s="4" t="s">
        <v>78</v>
      </c>
      <c r="O2116" s="4"/>
      <c r="P2116" s="4"/>
      <c r="Q2116" s="4"/>
      <c r="R2116" s="4"/>
      <c r="S2116" s="4"/>
      <c r="T2116" s="0"/>
      <c r="U2116" s="4" t="s">
        <v>35639</v>
      </c>
      <c r="V2116" s="4" t="s">
        <v>35640</v>
      </c>
      <c r="W2116" s="4" t="s">
        <v>35641</v>
      </c>
      <c r="X2116" s="4" t="s">
        <v>35642</v>
      </c>
      <c r="Y2116" s="4" t="s">
        <v>35643</v>
      </c>
      <c r="Z2116" s="4" t="s">
        <v>35644</v>
      </c>
      <c r="AA2116" s="4"/>
      <c r="AB2116" s="4"/>
      <c r="AC2116" s="4"/>
      <c r="AD2116" s="4"/>
      <c r="AE2116" s="4"/>
      <c r="AF2116" s="4"/>
      <c r="AG2116" s="4" t="n">
        <v>29</v>
      </c>
      <c r="AH2116" s="4" t="n">
        <v>0</v>
      </c>
      <c r="AI2116" s="4" t="n">
        <v>0</v>
      </c>
      <c r="AJ2116" s="4" t="n">
        <v>2</v>
      </c>
      <c r="AK2116" s="4" t="n">
        <v>2</v>
      </c>
      <c r="AL2116" s="4" t="s">
        <v>154</v>
      </c>
      <c r="AM2116" s="4" t="s">
        <v>155</v>
      </c>
      <c r="AN2116" s="4" t="s">
        <v>156</v>
      </c>
      <c r="AO2116" s="4" t="s">
        <v>19104</v>
      </c>
      <c r="AP2116" s="4" t="s">
        <v>19105</v>
      </c>
      <c r="AQ2116" s="4"/>
      <c r="AR2116" s="4" t="s">
        <v>19092</v>
      </c>
      <c r="AS2116" s="4" t="s">
        <v>19106</v>
      </c>
      <c r="AT2116" s="4" t="s">
        <v>129</v>
      </c>
      <c r="AU2116" s="4" t="n">
        <v>2006</v>
      </c>
      <c r="AV2116" s="4" t="n">
        <v>11</v>
      </c>
      <c r="AW2116" s="4"/>
      <c r="AX2116" s="4"/>
      <c r="AY2116" s="4" t="n">
        <v>4</v>
      </c>
      <c r="AZ2116" s="4"/>
      <c r="BA2116" s="4"/>
      <c r="BB2116" s="4" t="s">
        <v>35645</v>
      </c>
      <c r="BC2116" s="4" t="s">
        <v>32973</v>
      </c>
      <c r="BD2116" s="4"/>
      <c r="BE2116" s="4" t="s">
        <v>35646</v>
      </c>
      <c r="BF2116" s="4" t="str">
        <f aca="false">HYPERLINK("http://dx.doi.org/10.1111/j.1400-1843.2006.00920.x","http://dx.doi.org/10.1111/j.1400-1843.2006.00920.x")</f>
        <v>http://dx.doi.org/10.1111/j.1400-1843.2006.00920.x</v>
      </c>
      <c r="BG2116" s="4"/>
      <c r="BH2116" s="4"/>
      <c r="BI2116" s="4" t="n">
        <v>8</v>
      </c>
      <c r="BJ2116" s="4" t="s">
        <v>338</v>
      </c>
      <c r="BK2116" s="4" t="s">
        <v>100</v>
      </c>
      <c r="BL2116" s="4" t="s">
        <v>338</v>
      </c>
      <c r="BM2116" s="4" t="s">
        <v>35647</v>
      </c>
      <c r="BN2116" s="4"/>
      <c r="BO2116" s="4"/>
      <c r="BP2116" s="4"/>
      <c r="BQ2116" s="4"/>
      <c r="BR2116" s="4" t="s">
        <v>104</v>
      </c>
      <c r="BS2116" s="4" t="s">
        <v>35648</v>
      </c>
      <c r="BT2116" s="4" t="str">
        <f aca="false">HYPERLINK("https%3A%2F%2Fwww.webofscience.com%2Fwos%2Fwoscc%2Ffull-record%2FWOS:000240623700007","View Full Record in Web of Science")</f>
        <v>View Full Record in Web of Science</v>
      </c>
    </row>
    <row r="2117" s="5" customFormat="true" ht="12.75" hidden="false" customHeight="false" outlineLevel="0" collapsed="false">
      <c r="A2117" s="4" t="s">
        <v>72</v>
      </c>
      <c r="B2117" s="4" t="s">
        <v>35649</v>
      </c>
      <c r="C2117" s="4"/>
      <c r="D2117" s="4"/>
      <c r="E2117" s="4"/>
      <c r="F2117" s="4" t="s">
        <v>35650</v>
      </c>
      <c r="G2117" s="4"/>
      <c r="H2117" s="4"/>
      <c r="I2117" s="4" t="s">
        <v>35651</v>
      </c>
      <c r="J2117" s="4" t="s">
        <v>35652</v>
      </c>
      <c r="K2117" s="4"/>
      <c r="L2117" s="4"/>
      <c r="M2117" s="4" t="s">
        <v>77</v>
      </c>
      <c r="N2117" s="4" t="s">
        <v>78</v>
      </c>
      <c r="O2117" s="4"/>
      <c r="P2117" s="4"/>
      <c r="Q2117" s="4"/>
      <c r="R2117" s="4"/>
      <c r="S2117" s="4"/>
      <c r="T2117" s="1" t="s">
        <v>35653</v>
      </c>
      <c r="U2117" s="4" t="s">
        <v>35654</v>
      </c>
      <c r="V2117" s="4" t="s">
        <v>35655</v>
      </c>
      <c r="W2117" s="4" t="s">
        <v>35656</v>
      </c>
      <c r="X2117" s="4" t="s">
        <v>35657</v>
      </c>
      <c r="Y2117" s="4" t="s">
        <v>35658</v>
      </c>
      <c r="Z2117" s="4" t="s">
        <v>35659</v>
      </c>
      <c r="AA2117" s="4" t="s">
        <v>35660</v>
      </c>
      <c r="AB2117" s="4" t="s">
        <v>35661</v>
      </c>
      <c r="AC2117" s="4" t="s">
        <v>35662</v>
      </c>
      <c r="AD2117" s="4" t="s">
        <v>35662</v>
      </c>
      <c r="AE2117" s="4" t="s">
        <v>35663</v>
      </c>
      <c r="AF2117" s="4"/>
      <c r="AG2117" s="4" t="n">
        <v>34</v>
      </c>
      <c r="AH2117" s="4" t="n">
        <v>23</v>
      </c>
      <c r="AI2117" s="4" t="n">
        <v>25</v>
      </c>
      <c r="AJ2117" s="4" t="n">
        <v>0</v>
      </c>
      <c r="AK2117" s="4" t="n">
        <v>0</v>
      </c>
      <c r="AL2117" s="4" t="s">
        <v>27808</v>
      </c>
      <c r="AM2117" s="4" t="s">
        <v>303</v>
      </c>
      <c r="AN2117" s="4" t="s">
        <v>27809</v>
      </c>
      <c r="AO2117" s="4" t="s">
        <v>35664</v>
      </c>
      <c r="AP2117" s="4" t="s">
        <v>35665</v>
      </c>
      <c r="AQ2117" s="4"/>
      <c r="AR2117" s="4" t="s">
        <v>35666</v>
      </c>
      <c r="AS2117" s="4" t="s">
        <v>35667</v>
      </c>
      <c r="AT2117" s="4"/>
      <c r="AU2117" s="4" t="n">
        <v>2011</v>
      </c>
      <c r="AV2117" s="4" t="n">
        <v>2011</v>
      </c>
      <c r="AW2117" s="4"/>
      <c r="AX2117" s="4"/>
      <c r="AY2117" s="4"/>
      <c r="AZ2117" s="4"/>
      <c r="BA2117" s="4"/>
      <c r="BB2117" s="4"/>
      <c r="BC2117" s="4"/>
      <c r="BD2117" s="4" t="n">
        <v>690286</v>
      </c>
      <c r="BE2117" s="4" t="s">
        <v>35668</v>
      </c>
      <c r="BF2117" s="4" t="str">
        <f aca="false">HYPERLINK("http://dx.doi.org/10.1155/2011/690286","http://dx.doi.org/10.1155/2011/690286")</f>
        <v>http://dx.doi.org/10.1155/2011/690286</v>
      </c>
      <c r="BG2117" s="4"/>
      <c r="BH2117" s="4"/>
      <c r="BI2117" s="4" t="n">
        <v>6</v>
      </c>
      <c r="BJ2117" s="4" t="s">
        <v>9015</v>
      </c>
      <c r="BK2117" s="4" t="s">
        <v>339</v>
      </c>
      <c r="BL2117" s="4" t="s">
        <v>9015</v>
      </c>
      <c r="BM2117" s="4" t="s">
        <v>35669</v>
      </c>
      <c r="BN2117" s="4" t="n">
        <v>22007241</v>
      </c>
      <c r="BO2117" s="4" t="s">
        <v>341</v>
      </c>
      <c r="BP2117" s="4"/>
      <c r="BQ2117" s="4"/>
      <c r="BR2117" s="4" t="s">
        <v>104</v>
      </c>
      <c r="BS2117" s="4" t="s">
        <v>35670</v>
      </c>
      <c r="BT2117" s="4" t="str">
        <f aca="false">HYPERLINK("https%3A%2F%2Fwww.webofscience.com%2Fwos%2Fwoscc%2Ffull-record%2FWOS:000214582000022","View Full Record in Web of Science")</f>
        <v>View Full Record in Web of Science</v>
      </c>
    </row>
    <row r="2118" s="5" customFormat="true" ht="12.75" hidden="false" customHeight="false" outlineLevel="0" collapsed="false">
      <c r="A2118" s="4" t="s">
        <v>72</v>
      </c>
      <c r="B2118" s="4" t="s">
        <v>35671</v>
      </c>
      <c r="C2118" s="4"/>
      <c r="D2118" s="4"/>
      <c r="E2118" s="4"/>
      <c r="F2118" s="4" t="s">
        <v>35672</v>
      </c>
      <c r="G2118" s="4"/>
      <c r="H2118" s="4"/>
      <c r="I2118" s="4" t="s">
        <v>35673</v>
      </c>
      <c r="J2118" s="4" t="s">
        <v>2222</v>
      </c>
      <c r="K2118" s="4"/>
      <c r="L2118" s="4"/>
      <c r="M2118" s="4" t="s">
        <v>77</v>
      </c>
      <c r="N2118" s="4" t="s">
        <v>78</v>
      </c>
      <c r="O2118" s="4"/>
      <c r="P2118" s="4"/>
      <c r="Q2118" s="4"/>
      <c r="R2118" s="4"/>
      <c r="S2118" s="4"/>
      <c r="T2118" s="1" t="s">
        <v>35674</v>
      </c>
      <c r="U2118" s="4" t="s">
        <v>35675</v>
      </c>
      <c r="V2118" s="4" t="s">
        <v>35676</v>
      </c>
      <c r="W2118" s="4" t="s">
        <v>35677</v>
      </c>
      <c r="X2118" s="4" t="s">
        <v>35678</v>
      </c>
      <c r="Y2118" s="4" t="s">
        <v>35679</v>
      </c>
      <c r="Z2118" s="4" t="s">
        <v>35680</v>
      </c>
      <c r="AA2118" s="4" t="s">
        <v>35681</v>
      </c>
      <c r="AB2118" s="4" t="s">
        <v>35682</v>
      </c>
      <c r="AC2118" s="4" t="s">
        <v>35683</v>
      </c>
      <c r="AD2118" s="4" t="s">
        <v>19446</v>
      </c>
      <c r="AE2118" s="4"/>
      <c r="AF2118" s="4"/>
      <c r="AG2118" s="4" t="n">
        <v>35</v>
      </c>
      <c r="AH2118" s="4" t="n">
        <v>81</v>
      </c>
      <c r="AI2118" s="4" t="n">
        <v>95</v>
      </c>
      <c r="AJ2118" s="4" t="n">
        <v>0</v>
      </c>
      <c r="AK2118" s="4" t="n">
        <v>2</v>
      </c>
      <c r="AL2118" s="4" t="s">
        <v>755</v>
      </c>
      <c r="AM2118" s="4" t="s">
        <v>273</v>
      </c>
      <c r="AN2118" s="4" t="s">
        <v>756</v>
      </c>
      <c r="AO2118" s="4" t="s">
        <v>2234</v>
      </c>
      <c r="AP2118" s="4" t="s">
        <v>2235</v>
      </c>
      <c r="AQ2118" s="4"/>
      <c r="AR2118" s="4" t="s">
        <v>2236</v>
      </c>
      <c r="AS2118" s="4" t="s">
        <v>2237</v>
      </c>
      <c r="AT2118" s="4" t="s">
        <v>185</v>
      </c>
      <c r="AU2118" s="4" t="n">
        <v>2007</v>
      </c>
      <c r="AV2118" s="4" t="n">
        <v>45</v>
      </c>
      <c r="AW2118" s="4" t="n">
        <v>8</v>
      </c>
      <c r="AX2118" s="4"/>
      <c r="AY2118" s="4"/>
      <c r="AZ2118" s="4"/>
      <c r="BA2118" s="4"/>
      <c r="BB2118" s="4" t="n">
        <v>2359</v>
      </c>
      <c r="BC2118" s="4" t="n">
        <v>2364</v>
      </c>
      <c r="BD2118" s="4"/>
      <c r="BE2118" s="4" t="s">
        <v>35684</v>
      </c>
      <c r="BF2118" s="4" t="str">
        <f aca="false">HYPERLINK("http://dx.doi.org/10.1128/JCM.00737-07","http://dx.doi.org/10.1128/JCM.00737-07")</f>
        <v>http://dx.doi.org/10.1128/JCM.00737-07</v>
      </c>
      <c r="BG2118" s="4"/>
      <c r="BH2118" s="4"/>
      <c r="BI2118" s="4" t="n">
        <v>6</v>
      </c>
      <c r="BJ2118" s="4" t="s">
        <v>211</v>
      </c>
      <c r="BK2118" s="4" t="s">
        <v>100</v>
      </c>
      <c r="BL2118" s="4" t="s">
        <v>211</v>
      </c>
      <c r="BM2118" s="4" t="s">
        <v>35685</v>
      </c>
      <c r="BN2118" s="4" t="n">
        <v>17553978</v>
      </c>
      <c r="BO2118" s="4" t="s">
        <v>165</v>
      </c>
      <c r="BP2118" s="4"/>
      <c r="BQ2118" s="4"/>
      <c r="BR2118" s="4" t="s">
        <v>104</v>
      </c>
      <c r="BS2118" s="4" t="s">
        <v>35686</v>
      </c>
      <c r="BT2118" s="4" t="str">
        <f aca="false">HYPERLINK("https%3A%2F%2Fwww.webofscience.com%2Fwos%2Fwoscc%2Ffull-record%2FWOS:000248793300002","View Full Record in Web of Science")</f>
        <v>View Full Record in Web of Science</v>
      </c>
    </row>
    <row r="2119" s="5" customFormat="true" ht="12.75" hidden="false" customHeight="false" outlineLevel="0" collapsed="false">
      <c r="A2119" s="4" t="s">
        <v>72</v>
      </c>
      <c r="B2119" s="4" t="s">
        <v>35687</v>
      </c>
      <c r="C2119" s="4"/>
      <c r="D2119" s="4"/>
      <c r="E2119" s="4"/>
      <c r="F2119" s="4" t="s">
        <v>35688</v>
      </c>
      <c r="G2119" s="4"/>
      <c r="H2119" s="4"/>
      <c r="I2119" s="4" t="s">
        <v>35689</v>
      </c>
      <c r="J2119" s="4" t="s">
        <v>27453</v>
      </c>
      <c r="K2119" s="4"/>
      <c r="L2119" s="4"/>
      <c r="M2119" s="4" t="s">
        <v>77</v>
      </c>
      <c r="N2119" s="4" t="s">
        <v>78</v>
      </c>
      <c r="O2119" s="4"/>
      <c r="P2119" s="4"/>
      <c r="Q2119" s="4"/>
      <c r="R2119" s="4"/>
      <c r="S2119" s="4"/>
      <c r="T2119" s="1" t="s">
        <v>35690</v>
      </c>
      <c r="U2119" s="4" t="s">
        <v>35691</v>
      </c>
      <c r="V2119" s="4" t="s">
        <v>35692</v>
      </c>
      <c r="W2119" s="4" t="s">
        <v>35693</v>
      </c>
      <c r="X2119" s="4" t="s">
        <v>9880</v>
      </c>
      <c r="Y2119" s="4" t="s">
        <v>35694</v>
      </c>
      <c r="Z2119" s="4" t="s">
        <v>9882</v>
      </c>
      <c r="AA2119" s="4" t="s">
        <v>35695</v>
      </c>
      <c r="AB2119" s="4"/>
      <c r="AC2119" s="4" t="s">
        <v>35696</v>
      </c>
      <c r="AD2119" s="4" t="s">
        <v>35697</v>
      </c>
      <c r="AE2119" s="4" t="s">
        <v>35698</v>
      </c>
      <c r="AF2119" s="4"/>
      <c r="AG2119" s="4" t="n">
        <v>36</v>
      </c>
      <c r="AH2119" s="4" t="n">
        <v>13</v>
      </c>
      <c r="AI2119" s="4" t="n">
        <v>16</v>
      </c>
      <c r="AJ2119" s="4" t="n">
        <v>0</v>
      </c>
      <c r="AK2119" s="4" t="n">
        <v>0</v>
      </c>
      <c r="AL2119" s="4" t="s">
        <v>27463</v>
      </c>
      <c r="AM2119" s="4" t="s">
        <v>16252</v>
      </c>
      <c r="AN2119" s="4" t="s">
        <v>27464</v>
      </c>
      <c r="AO2119" s="4" t="s">
        <v>27465</v>
      </c>
      <c r="AP2119" s="4" t="s">
        <v>27466</v>
      </c>
      <c r="AQ2119" s="4"/>
      <c r="AR2119" s="4" t="s">
        <v>27467</v>
      </c>
      <c r="AS2119" s="4" t="s">
        <v>27468</v>
      </c>
      <c r="AT2119" s="4" t="s">
        <v>129</v>
      </c>
      <c r="AU2119" s="4" t="n">
        <v>2017</v>
      </c>
      <c r="AV2119" s="4" t="n">
        <v>70</v>
      </c>
      <c r="AW2119" s="4" t="n">
        <v>5</v>
      </c>
      <c r="AX2119" s="4"/>
      <c r="AY2119" s="4"/>
      <c r="AZ2119" s="4"/>
      <c r="BA2119" s="4"/>
      <c r="BB2119" s="4" t="n">
        <v>522</v>
      </c>
      <c r="BC2119" s="4" t="n">
        <v>527</v>
      </c>
      <c r="BD2119" s="4"/>
      <c r="BE2119" s="4" t="s">
        <v>35699</v>
      </c>
      <c r="BF2119" s="4" t="str">
        <f aca="false">HYPERLINK("http://dx.doi.org/10.7883/yoken.JJID.2016.463","http://dx.doi.org/10.7883/yoken.JJID.2016.463")</f>
        <v>http://dx.doi.org/10.7883/yoken.JJID.2016.463</v>
      </c>
      <c r="BG2119" s="4"/>
      <c r="BH2119" s="4"/>
      <c r="BI2119" s="4" t="n">
        <v>6</v>
      </c>
      <c r="BJ2119" s="4" t="s">
        <v>575</v>
      </c>
      <c r="BK2119" s="4" t="s">
        <v>100</v>
      </c>
      <c r="BL2119" s="4" t="s">
        <v>575</v>
      </c>
      <c r="BM2119" s="4" t="s">
        <v>35700</v>
      </c>
      <c r="BN2119" s="4" t="n">
        <v>28367882</v>
      </c>
      <c r="BO2119" s="4" t="s">
        <v>1355</v>
      </c>
      <c r="BP2119" s="4"/>
      <c r="BQ2119" s="4"/>
      <c r="BR2119" s="4" t="s">
        <v>104</v>
      </c>
      <c r="BS2119" s="4" t="s">
        <v>35701</v>
      </c>
      <c r="BT2119" s="4" t="str">
        <f aca="false">HYPERLINK("https%3A%2F%2Fwww.webofscience.com%2Fwos%2Fwoscc%2Ffull-record%2FWOS:000412715600010","View Full Record in Web of Science")</f>
        <v>View Full Record in Web of Science</v>
      </c>
    </row>
    <row r="2120" s="5" customFormat="true" ht="12.75" hidden="false" customHeight="false" outlineLevel="0" collapsed="false">
      <c r="A2120" s="4" t="s">
        <v>72</v>
      </c>
      <c r="B2120" s="4" t="s">
        <v>35702</v>
      </c>
      <c r="C2120" s="4"/>
      <c r="D2120" s="4"/>
      <c r="E2120" s="4"/>
      <c r="F2120" s="4" t="s">
        <v>35702</v>
      </c>
      <c r="G2120" s="4"/>
      <c r="H2120" s="4"/>
      <c r="I2120" s="4" t="s">
        <v>35703</v>
      </c>
      <c r="J2120" s="4" t="s">
        <v>35704</v>
      </c>
      <c r="K2120" s="4"/>
      <c r="L2120" s="4"/>
      <c r="M2120" s="4" t="s">
        <v>77</v>
      </c>
      <c r="N2120" s="4" t="s">
        <v>78</v>
      </c>
      <c r="O2120" s="4"/>
      <c r="P2120" s="4"/>
      <c r="Q2120" s="4"/>
      <c r="R2120" s="4"/>
      <c r="S2120" s="4"/>
      <c r="T2120" s="1" t="s">
        <v>35705</v>
      </c>
      <c r="U2120" s="4" t="s">
        <v>35706</v>
      </c>
      <c r="V2120" s="4" t="s">
        <v>35707</v>
      </c>
      <c r="W2120" s="4" t="s">
        <v>35708</v>
      </c>
      <c r="X2120" s="4" t="s">
        <v>35709</v>
      </c>
      <c r="Y2120" s="4"/>
      <c r="Z2120" s="4"/>
      <c r="AA2120" s="4"/>
      <c r="AB2120" s="4"/>
      <c r="AC2120" s="4"/>
      <c r="AD2120" s="4"/>
      <c r="AE2120" s="4"/>
      <c r="AF2120" s="4"/>
      <c r="AG2120" s="4" t="n">
        <v>23</v>
      </c>
      <c r="AH2120" s="4" t="n">
        <v>44</v>
      </c>
      <c r="AI2120" s="4" t="n">
        <v>49</v>
      </c>
      <c r="AJ2120" s="4" t="n">
        <v>0</v>
      </c>
      <c r="AK2120" s="4" t="n">
        <v>1</v>
      </c>
      <c r="AL2120" s="4" t="s">
        <v>20037</v>
      </c>
      <c r="AM2120" s="4" t="s">
        <v>783</v>
      </c>
      <c r="AN2120" s="4" t="s">
        <v>35710</v>
      </c>
      <c r="AO2120" s="4" t="s">
        <v>35711</v>
      </c>
      <c r="AP2120" s="4"/>
      <c r="AQ2120" s="4"/>
      <c r="AR2120" s="4" t="s">
        <v>35712</v>
      </c>
      <c r="AS2120" s="4" t="s">
        <v>35713</v>
      </c>
      <c r="AT2120" s="4" t="s">
        <v>390</v>
      </c>
      <c r="AU2120" s="4" t="n">
        <v>1992</v>
      </c>
      <c r="AV2120" s="4" t="n">
        <v>29</v>
      </c>
      <c r="AW2120" s="4" t="n">
        <v>5</v>
      </c>
      <c r="AX2120" s="4"/>
      <c r="AY2120" s="4"/>
      <c r="AZ2120" s="4"/>
      <c r="BA2120" s="4"/>
      <c r="BB2120" s="4" t="n">
        <v>641</v>
      </c>
      <c r="BC2120" s="4" t="n">
        <v>650</v>
      </c>
      <c r="BD2120" s="4"/>
      <c r="BE2120" s="4" t="s">
        <v>35714</v>
      </c>
      <c r="BF2120" s="4"/>
      <c r="BG2120" s="4"/>
      <c r="BH2120" s="4"/>
      <c r="BI2120" s="4" t="n">
        <v>10</v>
      </c>
      <c r="BJ2120" s="4" t="s">
        <v>1630</v>
      </c>
      <c r="BK2120" s="4" t="s">
        <v>100</v>
      </c>
      <c r="BL2120" s="4" t="s">
        <v>1630</v>
      </c>
      <c r="BM2120" s="4" t="s">
        <v>35715</v>
      </c>
      <c r="BN2120" s="4" t="n">
        <v>1374842</v>
      </c>
      <c r="BO2120" s="4"/>
      <c r="BP2120" s="4"/>
      <c r="BQ2120" s="4"/>
      <c r="BR2120" s="4" t="s">
        <v>104</v>
      </c>
      <c r="BS2120" s="4" t="s">
        <v>35716</v>
      </c>
      <c r="BT2120" s="4" t="str">
        <f aca="false">HYPERLINK("https%3A%2F%2Fwww.webofscience.com%2Fwos%2Fwoscc%2Ffull-record%2FWOS:A1992HU34700010","View Full Record in Web of Science")</f>
        <v>View Full Record in Web of Science</v>
      </c>
    </row>
    <row r="2121" s="5" customFormat="true" ht="12.75" hidden="false" customHeight="false" outlineLevel="0" collapsed="false">
      <c r="A2121" s="4" t="s">
        <v>72</v>
      </c>
      <c r="B2121" s="4" t="s">
        <v>35717</v>
      </c>
      <c r="C2121" s="4"/>
      <c r="D2121" s="4"/>
      <c r="E2121" s="4"/>
      <c r="F2121" s="4" t="s">
        <v>35718</v>
      </c>
      <c r="G2121" s="4"/>
      <c r="H2121" s="4"/>
      <c r="I2121" s="4" t="s">
        <v>35719</v>
      </c>
      <c r="J2121" s="4" t="s">
        <v>27497</v>
      </c>
      <c r="K2121" s="4"/>
      <c r="L2121" s="4"/>
      <c r="M2121" s="4" t="s">
        <v>77</v>
      </c>
      <c r="N2121" s="4" t="s">
        <v>78</v>
      </c>
      <c r="O2121" s="4"/>
      <c r="P2121" s="4"/>
      <c r="Q2121" s="4"/>
      <c r="R2121" s="4"/>
      <c r="S2121" s="4"/>
      <c r="T2121" s="1" t="s">
        <v>35720</v>
      </c>
      <c r="U2121" s="4" t="s">
        <v>35721</v>
      </c>
      <c r="V2121" s="4" t="s">
        <v>35722</v>
      </c>
      <c r="W2121" s="4" t="s">
        <v>35723</v>
      </c>
      <c r="X2121" s="4" t="s">
        <v>35724</v>
      </c>
      <c r="Y2121" s="4" t="s">
        <v>35725</v>
      </c>
      <c r="Z2121" s="4" t="s">
        <v>35726</v>
      </c>
      <c r="AA2121" s="4" t="s">
        <v>35727</v>
      </c>
      <c r="AB2121" s="4" t="s">
        <v>35728</v>
      </c>
      <c r="AC2121" s="4" t="s">
        <v>35729</v>
      </c>
      <c r="AD2121" s="4" t="s">
        <v>35730</v>
      </c>
      <c r="AE2121" s="4" t="s">
        <v>35731</v>
      </c>
      <c r="AF2121" s="4"/>
      <c r="AG2121" s="4" t="n">
        <v>35</v>
      </c>
      <c r="AH2121" s="4" t="n">
        <v>33</v>
      </c>
      <c r="AI2121" s="4" t="n">
        <v>36</v>
      </c>
      <c r="AJ2121" s="4" t="n">
        <v>0</v>
      </c>
      <c r="AK2121" s="4" t="n">
        <v>7</v>
      </c>
      <c r="AL2121" s="4" t="s">
        <v>27506</v>
      </c>
      <c r="AM2121" s="4" t="s">
        <v>27507</v>
      </c>
      <c r="AN2121" s="4" t="s">
        <v>27508</v>
      </c>
      <c r="AO2121" s="4" t="s">
        <v>27509</v>
      </c>
      <c r="AP2121" s="4"/>
      <c r="AQ2121" s="4"/>
      <c r="AR2121" s="4" t="s">
        <v>27497</v>
      </c>
      <c r="AS2121" s="4" t="s">
        <v>27510</v>
      </c>
      <c r="AT2121" s="4" t="s">
        <v>5979</v>
      </c>
      <c r="AU2121" s="4" t="n">
        <v>2015</v>
      </c>
      <c r="AV2121" s="4" t="n">
        <v>10</v>
      </c>
      <c r="AW2121" s="4" t="n">
        <v>5</v>
      </c>
      <c r="AX2121" s="4"/>
      <c r="AY2121" s="4"/>
      <c r="AZ2121" s="4"/>
      <c r="BA2121" s="4"/>
      <c r="BB2121" s="4"/>
      <c r="BC2121" s="4"/>
      <c r="BD2121" s="4" t="s">
        <v>35732</v>
      </c>
      <c r="BE2121" s="4" t="s">
        <v>35733</v>
      </c>
      <c r="BF2121" s="4" t="str">
        <f aca="false">HYPERLINK("http://dx.doi.org/10.1371/journal.pone.0126593","http://dx.doi.org/10.1371/journal.pone.0126593")</f>
        <v>http://dx.doi.org/10.1371/journal.pone.0126593</v>
      </c>
      <c r="BG2121" s="4"/>
      <c r="BH2121" s="4"/>
      <c r="BI2121" s="4" t="n">
        <v>12</v>
      </c>
      <c r="BJ2121" s="4" t="s">
        <v>1658</v>
      </c>
      <c r="BK2121" s="4" t="s">
        <v>100</v>
      </c>
      <c r="BL2121" s="4" t="s">
        <v>1659</v>
      </c>
      <c r="BM2121" s="4" t="s">
        <v>35734</v>
      </c>
      <c r="BN2121" s="4" t="n">
        <v>25973924</v>
      </c>
      <c r="BO2121" s="4" t="s">
        <v>5702</v>
      </c>
      <c r="BP2121" s="4"/>
      <c r="BQ2121" s="4"/>
      <c r="BR2121" s="4" t="s">
        <v>104</v>
      </c>
      <c r="BS2121" s="4" t="s">
        <v>35735</v>
      </c>
      <c r="BT2121" s="4" t="str">
        <f aca="false">HYPERLINK("https%3A%2F%2Fwww.webofscience.com%2Fwos%2Fwoscc%2Ffull-record%2FWOS:000354545600063","View Full Record in Web of Science")</f>
        <v>View Full Record in Web of Science</v>
      </c>
    </row>
    <row r="2122" s="5" customFormat="true" ht="12.75" hidden="false" customHeight="false" outlineLevel="0" collapsed="false">
      <c r="A2122" s="4" t="s">
        <v>72</v>
      </c>
      <c r="B2122" s="4" t="s">
        <v>35736</v>
      </c>
      <c r="C2122" s="4"/>
      <c r="D2122" s="4"/>
      <c r="E2122" s="4"/>
      <c r="F2122" s="4" t="s">
        <v>35737</v>
      </c>
      <c r="G2122" s="4"/>
      <c r="H2122" s="4"/>
      <c r="I2122" s="4" t="s">
        <v>35738</v>
      </c>
      <c r="J2122" s="4" t="s">
        <v>27497</v>
      </c>
      <c r="K2122" s="4"/>
      <c r="L2122" s="4"/>
      <c r="M2122" s="4" t="s">
        <v>77</v>
      </c>
      <c r="N2122" s="4" t="s">
        <v>78</v>
      </c>
      <c r="O2122" s="4"/>
      <c r="P2122" s="4"/>
      <c r="Q2122" s="4"/>
      <c r="R2122" s="4"/>
      <c r="S2122" s="4"/>
      <c r="T2122" s="1" t="s">
        <v>35739</v>
      </c>
      <c r="U2122" s="4" t="s">
        <v>35740</v>
      </c>
      <c r="V2122" s="4" t="s">
        <v>35741</v>
      </c>
      <c r="W2122" s="4" t="s">
        <v>35742</v>
      </c>
      <c r="X2122" s="4" t="s">
        <v>35743</v>
      </c>
      <c r="Y2122" s="4" t="s">
        <v>35744</v>
      </c>
      <c r="Z2122" s="4" t="s">
        <v>35745</v>
      </c>
      <c r="AA2122" s="4" t="s">
        <v>35746</v>
      </c>
      <c r="AB2122" s="4" t="s">
        <v>35747</v>
      </c>
      <c r="AC2122" s="4" t="s">
        <v>35748</v>
      </c>
      <c r="AD2122" s="4" t="s">
        <v>35748</v>
      </c>
      <c r="AE2122" s="4" t="s">
        <v>35749</v>
      </c>
      <c r="AF2122" s="4"/>
      <c r="AG2122" s="4" t="n">
        <v>30</v>
      </c>
      <c r="AH2122" s="4" t="n">
        <v>40</v>
      </c>
      <c r="AI2122" s="4" t="n">
        <v>45</v>
      </c>
      <c r="AJ2122" s="4" t="n">
        <v>0</v>
      </c>
      <c r="AK2122" s="4" t="n">
        <v>10</v>
      </c>
      <c r="AL2122" s="4" t="s">
        <v>27506</v>
      </c>
      <c r="AM2122" s="4" t="s">
        <v>27507</v>
      </c>
      <c r="AN2122" s="4" t="s">
        <v>27508</v>
      </c>
      <c r="AO2122" s="4" t="s">
        <v>27509</v>
      </c>
      <c r="AP2122" s="4"/>
      <c r="AQ2122" s="4"/>
      <c r="AR2122" s="4" t="s">
        <v>27497</v>
      </c>
      <c r="AS2122" s="4" t="s">
        <v>27510</v>
      </c>
      <c r="AT2122" s="4" t="s">
        <v>35750</v>
      </c>
      <c r="AU2122" s="4" t="n">
        <v>2015</v>
      </c>
      <c r="AV2122" s="4" t="n">
        <v>10</v>
      </c>
      <c r="AW2122" s="4" t="n">
        <v>12</v>
      </c>
      <c r="AX2122" s="4"/>
      <c r="AY2122" s="4"/>
      <c r="AZ2122" s="4"/>
      <c r="BA2122" s="4"/>
      <c r="BB2122" s="4"/>
      <c r="BC2122" s="4"/>
      <c r="BD2122" s="4" t="s">
        <v>35751</v>
      </c>
      <c r="BE2122" s="4" t="s">
        <v>35752</v>
      </c>
      <c r="BF2122" s="4" t="str">
        <f aca="false">HYPERLINK("http://dx.doi.org/10.1371/journal.pone.0145447","http://dx.doi.org/10.1371/journal.pone.0145447")</f>
        <v>http://dx.doi.org/10.1371/journal.pone.0145447</v>
      </c>
      <c r="BG2122" s="4"/>
      <c r="BH2122" s="4"/>
      <c r="BI2122" s="4" t="n">
        <v>15</v>
      </c>
      <c r="BJ2122" s="4" t="s">
        <v>1658</v>
      </c>
      <c r="BK2122" s="4" t="s">
        <v>100</v>
      </c>
      <c r="BL2122" s="4" t="s">
        <v>1659</v>
      </c>
      <c r="BM2122" s="4" t="s">
        <v>35753</v>
      </c>
      <c r="BN2122" s="4" t="n">
        <v>26696249</v>
      </c>
      <c r="BO2122" s="4" t="s">
        <v>341</v>
      </c>
      <c r="BP2122" s="4"/>
      <c r="BQ2122" s="4"/>
      <c r="BR2122" s="4" t="s">
        <v>104</v>
      </c>
      <c r="BS2122" s="4" t="s">
        <v>35754</v>
      </c>
      <c r="BT2122" s="4" t="str">
        <f aca="false">HYPERLINK("https%3A%2F%2Fwww.webofscience.com%2Fwos%2Fwoscc%2Ffull-record%2FWOS:000367092500049","View Full Record in Web of Science")</f>
        <v>View Full Record in Web of Science</v>
      </c>
    </row>
    <row r="2123" s="5" customFormat="true" ht="12.75" hidden="false" customHeight="false" outlineLevel="0" collapsed="false">
      <c r="A2123" s="4" t="s">
        <v>72</v>
      </c>
      <c r="B2123" s="4" t="s">
        <v>35755</v>
      </c>
      <c r="C2123" s="4"/>
      <c r="D2123" s="4"/>
      <c r="E2123" s="4"/>
      <c r="F2123" s="4" t="s">
        <v>35756</v>
      </c>
      <c r="G2123" s="4"/>
      <c r="H2123" s="4"/>
      <c r="I2123" s="4" t="s">
        <v>35757</v>
      </c>
      <c r="J2123" s="4" t="s">
        <v>35758</v>
      </c>
      <c r="K2123" s="4"/>
      <c r="L2123" s="4"/>
      <c r="M2123" s="4" t="s">
        <v>77</v>
      </c>
      <c r="N2123" s="4" t="s">
        <v>78</v>
      </c>
      <c r="O2123" s="4"/>
      <c r="P2123" s="4"/>
      <c r="Q2123" s="4"/>
      <c r="R2123" s="4"/>
      <c r="S2123" s="4"/>
      <c r="T2123" s="1" t="s">
        <v>35759</v>
      </c>
      <c r="U2123" s="4" t="s">
        <v>35760</v>
      </c>
      <c r="V2123" s="4" t="s">
        <v>35761</v>
      </c>
      <c r="W2123" s="4" t="s">
        <v>35762</v>
      </c>
      <c r="X2123" s="4" t="s">
        <v>265</v>
      </c>
      <c r="Y2123" s="4" t="s">
        <v>266</v>
      </c>
      <c r="Z2123" s="4" t="s">
        <v>267</v>
      </c>
      <c r="AA2123" s="4"/>
      <c r="AB2123" s="4" t="s">
        <v>35763</v>
      </c>
      <c r="AC2123" s="4" t="s">
        <v>35764</v>
      </c>
      <c r="AD2123" s="4" t="s">
        <v>35764</v>
      </c>
      <c r="AE2123" s="4" t="s">
        <v>35765</v>
      </c>
      <c r="AF2123" s="4"/>
      <c r="AG2123" s="4" t="n">
        <v>45</v>
      </c>
      <c r="AH2123" s="4" t="n">
        <v>2</v>
      </c>
      <c r="AI2123" s="4" t="n">
        <v>2</v>
      </c>
      <c r="AJ2123" s="4" t="n">
        <v>6</v>
      </c>
      <c r="AK2123" s="4" t="n">
        <v>6</v>
      </c>
      <c r="AL2123" s="4" t="s">
        <v>6405</v>
      </c>
      <c r="AM2123" s="4" t="s">
        <v>6406</v>
      </c>
      <c r="AN2123" s="4" t="s">
        <v>6407</v>
      </c>
      <c r="AO2123" s="4"/>
      <c r="AP2123" s="4" t="s">
        <v>35766</v>
      </c>
      <c r="AQ2123" s="4"/>
      <c r="AR2123" s="4" t="s">
        <v>35767</v>
      </c>
      <c r="AS2123" s="4" t="s">
        <v>35768</v>
      </c>
      <c r="AT2123" s="4" t="s">
        <v>35769</v>
      </c>
      <c r="AU2123" s="4" t="n">
        <v>2024</v>
      </c>
      <c r="AV2123" s="4" t="n">
        <v>11</v>
      </c>
      <c r="AW2123" s="4" t="n">
        <v>1</v>
      </c>
      <c r="AX2123" s="4"/>
      <c r="AY2123" s="4"/>
      <c r="AZ2123" s="4"/>
      <c r="BA2123" s="4"/>
      <c r="BB2123" s="4"/>
      <c r="BC2123" s="4"/>
      <c r="BD2123" s="4" t="n">
        <v>1141</v>
      </c>
      <c r="BE2123" s="4" t="s">
        <v>35770</v>
      </c>
      <c r="BF2123" s="4" t="str">
        <f aca="false">HYPERLINK("http://dx.doi.org/10.1038/s41597-024-03969-8","http://dx.doi.org/10.1038/s41597-024-03969-8")</f>
        <v>http://dx.doi.org/10.1038/s41597-024-03969-8</v>
      </c>
      <c r="BG2123" s="4"/>
      <c r="BH2123" s="4"/>
      <c r="BI2123" s="4" t="n">
        <v>14</v>
      </c>
      <c r="BJ2123" s="4" t="s">
        <v>1658</v>
      </c>
      <c r="BK2123" s="4" t="s">
        <v>100</v>
      </c>
      <c r="BL2123" s="4" t="s">
        <v>1659</v>
      </c>
      <c r="BM2123" s="4" t="s">
        <v>35771</v>
      </c>
      <c r="BN2123" s="4" t="n">
        <v>39420189</v>
      </c>
      <c r="BO2123" s="4" t="s">
        <v>1355</v>
      </c>
      <c r="BP2123" s="4"/>
      <c r="BQ2123" s="4"/>
      <c r="BR2123" s="4" t="s">
        <v>104</v>
      </c>
      <c r="BS2123" s="4" t="s">
        <v>35772</v>
      </c>
      <c r="BT2123" s="4" t="str">
        <f aca="false">HYPERLINK("https%3A%2F%2Fwww.webofscience.com%2Fwos%2Fwoscc%2Ffull-record%2FWOS:001338948300006","View Full Record in Web of Science")</f>
        <v>View Full Record in Web of Science</v>
      </c>
    </row>
    <row r="2124" s="5" customFormat="true" ht="12.75" hidden="false" customHeight="false" outlineLevel="0" collapsed="false">
      <c r="A2124" s="4" t="s">
        <v>72</v>
      </c>
      <c r="B2124" s="4" t="s">
        <v>35773</v>
      </c>
      <c r="C2124" s="4"/>
      <c r="D2124" s="4"/>
      <c r="E2124" s="4"/>
      <c r="F2124" s="4" t="s">
        <v>35774</v>
      </c>
      <c r="G2124" s="4"/>
      <c r="H2124" s="4"/>
      <c r="I2124" s="4" t="s">
        <v>35775</v>
      </c>
      <c r="J2124" s="4" t="s">
        <v>27497</v>
      </c>
      <c r="K2124" s="4"/>
      <c r="L2124" s="4"/>
      <c r="M2124" s="4" t="s">
        <v>77</v>
      </c>
      <c r="N2124" s="4" t="s">
        <v>78</v>
      </c>
      <c r="O2124" s="4"/>
      <c r="P2124" s="4"/>
      <c r="Q2124" s="4"/>
      <c r="R2124" s="4"/>
      <c r="S2124" s="4"/>
      <c r="T2124" s="1" t="s">
        <v>35776</v>
      </c>
      <c r="U2124" s="4" t="s">
        <v>35777</v>
      </c>
      <c r="V2124" s="4" t="s">
        <v>35778</v>
      </c>
      <c r="W2124" s="4" t="s">
        <v>35779</v>
      </c>
      <c r="X2124" s="4" t="s">
        <v>35780</v>
      </c>
      <c r="Y2124" s="4" t="s">
        <v>35781</v>
      </c>
      <c r="Z2124" s="4" t="s">
        <v>35782</v>
      </c>
      <c r="AA2124" s="4" t="s">
        <v>35783</v>
      </c>
      <c r="AB2124" s="4" t="s">
        <v>35784</v>
      </c>
      <c r="AC2124" s="4" t="s">
        <v>35785</v>
      </c>
      <c r="AD2124" s="4" t="s">
        <v>35786</v>
      </c>
      <c r="AE2124" s="4" t="s">
        <v>35787</v>
      </c>
      <c r="AF2124" s="4"/>
      <c r="AG2124" s="4" t="n">
        <v>56</v>
      </c>
      <c r="AH2124" s="4" t="n">
        <v>29</v>
      </c>
      <c r="AI2124" s="4" t="n">
        <v>30</v>
      </c>
      <c r="AJ2124" s="4" t="n">
        <v>0</v>
      </c>
      <c r="AK2124" s="4" t="n">
        <v>16</v>
      </c>
      <c r="AL2124" s="4" t="s">
        <v>27506</v>
      </c>
      <c r="AM2124" s="4" t="s">
        <v>27507</v>
      </c>
      <c r="AN2124" s="4" t="s">
        <v>27508</v>
      </c>
      <c r="AO2124" s="4" t="s">
        <v>27509</v>
      </c>
      <c r="AP2124" s="4"/>
      <c r="AQ2124" s="4"/>
      <c r="AR2124" s="4" t="s">
        <v>27497</v>
      </c>
      <c r="AS2124" s="4" t="s">
        <v>27510</v>
      </c>
      <c r="AT2124" s="4" t="s">
        <v>35788</v>
      </c>
      <c r="AU2124" s="4" t="n">
        <v>2014</v>
      </c>
      <c r="AV2124" s="4" t="n">
        <v>9</v>
      </c>
      <c r="AW2124" s="4" t="n">
        <v>2</v>
      </c>
      <c r="AX2124" s="4"/>
      <c r="AY2124" s="4"/>
      <c r="AZ2124" s="4"/>
      <c r="BA2124" s="4"/>
      <c r="BB2124" s="4"/>
      <c r="BC2124" s="4"/>
      <c r="BD2124" s="4" t="s">
        <v>35789</v>
      </c>
      <c r="BE2124" s="4" t="s">
        <v>35790</v>
      </c>
      <c r="BF2124" s="4" t="str">
        <f aca="false">HYPERLINK("http://dx.doi.org/10.1371/journal.pone.0090094","http://dx.doi.org/10.1371/journal.pone.0090094")</f>
        <v>http://dx.doi.org/10.1371/journal.pone.0090094</v>
      </c>
      <c r="BG2124" s="4"/>
      <c r="BH2124" s="4"/>
      <c r="BI2124" s="4" t="n">
        <v>11</v>
      </c>
      <c r="BJ2124" s="4" t="s">
        <v>1658</v>
      </c>
      <c r="BK2124" s="4" t="s">
        <v>100</v>
      </c>
      <c r="BL2124" s="4" t="s">
        <v>1659</v>
      </c>
      <c r="BM2124" s="4" t="s">
        <v>35791</v>
      </c>
      <c r="BN2124" s="4" t="n">
        <v>24587222</v>
      </c>
      <c r="BO2124" s="4" t="s">
        <v>5702</v>
      </c>
      <c r="BP2124" s="4"/>
      <c r="BQ2124" s="4"/>
      <c r="BR2124" s="4" t="s">
        <v>104</v>
      </c>
      <c r="BS2124" s="4" t="s">
        <v>35792</v>
      </c>
      <c r="BT2124" s="4" t="str">
        <f aca="false">HYPERLINK("https%3A%2F%2Fwww.webofscience.com%2Fwos%2Fwoscc%2Ffull-record%2FWOS:000332390800076","View Full Record in Web of Science")</f>
        <v>View Full Record in Web of Science</v>
      </c>
    </row>
    <row r="2125" s="5" customFormat="true" ht="12.75" hidden="false" customHeight="false" outlineLevel="0" collapsed="false">
      <c r="A2125" s="4" t="s">
        <v>72</v>
      </c>
      <c r="B2125" s="4" t="s">
        <v>35793</v>
      </c>
      <c r="C2125" s="4"/>
      <c r="D2125" s="4"/>
      <c r="E2125" s="4"/>
      <c r="F2125" s="4" t="s">
        <v>35794</v>
      </c>
      <c r="G2125" s="4"/>
      <c r="H2125" s="4"/>
      <c r="I2125" s="4" t="s">
        <v>35795</v>
      </c>
      <c r="J2125" s="4" t="s">
        <v>1134</v>
      </c>
      <c r="K2125" s="4"/>
      <c r="L2125" s="4"/>
      <c r="M2125" s="4" t="s">
        <v>77</v>
      </c>
      <c r="N2125" s="4" t="s">
        <v>78</v>
      </c>
      <c r="O2125" s="4"/>
      <c r="P2125" s="4"/>
      <c r="Q2125" s="4"/>
      <c r="R2125" s="4"/>
      <c r="S2125" s="4"/>
      <c r="T2125" s="1" t="s">
        <v>35796</v>
      </c>
      <c r="U2125" s="4" t="s">
        <v>35797</v>
      </c>
      <c r="V2125" s="4" t="s">
        <v>35798</v>
      </c>
      <c r="W2125" s="4" t="s">
        <v>35799</v>
      </c>
      <c r="X2125" s="4" t="s">
        <v>35800</v>
      </c>
      <c r="Y2125" s="4" t="s">
        <v>35801</v>
      </c>
      <c r="Z2125" s="4" t="s">
        <v>10507</v>
      </c>
      <c r="AA2125" s="4" t="s">
        <v>35802</v>
      </c>
      <c r="AB2125" s="4" t="s">
        <v>35803</v>
      </c>
      <c r="AC2125" s="4" t="s">
        <v>35804</v>
      </c>
      <c r="AD2125" s="4" t="s">
        <v>35804</v>
      </c>
      <c r="AE2125" s="4" t="s">
        <v>35805</v>
      </c>
      <c r="AF2125" s="4"/>
      <c r="AG2125" s="4" t="n">
        <v>40</v>
      </c>
      <c r="AH2125" s="4" t="n">
        <v>7</v>
      </c>
      <c r="AI2125" s="4" t="n">
        <v>7</v>
      </c>
      <c r="AJ2125" s="4" t="n">
        <v>0</v>
      </c>
      <c r="AK2125" s="4" t="n">
        <v>3</v>
      </c>
      <c r="AL2125" s="4" t="s">
        <v>302</v>
      </c>
      <c r="AM2125" s="4" t="s">
        <v>303</v>
      </c>
      <c r="AN2125" s="4" t="s">
        <v>304</v>
      </c>
      <c r="AO2125" s="4"/>
      <c r="AP2125" s="4" t="s">
        <v>1144</v>
      </c>
      <c r="AQ2125" s="4"/>
      <c r="AR2125" s="4" t="s">
        <v>1145</v>
      </c>
      <c r="AS2125" s="4" t="s">
        <v>1146</v>
      </c>
      <c r="AT2125" s="4" t="s">
        <v>32381</v>
      </c>
      <c r="AU2125" s="4" t="n">
        <v>2022</v>
      </c>
      <c r="AV2125" s="4" t="n">
        <v>22</v>
      </c>
      <c r="AW2125" s="4" t="n">
        <v>1</v>
      </c>
      <c r="AX2125" s="4"/>
      <c r="AY2125" s="4"/>
      <c r="AZ2125" s="4"/>
      <c r="BA2125" s="4"/>
      <c r="BB2125" s="4"/>
      <c r="BC2125" s="4"/>
      <c r="BD2125" s="4" t="n">
        <v>359</v>
      </c>
      <c r="BE2125" s="4" t="s">
        <v>35806</v>
      </c>
      <c r="BF2125" s="4" t="str">
        <f aca="false">HYPERLINK("http://dx.doi.org/10.1186/s12887-022-03222-4","http://dx.doi.org/10.1186/s12887-022-03222-4")</f>
        <v>http://dx.doi.org/10.1186/s12887-022-03222-4</v>
      </c>
      <c r="BG2125" s="4"/>
      <c r="BH2125" s="4"/>
      <c r="BI2125" s="4" t="n">
        <v>16</v>
      </c>
      <c r="BJ2125" s="4" t="s">
        <v>601</v>
      </c>
      <c r="BK2125" s="4" t="s">
        <v>100</v>
      </c>
      <c r="BL2125" s="4" t="s">
        <v>601</v>
      </c>
      <c r="BM2125" s="4" t="s">
        <v>35807</v>
      </c>
      <c r="BN2125" s="4" t="n">
        <v>35733118</v>
      </c>
      <c r="BO2125" s="4" t="s">
        <v>103</v>
      </c>
      <c r="BP2125" s="4"/>
      <c r="BQ2125" s="4"/>
      <c r="BR2125" s="4" t="s">
        <v>104</v>
      </c>
      <c r="BS2125" s="4" t="s">
        <v>35808</v>
      </c>
      <c r="BT2125" s="4" t="str">
        <f aca="false">HYPERLINK("https%3A%2F%2Fwww.webofscience.com%2Fwos%2Fwoscc%2Ffull-record%2FWOS:000814618700003","View Full Record in Web of Science")</f>
        <v>View Full Record in Web of Science</v>
      </c>
    </row>
    <row r="2126" s="5" customFormat="true" ht="12.75" hidden="false" customHeight="false" outlineLevel="0" collapsed="false">
      <c r="A2126" s="4" t="s">
        <v>72</v>
      </c>
      <c r="B2126" s="4" t="s">
        <v>35809</v>
      </c>
      <c r="C2126" s="4"/>
      <c r="D2126" s="4"/>
      <c r="E2126" s="4"/>
      <c r="F2126" s="4" t="s">
        <v>35810</v>
      </c>
      <c r="G2126" s="4"/>
      <c r="H2126" s="4"/>
      <c r="I2126" s="4" t="s">
        <v>35811</v>
      </c>
      <c r="J2126" s="4" t="s">
        <v>27820</v>
      </c>
      <c r="K2126" s="4"/>
      <c r="L2126" s="4"/>
      <c r="M2126" s="4" t="s">
        <v>77</v>
      </c>
      <c r="N2126" s="4" t="s">
        <v>78</v>
      </c>
      <c r="O2126" s="4"/>
      <c r="P2126" s="4"/>
      <c r="Q2126" s="4"/>
      <c r="R2126" s="4"/>
      <c r="S2126" s="4"/>
      <c r="T2126" s="1" t="s">
        <v>35812</v>
      </c>
      <c r="U2126" s="4" t="s">
        <v>35813</v>
      </c>
      <c r="V2126" s="4" t="s">
        <v>35814</v>
      </c>
      <c r="W2126" s="4" t="s">
        <v>35815</v>
      </c>
      <c r="X2126" s="4" t="s">
        <v>35816</v>
      </c>
      <c r="Y2126" s="4" t="s">
        <v>35817</v>
      </c>
      <c r="Z2126" s="4" t="s">
        <v>10129</v>
      </c>
      <c r="AA2126" s="4" t="s">
        <v>35818</v>
      </c>
      <c r="AB2126" s="4" t="s">
        <v>35819</v>
      </c>
      <c r="AC2126" s="4" t="s">
        <v>35820</v>
      </c>
      <c r="AD2126" s="4" t="s">
        <v>35821</v>
      </c>
      <c r="AE2126" s="4" t="s">
        <v>35822</v>
      </c>
      <c r="AF2126" s="4"/>
      <c r="AG2126" s="4" t="n">
        <v>59</v>
      </c>
      <c r="AH2126" s="4" t="n">
        <v>50</v>
      </c>
      <c r="AI2126" s="4" t="n">
        <v>56</v>
      </c>
      <c r="AJ2126" s="4" t="n">
        <v>0</v>
      </c>
      <c r="AK2126" s="4" t="n">
        <v>8</v>
      </c>
      <c r="AL2126" s="4" t="s">
        <v>27506</v>
      </c>
      <c r="AM2126" s="4" t="s">
        <v>27507</v>
      </c>
      <c r="AN2126" s="4" t="s">
        <v>28522</v>
      </c>
      <c r="AO2126" s="4" t="s">
        <v>27831</v>
      </c>
      <c r="AP2126" s="4"/>
      <c r="AQ2126" s="4"/>
      <c r="AR2126" s="4" t="s">
        <v>27833</v>
      </c>
      <c r="AS2126" s="4" t="s">
        <v>27834</v>
      </c>
      <c r="AT2126" s="4" t="s">
        <v>185</v>
      </c>
      <c r="AU2126" s="4" t="n">
        <v>2010</v>
      </c>
      <c r="AV2126" s="4" t="n">
        <v>6</v>
      </c>
      <c r="AW2126" s="4" t="n">
        <v>8</v>
      </c>
      <c r="AX2126" s="4"/>
      <c r="AY2126" s="4"/>
      <c r="AZ2126" s="4"/>
      <c r="BA2126" s="4"/>
      <c r="BB2126" s="4"/>
      <c r="BC2126" s="4"/>
      <c r="BD2126" s="4" t="s">
        <v>35823</v>
      </c>
      <c r="BE2126" s="4" t="s">
        <v>35824</v>
      </c>
      <c r="BF2126" s="4" t="str">
        <f aca="false">HYPERLINK("http://dx.doi.org/10.1371/journal.ppat.1001049","http://dx.doi.org/10.1371/journal.ppat.1001049")</f>
        <v>http://dx.doi.org/10.1371/journal.ppat.1001049</v>
      </c>
      <c r="BG2126" s="4"/>
      <c r="BH2126" s="4"/>
      <c r="BI2126" s="4" t="n">
        <v>13</v>
      </c>
      <c r="BJ2126" s="4" t="s">
        <v>27837</v>
      </c>
      <c r="BK2126" s="4" t="s">
        <v>100</v>
      </c>
      <c r="BL2126" s="4" t="s">
        <v>27837</v>
      </c>
      <c r="BM2126" s="4" t="s">
        <v>35825</v>
      </c>
      <c r="BN2126" s="4" t="n">
        <v>20808895</v>
      </c>
      <c r="BO2126" s="4" t="s">
        <v>6349</v>
      </c>
      <c r="BP2126" s="4"/>
      <c r="BQ2126" s="4"/>
      <c r="BR2126" s="4" t="s">
        <v>104</v>
      </c>
      <c r="BS2126" s="4" t="s">
        <v>35826</v>
      </c>
      <c r="BT2126" s="4" t="str">
        <f aca="false">HYPERLINK("https%3A%2F%2Fwww.webofscience.com%2Fwos%2Fwoscc%2Ffull-record%2FWOS:000281399900022","View Full Record in Web of Science")</f>
        <v>View Full Record in Web of Science</v>
      </c>
    </row>
    <row r="2127" s="5" customFormat="true" ht="12.75" hidden="false" customHeight="false" outlineLevel="0" collapsed="false">
      <c r="A2127" s="4" t="s">
        <v>72</v>
      </c>
      <c r="B2127" s="4" t="s">
        <v>35827</v>
      </c>
      <c r="C2127" s="4"/>
      <c r="D2127" s="4"/>
      <c r="E2127" s="4"/>
      <c r="F2127" s="4" t="s">
        <v>35828</v>
      </c>
      <c r="G2127" s="4"/>
      <c r="H2127" s="4"/>
      <c r="I2127" s="4" t="s">
        <v>35829</v>
      </c>
      <c r="J2127" s="4" t="s">
        <v>35830</v>
      </c>
      <c r="K2127" s="4"/>
      <c r="L2127" s="4"/>
      <c r="M2127" s="4" t="s">
        <v>77</v>
      </c>
      <c r="N2127" s="4" t="s">
        <v>78</v>
      </c>
      <c r="O2127" s="4"/>
      <c r="P2127" s="4"/>
      <c r="Q2127" s="4"/>
      <c r="R2127" s="4"/>
      <c r="S2127" s="4"/>
      <c r="T2127" s="1" t="s">
        <v>35831</v>
      </c>
      <c r="U2127" s="4" t="s">
        <v>35832</v>
      </c>
      <c r="V2127" s="4" t="s">
        <v>35833</v>
      </c>
      <c r="W2127" s="4" t="s">
        <v>35834</v>
      </c>
      <c r="X2127" s="4" t="s">
        <v>35835</v>
      </c>
      <c r="Y2127" s="4" t="s">
        <v>35836</v>
      </c>
      <c r="Z2127" s="4" t="s">
        <v>35837</v>
      </c>
      <c r="AA2127" s="4" t="s">
        <v>35838</v>
      </c>
      <c r="AB2127" s="4"/>
      <c r="AC2127" s="4" t="s">
        <v>35839</v>
      </c>
      <c r="AD2127" s="4" t="s">
        <v>35839</v>
      </c>
      <c r="AE2127" s="4" t="s">
        <v>35840</v>
      </c>
      <c r="AF2127" s="4"/>
      <c r="AG2127" s="4" t="n">
        <v>32</v>
      </c>
      <c r="AH2127" s="4" t="n">
        <v>25</v>
      </c>
      <c r="AI2127" s="4" t="n">
        <v>26</v>
      </c>
      <c r="AJ2127" s="4" t="n">
        <v>0</v>
      </c>
      <c r="AK2127" s="4" t="n">
        <v>4</v>
      </c>
      <c r="AL2127" s="4" t="s">
        <v>27808</v>
      </c>
      <c r="AM2127" s="4" t="s">
        <v>303</v>
      </c>
      <c r="AN2127" s="4" t="s">
        <v>27809</v>
      </c>
      <c r="AO2127" s="4" t="s">
        <v>35841</v>
      </c>
      <c r="AP2127" s="4" t="s">
        <v>35842</v>
      </c>
      <c r="AQ2127" s="4"/>
      <c r="AR2127" s="4" t="s">
        <v>35843</v>
      </c>
      <c r="AS2127" s="4" t="s">
        <v>35844</v>
      </c>
      <c r="AT2127" s="4"/>
      <c r="AU2127" s="4" t="n">
        <v>2017</v>
      </c>
      <c r="AV2127" s="4" t="n">
        <v>2017</v>
      </c>
      <c r="AW2127" s="4"/>
      <c r="AX2127" s="4"/>
      <c r="AY2127" s="4"/>
      <c r="AZ2127" s="4"/>
      <c r="BA2127" s="4"/>
      <c r="BB2127" s="4"/>
      <c r="BC2127" s="4"/>
      <c r="BD2127" s="4" t="n">
        <v>7320859</v>
      </c>
      <c r="BE2127" s="4" t="s">
        <v>35845</v>
      </c>
      <c r="BF2127" s="4" t="str">
        <f aca="false">HYPERLINK("http://dx.doi.org/10.1155/2017/7320859","http://dx.doi.org/10.1155/2017/7320859")</f>
        <v>http://dx.doi.org/10.1155/2017/7320859</v>
      </c>
      <c r="BG2127" s="4"/>
      <c r="BH2127" s="4"/>
      <c r="BI2127" s="4" t="n">
        <v>6</v>
      </c>
      <c r="BJ2127" s="4" t="s">
        <v>29790</v>
      </c>
      <c r="BK2127" s="4" t="s">
        <v>100</v>
      </c>
      <c r="BL2127" s="4" t="s">
        <v>29791</v>
      </c>
      <c r="BM2127" s="4" t="s">
        <v>35846</v>
      </c>
      <c r="BN2127" s="4" t="n">
        <v>29018819</v>
      </c>
      <c r="BO2127" s="4" t="s">
        <v>341</v>
      </c>
      <c r="BP2127" s="4"/>
      <c r="BQ2127" s="4"/>
      <c r="BR2127" s="4" t="s">
        <v>104</v>
      </c>
      <c r="BS2127" s="4" t="s">
        <v>35847</v>
      </c>
      <c r="BT2127" s="4" t="str">
        <f aca="false">HYPERLINK("https%3A%2F%2Fwww.webofscience.com%2Fwos%2Fwoscc%2Ffull-record%2FWOS:000409547700001","View Full Record in Web of Science")</f>
        <v>View Full Record in Web of Science</v>
      </c>
    </row>
    <row r="2128" s="5" customFormat="true" ht="12.75" hidden="false" customHeight="false" outlineLevel="0" collapsed="false">
      <c r="A2128" s="4" t="s">
        <v>72</v>
      </c>
      <c r="B2128" s="4" t="s">
        <v>30500</v>
      </c>
      <c r="C2128" s="4"/>
      <c r="D2128" s="4"/>
      <c r="E2128" s="4"/>
      <c r="F2128" s="4" t="s">
        <v>35848</v>
      </c>
      <c r="G2128" s="4"/>
      <c r="H2128" s="4"/>
      <c r="I2128" s="4" t="s">
        <v>35849</v>
      </c>
      <c r="J2128" s="4" t="s">
        <v>35850</v>
      </c>
      <c r="K2128" s="4"/>
      <c r="L2128" s="4"/>
      <c r="M2128" s="4" t="s">
        <v>77</v>
      </c>
      <c r="N2128" s="4" t="s">
        <v>78</v>
      </c>
      <c r="O2128" s="4"/>
      <c r="P2128" s="4"/>
      <c r="Q2128" s="4"/>
      <c r="R2128" s="4"/>
      <c r="S2128" s="4"/>
      <c r="T2128" s="1" t="s">
        <v>35851</v>
      </c>
      <c r="U2128" s="4" t="s">
        <v>35852</v>
      </c>
      <c r="V2128" s="4" t="s">
        <v>35853</v>
      </c>
      <c r="W2128" s="4" t="s">
        <v>35854</v>
      </c>
      <c r="X2128" s="4"/>
      <c r="Y2128" s="4" t="s">
        <v>35855</v>
      </c>
      <c r="Z2128" s="4"/>
      <c r="AA2128" s="4" t="s">
        <v>30508</v>
      </c>
      <c r="AB2128" s="4"/>
      <c r="AC2128" s="4"/>
      <c r="AD2128" s="4"/>
      <c r="AE2128" s="4"/>
      <c r="AF2128" s="4"/>
      <c r="AG2128" s="4" t="n">
        <v>22</v>
      </c>
      <c r="AH2128" s="4" t="n">
        <v>9</v>
      </c>
      <c r="AI2128" s="4" t="n">
        <v>10</v>
      </c>
      <c r="AJ2128" s="4" t="n">
        <v>0</v>
      </c>
      <c r="AK2128" s="4" t="n">
        <v>2</v>
      </c>
      <c r="AL2128" s="4" t="s">
        <v>35856</v>
      </c>
      <c r="AM2128" s="4" t="s">
        <v>20223</v>
      </c>
      <c r="AN2128" s="4" t="s">
        <v>35857</v>
      </c>
      <c r="AO2128" s="4" t="s">
        <v>35858</v>
      </c>
      <c r="AP2128" s="4" t="s">
        <v>35859</v>
      </c>
      <c r="AQ2128" s="4"/>
      <c r="AR2128" s="4" t="s">
        <v>35850</v>
      </c>
      <c r="AS2128" s="4" t="s">
        <v>35860</v>
      </c>
      <c r="AT2128" s="4" t="s">
        <v>336</v>
      </c>
      <c r="AU2128" s="4" t="n">
        <v>2008</v>
      </c>
      <c r="AV2128" s="4" t="n">
        <v>39</v>
      </c>
      <c r="AW2128" s="4" t="n">
        <v>10</v>
      </c>
      <c r="AX2128" s="4"/>
      <c r="AY2128" s="4"/>
      <c r="AZ2128" s="4"/>
      <c r="BA2128" s="4"/>
      <c r="BB2128" s="4" t="n">
        <v>603</v>
      </c>
      <c r="BC2128" s="4" t="n">
        <v>606</v>
      </c>
      <c r="BD2128" s="4"/>
      <c r="BE2128" s="4" t="s">
        <v>35861</v>
      </c>
      <c r="BF2128" s="4" t="str">
        <f aca="false">HYPERLINK("http://dx.doi.org/10.1309/LM6ONMGY7K9ETMGF","http://dx.doi.org/10.1309/LM6ONMGY7K9ETMGF")</f>
        <v>http://dx.doi.org/10.1309/LM6ONMGY7K9ETMGF</v>
      </c>
      <c r="BG2128" s="4"/>
      <c r="BH2128" s="4"/>
      <c r="BI2128" s="4" t="n">
        <v>4</v>
      </c>
      <c r="BJ2128" s="4" t="s">
        <v>3122</v>
      </c>
      <c r="BK2128" s="4" t="s">
        <v>100</v>
      </c>
      <c r="BL2128" s="4" t="s">
        <v>3122</v>
      </c>
      <c r="BM2128" s="4" t="s">
        <v>35862</v>
      </c>
      <c r="BN2128" s="4"/>
      <c r="BO2128" s="4" t="s">
        <v>656</v>
      </c>
      <c r="BP2128" s="4"/>
      <c r="BQ2128" s="4"/>
      <c r="BR2128" s="4" t="s">
        <v>104</v>
      </c>
      <c r="BS2128" s="4" t="s">
        <v>35863</v>
      </c>
      <c r="BT2128" s="4" t="str">
        <f aca="false">HYPERLINK("https%3A%2F%2Fwww.webofscience.com%2Fwos%2Fwoscc%2Ffull-record%2FWOS:000259561400007","View Full Record in Web of Science")</f>
        <v>View Full Record in Web of Science</v>
      </c>
    </row>
    <row r="2129" s="5" customFormat="true" ht="12.75" hidden="false" customHeight="false" outlineLevel="0" collapsed="false">
      <c r="A2129" s="4" t="s">
        <v>72</v>
      </c>
      <c r="B2129" s="4" t="s">
        <v>35864</v>
      </c>
      <c r="C2129" s="4"/>
      <c r="D2129" s="4"/>
      <c r="E2129" s="4"/>
      <c r="F2129" s="4" t="s">
        <v>35864</v>
      </c>
      <c r="G2129" s="4"/>
      <c r="H2129" s="4"/>
      <c r="I2129" s="4" t="s">
        <v>35865</v>
      </c>
      <c r="J2129" s="4" t="s">
        <v>7145</v>
      </c>
      <c r="K2129" s="4"/>
      <c r="L2129" s="4"/>
      <c r="M2129" s="4" t="s">
        <v>77</v>
      </c>
      <c r="N2129" s="4" t="s">
        <v>78</v>
      </c>
      <c r="O2129" s="4"/>
      <c r="P2129" s="4"/>
      <c r="Q2129" s="4"/>
      <c r="R2129" s="4"/>
      <c r="S2129" s="4"/>
      <c r="T2129" s="1" t="s">
        <v>35866</v>
      </c>
      <c r="U2129" s="4" t="s">
        <v>35867</v>
      </c>
      <c r="V2129" s="4" t="s">
        <v>35868</v>
      </c>
      <c r="W2129" s="4" t="s">
        <v>35869</v>
      </c>
      <c r="X2129" s="4" t="s">
        <v>35870</v>
      </c>
      <c r="Y2129" s="4" t="s">
        <v>35871</v>
      </c>
      <c r="Z2129" s="4" t="s">
        <v>35872</v>
      </c>
      <c r="AA2129" s="4"/>
      <c r="AB2129" s="4"/>
      <c r="AC2129" s="4"/>
      <c r="AD2129" s="4"/>
      <c r="AE2129" s="4"/>
      <c r="AF2129" s="4"/>
      <c r="AG2129" s="4" t="n">
        <v>24</v>
      </c>
      <c r="AH2129" s="4" t="n">
        <v>22</v>
      </c>
      <c r="AI2129" s="4" t="n">
        <v>30</v>
      </c>
      <c r="AJ2129" s="4" t="n">
        <v>0</v>
      </c>
      <c r="AK2129" s="4" t="n">
        <v>0</v>
      </c>
      <c r="AL2129" s="4" t="s">
        <v>3426</v>
      </c>
      <c r="AM2129" s="4" t="s">
        <v>303</v>
      </c>
      <c r="AN2129" s="4" t="s">
        <v>3427</v>
      </c>
      <c r="AO2129" s="4" t="s">
        <v>7158</v>
      </c>
      <c r="AP2129" s="4" t="s">
        <v>7159</v>
      </c>
      <c r="AQ2129" s="4"/>
      <c r="AR2129" s="4" t="s">
        <v>7160</v>
      </c>
      <c r="AS2129" s="4" t="s">
        <v>7161</v>
      </c>
      <c r="AT2129" s="4" t="s">
        <v>1041</v>
      </c>
      <c r="AU2129" s="4" t="n">
        <v>2006</v>
      </c>
      <c r="AV2129" s="4" t="n">
        <v>87</v>
      </c>
      <c r="AW2129" s="4"/>
      <c r="AX2129" s="4" t="n">
        <v>2</v>
      </c>
      <c r="AY2129" s="4"/>
      <c r="AZ2129" s="4"/>
      <c r="BA2129" s="4"/>
      <c r="BB2129" s="4" t="n">
        <v>395</v>
      </c>
      <c r="BC2129" s="4" t="n">
        <v>398</v>
      </c>
      <c r="BD2129" s="4"/>
      <c r="BE2129" s="4" t="s">
        <v>35873</v>
      </c>
      <c r="BF2129" s="4" t="str">
        <f aca="false">HYPERLINK("http://dx.doi.org/10.1099/vir.0.81481-0","http://dx.doi.org/10.1099/vir.0.81481-0")</f>
        <v>http://dx.doi.org/10.1099/vir.0.81481-0</v>
      </c>
      <c r="BG2129" s="4"/>
      <c r="BH2129" s="4"/>
      <c r="BI2129" s="4" t="n">
        <v>4</v>
      </c>
      <c r="BJ2129" s="4" t="s">
        <v>7163</v>
      </c>
      <c r="BK2129" s="4" t="s">
        <v>100</v>
      </c>
      <c r="BL2129" s="4" t="s">
        <v>7163</v>
      </c>
      <c r="BM2129" s="4" t="s">
        <v>35874</v>
      </c>
      <c r="BN2129" s="4" t="n">
        <v>16432027</v>
      </c>
      <c r="BO2129" s="4" t="s">
        <v>656</v>
      </c>
      <c r="BP2129" s="4"/>
      <c r="BQ2129" s="4"/>
      <c r="BR2129" s="4" t="s">
        <v>104</v>
      </c>
      <c r="BS2129" s="4" t="s">
        <v>35875</v>
      </c>
      <c r="BT2129" s="4" t="str">
        <f aca="false">HYPERLINK("https%3A%2F%2Fwww.webofscience.com%2Fwos%2Fwoscc%2Ffull-record%2FWOS:000234906800018","View Full Record in Web of Science")</f>
        <v>View Full Record in Web of Science</v>
      </c>
    </row>
    <row r="2130" s="5" customFormat="true" ht="12.75" hidden="false" customHeight="false" outlineLevel="0" collapsed="false">
      <c r="A2130" s="4" t="s">
        <v>72</v>
      </c>
      <c r="B2130" s="4" t="s">
        <v>35876</v>
      </c>
      <c r="C2130" s="4"/>
      <c r="D2130" s="4"/>
      <c r="E2130" s="4"/>
      <c r="F2130" s="4" t="s">
        <v>35877</v>
      </c>
      <c r="G2130" s="4"/>
      <c r="H2130" s="4"/>
      <c r="I2130" s="4" t="s">
        <v>35878</v>
      </c>
      <c r="J2130" s="4" t="s">
        <v>27548</v>
      </c>
      <c r="K2130" s="4"/>
      <c r="L2130" s="4"/>
      <c r="M2130" s="4" t="s">
        <v>77</v>
      </c>
      <c r="N2130" s="4" t="s">
        <v>78</v>
      </c>
      <c r="O2130" s="4"/>
      <c r="P2130" s="4"/>
      <c r="Q2130" s="4"/>
      <c r="R2130" s="4"/>
      <c r="S2130" s="4"/>
      <c r="T2130" s="1" t="s">
        <v>35879</v>
      </c>
      <c r="U2130" s="4" t="s">
        <v>35880</v>
      </c>
      <c r="V2130" s="4" t="s">
        <v>35881</v>
      </c>
      <c r="W2130" s="4" t="s">
        <v>35882</v>
      </c>
      <c r="X2130" s="4" t="s">
        <v>35883</v>
      </c>
      <c r="Y2130" s="4" t="s">
        <v>35884</v>
      </c>
      <c r="Z2130" s="4" t="s">
        <v>2896</v>
      </c>
      <c r="AA2130" s="4" t="s">
        <v>35885</v>
      </c>
      <c r="AB2130" s="4" t="s">
        <v>35886</v>
      </c>
      <c r="AC2130" s="4"/>
      <c r="AD2130" s="4"/>
      <c r="AE2130" s="4"/>
      <c r="AF2130" s="4"/>
      <c r="AG2130" s="4" t="n">
        <v>21</v>
      </c>
      <c r="AH2130" s="4" t="n">
        <v>23</v>
      </c>
      <c r="AI2130" s="4" t="n">
        <v>25</v>
      </c>
      <c r="AJ2130" s="4" t="n">
        <v>0</v>
      </c>
      <c r="AK2130" s="4" t="n">
        <v>18</v>
      </c>
      <c r="AL2130" s="4" t="s">
        <v>27560</v>
      </c>
      <c r="AM2130" s="4" t="s">
        <v>27561</v>
      </c>
      <c r="AN2130" s="4" t="s">
        <v>27562</v>
      </c>
      <c r="AO2130" s="4" t="s">
        <v>27563</v>
      </c>
      <c r="AP2130" s="4" t="s">
        <v>27564</v>
      </c>
      <c r="AQ2130" s="4"/>
      <c r="AR2130" s="4" t="s">
        <v>27565</v>
      </c>
      <c r="AS2130" s="4" t="s">
        <v>27566</v>
      </c>
      <c r="AT2130" s="4" t="s">
        <v>161</v>
      </c>
      <c r="AU2130" s="4" t="n">
        <v>2022</v>
      </c>
      <c r="AV2130" s="4" t="n">
        <v>28</v>
      </c>
      <c r="AW2130" s="4" t="n">
        <v>1</v>
      </c>
      <c r="AX2130" s="4"/>
      <c r="AY2130" s="4"/>
      <c r="AZ2130" s="4"/>
      <c r="BA2130" s="4"/>
      <c r="BB2130" s="4" t="n">
        <v>62</v>
      </c>
      <c r="BC2130" s="4" t="n">
        <v>68</v>
      </c>
      <c r="BD2130" s="4"/>
      <c r="BE2130" s="4" t="s">
        <v>35887</v>
      </c>
      <c r="BF2130" s="4" t="str">
        <f aca="false">HYPERLINK("http://dx.doi.org/10.3201/eid2801.211099","http://dx.doi.org/10.3201/eid2801.211099")</f>
        <v>http://dx.doi.org/10.3201/eid2801.211099</v>
      </c>
      <c r="BG2130" s="4"/>
      <c r="BH2130" s="4"/>
      <c r="BI2130" s="4" t="n">
        <v>7</v>
      </c>
      <c r="BJ2130" s="4" t="s">
        <v>965</v>
      </c>
      <c r="BK2130" s="4" t="s">
        <v>100</v>
      </c>
      <c r="BL2130" s="4" t="s">
        <v>965</v>
      </c>
      <c r="BM2130" s="4" t="s">
        <v>35888</v>
      </c>
      <c r="BN2130" s="4" t="n">
        <v>34932446</v>
      </c>
      <c r="BO2130" s="4" t="s">
        <v>103</v>
      </c>
      <c r="BP2130" s="4"/>
      <c r="BQ2130" s="4"/>
      <c r="BR2130" s="4" t="s">
        <v>104</v>
      </c>
      <c r="BS2130" s="4" t="s">
        <v>35889</v>
      </c>
      <c r="BT2130" s="4" t="str">
        <f aca="false">HYPERLINK("https%3A%2F%2Fwww.webofscience.com%2Fwos%2Fwoscc%2Ffull-record%2FWOS:000746318000008","View Full Record in Web of Science")</f>
        <v>View Full Record in Web of Science</v>
      </c>
    </row>
    <row r="2131" s="5" customFormat="true" ht="12.75" hidden="false" customHeight="false" outlineLevel="0" collapsed="false">
      <c r="A2131" s="4" t="s">
        <v>72</v>
      </c>
      <c r="B2131" s="4" t="s">
        <v>35890</v>
      </c>
      <c r="C2131" s="4"/>
      <c r="D2131" s="4"/>
      <c r="E2131" s="4"/>
      <c r="F2131" s="4" t="s">
        <v>35891</v>
      </c>
      <c r="G2131" s="4"/>
      <c r="H2131" s="4"/>
      <c r="I2131" s="4" t="s">
        <v>35892</v>
      </c>
      <c r="J2131" s="4" t="s">
        <v>13154</v>
      </c>
      <c r="K2131" s="4"/>
      <c r="L2131" s="4"/>
      <c r="M2131" s="4" t="s">
        <v>77</v>
      </c>
      <c r="N2131" s="4" t="s">
        <v>78</v>
      </c>
      <c r="O2131" s="4"/>
      <c r="P2131" s="4"/>
      <c r="Q2131" s="4"/>
      <c r="R2131" s="4"/>
      <c r="S2131" s="4"/>
      <c r="T2131" s="0"/>
      <c r="U2131" s="4" t="s">
        <v>35893</v>
      </c>
      <c r="V2131" s="4" t="s">
        <v>35894</v>
      </c>
      <c r="W2131" s="4" t="s">
        <v>35895</v>
      </c>
      <c r="X2131" s="4" t="s">
        <v>35896</v>
      </c>
      <c r="Y2131" s="4" t="s">
        <v>35897</v>
      </c>
      <c r="Z2131" s="4" t="s">
        <v>16495</v>
      </c>
      <c r="AA2131" s="4" t="s">
        <v>3047</v>
      </c>
      <c r="AB2131" s="4" t="s">
        <v>3048</v>
      </c>
      <c r="AC2131" s="4"/>
      <c r="AD2131" s="4"/>
      <c r="AE2131" s="4"/>
      <c r="AF2131" s="4"/>
      <c r="AG2131" s="4" t="n">
        <v>20</v>
      </c>
      <c r="AH2131" s="4" t="n">
        <v>11</v>
      </c>
      <c r="AI2131" s="4" t="n">
        <v>13</v>
      </c>
      <c r="AJ2131" s="4" t="n">
        <v>0</v>
      </c>
      <c r="AK2131" s="4" t="n">
        <v>2</v>
      </c>
      <c r="AL2131" s="4" t="s">
        <v>302</v>
      </c>
      <c r="AM2131" s="4" t="s">
        <v>303</v>
      </c>
      <c r="AN2131" s="4" t="s">
        <v>304</v>
      </c>
      <c r="AO2131" s="4" t="s">
        <v>13162</v>
      </c>
      <c r="AP2131" s="4" t="s">
        <v>13163</v>
      </c>
      <c r="AQ2131" s="4"/>
      <c r="AR2131" s="4" t="s">
        <v>13164</v>
      </c>
      <c r="AS2131" s="4" t="s">
        <v>13165</v>
      </c>
      <c r="AT2131" s="4" t="s">
        <v>1206</v>
      </c>
      <c r="AU2131" s="4" t="n">
        <v>2007</v>
      </c>
      <c r="AV2131" s="4" t="n">
        <v>12</v>
      </c>
      <c r="AW2131" s="4" t="n">
        <v>3</v>
      </c>
      <c r="AX2131" s="4"/>
      <c r="AY2131" s="4"/>
      <c r="AZ2131" s="4"/>
      <c r="BA2131" s="4"/>
      <c r="BB2131" s="4" t="n">
        <v>134</v>
      </c>
      <c r="BC2131" s="4" t="n">
        <v>138</v>
      </c>
      <c r="BD2131" s="4"/>
      <c r="BE2131" s="4"/>
      <c r="BF2131" s="4"/>
      <c r="BG2131" s="4"/>
      <c r="BH2131" s="4"/>
      <c r="BI2131" s="4" t="n">
        <v>5</v>
      </c>
      <c r="BJ2131" s="4" t="s">
        <v>5761</v>
      </c>
      <c r="BK2131" s="4" t="s">
        <v>100</v>
      </c>
      <c r="BL2131" s="4" t="s">
        <v>5762</v>
      </c>
      <c r="BM2131" s="4" t="s">
        <v>35898</v>
      </c>
      <c r="BN2131" s="4" t="n">
        <v>17507310</v>
      </c>
      <c r="BO2131" s="4"/>
      <c r="BP2131" s="4"/>
      <c r="BQ2131" s="4"/>
      <c r="BR2131" s="4" t="s">
        <v>104</v>
      </c>
      <c r="BS2131" s="4" t="s">
        <v>35899</v>
      </c>
      <c r="BT2131" s="4" t="str">
        <f aca="false">HYPERLINK("https%3A%2F%2Fwww.webofscience.com%2Fwos%2Fwoscc%2Ffull-record%2FWOS:000245545200005","View Full Record in Web of Science")</f>
        <v>View Full Record in Web of Science</v>
      </c>
    </row>
    <row r="2132" s="5" customFormat="true" ht="12.75" hidden="false" customHeight="false" outlineLevel="0" collapsed="false">
      <c r="A2132" s="4" t="s">
        <v>72</v>
      </c>
      <c r="B2132" s="4" t="s">
        <v>35900</v>
      </c>
      <c r="C2132" s="4"/>
      <c r="D2132" s="4"/>
      <c r="E2132" s="4"/>
      <c r="F2132" s="4" t="s">
        <v>35901</v>
      </c>
      <c r="G2132" s="4"/>
      <c r="H2132" s="4" t="s">
        <v>35902</v>
      </c>
      <c r="I2132" s="4" t="s">
        <v>35903</v>
      </c>
      <c r="J2132" s="4" t="s">
        <v>10031</v>
      </c>
      <c r="K2132" s="4"/>
      <c r="L2132" s="4"/>
      <c r="M2132" s="4" t="s">
        <v>77</v>
      </c>
      <c r="N2132" s="4" t="s">
        <v>78</v>
      </c>
      <c r="O2132" s="4"/>
      <c r="P2132" s="4"/>
      <c r="Q2132" s="4"/>
      <c r="R2132" s="4"/>
      <c r="S2132" s="4"/>
      <c r="T2132" s="1" t="s">
        <v>35904</v>
      </c>
      <c r="U2132" s="4" t="s">
        <v>35905</v>
      </c>
      <c r="V2132" s="4" t="s">
        <v>35906</v>
      </c>
      <c r="W2132" s="4" t="s">
        <v>35907</v>
      </c>
      <c r="X2132" s="4" t="s">
        <v>35908</v>
      </c>
      <c r="Y2132" s="4" t="s">
        <v>35909</v>
      </c>
      <c r="Z2132" s="4" t="s">
        <v>35910</v>
      </c>
      <c r="AA2132" s="4" t="s">
        <v>35911</v>
      </c>
      <c r="AB2132" s="4" t="s">
        <v>35912</v>
      </c>
      <c r="AC2132" s="4" t="s">
        <v>35913</v>
      </c>
      <c r="AD2132" s="4" t="s">
        <v>35914</v>
      </c>
      <c r="AE2132" s="4" t="s">
        <v>35915</v>
      </c>
      <c r="AF2132" s="4"/>
      <c r="AG2132" s="4" t="n">
        <v>69</v>
      </c>
      <c r="AH2132" s="4" t="n">
        <v>68</v>
      </c>
      <c r="AI2132" s="4" t="n">
        <v>79</v>
      </c>
      <c r="AJ2132" s="4" t="n">
        <v>4</v>
      </c>
      <c r="AK2132" s="4" t="n">
        <v>57</v>
      </c>
      <c r="AL2132" s="4" t="s">
        <v>10039</v>
      </c>
      <c r="AM2132" s="4" t="s">
        <v>10040</v>
      </c>
      <c r="AN2132" s="4" t="s">
        <v>21829</v>
      </c>
      <c r="AO2132" s="4" t="s">
        <v>10042</v>
      </c>
      <c r="AP2132" s="4" t="s">
        <v>21830</v>
      </c>
      <c r="AQ2132" s="4"/>
      <c r="AR2132" s="4" t="s">
        <v>10043</v>
      </c>
      <c r="AS2132" s="4" t="s">
        <v>10044</v>
      </c>
      <c r="AT2132" s="4" t="s">
        <v>534</v>
      </c>
      <c r="AU2132" s="4" t="n">
        <v>2019</v>
      </c>
      <c r="AV2132" s="4" t="n">
        <v>54</v>
      </c>
      <c r="AW2132" s="4" t="n">
        <v>2</v>
      </c>
      <c r="AX2132" s="4"/>
      <c r="AY2132" s="4"/>
      <c r="AZ2132" s="4"/>
      <c r="BA2132" s="4"/>
      <c r="BB2132" s="4"/>
      <c r="BC2132" s="4"/>
      <c r="BD2132" s="4" t="n">
        <v>1802406</v>
      </c>
      <c r="BE2132" s="4" t="s">
        <v>35916</v>
      </c>
      <c r="BF2132" s="4" t="str">
        <f aca="false">HYPERLINK("http://dx.doi.org/10.1183/13993003.02406-2018","http://dx.doi.org/10.1183/13993003.02406-2018")</f>
        <v>http://dx.doi.org/10.1183/13993003.02406-2018</v>
      </c>
      <c r="BG2132" s="4"/>
      <c r="BH2132" s="4"/>
      <c r="BI2132" s="4" t="n">
        <v>14</v>
      </c>
      <c r="BJ2132" s="4" t="s">
        <v>338</v>
      </c>
      <c r="BK2132" s="4" t="s">
        <v>100</v>
      </c>
      <c r="BL2132" s="4" t="s">
        <v>338</v>
      </c>
      <c r="BM2132" s="4" t="s">
        <v>35917</v>
      </c>
      <c r="BN2132" s="4" t="n">
        <v>31164430</v>
      </c>
      <c r="BO2132" s="4" t="s">
        <v>656</v>
      </c>
      <c r="BP2132" s="4"/>
      <c r="BQ2132" s="4"/>
      <c r="BR2132" s="4" t="s">
        <v>104</v>
      </c>
      <c r="BS2132" s="4" t="s">
        <v>35918</v>
      </c>
      <c r="BT2132" s="4" t="str">
        <f aca="false">HYPERLINK("https%3A%2F%2Fwww.webofscience.com%2Fwos%2Fwoscc%2Ffull-record%2FWOS:000482752200008","View Full Record in Web of Science")</f>
        <v>View Full Record in Web of Science</v>
      </c>
    </row>
    <row r="2133" s="5" customFormat="true" ht="12.75" hidden="false" customHeight="false" outlineLevel="0" collapsed="false">
      <c r="A2133" s="4" t="s">
        <v>72</v>
      </c>
      <c r="B2133" s="4" t="s">
        <v>35919</v>
      </c>
      <c r="C2133" s="4"/>
      <c r="D2133" s="4"/>
      <c r="E2133" s="4"/>
      <c r="F2133" s="4" t="s">
        <v>35920</v>
      </c>
      <c r="G2133" s="4"/>
      <c r="H2133" s="4"/>
      <c r="I2133" s="4" t="s">
        <v>35921</v>
      </c>
      <c r="J2133" s="4" t="s">
        <v>27497</v>
      </c>
      <c r="K2133" s="4"/>
      <c r="L2133" s="4"/>
      <c r="M2133" s="4" t="s">
        <v>77</v>
      </c>
      <c r="N2133" s="4" t="s">
        <v>78</v>
      </c>
      <c r="O2133" s="4"/>
      <c r="P2133" s="4"/>
      <c r="Q2133" s="4"/>
      <c r="R2133" s="4"/>
      <c r="S2133" s="4"/>
      <c r="T2133" s="1" t="s">
        <v>35922</v>
      </c>
      <c r="U2133" s="4" t="s">
        <v>35923</v>
      </c>
      <c r="V2133" s="4" t="s">
        <v>35924</v>
      </c>
      <c r="W2133" s="4" t="s">
        <v>35925</v>
      </c>
      <c r="X2133" s="4" t="s">
        <v>35926</v>
      </c>
      <c r="Y2133" s="4" t="s">
        <v>35927</v>
      </c>
      <c r="Z2133" s="4" t="s">
        <v>35928</v>
      </c>
      <c r="AA2133" s="4"/>
      <c r="AB2133" s="4" t="s">
        <v>35929</v>
      </c>
      <c r="AC2133" s="4"/>
      <c r="AD2133" s="4"/>
      <c r="AE2133" s="4"/>
      <c r="AF2133" s="4"/>
      <c r="AG2133" s="4" t="n">
        <v>31</v>
      </c>
      <c r="AH2133" s="4" t="n">
        <v>4</v>
      </c>
      <c r="AI2133" s="4" t="n">
        <v>4</v>
      </c>
      <c r="AJ2133" s="4" t="n">
        <v>0</v>
      </c>
      <c r="AK2133" s="4" t="n">
        <v>2</v>
      </c>
      <c r="AL2133" s="4" t="s">
        <v>27506</v>
      </c>
      <c r="AM2133" s="4" t="s">
        <v>27507</v>
      </c>
      <c r="AN2133" s="4" t="s">
        <v>27508</v>
      </c>
      <c r="AO2133" s="4" t="s">
        <v>27509</v>
      </c>
      <c r="AP2133" s="4"/>
      <c r="AQ2133" s="4"/>
      <c r="AR2133" s="4" t="s">
        <v>27497</v>
      </c>
      <c r="AS2133" s="4" t="s">
        <v>27510</v>
      </c>
      <c r="AT2133" s="4"/>
      <c r="AU2133" s="4" t="n">
        <v>2022</v>
      </c>
      <c r="AV2133" s="4" t="n">
        <v>17</v>
      </c>
      <c r="AW2133" s="4" t="n">
        <v>3</v>
      </c>
      <c r="AX2133" s="4"/>
      <c r="AY2133" s="4"/>
      <c r="AZ2133" s="4"/>
      <c r="BA2133" s="4"/>
      <c r="BB2133" s="4"/>
      <c r="BC2133" s="4"/>
      <c r="BD2133" s="4" t="s">
        <v>35930</v>
      </c>
      <c r="BE2133" s="4" t="s">
        <v>35931</v>
      </c>
      <c r="BF2133" s="4" t="str">
        <f aca="false">HYPERLINK("http://dx.doi.org/10.1371/journal.pone.0264855","http://dx.doi.org/10.1371/journal.pone.0264855")</f>
        <v>http://dx.doi.org/10.1371/journal.pone.0264855</v>
      </c>
      <c r="BG2133" s="4"/>
      <c r="BH2133" s="4"/>
      <c r="BI2133" s="4" t="n">
        <v>11</v>
      </c>
      <c r="BJ2133" s="4" t="s">
        <v>1658</v>
      </c>
      <c r="BK2133" s="4" t="s">
        <v>100</v>
      </c>
      <c r="BL2133" s="4" t="s">
        <v>1659</v>
      </c>
      <c r="BM2133" s="4" t="s">
        <v>35932</v>
      </c>
      <c r="BN2133" s="4" t="n">
        <v>35263362</v>
      </c>
      <c r="BO2133" s="4" t="s">
        <v>190</v>
      </c>
      <c r="BP2133" s="4"/>
      <c r="BQ2133" s="4"/>
      <c r="BR2133" s="4" t="s">
        <v>104</v>
      </c>
      <c r="BS2133" s="4" t="s">
        <v>35933</v>
      </c>
      <c r="BT2133" s="4" t="str">
        <f aca="false">HYPERLINK("https%3A%2F%2Fwww.webofscience.com%2Fwos%2Fwoscc%2Ffull-record%2FWOS:000804638700048","View Full Record in Web of Science")</f>
        <v>View Full Record in Web of Science</v>
      </c>
    </row>
    <row r="2134" s="5" customFormat="true" ht="12.75" hidden="false" customHeight="false" outlineLevel="0" collapsed="false">
      <c r="A2134" s="4" t="s">
        <v>72</v>
      </c>
      <c r="B2134" s="4" t="s">
        <v>35934</v>
      </c>
      <c r="C2134" s="4"/>
      <c r="D2134" s="4"/>
      <c r="E2134" s="4"/>
      <c r="F2134" s="4" t="s">
        <v>35935</v>
      </c>
      <c r="G2134" s="4"/>
      <c r="H2134" s="4"/>
      <c r="I2134" s="4" t="s">
        <v>35936</v>
      </c>
      <c r="J2134" s="4" t="s">
        <v>2021</v>
      </c>
      <c r="K2134" s="4"/>
      <c r="L2134" s="4"/>
      <c r="M2134" s="4" t="s">
        <v>77</v>
      </c>
      <c r="N2134" s="4" t="s">
        <v>78</v>
      </c>
      <c r="O2134" s="4"/>
      <c r="P2134" s="4"/>
      <c r="Q2134" s="4"/>
      <c r="R2134" s="4"/>
      <c r="S2134" s="4"/>
      <c r="T2134" s="1" t="s">
        <v>35937</v>
      </c>
      <c r="U2134" s="4" t="s">
        <v>35938</v>
      </c>
      <c r="V2134" s="4" t="s">
        <v>35939</v>
      </c>
      <c r="W2134" s="4" t="s">
        <v>35940</v>
      </c>
      <c r="X2134" s="4" t="s">
        <v>35941</v>
      </c>
      <c r="Y2134" s="4" t="s">
        <v>35942</v>
      </c>
      <c r="Z2134" s="4" t="s">
        <v>5226</v>
      </c>
      <c r="AA2134" s="4" t="s">
        <v>35943</v>
      </c>
      <c r="AB2134" s="4" t="s">
        <v>35944</v>
      </c>
      <c r="AC2134" s="4" t="s">
        <v>35945</v>
      </c>
      <c r="AD2134" s="4" t="s">
        <v>35946</v>
      </c>
      <c r="AE2134" s="4" t="s">
        <v>35947</v>
      </c>
      <c r="AF2134" s="4"/>
      <c r="AG2134" s="4" t="n">
        <v>50</v>
      </c>
      <c r="AH2134" s="4" t="n">
        <v>129</v>
      </c>
      <c r="AI2134" s="4" t="n">
        <v>139</v>
      </c>
      <c r="AJ2134" s="4" t="n">
        <v>0</v>
      </c>
      <c r="AK2134" s="4" t="n">
        <v>8</v>
      </c>
      <c r="AL2134" s="4" t="s">
        <v>27444</v>
      </c>
      <c r="AM2134" s="4" t="s">
        <v>20223</v>
      </c>
      <c r="AN2134" s="4" t="s">
        <v>27445</v>
      </c>
      <c r="AO2134" s="4" t="s">
        <v>2033</v>
      </c>
      <c r="AP2134" s="4"/>
      <c r="AQ2134" s="4"/>
      <c r="AR2134" s="4" t="s">
        <v>2035</v>
      </c>
      <c r="AS2134" s="4" t="s">
        <v>2036</v>
      </c>
      <c r="AT2134" s="4" t="s">
        <v>733</v>
      </c>
      <c r="AU2134" s="4" t="n">
        <v>2010</v>
      </c>
      <c r="AV2134" s="4" t="n">
        <v>50</v>
      </c>
      <c r="AW2134" s="4" t="n">
        <v>5</v>
      </c>
      <c r="AX2134" s="4"/>
      <c r="AY2134" s="4"/>
      <c r="AZ2134" s="4"/>
      <c r="BA2134" s="4"/>
      <c r="BB2134" s="4" t="n">
        <v>747</v>
      </c>
      <c r="BC2134" s="4" t="n">
        <v>751</v>
      </c>
      <c r="BD2134" s="4"/>
      <c r="BE2134" s="4" t="s">
        <v>35948</v>
      </c>
      <c r="BF2134" s="4" t="str">
        <f aca="false">HYPERLINK("http://dx.doi.org/10.1086/650486","http://dx.doi.org/10.1086/650486")</f>
        <v>http://dx.doi.org/10.1086/650486</v>
      </c>
      <c r="BG2134" s="4"/>
      <c r="BH2134" s="4"/>
      <c r="BI2134" s="4" t="n">
        <v>5</v>
      </c>
      <c r="BJ2134" s="4" t="s">
        <v>536</v>
      </c>
      <c r="BK2134" s="4" t="s">
        <v>100</v>
      </c>
      <c r="BL2134" s="4" t="s">
        <v>536</v>
      </c>
      <c r="BM2134" s="4" t="s">
        <v>35949</v>
      </c>
      <c r="BN2134" s="4" t="n">
        <v>20121411</v>
      </c>
      <c r="BO2134" s="4" t="s">
        <v>11014</v>
      </c>
      <c r="BP2134" s="4"/>
      <c r="BQ2134" s="4"/>
      <c r="BR2134" s="4" t="s">
        <v>104</v>
      </c>
      <c r="BS2134" s="4" t="s">
        <v>35950</v>
      </c>
      <c r="BT2134" s="4" t="str">
        <f aca="false">HYPERLINK("https%3A%2F%2Fwww.webofscience.com%2Fwos%2Fwoscc%2Ffull-record%2FWOS:000274329400017","View Full Record in Web of Science")</f>
        <v>View Full Record in Web of Science</v>
      </c>
    </row>
    <row r="2135" s="5" customFormat="true" ht="12.75" hidden="false" customHeight="false" outlineLevel="0" collapsed="false">
      <c r="A2135" s="4" t="s">
        <v>72</v>
      </c>
      <c r="B2135" s="4" t="s">
        <v>35951</v>
      </c>
      <c r="C2135" s="4"/>
      <c r="D2135" s="4"/>
      <c r="E2135" s="4"/>
      <c r="F2135" s="4" t="s">
        <v>35952</v>
      </c>
      <c r="G2135" s="4"/>
      <c r="H2135" s="4"/>
      <c r="I2135" s="4" t="s">
        <v>35953</v>
      </c>
      <c r="J2135" s="4" t="s">
        <v>27497</v>
      </c>
      <c r="K2135" s="4"/>
      <c r="L2135" s="4"/>
      <c r="M2135" s="4" t="s">
        <v>77</v>
      </c>
      <c r="N2135" s="4" t="s">
        <v>78</v>
      </c>
      <c r="O2135" s="4"/>
      <c r="P2135" s="4"/>
      <c r="Q2135" s="4"/>
      <c r="R2135" s="4"/>
      <c r="S2135" s="4"/>
      <c r="T2135" s="1" t="s">
        <v>35954</v>
      </c>
      <c r="U2135" s="4" t="s">
        <v>35955</v>
      </c>
      <c r="V2135" s="4" t="s">
        <v>35956</v>
      </c>
      <c r="W2135" s="4" t="s">
        <v>35957</v>
      </c>
      <c r="X2135" s="4" t="s">
        <v>35958</v>
      </c>
      <c r="Y2135" s="4" t="s">
        <v>35959</v>
      </c>
      <c r="Z2135" s="4" t="s">
        <v>4264</v>
      </c>
      <c r="AA2135" s="4" t="s">
        <v>35960</v>
      </c>
      <c r="AB2135" s="4"/>
      <c r="AC2135" s="4" t="s">
        <v>35961</v>
      </c>
      <c r="AD2135" s="4" t="s">
        <v>35962</v>
      </c>
      <c r="AE2135" s="4" t="s">
        <v>35963</v>
      </c>
      <c r="AF2135" s="4"/>
      <c r="AG2135" s="4" t="n">
        <v>49</v>
      </c>
      <c r="AH2135" s="4" t="n">
        <v>17</v>
      </c>
      <c r="AI2135" s="4" t="n">
        <v>36</v>
      </c>
      <c r="AJ2135" s="4" t="n">
        <v>0</v>
      </c>
      <c r="AK2135" s="4" t="n">
        <v>3</v>
      </c>
      <c r="AL2135" s="4" t="s">
        <v>27506</v>
      </c>
      <c r="AM2135" s="4" t="s">
        <v>27507</v>
      </c>
      <c r="AN2135" s="4" t="s">
        <v>27508</v>
      </c>
      <c r="AO2135" s="4" t="s">
        <v>27509</v>
      </c>
      <c r="AP2135" s="4"/>
      <c r="AQ2135" s="4"/>
      <c r="AR2135" s="4" t="s">
        <v>27497</v>
      </c>
      <c r="AS2135" s="4" t="s">
        <v>27510</v>
      </c>
      <c r="AT2135" s="4" t="s">
        <v>2477</v>
      </c>
      <c r="AU2135" s="4" t="n">
        <v>2015</v>
      </c>
      <c r="AV2135" s="4" t="n">
        <v>10</v>
      </c>
      <c r="AW2135" s="4" t="n">
        <v>6</v>
      </c>
      <c r="AX2135" s="4"/>
      <c r="AY2135" s="4"/>
      <c r="AZ2135" s="4"/>
      <c r="BA2135" s="4"/>
      <c r="BB2135" s="4"/>
      <c r="BC2135" s="4"/>
      <c r="BD2135" s="4" t="s">
        <v>35964</v>
      </c>
      <c r="BE2135" s="4" t="s">
        <v>35965</v>
      </c>
      <c r="BF2135" s="4" t="str">
        <f aca="false">HYPERLINK("http://dx.doi.org/10.1371/journal.pone.0130233","http://dx.doi.org/10.1371/journal.pone.0130233")</f>
        <v>http://dx.doi.org/10.1371/journal.pone.0130233</v>
      </c>
      <c r="BG2135" s="4"/>
      <c r="BH2135" s="4"/>
      <c r="BI2135" s="4" t="n">
        <v>13</v>
      </c>
      <c r="BJ2135" s="4" t="s">
        <v>1658</v>
      </c>
      <c r="BK2135" s="4" t="s">
        <v>100</v>
      </c>
      <c r="BL2135" s="4" t="s">
        <v>1659</v>
      </c>
      <c r="BM2135" s="4" t="s">
        <v>35966</v>
      </c>
      <c r="BN2135" s="4"/>
      <c r="BO2135" s="4" t="s">
        <v>35967</v>
      </c>
      <c r="BP2135" s="4"/>
      <c r="BQ2135" s="4"/>
      <c r="BR2135" s="4" t="s">
        <v>104</v>
      </c>
      <c r="BS2135" s="4" t="s">
        <v>35968</v>
      </c>
      <c r="BT2135" s="4" t="str">
        <f aca="false">HYPERLINK("https%3A%2F%2Fwww.webofscience.com%2Fwos%2Fwoscc%2Ffull-record%2FWOS:000356932500087","View Full Record in Web of Science")</f>
        <v>View Full Record in Web of Science</v>
      </c>
    </row>
    <row r="2136" s="5" customFormat="true" ht="12.75" hidden="false" customHeight="false" outlineLevel="0" collapsed="false">
      <c r="A2136" s="4" t="s">
        <v>72</v>
      </c>
      <c r="B2136" s="4" t="s">
        <v>35969</v>
      </c>
      <c r="C2136" s="4"/>
      <c r="D2136" s="4"/>
      <c r="E2136" s="4"/>
      <c r="F2136" s="4" t="s">
        <v>35970</v>
      </c>
      <c r="G2136" s="4"/>
      <c r="H2136" s="4"/>
      <c r="I2136" s="4" t="s">
        <v>35971</v>
      </c>
      <c r="J2136" s="4" t="s">
        <v>28246</v>
      </c>
      <c r="K2136" s="4"/>
      <c r="L2136" s="4"/>
      <c r="M2136" s="4" t="s">
        <v>77</v>
      </c>
      <c r="N2136" s="4" t="s">
        <v>78</v>
      </c>
      <c r="O2136" s="4"/>
      <c r="P2136" s="4"/>
      <c r="Q2136" s="4"/>
      <c r="R2136" s="4"/>
      <c r="S2136" s="4"/>
      <c r="T2136" s="1" t="s">
        <v>35972</v>
      </c>
      <c r="U2136" s="4" t="s">
        <v>35973</v>
      </c>
      <c r="V2136" s="4" t="s">
        <v>35974</v>
      </c>
      <c r="W2136" s="4" t="s">
        <v>35975</v>
      </c>
      <c r="X2136" s="4" t="s">
        <v>35976</v>
      </c>
      <c r="Y2136" s="4" t="s">
        <v>35977</v>
      </c>
      <c r="Z2136" s="4" t="s">
        <v>35978</v>
      </c>
      <c r="AA2136" s="4" t="s">
        <v>35979</v>
      </c>
      <c r="AB2136" s="4" t="s">
        <v>35980</v>
      </c>
      <c r="AC2136" s="4" t="s">
        <v>35981</v>
      </c>
      <c r="AD2136" s="4" t="s">
        <v>35982</v>
      </c>
      <c r="AE2136" s="4" t="s">
        <v>35983</v>
      </c>
      <c r="AF2136" s="4"/>
      <c r="AG2136" s="4" t="n">
        <v>66</v>
      </c>
      <c r="AH2136" s="4" t="n">
        <v>3</v>
      </c>
      <c r="AI2136" s="4" t="n">
        <v>3</v>
      </c>
      <c r="AJ2136" s="4" t="n">
        <v>5</v>
      </c>
      <c r="AK2136" s="4" t="n">
        <v>9</v>
      </c>
      <c r="AL2136" s="4" t="s">
        <v>6405</v>
      </c>
      <c r="AM2136" s="4" t="s">
        <v>6406</v>
      </c>
      <c r="AN2136" s="4" t="s">
        <v>6407</v>
      </c>
      <c r="AO2136" s="4"/>
      <c r="AP2136" s="4" t="s">
        <v>28255</v>
      </c>
      <c r="AQ2136" s="4"/>
      <c r="AR2136" s="4" t="s">
        <v>28256</v>
      </c>
      <c r="AS2136" s="4" t="s">
        <v>28257</v>
      </c>
      <c r="AT2136" s="4" t="s">
        <v>12520</v>
      </c>
      <c r="AU2136" s="4" t="n">
        <v>2024</v>
      </c>
      <c r="AV2136" s="4" t="n">
        <v>15</v>
      </c>
      <c r="AW2136" s="4" t="n">
        <v>1</v>
      </c>
      <c r="AX2136" s="4"/>
      <c r="AY2136" s="4"/>
      <c r="AZ2136" s="4"/>
      <c r="BA2136" s="4"/>
      <c r="BB2136" s="4"/>
      <c r="BC2136" s="4"/>
      <c r="BD2136" s="4" t="n">
        <v>1335</v>
      </c>
      <c r="BE2136" s="4" t="s">
        <v>35984</v>
      </c>
      <c r="BF2136" s="4" t="str">
        <f aca="false">HYPERLINK("http://dx.doi.org/10.1038/s41467-024-45480-z","http://dx.doi.org/10.1038/s41467-024-45480-z")</f>
        <v>http://dx.doi.org/10.1038/s41467-024-45480-z</v>
      </c>
      <c r="BG2136" s="4"/>
      <c r="BH2136" s="4"/>
      <c r="BI2136" s="4" t="n">
        <v>13</v>
      </c>
      <c r="BJ2136" s="4" t="s">
        <v>1658</v>
      </c>
      <c r="BK2136" s="4" t="s">
        <v>100</v>
      </c>
      <c r="BL2136" s="4" t="s">
        <v>1659</v>
      </c>
      <c r="BM2136" s="4" t="s">
        <v>35985</v>
      </c>
      <c r="BN2136" s="4" t="n">
        <v>38351001</v>
      </c>
      <c r="BO2136" s="4" t="s">
        <v>103</v>
      </c>
      <c r="BP2136" s="4"/>
      <c r="BQ2136" s="4"/>
      <c r="BR2136" s="4" t="s">
        <v>104</v>
      </c>
      <c r="BS2136" s="4" t="s">
        <v>35986</v>
      </c>
      <c r="BT2136" s="4" t="str">
        <f aca="false">HYPERLINK("https%3A%2F%2Fwww.webofscience.com%2Fwos%2Fwoscc%2Ffull-record%2FWOS:001161933400018","View Full Record in Web of Science")</f>
        <v>View Full Record in Web of Science</v>
      </c>
    </row>
    <row r="2137" s="5" customFormat="true" ht="12.75" hidden="false" customHeight="false" outlineLevel="0" collapsed="false">
      <c r="A2137" s="4" t="s">
        <v>72</v>
      </c>
      <c r="B2137" s="4" t="s">
        <v>35987</v>
      </c>
      <c r="C2137" s="4"/>
      <c r="D2137" s="4"/>
      <c r="E2137" s="4"/>
      <c r="F2137" s="4" t="s">
        <v>35987</v>
      </c>
      <c r="G2137" s="4"/>
      <c r="H2137" s="4"/>
      <c r="I2137" s="4" t="s">
        <v>35988</v>
      </c>
      <c r="J2137" s="4" t="s">
        <v>27548</v>
      </c>
      <c r="K2137" s="4"/>
      <c r="L2137" s="4"/>
      <c r="M2137" s="4" t="s">
        <v>77</v>
      </c>
      <c r="N2137" s="4" t="s">
        <v>78</v>
      </c>
      <c r="O2137" s="4"/>
      <c r="P2137" s="4"/>
      <c r="Q2137" s="4"/>
      <c r="R2137" s="4"/>
      <c r="S2137" s="4"/>
      <c r="T2137" s="1" t="s">
        <v>35989</v>
      </c>
      <c r="U2137" s="4" t="s">
        <v>35990</v>
      </c>
      <c r="V2137" s="4" t="s">
        <v>35991</v>
      </c>
      <c r="W2137" s="4" t="s">
        <v>35992</v>
      </c>
      <c r="X2137" s="4" t="s">
        <v>35993</v>
      </c>
      <c r="Y2137" s="4" t="s">
        <v>35994</v>
      </c>
      <c r="Z2137" s="4" t="s">
        <v>35995</v>
      </c>
      <c r="AA2137" s="4" t="s">
        <v>35996</v>
      </c>
      <c r="AB2137" s="4" t="s">
        <v>33889</v>
      </c>
      <c r="AC2137" s="4"/>
      <c r="AD2137" s="4"/>
      <c r="AE2137" s="4"/>
      <c r="AF2137" s="4"/>
      <c r="AG2137" s="4" t="n">
        <v>40</v>
      </c>
      <c r="AH2137" s="4" t="n">
        <v>254</v>
      </c>
      <c r="AI2137" s="4" t="n">
        <v>280</v>
      </c>
      <c r="AJ2137" s="4" t="n">
        <v>0</v>
      </c>
      <c r="AK2137" s="4" t="n">
        <v>6</v>
      </c>
      <c r="AL2137" s="4" t="s">
        <v>27851</v>
      </c>
      <c r="AM2137" s="4" t="s">
        <v>27561</v>
      </c>
      <c r="AN2137" s="4" t="s">
        <v>27562</v>
      </c>
      <c r="AO2137" s="4" t="s">
        <v>27563</v>
      </c>
      <c r="AP2137" s="4" t="s">
        <v>27564</v>
      </c>
      <c r="AQ2137" s="4"/>
      <c r="AR2137" s="4" t="s">
        <v>27565</v>
      </c>
      <c r="AS2137" s="4" t="s">
        <v>27566</v>
      </c>
      <c r="AT2137" s="4" t="s">
        <v>486</v>
      </c>
      <c r="AU2137" s="4" t="n">
        <v>2004</v>
      </c>
      <c r="AV2137" s="4" t="n">
        <v>10</v>
      </c>
      <c r="AW2137" s="4" t="n">
        <v>6</v>
      </c>
      <c r="AX2137" s="4"/>
      <c r="AY2137" s="4"/>
      <c r="AZ2137" s="4"/>
      <c r="BA2137" s="4"/>
      <c r="BB2137" s="4" t="n">
        <v>1095</v>
      </c>
      <c r="BC2137" s="4" t="n">
        <v>1101</v>
      </c>
      <c r="BD2137" s="4"/>
      <c r="BE2137" s="4" t="s">
        <v>35997</v>
      </c>
      <c r="BF2137" s="4" t="str">
        <f aca="false">HYPERLINK("http://dx.doi.org/10.3201/eid1006.030629","http://dx.doi.org/10.3201/eid1006.030629")</f>
        <v>http://dx.doi.org/10.3201/eid1006.030629</v>
      </c>
      <c r="BG2137" s="4"/>
      <c r="BH2137" s="4"/>
      <c r="BI2137" s="4" t="n">
        <v>7</v>
      </c>
      <c r="BJ2137" s="4" t="s">
        <v>965</v>
      </c>
      <c r="BK2137" s="4" t="s">
        <v>100</v>
      </c>
      <c r="BL2137" s="4" t="s">
        <v>965</v>
      </c>
      <c r="BM2137" s="4" t="s">
        <v>33117</v>
      </c>
      <c r="BN2137" s="4" t="n">
        <v>15207063</v>
      </c>
      <c r="BO2137" s="4" t="s">
        <v>341</v>
      </c>
      <c r="BP2137" s="4"/>
      <c r="BQ2137" s="4"/>
      <c r="BR2137" s="4" t="s">
        <v>104</v>
      </c>
      <c r="BS2137" s="4" t="s">
        <v>35998</v>
      </c>
      <c r="BT2137" s="4" t="str">
        <f aca="false">HYPERLINK("https%3A%2F%2Fwww.webofscience.com%2Fwos%2Fwoscc%2Ffull-record%2FWOS:000221749300019","View Full Record in Web of Science")</f>
        <v>View Full Record in Web of Science</v>
      </c>
    </row>
    <row r="2138" s="5" customFormat="true" ht="12.75" hidden="false" customHeight="false" outlineLevel="0" collapsed="false">
      <c r="A2138" s="4" t="s">
        <v>72</v>
      </c>
      <c r="B2138" s="4" t="s">
        <v>35999</v>
      </c>
      <c r="C2138" s="4"/>
      <c r="D2138" s="4"/>
      <c r="E2138" s="4"/>
      <c r="F2138" s="4" t="s">
        <v>36000</v>
      </c>
      <c r="G2138" s="4"/>
      <c r="H2138" s="4"/>
      <c r="I2138" s="4" t="s">
        <v>36001</v>
      </c>
      <c r="J2138" s="4" t="s">
        <v>36002</v>
      </c>
      <c r="K2138" s="4"/>
      <c r="L2138" s="4"/>
      <c r="M2138" s="4" t="s">
        <v>77</v>
      </c>
      <c r="N2138" s="4" t="s">
        <v>78</v>
      </c>
      <c r="O2138" s="4"/>
      <c r="P2138" s="4"/>
      <c r="Q2138" s="4"/>
      <c r="R2138" s="4"/>
      <c r="S2138" s="4"/>
      <c r="T2138" s="1" t="s">
        <v>36003</v>
      </c>
      <c r="U2138" s="4" t="s">
        <v>36004</v>
      </c>
      <c r="V2138" s="4" t="s">
        <v>36005</v>
      </c>
      <c r="W2138" s="4" t="s">
        <v>36006</v>
      </c>
      <c r="X2138" s="4" t="s">
        <v>4402</v>
      </c>
      <c r="Y2138" s="4" t="s">
        <v>36007</v>
      </c>
      <c r="Z2138" s="4" t="s">
        <v>36008</v>
      </c>
      <c r="AA2138" s="4"/>
      <c r="AB2138" s="4"/>
      <c r="AC2138" s="4"/>
      <c r="AD2138" s="4"/>
      <c r="AE2138" s="4"/>
      <c r="AF2138" s="4"/>
      <c r="AG2138" s="4" t="n">
        <v>75</v>
      </c>
      <c r="AH2138" s="4" t="n">
        <v>31</v>
      </c>
      <c r="AI2138" s="4" t="n">
        <v>41</v>
      </c>
      <c r="AJ2138" s="4" t="n">
        <v>0</v>
      </c>
      <c r="AK2138" s="4" t="n">
        <v>12</v>
      </c>
      <c r="AL2138" s="4" t="s">
        <v>12800</v>
      </c>
      <c r="AM2138" s="4" t="s">
        <v>593</v>
      </c>
      <c r="AN2138" s="4" t="s">
        <v>32936</v>
      </c>
      <c r="AO2138" s="4" t="s">
        <v>36009</v>
      </c>
      <c r="AP2138" s="4" t="s">
        <v>36010</v>
      </c>
      <c r="AQ2138" s="4"/>
      <c r="AR2138" s="4" t="s">
        <v>36002</v>
      </c>
      <c r="AS2138" s="4" t="s">
        <v>36011</v>
      </c>
      <c r="AT2138" s="4" t="s">
        <v>390</v>
      </c>
      <c r="AU2138" s="4" t="n">
        <v>2013</v>
      </c>
      <c r="AV2138" s="4" t="n">
        <v>42</v>
      </c>
      <c r="AW2138" s="4" t="n">
        <v>5</v>
      </c>
      <c r="AX2138" s="4"/>
      <c r="AY2138" s="4"/>
      <c r="AZ2138" s="4"/>
      <c r="BA2138" s="4"/>
      <c r="BB2138" s="4" t="n">
        <v>170</v>
      </c>
      <c r="BC2138" s="4" t="n">
        <v>176</v>
      </c>
      <c r="BD2138" s="4"/>
      <c r="BE2138" s="4" t="s">
        <v>36012</v>
      </c>
      <c r="BF2138" s="4" t="str">
        <f aca="false">HYPERLINK("http://dx.doi.org/10.1038/laban.188","http://dx.doi.org/10.1038/laban.188")</f>
        <v>http://dx.doi.org/10.1038/laban.188</v>
      </c>
      <c r="BG2138" s="4"/>
      <c r="BH2138" s="4"/>
      <c r="BI2138" s="4" t="n">
        <v>7</v>
      </c>
      <c r="BJ2138" s="4" t="s">
        <v>23556</v>
      </c>
      <c r="BK2138" s="4" t="s">
        <v>100</v>
      </c>
      <c r="BL2138" s="4" t="s">
        <v>23556</v>
      </c>
      <c r="BM2138" s="4" t="s">
        <v>36013</v>
      </c>
      <c r="BN2138" s="4" t="n">
        <v>23604159</v>
      </c>
      <c r="BO2138" s="4"/>
      <c r="BP2138" s="4"/>
      <c r="BQ2138" s="4"/>
      <c r="BR2138" s="4" t="s">
        <v>104</v>
      </c>
      <c r="BS2138" s="4" t="s">
        <v>36014</v>
      </c>
      <c r="BT2138" s="4" t="str">
        <f aca="false">HYPERLINK("https%3A%2F%2Fwww.webofscience.com%2Fwos%2Fwoscc%2Ffull-record%2FWOS:000318394800019","View Full Record in Web of Science")</f>
        <v>View Full Record in Web of Science</v>
      </c>
    </row>
    <row r="2139" s="5" customFormat="true" ht="12.75" hidden="false" customHeight="false" outlineLevel="0" collapsed="false">
      <c r="A2139" s="4" t="s">
        <v>72</v>
      </c>
      <c r="B2139" s="4" t="s">
        <v>36015</v>
      </c>
      <c r="C2139" s="4"/>
      <c r="D2139" s="4"/>
      <c r="E2139" s="4"/>
      <c r="F2139" s="4" t="s">
        <v>36015</v>
      </c>
      <c r="G2139" s="4"/>
      <c r="H2139" s="4"/>
      <c r="I2139" s="4" t="s">
        <v>36016</v>
      </c>
      <c r="J2139" s="4" t="s">
        <v>36017</v>
      </c>
      <c r="K2139" s="4"/>
      <c r="L2139" s="4"/>
      <c r="M2139" s="4" t="s">
        <v>77</v>
      </c>
      <c r="N2139" s="4" t="s">
        <v>78</v>
      </c>
      <c r="O2139" s="4"/>
      <c r="P2139" s="4"/>
      <c r="Q2139" s="4"/>
      <c r="R2139" s="4"/>
      <c r="S2139" s="4"/>
      <c r="T2139" s="1" t="s">
        <v>36018</v>
      </c>
      <c r="U2139" s="4" t="s">
        <v>36019</v>
      </c>
      <c r="V2139" s="4" t="s">
        <v>36020</v>
      </c>
      <c r="W2139" s="4" t="s">
        <v>36021</v>
      </c>
      <c r="X2139" s="4" t="s">
        <v>36022</v>
      </c>
      <c r="Y2139" s="4"/>
      <c r="Z2139" s="4"/>
      <c r="AA2139" s="4"/>
      <c r="AB2139" s="4"/>
      <c r="AC2139" s="4"/>
      <c r="AD2139" s="4"/>
      <c r="AE2139" s="4"/>
      <c r="AF2139" s="4"/>
      <c r="AG2139" s="4" t="n">
        <v>36</v>
      </c>
      <c r="AH2139" s="4" t="n">
        <v>8</v>
      </c>
      <c r="AI2139" s="4" t="n">
        <v>10</v>
      </c>
      <c r="AJ2139" s="4" t="n">
        <v>0</v>
      </c>
      <c r="AK2139" s="4" t="n">
        <v>0</v>
      </c>
      <c r="AL2139" s="4" t="s">
        <v>20037</v>
      </c>
      <c r="AM2139" s="4" t="s">
        <v>783</v>
      </c>
      <c r="AN2139" s="4" t="s">
        <v>35710</v>
      </c>
      <c r="AO2139" s="4" t="s">
        <v>36023</v>
      </c>
      <c r="AP2139" s="4"/>
      <c r="AQ2139" s="4"/>
      <c r="AR2139" s="4" t="s">
        <v>36024</v>
      </c>
      <c r="AS2139" s="4" t="s">
        <v>36025</v>
      </c>
      <c r="AT2139" s="4" t="s">
        <v>8493</v>
      </c>
      <c r="AU2139" s="4" t="n">
        <v>1994</v>
      </c>
      <c r="AV2139" s="4" t="n">
        <v>4</v>
      </c>
      <c r="AW2139" s="4" t="n">
        <v>15</v>
      </c>
      <c r="AX2139" s="4"/>
      <c r="AY2139" s="4"/>
      <c r="AZ2139" s="4"/>
      <c r="BA2139" s="4"/>
      <c r="BB2139" s="4" t="n">
        <v>1813</v>
      </c>
      <c r="BC2139" s="4" t="n">
        <v>1818</v>
      </c>
      <c r="BD2139" s="4"/>
      <c r="BE2139" s="4" t="s">
        <v>36026</v>
      </c>
      <c r="BF2139" s="4" t="str">
        <f aca="false">HYPERLINK("http://dx.doi.org/10.1016/S0960-894X(01)80376-0","http://dx.doi.org/10.1016/S0960-894X(01)80376-0")</f>
        <v>http://dx.doi.org/10.1016/S0960-894X(01)80376-0</v>
      </c>
      <c r="BG2139" s="4"/>
      <c r="BH2139" s="4"/>
      <c r="BI2139" s="4" t="n">
        <v>6</v>
      </c>
      <c r="BJ2139" s="4" t="s">
        <v>36027</v>
      </c>
      <c r="BK2139" s="4" t="s">
        <v>100</v>
      </c>
      <c r="BL2139" s="4" t="s">
        <v>36028</v>
      </c>
      <c r="BM2139" s="4" t="s">
        <v>36029</v>
      </c>
      <c r="BN2139" s="4"/>
      <c r="BO2139" s="4"/>
      <c r="BP2139" s="4"/>
      <c r="BQ2139" s="4"/>
      <c r="BR2139" s="4" t="s">
        <v>104</v>
      </c>
      <c r="BS2139" s="4" t="s">
        <v>36030</v>
      </c>
      <c r="BT2139" s="4" t="str">
        <f aca="false">HYPERLINK("https%3A%2F%2Fwww.webofscience.com%2Fwos%2Fwoscc%2Ffull-record%2FWOS:A1994PB55600006","View Full Record in Web of Science")</f>
        <v>View Full Record in Web of Science</v>
      </c>
    </row>
    <row r="2140" s="5" customFormat="true" ht="12.75" hidden="false" customHeight="false" outlineLevel="0" collapsed="false">
      <c r="A2140" s="4" t="s">
        <v>72</v>
      </c>
      <c r="B2140" s="4" t="s">
        <v>36031</v>
      </c>
      <c r="C2140" s="4"/>
      <c r="D2140" s="4"/>
      <c r="E2140" s="4"/>
      <c r="F2140" s="4" t="s">
        <v>36032</v>
      </c>
      <c r="G2140" s="4"/>
      <c r="H2140" s="4"/>
      <c r="I2140" s="4" t="s">
        <v>36033</v>
      </c>
      <c r="J2140" s="4" t="s">
        <v>2222</v>
      </c>
      <c r="K2140" s="4"/>
      <c r="L2140" s="4"/>
      <c r="M2140" s="4" t="s">
        <v>77</v>
      </c>
      <c r="N2140" s="4" t="s">
        <v>78</v>
      </c>
      <c r="O2140" s="4"/>
      <c r="P2140" s="4"/>
      <c r="Q2140" s="4"/>
      <c r="R2140" s="4"/>
      <c r="S2140" s="4"/>
      <c r="T2140" s="1" t="s">
        <v>36034</v>
      </c>
      <c r="U2140" s="4" t="s">
        <v>36035</v>
      </c>
      <c r="V2140" s="4" t="s">
        <v>36036</v>
      </c>
      <c r="W2140" s="4" t="s">
        <v>36037</v>
      </c>
      <c r="X2140" s="4" t="s">
        <v>36038</v>
      </c>
      <c r="Y2140" s="4" t="s">
        <v>36039</v>
      </c>
      <c r="Z2140" s="4" t="s">
        <v>36040</v>
      </c>
      <c r="AA2140" s="4"/>
      <c r="AB2140" s="4"/>
      <c r="AC2140" s="4" t="s">
        <v>36041</v>
      </c>
      <c r="AD2140" s="4" t="s">
        <v>36042</v>
      </c>
      <c r="AE2140" s="4" t="s">
        <v>36043</v>
      </c>
      <c r="AF2140" s="4"/>
      <c r="AG2140" s="4" t="n">
        <v>21</v>
      </c>
      <c r="AH2140" s="4" t="n">
        <v>99</v>
      </c>
      <c r="AI2140" s="4" t="n">
        <v>104</v>
      </c>
      <c r="AJ2140" s="4" t="n">
        <v>0</v>
      </c>
      <c r="AK2140" s="4" t="n">
        <v>15</v>
      </c>
      <c r="AL2140" s="4" t="s">
        <v>755</v>
      </c>
      <c r="AM2140" s="4" t="s">
        <v>273</v>
      </c>
      <c r="AN2140" s="4" t="s">
        <v>756</v>
      </c>
      <c r="AO2140" s="4" t="s">
        <v>2234</v>
      </c>
      <c r="AP2140" s="4" t="s">
        <v>2235</v>
      </c>
      <c r="AQ2140" s="4"/>
      <c r="AR2140" s="4" t="s">
        <v>2236</v>
      </c>
      <c r="AS2140" s="4" t="s">
        <v>2237</v>
      </c>
      <c r="AT2140" s="4" t="s">
        <v>599</v>
      </c>
      <c r="AU2140" s="4" t="n">
        <v>2011</v>
      </c>
      <c r="AV2140" s="4" t="n">
        <v>49</v>
      </c>
      <c r="AW2140" s="4" t="n">
        <v>7</v>
      </c>
      <c r="AX2140" s="4"/>
      <c r="AY2140" s="4"/>
      <c r="AZ2140" s="4"/>
      <c r="BA2140" s="4"/>
      <c r="BB2140" s="4" t="n">
        <v>2449</v>
      </c>
      <c r="BC2140" s="4" t="n">
        <v>2453</v>
      </c>
      <c r="BD2140" s="4"/>
      <c r="BE2140" s="4" t="s">
        <v>36044</v>
      </c>
      <c r="BF2140" s="4" t="str">
        <f aca="false">HYPERLINK("http://dx.doi.org/10.1128/JCM.02582-10","http://dx.doi.org/10.1128/JCM.02582-10")</f>
        <v>http://dx.doi.org/10.1128/JCM.02582-10</v>
      </c>
      <c r="BG2140" s="4"/>
      <c r="BH2140" s="4"/>
      <c r="BI2140" s="4" t="n">
        <v>5</v>
      </c>
      <c r="BJ2140" s="4" t="s">
        <v>211</v>
      </c>
      <c r="BK2140" s="4" t="s">
        <v>100</v>
      </c>
      <c r="BL2140" s="4" t="s">
        <v>211</v>
      </c>
      <c r="BM2140" s="4" t="s">
        <v>36045</v>
      </c>
      <c r="BN2140" s="4" t="n">
        <v>21508156</v>
      </c>
      <c r="BO2140" s="4" t="s">
        <v>165</v>
      </c>
      <c r="BP2140" s="4"/>
      <c r="BQ2140" s="4"/>
      <c r="BR2140" s="4" t="s">
        <v>104</v>
      </c>
      <c r="BS2140" s="4" t="s">
        <v>36046</v>
      </c>
      <c r="BT2140" s="4" t="str">
        <f aca="false">HYPERLINK("https%3A%2F%2Fwww.webofscience.com%2Fwos%2Fwoscc%2Ffull-record%2FWOS:000292276200010","View Full Record in Web of Science")</f>
        <v>View Full Record in Web of Science</v>
      </c>
    </row>
    <row r="2141" s="5" customFormat="true" ht="12.75" hidden="false" customHeight="false" outlineLevel="0" collapsed="false">
      <c r="A2141" s="4" t="s">
        <v>72</v>
      </c>
      <c r="B2141" s="4" t="s">
        <v>36047</v>
      </c>
      <c r="C2141" s="4"/>
      <c r="D2141" s="4"/>
      <c r="E2141" s="4"/>
      <c r="F2141" s="4" t="s">
        <v>36048</v>
      </c>
      <c r="G2141" s="4"/>
      <c r="H2141" s="4"/>
      <c r="I2141" s="4" t="s">
        <v>36049</v>
      </c>
      <c r="J2141" s="4" t="s">
        <v>3415</v>
      </c>
      <c r="K2141" s="4"/>
      <c r="L2141" s="4"/>
      <c r="M2141" s="4" t="s">
        <v>77</v>
      </c>
      <c r="N2141" s="4" t="s">
        <v>78</v>
      </c>
      <c r="O2141" s="4"/>
      <c r="P2141" s="4"/>
      <c r="Q2141" s="4"/>
      <c r="R2141" s="4"/>
      <c r="S2141" s="4"/>
      <c r="T2141" s="1" t="s">
        <v>36050</v>
      </c>
      <c r="U2141" s="4" t="s">
        <v>36051</v>
      </c>
      <c r="V2141" s="4" t="s">
        <v>36052</v>
      </c>
      <c r="W2141" s="4" t="s">
        <v>36053</v>
      </c>
      <c r="X2141" s="4" t="s">
        <v>36054</v>
      </c>
      <c r="Y2141" s="4" t="s">
        <v>26794</v>
      </c>
      <c r="Z2141" s="4" t="s">
        <v>26795</v>
      </c>
      <c r="AA2141" s="4" t="s">
        <v>36055</v>
      </c>
      <c r="AB2141" s="4" t="s">
        <v>36056</v>
      </c>
      <c r="AC2141" s="4" t="s">
        <v>36057</v>
      </c>
      <c r="AD2141" s="4" t="s">
        <v>36058</v>
      </c>
      <c r="AE2141" s="4" t="s">
        <v>36059</v>
      </c>
      <c r="AF2141" s="4"/>
      <c r="AG2141" s="4" t="n">
        <v>17</v>
      </c>
      <c r="AH2141" s="4" t="n">
        <v>6</v>
      </c>
      <c r="AI2141" s="4" t="n">
        <v>6</v>
      </c>
      <c r="AJ2141" s="4" t="n">
        <v>0</v>
      </c>
      <c r="AK2141" s="4" t="n">
        <v>0</v>
      </c>
      <c r="AL2141" s="4" t="s">
        <v>3426</v>
      </c>
      <c r="AM2141" s="4" t="s">
        <v>303</v>
      </c>
      <c r="AN2141" s="4" t="s">
        <v>3427</v>
      </c>
      <c r="AO2141" s="4" t="s">
        <v>3428</v>
      </c>
      <c r="AP2141" s="4" t="s">
        <v>3429</v>
      </c>
      <c r="AQ2141" s="4"/>
      <c r="AR2141" s="4" t="s">
        <v>3430</v>
      </c>
      <c r="AS2141" s="4" t="s">
        <v>3431</v>
      </c>
      <c r="AT2141" s="4" t="s">
        <v>390</v>
      </c>
      <c r="AU2141" s="4" t="n">
        <v>2009</v>
      </c>
      <c r="AV2141" s="4" t="n">
        <v>58</v>
      </c>
      <c r="AW2141" s="4" t="n">
        <v>5</v>
      </c>
      <c r="AX2141" s="4"/>
      <c r="AY2141" s="4"/>
      <c r="AZ2141" s="4"/>
      <c r="BA2141" s="4"/>
      <c r="BB2141" s="4" t="n">
        <v>638</v>
      </c>
      <c r="BC2141" s="4" t="n">
        <v>643</v>
      </c>
      <c r="BD2141" s="4"/>
      <c r="BE2141" s="4" t="s">
        <v>36060</v>
      </c>
      <c r="BF2141" s="4" t="str">
        <f aca="false">HYPERLINK("http://dx.doi.org/10.1099/jmm.0.005439-0","http://dx.doi.org/10.1099/jmm.0.005439-0")</f>
        <v>http://dx.doi.org/10.1099/jmm.0.005439-0</v>
      </c>
      <c r="BG2141" s="4"/>
      <c r="BH2141" s="4"/>
      <c r="BI2141" s="4" t="n">
        <v>6</v>
      </c>
      <c r="BJ2141" s="4" t="s">
        <v>211</v>
      </c>
      <c r="BK2141" s="4" t="s">
        <v>100</v>
      </c>
      <c r="BL2141" s="4" t="s">
        <v>211</v>
      </c>
      <c r="BM2141" s="4" t="s">
        <v>36061</v>
      </c>
      <c r="BN2141" s="4" t="n">
        <v>19369526</v>
      </c>
      <c r="BO2141" s="4" t="s">
        <v>656</v>
      </c>
      <c r="BP2141" s="4"/>
      <c r="BQ2141" s="4"/>
      <c r="BR2141" s="4" t="s">
        <v>104</v>
      </c>
      <c r="BS2141" s="4" t="s">
        <v>36062</v>
      </c>
      <c r="BT2141" s="4" t="str">
        <f aca="false">HYPERLINK("https%3A%2F%2Fwww.webofscience.com%2Fwos%2Fwoscc%2Ffull-record%2FWOS:000266018900014","View Full Record in Web of Science")</f>
        <v>View Full Record in Web of Science</v>
      </c>
    </row>
    <row r="2142" s="5" customFormat="true" ht="12.75" hidden="false" customHeight="false" outlineLevel="0" collapsed="false">
      <c r="A2142" s="4" t="s">
        <v>72</v>
      </c>
      <c r="B2142" s="4" t="s">
        <v>36063</v>
      </c>
      <c r="C2142" s="4"/>
      <c r="D2142" s="4"/>
      <c r="E2142" s="4"/>
      <c r="F2142" s="4" t="s">
        <v>36064</v>
      </c>
      <c r="G2142" s="4"/>
      <c r="H2142" s="4"/>
      <c r="I2142" s="4" t="s">
        <v>36065</v>
      </c>
      <c r="J2142" s="4" t="s">
        <v>36066</v>
      </c>
      <c r="K2142" s="4"/>
      <c r="L2142" s="4"/>
      <c r="M2142" s="4" t="s">
        <v>77</v>
      </c>
      <c r="N2142" s="4" t="s">
        <v>78</v>
      </c>
      <c r="O2142" s="4"/>
      <c r="P2142" s="4"/>
      <c r="Q2142" s="4"/>
      <c r="R2142" s="4"/>
      <c r="S2142" s="4"/>
      <c r="T2142" s="1" t="s">
        <v>36067</v>
      </c>
      <c r="U2142" s="4" t="s">
        <v>36068</v>
      </c>
      <c r="V2142" s="4" t="s">
        <v>36069</v>
      </c>
      <c r="W2142" s="4" t="s">
        <v>36070</v>
      </c>
      <c r="X2142" s="4" t="s">
        <v>36071</v>
      </c>
      <c r="Y2142" s="4" t="s">
        <v>36072</v>
      </c>
      <c r="Z2142" s="4" t="s">
        <v>36073</v>
      </c>
      <c r="AA2142" s="4"/>
      <c r="AB2142" s="4"/>
      <c r="AC2142" s="4" t="s">
        <v>36074</v>
      </c>
      <c r="AD2142" s="4" t="s">
        <v>36075</v>
      </c>
      <c r="AE2142" s="4" t="s">
        <v>36076</v>
      </c>
      <c r="AF2142" s="4"/>
      <c r="AG2142" s="4" t="n">
        <v>49</v>
      </c>
      <c r="AH2142" s="4" t="n">
        <v>36</v>
      </c>
      <c r="AI2142" s="4" t="n">
        <v>42</v>
      </c>
      <c r="AJ2142" s="4" t="n">
        <v>0</v>
      </c>
      <c r="AK2142" s="4" t="n">
        <v>17</v>
      </c>
      <c r="AL2142" s="4" t="s">
        <v>302</v>
      </c>
      <c r="AM2142" s="4" t="s">
        <v>303</v>
      </c>
      <c r="AN2142" s="4" t="s">
        <v>304</v>
      </c>
      <c r="AO2142" s="4" t="s">
        <v>36077</v>
      </c>
      <c r="AP2142" s="4" t="s">
        <v>36078</v>
      </c>
      <c r="AQ2142" s="4"/>
      <c r="AR2142" s="4" t="s">
        <v>36079</v>
      </c>
      <c r="AS2142" s="4" t="s">
        <v>36080</v>
      </c>
      <c r="AT2142" s="4" t="s">
        <v>2621</v>
      </c>
      <c r="AU2142" s="4" t="n">
        <v>2014</v>
      </c>
      <c r="AV2142" s="4" t="n">
        <v>45</v>
      </c>
      <c r="AW2142" s="4"/>
      <c r="AX2142" s="4"/>
      <c r="AY2142" s="4"/>
      <c r="AZ2142" s="4"/>
      <c r="BA2142" s="4"/>
      <c r="BB2142" s="4"/>
      <c r="BC2142" s="4"/>
      <c r="BD2142" s="4" t="n">
        <v>74</v>
      </c>
      <c r="BE2142" s="4" t="s">
        <v>36081</v>
      </c>
      <c r="BF2142" s="4" t="str">
        <f aca="false">HYPERLINK("http://dx.doi.org/10.1186/s13567-014-0074-y","http://dx.doi.org/10.1186/s13567-014-0074-y")</f>
        <v>http://dx.doi.org/10.1186/s13567-014-0074-y</v>
      </c>
      <c r="BG2142" s="4"/>
      <c r="BH2142" s="4"/>
      <c r="BI2142" s="4" t="n">
        <v>13</v>
      </c>
      <c r="BJ2142" s="4" t="s">
        <v>23556</v>
      </c>
      <c r="BK2142" s="4" t="s">
        <v>100</v>
      </c>
      <c r="BL2142" s="4" t="s">
        <v>23556</v>
      </c>
      <c r="BM2142" s="4" t="s">
        <v>36082</v>
      </c>
      <c r="BN2142" s="4" t="n">
        <v>25060776</v>
      </c>
      <c r="BO2142" s="4" t="s">
        <v>103</v>
      </c>
      <c r="BP2142" s="4"/>
      <c r="BQ2142" s="4"/>
      <c r="BR2142" s="4" t="s">
        <v>104</v>
      </c>
      <c r="BS2142" s="4" t="s">
        <v>36083</v>
      </c>
      <c r="BT2142" s="4" t="str">
        <f aca="false">HYPERLINK("https%3A%2F%2Fwww.webofscience.com%2Fwos%2Fwoscc%2Ffull-record%2FWOS:000339977400001","View Full Record in Web of Science")</f>
        <v>View Full Record in Web of Science</v>
      </c>
    </row>
    <row r="2143" s="5" customFormat="true" ht="12.75" hidden="false" customHeight="false" outlineLevel="0" collapsed="false">
      <c r="A2143" s="4" t="s">
        <v>72</v>
      </c>
      <c r="B2143" s="4" t="s">
        <v>36084</v>
      </c>
      <c r="C2143" s="4"/>
      <c r="D2143" s="4"/>
      <c r="E2143" s="4"/>
      <c r="F2143" s="4" t="s">
        <v>36085</v>
      </c>
      <c r="G2143" s="4"/>
      <c r="H2143" s="4"/>
      <c r="I2143" s="4" t="s">
        <v>36086</v>
      </c>
      <c r="J2143" s="4" t="s">
        <v>27497</v>
      </c>
      <c r="K2143" s="4"/>
      <c r="L2143" s="4"/>
      <c r="M2143" s="4" t="s">
        <v>77</v>
      </c>
      <c r="N2143" s="4" t="s">
        <v>78</v>
      </c>
      <c r="O2143" s="4"/>
      <c r="P2143" s="4"/>
      <c r="Q2143" s="4"/>
      <c r="R2143" s="4"/>
      <c r="S2143" s="4"/>
      <c r="T2143" s="1" t="s">
        <v>36087</v>
      </c>
      <c r="U2143" s="4" t="s">
        <v>36088</v>
      </c>
      <c r="V2143" s="4" t="s">
        <v>36089</v>
      </c>
      <c r="W2143" s="4" t="s">
        <v>36090</v>
      </c>
      <c r="X2143" s="4" t="s">
        <v>36091</v>
      </c>
      <c r="Y2143" s="4" t="s">
        <v>36092</v>
      </c>
      <c r="Z2143" s="4" t="s">
        <v>36093</v>
      </c>
      <c r="AA2143" s="4"/>
      <c r="AB2143" s="4" t="s">
        <v>36094</v>
      </c>
      <c r="AC2143" s="4" t="s">
        <v>36095</v>
      </c>
      <c r="AD2143" s="4" t="s">
        <v>36095</v>
      </c>
      <c r="AE2143" s="4" t="s">
        <v>36096</v>
      </c>
      <c r="AF2143" s="4"/>
      <c r="AG2143" s="4" t="n">
        <v>33</v>
      </c>
      <c r="AH2143" s="4" t="n">
        <v>20</v>
      </c>
      <c r="AI2143" s="4" t="n">
        <v>21</v>
      </c>
      <c r="AJ2143" s="4" t="n">
        <v>0</v>
      </c>
      <c r="AK2143" s="4" t="n">
        <v>2</v>
      </c>
      <c r="AL2143" s="4" t="s">
        <v>27506</v>
      </c>
      <c r="AM2143" s="4" t="s">
        <v>27507</v>
      </c>
      <c r="AN2143" s="4" t="s">
        <v>27508</v>
      </c>
      <c r="AO2143" s="4" t="s">
        <v>27509</v>
      </c>
      <c r="AP2143" s="4"/>
      <c r="AQ2143" s="4"/>
      <c r="AR2143" s="4" t="s">
        <v>27497</v>
      </c>
      <c r="AS2143" s="4" t="s">
        <v>27510</v>
      </c>
      <c r="AT2143" s="4" t="s">
        <v>13235</v>
      </c>
      <c r="AU2143" s="4" t="n">
        <v>2012</v>
      </c>
      <c r="AV2143" s="4" t="n">
        <v>7</v>
      </c>
      <c r="AW2143" s="4" t="n">
        <v>5</v>
      </c>
      <c r="AX2143" s="4"/>
      <c r="AY2143" s="4"/>
      <c r="AZ2143" s="4"/>
      <c r="BA2143" s="4"/>
      <c r="BB2143" s="4"/>
      <c r="BC2143" s="4"/>
      <c r="BD2143" s="4" t="s">
        <v>36097</v>
      </c>
      <c r="BE2143" s="4" t="s">
        <v>36098</v>
      </c>
      <c r="BF2143" s="4" t="str">
        <f aca="false">HYPERLINK("http://dx.doi.org/10.1371/journal.pone.0038206","http://dx.doi.org/10.1371/journal.pone.0038206")</f>
        <v>http://dx.doi.org/10.1371/journal.pone.0038206</v>
      </c>
      <c r="BG2143" s="4"/>
      <c r="BH2143" s="4"/>
      <c r="BI2143" s="4" t="n">
        <v>4</v>
      </c>
      <c r="BJ2143" s="4" t="s">
        <v>1658</v>
      </c>
      <c r="BK2143" s="4" t="s">
        <v>100</v>
      </c>
      <c r="BL2143" s="4" t="s">
        <v>1659</v>
      </c>
      <c r="BM2143" s="4" t="s">
        <v>36099</v>
      </c>
      <c r="BN2143" s="4" t="n">
        <v>22666484</v>
      </c>
      <c r="BO2143" s="4" t="s">
        <v>6349</v>
      </c>
      <c r="BP2143" s="4"/>
      <c r="BQ2143" s="4"/>
      <c r="BR2143" s="4" t="s">
        <v>104</v>
      </c>
      <c r="BS2143" s="4" t="s">
        <v>36100</v>
      </c>
      <c r="BT2143" s="4" t="str">
        <f aca="false">HYPERLINK("https%3A%2F%2Fwww.webofscience.com%2Fwos%2Fwoscc%2Ffull-record%2FWOS:000305349600071","View Full Record in Web of Science")</f>
        <v>View Full Record in Web of Science</v>
      </c>
    </row>
    <row r="2144" s="5" customFormat="true" ht="12.75" hidden="false" customHeight="false" outlineLevel="0" collapsed="false">
      <c r="A2144" s="4" t="s">
        <v>72</v>
      </c>
      <c r="B2144" s="4" t="s">
        <v>36101</v>
      </c>
      <c r="C2144" s="4"/>
      <c r="D2144" s="4"/>
      <c r="E2144" s="4"/>
      <c r="F2144" s="4" t="s">
        <v>36102</v>
      </c>
      <c r="G2144" s="4"/>
      <c r="H2144" s="4"/>
      <c r="I2144" s="4" t="s">
        <v>36103</v>
      </c>
      <c r="J2144" s="4" t="s">
        <v>35501</v>
      </c>
      <c r="K2144" s="4"/>
      <c r="L2144" s="4"/>
      <c r="M2144" s="4" t="s">
        <v>77</v>
      </c>
      <c r="N2144" s="4" t="s">
        <v>78</v>
      </c>
      <c r="O2144" s="4"/>
      <c r="P2144" s="4"/>
      <c r="Q2144" s="4"/>
      <c r="R2144" s="4"/>
      <c r="S2144" s="4"/>
      <c r="T2144" s="1" t="s">
        <v>36104</v>
      </c>
      <c r="U2144" s="4" t="s">
        <v>36105</v>
      </c>
      <c r="V2144" s="4" t="s">
        <v>36106</v>
      </c>
      <c r="W2144" s="4" t="s">
        <v>36107</v>
      </c>
      <c r="X2144" s="4" t="s">
        <v>36108</v>
      </c>
      <c r="Y2144" s="4" t="s">
        <v>36109</v>
      </c>
      <c r="Z2144" s="4" t="s">
        <v>36110</v>
      </c>
      <c r="AA2144" s="4"/>
      <c r="AB2144" s="4"/>
      <c r="AC2144" s="4"/>
      <c r="AD2144" s="4"/>
      <c r="AE2144" s="4"/>
      <c r="AF2144" s="4"/>
      <c r="AG2144" s="4" t="n">
        <v>89</v>
      </c>
      <c r="AH2144" s="4" t="n">
        <v>7</v>
      </c>
      <c r="AI2144" s="4" t="n">
        <v>8</v>
      </c>
      <c r="AJ2144" s="4" t="n">
        <v>0</v>
      </c>
      <c r="AK2144" s="4" t="n">
        <v>0</v>
      </c>
      <c r="AL2144" s="4" t="s">
        <v>35511</v>
      </c>
      <c r="AM2144" s="4" t="s">
        <v>35512</v>
      </c>
      <c r="AN2144" s="4" t="s">
        <v>35513</v>
      </c>
      <c r="AO2144" s="4" t="s">
        <v>35514</v>
      </c>
      <c r="AP2144" s="4" t="s">
        <v>35515</v>
      </c>
      <c r="AQ2144" s="4"/>
      <c r="AR2144" s="4" t="s">
        <v>35516</v>
      </c>
      <c r="AS2144" s="4" t="s">
        <v>35517</v>
      </c>
      <c r="AT2144" s="4" t="s">
        <v>185</v>
      </c>
      <c r="AU2144" s="4" t="n">
        <v>2007</v>
      </c>
      <c r="AV2144" s="4" t="n">
        <v>131</v>
      </c>
      <c r="AW2144" s="4" t="n">
        <v>8</v>
      </c>
      <c r="AX2144" s="4"/>
      <c r="AY2144" s="4"/>
      <c r="AZ2144" s="4"/>
      <c r="BA2144" s="4"/>
      <c r="BB2144" s="4" t="n">
        <v>1219</v>
      </c>
      <c r="BC2144" s="4" t="n">
        <v>1231</v>
      </c>
      <c r="BD2144" s="4"/>
      <c r="BE2144" s="4" t="s">
        <v>36111</v>
      </c>
      <c r="BF2144" s="4"/>
      <c r="BG2144" s="4"/>
      <c r="BH2144" s="4"/>
      <c r="BI2144" s="4" t="n">
        <v>13</v>
      </c>
      <c r="BJ2144" s="4" t="s">
        <v>35519</v>
      </c>
      <c r="BK2144" s="4" t="s">
        <v>100</v>
      </c>
      <c r="BL2144" s="4" t="s">
        <v>35520</v>
      </c>
      <c r="BM2144" s="4" t="s">
        <v>36112</v>
      </c>
      <c r="BN2144" s="4" t="n">
        <v>17683184</v>
      </c>
      <c r="BO2144" s="4"/>
      <c r="BP2144" s="4"/>
      <c r="BQ2144" s="4"/>
      <c r="BR2144" s="4" t="s">
        <v>104</v>
      </c>
      <c r="BS2144" s="4" t="s">
        <v>36113</v>
      </c>
      <c r="BT2144" s="4" t="str">
        <f aca="false">HYPERLINK("https%3A%2F%2Fwww.webofscience.com%2Fwos%2Fwoscc%2Ffull-record%2FWOS:000249394300007","View Full Record in Web of Science")</f>
        <v>View Full Record in Web of Science</v>
      </c>
    </row>
    <row r="2145" s="5" customFormat="true" ht="12.75" hidden="false" customHeight="false" outlineLevel="0" collapsed="false">
      <c r="A2145" s="4" t="s">
        <v>72</v>
      </c>
      <c r="B2145" s="4" t="s">
        <v>36114</v>
      </c>
      <c r="C2145" s="4"/>
      <c r="D2145" s="4"/>
      <c r="E2145" s="4"/>
      <c r="F2145" s="4" t="s">
        <v>36115</v>
      </c>
      <c r="G2145" s="4"/>
      <c r="H2145" s="4"/>
      <c r="I2145" s="4" t="s">
        <v>36116</v>
      </c>
      <c r="J2145" s="4" t="s">
        <v>7145</v>
      </c>
      <c r="K2145" s="4"/>
      <c r="L2145" s="4"/>
      <c r="M2145" s="4" t="s">
        <v>77</v>
      </c>
      <c r="N2145" s="4" t="s">
        <v>78</v>
      </c>
      <c r="O2145" s="4"/>
      <c r="P2145" s="4"/>
      <c r="Q2145" s="4"/>
      <c r="R2145" s="4"/>
      <c r="S2145" s="4"/>
      <c r="T2145" s="1" t="s">
        <v>36117</v>
      </c>
      <c r="U2145" s="4" t="s">
        <v>36118</v>
      </c>
      <c r="V2145" s="4" t="s">
        <v>36119</v>
      </c>
      <c r="W2145" s="4" t="s">
        <v>36120</v>
      </c>
      <c r="X2145" s="4" t="s">
        <v>36121</v>
      </c>
      <c r="Y2145" s="4" t="s">
        <v>36122</v>
      </c>
      <c r="Z2145" s="4" t="s">
        <v>28347</v>
      </c>
      <c r="AA2145" s="4" t="s">
        <v>31331</v>
      </c>
      <c r="AB2145" s="4" t="s">
        <v>31690</v>
      </c>
      <c r="AC2145" s="4" t="s">
        <v>36123</v>
      </c>
      <c r="AD2145" s="4" t="s">
        <v>36124</v>
      </c>
      <c r="AE2145" s="4" t="s">
        <v>36125</v>
      </c>
      <c r="AF2145" s="4"/>
      <c r="AG2145" s="4" t="n">
        <v>29</v>
      </c>
      <c r="AH2145" s="4" t="n">
        <v>75</v>
      </c>
      <c r="AI2145" s="4" t="n">
        <v>87</v>
      </c>
      <c r="AJ2145" s="4" t="n">
        <v>1</v>
      </c>
      <c r="AK2145" s="4" t="n">
        <v>6</v>
      </c>
      <c r="AL2145" s="4" t="s">
        <v>28431</v>
      </c>
      <c r="AM2145" s="4" t="s">
        <v>28432</v>
      </c>
      <c r="AN2145" s="4" t="s">
        <v>28433</v>
      </c>
      <c r="AO2145" s="4" t="s">
        <v>7158</v>
      </c>
      <c r="AP2145" s="4"/>
      <c r="AQ2145" s="4"/>
      <c r="AR2145" s="4" t="s">
        <v>7160</v>
      </c>
      <c r="AS2145" s="4" t="s">
        <v>7161</v>
      </c>
      <c r="AT2145" s="4" t="s">
        <v>129</v>
      </c>
      <c r="AU2145" s="4" t="n">
        <v>2011</v>
      </c>
      <c r="AV2145" s="4" t="n">
        <v>92</v>
      </c>
      <c r="AW2145" s="4"/>
      <c r="AX2145" s="4" t="n">
        <v>9</v>
      </c>
      <c r="AY2145" s="4"/>
      <c r="AZ2145" s="4"/>
      <c r="BA2145" s="4"/>
      <c r="BB2145" s="4" t="n">
        <v>2153</v>
      </c>
      <c r="BC2145" s="4" t="n">
        <v>2159</v>
      </c>
      <c r="BD2145" s="4"/>
      <c r="BE2145" s="4" t="s">
        <v>36126</v>
      </c>
      <c r="BF2145" s="4" t="str">
        <f aca="false">HYPERLINK("http://dx.doi.org/10.1099/vir.0.032987-0","http://dx.doi.org/10.1099/vir.0.032987-0")</f>
        <v>http://dx.doi.org/10.1099/vir.0.032987-0</v>
      </c>
      <c r="BG2145" s="4"/>
      <c r="BH2145" s="4"/>
      <c r="BI2145" s="4" t="n">
        <v>7</v>
      </c>
      <c r="BJ2145" s="4" t="s">
        <v>7163</v>
      </c>
      <c r="BK2145" s="4" t="s">
        <v>100</v>
      </c>
      <c r="BL2145" s="4" t="s">
        <v>7163</v>
      </c>
      <c r="BM2145" s="4" t="s">
        <v>36127</v>
      </c>
      <c r="BN2145" s="4" t="n">
        <v>21632562</v>
      </c>
      <c r="BO2145" s="4" t="s">
        <v>538</v>
      </c>
      <c r="BP2145" s="4"/>
      <c r="BQ2145" s="4"/>
      <c r="BR2145" s="4" t="s">
        <v>104</v>
      </c>
      <c r="BS2145" s="4" t="s">
        <v>36128</v>
      </c>
      <c r="BT2145" s="4" t="str">
        <f aca="false">HYPERLINK("https%3A%2F%2Fwww.webofscience.com%2Fwos%2Fwoscc%2Ffull-record%2FWOS:000295018900018","View Full Record in Web of Science")</f>
        <v>View Full Record in Web of Science</v>
      </c>
    </row>
    <row r="2146" s="5" customFormat="true" ht="12.75" hidden="false" customHeight="false" outlineLevel="0" collapsed="false">
      <c r="A2146" s="4" t="s">
        <v>72</v>
      </c>
      <c r="B2146" s="4" t="s">
        <v>36129</v>
      </c>
      <c r="C2146" s="4"/>
      <c r="D2146" s="4"/>
      <c r="E2146" s="4"/>
      <c r="F2146" s="4" t="s">
        <v>36130</v>
      </c>
      <c r="G2146" s="4"/>
      <c r="H2146" s="4"/>
      <c r="I2146" s="4" t="s">
        <v>36131</v>
      </c>
      <c r="J2146" s="4" t="s">
        <v>30702</v>
      </c>
      <c r="K2146" s="4"/>
      <c r="L2146" s="4"/>
      <c r="M2146" s="4" t="s">
        <v>77</v>
      </c>
      <c r="N2146" s="4" t="s">
        <v>78</v>
      </c>
      <c r="O2146" s="4"/>
      <c r="P2146" s="4"/>
      <c r="Q2146" s="4"/>
      <c r="R2146" s="4"/>
      <c r="S2146" s="4"/>
      <c r="T2146" s="1" t="s">
        <v>36132</v>
      </c>
      <c r="U2146" s="4" t="s">
        <v>36133</v>
      </c>
      <c r="V2146" s="4" t="s">
        <v>36134</v>
      </c>
      <c r="W2146" s="4" t="s">
        <v>36135</v>
      </c>
      <c r="X2146" s="4" t="s">
        <v>36136</v>
      </c>
      <c r="Y2146" s="4" t="s">
        <v>36137</v>
      </c>
      <c r="Z2146" s="4" t="s">
        <v>24913</v>
      </c>
      <c r="AA2146" s="4" t="s">
        <v>36138</v>
      </c>
      <c r="AB2146" s="4" t="s">
        <v>36139</v>
      </c>
      <c r="AC2146" s="4" t="s">
        <v>36140</v>
      </c>
      <c r="AD2146" s="4" t="s">
        <v>36141</v>
      </c>
      <c r="AE2146" s="4" t="s">
        <v>36142</v>
      </c>
      <c r="AF2146" s="4"/>
      <c r="AG2146" s="4" t="n">
        <v>88</v>
      </c>
      <c r="AH2146" s="4" t="n">
        <v>4</v>
      </c>
      <c r="AI2146" s="4" t="n">
        <v>4</v>
      </c>
      <c r="AJ2146" s="4" t="n">
        <v>0</v>
      </c>
      <c r="AK2146" s="4" t="n">
        <v>10</v>
      </c>
      <c r="AL2146" s="4" t="s">
        <v>782</v>
      </c>
      <c r="AM2146" s="4" t="s">
        <v>783</v>
      </c>
      <c r="AN2146" s="4" t="s">
        <v>784</v>
      </c>
      <c r="AO2146" s="4" t="s">
        <v>30712</v>
      </c>
      <c r="AP2146" s="4" t="s">
        <v>30713</v>
      </c>
      <c r="AQ2146" s="4"/>
      <c r="AR2146" s="4" t="s">
        <v>30714</v>
      </c>
      <c r="AS2146" s="4" t="s">
        <v>30715</v>
      </c>
      <c r="AT2146" s="4" t="s">
        <v>185</v>
      </c>
      <c r="AU2146" s="4" t="n">
        <v>2023</v>
      </c>
      <c r="AV2146" s="4" t="n">
        <v>61</v>
      </c>
      <c r="AW2146" s="4"/>
      <c r="AX2146" s="4"/>
      <c r="AY2146" s="4"/>
      <c r="AZ2146" s="4"/>
      <c r="BA2146" s="4"/>
      <c r="BB2146" s="4"/>
      <c r="BC2146" s="4"/>
      <c r="BD2146" s="4" t="n">
        <v>101335</v>
      </c>
      <c r="BE2146" s="4" t="s">
        <v>36143</v>
      </c>
      <c r="BF2146" s="4" t="str">
        <f aca="false">HYPERLINK("http://dx.doi.org/10.1016/j.coviro.2023.101335","http://dx.doi.org/10.1016/j.coviro.2023.101335")</f>
        <v>http://dx.doi.org/10.1016/j.coviro.2023.101335</v>
      </c>
      <c r="BG2146" s="4"/>
      <c r="BH2146" s="4" t="s">
        <v>18182</v>
      </c>
      <c r="BI2146" s="4" t="n">
        <v>8</v>
      </c>
      <c r="BJ2146" s="4" t="s">
        <v>163</v>
      </c>
      <c r="BK2146" s="4" t="s">
        <v>100</v>
      </c>
      <c r="BL2146" s="4" t="s">
        <v>163</v>
      </c>
      <c r="BM2146" s="4" t="s">
        <v>36144</v>
      </c>
      <c r="BN2146" s="4" t="n">
        <v>37307646</v>
      </c>
      <c r="BO2146" s="4" t="s">
        <v>2278</v>
      </c>
      <c r="BP2146" s="4"/>
      <c r="BQ2146" s="4"/>
      <c r="BR2146" s="4" t="s">
        <v>104</v>
      </c>
      <c r="BS2146" s="4" t="s">
        <v>36145</v>
      </c>
      <c r="BT2146" s="4" t="str">
        <f aca="false">HYPERLINK("https%3A%2F%2Fwww.webofscience.com%2Fwos%2Fwoscc%2Ffull-record%2FWOS:001022888700001","View Full Record in Web of Science")</f>
        <v>View Full Record in Web of Science</v>
      </c>
    </row>
    <row r="2147" s="5" customFormat="true" ht="12.75" hidden="false" customHeight="false" outlineLevel="0" collapsed="false">
      <c r="A2147" s="4" t="s">
        <v>72</v>
      </c>
      <c r="B2147" s="4" t="s">
        <v>36146</v>
      </c>
      <c r="C2147" s="4"/>
      <c r="D2147" s="4"/>
      <c r="E2147" s="4"/>
      <c r="F2147" s="4" t="s">
        <v>36147</v>
      </c>
      <c r="G2147" s="4"/>
      <c r="H2147" s="4"/>
      <c r="I2147" s="4" t="s">
        <v>36148</v>
      </c>
      <c r="J2147" s="4" t="s">
        <v>36149</v>
      </c>
      <c r="K2147" s="4"/>
      <c r="L2147" s="4"/>
      <c r="M2147" s="4" t="s">
        <v>77</v>
      </c>
      <c r="N2147" s="4" t="s">
        <v>78</v>
      </c>
      <c r="O2147" s="4"/>
      <c r="P2147" s="4"/>
      <c r="Q2147" s="4"/>
      <c r="R2147" s="4"/>
      <c r="S2147" s="4"/>
      <c r="T2147" s="1" t="s">
        <v>36150</v>
      </c>
      <c r="U2147" s="4" t="s">
        <v>36151</v>
      </c>
      <c r="V2147" s="4" t="s">
        <v>36152</v>
      </c>
      <c r="W2147" s="4" t="s">
        <v>36153</v>
      </c>
      <c r="X2147" s="4" t="s">
        <v>36154</v>
      </c>
      <c r="Y2147" s="4" t="s">
        <v>36155</v>
      </c>
      <c r="Z2147" s="4" t="s">
        <v>36156</v>
      </c>
      <c r="AA2147" s="4" t="s">
        <v>36157</v>
      </c>
      <c r="AB2147" s="4" t="s">
        <v>36158</v>
      </c>
      <c r="AC2147" s="4" t="s">
        <v>36159</v>
      </c>
      <c r="AD2147" s="4" t="s">
        <v>36160</v>
      </c>
      <c r="AE2147" s="4" t="s">
        <v>36161</v>
      </c>
      <c r="AF2147" s="4"/>
      <c r="AG2147" s="4" t="n">
        <v>73</v>
      </c>
      <c r="AH2147" s="4" t="n">
        <v>330</v>
      </c>
      <c r="AI2147" s="4" t="n">
        <v>360</v>
      </c>
      <c r="AJ2147" s="4" t="n">
        <v>7</v>
      </c>
      <c r="AK2147" s="4" t="n">
        <v>83</v>
      </c>
      <c r="AL2147" s="4" t="s">
        <v>1704</v>
      </c>
      <c r="AM2147" s="4" t="s">
        <v>1705</v>
      </c>
      <c r="AN2147" s="4" t="s">
        <v>1706</v>
      </c>
      <c r="AO2147" s="4" t="s">
        <v>36162</v>
      </c>
      <c r="AP2147" s="4" t="s">
        <v>36163</v>
      </c>
      <c r="AQ2147" s="4"/>
      <c r="AR2147" s="4" t="s">
        <v>36149</v>
      </c>
      <c r="AS2147" s="4" t="s">
        <v>36164</v>
      </c>
      <c r="AT2147" s="4" t="s">
        <v>17720</v>
      </c>
      <c r="AU2147" s="4" t="n">
        <v>2020</v>
      </c>
      <c r="AV2147" s="4" t="n">
        <v>181</v>
      </c>
      <c r="AW2147" s="4" t="n">
        <v>7</v>
      </c>
      <c r="AX2147" s="4"/>
      <c r="AY2147" s="4"/>
      <c r="AZ2147" s="4"/>
      <c r="BA2147" s="4"/>
      <c r="BB2147" s="4" t="n">
        <v>1475</v>
      </c>
      <c r="BC2147" s="4" t="s">
        <v>986</v>
      </c>
      <c r="BD2147" s="4"/>
      <c r="BE2147" s="4" t="s">
        <v>36165</v>
      </c>
      <c r="BF2147" s="4" t="str">
        <f aca="false">HYPERLINK("http://dx.doi.org/10.1016/j.cell.2020.05.006","http://dx.doi.org/10.1016/j.cell.2020.05.006")</f>
        <v>http://dx.doi.org/10.1016/j.cell.2020.05.006</v>
      </c>
      <c r="BG2147" s="4"/>
      <c r="BH2147" s="4"/>
      <c r="BI2147" s="4" t="n">
        <v>26</v>
      </c>
      <c r="BJ2147" s="4" t="s">
        <v>36166</v>
      </c>
      <c r="BK2147" s="4" t="s">
        <v>100</v>
      </c>
      <c r="BL2147" s="4" t="s">
        <v>36166</v>
      </c>
      <c r="BM2147" s="4" t="s">
        <v>36167</v>
      </c>
      <c r="BN2147" s="4" t="n">
        <v>32479746</v>
      </c>
      <c r="BO2147" s="4" t="s">
        <v>538</v>
      </c>
      <c r="BP2147" s="4" t="s">
        <v>1921</v>
      </c>
      <c r="BQ2147" s="4" t="s">
        <v>1922</v>
      </c>
      <c r="BR2147" s="4" t="s">
        <v>104</v>
      </c>
      <c r="BS2147" s="4" t="s">
        <v>36168</v>
      </c>
      <c r="BT2147" s="4" t="str">
        <f aca="false">HYPERLINK("https%3A%2F%2Fwww.webofscience.com%2Fwos%2Fwoscc%2Ffull-record%2FWOS:000543822100008","View Full Record in Web of Science")</f>
        <v>View Full Record in Web of Science</v>
      </c>
    </row>
    <row r="2148" s="5" customFormat="true" ht="12.75" hidden="false" customHeight="false" outlineLevel="0" collapsed="false">
      <c r="A2148" s="4" t="s">
        <v>72</v>
      </c>
      <c r="B2148" s="4" t="s">
        <v>36169</v>
      </c>
      <c r="C2148" s="4"/>
      <c r="D2148" s="4"/>
      <c r="E2148" s="4"/>
      <c r="F2148" s="4" t="s">
        <v>36170</v>
      </c>
      <c r="G2148" s="4"/>
      <c r="H2148" s="4"/>
      <c r="I2148" s="4" t="s">
        <v>36171</v>
      </c>
      <c r="J2148" s="4" t="s">
        <v>28246</v>
      </c>
      <c r="K2148" s="4"/>
      <c r="L2148" s="4"/>
      <c r="M2148" s="4" t="s">
        <v>77</v>
      </c>
      <c r="N2148" s="4" t="s">
        <v>78</v>
      </c>
      <c r="O2148" s="4"/>
      <c r="P2148" s="4"/>
      <c r="Q2148" s="4"/>
      <c r="R2148" s="4"/>
      <c r="S2148" s="4"/>
      <c r="T2148" s="1" t="s">
        <v>36172</v>
      </c>
      <c r="U2148" s="4" t="s">
        <v>36173</v>
      </c>
      <c r="V2148" s="4" t="s">
        <v>36174</v>
      </c>
      <c r="W2148" s="4" t="s">
        <v>36175</v>
      </c>
      <c r="X2148" s="4" t="s">
        <v>36176</v>
      </c>
      <c r="Y2148" s="4" t="s">
        <v>36177</v>
      </c>
      <c r="Z2148" s="4" t="s">
        <v>36178</v>
      </c>
      <c r="AA2148" s="4" t="s">
        <v>36179</v>
      </c>
      <c r="AB2148" s="4" t="s">
        <v>36180</v>
      </c>
      <c r="AC2148" s="4" t="s">
        <v>36181</v>
      </c>
      <c r="AD2148" s="4" t="s">
        <v>36182</v>
      </c>
      <c r="AE2148" s="4" t="s">
        <v>36183</v>
      </c>
      <c r="AF2148" s="4"/>
      <c r="AG2148" s="4" t="n">
        <v>38</v>
      </c>
      <c r="AH2148" s="4" t="n">
        <v>47</v>
      </c>
      <c r="AI2148" s="4" t="n">
        <v>55</v>
      </c>
      <c r="AJ2148" s="4" t="n">
        <v>0</v>
      </c>
      <c r="AK2148" s="4" t="n">
        <v>13</v>
      </c>
      <c r="AL2148" s="4" t="s">
        <v>12800</v>
      </c>
      <c r="AM2148" s="4" t="s">
        <v>303</v>
      </c>
      <c r="AN2148" s="4" t="s">
        <v>12801</v>
      </c>
      <c r="AO2148" s="4" t="s">
        <v>28255</v>
      </c>
      <c r="AP2148" s="4"/>
      <c r="AQ2148" s="4"/>
      <c r="AR2148" s="4" t="s">
        <v>28256</v>
      </c>
      <c r="AS2148" s="4" t="s">
        <v>28257</v>
      </c>
      <c r="AT2148" s="4" t="s">
        <v>804</v>
      </c>
      <c r="AU2148" s="4" t="n">
        <v>2015</v>
      </c>
      <c r="AV2148" s="4" t="n">
        <v>6</v>
      </c>
      <c r="AW2148" s="4"/>
      <c r="AX2148" s="4"/>
      <c r="AY2148" s="4"/>
      <c r="AZ2148" s="4"/>
      <c r="BA2148" s="4"/>
      <c r="BB2148" s="4"/>
      <c r="BC2148" s="4"/>
      <c r="BD2148" s="4" t="n">
        <v>8749</v>
      </c>
      <c r="BE2148" s="4" t="s">
        <v>36184</v>
      </c>
      <c r="BF2148" s="4" t="str">
        <f aca="false">HYPERLINK("http://dx.doi.org/10.1038/ncomms9749","http://dx.doi.org/10.1038/ncomms9749")</f>
        <v>http://dx.doi.org/10.1038/ncomms9749</v>
      </c>
      <c r="BG2148" s="4"/>
      <c r="BH2148" s="4"/>
      <c r="BI2148" s="4" t="n">
        <v>10</v>
      </c>
      <c r="BJ2148" s="4" t="s">
        <v>1658</v>
      </c>
      <c r="BK2148" s="4" t="s">
        <v>100</v>
      </c>
      <c r="BL2148" s="4" t="s">
        <v>1659</v>
      </c>
      <c r="BM2148" s="4" t="s">
        <v>36185</v>
      </c>
      <c r="BN2148" s="4" t="n">
        <v>26549102</v>
      </c>
      <c r="BO2148" s="4" t="s">
        <v>103</v>
      </c>
      <c r="BP2148" s="4"/>
      <c r="BQ2148" s="4"/>
      <c r="BR2148" s="4" t="s">
        <v>104</v>
      </c>
      <c r="BS2148" s="4" t="s">
        <v>36186</v>
      </c>
      <c r="BT2148" s="4" t="str">
        <f aca="false">HYPERLINK("https%3A%2F%2Fwww.webofscience.com%2Fwos%2Fwoscc%2Ffull-record%2FWOS:000366293300002","View Full Record in Web of Science")</f>
        <v>View Full Record in Web of Science</v>
      </c>
    </row>
    <row r="2149" s="5" customFormat="true" ht="12.75" hidden="false" customHeight="false" outlineLevel="0" collapsed="false">
      <c r="A2149" s="4" t="s">
        <v>72</v>
      </c>
      <c r="B2149" s="4" t="s">
        <v>36187</v>
      </c>
      <c r="C2149" s="4"/>
      <c r="D2149" s="4"/>
      <c r="E2149" s="4"/>
      <c r="F2149" s="4" t="s">
        <v>36188</v>
      </c>
      <c r="G2149" s="4"/>
      <c r="H2149" s="4"/>
      <c r="I2149" s="4" t="s">
        <v>36189</v>
      </c>
      <c r="J2149" s="4" t="s">
        <v>35501</v>
      </c>
      <c r="K2149" s="4"/>
      <c r="L2149" s="4"/>
      <c r="M2149" s="4" t="s">
        <v>77</v>
      </c>
      <c r="N2149" s="4" t="s">
        <v>78</v>
      </c>
      <c r="O2149" s="4"/>
      <c r="P2149" s="4"/>
      <c r="Q2149" s="4"/>
      <c r="R2149" s="4"/>
      <c r="S2149" s="4"/>
      <c r="T2149" s="1" t="s">
        <v>36190</v>
      </c>
      <c r="U2149" s="4" t="s">
        <v>36191</v>
      </c>
      <c r="V2149" s="4" t="s">
        <v>36192</v>
      </c>
      <c r="W2149" s="4" t="s">
        <v>36193</v>
      </c>
      <c r="X2149" s="4" t="s">
        <v>36194</v>
      </c>
      <c r="Y2149" s="4" t="s">
        <v>36195</v>
      </c>
      <c r="Z2149" s="4" t="s">
        <v>36196</v>
      </c>
      <c r="AA2149" s="4" t="s">
        <v>36197</v>
      </c>
      <c r="AB2149" s="4" t="s">
        <v>36198</v>
      </c>
      <c r="AC2149" s="4"/>
      <c r="AD2149" s="4"/>
      <c r="AE2149" s="4"/>
      <c r="AF2149" s="4"/>
      <c r="AG2149" s="4" t="n">
        <v>109</v>
      </c>
      <c r="AH2149" s="4" t="n">
        <v>61</v>
      </c>
      <c r="AI2149" s="4" t="n">
        <v>62</v>
      </c>
      <c r="AJ2149" s="4" t="n">
        <v>1</v>
      </c>
      <c r="AK2149" s="4" t="n">
        <v>8</v>
      </c>
      <c r="AL2149" s="4" t="s">
        <v>35511</v>
      </c>
      <c r="AM2149" s="4" t="s">
        <v>35512</v>
      </c>
      <c r="AN2149" s="4" t="s">
        <v>35513</v>
      </c>
      <c r="AO2149" s="4" t="s">
        <v>35514</v>
      </c>
      <c r="AP2149" s="4" t="s">
        <v>35515</v>
      </c>
      <c r="AQ2149" s="4"/>
      <c r="AR2149" s="4" t="s">
        <v>35516</v>
      </c>
      <c r="AS2149" s="4" t="s">
        <v>35517</v>
      </c>
      <c r="AT2149" s="4" t="s">
        <v>185</v>
      </c>
      <c r="AU2149" s="4" t="n">
        <v>2020</v>
      </c>
      <c r="AV2149" s="4" t="n">
        <v>144</v>
      </c>
      <c r="AW2149" s="4" t="n">
        <v>8</v>
      </c>
      <c r="AX2149" s="4"/>
      <c r="AY2149" s="4"/>
      <c r="AZ2149" s="4"/>
      <c r="BA2149" s="4"/>
      <c r="BB2149" s="4" t="n">
        <v>920</v>
      </c>
      <c r="BC2149" s="4" t="n">
        <v>928</v>
      </c>
      <c r="BD2149" s="4"/>
      <c r="BE2149" s="4" t="s">
        <v>36199</v>
      </c>
      <c r="BF2149" s="4" t="str">
        <f aca="false">HYPERLINK("http://dx.doi.org/10.5858/arpa.2020-0211-SA","http://dx.doi.org/10.5858/arpa.2020-0211-SA")</f>
        <v>http://dx.doi.org/10.5858/arpa.2020-0211-SA</v>
      </c>
      <c r="BG2149" s="4"/>
      <c r="BH2149" s="4"/>
      <c r="BI2149" s="4" t="n">
        <v>9</v>
      </c>
      <c r="BJ2149" s="4" t="s">
        <v>35519</v>
      </c>
      <c r="BK2149" s="4" t="s">
        <v>100</v>
      </c>
      <c r="BL2149" s="4" t="s">
        <v>35520</v>
      </c>
      <c r="BM2149" s="4" t="s">
        <v>36200</v>
      </c>
      <c r="BN2149" s="4" t="n">
        <v>32338533</v>
      </c>
      <c r="BO2149" s="4" t="s">
        <v>1355</v>
      </c>
      <c r="BP2149" s="4"/>
      <c r="BQ2149" s="4"/>
      <c r="BR2149" s="4" t="s">
        <v>104</v>
      </c>
      <c r="BS2149" s="4" t="s">
        <v>36201</v>
      </c>
      <c r="BT2149" s="4" t="str">
        <f aca="false">HYPERLINK("https%3A%2F%2Fwww.webofscience.com%2Fwos%2Fwoscc%2Ffull-record%2FWOS:000556834900005","View Full Record in Web of Science")</f>
        <v>View Full Record in Web of Science</v>
      </c>
    </row>
    <row r="2150" s="5" customFormat="true" ht="12.75" hidden="false" customHeight="false" outlineLevel="0" collapsed="false">
      <c r="A2150" s="4" t="s">
        <v>72</v>
      </c>
      <c r="B2150" s="4" t="s">
        <v>36202</v>
      </c>
      <c r="C2150" s="4"/>
      <c r="D2150" s="4"/>
      <c r="E2150" s="4"/>
      <c r="F2150" s="4" t="s">
        <v>36202</v>
      </c>
      <c r="G2150" s="4"/>
      <c r="H2150" s="4"/>
      <c r="I2150" s="4" t="s">
        <v>36203</v>
      </c>
      <c r="J2150" s="4" t="s">
        <v>742</v>
      </c>
      <c r="K2150" s="4"/>
      <c r="L2150" s="4"/>
      <c r="M2150" s="4" t="s">
        <v>77</v>
      </c>
      <c r="N2150" s="4" t="s">
        <v>78</v>
      </c>
      <c r="O2150" s="4"/>
      <c r="P2150" s="4"/>
      <c r="Q2150" s="4"/>
      <c r="R2150" s="4"/>
      <c r="S2150" s="4"/>
      <c r="T2150" s="1" t="s">
        <v>36204</v>
      </c>
      <c r="U2150" s="4" t="s">
        <v>36205</v>
      </c>
      <c r="V2150" s="4" t="s">
        <v>36206</v>
      </c>
      <c r="W2150" s="4" t="s">
        <v>36207</v>
      </c>
      <c r="X2150" s="4" t="s">
        <v>36208</v>
      </c>
      <c r="Y2150" s="4" t="s">
        <v>29322</v>
      </c>
      <c r="Z2150" s="4" t="s">
        <v>29323</v>
      </c>
      <c r="AA2150" s="4" t="s">
        <v>14068</v>
      </c>
      <c r="AB2150" s="4" t="s">
        <v>36209</v>
      </c>
      <c r="AC2150" s="4"/>
      <c r="AD2150" s="4"/>
      <c r="AE2150" s="4"/>
      <c r="AF2150" s="4"/>
      <c r="AG2150" s="4" t="n">
        <v>37</v>
      </c>
      <c r="AH2150" s="4" t="n">
        <v>32</v>
      </c>
      <c r="AI2150" s="4" t="n">
        <v>42</v>
      </c>
      <c r="AJ2150" s="4" t="n">
        <v>1</v>
      </c>
      <c r="AK2150" s="4" t="n">
        <v>5</v>
      </c>
      <c r="AL2150" s="4" t="s">
        <v>755</v>
      </c>
      <c r="AM2150" s="4" t="s">
        <v>273</v>
      </c>
      <c r="AN2150" s="4" t="s">
        <v>756</v>
      </c>
      <c r="AO2150" s="4" t="s">
        <v>757</v>
      </c>
      <c r="AP2150" s="4"/>
      <c r="AQ2150" s="4"/>
      <c r="AR2150" s="4" t="s">
        <v>759</v>
      </c>
      <c r="AS2150" s="4" t="s">
        <v>760</v>
      </c>
      <c r="AT2150" s="4" t="s">
        <v>390</v>
      </c>
      <c r="AU2150" s="4" t="n">
        <v>2006</v>
      </c>
      <c r="AV2150" s="4" t="n">
        <v>80</v>
      </c>
      <c r="AW2150" s="4" t="n">
        <v>9</v>
      </c>
      <c r="AX2150" s="4"/>
      <c r="AY2150" s="4"/>
      <c r="AZ2150" s="4"/>
      <c r="BA2150" s="4"/>
      <c r="BB2150" s="4" t="n">
        <v>4242</v>
      </c>
      <c r="BC2150" s="4" t="n">
        <v>4248</v>
      </c>
      <c r="BD2150" s="4"/>
      <c r="BE2150" s="4" t="s">
        <v>36210</v>
      </c>
      <c r="BF2150" s="4" t="str">
        <f aca="false">HYPERLINK("http://dx.doi.org/10.1128/JVI.80.9.4242-4248.2006","http://dx.doi.org/10.1128/JVI.80.9.4242-4248.2006")</f>
        <v>http://dx.doi.org/10.1128/JVI.80.9.4242-4248.2006</v>
      </c>
      <c r="BG2150" s="4"/>
      <c r="BH2150" s="4"/>
      <c r="BI2150" s="4" t="n">
        <v>7</v>
      </c>
      <c r="BJ2150" s="4" t="s">
        <v>163</v>
      </c>
      <c r="BK2150" s="4" t="s">
        <v>100</v>
      </c>
      <c r="BL2150" s="4" t="s">
        <v>163</v>
      </c>
      <c r="BM2150" s="4" t="s">
        <v>36211</v>
      </c>
      <c r="BN2150" s="4" t="n">
        <v>16611883</v>
      </c>
      <c r="BO2150" s="4" t="s">
        <v>165</v>
      </c>
      <c r="BP2150" s="4"/>
      <c r="BQ2150" s="4"/>
      <c r="BR2150" s="4" t="s">
        <v>104</v>
      </c>
      <c r="BS2150" s="4" t="s">
        <v>36212</v>
      </c>
      <c r="BT2150" s="4" t="str">
        <f aca="false">HYPERLINK("https%3A%2F%2Fwww.webofscience.com%2Fwos%2Fwoscc%2Ffull-record%2FWOS:000236980000004","View Full Record in Web of Science")</f>
        <v>View Full Record in Web of Science</v>
      </c>
    </row>
    <row r="2151" s="5" customFormat="true" ht="12.75" hidden="false" customHeight="false" outlineLevel="0" collapsed="false">
      <c r="A2151" s="4" t="s">
        <v>72</v>
      </c>
      <c r="B2151" s="4" t="s">
        <v>36213</v>
      </c>
      <c r="C2151" s="4"/>
      <c r="D2151" s="4"/>
      <c r="E2151" s="4"/>
      <c r="F2151" s="4" t="s">
        <v>36214</v>
      </c>
      <c r="G2151" s="4"/>
      <c r="H2151" s="4"/>
      <c r="I2151" s="4" t="s">
        <v>36215</v>
      </c>
      <c r="J2151" s="4" t="s">
        <v>28246</v>
      </c>
      <c r="K2151" s="4"/>
      <c r="L2151" s="4"/>
      <c r="M2151" s="4" t="s">
        <v>77</v>
      </c>
      <c r="N2151" s="4" t="s">
        <v>78</v>
      </c>
      <c r="O2151" s="4"/>
      <c r="P2151" s="4"/>
      <c r="Q2151" s="4"/>
      <c r="R2151" s="4"/>
      <c r="S2151" s="4"/>
      <c r="T2151" s="1" t="s">
        <v>36216</v>
      </c>
      <c r="U2151" s="4" t="s">
        <v>36217</v>
      </c>
      <c r="V2151" s="4" t="s">
        <v>36218</v>
      </c>
      <c r="W2151" s="4" t="s">
        <v>36219</v>
      </c>
      <c r="X2151" s="4" t="s">
        <v>36220</v>
      </c>
      <c r="Y2151" s="4" t="s">
        <v>36221</v>
      </c>
      <c r="Z2151" s="4" t="s">
        <v>36222</v>
      </c>
      <c r="AA2151" s="4" t="s">
        <v>36223</v>
      </c>
      <c r="AB2151" s="4" t="s">
        <v>36224</v>
      </c>
      <c r="AC2151" s="4" t="s">
        <v>36225</v>
      </c>
      <c r="AD2151" s="4" t="s">
        <v>36226</v>
      </c>
      <c r="AE2151" s="4" t="s">
        <v>36227</v>
      </c>
      <c r="AF2151" s="4"/>
      <c r="AG2151" s="4" t="n">
        <v>66</v>
      </c>
      <c r="AH2151" s="4" t="n">
        <v>16</v>
      </c>
      <c r="AI2151" s="4" t="n">
        <v>16</v>
      </c>
      <c r="AJ2151" s="4" t="n">
        <v>5</v>
      </c>
      <c r="AK2151" s="4" t="n">
        <v>23</v>
      </c>
      <c r="AL2151" s="4" t="s">
        <v>6405</v>
      </c>
      <c r="AM2151" s="4" t="s">
        <v>6406</v>
      </c>
      <c r="AN2151" s="4" t="s">
        <v>6407</v>
      </c>
      <c r="AO2151" s="4"/>
      <c r="AP2151" s="4" t="s">
        <v>28255</v>
      </c>
      <c r="AQ2151" s="4"/>
      <c r="AR2151" s="4" t="s">
        <v>28256</v>
      </c>
      <c r="AS2151" s="4" t="s">
        <v>28257</v>
      </c>
      <c r="AT2151" s="4" t="s">
        <v>5011</v>
      </c>
      <c r="AU2151" s="4" t="n">
        <v>2021</v>
      </c>
      <c r="AV2151" s="4" t="n">
        <v>12</v>
      </c>
      <c r="AW2151" s="4" t="n">
        <v>1</v>
      </c>
      <c r="AX2151" s="4"/>
      <c r="AY2151" s="4"/>
      <c r="AZ2151" s="4"/>
      <c r="BA2151" s="4"/>
      <c r="BB2151" s="4"/>
      <c r="BC2151" s="4"/>
      <c r="BD2151" s="4" t="n">
        <v>222</v>
      </c>
      <c r="BE2151" s="4" t="s">
        <v>36228</v>
      </c>
      <c r="BF2151" s="4" t="str">
        <f aca="false">HYPERLINK("http://dx.doi.org/10.1038/s41467-020-20399-3","http://dx.doi.org/10.1038/s41467-020-20399-3")</f>
        <v>http://dx.doi.org/10.1038/s41467-020-20399-3</v>
      </c>
      <c r="BG2151" s="4"/>
      <c r="BH2151" s="4"/>
      <c r="BI2151" s="4" t="n">
        <v>10</v>
      </c>
      <c r="BJ2151" s="4" t="s">
        <v>1658</v>
      </c>
      <c r="BK2151" s="4" t="s">
        <v>100</v>
      </c>
      <c r="BL2151" s="4" t="s">
        <v>1659</v>
      </c>
      <c r="BM2151" s="4" t="s">
        <v>36229</v>
      </c>
      <c r="BN2151" s="4" t="n">
        <v>33431854</v>
      </c>
      <c r="BO2151" s="4" t="s">
        <v>103</v>
      </c>
      <c r="BP2151" s="4"/>
      <c r="BQ2151" s="4"/>
      <c r="BR2151" s="4" t="s">
        <v>104</v>
      </c>
      <c r="BS2151" s="4" t="s">
        <v>36230</v>
      </c>
      <c r="BT2151" s="4" t="str">
        <f aca="false">HYPERLINK("https%3A%2F%2Fwww.webofscience.com%2Fwos%2Fwoscc%2Ffull-record%2FWOS:000670283600007","View Full Record in Web of Science")</f>
        <v>View Full Record in Web of Science</v>
      </c>
    </row>
    <row r="2152" s="5" customFormat="true" ht="12.75" hidden="false" customHeight="false" outlineLevel="0" collapsed="false">
      <c r="A2152" s="4" t="s">
        <v>72</v>
      </c>
      <c r="B2152" s="4" t="s">
        <v>36231</v>
      </c>
      <c r="C2152" s="4"/>
      <c r="D2152" s="4"/>
      <c r="E2152" s="4"/>
      <c r="F2152" s="4" t="s">
        <v>36232</v>
      </c>
      <c r="G2152" s="4"/>
      <c r="H2152" s="4"/>
      <c r="I2152" s="4" t="s">
        <v>36233</v>
      </c>
      <c r="J2152" s="4" t="s">
        <v>742</v>
      </c>
      <c r="K2152" s="4"/>
      <c r="L2152" s="4"/>
      <c r="M2152" s="4" t="s">
        <v>77</v>
      </c>
      <c r="N2152" s="4" t="s">
        <v>78</v>
      </c>
      <c r="O2152" s="4"/>
      <c r="P2152" s="4"/>
      <c r="Q2152" s="4"/>
      <c r="R2152" s="4"/>
      <c r="S2152" s="4"/>
      <c r="T2152" s="1" t="s">
        <v>36234</v>
      </c>
      <c r="U2152" s="4" t="s">
        <v>36235</v>
      </c>
      <c r="V2152" s="4" t="s">
        <v>36236</v>
      </c>
      <c r="W2152" s="4" t="s">
        <v>36237</v>
      </c>
      <c r="X2152" s="4" t="s">
        <v>36238</v>
      </c>
      <c r="Y2152" s="4" t="s">
        <v>36239</v>
      </c>
      <c r="Z2152" s="4" t="s">
        <v>8056</v>
      </c>
      <c r="AA2152" s="4" t="s">
        <v>36240</v>
      </c>
      <c r="AB2152" s="4"/>
      <c r="AC2152" s="4" t="s">
        <v>36241</v>
      </c>
      <c r="AD2152" s="4" t="s">
        <v>36242</v>
      </c>
      <c r="AE2152" s="4"/>
      <c r="AF2152" s="4"/>
      <c r="AG2152" s="4" t="n">
        <v>59</v>
      </c>
      <c r="AH2152" s="4" t="n">
        <v>139</v>
      </c>
      <c r="AI2152" s="4" t="n">
        <v>171</v>
      </c>
      <c r="AJ2152" s="4" t="n">
        <v>0</v>
      </c>
      <c r="AK2152" s="4" t="n">
        <v>6</v>
      </c>
      <c r="AL2152" s="4" t="s">
        <v>755</v>
      </c>
      <c r="AM2152" s="4" t="s">
        <v>273</v>
      </c>
      <c r="AN2152" s="4" t="s">
        <v>756</v>
      </c>
      <c r="AO2152" s="4" t="s">
        <v>757</v>
      </c>
      <c r="AP2152" s="4" t="s">
        <v>758</v>
      </c>
      <c r="AQ2152" s="4"/>
      <c r="AR2152" s="4" t="s">
        <v>759</v>
      </c>
      <c r="AS2152" s="4" t="s">
        <v>760</v>
      </c>
      <c r="AT2152" s="4" t="s">
        <v>129</v>
      </c>
      <c r="AU2152" s="4" t="n">
        <v>2007</v>
      </c>
      <c r="AV2152" s="4" t="n">
        <v>81</v>
      </c>
      <c r="AW2152" s="4" t="n">
        <v>18</v>
      </c>
      <c r="AX2152" s="4"/>
      <c r="AY2152" s="4"/>
      <c r="AZ2152" s="4"/>
      <c r="BA2152" s="4"/>
      <c r="BB2152" s="4" t="n">
        <v>9790</v>
      </c>
      <c r="BC2152" s="4" t="n">
        <v>9800</v>
      </c>
      <c r="BD2152" s="4"/>
      <c r="BE2152" s="4" t="s">
        <v>36243</v>
      </c>
      <c r="BF2152" s="4" t="str">
        <f aca="false">HYPERLINK("http://dx.doi.org/10.1128/JVI.00530-07","http://dx.doi.org/10.1128/JVI.00530-07")</f>
        <v>http://dx.doi.org/10.1128/JVI.00530-07</v>
      </c>
      <c r="BG2152" s="4"/>
      <c r="BH2152" s="4"/>
      <c r="BI2152" s="4" t="n">
        <v>11</v>
      </c>
      <c r="BJ2152" s="4" t="s">
        <v>163</v>
      </c>
      <c r="BK2152" s="4" t="s">
        <v>100</v>
      </c>
      <c r="BL2152" s="4" t="s">
        <v>163</v>
      </c>
      <c r="BM2152" s="4" t="s">
        <v>36244</v>
      </c>
      <c r="BN2152" s="4" t="n">
        <v>17626092</v>
      </c>
      <c r="BO2152" s="4" t="s">
        <v>165</v>
      </c>
      <c r="BP2152" s="4"/>
      <c r="BQ2152" s="4"/>
      <c r="BR2152" s="4" t="s">
        <v>104</v>
      </c>
      <c r="BS2152" s="4" t="s">
        <v>36245</v>
      </c>
      <c r="BT2152" s="4" t="str">
        <f aca="false">HYPERLINK("https%3A%2F%2Fwww.webofscience.com%2Fwos%2Fwoscc%2Ffull-record%2FWOS:000249315200017","View Full Record in Web of Science")</f>
        <v>View Full Record in Web of Science</v>
      </c>
    </row>
    <row r="2153" s="5" customFormat="true" ht="12.75" hidden="false" customHeight="false" outlineLevel="0" collapsed="false">
      <c r="A2153" s="4" t="s">
        <v>72</v>
      </c>
      <c r="B2153" s="4" t="s">
        <v>36246</v>
      </c>
      <c r="C2153" s="4"/>
      <c r="D2153" s="4"/>
      <c r="E2153" s="4"/>
      <c r="F2153" s="4" t="s">
        <v>36247</v>
      </c>
      <c r="G2153" s="4"/>
      <c r="H2153" s="4"/>
      <c r="I2153" s="4" t="s">
        <v>36248</v>
      </c>
      <c r="J2153" s="4" t="s">
        <v>2222</v>
      </c>
      <c r="K2153" s="4"/>
      <c r="L2153" s="4"/>
      <c r="M2153" s="4" t="s">
        <v>77</v>
      </c>
      <c r="N2153" s="4" t="s">
        <v>78</v>
      </c>
      <c r="O2153" s="4"/>
      <c r="P2153" s="4"/>
      <c r="Q2153" s="4"/>
      <c r="R2153" s="4"/>
      <c r="S2153" s="4"/>
      <c r="T2153" s="1" t="s">
        <v>36249</v>
      </c>
      <c r="U2153" s="4" t="s">
        <v>36250</v>
      </c>
      <c r="V2153" s="4" t="s">
        <v>36251</v>
      </c>
      <c r="W2153" s="4" t="s">
        <v>36252</v>
      </c>
      <c r="X2153" s="4" t="s">
        <v>27442</v>
      </c>
      <c r="Y2153" s="4" t="s">
        <v>36253</v>
      </c>
      <c r="Z2153" s="4" t="s">
        <v>36254</v>
      </c>
      <c r="AA2153" s="4"/>
      <c r="AB2153" s="4"/>
      <c r="AC2153" s="4" t="s">
        <v>36255</v>
      </c>
      <c r="AD2153" s="4" t="s">
        <v>36256</v>
      </c>
      <c r="AE2153" s="4" t="s">
        <v>36257</v>
      </c>
      <c r="AF2153" s="4"/>
      <c r="AG2153" s="4" t="n">
        <v>38</v>
      </c>
      <c r="AH2153" s="4" t="n">
        <v>15</v>
      </c>
      <c r="AI2153" s="4" t="n">
        <v>15</v>
      </c>
      <c r="AJ2153" s="4" t="n">
        <v>0</v>
      </c>
      <c r="AK2153" s="4" t="n">
        <v>2</v>
      </c>
      <c r="AL2153" s="4" t="s">
        <v>755</v>
      </c>
      <c r="AM2153" s="4" t="s">
        <v>273</v>
      </c>
      <c r="AN2153" s="4" t="s">
        <v>756</v>
      </c>
      <c r="AO2153" s="4" t="s">
        <v>2234</v>
      </c>
      <c r="AP2153" s="4"/>
      <c r="AQ2153" s="4"/>
      <c r="AR2153" s="4" t="s">
        <v>2236</v>
      </c>
      <c r="AS2153" s="4" t="s">
        <v>2237</v>
      </c>
      <c r="AT2153" s="4" t="s">
        <v>446</v>
      </c>
      <c r="AU2153" s="4" t="n">
        <v>2009</v>
      </c>
      <c r="AV2153" s="4" t="n">
        <v>47</v>
      </c>
      <c r="AW2153" s="4" t="n">
        <v>12</v>
      </c>
      <c r="AX2153" s="4"/>
      <c r="AY2153" s="4"/>
      <c r="AZ2153" s="4"/>
      <c r="BA2153" s="4"/>
      <c r="BB2153" s="4" t="n">
        <v>3839</v>
      </c>
      <c r="BC2153" s="4" t="n">
        <v>3845</v>
      </c>
      <c r="BD2153" s="4"/>
      <c r="BE2153" s="4" t="s">
        <v>36258</v>
      </c>
      <c r="BF2153" s="4" t="str">
        <f aca="false">HYPERLINK("http://dx.doi.org/10.1128/JCM.01469-09","http://dx.doi.org/10.1128/JCM.01469-09")</f>
        <v>http://dx.doi.org/10.1128/JCM.01469-09</v>
      </c>
      <c r="BG2153" s="4"/>
      <c r="BH2153" s="4"/>
      <c r="BI2153" s="4" t="n">
        <v>7</v>
      </c>
      <c r="BJ2153" s="4" t="s">
        <v>211</v>
      </c>
      <c r="BK2153" s="4" t="s">
        <v>100</v>
      </c>
      <c r="BL2153" s="4" t="s">
        <v>211</v>
      </c>
      <c r="BM2153" s="4" t="s">
        <v>36259</v>
      </c>
      <c r="BN2153" s="4" t="n">
        <v>19828744</v>
      </c>
      <c r="BO2153" s="4" t="s">
        <v>165</v>
      </c>
      <c r="BP2153" s="4"/>
      <c r="BQ2153" s="4"/>
      <c r="BR2153" s="4" t="s">
        <v>104</v>
      </c>
      <c r="BS2153" s="4" t="s">
        <v>36260</v>
      </c>
      <c r="BT2153" s="4" t="str">
        <f aca="false">HYPERLINK("https%3A%2F%2Fwww.webofscience.com%2Fwos%2Fwoscc%2Ffull-record%2FWOS:000272230500007","View Full Record in Web of Science")</f>
        <v>View Full Record in Web of Science</v>
      </c>
    </row>
    <row r="2154" s="5" customFormat="true" ht="12.75" hidden="false" customHeight="false" outlineLevel="0" collapsed="false">
      <c r="A2154" s="4" t="s">
        <v>72</v>
      </c>
      <c r="B2154" s="4" t="s">
        <v>36261</v>
      </c>
      <c r="C2154" s="4"/>
      <c r="D2154" s="4"/>
      <c r="E2154" s="4"/>
      <c r="F2154" s="4" t="s">
        <v>36262</v>
      </c>
      <c r="G2154" s="4"/>
      <c r="H2154" s="4"/>
      <c r="I2154" s="4" t="s">
        <v>36263</v>
      </c>
      <c r="J2154" s="4" t="s">
        <v>742</v>
      </c>
      <c r="K2154" s="4"/>
      <c r="L2154" s="4"/>
      <c r="M2154" s="4" t="s">
        <v>77</v>
      </c>
      <c r="N2154" s="4" t="s">
        <v>78</v>
      </c>
      <c r="O2154" s="4"/>
      <c r="P2154" s="4"/>
      <c r="Q2154" s="4"/>
      <c r="R2154" s="4"/>
      <c r="S2154" s="4"/>
      <c r="T2154" s="1" t="s">
        <v>36264</v>
      </c>
      <c r="U2154" s="4" t="s">
        <v>36265</v>
      </c>
      <c r="V2154" s="4" t="s">
        <v>36266</v>
      </c>
      <c r="W2154" s="4" t="s">
        <v>36267</v>
      </c>
      <c r="X2154" s="4" t="s">
        <v>36268</v>
      </c>
      <c r="Y2154" s="4" t="s">
        <v>36269</v>
      </c>
      <c r="Z2154" s="4" t="s">
        <v>36270</v>
      </c>
      <c r="AA2154" s="4" t="s">
        <v>36271</v>
      </c>
      <c r="AB2154" s="4" t="s">
        <v>36272</v>
      </c>
      <c r="AC2154" s="4" t="s">
        <v>36273</v>
      </c>
      <c r="AD2154" s="4" t="s">
        <v>36274</v>
      </c>
      <c r="AE2154" s="4" t="s">
        <v>36275</v>
      </c>
      <c r="AF2154" s="4"/>
      <c r="AG2154" s="4" t="n">
        <v>42</v>
      </c>
      <c r="AH2154" s="4" t="n">
        <v>19</v>
      </c>
      <c r="AI2154" s="4" t="n">
        <v>30</v>
      </c>
      <c r="AJ2154" s="4" t="n">
        <v>0</v>
      </c>
      <c r="AK2154" s="4" t="n">
        <v>9</v>
      </c>
      <c r="AL2154" s="4" t="s">
        <v>755</v>
      </c>
      <c r="AM2154" s="4" t="s">
        <v>273</v>
      </c>
      <c r="AN2154" s="4" t="s">
        <v>756</v>
      </c>
      <c r="AO2154" s="4" t="s">
        <v>757</v>
      </c>
      <c r="AP2154" s="4" t="s">
        <v>758</v>
      </c>
      <c r="AQ2154" s="4"/>
      <c r="AR2154" s="4" t="s">
        <v>759</v>
      </c>
      <c r="AS2154" s="4" t="s">
        <v>760</v>
      </c>
      <c r="AT2154" s="4" t="s">
        <v>161</v>
      </c>
      <c r="AU2154" s="4" t="n">
        <v>2016</v>
      </c>
      <c r="AV2154" s="4" t="n">
        <v>90</v>
      </c>
      <c r="AW2154" s="4" t="n">
        <v>1</v>
      </c>
      <c r="AX2154" s="4"/>
      <c r="AY2154" s="4"/>
      <c r="AZ2154" s="4"/>
      <c r="BA2154" s="4"/>
      <c r="BB2154" s="4" t="n">
        <v>245</v>
      </c>
      <c r="BC2154" s="4" t="n">
        <v>253</v>
      </c>
      <c r="BD2154" s="4"/>
      <c r="BE2154" s="4" t="s">
        <v>36276</v>
      </c>
      <c r="BF2154" s="4" t="str">
        <f aca="false">HYPERLINK("http://dx.doi.org/10.1128/JVI.02140-15","http://dx.doi.org/10.1128/JVI.02140-15")</f>
        <v>http://dx.doi.org/10.1128/JVI.02140-15</v>
      </c>
      <c r="BG2154" s="4"/>
      <c r="BH2154" s="4"/>
      <c r="BI2154" s="4" t="n">
        <v>9</v>
      </c>
      <c r="BJ2154" s="4" t="s">
        <v>163</v>
      </c>
      <c r="BK2154" s="4" t="s">
        <v>100</v>
      </c>
      <c r="BL2154" s="4" t="s">
        <v>163</v>
      </c>
      <c r="BM2154" s="4" t="s">
        <v>36277</v>
      </c>
      <c r="BN2154" s="4" t="n">
        <v>26468535</v>
      </c>
      <c r="BO2154" s="4" t="s">
        <v>1267</v>
      </c>
      <c r="BP2154" s="4"/>
      <c r="BQ2154" s="4"/>
      <c r="BR2154" s="4" t="s">
        <v>104</v>
      </c>
      <c r="BS2154" s="4" t="s">
        <v>36278</v>
      </c>
      <c r="BT2154" s="4" t="str">
        <f aca="false">HYPERLINK("https%3A%2F%2Fwww.webofscience.com%2Fwos%2Fwoscc%2Ffull-record%2FWOS:000366899000022","View Full Record in Web of Science")</f>
        <v>View Full Record in Web of Science</v>
      </c>
    </row>
    <row r="2155" s="5" customFormat="true" ht="12.75" hidden="false" customHeight="false" outlineLevel="0" collapsed="false">
      <c r="A2155" s="4" t="s">
        <v>72</v>
      </c>
      <c r="B2155" s="4" t="s">
        <v>36279</v>
      </c>
      <c r="C2155" s="4"/>
      <c r="D2155" s="4"/>
      <c r="E2155" s="4"/>
      <c r="F2155" s="4" t="s">
        <v>36280</v>
      </c>
      <c r="G2155" s="4"/>
      <c r="H2155" s="4"/>
      <c r="I2155" s="4" t="s">
        <v>36281</v>
      </c>
      <c r="J2155" s="4" t="s">
        <v>36282</v>
      </c>
      <c r="K2155" s="4"/>
      <c r="L2155" s="4"/>
      <c r="M2155" s="4" t="s">
        <v>77</v>
      </c>
      <c r="N2155" s="4" t="s">
        <v>78</v>
      </c>
      <c r="O2155" s="4"/>
      <c r="P2155" s="4"/>
      <c r="Q2155" s="4"/>
      <c r="R2155" s="4"/>
      <c r="S2155" s="4"/>
      <c r="T2155" s="1" t="s">
        <v>36283</v>
      </c>
      <c r="U2155" s="4" t="s">
        <v>36284</v>
      </c>
      <c r="V2155" s="4" t="s">
        <v>36285</v>
      </c>
      <c r="W2155" s="4" t="s">
        <v>36286</v>
      </c>
      <c r="X2155" s="4" t="s">
        <v>36287</v>
      </c>
      <c r="Y2155" s="4" t="s">
        <v>36288</v>
      </c>
      <c r="Z2155" s="4" t="s">
        <v>36289</v>
      </c>
      <c r="AA2155" s="4" t="s">
        <v>36290</v>
      </c>
      <c r="AB2155" s="4" t="s">
        <v>36291</v>
      </c>
      <c r="AC2155" s="4"/>
      <c r="AD2155" s="4"/>
      <c r="AE2155" s="4" t="s">
        <v>36292</v>
      </c>
      <c r="AF2155" s="4"/>
      <c r="AG2155" s="4" t="n">
        <v>58</v>
      </c>
      <c r="AH2155" s="4" t="n">
        <v>1</v>
      </c>
      <c r="AI2155" s="4" t="n">
        <v>1</v>
      </c>
      <c r="AJ2155" s="4" t="n">
        <v>23</v>
      </c>
      <c r="AK2155" s="4" t="n">
        <v>23</v>
      </c>
      <c r="AL2155" s="4" t="s">
        <v>272</v>
      </c>
      <c r="AM2155" s="4" t="s">
        <v>273</v>
      </c>
      <c r="AN2155" s="4" t="s">
        <v>274</v>
      </c>
      <c r="AO2155" s="4" t="s">
        <v>36293</v>
      </c>
      <c r="AP2155" s="4" t="s">
        <v>36294</v>
      </c>
      <c r="AQ2155" s="4"/>
      <c r="AR2155" s="4" t="s">
        <v>36295</v>
      </c>
      <c r="AS2155" s="4" t="s">
        <v>36296</v>
      </c>
      <c r="AT2155" s="4" t="s">
        <v>16268</v>
      </c>
      <c r="AU2155" s="4" t="n">
        <v>2024</v>
      </c>
      <c r="AV2155" s="4" t="n">
        <v>67</v>
      </c>
      <c r="AW2155" s="4" t="n">
        <v>15</v>
      </c>
      <c r="AX2155" s="4"/>
      <c r="AY2155" s="4"/>
      <c r="AZ2155" s="4"/>
      <c r="BA2155" s="4"/>
      <c r="BB2155" s="4" t="n">
        <v>12945</v>
      </c>
      <c r="BC2155" s="4" t="n">
        <v>12968</v>
      </c>
      <c r="BD2155" s="4"/>
      <c r="BE2155" s="4" t="s">
        <v>36297</v>
      </c>
      <c r="BF2155" s="4" t="str">
        <f aca="false">HYPERLINK("http://dx.doi.org/10.1021/acs.jmedchem.4c00899","http://dx.doi.org/10.1021/acs.jmedchem.4c00899")</f>
        <v>http://dx.doi.org/10.1021/acs.jmedchem.4c00899</v>
      </c>
      <c r="BG2155" s="4"/>
      <c r="BH2155" s="4" t="s">
        <v>4324</v>
      </c>
      <c r="BI2155" s="4" t="n">
        <v>24</v>
      </c>
      <c r="BJ2155" s="4" t="s">
        <v>36298</v>
      </c>
      <c r="BK2155" s="4" t="s">
        <v>7716</v>
      </c>
      <c r="BL2155" s="4" t="s">
        <v>101</v>
      </c>
      <c r="BM2155" s="4" t="s">
        <v>36299</v>
      </c>
      <c r="BN2155" s="4" t="n">
        <v>39018526</v>
      </c>
      <c r="BO2155" s="4"/>
      <c r="BP2155" s="4"/>
      <c r="BQ2155" s="4"/>
      <c r="BR2155" s="4" t="s">
        <v>104</v>
      </c>
      <c r="BS2155" s="4" t="s">
        <v>36300</v>
      </c>
      <c r="BT2155" s="4" t="str">
        <f aca="false">HYPERLINK("https%3A%2F%2Fwww.webofscience.com%2Fwos%2Fwoscc%2Ffull-record%2FWOS:001271978500001","View Full Record in Web of Science")</f>
        <v>View Full Record in Web of Science</v>
      </c>
    </row>
    <row r="2156" s="5" customFormat="true" ht="12.75" hidden="false" customHeight="false" outlineLevel="0" collapsed="false">
      <c r="A2156" s="4" t="s">
        <v>72</v>
      </c>
      <c r="B2156" s="4" t="s">
        <v>36301</v>
      </c>
      <c r="C2156" s="4"/>
      <c r="D2156" s="4"/>
      <c r="E2156" s="4"/>
      <c r="F2156" s="4" t="s">
        <v>36302</v>
      </c>
      <c r="G2156" s="4"/>
      <c r="H2156" s="4"/>
      <c r="I2156" s="4" t="s">
        <v>36303</v>
      </c>
      <c r="J2156" s="4" t="s">
        <v>6845</v>
      </c>
      <c r="K2156" s="4"/>
      <c r="L2156" s="4"/>
      <c r="M2156" s="4" t="s">
        <v>77</v>
      </c>
      <c r="N2156" s="4" t="s">
        <v>78</v>
      </c>
      <c r="O2156" s="4"/>
      <c r="P2156" s="4"/>
      <c r="Q2156" s="4"/>
      <c r="R2156" s="4"/>
      <c r="S2156" s="4"/>
      <c r="T2156" s="1" t="s">
        <v>36304</v>
      </c>
      <c r="U2156" s="4" t="s">
        <v>36305</v>
      </c>
      <c r="V2156" s="4" t="s">
        <v>36306</v>
      </c>
      <c r="W2156" s="4" t="s">
        <v>36307</v>
      </c>
      <c r="X2156" s="4" t="s">
        <v>36308</v>
      </c>
      <c r="Y2156" s="4" t="s">
        <v>36309</v>
      </c>
      <c r="Z2156" s="4" t="s">
        <v>36310</v>
      </c>
      <c r="AA2156" s="4" t="s">
        <v>36311</v>
      </c>
      <c r="AB2156" s="4" t="s">
        <v>36312</v>
      </c>
      <c r="AC2156" s="4" t="s">
        <v>36313</v>
      </c>
      <c r="AD2156" s="4" t="s">
        <v>36314</v>
      </c>
      <c r="AE2156" s="4" t="s">
        <v>36315</v>
      </c>
      <c r="AF2156" s="4"/>
      <c r="AG2156" s="4" t="n">
        <v>21</v>
      </c>
      <c r="AH2156" s="4" t="n">
        <v>39</v>
      </c>
      <c r="AI2156" s="4" t="n">
        <v>41</v>
      </c>
      <c r="AJ2156" s="4" t="n">
        <v>0</v>
      </c>
      <c r="AK2156" s="4" t="n">
        <v>0</v>
      </c>
      <c r="AL2156" s="4" t="s">
        <v>6833</v>
      </c>
      <c r="AM2156" s="4" t="s">
        <v>1705</v>
      </c>
      <c r="AN2156" s="4" t="s">
        <v>6856</v>
      </c>
      <c r="AO2156" s="4" t="s">
        <v>6835</v>
      </c>
      <c r="AP2156" s="4" t="s">
        <v>6836</v>
      </c>
      <c r="AQ2156" s="4"/>
      <c r="AR2156" s="4" t="s">
        <v>6837</v>
      </c>
      <c r="AS2156" s="4" t="s">
        <v>6838</v>
      </c>
      <c r="AT2156" s="4"/>
      <c r="AU2156" s="4" t="n">
        <v>2019</v>
      </c>
      <c r="AV2156" s="4" t="n">
        <v>147</v>
      </c>
      <c r="AW2156" s="4"/>
      <c r="AX2156" s="4"/>
      <c r="AY2156" s="4"/>
      <c r="AZ2156" s="4"/>
      <c r="BA2156" s="4"/>
      <c r="BB2156" s="4"/>
      <c r="BC2156" s="4"/>
      <c r="BD2156" s="4" t="s">
        <v>36316</v>
      </c>
      <c r="BE2156" s="4" t="s">
        <v>36317</v>
      </c>
      <c r="BF2156" s="4" t="str">
        <f aca="false">HYPERLINK("http://dx.doi.org/10.1017/S0950268819000505","http://dx.doi.org/10.1017/S0950268819000505")</f>
        <v>http://dx.doi.org/10.1017/S0950268819000505</v>
      </c>
      <c r="BG2156" s="4"/>
      <c r="BH2156" s="4"/>
      <c r="BI2156" s="4" t="n">
        <v>6</v>
      </c>
      <c r="BJ2156" s="4" t="s">
        <v>2113</v>
      </c>
      <c r="BK2156" s="4" t="s">
        <v>100</v>
      </c>
      <c r="BL2156" s="4" t="s">
        <v>2113</v>
      </c>
      <c r="BM2156" s="4" t="s">
        <v>36318</v>
      </c>
      <c r="BN2156" s="4" t="n">
        <v>31063096</v>
      </c>
      <c r="BO2156" s="4" t="s">
        <v>136</v>
      </c>
      <c r="BP2156" s="4"/>
      <c r="BQ2156" s="4"/>
      <c r="BR2156" s="4" t="s">
        <v>104</v>
      </c>
      <c r="BS2156" s="4" t="s">
        <v>36319</v>
      </c>
      <c r="BT2156" s="4" t="str">
        <f aca="false">HYPERLINK("https%3A%2F%2Fwww.webofscience.com%2Fwos%2Fwoscc%2Ffull-record%2FWOS:000475912200107","View Full Record in Web of Science")</f>
        <v>View Full Record in Web of Science</v>
      </c>
    </row>
    <row r="2157" s="5" customFormat="true" ht="12.75" hidden="false" customHeight="false" outlineLevel="0" collapsed="false">
      <c r="A2157" s="4" t="s">
        <v>72</v>
      </c>
      <c r="B2157" s="4" t="s">
        <v>36320</v>
      </c>
      <c r="C2157" s="4"/>
      <c r="D2157" s="4"/>
      <c r="E2157" s="4"/>
      <c r="F2157" s="4" t="s">
        <v>36321</v>
      </c>
      <c r="G2157" s="4"/>
      <c r="H2157" s="4"/>
      <c r="I2157" s="4" t="s">
        <v>36322</v>
      </c>
      <c r="J2157" s="4" t="s">
        <v>27915</v>
      </c>
      <c r="K2157" s="4"/>
      <c r="L2157" s="4"/>
      <c r="M2157" s="4" t="s">
        <v>77</v>
      </c>
      <c r="N2157" s="4" t="s">
        <v>78</v>
      </c>
      <c r="O2157" s="4"/>
      <c r="P2157" s="4"/>
      <c r="Q2157" s="4"/>
      <c r="R2157" s="4"/>
      <c r="S2157" s="4"/>
      <c r="T2157" s="1" t="s">
        <v>36323</v>
      </c>
      <c r="U2157" s="4" t="s">
        <v>36324</v>
      </c>
      <c r="V2157" s="4" t="s">
        <v>36325</v>
      </c>
      <c r="W2157" s="4" t="s">
        <v>36326</v>
      </c>
      <c r="X2157" s="4" t="s">
        <v>36327</v>
      </c>
      <c r="Y2157" s="4" t="s">
        <v>36328</v>
      </c>
      <c r="Z2157" s="4" t="s">
        <v>36329</v>
      </c>
      <c r="AA2157" s="4" t="s">
        <v>36330</v>
      </c>
      <c r="AB2157" s="4" t="s">
        <v>6060</v>
      </c>
      <c r="AC2157" s="4" t="s">
        <v>36331</v>
      </c>
      <c r="AD2157" s="4" t="s">
        <v>36332</v>
      </c>
      <c r="AE2157" s="4" t="s">
        <v>36333</v>
      </c>
      <c r="AF2157" s="4"/>
      <c r="AG2157" s="4" t="n">
        <v>49</v>
      </c>
      <c r="AH2157" s="4" t="n">
        <v>9</v>
      </c>
      <c r="AI2157" s="4" t="n">
        <v>12</v>
      </c>
      <c r="AJ2157" s="4" t="n">
        <v>0</v>
      </c>
      <c r="AK2157" s="4" t="n">
        <v>3</v>
      </c>
      <c r="AL2157" s="4" t="s">
        <v>27927</v>
      </c>
      <c r="AM2157" s="4" t="s">
        <v>27928</v>
      </c>
      <c r="AN2157" s="4" t="s">
        <v>27929</v>
      </c>
      <c r="AO2157" s="4" t="s">
        <v>27930</v>
      </c>
      <c r="AP2157" s="4" t="s">
        <v>27931</v>
      </c>
      <c r="AQ2157" s="4"/>
      <c r="AR2157" s="4" t="s">
        <v>27932</v>
      </c>
      <c r="AS2157" s="4" t="s">
        <v>27933</v>
      </c>
      <c r="AT2157" s="4" t="s">
        <v>3408</v>
      </c>
      <c r="AU2157" s="4" t="n">
        <v>2022</v>
      </c>
      <c r="AV2157" s="4" t="n">
        <v>208</v>
      </c>
      <c r="AW2157" s="4" t="n">
        <v>3</v>
      </c>
      <c r="AX2157" s="4"/>
      <c r="AY2157" s="4"/>
      <c r="AZ2157" s="4"/>
      <c r="BA2157" s="4"/>
      <c r="BB2157" s="4" t="n">
        <v>720</v>
      </c>
      <c r="BC2157" s="4" t="n">
        <v>731</v>
      </c>
      <c r="BD2157" s="4"/>
      <c r="BE2157" s="4" t="s">
        <v>36334</v>
      </c>
      <c r="BF2157" s="4" t="str">
        <f aca="false">HYPERLINK("http://dx.doi.org/10.4049/jimmunol.2000751","http://dx.doi.org/10.4049/jimmunol.2000751")</f>
        <v>http://dx.doi.org/10.4049/jimmunol.2000751</v>
      </c>
      <c r="BG2157" s="4"/>
      <c r="BH2157" s="4"/>
      <c r="BI2157" s="4" t="n">
        <v>12</v>
      </c>
      <c r="BJ2157" s="4" t="s">
        <v>628</v>
      </c>
      <c r="BK2157" s="4" t="s">
        <v>100</v>
      </c>
      <c r="BL2157" s="4" t="s">
        <v>628</v>
      </c>
      <c r="BM2157" s="4" t="s">
        <v>36335</v>
      </c>
      <c r="BN2157" s="4" t="n">
        <v>35022269</v>
      </c>
      <c r="BO2157" s="4" t="s">
        <v>4062</v>
      </c>
      <c r="BP2157" s="4"/>
      <c r="BQ2157" s="4"/>
      <c r="BR2157" s="4" t="s">
        <v>104</v>
      </c>
      <c r="BS2157" s="4" t="s">
        <v>36336</v>
      </c>
      <c r="BT2157" s="4" t="str">
        <f aca="false">HYPERLINK("https%3A%2F%2Fwww.webofscience.com%2Fwos%2Fwoscc%2Ffull-record%2FWOS:000752490500001","View Full Record in Web of Science")</f>
        <v>View Full Record in Web of Science</v>
      </c>
    </row>
    <row r="2158" s="5" customFormat="true" ht="12.75" hidden="false" customHeight="false" outlineLevel="0" collapsed="false">
      <c r="A2158" s="4" t="s">
        <v>72</v>
      </c>
      <c r="B2158" s="4" t="s">
        <v>36337</v>
      </c>
      <c r="C2158" s="4"/>
      <c r="D2158" s="4"/>
      <c r="E2158" s="4"/>
      <c r="F2158" s="4" t="s">
        <v>36338</v>
      </c>
      <c r="G2158" s="4"/>
      <c r="H2158" s="4"/>
      <c r="I2158" s="4" t="s">
        <v>36339</v>
      </c>
      <c r="J2158" s="4" t="s">
        <v>27497</v>
      </c>
      <c r="K2158" s="4"/>
      <c r="L2158" s="4"/>
      <c r="M2158" s="4" t="s">
        <v>77</v>
      </c>
      <c r="N2158" s="4" t="s">
        <v>78</v>
      </c>
      <c r="O2158" s="4"/>
      <c r="P2158" s="4"/>
      <c r="Q2158" s="4"/>
      <c r="R2158" s="4"/>
      <c r="S2158" s="4"/>
      <c r="T2158" s="1" t="s">
        <v>36340</v>
      </c>
      <c r="U2158" s="4" t="s">
        <v>36341</v>
      </c>
      <c r="V2158" s="4" t="s">
        <v>36342</v>
      </c>
      <c r="W2158" s="4" t="s">
        <v>36343</v>
      </c>
      <c r="X2158" s="4" t="s">
        <v>36344</v>
      </c>
      <c r="Y2158" s="4" t="s">
        <v>36345</v>
      </c>
      <c r="Z2158" s="4" t="s">
        <v>6341</v>
      </c>
      <c r="AA2158" s="4" t="s">
        <v>36346</v>
      </c>
      <c r="AB2158" s="4" t="s">
        <v>36347</v>
      </c>
      <c r="AC2158" s="4" t="s">
        <v>36348</v>
      </c>
      <c r="AD2158" s="4" t="s">
        <v>36349</v>
      </c>
      <c r="AE2158" s="4" t="s">
        <v>36350</v>
      </c>
      <c r="AF2158" s="4"/>
      <c r="AG2158" s="4" t="n">
        <v>25</v>
      </c>
      <c r="AH2158" s="4" t="n">
        <v>5</v>
      </c>
      <c r="AI2158" s="4" t="n">
        <v>5</v>
      </c>
      <c r="AJ2158" s="4" t="n">
        <v>0</v>
      </c>
      <c r="AK2158" s="4" t="n">
        <v>0</v>
      </c>
      <c r="AL2158" s="4" t="s">
        <v>27506</v>
      </c>
      <c r="AM2158" s="4" t="s">
        <v>27507</v>
      </c>
      <c r="AN2158" s="4" t="s">
        <v>27508</v>
      </c>
      <c r="AO2158" s="4" t="s">
        <v>27509</v>
      </c>
      <c r="AP2158" s="4"/>
      <c r="AQ2158" s="4"/>
      <c r="AR2158" s="4" t="s">
        <v>27497</v>
      </c>
      <c r="AS2158" s="4" t="s">
        <v>27510</v>
      </c>
      <c r="AT2158" s="4" t="s">
        <v>36351</v>
      </c>
      <c r="AU2158" s="4" t="n">
        <v>2017</v>
      </c>
      <c r="AV2158" s="4" t="n">
        <v>12</v>
      </c>
      <c r="AW2158" s="4" t="n">
        <v>3</v>
      </c>
      <c r="AX2158" s="4"/>
      <c r="AY2158" s="4"/>
      <c r="AZ2158" s="4"/>
      <c r="BA2158" s="4"/>
      <c r="BB2158" s="4"/>
      <c r="BC2158" s="4"/>
      <c r="BD2158" s="4"/>
      <c r="BE2158" s="4" t="s">
        <v>36352</v>
      </c>
      <c r="BF2158" s="4" t="str">
        <f aca="false">HYPERLINK("http://dx.doi.org/10.1371/journal.pone.0174188","http://dx.doi.org/10.1371/journal.pone.0174188")</f>
        <v>http://dx.doi.org/10.1371/journal.pone.0174188</v>
      </c>
      <c r="BG2158" s="4"/>
      <c r="BH2158" s="4"/>
      <c r="BI2158" s="4" t="n">
        <v>7</v>
      </c>
      <c r="BJ2158" s="4" t="s">
        <v>1658</v>
      </c>
      <c r="BK2158" s="4" t="s">
        <v>100</v>
      </c>
      <c r="BL2158" s="4" t="s">
        <v>1659</v>
      </c>
      <c r="BM2158" s="4" t="s">
        <v>36353</v>
      </c>
      <c r="BN2158" s="4" t="n">
        <v>28306724</v>
      </c>
      <c r="BO2158" s="4" t="s">
        <v>2582</v>
      </c>
      <c r="BP2158" s="4"/>
      <c r="BQ2158" s="4"/>
      <c r="BR2158" s="4" t="s">
        <v>104</v>
      </c>
      <c r="BS2158" s="4" t="s">
        <v>36354</v>
      </c>
      <c r="BT2158" s="4" t="str">
        <f aca="false">HYPERLINK("https%3A%2F%2Fwww.webofscience.com%2Fwos%2Fwoscc%2Ffull-record%2FWOS:000396710300025","View Full Record in Web of Science")</f>
        <v>View Full Record in Web of Science</v>
      </c>
    </row>
    <row r="2159" s="5" customFormat="true" ht="12.75" hidden="false" customHeight="false" outlineLevel="0" collapsed="false">
      <c r="A2159" s="4" t="s">
        <v>72</v>
      </c>
      <c r="B2159" s="4" t="s">
        <v>36355</v>
      </c>
      <c r="C2159" s="4"/>
      <c r="D2159" s="4"/>
      <c r="E2159" s="4"/>
      <c r="F2159" s="4" t="s">
        <v>36356</v>
      </c>
      <c r="G2159" s="4"/>
      <c r="H2159" s="4"/>
      <c r="I2159" s="4" t="s">
        <v>36357</v>
      </c>
      <c r="J2159" s="4" t="s">
        <v>27820</v>
      </c>
      <c r="K2159" s="4"/>
      <c r="L2159" s="4"/>
      <c r="M2159" s="4" t="s">
        <v>77</v>
      </c>
      <c r="N2159" s="4" t="s">
        <v>78</v>
      </c>
      <c r="O2159" s="4"/>
      <c r="P2159" s="4"/>
      <c r="Q2159" s="4"/>
      <c r="R2159" s="4"/>
      <c r="S2159" s="4"/>
      <c r="T2159" s="1" t="s">
        <v>36358</v>
      </c>
      <c r="U2159" s="4" t="s">
        <v>36359</v>
      </c>
      <c r="V2159" s="4" t="s">
        <v>36360</v>
      </c>
      <c r="W2159" s="4" t="s">
        <v>36361</v>
      </c>
      <c r="X2159" s="4" t="s">
        <v>36362</v>
      </c>
      <c r="Y2159" s="4" t="s">
        <v>36363</v>
      </c>
      <c r="Z2159" s="4" t="s">
        <v>31313</v>
      </c>
      <c r="AA2159" s="4"/>
      <c r="AB2159" s="4" t="s">
        <v>36364</v>
      </c>
      <c r="AC2159" s="4" t="s">
        <v>36365</v>
      </c>
      <c r="AD2159" s="4" t="s">
        <v>36366</v>
      </c>
      <c r="AE2159" s="4" t="s">
        <v>36367</v>
      </c>
      <c r="AF2159" s="4"/>
      <c r="AG2159" s="4" t="n">
        <v>80</v>
      </c>
      <c r="AH2159" s="4" t="n">
        <v>7</v>
      </c>
      <c r="AI2159" s="4" t="n">
        <v>8</v>
      </c>
      <c r="AJ2159" s="4" t="n">
        <v>0</v>
      </c>
      <c r="AK2159" s="4" t="n">
        <v>10</v>
      </c>
      <c r="AL2159" s="4" t="s">
        <v>27506</v>
      </c>
      <c r="AM2159" s="4" t="s">
        <v>27507</v>
      </c>
      <c r="AN2159" s="4" t="s">
        <v>27508</v>
      </c>
      <c r="AO2159" s="4" t="s">
        <v>27831</v>
      </c>
      <c r="AP2159" s="4" t="s">
        <v>27832</v>
      </c>
      <c r="AQ2159" s="4"/>
      <c r="AR2159" s="4" t="s">
        <v>27833</v>
      </c>
      <c r="AS2159" s="4" t="s">
        <v>27834</v>
      </c>
      <c r="AT2159" s="4" t="s">
        <v>390</v>
      </c>
      <c r="AU2159" s="4" t="n">
        <v>2021</v>
      </c>
      <c r="AV2159" s="4" t="n">
        <v>17</v>
      </c>
      <c r="AW2159" s="4" t="n">
        <v>5</v>
      </c>
      <c r="AX2159" s="4"/>
      <c r="AY2159" s="4"/>
      <c r="AZ2159" s="4"/>
      <c r="BA2159" s="4"/>
      <c r="BB2159" s="4"/>
      <c r="BC2159" s="4"/>
      <c r="BD2159" s="4" t="s">
        <v>36368</v>
      </c>
      <c r="BE2159" s="4" t="s">
        <v>36369</v>
      </c>
      <c r="BF2159" s="4" t="str">
        <f aca="false">HYPERLINK("http://dx.doi.org/10.1371/journal.ppat.1009589","http://dx.doi.org/10.1371/journal.ppat.1009589")</f>
        <v>http://dx.doi.org/10.1371/journal.ppat.1009589</v>
      </c>
      <c r="BG2159" s="4"/>
      <c r="BH2159" s="4"/>
      <c r="BI2159" s="4" t="n">
        <v>30</v>
      </c>
      <c r="BJ2159" s="4" t="s">
        <v>27837</v>
      </c>
      <c r="BK2159" s="4" t="s">
        <v>100</v>
      </c>
      <c r="BL2159" s="4" t="s">
        <v>27837</v>
      </c>
      <c r="BM2159" s="4" t="s">
        <v>36370</v>
      </c>
      <c r="BN2159" s="4" t="n">
        <v>34003848</v>
      </c>
      <c r="BO2159" s="4" t="s">
        <v>103</v>
      </c>
      <c r="BP2159" s="4"/>
      <c r="BQ2159" s="4"/>
      <c r="BR2159" s="4" t="s">
        <v>104</v>
      </c>
      <c r="BS2159" s="4" t="s">
        <v>36371</v>
      </c>
      <c r="BT2159" s="4" t="str">
        <f aca="false">HYPERLINK("https%3A%2F%2Fwww.webofscience.com%2Fwos%2Fwoscc%2Ffull-record%2FWOS:000664719400002","View Full Record in Web of Science")</f>
        <v>View Full Record in Web of Science</v>
      </c>
    </row>
    <row r="2160" s="5" customFormat="true" ht="12.75" hidden="false" customHeight="false" outlineLevel="0" collapsed="false">
      <c r="A2160" s="4" t="s">
        <v>72</v>
      </c>
      <c r="B2160" s="4" t="s">
        <v>36372</v>
      </c>
      <c r="C2160" s="4"/>
      <c r="D2160" s="4"/>
      <c r="E2160" s="4"/>
      <c r="F2160" s="4" t="s">
        <v>36373</v>
      </c>
      <c r="G2160" s="4"/>
      <c r="H2160" s="4"/>
      <c r="I2160" s="4" t="s">
        <v>36374</v>
      </c>
      <c r="J2160" s="4" t="s">
        <v>27497</v>
      </c>
      <c r="K2160" s="4"/>
      <c r="L2160" s="4"/>
      <c r="M2160" s="4" t="s">
        <v>77</v>
      </c>
      <c r="N2160" s="4" t="s">
        <v>78</v>
      </c>
      <c r="O2160" s="4"/>
      <c r="P2160" s="4"/>
      <c r="Q2160" s="4"/>
      <c r="R2160" s="4"/>
      <c r="S2160" s="4"/>
      <c r="T2160" s="1" t="s">
        <v>36375</v>
      </c>
      <c r="U2160" s="4" t="s">
        <v>36376</v>
      </c>
      <c r="V2160" s="4" t="s">
        <v>36377</v>
      </c>
      <c r="W2160" s="4" t="s">
        <v>36378</v>
      </c>
      <c r="X2160" s="4" t="s">
        <v>36379</v>
      </c>
      <c r="Y2160" s="4" t="s">
        <v>36380</v>
      </c>
      <c r="Z2160" s="4" t="s">
        <v>36381</v>
      </c>
      <c r="AA2160" s="4"/>
      <c r="AB2160" s="4"/>
      <c r="AC2160" s="4" t="s">
        <v>36382</v>
      </c>
      <c r="AD2160" s="4" t="s">
        <v>36383</v>
      </c>
      <c r="AE2160" s="4" t="s">
        <v>36384</v>
      </c>
      <c r="AF2160" s="4"/>
      <c r="AG2160" s="4" t="n">
        <v>34</v>
      </c>
      <c r="AH2160" s="4" t="n">
        <v>14</v>
      </c>
      <c r="AI2160" s="4" t="n">
        <v>14</v>
      </c>
      <c r="AJ2160" s="4" t="n">
        <v>0</v>
      </c>
      <c r="AK2160" s="4" t="n">
        <v>5</v>
      </c>
      <c r="AL2160" s="4" t="s">
        <v>27506</v>
      </c>
      <c r="AM2160" s="4" t="s">
        <v>27507</v>
      </c>
      <c r="AN2160" s="4" t="s">
        <v>27508</v>
      </c>
      <c r="AO2160" s="4" t="s">
        <v>27509</v>
      </c>
      <c r="AP2160" s="4"/>
      <c r="AQ2160" s="4"/>
      <c r="AR2160" s="4" t="s">
        <v>27497</v>
      </c>
      <c r="AS2160" s="4" t="s">
        <v>27510</v>
      </c>
      <c r="AT2160" s="4" t="s">
        <v>22720</v>
      </c>
      <c r="AU2160" s="4" t="n">
        <v>2021</v>
      </c>
      <c r="AV2160" s="4" t="n">
        <v>16</v>
      </c>
      <c r="AW2160" s="4" t="n">
        <v>3</v>
      </c>
      <c r="AX2160" s="4"/>
      <c r="AY2160" s="4"/>
      <c r="AZ2160" s="4"/>
      <c r="BA2160" s="4"/>
      <c r="BB2160" s="4"/>
      <c r="BC2160" s="4"/>
      <c r="BD2160" s="4" t="s">
        <v>36385</v>
      </c>
      <c r="BE2160" s="4" t="s">
        <v>36386</v>
      </c>
      <c r="BF2160" s="4" t="str">
        <f aca="false">HYPERLINK("http://dx.doi.org/10.1371/journal.pone.0248750","http://dx.doi.org/10.1371/journal.pone.0248750")</f>
        <v>http://dx.doi.org/10.1371/journal.pone.0248750</v>
      </c>
      <c r="BG2160" s="4"/>
      <c r="BH2160" s="4"/>
      <c r="BI2160" s="4" t="n">
        <v>16</v>
      </c>
      <c r="BJ2160" s="4" t="s">
        <v>1658</v>
      </c>
      <c r="BK2160" s="4" t="s">
        <v>100</v>
      </c>
      <c r="BL2160" s="4" t="s">
        <v>1659</v>
      </c>
      <c r="BM2160" s="4" t="s">
        <v>36387</v>
      </c>
      <c r="BN2160" s="4" t="n">
        <v>33750952</v>
      </c>
      <c r="BO2160" s="4" t="s">
        <v>190</v>
      </c>
      <c r="BP2160" s="4"/>
      <c r="BQ2160" s="4"/>
      <c r="BR2160" s="4" t="s">
        <v>104</v>
      </c>
      <c r="BS2160" s="4" t="s">
        <v>36388</v>
      </c>
      <c r="BT2160" s="4" t="str">
        <f aca="false">HYPERLINK("https%3A%2F%2Fwww.webofscience.com%2Fwos%2Fwoscc%2Ffull-record%2FWOS:000631967100009","View Full Record in Web of Science")</f>
        <v>View Full Record in Web of Science</v>
      </c>
    </row>
    <row r="2161" s="5" customFormat="true" ht="12.75" hidden="false" customHeight="false" outlineLevel="0" collapsed="false">
      <c r="A2161" s="4" t="s">
        <v>72</v>
      </c>
      <c r="B2161" s="4" t="s">
        <v>36389</v>
      </c>
      <c r="C2161" s="4"/>
      <c r="D2161" s="4"/>
      <c r="E2161" s="4"/>
      <c r="F2161" s="4" t="s">
        <v>36390</v>
      </c>
      <c r="G2161" s="4"/>
      <c r="H2161" s="4"/>
      <c r="I2161" s="4" t="s">
        <v>36391</v>
      </c>
      <c r="J2161" s="4" t="s">
        <v>36392</v>
      </c>
      <c r="K2161" s="4"/>
      <c r="L2161" s="4"/>
      <c r="M2161" s="4" t="s">
        <v>77</v>
      </c>
      <c r="N2161" s="4" t="s">
        <v>78</v>
      </c>
      <c r="O2161" s="4"/>
      <c r="P2161" s="4"/>
      <c r="Q2161" s="4"/>
      <c r="R2161" s="4"/>
      <c r="S2161" s="4"/>
      <c r="T2161" s="1" t="s">
        <v>33612</v>
      </c>
      <c r="U2161" s="4" t="s">
        <v>36393</v>
      </c>
      <c r="V2161" s="4" t="s">
        <v>36394</v>
      </c>
      <c r="W2161" s="4" t="s">
        <v>36395</v>
      </c>
      <c r="X2161" s="4" t="s">
        <v>36396</v>
      </c>
      <c r="Y2161" s="4" t="s">
        <v>36397</v>
      </c>
      <c r="Z2161" s="4" t="s">
        <v>36398</v>
      </c>
      <c r="AA2161" s="4" t="s">
        <v>36399</v>
      </c>
      <c r="AB2161" s="4" t="s">
        <v>36400</v>
      </c>
      <c r="AC2161" s="4" t="s">
        <v>36401</v>
      </c>
      <c r="AD2161" s="4" t="s">
        <v>36401</v>
      </c>
      <c r="AE2161" s="4" t="s">
        <v>36402</v>
      </c>
      <c r="AF2161" s="4"/>
      <c r="AG2161" s="4" t="n">
        <v>67</v>
      </c>
      <c r="AH2161" s="4" t="n">
        <v>4</v>
      </c>
      <c r="AI2161" s="4" t="n">
        <v>4</v>
      </c>
      <c r="AJ2161" s="4" t="n">
        <v>1</v>
      </c>
      <c r="AK2161" s="4" t="n">
        <v>2</v>
      </c>
      <c r="AL2161" s="4" t="s">
        <v>27506</v>
      </c>
      <c r="AM2161" s="4" t="s">
        <v>27507</v>
      </c>
      <c r="AN2161" s="4" t="s">
        <v>27508</v>
      </c>
      <c r="AO2161" s="4" t="s">
        <v>36403</v>
      </c>
      <c r="AP2161" s="4"/>
      <c r="AQ2161" s="4"/>
      <c r="AR2161" s="4" t="s">
        <v>36404</v>
      </c>
      <c r="AS2161" s="4" t="s">
        <v>36405</v>
      </c>
      <c r="AT2161" s="4" t="s">
        <v>692</v>
      </c>
      <c r="AU2161" s="4" t="n">
        <v>2023</v>
      </c>
      <c r="AV2161" s="4" t="n">
        <v>17</v>
      </c>
      <c r="AW2161" s="4" t="n">
        <v>4</v>
      </c>
      <c r="AX2161" s="4"/>
      <c r="AY2161" s="4"/>
      <c r="AZ2161" s="4"/>
      <c r="BA2161" s="4"/>
      <c r="BB2161" s="4"/>
      <c r="BC2161" s="4"/>
      <c r="BD2161" s="4" t="s">
        <v>36406</v>
      </c>
      <c r="BE2161" s="4" t="s">
        <v>36407</v>
      </c>
      <c r="BF2161" s="4" t="str">
        <f aca="false">HYPERLINK("http://dx.doi.org/10.1371/journal.pntd.0011189","http://dx.doi.org/10.1371/journal.pntd.0011189")</f>
        <v>http://dx.doi.org/10.1371/journal.pntd.0011189</v>
      </c>
      <c r="BG2161" s="4"/>
      <c r="BH2161" s="4"/>
      <c r="BI2161" s="4" t="n">
        <v>28</v>
      </c>
      <c r="BJ2161" s="4" t="s">
        <v>6473</v>
      </c>
      <c r="BK2161" s="4" t="s">
        <v>100</v>
      </c>
      <c r="BL2161" s="4" t="s">
        <v>6473</v>
      </c>
      <c r="BM2161" s="4" t="s">
        <v>36408</v>
      </c>
      <c r="BN2161" s="4" t="n">
        <v>37036845</v>
      </c>
      <c r="BO2161" s="4" t="s">
        <v>103</v>
      </c>
      <c r="BP2161" s="4"/>
      <c r="BQ2161" s="4"/>
      <c r="BR2161" s="4" t="s">
        <v>104</v>
      </c>
      <c r="BS2161" s="4" t="s">
        <v>36409</v>
      </c>
      <c r="BT2161" s="4" t="str">
        <f aca="false">HYPERLINK("https%3A%2F%2Fwww.webofscience.com%2Fwos%2Fwoscc%2Ffull-record%2FWOS:000969537400001","View Full Record in Web of Science")</f>
        <v>View Full Record in Web of Science</v>
      </c>
    </row>
    <row r="2162" s="5" customFormat="true" ht="12.75" hidden="false" customHeight="false" outlineLevel="0" collapsed="false">
      <c r="A2162" s="4" t="s">
        <v>72</v>
      </c>
      <c r="B2162" s="4" t="s">
        <v>36410</v>
      </c>
      <c r="C2162" s="4"/>
      <c r="D2162" s="4"/>
      <c r="E2162" s="4"/>
      <c r="F2162" s="4" t="s">
        <v>36411</v>
      </c>
      <c r="G2162" s="4"/>
      <c r="H2162" s="4"/>
      <c r="I2162" s="4" t="s">
        <v>36412</v>
      </c>
      <c r="J2162" s="4" t="s">
        <v>1863</v>
      </c>
      <c r="K2162" s="4"/>
      <c r="L2162" s="4"/>
      <c r="M2162" s="4" t="s">
        <v>77</v>
      </c>
      <c r="N2162" s="4" t="s">
        <v>78</v>
      </c>
      <c r="O2162" s="4"/>
      <c r="P2162" s="4"/>
      <c r="Q2162" s="4"/>
      <c r="R2162" s="4"/>
      <c r="S2162" s="4"/>
      <c r="T2162" s="1" t="s">
        <v>36413</v>
      </c>
      <c r="U2162" s="4" t="s">
        <v>36414</v>
      </c>
      <c r="V2162" s="4" t="s">
        <v>36415</v>
      </c>
      <c r="W2162" s="4" t="s">
        <v>36416</v>
      </c>
      <c r="X2162" s="4" t="s">
        <v>36417</v>
      </c>
      <c r="Y2162" s="4" t="s">
        <v>36418</v>
      </c>
      <c r="Z2162" s="4" t="s">
        <v>36419</v>
      </c>
      <c r="AA2162" s="4" t="s">
        <v>36420</v>
      </c>
      <c r="AB2162" s="4" t="s">
        <v>36421</v>
      </c>
      <c r="AC2162" s="4" t="s">
        <v>36422</v>
      </c>
      <c r="AD2162" s="4" t="s">
        <v>11049</v>
      </c>
      <c r="AE2162" s="4" t="s">
        <v>25408</v>
      </c>
      <c r="AF2162" s="4"/>
      <c r="AG2162" s="4" t="n">
        <v>54</v>
      </c>
      <c r="AH2162" s="4" t="n">
        <v>35</v>
      </c>
      <c r="AI2162" s="4" t="n">
        <v>38</v>
      </c>
      <c r="AJ2162" s="4" t="n">
        <v>0</v>
      </c>
      <c r="AK2162" s="4" t="n">
        <v>12</v>
      </c>
      <c r="AL2162" s="4" t="s">
        <v>302</v>
      </c>
      <c r="AM2162" s="4" t="s">
        <v>303</v>
      </c>
      <c r="AN2162" s="4" t="s">
        <v>304</v>
      </c>
      <c r="AO2162" s="4"/>
      <c r="AP2162" s="4" t="s">
        <v>1876</v>
      </c>
      <c r="AQ2162" s="4"/>
      <c r="AR2162" s="4" t="s">
        <v>1877</v>
      </c>
      <c r="AS2162" s="4" t="s">
        <v>1878</v>
      </c>
      <c r="AT2162" s="4" t="s">
        <v>17557</v>
      </c>
      <c r="AU2162" s="4" t="n">
        <v>2013</v>
      </c>
      <c r="AV2162" s="4" t="n">
        <v>10</v>
      </c>
      <c r="AW2162" s="4"/>
      <c r="AX2162" s="4"/>
      <c r="AY2162" s="4"/>
      <c r="AZ2162" s="4"/>
      <c r="BA2162" s="4"/>
      <c r="BB2162" s="4"/>
      <c r="BC2162" s="4"/>
      <c r="BD2162" s="4" t="n">
        <v>305</v>
      </c>
      <c r="BE2162" s="4" t="s">
        <v>36423</v>
      </c>
      <c r="BF2162" s="4" t="str">
        <f aca="false">HYPERLINK("http://dx.doi.org/10.1186/1743-422X-10-305","http://dx.doi.org/10.1186/1743-422X-10-305")</f>
        <v>http://dx.doi.org/10.1186/1743-422X-10-305</v>
      </c>
      <c r="BG2162" s="4"/>
      <c r="BH2162" s="4"/>
      <c r="BI2162" s="4" t="n">
        <v>12</v>
      </c>
      <c r="BJ2162" s="4" t="s">
        <v>163</v>
      </c>
      <c r="BK2162" s="4" t="s">
        <v>100</v>
      </c>
      <c r="BL2162" s="4" t="s">
        <v>163</v>
      </c>
      <c r="BM2162" s="4" t="s">
        <v>36424</v>
      </c>
      <c r="BN2162" s="4" t="n">
        <v>24119298</v>
      </c>
      <c r="BO2162" s="4" t="s">
        <v>103</v>
      </c>
      <c r="BP2162" s="4"/>
      <c r="BQ2162" s="4"/>
      <c r="BR2162" s="4" t="s">
        <v>104</v>
      </c>
      <c r="BS2162" s="4" t="s">
        <v>36425</v>
      </c>
      <c r="BT2162" s="4" t="str">
        <f aca="false">HYPERLINK("https%3A%2F%2Fwww.webofscience.com%2Fwos%2Fwoscc%2Ffull-record%2FWOS:000327875000001","View Full Record in Web of Science")</f>
        <v>View Full Record in Web of Science</v>
      </c>
    </row>
    <row r="2163" s="5" customFormat="true" ht="12.75" hidden="false" customHeight="false" outlineLevel="0" collapsed="false">
      <c r="A2163" s="4" t="s">
        <v>72</v>
      </c>
      <c r="B2163" s="4" t="s">
        <v>36426</v>
      </c>
      <c r="C2163" s="4"/>
      <c r="D2163" s="4"/>
      <c r="E2163" s="4"/>
      <c r="F2163" s="4" t="s">
        <v>36427</v>
      </c>
      <c r="G2163" s="4"/>
      <c r="H2163" s="4"/>
      <c r="I2163" s="4" t="s">
        <v>36428</v>
      </c>
      <c r="J2163" s="4" t="s">
        <v>27497</v>
      </c>
      <c r="K2163" s="4"/>
      <c r="L2163" s="4"/>
      <c r="M2163" s="4" t="s">
        <v>77</v>
      </c>
      <c r="N2163" s="4" t="s">
        <v>78</v>
      </c>
      <c r="O2163" s="4"/>
      <c r="P2163" s="4"/>
      <c r="Q2163" s="4"/>
      <c r="R2163" s="4"/>
      <c r="S2163" s="4"/>
      <c r="T2163" s="1" t="s">
        <v>36429</v>
      </c>
      <c r="U2163" s="4" t="s">
        <v>36430</v>
      </c>
      <c r="V2163" s="4" t="s">
        <v>36431</v>
      </c>
      <c r="W2163" s="4" t="s">
        <v>36432</v>
      </c>
      <c r="X2163" s="4" t="s">
        <v>36433</v>
      </c>
      <c r="Y2163" s="4" t="s">
        <v>36434</v>
      </c>
      <c r="Z2163" s="4" t="s">
        <v>28517</v>
      </c>
      <c r="AA2163" s="4" t="s">
        <v>36435</v>
      </c>
      <c r="AB2163" s="4" t="s">
        <v>36436</v>
      </c>
      <c r="AC2163" s="4" t="s">
        <v>36437</v>
      </c>
      <c r="AD2163" s="4" t="s">
        <v>36437</v>
      </c>
      <c r="AE2163" s="4" t="s">
        <v>36438</v>
      </c>
      <c r="AF2163" s="4"/>
      <c r="AG2163" s="4" t="n">
        <v>37</v>
      </c>
      <c r="AH2163" s="4" t="n">
        <v>44</v>
      </c>
      <c r="AI2163" s="4" t="n">
        <v>52</v>
      </c>
      <c r="AJ2163" s="4" t="n">
        <v>0</v>
      </c>
      <c r="AK2163" s="4" t="n">
        <v>11</v>
      </c>
      <c r="AL2163" s="4" t="s">
        <v>27506</v>
      </c>
      <c r="AM2163" s="4" t="s">
        <v>27507</v>
      </c>
      <c r="AN2163" s="4" t="s">
        <v>27508</v>
      </c>
      <c r="AO2163" s="4" t="s">
        <v>27509</v>
      </c>
      <c r="AP2163" s="4"/>
      <c r="AQ2163" s="4"/>
      <c r="AR2163" s="4" t="s">
        <v>27497</v>
      </c>
      <c r="AS2163" s="4" t="s">
        <v>27510</v>
      </c>
      <c r="AT2163" s="4" t="s">
        <v>26570</v>
      </c>
      <c r="AU2163" s="4" t="n">
        <v>2012</v>
      </c>
      <c r="AV2163" s="4" t="n">
        <v>7</v>
      </c>
      <c r="AW2163" s="4" t="n">
        <v>8</v>
      </c>
      <c r="AX2163" s="4"/>
      <c r="AY2163" s="4"/>
      <c r="AZ2163" s="4"/>
      <c r="BA2163" s="4"/>
      <c r="BB2163" s="4"/>
      <c r="BC2163" s="4"/>
      <c r="BD2163" s="4" t="s">
        <v>36439</v>
      </c>
      <c r="BE2163" s="4" t="s">
        <v>36440</v>
      </c>
      <c r="BF2163" s="4" t="str">
        <f aca="false">HYPERLINK("http://dx.doi.org/10.1371/journal.pone.0043666","http://dx.doi.org/10.1371/journal.pone.0043666")</f>
        <v>http://dx.doi.org/10.1371/journal.pone.0043666</v>
      </c>
      <c r="BG2163" s="4"/>
      <c r="BH2163" s="4"/>
      <c r="BI2163" s="4" t="n">
        <v>7</v>
      </c>
      <c r="BJ2163" s="4" t="s">
        <v>1658</v>
      </c>
      <c r="BK2163" s="4" t="s">
        <v>100</v>
      </c>
      <c r="BL2163" s="4" t="s">
        <v>1659</v>
      </c>
      <c r="BM2163" s="4" t="s">
        <v>36441</v>
      </c>
      <c r="BN2163" s="4" t="n">
        <v>22912897</v>
      </c>
      <c r="BO2163" s="4" t="s">
        <v>103</v>
      </c>
      <c r="BP2163" s="4"/>
      <c r="BQ2163" s="4"/>
      <c r="BR2163" s="4" t="s">
        <v>104</v>
      </c>
      <c r="BS2163" s="4" t="s">
        <v>36442</v>
      </c>
      <c r="BT2163" s="4" t="str">
        <f aca="false">HYPERLINK("https%3A%2F%2Fwww.webofscience.com%2Fwos%2Fwoscc%2Ffull-record%2FWOS:000308063700125","View Full Record in Web of Science")</f>
        <v>View Full Record in Web of Science</v>
      </c>
    </row>
    <row r="2164" s="5" customFormat="true" ht="12.75" hidden="false" customHeight="false" outlineLevel="0" collapsed="false">
      <c r="A2164" s="4" t="s">
        <v>72</v>
      </c>
      <c r="B2164" s="4" t="s">
        <v>36443</v>
      </c>
      <c r="C2164" s="4"/>
      <c r="D2164" s="4"/>
      <c r="E2164" s="4"/>
      <c r="F2164" s="4" t="s">
        <v>36444</v>
      </c>
      <c r="G2164" s="4"/>
      <c r="H2164" s="4"/>
      <c r="I2164" s="4" t="s">
        <v>36445</v>
      </c>
      <c r="J2164" s="4" t="s">
        <v>141</v>
      </c>
      <c r="K2164" s="4"/>
      <c r="L2164" s="4"/>
      <c r="M2164" s="4" t="s">
        <v>77</v>
      </c>
      <c r="N2164" s="4" t="s">
        <v>78</v>
      </c>
      <c r="O2164" s="4"/>
      <c r="P2164" s="4"/>
      <c r="Q2164" s="4"/>
      <c r="R2164" s="4"/>
      <c r="S2164" s="4"/>
      <c r="T2164" s="1" t="s">
        <v>36446</v>
      </c>
      <c r="U2164" s="4" t="s">
        <v>36447</v>
      </c>
      <c r="V2164" s="4" t="s">
        <v>36448</v>
      </c>
      <c r="W2164" s="4" t="s">
        <v>36449</v>
      </c>
      <c r="X2164" s="4" t="s">
        <v>2006</v>
      </c>
      <c r="Y2164" s="4" t="s">
        <v>36450</v>
      </c>
      <c r="Z2164" s="4" t="s">
        <v>36451</v>
      </c>
      <c r="AA2164" s="4" t="s">
        <v>2009</v>
      </c>
      <c r="AB2164" s="4" t="s">
        <v>2010</v>
      </c>
      <c r="AC2164" s="4"/>
      <c r="AD2164" s="4"/>
      <c r="AE2164" s="4"/>
      <c r="AF2164" s="4"/>
      <c r="AG2164" s="4" t="n">
        <v>17</v>
      </c>
      <c r="AH2164" s="4" t="n">
        <v>1</v>
      </c>
      <c r="AI2164" s="4" t="n">
        <v>1</v>
      </c>
      <c r="AJ2164" s="4" t="n">
        <v>0</v>
      </c>
      <c r="AK2164" s="4" t="n">
        <v>4</v>
      </c>
      <c r="AL2164" s="4" t="s">
        <v>154</v>
      </c>
      <c r="AM2164" s="4" t="s">
        <v>155</v>
      </c>
      <c r="AN2164" s="4" t="s">
        <v>156</v>
      </c>
      <c r="AO2164" s="4" t="s">
        <v>157</v>
      </c>
      <c r="AP2164" s="4" t="s">
        <v>158</v>
      </c>
      <c r="AQ2164" s="4"/>
      <c r="AR2164" s="4" t="s">
        <v>159</v>
      </c>
      <c r="AS2164" s="4" t="s">
        <v>160</v>
      </c>
      <c r="AT2164" s="4" t="s">
        <v>486</v>
      </c>
      <c r="AU2164" s="4" t="n">
        <v>2021</v>
      </c>
      <c r="AV2164" s="4" t="n">
        <v>93</v>
      </c>
      <c r="AW2164" s="4" t="n">
        <v>6</v>
      </c>
      <c r="AX2164" s="4"/>
      <c r="AY2164" s="4"/>
      <c r="AZ2164" s="4"/>
      <c r="BA2164" s="4"/>
      <c r="BB2164" s="4" t="n">
        <v>3955</v>
      </c>
      <c r="BC2164" s="4" t="n">
        <v>3959</v>
      </c>
      <c r="BD2164" s="4"/>
      <c r="BE2164" s="4" t="s">
        <v>36452</v>
      </c>
      <c r="BF2164" s="4" t="str">
        <f aca="false">HYPERLINK("http://dx.doi.org/10.1002/jmv.26477","http://dx.doi.org/10.1002/jmv.26477")</f>
        <v>http://dx.doi.org/10.1002/jmv.26477</v>
      </c>
      <c r="BG2164" s="4"/>
      <c r="BH2164" s="4" t="s">
        <v>9434</v>
      </c>
      <c r="BI2164" s="4" t="n">
        <v>5</v>
      </c>
      <c r="BJ2164" s="4" t="s">
        <v>163</v>
      </c>
      <c r="BK2164" s="4" t="s">
        <v>100</v>
      </c>
      <c r="BL2164" s="4" t="s">
        <v>163</v>
      </c>
      <c r="BM2164" s="4" t="s">
        <v>18147</v>
      </c>
      <c r="BN2164" s="4" t="n">
        <v>32880994</v>
      </c>
      <c r="BO2164" s="4" t="s">
        <v>656</v>
      </c>
      <c r="BP2164" s="4"/>
      <c r="BQ2164" s="4"/>
      <c r="BR2164" s="4" t="s">
        <v>104</v>
      </c>
      <c r="BS2164" s="4" t="s">
        <v>36453</v>
      </c>
      <c r="BT2164" s="4" t="str">
        <f aca="false">HYPERLINK("https%3A%2F%2Fwww.webofscience.com%2Fwos%2Fwoscc%2Ffull-record%2FWOS:000573460000001","View Full Record in Web of Science")</f>
        <v>View Full Record in Web of Science</v>
      </c>
    </row>
    <row r="2165" s="5" customFormat="true" ht="12.75" hidden="false" customHeight="false" outlineLevel="0" collapsed="false">
      <c r="A2165" s="4" t="s">
        <v>72</v>
      </c>
      <c r="B2165" s="4" t="s">
        <v>36454</v>
      </c>
      <c r="C2165" s="4"/>
      <c r="D2165" s="4"/>
      <c r="E2165" s="4"/>
      <c r="F2165" s="4" t="s">
        <v>36455</v>
      </c>
      <c r="G2165" s="4"/>
      <c r="H2165" s="4"/>
      <c r="I2165" s="4" t="s">
        <v>36456</v>
      </c>
      <c r="J2165" s="4" t="s">
        <v>36457</v>
      </c>
      <c r="K2165" s="4"/>
      <c r="L2165" s="4"/>
      <c r="M2165" s="4" t="s">
        <v>77</v>
      </c>
      <c r="N2165" s="4" t="s">
        <v>78</v>
      </c>
      <c r="O2165" s="4"/>
      <c r="P2165" s="4"/>
      <c r="Q2165" s="4"/>
      <c r="R2165" s="4"/>
      <c r="S2165" s="4"/>
      <c r="T2165" s="1" t="s">
        <v>36458</v>
      </c>
      <c r="U2165" s="4" t="s">
        <v>36459</v>
      </c>
      <c r="V2165" s="4" t="s">
        <v>36460</v>
      </c>
      <c r="W2165" s="4" t="s">
        <v>36461</v>
      </c>
      <c r="X2165" s="4" t="s">
        <v>36462</v>
      </c>
      <c r="Y2165" s="4" t="s">
        <v>36463</v>
      </c>
      <c r="Z2165" s="4" t="s">
        <v>18042</v>
      </c>
      <c r="AA2165" s="4" t="s">
        <v>36464</v>
      </c>
      <c r="AB2165" s="4" t="s">
        <v>36465</v>
      </c>
      <c r="AC2165" s="4" t="s">
        <v>36466</v>
      </c>
      <c r="AD2165" s="4" t="s">
        <v>981</v>
      </c>
      <c r="AE2165" s="4"/>
      <c r="AF2165" s="4"/>
      <c r="AG2165" s="4" t="n">
        <v>35</v>
      </c>
      <c r="AH2165" s="4" t="n">
        <v>329</v>
      </c>
      <c r="AI2165" s="4" t="n">
        <v>362</v>
      </c>
      <c r="AJ2165" s="4" t="n">
        <v>0</v>
      </c>
      <c r="AK2165" s="4" t="n">
        <v>125</v>
      </c>
      <c r="AL2165" s="4" t="s">
        <v>1704</v>
      </c>
      <c r="AM2165" s="4" t="s">
        <v>1705</v>
      </c>
      <c r="AN2165" s="4" t="s">
        <v>1706</v>
      </c>
      <c r="AO2165" s="4" t="s">
        <v>36467</v>
      </c>
      <c r="AP2165" s="4" t="s">
        <v>36468</v>
      </c>
      <c r="AQ2165" s="4"/>
      <c r="AR2165" s="4" t="s">
        <v>36469</v>
      </c>
      <c r="AS2165" s="4" t="s">
        <v>36470</v>
      </c>
      <c r="AT2165" s="4" t="s">
        <v>36471</v>
      </c>
      <c r="AU2165" s="4" t="n">
        <v>2008</v>
      </c>
      <c r="AV2165" s="4" t="n">
        <v>18</v>
      </c>
      <c r="AW2165" s="4" t="n">
        <v>4</v>
      </c>
      <c r="AX2165" s="4"/>
      <c r="AY2165" s="4"/>
      <c r="AZ2165" s="4"/>
      <c r="BA2165" s="4"/>
      <c r="BB2165" s="4" t="n">
        <v>260</v>
      </c>
      <c r="BC2165" s="4" t="n">
        <v>264</v>
      </c>
      <c r="BD2165" s="4"/>
      <c r="BE2165" s="4" t="s">
        <v>36472</v>
      </c>
      <c r="BF2165" s="4" t="str">
        <f aca="false">HYPERLINK("http://dx.doi.org/10.1016/j.cub.2008.01.012","http://dx.doi.org/10.1016/j.cub.2008.01.012")</f>
        <v>http://dx.doi.org/10.1016/j.cub.2008.01.012</v>
      </c>
      <c r="BG2165" s="4"/>
      <c r="BH2165" s="4"/>
      <c r="BI2165" s="4" t="n">
        <v>5</v>
      </c>
      <c r="BJ2165" s="4" t="s">
        <v>36473</v>
      </c>
      <c r="BK2165" s="4" t="s">
        <v>100</v>
      </c>
      <c r="BL2165" s="4" t="s">
        <v>36474</v>
      </c>
      <c r="BM2165" s="4" t="s">
        <v>36475</v>
      </c>
      <c r="BN2165" s="4" t="n">
        <v>18222690</v>
      </c>
      <c r="BO2165" s="4" t="s">
        <v>538</v>
      </c>
      <c r="BP2165" s="4"/>
      <c r="BQ2165" s="4"/>
      <c r="BR2165" s="4" t="s">
        <v>104</v>
      </c>
      <c r="BS2165" s="4" t="s">
        <v>36476</v>
      </c>
      <c r="BT2165" s="4" t="str">
        <f aca="false">HYPERLINK("https%3A%2F%2Fwww.webofscience.com%2Fwos%2Fwoscc%2Ffull-record%2FWOS:000253470300024","View Full Record in Web of Science")</f>
        <v>View Full Record in Web of Science</v>
      </c>
    </row>
    <row r="2166" s="5" customFormat="true" ht="12.75" hidden="false" customHeight="false" outlineLevel="0" collapsed="false">
      <c r="A2166" s="4" t="s">
        <v>72</v>
      </c>
      <c r="B2166" s="4" t="s">
        <v>36477</v>
      </c>
      <c r="C2166" s="4"/>
      <c r="D2166" s="4"/>
      <c r="E2166" s="4"/>
      <c r="F2166" s="4" t="s">
        <v>36478</v>
      </c>
      <c r="G2166" s="4"/>
      <c r="H2166" s="4"/>
      <c r="I2166" s="4" t="s">
        <v>36479</v>
      </c>
      <c r="J2166" s="4" t="s">
        <v>27453</v>
      </c>
      <c r="K2166" s="4"/>
      <c r="L2166" s="4"/>
      <c r="M2166" s="4" t="s">
        <v>77</v>
      </c>
      <c r="N2166" s="4" t="s">
        <v>78</v>
      </c>
      <c r="O2166" s="4"/>
      <c r="P2166" s="4"/>
      <c r="Q2166" s="4"/>
      <c r="R2166" s="4"/>
      <c r="S2166" s="4"/>
      <c r="T2166" s="1" t="s">
        <v>36480</v>
      </c>
      <c r="U2166" s="4" t="s">
        <v>36481</v>
      </c>
      <c r="V2166" s="4" t="s">
        <v>36482</v>
      </c>
      <c r="W2166" s="4" t="s">
        <v>36483</v>
      </c>
      <c r="X2166" s="4" t="s">
        <v>11443</v>
      </c>
      <c r="Y2166" s="4" t="s">
        <v>36484</v>
      </c>
      <c r="Z2166" s="4" t="s">
        <v>19998</v>
      </c>
      <c r="AA2166" s="4" t="s">
        <v>36485</v>
      </c>
      <c r="AB2166" s="4" t="s">
        <v>36486</v>
      </c>
      <c r="AC2166" s="4"/>
      <c r="AD2166" s="4"/>
      <c r="AE2166" s="4"/>
      <c r="AF2166" s="4"/>
      <c r="AG2166" s="4" t="n">
        <v>20</v>
      </c>
      <c r="AH2166" s="4" t="n">
        <v>37</v>
      </c>
      <c r="AI2166" s="4" t="n">
        <v>43</v>
      </c>
      <c r="AJ2166" s="4" t="n">
        <v>1</v>
      </c>
      <c r="AK2166" s="4" t="n">
        <v>19</v>
      </c>
      <c r="AL2166" s="4" t="s">
        <v>27463</v>
      </c>
      <c r="AM2166" s="4" t="s">
        <v>16252</v>
      </c>
      <c r="AN2166" s="4" t="s">
        <v>27464</v>
      </c>
      <c r="AO2166" s="4" t="s">
        <v>27465</v>
      </c>
      <c r="AP2166" s="4" t="s">
        <v>27466</v>
      </c>
      <c r="AQ2166" s="4"/>
      <c r="AR2166" s="4" t="s">
        <v>27467</v>
      </c>
      <c r="AS2166" s="4" t="s">
        <v>27468</v>
      </c>
      <c r="AT2166" s="4" t="s">
        <v>161</v>
      </c>
      <c r="AU2166" s="4" t="n">
        <v>2018</v>
      </c>
      <c r="AV2166" s="4" t="n">
        <v>71</v>
      </c>
      <c r="AW2166" s="4" t="n">
        <v>1</v>
      </c>
      <c r="AX2166" s="4"/>
      <c r="AY2166" s="4"/>
      <c r="AZ2166" s="4"/>
      <c r="BA2166" s="4"/>
      <c r="BB2166" s="4" t="n">
        <v>39</v>
      </c>
      <c r="BC2166" s="4" t="n">
        <v>44</v>
      </c>
      <c r="BD2166" s="4"/>
      <c r="BE2166" s="4" t="s">
        <v>36487</v>
      </c>
      <c r="BF2166" s="4" t="str">
        <f aca="false">HYPERLINK("http://dx.doi.org/10.7883/yoken.JJID.2017.323","http://dx.doi.org/10.7883/yoken.JJID.2017.323")</f>
        <v>http://dx.doi.org/10.7883/yoken.JJID.2017.323</v>
      </c>
      <c r="BG2166" s="4"/>
      <c r="BH2166" s="4"/>
      <c r="BI2166" s="4" t="n">
        <v>6</v>
      </c>
      <c r="BJ2166" s="4" t="s">
        <v>575</v>
      </c>
      <c r="BK2166" s="4" t="s">
        <v>100</v>
      </c>
      <c r="BL2166" s="4" t="s">
        <v>575</v>
      </c>
      <c r="BM2166" s="4" t="s">
        <v>36488</v>
      </c>
      <c r="BN2166" s="4" t="n">
        <v>29279451</v>
      </c>
      <c r="BO2166" s="4" t="s">
        <v>1355</v>
      </c>
      <c r="BP2166" s="4"/>
      <c r="BQ2166" s="4"/>
      <c r="BR2166" s="4" t="s">
        <v>104</v>
      </c>
      <c r="BS2166" s="4" t="s">
        <v>36489</v>
      </c>
      <c r="BT2166" s="4" t="str">
        <f aca="false">HYPERLINK("https%3A%2F%2Fwww.webofscience.com%2Fwos%2Fwoscc%2Ffull-record%2FWOS:000424858600007","View Full Record in Web of Science")</f>
        <v>View Full Record in Web of Science</v>
      </c>
    </row>
    <row r="2167" s="5" customFormat="true" ht="12.75" hidden="false" customHeight="false" outlineLevel="0" collapsed="false">
      <c r="A2167" s="4" t="s">
        <v>72</v>
      </c>
      <c r="B2167" s="4" t="s">
        <v>36490</v>
      </c>
      <c r="C2167" s="4"/>
      <c r="D2167" s="4"/>
      <c r="E2167" s="4"/>
      <c r="F2167" s="4" t="s">
        <v>36491</v>
      </c>
      <c r="G2167" s="4"/>
      <c r="H2167" s="4"/>
      <c r="I2167" s="4" t="s">
        <v>36492</v>
      </c>
      <c r="J2167" s="4" t="s">
        <v>30335</v>
      </c>
      <c r="K2167" s="4"/>
      <c r="L2167" s="4"/>
      <c r="M2167" s="4" t="s">
        <v>77</v>
      </c>
      <c r="N2167" s="4" t="s">
        <v>78</v>
      </c>
      <c r="O2167" s="4"/>
      <c r="P2167" s="4"/>
      <c r="Q2167" s="4"/>
      <c r="R2167" s="4"/>
      <c r="S2167" s="4"/>
      <c r="T2167" s="1" t="s">
        <v>36493</v>
      </c>
      <c r="U2167" s="4" t="s">
        <v>36494</v>
      </c>
      <c r="V2167" s="4" t="s">
        <v>36495</v>
      </c>
      <c r="W2167" s="4" t="s">
        <v>36496</v>
      </c>
      <c r="X2167" s="4" t="s">
        <v>36497</v>
      </c>
      <c r="Y2167" s="4" t="s">
        <v>36498</v>
      </c>
      <c r="Z2167" s="4" t="s">
        <v>36499</v>
      </c>
      <c r="AA2167" s="4"/>
      <c r="AB2167" s="4" t="s">
        <v>36500</v>
      </c>
      <c r="AC2167" s="4" t="s">
        <v>36501</v>
      </c>
      <c r="AD2167" s="4" t="s">
        <v>36502</v>
      </c>
      <c r="AE2167" s="4" t="s">
        <v>36503</v>
      </c>
      <c r="AF2167" s="4"/>
      <c r="AG2167" s="4" t="n">
        <v>23</v>
      </c>
      <c r="AH2167" s="4" t="n">
        <v>103</v>
      </c>
      <c r="AI2167" s="4" t="n">
        <v>113</v>
      </c>
      <c r="AJ2167" s="4" t="n">
        <v>0</v>
      </c>
      <c r="AK2167" s="4" t="n">
        <v>12</v>
      </c>
      <c r="AL2167" s="4" t="s">
        <v>919</v>
      </c>
      <c r="AM2167" s="4" t="s">
        <v>593</v>
      </c>
      <c r="AN2167" s="4" t="s">
        <v>920</v>
      </c>
      <c r="AO2167" s="4" t="s">
        <v>30345</v>
      </c>
      <c r="AP2167" s="4" t="s">
        <v>33667</v>
      </c>
      <c r="AQ2167" s="4"/>
      <c r="AR2167" s="4" t="s">
        <v>30346</v>
      </c>
      <c r="AS2167" s="4" t="s">
        <v>2881</v>
      </c>
      <c r="AT2167" s="4" t="s">
        <v>97</v>
      </c>
      <c r="AU2167" s="4" t="n">
        <v>2009</v>
      </c>
      <c r="AV2167" s="4" t="n">
        <v>154</v>
      </c>
      <c r="AW2167" s="4" t="n">
        <v>3</v>
      </c>
      <c r="AX2167" s="4"/>
      <c r="AY2167" s="4"/>
      <c r="AZ2167" s="4"/>
      <c r="BA2167" s="4"/>
      <c r="BB2167" s="4" t="n">
        <v>396</v>
      </c>
      <c r="BC2167" s="4" t="n">
        <v>400</v>
      </c>
      <c r="BD2167" s="4"/>
      <c r="BE2167" s="4" t="s">
        <v>36504</v>
      </c>
      <c r="BF2167" s="4" t="str">
        <f aca="false">HYPERLINK("http://dx.doi.org/10.1016/j.jpeds.2008.08.036","http://dx.doi.org/10.1016/j.jpeds.2008.08.036")</f>
        <v>http://dx.doi.org/10.1016/j.jpeds.2008.08.036</v>
      </c>
      <c r="BG2167" s="4"/>
      <c r="BH2167" s="4"/>
      <c r="BI2167" s="4" t="n">
        <v>5</v>
      </c>
      <c r="BJ2167" s="4" t="s">
        <v>601</v>
      </c>
      <c r="BK2167" s="4" t="s">
        <v>100</v>
      </c>
      <c r="BL2167" s="4" t="s">
        <v>601</v>
      </c>
      <c r="BM2167" s="4" t="s">
        <v>36505</v>
      </c>
      <c r="BN2167" s="4" t="n">
        <v>18823911</v>
      </c>
      <c r="BO2167" s="4" t="s">
        <v>1089</v>
      </c>
      <c r="BP2167" s="4"/>
      <c r="BQ2167" s="4"/>
      <c r="BR2167" s="4" t="s">
        <v>104</v>
      </c>
      <c r="BS2167" s="4" t="s">
        <v>36506</v>
      </c>
      <c r="BT2167" s="4" t="str">
        <f aca="false">HYPERLINK("https%3A%2F%2Fwww.webofscience.com%2Fwos%2Fwoscc%2Ffull-record%2FWOS:000264166100020","View Full Record in Web of Science")</f>
        <v>View Full Record in Web of Science</v>
      </c>
    </row>
    <row r="2168" s="5" customFormat="true" ht="12.75" hidden="false" customHeight="false" outlineLevel="0" collapsed="false">
      <c r="A2168" s="4" t="s">
        <v>72</v>
      </c>
      <c r="B2168" s="4" t="s">
        <v>36507</v>
      </c>
      <c r="C2168" s="4"/>
      <c r="D2168" s="4"/>
      <c r="E2168" s="4"/>
      <c r="F2168" s="4" t="s">
        <v>36508</v>
      </c>
      <c r="G2168" s="4"/>
      <c r="H2168" s="4"/>
      <c r="I2168" s="4" t="s">
        <v>36509</v>
      </c>
      <c r="J2168" s="4" t="s">
        <v>36510</v>
      </c>
      <c r="K2168" s="4"/>
      <c r="L2168" s="4"/>
      <c r="M2168" s="4" t="s">
        <v>77</v>
      </c>
      <c r="N2168" s="4" t="s">
        <v>78</v>
      </c>
      <c r="O2168" s="4"/>
      <c r="P2168" s="4"/>
      <c r="Q2168" s="4"/>
      <c r="R2168" s="4"/>
      <c r="S2168" s="4"/>
      <c r="T2168" s="1" t="s">
        <v>36511</v>
      </c>
      <c r="U2168" s="4" t="s">
        <v>36512</v>
      </c>
      <c r="V2168" s="4" t="s">
        <v>36513</v>
      </c>
      <c r="W2168" s="4" t="s">
        <v>36514</v>
      </c>
      <c r="X2168" s="4" t="s">
        <v>36515</v>
      </c>
      <c r="Y2168" s="4" t="s">
        <v>36516</v>
      </c>
      <c r="Z2168" s="4" t="s">
        <v>36517</v>
      </c>
      <c r="AA2168" s="4" t="s">
        <v>36518</v>
      </c>
      <c r="AB2168" s="4" t="s">
        <v>36519</v>
      </c>
      <c r="AC2168" s="4" t="s">
        <v>36520</v>
      </c>
      <c r="AD2168" s="4" t="s">
        <v>2416</v>
      </c>
      <c r="AE2168" s="4"/>
      <c r="AF2168" s="4"/>
      <c r="AG2168" s="4" t="n">
        <v>50</v>
      </c>
      <c r="AH2168" s="4" t="n">
        <v>46</v>
      </c>
      <c r="AI2168" s="4" t="n">
        <v>52</v>
      </c>
      <c r="AJ2168" s="4" t="n">
        <v>0</v>
      </c>
      <c r="AK2168" s="4" t="n">
        <v>0</v>
      </c>
      <c r="AL2168" s="4" t="s">
        <v>1704</v>
      </c>
      <c r="AM2168" s="4" t="s">
        <v>1705</v>
      </c>
      <c r="AN2168" s="4" t="s">
        <v>1706</v>
      </c>
      <c r="AO2168" s="4" t="s">
        <v>36521</v>
      </c>
      <c r="AP2168" s="4" t="s">
        <v>36522</v>
      </c>
      <c r="AQ2168" s="4"/>
      <c r="AR2168" s="4" t="s">
        <v>36523</v>
      </c>
      <c r="AS2168" s="4" t="s">
        <v>36524</v>
      </c>
      <c r="AT2168" s="4" t="s">
        <v>486</v>
      </c>
      <c r="AU2168" s="4" t="n">
        <v>2008</v>
      </c>
      <c r="AV2168" s="4" t="n">
        <v>16</v>
      </c>
      <c r="AW2168" s="4" t="n">
        <v>6</v>
      </c>
      <c r="AX2168" s="4"/>
      <c r="AY2168" s="4"/>
      <c r="AZ2168" s="4"/>
      <c r="BA2168" s="4"/>
      <c r="BB2168" s="4" t="n">
        <v>1120</v>
      </c>
      <c r="BC2168" s="4" t="n">
        <v>1128</v>
      </c>
      <c r="BD2168" s="4"/>
      <c r="BE2168" s="4" t="s">
        <v>36525</v>
      </c>
      <c r="BF2168" s="4" t="str">
        <f aca="false">HYPERLINK("http://dx.doi.org/10.1038/mt.2008.81","http://dx.doi.org/10.1038/mt.2008.81")</f>
        <v>http://dx.doi.org/10.1038/mt.2008.81</v>
      </c>
      <c r="BG2168" s="4"/>
      <c r="BH2168" s="4"/>
      <c r="BI2168" s="4" t="n">
        <v>9</v>
      </c>
      <c r="BJ2168" s="4" t="s">
        <v>36526</v>
      </c>
      <c r="BK2168" s="4" t="s">
        <v>100</v>
      </c>
      <c r="BL2168" s="4" t="s">
        <v>36527</v>
      </c>
      <c r="BM2168" s="4" t="s">
        <v>36528</v>
      </c>
      <c r="BN2168" s="4" t="n">
        <v>18443602</v>
      </c>
      <c r="BO2168" s="4" t="s">
        <v>3505</v>
      </c>
      <c r="BP2168" s="4"/>
      <c r="BQ2168" s="4"/>
      <c r="BR2168" s="4" t="s">
        <v>104</v>
      </c>
      <c r="BS2168" s="4" t="s">
        <v>36529</v>
      </c>
      <c r="BT2168" s="4" t="str">
        <f aca="false">HYPERLINK("https%3A%2F%2Fwww.webofscience.com%2Fwos%2Fwoscc%2Ffull-record%2FWOS:000256247500021","View Full Record in Web of Science")</f>
        <v>View Full Record in Web of Science</v>
      </c>
    </row>
    <row r="2169" s="5" customFormat="true" ht="12.75" hidden="false" customHeight="false" outlineLevel="0" collapsed="false">
      <c r="A2169" s="4" t="s">
        <v>72</v>
      </c>
      <c r="B2169" s="4" t="s">
        <v>36530</v>
      </c>
      <c r="C2169" s="4"/>
      <c r="D2169" s="4"/>
      <c r="E2169" s="4"/>
      <c r="F2169" s="4" t="s">
        <v>36531</v>
      </c>
      <c r="G2169" s="4"/>
      <c r="H2169" s="4"/>
      <c r="I2169" s="4" t="s">
        <v>36532</v>
      </c>
      <c r="J2169" s="4" t="s">
        <v>27497</v>
      </c>
      <c r="K2169" s="4"/>
      <c r="L2169" s="4"/>
      <c r="M2169" s="4" t="s">
        <v>77</v>
      </c>
      <c r="N2169" s="4" t="s">
        <v>78</v>
      </c>
      <c r="O2169" s="4"/>
      <c r="P2169" s="4"/>
      <c r="Q2169" s="4"/>
      <c r="R2169" s="4"/>
      <c r="S2169" s="4"/>
      <c r="T2169" s="1" t="s">
        <v>36533</v>
      </c>
      <c r="U2169" s="4" t="s">
        <v>36534</v>
      </c>
      <c r="V2169" s="4" t="s">
        <v>36535</v>
      </c>
      <c r="W2169" s="4"/>
      <c r="X2169" s="4"/>
      <c r="Y2169" s="4" t="s">
        <v>36536</v>
      </c>
      <c r="Z2169" s="4" t="s">
        <v>36537</v>
      </c>
      <c r="AA2169" s="4" t="s">
        <v>36538</v>
      </c>
      <c r="AB2169" s="4" t="s">
        <v>36539</v>
      </c>
      <c r="AC2169" s="4"/>
      <c r="AD2169" s="4"/>
      <c r="AE2169" s="4"/>
      <c r="AF2169" s="4"/>
      <c r="AG2169" s="4" t="n">
        <v>41</v>
      </c>
      <c r="AH2169" s="4" t="n">
        <v>7</v>
      </c>
      <c r="AI2169" s="4" t="n">
        <v>7</v>
      </c>
      <c r="AJ2169" s="4" t="n">
        <v>0</v>
      </c>
      <c r="AK2169" s="4" t="n">
        <v>1</v>
      </c>
      <c r="AL2169" s="4" t="s">
        <v>27506</v>
      </c>
      <c r="AM2169" s="4" t="s">
        <v>27507</v>
      </c>
      <c r="AN2169" s="4" t="s">
        <v>27508</v>
      </c>
      <c r="AO2169" s="4" t="s">
        <v>27509</v>
      </c>
      <c r="AP2169" s="4"/>
      <c r="AQ2169" s="4"/>
      <c r="AR2169" s="4" t="s">
        <v>27497</v>
      </c>
      <c r="AS2169" s="4" t="s">
        <v>27510</v>
      </c>
      <c r="AT2169" s="4" t="s">
        <v>904</v>
      </c>
      <c r="AU2169" s="4" t="n">
        <v>2009</v>
      </c>
      <c r="AV2169" s="4" t="n">
        <v>4</v>
      </c>
      <c r="AW2169" s="4" t="n">
        <v>8</v>
      </c>
      <c r="AX2169" s="4"/>
      <c r="AY2169" s="4"/>
      <c r="AZ2169" s="4"/>
      <c r="BA2169" s="4"/>
      <c r="BB2169" s="4"/>
      <c r="BC2169" s="4"/>
      <c r="BD2169" s="4" t="s">
        <v>36540</v>
      </c>
      <c r="BE2169" s="4" t="s">
        <v>36541</v>
      </c>
      <c r="BF2169" s="4" t="str">
        <f aca="false">HYPERLINK("http://dx.doi.org/10.1371/journal.pone.0006681","http://dx.doi.org/10.1371/journal.pone.0006681")</f>
        <v>http://dx.doi.org/10.1371/journal.pone.0006681</v>
      </c>
      <c r="BG2169" s="4"/>
      <c r="BH2169" s="4"/>
      <c r="BI2169" s="4" t="n">
        <v>7</v>
      </c>
      <c r="BJ2169" s="4" t="s">
        <v>1658</v>
      </c>
      <c r="BK2169" s="4" t="s">
        <v>100</v>
      </c>
      <c r="BL2169" s="4" t="s">
        <v>1659</v>
      </c>
      <c r="BM2169" s="4" t="s">
        <v>36542</v>
      </c>
      <c r="BN2169" s="4" t="n">
        <v>19688094</v>
      </c>
      <c r="BO2169" s="4" t="s">
        <v>5702</v>
      </c>
      <c r="BP2169" s="4"/>
      <c r="BQ2169" s="4"/>
      <c r="BR2169" s="4" t="s">
        <v>104</v>
      </c>
      <c r="BS2169" s="4" t="s">
        <v>36543</v>
      </c>
      <c r="BT2169" s="4" t="str">
        <f aca="false">HYPERLINK("https%3A%2F%2Fwww.webofscience.com%2Fwos%2Fwoscc%2Ffull-record%2FWOS:000269075800016","View Full Record in Web of Science")</f>
        <v>View Full Record in Web of Science</v>
      </c>
    </row>
    <row r="2170" s="5" customFormat="true" ht="12.75" hidden="false" customHeight="false" outlineLevel="0" collapsed="false">
      <c r="A2170" s="4" t="s">
        <v>72</v>
      </c>
      <c r="B2170" s="4" t="s">
        <v>36544</v>
      </c>
      <c r="C2170" s="4"/>
      <c r="D2170" s="4"/>
      <c r="E2170" s="4"/>
      <c r="F2170" s="4" t="s">
        <v>36545</v>
      </c>
      <c r="G2170" s="4"/>
      <c r="H2170" s="4"/>
      <c r="I2170" s="4" t="s">
        <v>36546</v>
      </c>
      <c r="J2170" s="4" t="s">
        <v>6395</v>
      </c>
      <c r="K2170" s="4"/>
      <c r="L2170" s="4"/>
      <c r="M2170" s="4" t="s">
        <v>77</v>
      </c>
      <c r="N2170" s="4" t="s">
        <v>78</v>
      </c>
      <c r="O2170" s="4"/>
      <c r="P2170" s="4"/>
      <c r="Q2170" s="4"/>
      <c r="R2170" s="4"/>
      <c r="S2170" s="4"/>
      <c r="T2170" s="1" t="s">
        <v>36547</v>
      </c>
      <c r="U2170" s="4" t="s">
        <v>36548</v>
      </c>
      <c r="V2170" s="4" t="s">
        <v>36549</v>
      </c>
      <c r="W2170" s="4" t="s">
        <v>36550</v>
      </c>
      <c r="X2170" s="4" t="s">
        <v>36551</v>
      </c>
      <c r="Y2170" s="4" t="s">
        <v>36552</v>
      </c>
      <c r="Z2170" s="4" t="s">
        <v>36553</v>
      </c>
      <c r="AA2170" s="4" t="s">
        <v>36554</v>
      </c>
      <c r="AB2170" s="4" t="s">
        <v>36555</v>
      </c>
      <c r="AC2170" s="4" t="s">
        <v>36556</v>
      </c>
      <c r="AD2170" s="4" t="s">
        <v>36557</v>
      </c>
      <c r="AE2170" s="4" t="s">
        <v>36558</v>
      </c>
      <c r="AF2170" s="4"/>
      <c r="AG2170" s="4" t="n">
        <v>27</v>
      </c>
      <c r="AH2170" s="4" t="n">
        <v>5</v>
      </c>
      <c r="AI2170" s="4" t="n">
        <v>5</v>
      </c>
      <c r="AJ2170" s="4" t="n">
        <v>0</v>
      </c>
      <c r="AK2170" s="4" t="n">
        <v>4</v>
      </c>
      <c r="AL2170" s="4" t="s">
        <v>6405</v>
      </c>
      <c r="AM2170" s="4" t="s">
        <v>6406</v>
      </c>
      <c r="AN2170" s="4" t="s">
        <v>6407</v>
      </c>
      <c r="AO2170" s="4" t="s">
        <v>6408</v>
      </c>
      <c r="AP2170" s="4"/>
      <c r="AQ2170" s="4"/>
      <c r="AR2170" s="4" t="s">
        <v>6409</v>
      </c>
      <c r="AS2170" s="4" t="s">
        <v>6410</v>
      </c>
      <c r="AT2170" s="4" t="s">
        <v>34644</v>
      </c>
      <c r="AU2170" s="4" t="n">
        <v>2022</v>
      </c>
      <c r="AV2170" s="4" t="n">
        <v>12</v>
      </c>
      <c r="AW2170" s="4" t="n">
        <v>1</v>
      </c>
      <c r="AX2170" s="4"/>
      <c r="AY2170" s="4"/>
      <c r="AZ2170" s="4"/>
      <c r="BA2170" s="4"/>
      <c r="BB2170" s="4"/>
      <c r="BC2170" s="4"/>
      <c r="BD2170" s="4" t="n">
        <v>202</v>
      </c>
      <c r="BE2170" s="4" t="s">
        <v>36559</v>
      </c>
      <c r="BF2170" s="4" t="str">
        <f aca="false">HYPERLINK("http://dx.doi.org/10.1038/s41598-021-03987-1","http://dx.doi.org/10.1038/s41598-021-03987-1")</f>
        <v>http://dx.doi.org/10.1038/s41598-021-03987-1</v>
      </c>
      <c r="BG2170" s="4"/>
      <c r="BH2170" s="4"/>
      <c r="BI2170" s="4" t="n">
        <v>11</v>
      </c>
      <c r="BJ2170" s="4" t="s">
        <v>1658</v>
      </c>
      <c r="BK2170" s="4" t="s">
        <v>100</v>
      </c>
      <c r="BL2170" s="4" t="s">
        <v>1659</v>
      </c>
      <c r="BM2170" s="4" t="s">
        <v>36560</v>
      </c>
      <c r="BN2170" s="4" t="n">
        <v>34997042</v>
      </c>
      <c r="BO2170" s="4" t="s">
        <v>33104</v>
      </c>
      <c r="BP2170" s="4"/>
      <c r="BQ2170" s="4"/>
      <c r="BR2170" s="4" t="s">
        <v>104</v>
      </c>
      <c r="BS2170" s="4" t="s">
        <v>36561</v>
      </c>
      <c r="BT2170" s="4" t="str">
        <f aca="false">HYPERLINK("https%3A%2F%2Fwww.webofscience.com%2Fwos%2Fwoscc%2Ffull-record%2FWOS:000740510500138","View Full Record in Web of Science")</f>
        <v>View Full Record in Web of Science</v>
      </c>
    </row>
    <row r="2171" s="5" customFormat="true" ht="12.75" hidden="false" customHeight="false" outlineLevel="0" collapsed="false">
      <c r="A2171" s="4" t="s">
        <v>72</v>
      </c>
      <c r="B2171" s="4" t="s">
        <v>36562</v>
      </c>
      <c r="C2171" s="4"/>
      <c r="D2171" s="4"/>
      <c r="E2171" s="4"/>
      <c r="F2171" s="4" t="s">
        <v>36563</v>
      </c>
      <c r="G2171" s="4"/>
      <c r="H2171" s="4"/>
      <c r="I2171" s="4" t="s">
        <v>36564</v>
      </c>
      <c r="J2171" s="4" t="s">
        <v>36565</v>
      </c>
      <c r="K2171" s="4"/>
      <c r="L2171" s="4"/>
      <c r="M2171" s="4" t="s">
        <v>77</v>
      </c>
      <c r="N2171" s="4" t="s">
        <v>78</v>
      </c>
      <c r="O2171" s="4"/>
      <c r="P2171" s="4"/>
      <c r="Q2171" s="4"/>
      <c r="R2171" s="4"/>
      <c r="S2171" s="4"/>
      <c r="T2171" s="1" t="s">
        <v>36566</v>
      </c>
      <c r="U2171" s="4" t="s">
        <v>36567</v>
      </c>
      <c r="V2171" s="4" t="s">
        <v>36568</v>
      </c>
      <c r="W2171" s="4" t="s">
        <v>36569</v>
      </c>
      <c r="X2171" s="4" t="s">
        <v>36570</v>
      </c>
      <c r="Y2171" s="4" t="s">
        <v>36571</v>
      </c>
      <c r="Z2171" s="4" t="s">
        <v>25511</v>
      </c>
      <c r="AA2171" s="4" t="s">
        <v>25512</v>
      </c>
      <c r="AB2171" s="4" t="s">
        <v>36572</v>
      </c>
      <c r="AC2171" s="4" t="s">
        <v>36573</v>
      </c>
      <c r="AD2171" s="4" t="s">
        <v>36574</v>
      </c>
      <c r="AE2171" s="4" t="s">
        <v>36575</v>
      </c>
      <c r="AF2171" s="4"/>
      <c r="AG2171" s="4" t="n">
        <v>25</v>
      </c>
      <c r="AH2171" s="4" t="n">
        <v>21</v>
      </c>
      <c r="AI2171" s="4" t="n">
        <v>22</v>
      </c>
      <c r="AJ2171" s="4" t="n">
        <v>0</v>
      </c>
      <c r="AK2171" s="4" t="n">
        <v>3</v>
      </c>
      <c r="AL2171" s="4" t="s">
        <v>1565</v>
      </c>
      <c r="AM2171" s="4" t="s">
        <v>1566</v>
      </c>
      <c r="AN2171" s="4" t="s">
        <v>1567</v>
      </c>
      <c r="AO2171" s="4" t="s">
        <v>36576</v>
      </c>
      <c r="AP2171" s="4" t="s">
        <v>36577</v>
      </c>
      <c r="AQ2171" s="4"/>
      <c r="AR2171" s="4" t="s">
        <v>36578</v>
      </c>
      <c r="AS2171" s="4" t="s">
        <v>36579</v>
      </c>
      <c r="AT2171" s="4" t="s">
        <v>925</v>
      </c>
      <c r="AU2171" s="4" t="n">
        <v>2015</v>
      </c>
      <c r="AV2171" s="4" t="n">
        <v>29</v>
      </c>
      <c r="AW2171" s="4" t="n">
        <v>1</v>
      </c>
      <c r="AX2171" s="4"/>
      <c r="AY2171" s="4"/>
      <c r="AZ2171" s="4"/>
      <c r="BA2171" s="4"/>
      <c r="BB2171" s="4" t="n">
        <v>19</v>
      </c>
      <c r="BC2171" s="4" t="n">
        <v>22</v>
      </c>
      <c r="BD2171" s="4"/>
      <c r="BE2171" s="4" t="s">
        <v>36580</v>
      </c>
      <c r="BF2171" s="4" t="str">
        <f aca="false">HYPERLINK("http://dx.doi.org/10.2500/ajra.2015.29.4129","http://dx.doi.org/10.2500/ajra.2015.29.4129")</f>
        <v>http://dx.doi.org/10.2500/ajra.2015.29.4129</v>
      </c>
      <c r="BG2171" s="4"/>
      <c r="BH2171" s="4"/>
      <c r="BI2171" s="4" t="n">
        <v>4</v>
      </c>
      <c r="BJ2171" s="4" t="s">
        <v>23811</v>
      </c>
      <c r="BK2171" s="4" t="s">
        <v>100</v>
      </c>
      <c r="BL2171" s="4" t="s">
        <v>23811</v>
      </c>
      <c r="BM2171" s="4" t="s">
        <v>36581</v>
      </c>
      <c r="BN2171" s="4" t="n">
        <v>25590310</v>
      </c>
      <c r="BO2171" s="4"/>
      <c r="BP2171" s="4"/>
      <c r="BQ2171" s="4"/>
      <c r="BR2171" s="4" t="s">
        <v>104</v>
      </c>
      <c r="BS2171" s="4" t="s">
        <v>36582</v>
      </c>
      <c r="BT2171" s="4" t="str">
        <f aca="false">HYPERLINK("https%3A%2F%2Fwww.webofscience.com%2Fwos%2Fwoscc%2Ffull-record%2FWOS:000351717100007","View Full Record in Web of Science")</f>
        <v>View Full Record in Web of Science</v>
      </c>
    </row>
    <row r="2172" s="5" customFormat="true" ht="12.75" hidden="false" customHeight="false" outlineLevel="0" collapsed="false">
      <c r="A2172" s="4" t="s">
        <v>72</v>
      </c>
      <c r="B2172" s="4" t="s">
        <v>36583</v>
      </c>
      <c r="C2172" s="4"/>
      <c r="D2172" s="4"/>
      <c r="E2172" s="4"/>
      <c r="F2172" s="4" t="s">
        <v>36584</v>
      </c>
      <c r="G2172" s="4"/>
      <c r="H2172" s="4"/>
      <c r="I2172" s="4" t="s">
        <v>36585</v>
      </c>
      <c r="J2172" s="4" t="s">
        <v>3415</v>
      </c>
      <c r="K2172" s="4"/>
      <c r="L2172" s="4"/>
      <c r="M2172" s="4" t="s">
        <v>77</v>
      </c>
      <c r="N2172" s="4" t="s">
        <v>78</v>
      </c>
      <c r="O2172" s="4"/>
      <c r="P2172" s="4"/>
      <c r="Q2172" s="4"/>
      <c r="R2172" s="4"/>
      <c r="S2172" s="4"/>
      <c r="T2172" s="1" t="s">
        <v>36586</v>
      </c>
      <c r="U2172" s="4" t="s">
        <v>36587</v>
      </c>
      <c r="V2172" s="4" t="s">
        <v>36588</v>
      </c>
      <c r="W2172" s="4" t="s">
        <v>36589</v>
      </c>
      <c r="X2172" s="4" t="s">
        <v>7971</v>
      </c>
      <c r="Y2172" s="4" t="s">
        <v>36590</v>
      </c>
      <c r="Z2172" s="4" t="s">
        <v>36591</v>
      </c>
      <c r="AA2172" s="4" t="s">
        <v>36592</v>
      </c>
      <c r="AB2172" s="4" t="s">
        <v>36593</v>
      </c>
      <c r="AC2172" s="4" t="s">
        <v>18767</v>
      </c>
      <c r="AD2172" s="4" t="s">
        <v>16522</v>
      </c>
      <c r="AE2172" s="4" t="s">
        <v>36594</v>
      </c>
      <c r="AF2172" s="4"/>
      <c r="AG2172" s="4" t="n">
        <v>46</v>
      </c>
      <c r="AH2172" s="4" t="n">
        <v>10</v>
      </c>
      <c r="AI2172" s="4" t="n">
        <v>11</v>
      </c>
      <c r="AJ2172" s="4" t="n">
        <v>0</v>
      </c>
      <c r="AK2172" s="4" t="n">
        <v>4</v>
      </c>
      <c r="AL2172" s="4" t="s">
        <v>3426</v>
      </c>
      <c r="AM2172" s="4" t="s">
        <v>303</v>
      </c>
      <c r="AN2172" s="4" t="s">
        <v>3427</v>
      </c>
      <c r="AO2172" s="4" t="s">
        <v>3428</v>
      </c>
      <c r="AP2172" s="4" t="s">
        <v>3429</v>
      </c>
      <c r="AQ2172" s="4"/>
      <c r="AR2172" s="4" t="s">
        <v>3430</v>
      </c>
      <c r="AS2172" s="4" t="s">
        <v>3431</v>
      </c>
      <c r="AT2172" s="4" t="s">
        <v>185</v>
      </c>
      <c r="AU2172" s="4" t="n">
        <v>2016</v>
      </c>
      <c r="AV2172" s="4" t="n">
        <v>65</v>
      </c>
      <c r="AW2172" s="4"/>
      <c r="AX2172" s="4" t="n">
        <v>8</v>
      </c>
      <c r="AY2172" s="4"/>
      <c r="AZ2172" s="4"/>
      <c r="BA2172" s="4"/>
      <c r="BB2172" s="4" t="n">
        <v>793</v>
      </c>
      <c r="BC2172" s="4" t="n">
        <v>803</v>
      </c>
      <c r="BD2172" s="4"/>
      <c r="BE2172" s="4" t="s">
        <v>36595</v>
      </c>
      <c r="BF2172" s="4" t="str">
        <f aca="false">HYPERLINK("http://dx.doi.org/10.1099/jmm.0.000297","http://dx.doi.org/10.1099/jmm.0.000297")</f>
        <v>http://dx.doi.org/10.1099/jmm.0.000297</v>
      </c>
      <c r="BG2172" s="4"/>
      <c r="BH2172" s="4"/>
      <c r="BI2172" s="4" t="n">
        <v>11</v>
      </c>
      <c r="BJ2172" s="4" t="s">
        <v>211</v>
      </c>
      <c r="BK2172" s="4" t="s">
        <v>100</v>
      </c>
      <c r="BL2172" s="4" t="s">
        <v>211</v>
      </c>
      <c r="BM2172" s="4" t="s">
        <v>36596</v>
      </c>
      <c r="BN2172" s="4" t="n">
        <v>27302417</v>
      </c>
      <c r="BO2172" s="4" t="s">
        <v>656</v>
      </c>
      <c r="BP2172" s="4"/>
      <c r="BQ2172" s="4"/>
      <c r="BR2172" s="4" t="s">
        <v>104</v>
      </c>
      <c r="BS2172" s="4" t="s">
        <v>36597</v>
      </c>
      <c r="BT2172" s="4" t="str">
        <f aca="false">HYPERLINK("https%3A%2F%2Fwww.webofscience.com%2Fwos%2Fwoscc%2Ffull-record%2FWOS:000385014300012","View Full Record in Web of Science")</f>
        <v>View Full Record in Web of Science</v>
      </c>
    </row>
    <row r="2173" s="5" customFormat="true" ht="12.75" hidden="false" customHeight="false" outlineLevel="0" collapsed="false">
      <c r="A2173" s="4" t="s">
        <v>72</v>
      </c>
      <c r="B2173" s="4" t="s">
        <v>36598</v>
      </c>
      <c r="C2173" s="4"/>
      <c r="D2173" s="4"/>
      <c r="E2173" s="4"/>
      <c r="F2173" s="4" t="s">
        <v>36599</v>
      </c>
      <c r="G2173" s="4"/>
      <c r="H2173" s="4"/>
      <c r="I2173" s="4" t="s">
        <v>36600</v>
      </c>
      <c r="J2173" s="4" t="s">
        <v>29591</v>
      </c>
      <c r="K2173" s="4"/>
      <c r="L2173" s="4"/>
      <c r="M2173" s="4" t="s">
        <v>77</v>
      </c>
      <c r="N2173" s="4" t="s">
        <v>78</v>
      </c>
      <c r="O2173" s="4"/>
      <c r="P2173" s="4"/>
      <c r="Q2173" s="4"/>
      <c r="R2173" s="4"/>
      <c r="S2173" s="4"/>
      <c r="T2173" s="0"/>
      <c r="U2173" s="4" t="s">
        <v>36601</v>
      </c>
      <c r="V2173" s="4" t="s">
        <v>36602</v>
      </c>
      <c r="W2173" s="4" t="s">
        <v>36603</v>
      </c>
      <c r="X2173" s="4" t="s">
        <v>36604</v>
      </c>
      <c r="Y2173" s="4" t="s">
        <v>36605</v>
      </c>
      <c r="Z2173" s="4" t="s">
        <v>36606</v>
      </c>
      <c r="AA2173" s="4" t="s">
        <v>36607</v>
      </c>
      <c r="AB2173" s="4"/>
      <c r="AC2173" s="4" t="s">
        <v>36608</v>
      </c>
      <c r="AD2173" s="4" t="s">
        <v>36609</v>
      </c>
      <c r="AE2173" s="4" t="s">
        <v>9242</v>
      </c>
      <c r="AF2173" s="4"/>
      <c r="AG2173" s="4" t="n">
        <v>30</v>
      </c>
      <c r="AH2173" s="4" t="n">
        <v>4</v>
      </c>
      <c r="AI2173" s="4" t="n">
        <v>4</v>
      </c>
      <c r="AJ2173" s="4" t="n">
        <v>0</v>
      </c>
      <c r="AK2173" s="4" t="n">
        <v>2</v>
      </c>
      <c r="AL2173" s="4" t="s">
        <v>29603</v>
      </c>
      <c r="AM2173" s="4" t="s">
        <v>29604</v>
      </c>
      <c r="AN2173" s="4" t="s">
        <v>29605</v>
      </c>
      <c r="AO2173" s="4" t="s">
        <v>29606</v>
      </c>
      <c r="AP2173" s="4"/>
      <c r="AQ2173" s="4"/>
      <c r="AR2173" s="4" t="s">
        <v>29607</v>
      </c>
      <c r="AS2173" s="4" t="s">
        <v>29608</v>
      </c>
      <c r="AT2173" s="4" t="s">
        <v>486</v>
      </c>
      <c r="AU2173" s="4" t="n">
        <v>2016</v>
      </c>
      <c r="AV2173" s="4" t="n">
        <v>33</v>
      </c>
      <c r="AW2173" s="4" t="n">
        <v>2</v>
      </c>
      <c r="AX2173" s="4"/>
      <c r="AY2173" s="4"/>
      <c r="AZ2173" s="4"/>
      <c r="BA2173" s="4"/>
      <c r="BB2173" s="4" t="n">
        <v>311</v>
      </c>
      <c r="BC2173" s="4" t="n">
        <v>319</v>
      </c>
      <c r="BD2173" s="4"/>
      <c r="BE2173" s="4"/>
      <c r="BF2173" s="4"/>
      <c r="BG2173" s="4"/>
      <c r="BH2173" s="4"/>
      <c r="BI2173" s="4" t="n">
        <v>9</v>
      </c>
      <c r="BJ2173" s="4" t="s">
        <v>3199</v>
      </c>
      <c r="BK2173" s="4" t="s">
        <v>100</v>
      </c>
      <c r="BL2173" s="4" t="s">
        <v>3199</v>
      </c>
      <c r="BM2173" s="4" t="s">
        <v>36610</v>
      </c>
      <c r="BN2173" s="4" t="n">
        <v>33579098</v>
      </c>
      <c r="BO2173" s="4"/>
      <c r="BP2173" s="4"/>
      <c r="BQ2173" s="4"/>
      <c r="BR2173" s="4" t="s">
        <v>104</v>
      </c>
      <c r="BS2173" s="4" t="s">
        <v>36611</v>
      </c>
      <c r="BT2173" s="4" t="str">
        <f aca="false">HYPERLINK("https%3A%2F%2Fwww.webofscience.com%2Fwos%2Fwoscc%2Ffull-record%2FWOS:000379020000012","View Full Record in Web of Science")</f>
        <v>View Full Record in Web of Science</v>
      </c>
    </row>
    <row r="2174" s="5" customFormat="true" ht="12.75" hidden="false" customHeight="false" outlineLevel="0" collapsed="false">
      <c r="A2174" s="4" t="s">
        <v>72</v>
      </c>
      <c r="B2174" s="4" t="s">
        <v>36612</v>
      </c>
      <c r="C2174" s="4"/>
      <c r="D2174" s="4"/>
      <c r="E2174" s="4"/>
      <c r="F2174" s="4" t="s">
        <v>36613</v>
      </c>
      <c r="G2174" s="4"/>
      <c r="H2174" s="4"/>
      <c r="I2174" s="4" t="s">
        <v>36614</v>
      </c>
      <c r="J2174" s="4" t="s">
        <v>3415</v>
      </c>
      <c r="K2174" s="4"/>
      <c r="L2174" s="4"/>
      <c r="M2174" s="4" t="s">
        <v>77</v>
      </c>
      <c r="N2174" s="4" t="s">
        <v>78</v>
      </c>
      <c r="O2174" s="4"/>
      <c r="P2174" s="4"/>
      <c r="Q2174" s="4"/>
      <c r="R2174" s="4"/>
      <c r="S2174" s="4"/>
      <c r="T2174" s="1" t="s">
        <v>36615</v>
      </c>
      <c r="U2174" s="4" t="s">
        <v>36616</v>
      </c>
      <c r="V2174" s="4" t="s">
        <v>36617</v>
      </c>
      <c r="W2174" s="4" t="s">
        <v>36618</v>
      </c>
      <c r="X2174" s="4" t="s">
        <v>36619</v>
      </c>
      <c r="Y2174" s="4" t="s">
        <v>36620</v>
      </c>
      <c r="Z2174" s="4" t="s">
        <v>36621</v>
      </c>
      <c r="AA2174" s="4"/>
      <c r="AB2174" s="4" t="s">
        <v>36622</v>
      </c>
      <c r="AC2174" s="4" t="s">
        <v>36623</v>
      </c>
      <c r="AD2174" s="4" t="s">
        <v>36623</v>
      </c>
      <c r="AE2174" s="4" t="s">
        <v>36624</v>
      </c>
      <c r="AF2174" s="4"/>
      <c r="AG2174" s="4" t="n">
        <v>29</v>
      </c>
      <c r="AH2174" s="4" t="n">
        <v>19</v>
      </c>
      <c r="AI2174" s="4" t="n">
        <v>19</v>
      </c>
      <c r="AJ2174" s="4" t="n">
        <v>0</v>
      </c>
      <c r="AK2174" s="4" t="n">
        <v>6</v>
      </c>
      <c r="AL2174" s="4" t="s">
        <v>3426</v>
      </c>
      <c r="AM2174" s="4" t="s">
        <v>303</v>
      </c>
      <c r="AN2174" s="4" t="s">
        <v>3427</v>
      </c>
      <c r="AO2174" s="4" t="s">
        <v>3428</v>
      </c>
      <c r="AP2174" s="4" t="s">
        <v>3429</v>
      </c>
      <c r="AQ2174" s="4"/>
      <c r="AR2174" s="4" t="s">
        <v>3430</v>
      </c>
      <c r="AS2174" s="4" t="s">
        <v>3431</v>
      </c>
      <c r="AT2174" s="4" t="s">
        <v>692</v>
      </c>
      <c r="AU2174" s="4" t="n">
        <v>2012</v>
      </c>
      <c r="AV2174" s="4" t="n">
        <v>61</v>
      </c>
      <c r="AW2174" s="4" t="n">
        <v>4</v>
      </c>
      <c r="AX2174" s="4"/>
      <c r="AY2174" s="4"/>
      <c r="AZ2174" s="4"/>
      <c r="BA2174" s="4"/>
      <c r="BB2174" s="4" t="n">
        <v>548</v>
      </c>
      <c r="BC2174" s="4" t="n">
        <v>551</v>
      </c>
      <c r="BD2174" s="4"/>
      <c r="BE2174" s="4" t="s">
        <v>36625</v>
      </c>
      <c r="BF2174" s="4" t="str">
        <f aca="false">HYPERLINK("http://dx.doi.org/10.1099/jmm.0.035600-0","http://dx.doi.org/10.1099/jmm.0.035600-0")</f>
        <v>http://dx.doi.org/10.1099/jmm.0.035600-0</v>
      </c>
      <c r="BG2174" s="4"/>
      <c r="BH2174" s="4"/>
      <c r="BI2174" s="4" t="n">
        <v>4</v>
      </c>
      <c r="BJ2174" s="4" t="s">
        <v>211</v>
      </c>
      <c r="BK2174" s="4" t="s">
        <v>100</v>
      </c>
      <c r="BL2174" s="4" t="s">
        <v>211</v>
      </c>
      <c r="BM2174" s="4" t="s">
        <v>36626</v>
      </c>
      <c r="BN2174" s="4" t="n">
        <v>22116985</v>
      </c>
      <c r="BO2174" s="4"/>
      <c r="BP2174" s="4"/>
      <c r="BQ2174" s="4"/>
      <c r="BR2174" s="4" t="s">
        <v>104</v>
      </c>
      <c r="BS2174" s="4" t="s">
        <v>36627</v>
      </c>
      <c r="BT2174" s="4" t="str">
        <f aca="false">HYPERLINK("https%3A%2F%2Fwww.webofscience.com%2Fwos%2Fwoscc%2Ffull-record%2FWOS:000302884300014","View Full Record in Web of Science")</f>
        <v>View Full Record in Web of Science</v>
      </c>
    </row>
    <row r="2175" s="5" customFormat="true" ht="12.75" hidden="false" customHeight="false" outlineLevel="0" collapsed="false">
      <c r="A2175" s="4" t="s">
        <v>72</v>
      </c>
      <c r="B2175" s="4" t="s">
        <v>36628</v>
      </c>
      <c r="C2175" s="4"/>
      <c r="D2175" s="4"/>
      <c r="E2175" s="4"/>
      <c r="F2175" s="4" t="s">
        <v>36628</v>
      </c>
      <c r="G2175" s="4"/>
      <c r="H2175" s="4"/>
      <c r="I2175" s="4" t="s">
        <v>36629</v>
      </c>
      <c r="J2175" s="4" t="s">
        <v>7145</v>
      </c>
      <c r="K2175" s="4"/>
      <c r="L2175" s="4"/>
      <c r="M2175" s="4" t="s">
        <v>77</v>
      </c>
      <c r="N2175" s="4" t="s">
        <v>78</v>
      </c>
      <c r="O2175" s="4"/>
      <c r="P2175" s="4"/>
      <c r="Q2175" s="4"/>
      <c r="R2175" s="4"/>
      <c r="S2175" s="4"/>
      <c r="T2175" s="1" t="s">
        <v>36630</v>
      </c>
      <c r="U2175" s="4" t="s">
        <v>36631</v>
      </c>
      <c r="V2175" s="4" t="s">
        <v>36632</v>
      </c>
      <c r="W2175" s="4" t="s">
        <v>36633</v>
      </c>
      <c r="X2175" s="4" t="s">
        <v>36634</v>
      </c>
      <c r="Y2175" s="4" t="s">
        <v>36635</v>
      </c>
      <c r="Z2175" s="4" t="s">
        <v>36636</v>
      </c>
      <c r="AA2175" s="4" t="s">
        <v>36637</v>
      </c>
      <c r="AB2175" s="4" t="s">
        <v>36638</v>
      </c>
      <c r="AC2175" s="4"/>
      <c r="AD2175" s="4"/>
      <c r="AE2175" s="4"/>
      <c r="AF2175" s="4"/>
      <c r="AG2175" s="4" t="n">
        <v>32</v>
      </c>
      <c r="AH2175" s="4" t="n">
        <v>54</v>
      </c>
      <c r="AI2175" s="4" t="n">
        <v>63</v>
      </c>
      <c r="AJ2175" s="4" t="n">
        <v>7</v>
      </c>
      <c r="AK2175" s="4" t="n">
        <v>12</v>
      </c>
      <c r="AL2175" s="4" t="s">
        <v>3426</v>
      </c>
      <c r="AM2175" s="4" t="s">
        <v>303</v>
      </c>
      <c r="AN2175" s="4" t="s">
        <v>3427</v>
      </c>
      <c r="AO2175" s="4" t="s">
        <v>7158</v>
      </c>
      <c r="AP2175" s="4" t="s">
        <v>7159</v>
      </c>
      <c r="AQ2175" s="4"/>
      <c r="AR2175" s="4" t="s">
        <v>7160</v>
      </c>
      <c r="AS2175" s="4" t="s">
        <v>7161</v>
      </c>
      <c r="AT2175" s="4" t="s">
        <v>804</v>
      </c>
      <c r="AU2175" s="4" t="n">
        <v>2004</v>
      </c>
      <c r="AV2175" s="4" t="n">
        <v>85</v>
      </c>
      <c r="AW2175" s="4"/>
      <c r="AX2175" s="4" t="n">
        <v>11</v>
      </c>
      <c r="AY2175" s="4"/>
      <c r="AZ2175" s="4"/>
      <c r="BA2175" s="4"/>
      <c r="BB2175" s="4" t="n">
        <v>3219</v>
      </c>
      <c r="BC2175" s="4" t="n">
        <v>3227</v>
      </c>
      <c r="BD2175" s="4"/>
      <c r="BE2175" s="4" t="s">
        <v>36639</v>
      </c>
      <c r="BF2175" s="4" t="str">
        <f aca="false">HYPERLINK("http://dx.doi.org/10.1099/vir.0.80229-0","http://dx.doi.org/10.1099/vir.0.80229-0")</f>
        <v>http://dx.doi.org/10.1099/vir.0.80229-0</v>
      </c>
      <c r="BG2175" s="4"/>
      <c r="BH2175" s="4"/>
      <c r="BI2175" s="4" t="n">
        <v>9</v>
      </c>
      <c r="BJ2175" s="4" t="s">
        <v>7163</v>
      </c>
      <c r="BK2175" s="4" t="s">
        <v>100</v>
      </c>
      <c r="BL2175" s="4" t="s">
        <v>7163</v>
      </c>
      <c r="BM2175" s="4" t="s">
        <v>36640</v>
      </c>
      <c r="BN2175" s="4" t="n">
        <v>15483235</v>
      </c>
      <c r="BO2175" s="4" t="s">
        <v>656</v>
      </c>
      <c r="BP2175" s="4"/>
      <c r="BQ2175" s="4"/>
      <c r="BR2175" s="4" t="s">
        <v>104</v>
      </c>
      <c r="BS2175" s="4" t="s">
        <v>36641</v>
      </c>
      <c r="BT2175" s="4" t="str">
        <f aca="false">HYPERLINK("https%3A%2F%2Fwww.webofscience.com%2Fwos%2Fwoscc%2Ffull-record%2FWOS:000224769400006","View Full Record in Web of Science")</f>
        <v>View Full Record in Web of Science</v>
      </c>
    </row>
    <row r="2176" s="5" customFormat="true" ht="12.75" hidden="false" customHeight="false" outlineLevel="0" collapsed="false">
      <c r="A2176" s="4" t="s">
        <v>72</v>
      </c>
      <c r="B2176" s="4" t="s">
        <v>36642</v>
      </c>
      <c r="C2176" s="4"/>
      <c r="D2176" s="4"/>
      <c r="E2176" s="4"/>
      <c r="F2176" s="4" t="s">
        <v>36643</v>
      </c>
      <c r="G2176" s="4"/>
      <c r="H2176" s="4"/>
      <c r="I2176" s="4" t="s">
        <v>36644</v>
      </c>
      <c r="J2176" s="4" t="s">
        <v>12792</v>
      </c>
      <c r="K2176" s="4"/>
      <c r="L2176" s="4"/>
      <c r="M2176" s="4" t="s">
        <v>77</v>
      </c>
      <c r="N2176" s="4" t="s">
        <v>78</v>
      </c>
      <c r="O2176" s="4"/>
      <c r="P2176" s="4"/>
      <c r="Q2176" s="4"/>
      <c r="R2176" s="4"/>
      <c r="S2176" s="4"/>
      <c r="T2176" s="1" t="s">
        <v>36645</v>
      </c>
      <c r="U2176" s="4" t="s">
        <v>36646</v>
      </c>
      <c r="V2176" s="4" t="s">
        <v>36647</v>
      </c>
      <c r="W2176" s="4" t="s">
        <v>36648</v>
      </c>
      <c r="X2176" s="4" t="s">
        <v>36649</v>
      </c>
      <c r="Y2176" s="4" t="s">
        <v>36650</v>
      </c>
      <c r="Z2176" s="4" t="s">
        <v>36651</v>
      </c>
      <c r="AA2176" s="4" t="s">
        <v>36652</v>
      </c>
      <c r="AB2176" s="4" t="s">
        <v>36653</v>
      </c>
      <c r="AC2176" s="4" t="s">
        <v>36654</v>
      </c>
      <c r="AD2176" s="4" t="s">
        <v>36655</v>
      </c>
      <c r="AE2176" s="4"/>
      <c r="AF2176" s="4"/>
      <c r="AG2176" s="4" t="n">
        <v>50</v>
      </c>
      <c r="AH2176" s="4" t="n">
        <v>5</v>
      </c>
      <c r="AI2176" s="4" t="n">
        <v>5</v>
      </c>
      <c r="AJ2176" s="4" t="n">
        <v>0</v>
      </c>
      <c r="AK2176" s="4" t="n">
        <v>0</v>
      </c>
      <c r="AL2176" s="4" t="s">
        <v>1242</v>
      </c>
      <c r="AM2176" s="4" t="s">
        <v>303</v>
      </c>
      <c r="AN2176" s="4" t="s">
        <v>467</v>
      </c>
      <c r="AO2176" s="4" t="s">
        <v>12802</v>
      </c>
      <c r="AP2176" s="4" t="s">
        <v>14780</v>
      </c>
      <c r="AQ2176" s="4"/>
      <c r="AR2176" s="4" t="s">
        <v>12803</v>
      </c>
      <c r="AS2176" s="4" t="s">
        <v>12804</v>
      </c>
      <c r="AT2176" s="4" t="s">
        <v>446</v>
      </c>
      <c r="AU2176" s="4" t="n">
        <v>2022</v>
      </c>
      <c r="AV2176" s="4" t="n">
        <v>57</v>
      </c>
      <c r="AW2176" s="4" t="n">
        <v>12</v>
      </c>
      <c r="AX2176" s="4"/>
      <c r="AY2176" s="4"/>
      <c r="AZ2176" s="4"/>
      <c r="BA2176" s="4"/>
      <c r="BB2176" s="4" t="n">
        <v>1765</v>
      </c>
      <c r="BC2176" s="4" t="n">
        <v>1773</v>
      </c>
      <c r="BD2176" s="4"/>
      <c r="BE2176" s="4" t="s">
        <v>36656</v>
      </c>
      <c r="BF2176" s="4" t="str">
        <f aca="false">HYPERLINK("http://dx.doi.org/10.1038/s41409-022-01790-8","http://dx.doi.org/10.1038/s41409-022-01790-8")</f>
        <v>http://dx.doi.org/10.1038/s41409-022-01790-8</v>
      </c>
      <c r="BG2176" s="4"/>
      <c r="BH2176" s="4" t="s">
        <v>6262</v>
      </c>
      <c r="BI2176" s="4" t="n">
        <v>9</v>
      </c>
      <c r="BJ2176" s="4" t="s">
        <v>12806</v>
      </c>
      <c r="BK2176" s="4" t="s">
        <v>100</v>
      </c>
      <c r="BL2176" s="4" t="s">
        <v>12806</v>
      </c>
      <c r="BM2176" s="4" t="s">
        <v>36657</v>
      </c>
      <c r="BN2176" s="4" t="n">
        <v>36064752</v>
      </c>
      <c r="BO2176" s="4"/>
      <c r="BP2176" s="4"/>
      <c r="BQ2176" s="4"/>
      <c r="BR2176" s="4" t="s">
        <v>104</v>
      </c>
      <c r="BS2176" s="4" t="s">
        <v>36658</v>
      </c>
      <c r="BT2176" s="4" t="str">
        <f aca="false">HYPERLINK("https%3A%2F%2Fwww.webofscience.com%2Fwos%2Fwoscc%2Ffull-record%2FWOS:000850016200001","View Full Record in Web of Science")</f>
        <v>View Full Record in Web of Science</v>
      </c>
    </row>
    <row r="2177" s="5" customFormat="true" ht="12.75" hidden="false" customHeight="false" outlineLevel="0" collapsed="false">
      <c r="A2177" s="4" t="s">
        <v>72</v>
      </c>
      <c r="B2177" s="4" t="s">
        <v>36659</v>
      </c>
      <c r="C2177" s="4"/>
      <c r="D2177" s="4"/>
      <c r="E2177" s="4"/>
      <c r="F2177" s="4" t="s">
        <v>36660</v>
      </c>
      <c r="G2177" s="4"/>
      <c r="H2177" s="4"/>
      <c r="I2177" s="4" t="s">
        <v>36661</v>
      </c>
      <c r="J2177" s="4" t="s">
        <v>27497</v>
      </c>
      <c r="K2177" s="4"/>
      <c r="L2177" s="4"/>
      <c r="M2177" s="4" t="s">
        <v>77</v>
      </c>
      <c r="N2177" s="4" t="s">
        <v>78</v>
      </c>
      <c r="O2177" s="4"/>
      <c r="P2177" s="4"/>
      <c r="Q2177" s="4"/>
      <c r="R2177" s="4"/>
      <c r="S2177" s="4"/>
      <c r="T2177" s="1" t="s">
        <v>36662</v>
      </c>
      <c r="U2177" s="4" t="s">
        <v>36663</v>
      </c>
      <c r="V2177" s="4" t="s">
        <v>36664</v>
      </c>
      <c r="W2177" s="4" t="s">
        <v>36665</v>
      </c>
      <c r="X2177" s="4" t="s">
        <v>36666</v>
      </c>
      <c r="Y2177" s="4" t="s">
        <v>36667</v>
      </c>
      <c r="Z2177" s="4" t="s">
        <v>36668</v>
      </c>
      <c r="AA2177" s="4" t="s">
        <v>36669</v>
      </c>
      <c r="AB2177" s="4" t="s">
        <v>36670</v>
      </c>
      <c r="AC2177" s="4" t="s">
        <v>36671</v>
      </c>
      <c r="AD2177" s="4" t="s">
        <v>36672</v>
      </c>
      <c r="AE2177" s="4" t="s">
        <v>36673</v>
      </c>
      <c r="AF2177" s="4"/>
      <c r="AG2177" s="4" t="n">
        <v>36</v>
      </c>
      <c r="AH2177" s="4" t="n">
        <v>2</v>
      </c>
      <c r="AI2177" s="4" t="n">
        <v>2</v>
      </c>
      <c r="AJ2177" s="4" t="n">
        <v>1</v>
      </c>
      <c r="AK2177" s="4" t="n">
        <v>3</v>
      </c>
      <c r="AL2177" s="4" t="s">
        <v>27506</v>
      </c>
      <c r="AM2177" s="4" t="s">
        <v>27507</v>
      </c>
      <c r="AN2177" s="4" t="s">
        <v>27508</v>
      </c>
      <c r="AO2177" s="4" t="s">
        <v>27509</v>
      </c>
      <c r="AP2177" s="4"/>
      <c r="AQ2177" s="4"/>
      <c r="AR2177" s="4" t="s">
        <v>27497</v>
      </c>
      <c r="AS2177" s="4" t="s">
        <v>27510</v>
      </c>
      <c r="AT2177" s="4" t="s">
        <v>1855</v>
      </c>
      <c r="AU2177" s="4" t="n">
        <v>2022</v>
      </c>
      <c r="AV2177" s="4" t="n">
        <v>17</v>
      </c>
      <c r="AW2177" s="4" t="n">
        <v>12</v>
      </c>
      <c r="AX2177" s="4"/>
      <c r="AY2177" s="4"/>
      <c r="AZ2177" s="4"/>
      <c r="BA2177" s="4"/>
      <c r="BB2177" s="4"/>
      <c r="BC2177" s="4"/>
      <c r="BD2177" s="4" t="s">
        <v>36674</v>
      </c>
      <c r="BE2177" s="4" t="s">
        <v>36675</v>
      </c>
      <c r="BF2177" s="4" t="str">
        <f aca="false">HYPERLINK("http://dx.doi.org/10.1371/journal.pone.0278543","http://dx.doi.org/10.1371/journal.pone.0278543")</f>
        <v>http://dx.doi.org/10.1371/journal.pone.0278543</v>
      </c>
      <c r="BG2177" s="4"/>
      <c r="BH2177" s="4"/>
      <c r="BI2177" s="4" t="n">
        <v>20</v>
      </c>
      <c r="BJ2177" s="4" t="s">
        <v>1658</v>
      </c>
      <c r="BK2177" s="4" t="s">
        <v>100</v>
      </c>
      <c r="BL2177" s="4" t="s">
        <v>1659</v>
      </c>
      <c r="BM2177" s="4" t="s">
        <v>36676</v>
      </c>
      <c r="BN2177" s="4" t="n">
        <v>36455065</v>
      </c>
      <c r="BO2177" s="4" t="s">
        <v>2582</v>
      </c>
      <c r="BP2177" s="4"/>
      <c r="BQ2177" s="4"/>
      <c r="BR2177" s="4" t="s">
        <v>104</v>
      </c>
      <c r="BS2177" s="4" t="s">
        <v>36677</v>
      </c>
      <c r="BT2177" s="4" t="str">
        <f aca="false">HYPERLINK("https%3A%2F%2Fwww.webofscience.com%2Fwos%2Fwoscc%2Ffull-record%2FWOS:000925734000174","View Full Record in Web of Science")</f>
        <v>View Full Record in Web of Science</v>
      </c>
    </row>
    <row r="2178" s="5" customFormat="true" ht="12.75" hidden="false" customHeight="false" outlineLevel="0" collapsed="false">
      <c r="A2178" s="4" t="s">
        <v>72</v>
      </c>
      <c r="B2178" s="4" t="s">
        <v>36678</v>
      </c>
      <c r="C2178" s="4"/>
      <c r="D2178" s="4"/>
      <c r="E2178" s="4"/>
      <c r="F2178" s="4" t="s">
        <v>36679</v>
      </c>
      <c r="G2178" s="4"/>
      <c r="H2178" s="4"/>
      <c r="I2178" s="4" t="s">
        <v>36680</v>
      </c>
      <c r="J2178" s="4" t="s">
        <v>4895</v>
      </c>
      <c r="K2178" s="4"/>
      <c r="L2178" s="4"/>
      <c r="M2178" s="4" t="s">
        <v>77</v>
      </c>
      <c r="N2178" s="4" t="s">
        <v>78</v>
      </c>
      <c r="O2178" s="4"/>
      <c r="P2178" s="4"/>
      <c r="Q2178" s="4"/>
      <c r="R2178" s="4"/>
      <c r="S2178" s="4"/>
      <c r="T2178" s="1" t="s">
        <v>36681</v>
      </c>
      <c r="U2178" s="4" t="s">
        <v>36682</v>
      </c>
      <c r="V2178" s="4" t="s">
        <v>36683</v>
      </c>
      <c r="W2178" s="4" t="s">
        <v>36684</v>
      </c>
      <c r="X2178" s="4" t="s">
        <v>36685</v>
      </c>
      <c r="Y2178" s="4" t="s">
        <v>36686</v>
      </c>
      <c r="Z2178" s="4" t="s">
        <v>36687</v>
      </c>
      <c r="AA2178" s="4" t="s">
        <v>36688</v>
      </c>
      <c r="AB2178" s="4" t="s">
        <v>36689</v>
      </c>
      <c r="AC2178" s="4" t="s">
        <v>36690</v>
      </c>
      <c r="AD2178" s="4" t="s">
        <v>36691</v>
      </c>
      <c r="AE2178" s="4" t="s">
        <v>36692</v>
      </c>
      <c r="AF2178" s="4"/>
      <c r="AG2178" s="4" t="n">
        <v>20</v>
      </c>
      <c r="AH2178" s="4" t="n">
        <v>9</v>
      </c>
      <c r="AI2178" s="4" t="n">
        <v>12</v>
      </c>
      <c r="AJ2178" s="4" t="n">
        <v>0</v>
      </c>
      <c r="AK2178" s="4" t="n">
        <v>7</v>
      </c>
      <c r="AL2178" s="4" t="s">
        <v>592</v>
      </c>
      <c r="AM2178" s="4" t="s">
        <v>593</v>
      </c>
      <c r="AN2178" s="4" t="s">
        <v>594</v>
      </c>
      <c r="AO2178" s="4" t="s">
        <v>4905</v>
      </c>
      <c r="AP2178" s="4" t="s">
        <v>4906</v>
      </c>
      <c r="AQ2178" s="4"/>
      <c r="AR2178" s="4" t="s">
        <v>4907</v>
      </c>
      <c r="AS2178" s="4" t="s">
        <v>4908</v>
      </c>
      <c r="AT2178" s="4" t="s">
        <v>97</v>
      </c>
      <c r="AU2178" s="4" t="n">
        <v>2016</v>
      </c>
      <c r="AV2178" s="4" t="n">
        <v>35</v>
      </c>
      <c r="AW2178" s="4" t="n">
        <v>3</v>
      </c>
      <c r="AX2178" s="4"/>
      <c r="AY2178" s="4"/>
      <c r="AZ2178" s="4"/>
      <c r="BA2178" s="4"/>
      <c r="BB2178" s="4" t="n">
        <v>405</v>
      </c>
      <c r="BC2178" s="4" t="n">
        <v>413</v>
      </c>
      <c r="BD2178" s="4"/>
      <c r="BE2178" s="4" t="s">
        <v>36693</v>
      </c>
      <c r="BF2178" s="4" t="str">
        <f aca="false">HYPERLINK("http://dx.doi.org/10.1007/s10096-015-2553-0","http://dx.doi.org/10.1007/s10096-015-2553-0")</f>
        <v>http://dx.doi.org/10.1007/s10096-015-2553-0</v>
      </c>
      <c r="BG2178" s="4"/>
      <c r="BH2178" s="4"/>
      <c r="BI2178" s="4" t="n">
        <v>9</v>
      </c>
      <c r="BJ2178" s="4" t="s">
        <v>1467</v>
      </c>
      <c r="BK2178" s="4" t="s">
        <v>100</v>
      </c>
      <c r="BL2178" s="4" t="s">
        <v>1467</v>
      </c>
      <c r="BM2178" s="4" t="s">
        <v>36694</v>
      </c>
      <c r="BN2178" s="4" t="n">
        <v>26740322</v>
      </c>
      <c r="BO2178" s="4" t="s">
        <v>165</v>
      </c>
      <c r="BP2178" s="4"/>
      <c r="BQ2178" s="4"/>
      <c r="BR2178" s="4" t="s">
        <v>104</v>
      </c>
      <c r="BS2178" s="4" t="s">
        <v>36695</v>
      </c>
      <c r="BT2178" s="4" t="str">
        <f aca="false">HYPERLINK("https%3A%2F%2Fwww.webofscience.com%2Fwos%2Fwoscc%2Ffull-record%2FWOS:000371434200010","View Full Record in Web of Science")</f>
        <v>View Full Record in Web of Science</v>
      </c>
    </row>
    <row r="2179" s="5" customFormat="true" ht="12.75" hidden="false" customHeight="false" outlineLevel="0" collapsed="false">
      <c r="A2179" s="4" t="s">
        <v>72</v>
      </c>
      <c r="B2179" s="4" t="s">
        <v>36696</v>
      </c>
      <c r="C2179" s="4"/>
      <c r="D2179" s="4"/>
      <c r="E2179" s="4"/>
      <c r="F2179" s="4" t="s">
        <v>36697</v>
      </c>
      <c r="G2179" s="4"/>
      <c r="H2179" s="4"/>
      <c r="I2179" s="4" t="s">
        <v>36698</v>
      </c>
      <c r="J2179" s="4" t="s">
        <v>36699</v>
      </c>
      <c r="K2179" s="4"/>
      <c r="L2179" s="4"/>
      <c r="M2179" s="4" t="s">
        <v>77</v>
      </c>
      <c r="N2179" s="4" t="s">
        <v>78</v>
      </c>
      <c r="O2179" s="4"/>
      <c r="P2179" s="4"/>
      <c r="Q2179" s="4"/>
      <c r="R2179" s="4"/>
      <c r="S2179" s="4"/>
      <c r="T2179" s="1" t="s">
        <v>36700</v>
      </c>
      <c r="U2179" s="4" t="s">
        <v>36701</v>
      </c>
      <c r="V2179" s="4" t="s">
        <v>36702</v>
      </c>
      <c r="W2179" s="4" t="s">
        <v>36703</v>
      </c>
      <c r="X2179" s="4" t="s">
        <v>36704</v>
      </c>
      <c r="Y2179" s="4" t="s">
        <v>36705</v>
      </c>
      <c r="Z2179" s="4" t="s">
        <v>36706</v>
      </c>
      <c r="AA2179" s="4" t="s">
        <v>36707</v>
      </c>
      <c r="AB2179" s="4" t="s">
        <v>36708</v>
      </c>
      <c r="AC2179" s="4" t="s">
        <v>36709</v>
      </c>
      <c r="AD2179" s="4" t="s">
        <v>36710</v>
      </c>
      <c r="AE2179" s="4" t="s">
        <v>36711</v>
      </c>
      <c r="AF2179" s="4"/>
      <c r="AG2179" s="4" t="n">
        <v>69</v>
      </c>
      <c r="AH2179" s="4" t="n">
        <v>5</v>
      </c>
      <c r="AI2179" s="4" t="n">
        <v>6</v>
      </c>
      <c r="AJ2179" s="4" t="n">
        <v>0</v>
      </c>
      <c r="AK2179" s="4" t="n">
        <v>9</v>
      </c>
      <c r="AL2179" s="4" t="s">
        <v>36712</v>
      </c>
      <c r="AM2179" s="4" t="s">
        <v>36713</v>
      </c>
      <c r="AN2179" s="4" t="s">
        <v>36714</v>
      </c>
      <c r="AO2179" s="4" t="s">
        <v>36715</v>
      </c>
      <c r="AP2179" s="4" t="s">
        <v>36716</v>
      </c>
      <c r="AQ2179" s="4"/>
      <c r="AR2179" s="4" t="s">
        <v>36717</v>
      </c>
      <c r="AS2179" s="4" t="s">
        <v>36718</v>
      </c>
      <c r="AT2179" s="4" t="s">
        <v>6281</v>
      </c>
      <c r="AU2179" s="4" t="n">
        <v>2009</v>
      </c>
      <c r="AV2179" s="4" t="n">
        <v>191</v>
      </c>
      <c r="AW2179" s="4" t="n">
        <v>9</v>
      </c>
      <c r="AX2179" s="4"/>
      <c r="AY2179" s="4" t="s">
        <v>130</v>
      </c>
      <c r="AZ2179" s="4"/>
      <c r="BA2179" s="4"/>
      <c r="BB2179" s="4" t="s">
        <v>36719</v>
      </c>
      <c r="BC2179" s="4" t="s">
        <v>36720</v>
      </c>
      <c r="BD2179" s="4"/>
      <c r="BE2179" s="4" t="s">
        <v>36721</v>
      </c>
      <c r="BF2179" s="4"/>
      <c r="BG2179" s="4"/>
      <c r="BH2179" s="4"/>
      <c r="BI2179" s="4" t="n">
        <v>5</v>
      </c>
      <c r="BJ2179" s="4" t="s">
        <v>363</v>
      </c>
      <c r="BK2179" s="4" t="s">
        <v>100</v>
      </c>
      <c r="BL2179" s="4" t="s">
        <v>364</v>
      </c>
      <c r="BM2179" s="4" t="s">
        <v>36722</v>
      </c>
      <c r="BN2179" s="4" t="n">
        <v>19883362</v>
      </c>
      <c r="BO2179" s="4"/>
      <c r="BP2179" s="4"/>
      <c r="BQ2179" s="4"/>
      <c r="BR2179" s="4" t="s">
        <v>104</v>
      </c>
      <c r="BS2179" s="4" t="s">
        <v>36723</v>
      </c>
      <c r="BT2179" s="4" t="str">
        <f aca="false">HYPERLINK("https%3A%2F%2Fwww.webofscience.com%2Fwos%2Fwoscc%2Ffull-record%2FWOS:000272529800009","View Full Record in Web of Science")</f>
        <v>View Full Record in Web of Science</v>
      </c>
    </row>
    <row r="2180" s="5" customFormat="true" ht="12.75" hidden="false" customHeight="false" outlineLevel="0" collapsed="false">
      <c r="A2180" s="4" t="s">
        <v>72</v>
      </c>
      <c r="B2180" s="4" t="s">
        <v>36724</v>
      </c>
      <c r="C2180" s="4"/>
      <c r="D2180" s="4"/>
      <c r="E2180" s="4"/>
      <c r="F2180" s="4" t="s">
        <v>36725</v>
      </c>
      <c r="G2180" s="4"/>
      <c r="H2180" s="4"/>
      <c r="I2180" s="4" t="s">
        <v>36726</v>
      </c>
      <c r="J2180" s="4" t="s">
        <v>36727</v>
      </c>
      <c r="K2180" s="4"/>
      <c r="L2180" s="4"/>
      <c r="M2180" s="4" t="s">
        <v>77</v>
      </c>
      <c r="N2180" s="4" t="s">
        <v>78</v>
      </c>
      <c r="O2180" s="4"/>
      <c r="P2180" s="4"/>
      <c r="Q2180" s="4"/>
      <c r="R2180" s="4"/>
      <c r="S2180" s="4"/>
      <c r="T2180" s="1" t="s">
        <v>36728</v>
      </c>
      <c r="U2180" s="4" t="s">
        <v>36729</v>
      </c>
      <c r="V2180" s="4" t="s">
        <v>36730</v>
      </c>
      <c r="W2180" s="4" t="s">
        <v>36731</v>
      </c>
      <c r="X2180" s="4" t="s">
        <v>36732</v>
      </c>
      <c r="Y2180" s="4" t="s">
        <v>36733</v>
      </c>
      <c r="Z2180" s="4" t="s">
        <v>36734</v>
      </c>
      <c r="AA2180" s="4" t="s">
        <v>36735</v>
      </c>
      <c r="AB2180" s="4" t="s">
        <v>10688</v>
      </c>
      <c r="AC2180" s="4"/>
      <c r="AD2180" s="4"/>
      <c r="AE2180" s="4"/>
      <c r="AF2180" s="4"/>
      <c r="AG2180" s="4" t="n">
        <v>35</v>
      </c>
      <c r="AH2180" s="4" t="n">
        <v>6</v>
      </c>
      <c r="AI2180" s="4" t="n">
        <v>6</v>
      </c>
      <c r="AJ2180" s="4" t="n">
        <v>0</v>
      </c>
      <c r="AK2180" s="4" t="n">
        <v>3</v>
      </c>
      <c r="AL2180" s="4" t="s">
        <v>36736</v>
      </c>
      <c r="AM2180" s="4" t="s">
        <v>36737</v>
      </c>
      <c r="AN2180" s="4" t="s">
        <v>36738</v>
      </c>
      <c r="AO2180" s="4" t="s">
        <v>36739</v>
      </c>
      <c r="AP2180" s="4" t="s">
        <v>36740</v>
      </c>
      <c r="AQ2180" s="4"/>
      <c r="AR2180" s="4" t="s">
        <v>36741</v>
      </c>
      <c r="AS2180" s="4" t="s">
        <v>36742</v>
      </c>
      <c r="AT2180" s="4" t="s">
        <v>390</v>
      </c>
      <c r="AU2180" s="4" t="n">
        <v>2016</v>
      </c>
      <c r="AV2180" s="4" t="n">
        <v>106</v>
      </c>
      <c r="AW2180" s="4" t="n">
        <v>5</v>
      </c>
      <c r="AX2180" s="4"/>
      <c r="AY2180" s="4"/>
      <c r="AZ2180" s="4"/>
      <c r="BA2180" s="4"/>
      <c r="BB2180" s="4" t="n">
        <v>32</v>
      </c>
      <c r="BC2180" s="4" t="n">
        <v>34</v>
      </c>
      <c r="BD2180" s="4"/>
      <c r="BE2180" s="4" t="s">
        <v>36743</v>
      </c>
      <c r="BF2180" s="4" t="str">
        <f aca="false">HYPERLINK("http://dx.doi.org/10.7196/SAMJ.v106i5.10436","http://dx.doi.org/10.7196/SAMJ.v106i5.10436")</f>
        <v>http://dx.doi.org/10.7196/SAMJ.v106i5.10436</v>
      </c>
      <c r="BG2180" s="4"/>
      <c r="BH2180" s="4"/>
      <c r="BI2180" s="4" t="n">
        <v>3</v>
      </c>
      <c r="BJ2180" s="4" t="s">
        <v>363</v>
      </c>
      <c r="BK2180" s="4" t="s">
        <v>100</v>
      </c>
      <c r="BL2180" s="4" t="s">
        <v>364</v>
      </c>
      <c r="BM2180" s="4" t="s">
        <v>36744</v>
      </c>
      <c r="BN2180" s="4"/>
      <c r="BO2180" s="4"/>
      <c r="BP2180" s="4"/>
      <c r="BQ2180" s="4"/>
      <c r="BR2180" s="4" t="s">
        <v>104</v>
      </c>
      <c r="BS2180" s="4" t="s">
        <v>36745</v>
      </c>
      <c r="BT2180" s="4" t="str">
        <f aca="false">HYPERLINK("https%3A%2F%2Fwww.webofscience.com%2Fwos%2Fwoscc%2Ffull-record%2FWOS:000380736100018","View Full Record in Web of Science")</f>
        <v>View Full Record in Web of Science</v>
      </c>
    </row>
    <row r="2181" s="5" customFormat="true" ht="12.75" hidden="false" customHeight="false" outlineLevel="0" collapsed="false">
      <c r="A2181" s="4" t="s">
        <v>72</v>
      </c>
      <c r="B2181" s="4" t="s">
        <v>36746</v>
      </c>
      <c r="C2181" s="4"/>
      <c r="D2181" s="4"/>
      <c r="E2181" s="4"/>
      <c r="F2181" s="4" t="s">
        <v>36747</v>
      </c>
      <c r="G2181" s="4"/>
      <c r="H2181" s="4"/>
      <c r="I2181" s="4" t="s">
        <v>36748</v>
      </c>
      <c r="J2181" s="4" t="s">
        <v>2406</v>
      </c>
      <c r="K2181" s="4"/>
      <c r="L2181" s="4"/>
      <c r="M2181" s="4" t="s">
        <v>77</v>
      </c>
      <c r="N2181" s="4" t="s">
        <v>78</v>
      </c>
      <c r="O2181" s="4"/>
      <c r="P2181" s="4"/>
      <c r="Q2181" s="4"/>
      <c r="R2181" s="4"/>
      <c r="S2181" s="4"/>
      <c r="T2181" s="1" t="s">
        <v>36749</v>
      </c>
      <c r="U2181" s="4" t="s">
        <v>36750</v>
      </c>
      <c r="V2181" s="4" t="s">
        <v>36751</v>
      </c>
      <c r="W2181" s="4" t="s">
        <v>36752</v>
      </c>
      <c r="X2181" s="4" t="s">
        <v>36753</v>
      </c>
      <c r="Y2181" s="4" t="s">
        <v>36754</v>
      </c>
      <c r="Z2181" s="4" t="s">
        <v>36755</v>
      </c>
      <c r="AA2181" s="4"/>
      <c r="AB2181" s="4" t="s">
        <v>15163</v>
      </c>
      <c r="AC2181" s="4"/>
      <c r="AD2181" s="4"/>
      <c r="AE2181" s="4"/>
      <c r="AF2181" s="4"/>
      <c r="AG2181" s="4" t="n">
        <v>183</v>
      </c>
      <c r="AH2181" s="4" t="n">
        <v>0</v>
      </c>
      <c r="AI2181" s="4" t="n">
        <v>0</v>
      </c>
      <c r="AJ2181" s="4" t="n">
        <v>4</v>
      </c>
      <c r="AK2181" s="4" t="n">
        <v>4</v>
      </c>
      <c r="AL2181" s="4" t="s">
        <v>383</v>
      </c>
      <c r="AM2181" s="4" t="s">
        <v>384</v>
      </c>
      <c r="AN2181" s="4" t="s">
        <v>385</v>
      </c>
      <c r="AO2181" s="4" t="s">
        <v>2417</v>
      </c>
      <c r="AP2181" s="4" t="s">
        <v>13985</v>
      </c>
      <c r="AQ2181" s="4"/>
      <c r="AR2181" s="4" t="s">
        <v>2418</v>
      </c>
      <c r="AS2181" s="4" t="s">
        <v>2419</v>
      </c>
      <c r="AT2181" s="4" t="s">
        <v>446</v>
      </c>
      <c r="AU2181" s="4" t="n">
        <v>2024</v>
      </c>
      <c r="AV2181" s="4" t="n">
        <v>232</v>
      </c>
      <c r="AW2181" s="4"/>
      <c r="AX2181" s="4"/>
      <c r="AY2181" s="4"/>
      <c r="AZ2181" s="4"/>
      <c r="BA2181" s="4"/>
      <c r="BB2181" s="4"/>
      <c r="BC2181" s="4"/>
      <c r="BD2181" s="4" t="n">
        <v>106037</v>
      </c>
      <c r="BE2181" s="4" t="s">
        <v>36756</v>
      </c>
      <c r="BF2181" s="4" t="str">
        <f aca="false">HYPERLINK("http://dx.doi.org/10.1016/j.antiviral.2024.106037","http://dx.doi.org/10.1016/j.antiviral.2024.106037")</f>
        <v>http://dx.doi.org/10.1016/j.antiviral.2024.106037</v>
      </c>
      <c r="BG2181" s="4"/>
      <c r="BH2181" s="4"/>
      <c r="BI2181" s="4" t="n">
        <v>36</v>
      </c>
      <c r="BJ2181" s="4" t="s">
        <v>2421</v>
      </c>
      <c r="BK2181" s="4" t="s">
        <v>100</v>
      </c>
      <c r="BL2181" s="4" t="s">
        <v>2421</v>
      </c>
      <c r="BM2181" s="4" t="s">
        <v>36757</v>
      </c>
      <c r="BN2181" s="4" t="n">
        <v>39542140</v>
      </c>
      <c r="BO2181" s="4"/>
      <c r="BP2181" s="4"/>
      <c r="BQ2181" s="4"/>
      <c r="BR2181" s="4" t="s">
        <v>104</v>
      </c>
      <c r="BS2181" s="4" t="s">
        <v>36758</v>
      </c>
      <c r="BT2181" s="4" t="str">
        <f aca="false">HYPERLINK("https%3A%2F%2Fwww.webofscience.com%2Fwos%2Fwoscc%2Ffull-record%2FWOS:001368537300001","View Full Record in Web of Science")</f>
        <v>View Full Record in Web of Science</v>
      </c>
    </row>
    <row r="2182" s="5" customFormat="true" ht="12.75" hidden="false" customHeight="false" outlineLevel="0" collapsed="false">
      <c r="A2182" s="4" t="s">
        <v>72</v>
      </c>
      <c r="B2182" s="4" t="s">
        <v>4853</v>
      </c>
      <c r="C2182" s="4"/>
      <c r="D2182" s="4"/>
      <c r="E2182" s="4"/>
      <c r="F2182" s="4" t="s">
        <v>4854</v>
      </c>
      <c r="G2182" s="4"/>
      <c r="H2182" s="4"/>
      <c r="I2182" s="4" t="s">
        <v>36759</v>
      </c>
      <c r="J2182" s="4" t="s">
        <v>32139</v>
      </c>
      <c r="K2182" s="4"/>
      <c r="L2182" s="4"/>
      <c r="M2182" s="4" t="s">
        <v>77</v>
      </c>
      <c r="N2182" s="4" t="s">
        <v>78</v>
      </c>
      <c r="O2182" s="4"/>
      <c r="P2182" s="4"/>
      <c r="Q2182" s="4"/>
      <c r="R2182" s="4"/>
      <c r="S2182" s="4"/>
      <c r="T2182" s="1" t="s">
        <v>36760</v>
      </c>
      <c r="U2182" s="4" t="s">
        <v>36761</v>
      </c>
      <c r="V2182" s="4" t="s">
        <v>36762</v>
      </c>
      <c r="W2182" s="4" t="s">
        <v>36763</v>
      </c>
      <c r="X2182" s="4" t="s">
        <v>4861</v>
      </c>
      <c r="Y2182" s="4" t="s">
        <v>36764</v>
      </c>
      <c r="Z2182" s="4" t="s">
        <v>4863</v>
      </c>
      <c r="AA2182" s="4"/>
      <c r="AB2182" s="4"/>
      <c r="AC2182" s="4" t="s">
        <v>36765</v>
      </c>
      <c r="AD2182" s="4" t="s">
        <v>36766</v>
      </c>
      <c r="AE2182" s="4" t="s">
        <v>36767</v>
      </c>
      <c r="AF2182" s="4"/>
      <c r="AG2182" s="4" t="n">
        <v>51</v>
      </c>
      <c r="AH2182" s="4" t="n">
        <v>17</v>
      </c>
      <c r="AI2182" s="4" t="n">
        <v>17</v>
      </c>
      <c r="AJ2182" s="4" t="n">
        <v>0</v>
      </c>
      <c r="AK2182" s="4" t="n">
        <v>2</v>
      </c>
      <c r="AL2182" s="4" t="s">
        <v>27808</v>
      </c>
      <c r="AM2182" s="4" t="s">
        <v>303</v>
      </c>
      <c r="AN2182" s="4" t="s">
        <v>27809</v>
      </c>
      <c r="AO2182" s="4" t="s">
        <v>32146</v>
      </c>
      <c r="AP2182" s="4" t="s">
        <v>32147</v>
      </c>
      <c r="AQ2182" s="4"/>
      <c r="AR2182" s="4" t="s">
        <v>32148</v>
      </c>
      <c r="AS2182" s="4" t="s">
        <v>32149</v>
      </c>
      <c r="AT2182" s="4"/>
      <c r="AU2182" s="4" t="n">
        <v>2015</v>
      </c>
      <c r="AV2182" s="4" t="n">
        <v>2015</v>
      </c>
      <c r="AW2182" s="4"/>
      <c r="AX2182" s="4"/>
      <c r="AY2182" s="4"/>
      <c r="AZ2182" s="4"/>
      <c r="BA2182" s="4"/>
      <c r="BB2182" s="4"/>
      <c r="BC2182" s="4"/>
      <c r="BD2182" s="4" t="n">
        <v>714062</v>
      </c>
      <c r="BE2182" s="4" t="s">
        <v>36768</v>
      </c>
      <c r="BF2182" s="4" t="str">
        <f aca="false">HYPERLINK("http://dx.doi.org/10.1155/2015/714062","http://dx.doi.org/10.1155/2015/714062")</f>
        <v>http://dx.doi.org/10.1155/2015/714062</v>
      </c>
      <c r="BG2182" s="4"/>
      <c r="BH2182" s="4"/>
      <c r="BI2182" s="4" t="n">
        <v>8</v>
      </c>
      <c r="BJ2182" s="4" t="s">
        <v>163</v>
      </c>
      <c r="BK2182" s="4" t="s">
        <v>339</v>
      </c>
      <c r="BL2182" s="4" t="s">
        <v>163</v>
      </c>
      <c r="BM2182" s="4" t="s">
        <v>36769</v>
      </c>
      <c r="BN2182" s="4" t="n">
        <v>25983755</v>
      </c>
      <c r="BO2182" s="4" t="s">
        <v>11315</v>
      </c>
      <c r="BP2182" s="4"/>
      <c r="BQ2182" s="4"/>
      <c r="BR2182" s="4" t="s">
        <v>104</v>
      </c>
      <c r="BS2182" s="4" t="s">
        <v>36770</v>
      </c>
      <c r="BT2182" s="4" t="str">
        <f aca="false">HYPERLINK("https%3A%2F%2Fwww.webofscience.com%2Fwos%2Fwoscc%2Ffull-record%2FWOS:000365294400001","View Full Record in Web of Science")</f>
        <v>View Full Record in Web of Science</v>
      </c>
    </row>
    <row r="2183" s="5" customFormat="true" ht="12.75" hidden="false" customHeight="false" outlineLevel="0" collapsed="false">
      <c r="A2183" s="4" t="s">
        <v>72</v>
      </c>
      <c r="B2183" s="4" t="s">
        <v>36771</v>
      </c>
      <c r="C2183" s="4"/>
      <c r="D2183" s="4"/>
      <c r="E2183" s="4"/>
      <c r="F2183" s="4" t="s">
        <v>36772</v>
      </c>
      <c r="G2183" s="4"/>
      <c r="H2183" s="4"/>
      <c r="I2183" s="4" t="s">
        <v>36773</v>
      </c>
      <c r="J2183" s="4" t="s">
        <v>36774</v>
      </c>
      <c r="K2183" s="4"/>
      <c r="L2183" s="4"/>
      <c r="M2183" s="4" t="s">
        <v>77</v>
      </c>
      <c r="N2183" s="4" t="s">
        <v>78</v>
      </c>
      <c r="O2183" s="4"/>
      <c r="P2183" s="4"/>
      <c r="Q2183" s="4"/>
      <c r="R2183" s="4"/>
      <c r="S2183" s="4"/>
      <c r="T2183" s="1" t="s">
        <v>36775</v>
      </c>
      <c r="U2183" s="4" t="s">
        <v>36776</v>
      </c>
      <c r="V2183" s="4" t="s">
        <v>36777</v>
      </c>
      <c r="W2183" s="4" t="s">
        <v>36778</v>
      </c>
      <c r="X2183" s="4" t="s">
        <v>36779</v>
      </c>
      <c r="Y2183" s="4" t="s">
        <v>36780</v>
      </c>
      <c r="Z2183" s="4" t="s">
        <v>36781</v>
      </c>
      <c r="AA2183" s="4" t="s">
        <v>36782</v>
      </c>
      <c r="AB2183" s="4" t="s">
        <v>36783</v>
      </c>
      <c r="AC2183" s="4" t="s">
        <v>36784</v>
      </c>
      <c r="AD2183" s="4" t="s">
        <v>36785</v>
      </c>
      <c r="AE2183" s="4" t="s">
        <v>36786</v>
      </c>
      <c r="AF2183" s="4"/>
      <c r="AG2183" s="4" t="n">
        <v>114</v>
      </c>
      <c r="AH2183" s="4" t="n">
        <v>5</v>
      </c>
      <c r="AI2183" s="4" t="n">
        <v>5</v>
      </c>
      <c r="AJ2183" s="4" t="n">
        <v>0</v>
      </c>
      <c r="AK2183" s="4" t="n">
        <v>7</v>
      </c>
      <c r="AL2183" s="4" t="s">
        <v>592</v>
      </c>
      <c r="AM2183" s="4" t="s">
        <v>593</v>
      </c>
      <c r="AN2183" s="4" t="s">
        <v>859</v>
      </c>
      <c r="AO2183" s="4" t="s">
        <v>36787</v>
      </c>
      <c r="AP2183" s="4" t="s">
        <v>36788</v>
      </c>
      <c r="AQ2183" s="4"/>
      <c r="AR2183" s="4" t="s">
        <v>36789</v>
      </c>
      <c r="AS2183" s="4" t="s">
        <v>36790</v>
      </c>
      <c r="AT2183" s="4" t="s">
        <v>804</v>
      </c>
      <c r="AU2183" s="4" t="n">
        <v>2022</v>
      </c>
      <c r="AV2183" s="4" t="n">
        <v>141</v>
      </c>
      <c r="AW2183" s="4" t="n">
        <v>11</v>
      </c>
      <c r="AX2183" s="4"/>
      <c r="AY2183" s="4"/>
      <c r="AZ2183" s="4"/>
      <c r="BA2183" s="4"/>
      <c r="BB2183" s="4" t="n">
        <v>1705</v>
      </c>
      <c r="BC2183" s="4" t="n">
        <v>1722</v>
      </c>
      <c r="BD2183" s="4"/>
      <c r="BE2183" s="4" t="s">
        <v>36791</v>
      </c>
      <c r="BF2183" s="4" t="str">
        <f aca="false">HYPERLINK("http://dx.doi.org/10.1007/s00439-022-02435-y","http://dx.doi.org/10.1007/s00439-022-02435-y")</f>
        <v>http://dx.doi.org/10.1007/s00439-022-02435-y</v>
      </c>
      <c r="BG2183" s="4"/>
      <c r="BH2183" s="4" t="s">
        <v>10762</v>
      </c>
      <c r="BI2183" s="4" t="n">
        <v>18</v>
      </c>
      <c r="BJ2183" s="4" t="s">
        <v>2604</v>
      </c>
      <c r="BK2183" s="4" t="s">
        <v>100</v>
      </c>
      <c r="BL2183" s="4" t="s">
        <v>2604</v>
      </c>
      <c r="BM2183" s="4" t="s">
        <v>36792</v>
      </c>
      <c r="BN2183" s="4" t="n">
        <v>35122525</v>
      </c>
      <c r="BO2183" s="4" t="s">
        <v>538</v>
      </c>
      <c r="BP2183" s="4"/>
      <c r="BQ2183" s="4"/>
      <c r="BR2183" s="4" t="s">
        <v>104</v>
      </c>
      <c r="BS2183" s="4" t="s">
        <v>36793</v>
      </c>
      <c r="BT2183" s="4" t="str">
        <f aca="false">HYPERLINK("https%3A%2F%2Fwww.webofscience.com%2Fwos%2Fwoscc%2Ffull-record%2FWOS:000751569600001","View Full Record in Web of Science")</f>
        <v>View Full Record in Web of Science</v>
      </c>
    </row>
    <row r="2184" s="5" customFormat="true" ht="12.75" hidden="false" customHeight="false" outlineLevel="0" collapsed="false">
      <c r="A2184" s="4" t="s">
        <v>72</v>
      </c>
      <c r="B2184" s="4" t="s">
        <v>36794</v>
      </c>
      <c r="C2184" s="4"/>
      <c r="D2184" s="4"/>
      <c r="E2184" s="4"/>
      <c r="F2184" s="4" t="s">
        <v>36795</v>
      </c>
      <c r="G2184" s="4"/>
      <c r="H2184" s="4"/>
      <c r="I2184" s="4" t="s">
        <v>36796</v>
      </c>
      <c r="J2184" s="4" t="s">
        <v>27497</v>
      </c>
      <c r="K2184" s="4"/>
      <c r="L2184" s="4"/>
      <c r="M2184" s="4" t="s">
        <v>77</v>
      </c>
      <c r="N2184" s="4" t="s">
        <v>78</v>
      </c>
      <c r="O2184" s="4"/>
      <c r="P2184" s="4"/>
      <c r="Q2184" s="4"/>
      <c r="R2184" s="4"/>
      <c r="S2184" s="4"/>
      <c r="T2184" s="1" t="s">
        <v>36797</v>
      </c>
      <c r="U2184" s="4" t="s">
        <v>36798</v>
      </c>
      <c r="V2184" s="4" t="s">
        <v>36799</v>
      </c>
      <c r="W2184" s="4" t="s">
        <v>36800</v>
      </c>
      <c r="X2184" s="4" t="s">
        <v>36801</v>
      </c>
      <c r="Y2184" s="4" t="s">
        <v>36802</v>
      </c>
      <c r="Z2184" s="4" t="s">
        <v>36803</v>
      </c>
      <c r="AA2184" s="4" t="s">
        <v>36804</v>
      </c>
      <c r="AB2184" s="4"/>
      <c r="AC2184" s="4" t="s">
        <v>36805</v>
      </c>
      <c r="AD2184" s="4" t="s">
        <v>36806</v>
      </c>
      <c r="AE2184" s="4" t="s">
        <v>36807</v>
      </c>
      <c r="AF2184" s="4"/>
      <c r="AG2184" s="4" t="n">
        <v>33</v>
      </c>
      <c r="AH2184" s="4" t="n">
        <v>5</v>
      </c>
      <c r="AI2184" s="4" t="n">
        <v>8</v>
      </c>
      <c r="AJ2184" s="4" t="n">
        <v>2</v>
      </c>
      <c r="AK2184" s="4" t="n">
        <v>8</v>
      </c>
      <c r="AL2184" s="4" t="s">
        <v>27506</v>
      </c>
      <c r="AM2184" s="4" t="s">
        <v>27507</v>
      </c>
      <c r="AN2184" s="4" t="s">
        <v>27508</v>
      </c>
      <c r="AO2184" s="4" t="s">
        <v>27509</v>
      </c>
      <c r="AP2184" s="4"/>
      <c r="AQ2184" s="4"/>
      <c r="AR2184" s="4" t="s">
        <v>27497</v>
      </c>
      <c r="AS2184" s="4" t="s">
        <v>27510</v>
      </c>
      <c r="AT2184" s="4" t="s">
        <v>36351</v>
      </c>
      <c r="AU2184" s="4" t="n">
        <v>2014</v>
      </c>
      <c r="AV2184" s="4" t="n">
        <v>9</v>
      </c>
      <c r="AW2184" s="4" t="n">
        <v>3</v>
      </c>
      <c r="AX2184" s="4"/>
      <c r="AY2184" s="4"/>
      <c r="AZ2184" s="4"/>
      <c r="BA2184" s="4"/>
      <c r="BB2184" s="4"/>
      <c r="BC2184" s="4"/>
      <c r="BD2184" s="4" t="s">
        <v>36808</v>
      </c>
      <c r="BE2184" s="4" t="s">
        <v>36809</v>
      </c>
      <c r="BF2184" s="4" t="str">
        <f aca="false">HYPERLINK("http://dx.doi.org/10.1371/journal.pone.0092136","http://dx.doi.org/10.1371/journal.pone.0092136")</f>
        <v>http://dx.doi.org/10.1371/journal.pone.0092136</v>
      </c>
      <c r="BG2184" s="4"/>
      <c r="BH2184" s="4"/>
      <c r="BI2184" s="4" t="n">
        <v>7</v>
      </c>
      <c r="BJ2184" s="4" t="s">
        <v>1658</v>
      </c>
      <c r="BK2184" s="4" t="s">
        <v>100</v>
      </c>
      <c r="BL2184" s="4" t="s">
        <v>1659</v>
      </c>
      <c r="BM2184" s="4" t="s">
        <v>36810</v>
      </c>
      <c r="BN2184" s="4" t="n">
        <v>24637582</v>
      </c>
      <c r="BO2184" s="4" t="s">
        <v>6349</v>
      </c>
      <c r="BP2184" s="4"/>
      <c r="BQ2184" s="4"/>
      <c r="BR2184" s="4" t="s">
        <v>104</v>
      </c>
      <c r="BS2184" s="4" t="s">
        <v>36811</v>
      </c>
      <c r="BT2184" s="4" t="str">
        <f aca="false">HYPERLINK("https%3A%2F%2Fwww.webofscience.com%2Fwos%2Fwoscc%2Ffull-record%2FWOS:000333254100119","View Full Record in Web of Science")</f>
        <v>View Full Record in Web of Science</v>
      </c>
    </row>
    <row r="2185" s="5" customFormat="true" ht="12.75" hidden="false" customHeight="false" outlineLevel="0" collapsed="false">
      <c r="A2185" s="4" t="s">
        <v>72</v>
      </c>
      <c r="B2185" s="4" t="s">
        <v>36812</v>
      </c>
      <c r="C2185" s="4"/>
      <c r="D2185" s="4"/>
      <c r="E2185" s="4"/>
      <c r="F2185" s="4" t="s">
        <v>36813</v>
      </c>
      <c r="G2185" s="4"/>
      <c r="H2185" s="4"/>
      <c r="I2185" s="4" t="s">
        <v>36814</v>
      </c>
      <c r="J2185" s="4" t="s">
        <v>36815</v>
      </c>
      <c r="K2185" s="4"/>
      <c r="L2185" s="4"/>
      <c r="M2185" s="4" t="s">
        <v>77</v>
      </c>
      <c r="N2185" s="4" t="s">
        <v>78</v>
      </c>
      <c r="O2185" s="4"/>
      <c r="P2185" s="4"/>
      <c r="Q2185" s="4"/>
      <c r="R2185" s="4"/>
      <c r="S2185" s="4"/>
      <c r="T2185" s="1" t="s">
        <v>36816</v>
      </c>
      <c r="U2185" s="4" t="s">
        <v>36817</v>
      </c>
      <c r="V2185" s="4" t="s">
        <v>36818</v>
      </c>
      <c r="W2185" s="4" t="s">
        <v>36819</v>
      </c>
      <c r="X2185" s="4" t="s">
        <v>36820</v>
      </c>
      <c r="Y2185" s="4" t="s">
        <v>36821</v>
      </c>
      <c r="Z2185" s="4" t="s">
        <v>36822</v>
      </c>
      <c r="AA2185" s="4"/>
      <c r="AB2185" s="4" t="s">
        <v>36823</v>
      </c>
      <c r="AC2185" s="4"/>
      <c r="AD2185" s="4"/>
      <c r="AE2185" s="4"/>
      <c r="AF2185" s="4"/>
      <c r="AG2185" s="4" t="n">
        <v>48</v>
      </c>
      <c r="AH2185" s="4" t="n">
        <v>35</v>
      </c>
      <c r="AI2185" s="4" t="n">
        <v>35</v>
      </c>
      <c r="AJ2185" s="4" t="n">
        <v>1</v>
      </c>
      <c r="AK2185" s="4" t="n">
        <v>3</v>
      </c>
      <c r="AL2185" s="4" t="s">
        <v>28840</v>
      </c>
      <c r="AM2185" s="4" t="s">
        <v>20223</v>
      </c>
      <c r="AN2185" s="4" t="s">
        <v>36824</v>
      </c>
      <c r="AO2185" s="4" t="s">
        <v>36825</v>
      </c>
      <c r="AP2185" s="4"/>
      <c r="AQ2185" s="4"/>
      <c r="AR2185" s="4" t="s">
        <v>36826</v>
      </c>
      <c r="AS2185" s="4" t="s">
        <v>36827</v>
      </c>
      <c r="AT2185" s="4" t="s">
        <v>17737</v>
      </c>
      <c r="AU2185" s="4" t="n">
        <v>2020</v>
      </c>
      <c r="AV2185" s="4" t="n">
        <v>3</v>
      </c>
      <c r="AW2185" s="4" t="n">
        <v>11</v>
      </c>
      <c r="AX2185" s="4"/>
      <c r="AY2185" s="4"/>
      <c r="AZ2185" s="4"/>
      <c r="BA2185" s="4"/>
      <c r="BB2185" s="4"/>
      <c r="BC2185" s="4"/>
      <c r="BD2185" s="4" t="s">
        <v>36828</v>
      </c>
      <c r="BE2185" s="4" t="s">
        <v>36829</v>
      </c>
      <c r="BF2185" s="4" t="str">
        <f aca="false">HYPERLINK("http://dx.doi.org/10.1001/jamanetworkopen.2020.19176","http://dx.doi.org/10.1001/jamanetworkopen.2020.19176")</f>
        <v>http://dx.doi.org/10.1001/jamanetworkopen.2020.19176</v>
      </c>
      <c r="BG2185" s="4"/>
      <c r="BH2185" s="4"/>
      <c r="BI2185" s="4" t="n">
        <v>13</v>
      </c>
      <c r="BJ2185" s="4" t="s">
        <v>363</v>
      </c>
      <c r="BK2185" s="4" t="s">
        <v>100</v>
      </c>
      <c r="BL2185" s="4" t="s">
        <v>364</v>
      </c>
      <c r="BM2185" s="4" t="s">
        <v>36830</v>
      </c>
      <c r="BN2185" s="4" t="n">
        <v>33156346</v>
      </c>
      <c r="BO2185" s="4" t="s">
        <v>190</v>
      </c>
      <c r="BP2185" s="4"/>
      <c r="BQ2185" s="4"/>
      <c r="BR2185" s="4" t="s">
        <v>104</v>
      </c>
      <c r="BS2185" s="4" t="s">
        <v>36831</v>
      </c>
      <c r="BT2185" s="4" t="str">
        <f aca="false">HYPERLINK("https%3A%2F%2Fwww.webofscience.com%2Fwos%2Fwoscc%2Ffull-record%2FWOS:000591320600002","View Full Record in Web of Science")</f>
        <v>View Full Record in Web of Science</v>
      </c>
    </row>
    <row r="2186" s="5" customFormat="true" ht="12.75" hidden="false" customHeight="false" outlineLevel="0" collapsed="false">
      <c r="A2186" s="4" t="s">
        <v>72</v>
      </c>
      <c r="B2186" s="4" t="s">
        <v>36832</v>
      </c>
      <c r="C2186" s="4"/>
      <c r="D2186" s="4"/>
      <c r="E2186" s="4"/>
      <c r="F2186" s="4" t="s">
        <v>36833</v>
      </c>
      <c r="G2186" s="4"/>
      <c r="H2186" s="4"/>
      <c r="I2186" s="4" t="s">
        <v>36834</v>
      </c>
      <c r="J2186" s="4" t="s">
        <v>6395</v>
      </c>
      <c r="K2186" s="4"/>
      <c r="L2186" s="4"/>
      <c r="M2186" s="4" t="s">
        <v>77</v>
      </c>
      <c r="N2186" s="4" t="s">
        <v>78</v>
      </c>
      <c r="O2186" s="4"/>
      <c r="P2186" s="4"/>
      <c r="Q2186" s="4"/>
      <c r="R2186" s="4"/>
      <c r="S2186" s="4"/>
      <c r="T2186" s="1" t="s">
        <v>36835</v>
      </c>
      <c r="U2186" s="4" t="s">
        <v>36836</v>
      </c>
      <c r="V2186" s="4" t="s">
        <v>36837</v>
      </c>
      <c r="W2186" s="4" t="s">
        <v>36838</v>
      </c>
      <c r="X2186" s="4" t="s">
        <v>36839</v>
      </c>
      <c r="Y2186" s="4" t="s">
        <v>36840</v>
      </c>
      <c r="Z2186" s="4"/>
      <c r="AA2186" s="4" t="s">
        <v>36841</v>
      </c>
      <c r="AB2186" s="4" t="s">
        <v>36842</v>
      </c>
      <c r="AC2186" s="4" t="s">
        <v>36843</v>
      </c>
      <c r="AD2186" s="4" t="s">
        <v>36844</v>
      </c>
      <c r="AE2186" s="4" t="s">
        <v>36845</v>
      </c>
      <c r="AF2186" s="4"/>
      <c r="AG2186" s="4" t="n">
        <v>51</v>
      </c>
      <c r="AH2186" s="4" t="n">
        <v>4</v>
      </c>
      <c r="AI2186" s="4" t="n">
        <v>4</v>
      </c>
      <c r="AJ2186" s="4" t="n">
        <v>0</v>
      </c>
      <c r="AK2186" s="4" t="n">
        <v>2</v>
      </c>
      <c r="AL2186" s="4" t="s">
        <v>6405</v>
      </c>
      <c r="AM2186" s="4" t="s">
        <v>6406</v>
      </c>
      <c r="AN2186" s="4" t="s">
        <v>6407</v>
      </c>
      <c r="AO2186" s="4" t="s">
        <v>6408</v>
      </c>
      <c r="AP2186" s="4"/>
      <c r="AQ2186" s="4"/>
      <c r="AR2186" s="4" t="s">
        <v>6409</v>
      </c>
      <c r="AS2186" s="4" t="s">
        <v>6410</v>
      </c>
      <c r="AT2186" s="4" t="s">
        <v>36846</v>
      </c>
      <c r="AU2186" s="4" t="n">
        <v>2019</v>
      </c>
      <c r="AV2186" s="4" t="n">
        <v>9</v>
      </c>
      <c r="AW2186" s="4"/>
      <c r="AX2186" s="4"/>
      <c r="AY2186" s="4"/>
      <c r="AZ2186" s="4"/>
      <c r="BA2186" s="4"/>
      <c r="BB2186" s="4"/>
      <c r="BC2186" s="4"/>
      <c r="BD2186" s="4" t="n">
        <v>18792</v>
      </c>
      <c r="BE2186" s="4" t="s">
        <v>36847</v>
      </c>
      <c r="BF2186" s="4" t="str">
        <f aca="false">HYPERLINK("http://dx.doi.org/10.1038/s41598-019-55398-y","http://dx.doi.org/10.1038/s41598-019-55398-y")</f>
        <v>http://dx.doi.org/10.1038/s41598-019-55398-y</v>
      </c>
      <c r="BG2186" s="4"/>
      <c r="BH2186" s="4"/>
      <c r="BI2186" s="4" t="n">
        <v>9</v>
      </c>
      <c r="BJ2186" s="4" t="s">
        <v>1658</v>
      </c>
      <c r="BK2186" s="4" t="s">
        <v>100</v>
      </c>
      <c r="BL2186" s="4" t="s">
        <v>1659</v>
      </c>
      <c r="BM2186" s="4" t="s">
        <v>36848</v>
      </c>
      <c r="BN2186" s="4" t="n">
        <v>31827202</v>
      </c>
      <c r="BO2186" s="4" t="s">
        <v>190</v>
      </c>
      <c r="BP2186" s="4"/>
      <c r="BQ2186" s="4"/>
      <c r="BR2186" s="4" t="s">
        <v>104</v>
      </c>
      <c r="BS2186" s="4" t="s">
        <v>36849</v>
      </c>
      <c r="BT2186" s="4" t="str">
        <f aca="false">HYPERLINK("https%3A%2F%2Fwww.webofscience.com%2Fwos%2Fwoscc%2Ffull-record%2FWOS:000502710000001","View Full Record in Web of Science")</f>
        <v>View Full Record in Web of Science</v>
      </c>
    </row>
    <row r="2187" s="5" customFormat="true" ht="12.75" hidden="false" customHeight="false" outlineLevel="0" collapsed="false">
      <c r="A2187" s="4" t="s">
        <v>72</v>
      </c>
      <c r="B2187" s="4" t="s">
        <v>36850</v>
      </c>
      <c r="C2187" s="4"/>
      <c r="D2187" s="4"/>
      <c r="E2187" s="4"/>
      <c r="F2187" s="4" t="s">
        <v>36851</v>
      </c>
      <c r="G2187" s="4"/>
      <c r="H2187" s="4"/>
      <c r="I2187" s="4" t="s">
        <v>36852</v>
      </c>
      <c r="J2187" s="4" t="s">
        <v>36510</v>
      </c>
      <c r="K2187" s="4"/>
      <c r="L2187" s="4"/>
      <c r="M2187" s="4" t="s">
        <v>77</v>
      </c>
      <c r="N2187" s="4" t="s">
        <v>78</v>
      </c>
      <c r="O2187" s="4"/>
      <c r="P2187" s="4"/>
      <c r="Q2187" s="4"/>
      <c r="R2187" s="4"/>
      <c r="S2187" s="4"/>
      <c r="T2187" s="1" t="s">
        <v>36853</v>
      </c>
      <c r="U2187" s="4" t="s">
        <v>36854</v>
      </c>
      <c r="V2187" s="4" t="s">
        <v>36855</v>
      </c>
      <c r="W2187" s="4" t="s">
        <v>36856</v>
      </c>
      <c r="X2187" s="4" t="s">
        <v>36857</v>
      </c>
      <c r="Y2187" s="4" t="s">
        <v>14650</v>
      </c>
      <c r="Z2187" s="4" t="s">
        <v>36858</v>
      </c>
      <c r="AA2187" s="4" t="s">
        <v>28871</v>
      </c>
      <c r="AB2187" s="4" t="s">
        <v>14652</v>
      </c>
      <c r="AC2187" s="4" t="s">
        <v>36859</v>
      </c>
      <c r="AD2187" s="4" t="s">
        <v>14654</v>
      </c>
      <c r="AE2187" s="4" t="s">
        <v>36860</v>
      </c>
      <c r="AF2187" s="4"/>
      <c r="AG2187" s="4" t="n">
        <v>50</v>
      </c>
      <c r="AH2187" s="4" t="n">
        <v>225</v>
      </c>
      <c r="AI2187" s="4" t="n">
        <v>260</v>
      </c>
      <c r="AJ2187" s="4" t="n">
        <v>2</v>
      </c>
      <c r="AK2187" s="4" t="n">
        <v>36</v>
      </c>
      <c r="AL2187" s="4" t="s">
        <v>1704</v>
      </c>
      <c r="AM2187" s="4" t="s">
        <v>1705</v>
      </c>
      <c r="AN2187" s="4" t="s">
        <v>1706</v>
      </c>
      <c r="AO2187" s="4" t="s">
        <v>36521</v>
      </c>
      <c r="AP2187" s="4" t="s">
        <v>36522</v>
      </c>
      <c r="AQ2187" s="4"/>
      <c r="AR2187" s="4" t="s">
        <v>36523</v>
      </c>
      <c r="AS2187" s="4" t="s">
        <v>36524</v>
      </c>
      <c r="AT2187" s="4" t="s">
        <v>1041</v>
      </c>
      <c r="AU2187" s="4" t="n">
        <v>2013</v>
      </c>
      <c r="AV2187" s="4" t="n">
        <v>21</v>
      </c>
      <c r="AW2187" s="4" t="n">
        <v>2</v>
      </c>
      <c r="AX2187" s="4"/>
      <c r="AY2187" s="4"/>
      <c r="AZ2187" s="4"/>
      <c r="BA2187" s="4"/>
      <c r="BB2187" s="4" t="n">
        <v>368</v>
      </c>
      <c r="BC2187" s="4" t="n">
        <v>379</v>
      </c>
      <c r="BD2187" s="4"/>
      <c r="BE2187" s="4" t="s">
        <v>36861</v>
      </c>
      <c r="BF2187" s="4" t="str">
        <f aca="false">HYPERLINK("http://dx.doi.org/10.1038/mt.2012.237","http://dx.doi.org/10.1038/mt.2012.237")</f>
        <v>http://dx.doi.org/10.1038/mt.2012.237</v>
      </c>
      <c r="BG2187" s="4"/>
      <c r="BH2187" s="4"/>
      <c r="BI2187" s="4" t="n">
        <v>12</v>
      </c>
      <c r="BJ2187" s="4" t="s">
        <v>36526</v>
      </c>
      <c r="BK2187" s="4" t="s">
        <v>100</v>
      </c>
      <c r="BL2187" s="4" t="s">
        <v>36527</v>
      </c>
      <c r="BM2187" s="4" t="s">
        <v>36862</v>
      </c>
      <c r="BN2187" s="4" t="n">
        <v>23183536</v>
      </c>
      <c r="BO2187" s="4" t="s">
        <v>284</v>
      </c>
      <c r="BP2187" s="4"/>
      <c r="BQ2187" s="4"/>
      <c r="BR2187" s="4" t="s">
        <v>104</v>
      </c>
      <c r="BS2187" s="4" t="s">
        <v>36863</v>
      </c>
      <c r="BT2187" s="4" t="str">
        <f aca="false">HYPERLINK("https%3A%2F%2Fwww.webofscience.com%2Fwos%2Fwoscc%2Ffull-record%2FWOS:000314434600014","View Full Record in Web of Science")</f>
        <v>View Full Record in Web of Science</v>
      </c>
    </row>
    <row r="2188" s="5" customFormat="true" ht="12.75" hidden="false" customHeight="false" outlineLevel="0" collapsed="false">
      <c r="A2188" s="4" t="s">
        <v>72</v>
      </c>
      <c r="B2188" s="4" t="s">
        <v>36864</v>
      </c>
      <c r="C2188" s="4"/>
      <c r="D2188" s="4"/>
      <c r="E2188" s="4"/>
      <c r="F2188" s="4" t="s">
        <v>36865</v>
      </c>
      <c r="G2188" s="4"/>
      <c r="H2188" s="4"/>
      <c r="I2188" s="4" t="s">
        <v>36866</v>
      </c>
      <c r="J2188" s="4" t="s">
        <v>27497</v>
      </c>
      <c r="K2188" s="4"/>
      <c r="L2188" s="4"/>
      <c r="M2188" s="4" t="s">
        <v>77</v>
      </c>
      <c r="N2188" s="4" t="s">
        <v>78</v>
      </c>
      <c r="O2188" s="4"/>
      <c r="P2188" s="4"/>
      <c r="Q2188" s="4"/>
      <c r="R2188" s="4"/>
      <c r="S2188" s="4"/>
      <c r="T2188" s="1" t="s">
        <v>36867</v>
      </c>
      <c r="U2188" s="4" t="s">
        <v>36868</v>
      </c>
      <c r="V2188" s="4" t="s">
        <v>36869</v>
      </c>
      <c r="W2188" s="4" t="s">
        <v>36870</v>
      </c>
      <c r="X2188" s="4" t="s">
        <v>36871</v>
      </c>
      <c r="Y2188" s="4" t="s">
        <v>36872</v>
      </c>
      <c r="Z2188" s="4" t="s">
        <v>36873</v>
      </c>
      <c r="AA2188" s="4"/>
      <c r="AB2188" s="4"/>
      <c r="AC2188" s="4" t="s">
        <v>36874</v>
      </c>
      <c r="AD2188" s="4" t="s">
        <v>36874</v>
      </c>
      <c r="AE2188" s="4" t="s">
        <v>36875</v>
      </c>
      <c r="AF2188" s="4"/>
      <c r="AG2188" s="4" t="n">
        <v>18</v>
      </c>
      <c r="AH2188" s="4" t="n">
        <v>7</v>
      </c>
      <c r="AI2188" s="4" t="n">
        <v>7</v>
      </c>
      <c r="AJ2188" s="4" t="n">
        <v>0</v>
      </c>
      <c r="AK2188" s="4" t="n">
        <v>2</v>
      </c>
      <c r="AL2188" s="4" t="s">
        <v>27506</v>
      </c>
      <c r="AM2188" s="4" t="s">
        <v>27507</v>
      </c>
      <c r="AN2188" s="4" t="s">
        <v>27508</v>
      </c>
      <c r="AO2188" s="4" t="s">
        <v>27509</v>
      </c>
      <c r="AP2188" s="4"/>
      <c r="AQ2188" s="4"/>
      <c r="AR2188" s="4" t="s">
        <v>27497</v>
      </c>
      <c r="AS2188" s="4" t="s">
        <v>27510</v>
      </c>
      <c r="AT2188" s="4" t="s">
        <v>23774</v>
      </c>
      <c r="AU2188" s="4" t="n">
        <v>2016</v>
      </c>
      <c r="AV2188" s="4" t="n">
        <v>11</v>
      </c>
      <c r="AW2188" s="4" t="n">
        <v>9</v>
      </c>
      <c r="AX2188" s="4"/>
      <c r="AY2188" s="4"/>
      <c r="AZ2188" s="4"/>
      <c r="BA2188" s="4"/>
      <c r="BB2188" s="4"/>
      <c r="BC2188" s="4"/>
      <c r="BD2188" s="4" t="s">
        <v>36876</v>
      </c>
      <c r="BE2188" s="4" t="s">
        <v>36877</v>
      </c>
      <c r="BF2188" s="4" t="str">
        <f aca="false">HYPERLINK("http://dx.doi.org/10.1371/journal.pone.0163377","http://dx.doi.org/10.1371/journal.pone.0163377")</f>
        <v>http://dx.doi.org/10.1371/journal.pone.0163377</v>
      </c>
      <c r="BG2188" s="4"/>
      <c r="BH2188" s="4"/>
      <c r="BI2188" s="4" t="n">
        <v>9</v>
      </c>
      <c r="BJ2188" s="4" t="s">
        <v>1658</v>
      </c>
      <c r="BK2188" s="4" t="s">
        <v>100</v>
      </c>
      <c r="BL2188" s="4" t="s">
        <v>1659</v>
      </c>
      <c r="BM2188" s="4" t="s">
        <v>36878</v>
      </c>
      <c r="BN2188" s="4" t="n">
        <v>27654509</v>
      </c>
      <c r="BO2188" s="4" t="s">
        <v>11315</v>
      </c>
      <c r="BP2188" s="4"/>
      <c r="BQ2188" s="4"/>
      <c r="BR2188" s="4" t="s">
        <v>104</v>
      </c>
      <c r="BS2188" s="4" t="s">
        <v>36879</v>
      </c>
      <c r="BT2188" s="4" t="str">
        <f aca="false">HYPERLINK("https%3A%2F%2Fwww.webofscience.com%2Fwos%2Fwoscc%2Ffull-record%2FWOS:000383892700053","View Full Record in Web of Science")</f>
        <v>View Full Record in Web of Science</v>
      </c>
    </row>
    <row r="2189" s="5" customFormat="true" ht="12.75" hidden="false" customHeight="false" outlineLevel="0" collapsed="false">
      <c r="A2189" s="4" t="s">
        <v>72</v>
      </c>
      <c r="B2189" s="4" t="s">
        <v>36880</v>
      </c>
      <c r="C2189" s="4"/>
      <c r="D2189" s="4"/>
      <c r="E2189" s="4"/>
      <c r="F2189" s="4" t="s">
        <v>36881</v>
      </c>
      <c r="G2189" s="4"/>
      <c r="H2189" s="4"/>
      <c r="I2189" s="4" t="s">
        <v>36882</v>
      </c>
      <c r="J2189" s="4" t="s">
        <v>6395</v>
      </c>
      <c r="K2189" s="4"/>
      <c r="L2189" s="4"/>
      <c r="M2189" s="4" t="s">
        <v>77</v>
      </c>
      <c r="N2189" s="4" t="s">
        <v>78</v>
      </c>
      <c r="O2189" s="4"/>
      <c r="P2189" s="4"/>
      <c r="Q2189" s="4"/>
      <c r="R2189" s="4"/>
      <c r="S2189" s="4"/>
      <c r="T2189" s="1" t="s">
        <v>36883</v>
      </c>
      <c r="U2189" s="4" t="s">
        <v>36884</v>
      </c>
      <c r="V2189" s="4" t="s">
        <v>36885</v>
      </c>
      <c r="W2189" s="4" t="s">
        <v>36886</v>
      </c>
      <c r="X2189" s="4" t="s">
        <v>36887</v>
      </c>
      <c r="Y2189" s="4" t="s">
        <v>36888</v>
      </c>
      <c r="Z2189" s="4" t="s">
        <v>36889</v>
      </c>
      <c r="AA2189" s="4" t="s">
        <v>36890</v>
      </c>
      <c r="AB2189" s="4" t="s">
        <v>36891</v>
      </c>
      <c r="AC2189" s="4"/>
      <c r="AD2189" s="4"/>
      <c r="AE2189" s="4"/>
      <c r="AF2189" s="4"/>
      <c r="AG2189" s="4" t="n">
        <v>22</v>
      </c>
      <c r="AH2189" s="4" t="n">
        <v>9</v>
      </c>
      <c r="AI2189" s="4" t="n">
        <v>10</v>
      </c>
      <c r="AJ2189" s="4" t="n">
        <v>0</v>
      </c>
      <c r="AK2189" s="4" t="n">
        <v>4</v>
      </c>
      <c r="AL2189" s="4" t="s">
        <v>6405</v>
      </c>
      <c r="AM2189" s="4" t="s">
        <v>6406</v>
      </c>
      <c r="AN2189" s="4" t="s">
        <v>6407</v>
      </c>
      <c r="AO2189" s="4" t="s">
        <v>6408</v>
      </c>
      <c r="AP2189" s="4"/>
      <c r="AQ2189" s="4"/>
      <c r="AR2189" s="4" t="s">
        <v>6409</v>
      </c>
      <c r="AS2189" s="4" t="s">
        <v>6410</v>
      </c>
      <c r="AT2189" s="4" t="s">
        <v>36892</v>
      </c>
      <c r="AU2189" s="4" t="n">
        <v>2021</v>
      </c>
      <c r="AV2189" s="4" t="n">
        <v>11</v>
      </c>
      <c r="AW2189" s="4" t="n">
        <v>1</v>
      </c>
      <c r="AX2189" s="4"/>
      <c r="AY2189" s="4"/>
      <c r="AZ2189" s="4"/>
      <c r="BA2189" s="4"/>
      <c r="BB2189" s="4"/>
      <c r="BC2189" s="4"/>
      <c r="BD2189" s="4" t="n">
        <v>13592</v>
      </c>
      <c r="BE2189" s="4" t="s">
        <v>36893</v>
      </c>
      <c r="BF2189" s="4" t="str">
        <f aca="false">HYPERLINK("http://dx.doi.org/10.1038/s41598-021-93028-8","http://dx.doi.org/10.1038/s41598-021-93028-8")</f>
        <v>http://dx.doi.org/10.1038/s41598-021-93028-8</v>
      </c>
      <c r="BG2189" s="4"/>
      <c r="BH2189" s="4"/>
      <c r="BI2189" s="4" t="n">
        <v>9</v>
      </c>
      <c r="BJ2189" s="4" t="s">
        <v>1658</v>
      </c>
      <c r="BK2189" s="4" t="s">
        <v>100</v>
      </c>
      <c r="BL2189" s="4" t="s">
        <v>1659</v>
      </c>
      <c r="BM2189" s="4" t="s">
        <v>36894</v>
      </c>
      <c r="BN2189" s="4" t="n">
        <v>34193912</v>
      </c>
      <c r="BO2189" s="4" t="s">
        <v>5702</v>
      </c>
      <c r="BP2189" s="4"/>
      <c r="BQ2189" s="4"/>
      <c r="BR2189" s="4" t="s">
        <v>104</v>
      </c>
      <c r="BS2189" s="4" t="s">
        <v>36895</v>
      </c>
      <c r="BT2189" s="4" t="str">
        <f aca="false">HYPERLINK("https%3A%2F%2Fwww.webofscience.com%2Fwos%2Fwoscc%2Ffull-record%2FWOS:000671791200021","View Full Record in Web of Science")</f>
        <v>View Full Record in Web of Science</v>
      </c>
    </row>
    <row r="2190" s="5" customFormat="true" ht="12.75" hidden="false" customHeight="false" outlineLevel="0" collapsed="false">
      <c r="A2190" s="4" t="s">
        <v>72</v>
      </c>
      <c r="B2190" s="4" t="s">
        <v>36896</v>
      </c>
      <c r="C2190" s="4"/>
      <c r="D2190" s="4"/>
      <c r="E2190" s="4"/>
      <c r="F2190" s="4" t="s">
        <v>36897</v>
      </c>
      <c r="G2190" s="4"/>
      <c r="H2190" s="4"/>
      <c r="I2190" s="4" t="s">
        <v>36898</v>
      </c>
      <c r="J2190" s="4" t="s">
        <v>514</v>
      </c>
      <c r="K2190" s="4"/>
      <c r="L2190" s="4"/>
      <c r="M2190" s="4" t="s">
        <v>77</v>
      </c>
      <c r="N2190" s="4" t="s">
        <v>78</v>
      </c>
      <c r="O2190" s="4"/>
      <c r="P2190" s="4"/>
      <c r="Q2190" s="4"/>
      <c r="R2190" s="4"/>
      <c r="S2190" s="4"/>
      <c r="T2190" s="1" t="s">
        <v>36899</v>
      </c>
      <c r="U2190" s="4" t="s">
        <v>36900</v>
      </c>
      <c r="V2190" s="4" t="s">
        <v>36901</v>
      </c>
      <c r="W2190" s="4" t="s">
        <v>36902</v>
      </c>
      <c r="X2190" s="4" t="s">
        <v>36903</v>
      </c>
      <c r="Y2190" s="4" t="s">
        <v>36904</v>
      </c>
      <c r="Z2190" s="4" t="s">
        <v>5713</v>
      </c>
      <c r="AA2190" s="4" t="s">
        <v>5994</v>
      </c>
      <c r="AB2190" s="4" t="s">
        <v>20953</v>
      </c>
      <c r="AC2190" s="4" t="s">
        <v>36905</v>
      </c>
      <c r="AD2190" s="4" t="s">
        <v>36906</v>
      </c>
      <c r="AE2190" s="4" t="s">
        <v>36907</v>
      </c>
      <c r="AF2190" s="4"/>
      <c r="AG2190" s="4" t="n">
        <v>31</v>
      </c>
      <c r="AH2190" s="4" t="n">
        <v>165</v>
      </c>
      <c r="AI2190" s="4" t="n">
        <v>177</v>
      </c>
      <c r="AJ2190" s="4" t="n">
        <v>1</v>
      </c>
      <c r="AK2190" s="4" t="n">
        <v>6</v>
      </c>
      <c r="AL2190" s="4" t="s">
        <v>527</v>
      </c>
      <c r="AM2190" s="4" t="s">
        <v>528</v>
      </c>
      <c r="AN2190" s="4" t="s">
        <v>529</v>
      </c>
      <c r="AO2190" s="4" t="s">
        <v>530</v>
      </c>
      <c r="AP2190" s="4"/>
      <c r="AQ2190" s="4"/>
      <c r="AR2190" s="4" t="s">
        <v>532</v>
      </c>
      <c r="AS2190" s="4" t="s">
        <v>533</v>
      </c>
      <c r="AT2190" s="4" t="s">
        <v>673</v>
      </c>
      <c r="AU2190" s="4" t="n">
        <v>2010</v>
      </c>
      <c r="AV2190" s="4" t="n">
        <v>201</v>
      </c>
      <c r="AW2190" s="4" t="n">
        <v>11</v>
      </c>
      <c r="AX2190" s="4"/>
      <c r="AY2190" s="4"/>
      <c r="AZ2190" s="4"/>
      <c r="BA2190" s="4"/>
      <c r="BB2190" s="4" t="n">
        <v>1625</v>
      </c>
      <c r="BC2190" s="4" t="n">
        <v>1632</v>
      </c>
      <c r="BD2190" s="4"/>
      <c r="BE2190" s="4" t="s">
        <v>36908</v>
      </c>
      <c r="BF2190" s="4" t="str">
        <f aca="false">HYPERLINK("http://dx.doi.org/10.1086/652405","http://dx.doi.org/10.1086/652405")</f>
        <v>http://dx.doi.org/10.1086/652405</v>
      </c>
      <c r="BG2190" s="4"/>
      <c r="BH2190" s="4"/>
      <c r="BI2190" s="4" t="n">
        <v>8</v>
      </c>
      <c r="BJ2190" s="4" t="s">
        <v>536</v>
      </c>
      <c r="BK2190" s="4" t="s">
        <v>100</v>
      </c>
      <c r="BL2190" s="4" t="s">
        <v>536</v>
      </c>
      <c r="BM2190" s="4" t="s">
        <v>36909</v>
      </c>
      <c r="BN2190" s="4" t="n">
        <v>20415535</v>
      </c>
      <c r="BO2190" s="4" t="s">
        <v>11469</v>
      </c>
      <c r="BP2190" s="4"/>
      <c r="BQ2190" s="4"/>
      <c r="BR2190" s="4" t="s">
        <v>104</v>
      </c>
      <c r="BS2190" s="4" t="s">
        <v>36910</v>
      </c>
      <c r="BT2190" s="4" t="str">
        <f aca="false">HYPERLINK("https%3A%2F%2Fwww.webofscience.com%2Fwos%2Fwoscc%2Ffull-record%2FWOS:000277176200005","View Full Record in Web of Science")</f>
        <v>View Full Record in Web of Science</v>
      </c>
    </row>
    <row r="2191" s="5" customFormat="true" ht="12.75" hidden="false" customHeight="false" outlineLevel="0" collapsed="false">
      <c r="A2191" s="4" t="s">
        <v>72</v>
      </c>
      <c r="B2191" s="4" t="s">
        <v>36911</v>
      </c>
      <c r="C2191" s="4"/>
      <c r="D2191" s="4"/>
      <c r="E2191" s="4"/>
      <c r="F2191" s="4" t="s">
        <v>36911</v>
      </c>
      <c r="G2191" s="4"/>
      <c r="H2191" s="4"/>
      <c r="I2191" s="4" t="s">
        <v>36912</v>
      </c>
      <c r="J2191" s="4" t="s">
        <v>514</v>
      </c>
      <c r="K2191" s="4"/>
      <c r="L2191" s="4"/>
      <c r="M2191" s="4" t="s">
        <v>77</v>
      </c>
      <c r="N2191" s="4" t="s">
        <v>78</v>
      </c>
      <c r="O2191" s="4"/>
      <c r="P2191" s="4"/>
      <c r="Q2191" s="4"/>
      <c r="R2191" s="4"/>
      <c r="S2191" s="4"/>
      <c r="T2191" s="1" t="s">
        <v>36913</v>
      </c>
      <c r="U2191" s="4" t="s">
        <v>36914</v>
      </c>
      <c r="V2191" s="4" t="s">
        <v>36915</v>
      </c>
      <c r="W2191" s="4" t="s">
        <v>36916</v>
      </c>
      <c r="X2191" s="4" t="s">
        <v>15584</v>
      </c>
      <c r="Y2191" s="4" t="s">
        <v>28911</v>
      </c>
      <c r="Z2191" s="4" t="s">
        <v>29648</v>
      </c>
      <c r="AA2191" s="4"/>
      <c r="AB2191" s="4"/>
      <c r="AC2191" s="4" t="s">
        <v>36917</v>
      </c>
      <c r="AD2191" s="4" t="s">
        <v>9670</v>
      </c>
      <c r="AE2191" s="4"/>
      <c r="AF2191" s="4"/>
      <c r="AG2191" s="4" t="n">
        <v>20</v>
      </c>
      <c r="AH2191" s="4" t="n">
        <v>153</v>
      </c>
      <c r="AI2191" s="4" t="n">
        <v>180</v>
      </c>
      <c r="AJ2191" s="4" t="n">
        <v>1</v>
      </c>
      <c r="AK2191" s="4" t="n">
        <v>5</v>
      </c>
      <c r="AL2191" s="4" t="s">
        <v>527</v>
      </c>
      <c r="AM2191" s="4" t="s">
        <v>528</v>
      </c>
      <c r="AN2191" s="4" t="s">
        <v>529</v>
      </c>
      <c r="AO2191" s="4" t="s">
        <v>530</v>
      </c>
      <c r="AP2191" s="4" t="s">
        <v>531</v>
      </c>
      <c r="AQ2191" s="4"/>
      <c r="AR2191" s="4" t="s">
        <v>532</v>
      </c>
      <c r="AS2191" s="4" t="s">
        <v>533</v>
      </c>
      <c r="AT2191" s="4" t="s">
        <v>1818</v>
      </c>
      <c r="AU2191" s="4" t="n">
        <v>2005</v>
      </c>
      <c r="AV2191" s="4" t="n">
        <v>191</v>
      </c>
      <c r="AW2191" s="4" t="n">
        <v>4</v>
      </c>
      <c r="AX2191" s="4"/>
      <c r="AY2191" s="4"/>
      <c r="AZ2191" s="4"/>
      <c r="BA2191" s="4"/>
      <c r="BB2191" s="4" t="n">
        <v>492</v>
      </c>
      <c r="BC2191" s="4" t="n">
        <v>498</v>
      </c>
      <c r="BD2191" s="4"/>
      <c r="BE2191" s="4" t="s">
        <v>36918</v>
      </c>
      <c r="BF2191" s="4" t="str">
        <f aca="false">HYPERLINK("http://dx.doi.org/10.1086/428138","http://dx.doi.org/10.1086/428138")</f>
        <v>http://dx.doi.org/10.1086/428138</v>
      </c>
      <c r="BG2191" s="4"/>
      <c r="BH2191" s="4"/>
      <c r="BI2191" s="4" t="n">
        <v>7</v>
      </c>
      <c r="BJ2191" s="4" t="s">
        <v>536</v>
      </c>
      <c r="BK2191" s="4" t="s">
        <v>100</v>
      </c>
      <c r="BL2191" s="4" t="s">
        <v>536</v>
      </c>
      <c r="BM2191" s="4" t="s">
        <v>36919</v>
      </c>
      <c r="BN2191" s="4" t="n">
        <v>15655770</v>
      </c>
      <c r="BO2191" s="4" t="s">
        <v>136</v>
      </c>
      <c r="BP2191" s="4"/>
      <c r="BQ2191" s="4"/>
      <c r="BR2191" s="4" t="s">
        <v>104</v>
      </c>
      <c r="BS2191" s="4" t="s">
        <v>36920</v>
      </c>
      <c r="BT2191" s="4" t="str">
        <f aca="false">HYPERLINK("https%3A%2F%2Fwww.webofscience.com%2Fwos%2Fwoscc%2Ffull-record%2FWOS:000226413100002","View Full Record in Web of Science")</f>
        <v>View Full Record in Web of Science</v>
      </c>
    </row>
    <row r="2192" s="5" customFormat="true" ht="12.75" hidden="false" customHeight="false" outlineLevel="0" collapsed="false">
      <c r="A2192" s="4" t="s">
        <v>72</v>
      </c>
      <c r="B2192" s="4" t="s">
        <v>36921</v>
      </c>
      <c r="C2192" s="4"/>
      <c r="D2192" s="4"/>
      <c r="E2192" s="4"/>
      <c r="F2192" s="4" t="s">
        <v>36922</v>
      </c>
      <c r="G2192" s="4"/>
      <c r="H2192" s="4"/>
      <c r="I2192" s="4" t="s">
        <v>36923</v>
      </c>
      <c r="J2192" s="4" t="s">
        <v>4895</v>
      </c>
      <c r="K2192" s="4"/>
      <c r="L2192" s="4"/>
      <c r="M2192" s="4" t="s">
        <v>77</v>
      </c>
      <c r="N2192" s="4" t="s">
        <v>78</v>
      </c>
      <c r="O2192" s="4"/>
      <c r="P2192" s="4"/>
      <c r="Q2192" s="4"/>
      <c r="R2192" s="4"/>
      <c r="S2192" s="4"/>
      <c r="T2192" s="1" t="s">
        <v>36924</v>
      </c>
      <c r="U2192" s="4" t="s">
        <v>36925</v>
      </c>
      <c r="V2192" s="4" t="s">
        <v>36926</v>
      </c>
      <c r="W2192" s="4" t="s">
        <v>36927</v>
      </c>
      <c r="X2192" s="4" t="s">
        <v>36928</v>
      </c>
      <c r="Y2192" s="4" t="s">
        <v>36929</v>
      </c>
      <c r="Z2192" s="4" t="s">
        <v>36930</v>
      </c>
      <c r="AA2192" s="4"/>
      <c r="AB2192" s="4" t="s">
        <v>36931</v>
      </c>
      <c r="AC2192" s="4" t="s">
        <v>36932</v>
      </c>
      <c r="AD2192" s="4" t="s">
        <v>36932</v>
      </c>
      <c r="AE2192" s="4" t="s">
        <v>36933</v>
      </c>
      <c r="AF2192" s="4"/>
      <c r="AG2192" s="4" t="n">
        <v>34</v>
      </c>
      <c r="AH2192" s="4" t="n">
        <v>29</v>
      </c>
      <c r="AI2192" s="4" t="n">
        <v>35</v>
      </c>
      <c r="AJ2192" s="4" t="n">
        <v>0</v>
      </c>
      <c r="AK2192" s="4" t="n">
        <v>7</v>
      </c>
      <c r="AL2192" s="4" t="s">
        <v>592</v>
      </c>
      <c r="AM2192" s="4" t="s">
        <v>593</v>
      </c>
      <c r="AN2192" s="4" t="s">
        <v>594</v>
      </c>
      <c r="AO2192" s="4" t="s">
        <v>4905</v>
      </c>
      <c r="AP2192" s="4" t="s">
        <v>4906</v>
      </c>
      <c r="AQ2192" s="4"/>
      <c r="AR2192" s="4" t="s">
        <v>4907</v>
      </c>
      <c r="AS2192" s="4" t="s">
        <v>4908</v>
      </c>
      <c r="AT2192" s="4" t="s">
        <v>336</v>
      </c>
      <c r="AU2192" s="4" t="n">
        <v>2017</v>
      </c>
      <c r="AV2192" s="4" t="n">
        <v>36</v>
      </c>
      <c r="AW2192" s="4" t="n">
        <v>10</v>
      </c>
      <c r="AX2192" s="4"/>
      <c r="AY2192" s="4"/>
      <c r="AZ2192" s="4"/>
      <c r="BA2192" s="4"/>
      <c r="BB2192" s="4" t="n">
        <v>1767</v>
      </c>
      <c r="BC2192" s="4" t="n">
        <v>1776</v>
      </c>
      <c r="BD2192" s="4"/>
      <c r="BE2192" s="4" t="s">
        <v>36934</v>
      </c>
      <c r="BF2192" s="4" t="str">
        <f aca="false">HYPERLINK("http://dx.doi.org/10.1007/s10096-017-2990-z","http://dx.doi.org/10.1007/s10096-017-2990-z")</f>
        <v>http://dx.doi.org/10.1007/s10096-017-2990-z</v>
      </c>
      <c r="BG2192" s="4"/>
      <c r="BH2192" s="4"/>
      <c r="BI2192" s="4" t="n">
        <v>10</v>
      </c>
      <c r="BJ2192" s="4" t="s">
        <v>1467</v>
      </c>
      <c r="BK2192" s="4" t="s">
        <v>100</v>
      </c>
      <c r="BL2192" s="4" t="s">
        <v>1467</v>
      </c>
      <c r="BM2192" s="4" t="s">
        <v>36935</v>
      </c>
      <c r="BN2192" s="4" t="n">
        <v>28516200</v>
      </c>
      <c r="BO2192" s="4" t="s">
        <v>284</v>
      </c>
      <c r="BP2192" s="4"/>
      <c r="BQ2192" s="4"/>
      <c r="BR2192" s="4" t="s">
        <v>104</v>
      </c>
      <c r="BS2192" s="4" t="s">
        <v>36936</v>
      </c>
      <c r="BT2192" s="4" t="str">
        <f aca="false">HYPERLINK("https%3A%2F%2Fwww.webofscience.com%2Fwos%2Fwoscc%2Ffull-record%2FWOS:000410836300008","View Full Record in Web of Science")</f>
        <v>View Full Record in Web of Science</v>
      </c>
    </row>
    <row r="2193" s="5" customFormat="true" ht="12.75" hidden="false" customHeight="false" outlineLevel="0" collapsed="false">
      <c r="A2193" s="4" t="s">
        <v>72</v>
      </c>
      <c r="B2193" s="4" t="s">
        <v>36937</v>
      </c>
      <c r="C2193" s="4"/>
      <c r="D2193" s="4"/>
      <c r="E2193" s="4"/>
      <c r="F2193" s="4" t="s">
        <v>36938</v>
      </c>
      <c r="G2193" s="4"/>
      <c r="H2193" s="4"/>
      <c r="I2193" s="4" t="s">
        <v>36939</v>
      </c>
      <c r="J2193" s="4" t="s">
        <v>36940</v>
      </c>
      <c r="K2193" s="4"/>
      <c r="L2193" s="4"/>
      <c r="M2193" s="4" t="s">
        <v>77</v>
      </c>
      <c r="N2193" s="4" t="s">
        <v>78</v>
      </c>
      <c r="O2193" s="4"/>
      <c r="P2193" s="4"/>
      <c r="Q2193" s="4"/>
      <c r="R2193" s="4"/>
      <c r="S2193" s="4"/>
      <c r="T2193" s="1" t="s">
        <v>36941</v>
      </c>
      <c r="U2193" s="4" t="s">
        <v>36942</v>
      </c>
      <c r="V2193" s="4" t="s">
        <v>36943</v>
      </c>
      <c r="W2193" s="4" t="s">
        <v>36944</v>
      </c>
      <c r="X2193" s="4" t="s">
        <v>36945</v>
      </c>
      <c r="Y2193" s="4" t="s">
        <v>36946</v>
      </c>
      <c r="Z2193" s="4" t="s">
        <v>36947</v>
      </c>
      <c r="AA2193" s="4"/>
      <c r="AB2193" s="4" t="s">
        <v>36948</v>
      </c>
      <c r="AC2193" s="4" t="s">
        <v>36949</v>
      </c>
      <c r="AD2193" s="4" t="s">
        <v>36949</v>
      </c>
      <c r="AE2193" s="4" t="s">
        <v>36950</v>
      </c>
      <c r="AF2193" s="4"/>
      <c r="AG2193" s="4" t="n">
        <v>34</v>
      </c>
      <c r="AH2193" s="4" t="n">
        <v>3</v>
      </c>
      <c r="AI2193" s="4" t="n">
        <v>3</v>
      </c>
      <c r="AJ2193" s="4" t="n">
        <v>0</v>
      </c>
      <c r="AK2193" s="4" t="n">
        <v>0</v>
      </c>
      <c r="AL2193" s="4" t="s">
        <v>35397</v>
      </c>
      <c r="AM2193" s="4" t="s">
        <v>36951</v>
      </c>
      <c r="AN2193" s="4" t="s">
        <v>36952</v>
      </c>
      <c r="AO2193" s="4" t="s">
        <v>36953</v>
      </c>
      <c r="AP2193" s="4" t="s">
        <v>36954</v>
      </c>
      <c r="AQ2193" s="4"/>
      <c r="AR2193" s="4" t="s">
        <v>36955</v>
      </c>
      <c r="AS2193" s="4" t="s">
        <v>36956</v>
      </c>
      <c r="AT2193" s="4"/>
      <c r="AU2193" s="4" t="n">
        <v>2013</v>
      </c>
      <c r="AV2193" s="4" t="n">
        <v>2</v>
      </c>
      <c r="AW2193" s="4" t="n">
        <v>1</v>
      </c>
      <c r="AX2193" s="4"/>
      <c r="AY2193" s="4"/>
      <c r="AZ2193" s="4"/>
      <c r="BA2193" s="4"/>
      <c r="BB2193" s="4"/>
      <c r="BC2193" s="4"/>
      <c r="BD2193" s="4" t="n">
        <v>65</v>
      </c>
      <c r="BE2193" s="4" t="s">
        <v>36957</v>
      </c>
      <c r="BF2193" s="4" t="str">
        <f aca="false">HYPERLINK("http://dx.doi.org/10.4102/ajlm.v2i1.65","http://dx.doi.org/10.4102/ajlm.v2i1.65")</f>
        <v>http://dx.doi.org/10.4102/ajlm.v2i1.65</v>
      </c>
      <c r="BG2193" s="4"/>
      <c r="BH2193" s="4"/>
      <c r="BI2193" s="4" t="n">
        <v>5</v>
      </c>
      <c r="BJ2193" s="4" t="s">
        <v>5761</v>
      </c>
      <c r="BK2193" s="4" t="s">
        <v>339</v>
      </c>
      <c r="BL2193" s="4" t="s">
        <v>5762</v>
      </c>
      <c r="BM2193" s="4" t="s">
        <v>36958</v>
      </c>
      <c r="BN2193" s="4" t="n">
        <v>29043164</v>
      </c>
      <c r="BO2193" s="4" t="s">
        <v>5702</v>
      </c>
      <c r="BP2193" s="4"/>
      <c r="BQ2193" s="4"/>
      <c r="BR2193" s="4" t="s">
        <v>104</v>
      </c>
      <c r="BS2193" s="4" t="s">
        <v>36959</v>
      </c>
      <c r="BT2193" s="4" t="str">
        <f aca="false">HYPERLINK("https%3A%2F%2Fwww.webofscience.com%2Fwos%2Fwoscc%2Ffull-record%2FWOS:000215256500007","View Full Record in Web of Science")</f>
        <v>View Full Record in Web of Science</v>
      </c>
    </row>
    <row r="2194" s="5" customFormat="true" ht="12.75" hidden="false" customHeight="false" outlineLevel="0" collapsed="false">
      <c r="A2194" s="4" t="s">
        <v>72</v>
      </c>
      <c r="B2194" s="4" t="s">
        <v>36960</v>
      </c>
      <c r="C2194" s="4"/>
      <c r="D2194" s="4"/>
      <c r="E2194" s="4"/>
      <c r="F2194" s="4" t="s">
        <v>36961</v>
      </c>
      <c r="G2194" s="4"/>
      <c r="H2194" s="4"/>
      <c r="I2194" s="4" t="s">
        <v>36962</v>
      </c>
      <c r="J2194" s="4" t="s">
        <v>32139</v>
      </c>
      <c r="K2194" s="4"/>
      <c r="L2194" s="4"/>
      <c r="M2194" s="4" t="s">
        <v>77</v>
      </c>
      <c r="N2194" s="4" t="s">
        <v>78</v>
      </c>
      <c r="O2194" s="4"/>
      <c r="P2194" s="4"/>
      <c r="Q2194" s="4"/>
      <c r="R2194" s="4"/>
      <c r="S2194" s="4"/>
      <c r="T2194" s="1" t="s">
        <v>36963</v>
      </c>
      <c r="U2194" s="4" t="s">
        <v>36964</v>
      </c>
      <c r="V2194" s="4" t="s">
        <v>36965</v>
      </c>
      <c r="W2194" s="4" t="s">
        <v>36966</v>
      </c>
      <c r="X2194" s="4" t="s">
        <v>36967</v>
      </c>
      <c r="Y2194" s="4" t="s">
        <v>36968</v>
      </c>
      <c r="Z2194" s="4" t="s">
        <v>36969</v>
      </c>
      <c r="AA2194" s="4" t="s">
        <v>36970</v>
      </c>
      <c r="AB2194" s="4" t="s">
        <v>36971</v>
      </c>
      <c r="AC2194" s="4" t="s">
        <v>36972</v>
      </c>
      <c r="AD2194" s="4" t="s">
        <v>36973</v>
      </c>
      <c r="AE2194" s="4" t="s">
        <v>36974</v>
      </c>
      <c r="AF2194" s="4"/>
      <c r="AG2194" s="4" t="n">
        <v>37</v>
      </c>
      <c r="AH2194" s="4" t="n">
        <v>19</v>
      </c>
      <c r="AI2194" s="4" t="n">
        <v>19</v>
      </c>
      <c r="AJ2194" s="4" t="n">
        <v>0</v>
      </c>
      <c r="AK2194" s="4" t="n">
        <v>2</v>
      </c>
      <c r="AL2194" s="4" t="s">
        <v>27808</v>
      </c>
      <c r="AM2194" s="4" t="s">
        <v>303</v>
      </c>
      <c r="AN2194" s="4" t="s">
        <v>27809</v>
      </c>
      <c r="AO2194" s="4" t="s">
        <v>32146</v>
      </c>
      <c r="AP2194" s="4" t="s">
        <v>32147</v>
      </c>
      <c r="AQ2194" s="4"/>
      <c r="AR2194" s="4" t="s">
        <v>32148</v>
      </c>
      <c r="AS2194" s="4" t="s">
        <v>32149</v>
      </c>
      <c r="AT2194" s="4"/>
      <c r="AU2194" s="4" t="n">
        <v>2017</v>
      </c>
      <c r="AV2194" s="4" t="n">
        <v>2017</v>
      </c>
      <c r="AW2194" s="4"/>
      <c r="AX2194" s="4"/>
      <c r="AY2194" s="4"/>
      <c r="AZ2194" s="4"/>
      <c r="BA2194" s="4"/>
      <c r="BB2194" s="4"/>
      <c r="BC2194" s="4"/>
      <c r="BD2194" s="4" t="s">
        <v>36975</v>
      </c>
      <c r="BE2194" s="4" t="s">
        <v>36976</v>
      </c>
      <c r="BF2194" s="4" t="str">
        <f aca="false">HYPERLINK("http://dx.doi.org/10.1155/2017/4247853","http://dx.doi.org/10.1155/2017/4247853")</f>
        <v>http://dx.doi.org/10.1155/2017/4247853</v>
      </c>
      <c r="BG2194" s="4"/>
      <c r="BH2194" s="4"/>
      <c r="BI2194" s="4" t="n">
        <v>7</v>
      </c>
      <c r="BJ2194" s="4" t="s">
        <v>163</v>
      </c>
      <c r="BK2194" s="4" t="s">
        <v>339</v>
      </c>
      <c r="BL2194" s="4" t="s">
        <v>163</v>
      </c>
      <c r="BM2194" s="4" t="s">
        <v>36977</v>
      </c>
      <c r="BN2194" s="4" t="n">
        <v>28348590</v>
      </c>
      <c r="BO2194" s="4" t="s">
        <v>6349</v>
      </c>
      <c r="BP2194" s="4"/>
      <c r="BQ2194" s="4"/>
      <c r="BR2194" s="4" t="s">
        <v>104</v>
      </c>
      <c r="BS2194" s="4" t="s">
        <v>36978</v>
      </c>
      <c r="BT2194" s="4" t="str">
        <f aca="false">HYPERLINK("https%3A%2F%2Fwww.webofscience.com%2Fwos%2Fwoscc%2Ffull-record%2FWOS:000397943400001","View Full Record in Web of Science")</f>
        <v>View Full Record in Web of Science</v>
      </c>
    </row>
    <row r="2195" s="5" customFormat="true" ht="12.75" hidden="false" customHeight="false" outlineLevel="0" collapsed="false">
      <c r="A2195" s="4" t="s">
        <v>72</v>
      </c>
      <c r="B2195" s="4" t="s">
        <v>36979</v>
      </c>
      <c r="C2195" s="4"/>
      <c r="D2195" s="4"/>
      <c r="E2195" s="4"/>
      <c r="F2195" s="4" t="s">
        <v>36980</v>
      </c>
      <c r="G2195" s="4"/>
      <c r="H2195" s="4"/>
      <c r="I2195" s="4" t="s">
        <v>36981</v>
      </c>
      <c r="J2195" s="4" t="s">
        <v>28208</v>
      </c>
      <c r="K2195" s="4"/>
      <c r="L2195" s="4"/>
      <c r="M2195" s="4" t="s">
        <v>77</v>
      </c>
      <c r="N2195" s="4" t="s">
        <v>78</v>
      </c>
      <c r="O2195" s="4"/>
      <c r="P2195" s="4"/>
      <c r="Q2195" s="4"/>
      <c r="R2195" s="4"/>
      <c r="S2195" s="4"/>
      <c r="T2195" s="1" t="s">
        <v>36982</v>
      </c>
      <c r="U2195" s="4" t="s">
        <v>36983</v>
      </c>
      <c r="V2195" s="4" t="s">
        <v>36984</v>
      </c>
      <c r="W2195" s="4" t="s">
        <v>36985</v>
      </c>
      <c r="X2195" s="4" t="s">
        <v>36986</v>
      </c>
      <c r="Y2195" s="4" t="s">
        <v>36987</v>
      </c>
      <c r="Z2195" s="4" t="s">
        <v>36988</v>
      </c>
      <c r="AA2195" s="4" t="s">
        <v>36989</v>
      </c>
      <c r="AB2195" s="4" t="s">
        <v>36990</v>
      </c>
      <c r="AC2195" s="4" t="s">
        <v>36991</v>
      </c>
      <c r="AD2195" s="4" t="s">
        <v>36992</v>
      </c>
      <c r="AE2195" s="4" t="s">
        <v>36993</v>
      </c>
      <c r="AF2195" s="4"/>
      <c r="AG2195" s="4" t="n">
        <v>47</v>
      </c>
      <c r="AH2195" s="4" t="n">
        <v>14</v>
      </c>
      <c r="AI2195" s="4" t="n">
        <v>18</v>
      </c>
      <c r="AJ2195" s="4" t="n">
        <v>0</v>
      </c>
      <c r="AK2195" s="4" t="n">
        <v>10</v>
      </c>
      <c r="AL2195" s="4" t="s">
        <v>27808</v>
      </c>
      <c r="AM2195" s="4" t="s">
        <v>303</v>
      </c>
      <c r="AN2195" s="4" t="s">
        <v>27809</v>
      </c>
      <c r="AO2195" s="4" t="s">
        <v>28218</v>
      </c>
      <c r="AP2195" s="4" t="s">
        <v>28219</v>
      </c>
      <c r="AQ2195" s="4"/>
      <c r="AR2195" s="4" t="s">
        <v>28220</v>
      </c>
      <c r="AS2195" s="4" t="s">
        <v>28221</v>
      </c>
      <c r="AT2195" s="4" t="s">
        <v>2640</v>
      </c>
      <c r="AU2195" s="4" t="n">
        <v>2020</v>
      </c>
      <c r="AV2195" s="4" t="n">
        <v>2020</v>
      </c>
      <c r="AW2195" s="4"/>
      <c r="AX2195" s="4"/>
      <c r="AY2195" s="4"/>
      <c r="AZ2195" s="4"/>
      <c r="BA2195" s="4"/>
      <c r="BB2195" s="4"/>
      <c r="BC2195" s="4"/>
      <c r="BD2195" s="4" t="n">
        <v>8919534</v>
      </c>
      <c r="BE2195" s="4" t="s">
        <v>36994</v>
      </c>
      <c r="BF2195" s="4" t="str">
        <f aca="false">HYPERLINK("http://dx.doi.org/10.1155/2020/8919534","http://dx.doi.org/10.1155/2020/8919534")</f>
        <v>http://dx.doi.org/10.1155/2020/8919534</v>
      </c>
      <c r="BG2195" s="4"/>
      <c r="BH2195" s="4"/>
      <c r="BI2195" s="4" t="n">
        <v>13</v>
      </c>
      <c r="BJ2195" s="4" t="s">
        <v>12162</v>
      </c>
      <c r="BK2195" s="4" t="s">
        <v>100</v>
      </c>
      <c r="BL2195" s="4" t="s">
        <v>12162</v>
      </c>
      <c r="BM2195" s="4" t="s">
        <v>36995</v>
      </c>
      <c r="BN2195" s="4" t="n">
        <v>32410870</v>
      </c>
      <c r="BO2195" s="4" t="s">
        <v>103</v>
      </c>
      <c r="BP2195" s="4"/>
      <c r="BQ2195" s="4"/>
      <c r="BR2195" s="4" t="s">
        <v>104</v>
      </c>
      <c r="BS2195" s="4" t="s">
        <v>36996</v>
      </c>
      <c r="BT2195" s="4" t="str">
        <f aca="false">HYPERLINK("https%3A%2F%2Fwww.webofscience.com%2Fwos%2Fwoscc%2Ffull-record%2FWOS:000533289000001","View Full Record in Web of Science")</f>
        <v>View Full Record in Web of Science</v>
      </c>
    </row>
    <row r="2196" s="5" customFormat="true" ht="12.75" hidden="false" customHeight="false" outlineLevel="0" collapsed="false">
      <c r="A2196" s="4" t="s">
        <v>72</v>
      </c>
      <c r="B2196" s="4" t="s">
        <v>36997</v>
      </c>
      <c r="C2196" s="4"/>
      <c r="D2196" s="4"/>
      <c r="E2196" s="4"/>
      <c r="F2196" s="4" t="s">
        <v>36998</v>
      </c>
      <c r="G2196" s="4"/>
      <c r="H2196" s="4"/>
      <c r="I2196" s="4" t="s">
        <v>36999</v>
      </c>
      <c r="J2196" s="4" t="s">
        <v>30335</v>
      </c>
      <c r="K2196" s="4"/>
      <c r="L2196" s="4"/>
      <c r="M2196" s="4" t="s">
        <v>77</v>
      </c>
      <c r="N2196" s="4" t="s">
        <v>78</v>
      </c>
      <c r="O2196" s="4"/>
      <c r="P2196" s="4"/>
      <c r="Q2196" s="4"/>
      <c r="R2196" s="4"/>
      <c r="S2196" s="4"/>
      <c r="T2196" s="1" t="s">
        <v>37000</v>
      </c>
      <c r="U2196" s="4" t="s">
        <v>37001</v>
      </c>
      <c r="V2196" s="4" t="s">
        <v>37002</v>
      </c>
      <c r="W2196" s="4" t="s">
        <v>37003</v>
      </c>
      <c r="X2196" s="4" t="s">
        <v>37004</v>
      </c>
      <c r="Y2196" s="4" t="s">
        <v>37005</v>
      </c>
      <c r="Z2196" s="4" t="s">
        <v>37006</v>
      </c>
      <c r="AA2196" s="4" t="s">
        <v>37007</v>
      </c>
      <c r="AB2196" s="4" t="s">
        <v>37008</v>
      </c>
      <c r="AC2196" s="4" t="s">
        <v>37009</v>
      </c>
      <c r="AD2196" s="4" t="s">
        <v>37010</v>
      </c>
      <c r="AE2196" s="4" t="s">
        <v>37011</v>
      </c>
      <c r="AF2196" s="4"/>
      <c r="AG2196" s="4" t="n">
        <v>35</v>
      </c>
      <c r="AH2196" s="4" t="n">
        <v>43</v>
      </c>
      <c r="AI2196" s="4" t="n">
        <v>46</v>
      </c>
      <c r="AJ2196" s="4" t="n">
        <v>0</v>
      </c>
      <c r="AK2196" s="4" t="n">
        <v>6</v>
      </c>
      <c r="AL2196" s="4" t="s">
        <v>919</v>
      </c>
      <c r="AM2196" s="4" t="s">
        <v>593</v>
      </c>
      <c r="AN2196" s="4" t="s">
        <v>920</v>
      </c>
      <c r="AO2196" s="4" t="s">
        <v>30345</v>
      </c>
      <c r="AP2196" s="4"/>
      <c r="AQ2196" s="4"/>
      <c r="AR2196" s="4" t="s">
        <v>30346</v>
      </c>
      <c r="AS2196" s="4" t="s">
        <v>2881</v>
      </c>
      <c r="AT2196" s="4" t="s">
        <v>446</v>
      </c>
      <c r="AU2196" s="4" t="n">
        <v>2012</v>
      </c>
      <c r="AV2196" s="4" t="n">
        <v>161</v>
      </c>
      <c r="AW2196" s="4" t="n">
        <v>6</v>
      </c>
      <c r="AX2196" s="4"/>
      <c r="AY2196" s="4"/>
      <c r="AZ2196" s="4"/>
      <c r="BA2196" s="4"/>
      <c r="BB2196" s="4" t="n">
        <v>1104</v>
      </c>
      <c r="BC2196" s="4" t="n">
        <v>1108</v>
      </c>
      <c r="BD2196" s="4"/>
      <c r="BE2196" s="4" t="s">
        <v>37012</v>
      </c>
      <c r="BF2196" s="4" t="str">
        <f aca="false">HYPERLINK("http://dx.doi.org/10.1016/j.jpeds.2012.05.053","http://dx.doi.org/10.1016/j.jpeds.2012.05.053")</f>
        <v>http://dx.doi.org/10.1016/j.jpeds.2012.05.053</v>
      </c>
      <c r="BG2196" s="4"/>
      <c r="BH2196" s="4"/>
      <c r="BI2196" s="4" t="n">
        <v>5</v>
      </c>
      <c r="BJ2196" s="4" t="s">
        <v>601</v>
      </c>
      <c r="BK2196" s="4" t="s">
        <v>100</v>
      </c>
      <c r="BL2196" s="4" t="s">
        <v>601</v>
      </c>
      <c r="BM2196" s="4" t="s">
        <v>37013</v>
      </c>
      <c r="BN2196" s="4" t="n">
        <v>22748516</v>
      </c>
      <c r="BO2196" s="4"/>
      <c r="BP2196" s="4"/>
      <c r="BQ2196" s="4"/>
      <c r="BR2196" s="4" t="s">
        <v>104</v>
      </c>
      <c r="BS2196" s="4" t="s">
        <v>37014</v>
      </c>
      <c r="BT2196" s="4" t="str">
        <f aca="false">HYPERLINK("https%3A%2F%2Fwww.webofscience.com%2Fwos%2Fwoscc%2Ffull-record%2FWOS:000311348400027","View Full Record in Web of Science")</f>
        <v>View Full Record in Web of Science</v>
      </c>
    </row>
    <row r="2197" s="5" customFormat="true" ht="12.75" hidden="false" customHeight="false" outlineLevel="0" collapsed="false">
      <c r="A2197" s="4" t="s">
        <v>72</v>
      </c>
      <c r="B2197" s="4" t="s">
        <v>37015</v>
      </c>
      <c r="C2197" s="4"/>
      <c r="D2197" s="4"/>
      <c r="E2197" s="4"/>
      <c r="F2197" s="4" t="s">
        <v>37016</v>
      </c>
      <c r="G2197" s="4"/>
      <c r="H2197" s="4"/>
      <c r="I2197" s="4" t="s">
        <v>37017</v>
      </c>
      <c r="J2197" s="4" t="s">
        <v>30335</v>
      </c>
      <c r="K2197" s="4"/>
      <c r="L2197" s="4"/>
      <c r="M2197" s="4" t="s">
        <v>77</v>
      </c>
      <c r="N2197" s="4" t="s">
        <v>78</v>
      </c>
      <c r="O2197" s="4"/>
      <c r="P2197" s="4"/>
      <c r="Q2197" s="4"/>
      <c r="R2197" s="4"/>
      <c r="S2197" s="4"/>
      <c r="T2197" s="1" t="s">
        <v>37018</v>
      </c>
      <c r="U2197" s="4" t="s">
        <v>37019</v>
      </c>
      <c r="V2197" s="4" t="s">
        <v>37020</v>
      </c>
      <c r="W2197" s="4" t="s">
        <v>37021</v>
      </c>
      <c r="X2197" s="4" t="s">
        <v>37022</v>
      </c>
      <c r="Y2197" s="4" t="s">
        <v>37023</v>
      </c>
      <c r="Z2197" s="4" t="s">
        <v>37024</v>
      </c>
      <c r="AA2197" s="4" t="s">
        <v>37025</v>
      </c>
      <c r="AB2197" s="4" t="s">
        <v>37026</v>
      </c>
      <c r="AC2197" s="4"/>
      <c r="AD2197" s="4"/>
      <c r="AE2197" s="4"/>
      <c r="AF2197" s="4"/>
      <c r="AG2197" s="4" t="n">
        <v>26</v>
      </c>
      <c r="AH2197" s="4" t="n">
        <v>46</v>
      </c>
      <c r="AI2197" s="4" t="n">
        <v>49</v>
      </c>
      <c r="AJ2197" s="4" t="n">
        <v>0</v>
      </c>
      <c r="AK2197" s="4" t="n">
        <v>5</v>
      </c>
      <c r="AL2197" s="4" t="s">
        <v>919</v>
      </c>
      <c r="AM2197" s="4" t="s">
        <v>593</v>
      </c>
      <c r="AN2197" s="4" t="s">
        <v>920</v>
      </c>
      <c r="AO2197" s="4" t="s">
        <v>30345</v>
      </c>
      <c r="AP2197" s="4"/>
      <c r="AQ2197" s="4"/>
      <c r="AR2197" s="4" t="s">
        <v>37027</v>
      </c>
      <c r="AS2197" s="4" t="s">
        <v>2881</v>
      </c>
      <c r="AT2197" s="4" t="s">
        <v>390</v>
      </c>
      <c r="AU2197" s="4" t="n">
        <v>2008</v>
      </c>
      <c r="AV2197" s="4" t="n">
        <v>152</v>
      </c>
      <c r="AW2197" s="4" t="n">
        <v>5</v>
      </c>
      <c r="AX2197" s="4"/>
      <c r="AY2197" s="4"/>
      <c r="AZ2197" s="4"/>
      <c r="BA2197" s="4"/>
      <c r="BB2197" s="4" t="n">
        <v>661</v>
      </c>
      <c r="BC2197" s="4" t="n">
        <v>665</v>
      </c>
      <c r="BD2197" s="4"/>
      <c r="BE2197" s="4" t="s">
        <v>37028</v>
      </c>
      <c r="BF2197" s="4" t="str">
        <f aca="false">HYPERLINK("http://dx.doi.org/10.1016/j.jpeds.2007.10.043","http://dx.doi.org/10.1016/j.jpeds.2007.10.043")</f>
        <v>http://dx.doi.org/10.1016/j.jpeds.2007.10.043</v>
      </c>
      <c r="BG2197" s="4"/>
      <c r="BH2197" s="4"/>
      <c r="BI2197" s="4" t="n">
        <v>5</v>
      </c>
      <c r="BJ2197" s="4" t="s">
        <v>601</v>
      </c>
      <c r="BK2197" s="4" t="s">
        <v>100</v>
      </c>
      <c r="BL2197" s="4" t="s">
        <v>601</v>
      </c>
      <c r="BM2197" s="4" t="s">
        <v>37029</v>
      </c>
      <c r="BN2197" s="4" t="n">
        <v>18410770</v>
      </c>
      <c r="BO2197" s="4" t="s">
        <v>9673</v>
      </c>
      <c r="BP2197" s="4"/>
      <c r="BQ2197" s="4"/>
      <c r="BR2197" s="4" t="s">
        <v>104</v>
      </c>
      <c r="BS2197" s="4" t="s">
        <v>37030</v>
      </c>
      <c r="BT2197" s="4" t="str">
        <f aca="false">HYPERLINK("https%3A%2F%2Fwww.webofscience.com%2Fwos%2Fwoscc%2Ffull-record%2FWOS:000255375700015","View Full Record in Web of Science")</f>
        <v>View Full Record in Web of Science</v>
      </c>
    </row>
    <row r="2198" s="5" customFormat="true" ht="12.75" hidden="false" customHeight="false" outlineLevel="0" collapsed="false">
      <c r="A2198" s="4" t="s">
        <v>72</v>
      </c>
      <c r="B2198" s="4" t="s">
        <v>37031</v>
      </c>
      <c r="C2198" s="4"/>
      <c r="D2198" s="4"/>
      <c r="E2198" s="4"/>
      <c r="F2198" s="4" t="s">
        <v>37032</v>
      </c>
      <c r="G2198" s="4"/>
      <c r="H2198" s="4"/>
      <c r="I2198" s="4" t="s">
        <v>37033</v>
      </c>
      <c r="J2198" s="4" t="s">
        <v>37034</v>
      </c>
      <c r="K2198" s="4"/>
      <c r="L2198" s="4"/>
      <c r="M2198" s="4" t="s">
        <v>77</v>
      </c>
      <c r="N2198" s="4" t="s">
        <v>78</v>
      </c>
      <c r="O2198" s="4"/>
      <c r="P2198" s="4"/>
      <c r="Q2198" s="4"/>
      <c r="R2198" s="4"/>
      <c r="S2198" s="4"/>
      <c r="T2198" s="1" t="s">
        <v>37035</v>
      </c>
      <c r="U2198" s="4" t="s">
        <v>37036</v>
      </c>
      <c r="V2198" s="4" t="s">
        <v>37037</v>
      </c>
      <c r="W2198" s="4" t="s">
        <v>37038</v>
      </c>
      <c r="X2198" s="4" t="s">
        <v>1016</v>
      </c>
      <c r="Y2198" s="4" t="s">
        <v>37039</v>
      </c>
      <c r="Z2198" s="4" t="s">
        <v>37040</v>
      </c>
      <c r="AA2198" s="4"/>
      <c r="AB2198" s="4" t="s">
        <v>37041</v>
      </c>
      <c r="AC2198" s="4" t="s">
        <v>37042</v>
      </c>
      <c r="AD2198" s="4" t="s">
        <v>37042</v>
      </c>
      <c r="AE2198" s="4" t="s">
        <v>37043</v>
      </c>
      <c r="AF2198" s="4"/>
      <c r="AG2198" s="4" t="n">
        <v>10</v>
      </c>
      <c r="AH2198" s="4" t="n">
        <v>16</v>
      </c>
      <c r="AI2198" s="4" t="n">
        <v>17</v>
      </c>
      <c r="AJ2198" s="4" t="n">
        <v>0</v>
      </c>
      <c r="AK2198" s="4" t="n">
        <v>2</v>
      </c>
      <c r="AL2198" s="4" t="s">
        <v>37044</v>
      </c>
      <c r="AM2198" s="4" t="s">
        <v>37045</v>
      </c>
      <c r="AN2198" s="4" t="s">
        <v>37046</v>
      </c>
      <c r="AO2198" s="4" t="s">
        <v>37047</v>
      </c>
      <c r="AP2198" s="4" t="s">
        <v>37048</v>
      </c>
      <c r="AQ2198" s="4"/>
      <c r="AR2198" s="4" t="s">
        <v>37049</v>
      </c>
      <c r="AS2198" s="4" t="s">
        <v>37050</v>
      </c>
      <c r="AT2198" s="4" t="s">
        <v>21740</v>
      </c>
      <c r="AU2198" s="4" t="n">
        <v>2019</v>
      </c>
      <c r="AV2198" s="4" t="n">
        <v>40</v>
      </c>
      <c r="AW2198" s="4" t="n">
        <v>6</v>
      </c>
      <c r="AX2198" s="4"/>
      <c r="AY2198" s="4"/>
      <c r="AZ2198" s="4"/>
      <c r="BA2198" s="4"/>
      <c r="BB2198" s="4" t="n">
        <v>393</v>
      </c>
      <c r="BC2198" s="4" t="n">
        <v>395</v>
      </c>
      <c r="BD2198" s="4"/>
      <c r="BE2198" s="4" t="s">
        <v>37051</v>
      </c>
      <c r="BF2198" s="4" t="str">
        <f aca="false">HYPERLINK("http://dx.doi.org/10.2500/aap.2019.40.4255","http://dx.doi.org/10.2500/aap.2019.40.4255")</f>
        <v>http://dx.doi.org/10.2500/aap.2019.40.4255</v>
      </c>
      <c r="BG2198" s="4"/>
      <c r="BH2198" s="4"/>
      <c r="BI2198" s="4" t="n">
        <v>3</v>
      </c>
      <c r="BJ2198" s="4" t="s">
        <v>15678</v>
      </c>
      <c r="BK2198" s="4" t="s">
        <v>100</v>
      </c>
      <c r="BL2198" s="4" t="s">
        <v>15678</v>
      </c>
      <c r="BM2198" s="4" t="s">
        <v>37052</v>
      </c>
      <c r="BN2198" s="4" t="n">
        <v>31690378</v>
      </c>
      <c r="BO2198" s="4"/>
      <c r="BP2198" s="4"/>
      <c r="BQ2198" s="4"/>
      <c r="BR2198" s="4" t="s">
        <v>104</v>
      </c>
      <c r="BS2198" s="4" t="s">
        <v>37053</v>
      </c>
      <c r="BT2198" s="4" t="str">
        <f aca="false">HYPERLINK("https%3A%2F%2Fwww.webofscience.com%2Fwos%2Fwoscc%2Ffull-record%2FWOS:000505054000010","View Full Record in Web of Science")</f>
        <v>View Full Record in Web of Science</v>
      </c>
    </row>
    <row r="2199" s="5" customFormat="true" ht="12.75" hidden="false" customHeight="false" outlineLevel="0" collapsed="false">
      <c r="A2199" s="4" t="s">
        <v>72</v>
      </c>
      <c r="B2199" s="4" t="s">
        <v>37054</v>
      </c>
      <c r="C2199" s="4"/>
      <c r="D2199" s="4"/>
      <c r="E2199" s="4"/>
      <c r="F2199" s="4" t="s">
        <v>37055</v>
      </c>
      <c r="G2199" s="4"/>
      <c r="H2199" s="4"/>
      <c r="I2199" s="4" t="s">
        <v>37056</v>
      </c>
      <c r="J2199" s="4" t="s">
        <v>12792</v>
      </c>
      <c r="K2199" s="4"/>
      <c r="L2199" s="4"/>
      <c r="M2199" s="4" t="s">
        <v>77</v>
      </c>
      <c r="N2199" s="4" t="s">
        <v>78</v>
      </c>
      <c r="O2199" s="4"/>
      <c r="P2199" s="4"/>
      <c r="Q2199" s="4"/>
      <c r="R2199" s="4"/>
      <c r="S2199" s="4"/>
      <c r="T2199" s="1" t="s">
        <v>37057</v>
      </c>
      <c r="U2199" s="4" t="s">
        <v>37058</v>
      </c>
      <c r="V2199" s="4" t="s">
        <v>37059</v>
      </c>
      <c r="W2199" s="4" t="s">
        <v>37060</v>
      </c>
      <c r="X2199" s="4" t="s">
        <v>37061</v>
      </c>
      <c r="Y2199" s="4" t="s">
        <v>37062</v>
      </c>
      <c r="Z2199" s="4"/>
      <c r="AA2199" s="4" t="s">
        <v>37063</v>
      </c>
      <c r="AB2199" s="4" t="s">
        <v>37064</v>
      </c>
      <c r="AC2199" s="4"/>
      <c r="AD2199" s="4"/>
      <c r="AE2199" s="4"/>
      <c r="AF2199" s="4"/>
      <c r="AG2199" s="4" t="n">
        <v>30</v>
      </c>
      <c r="AH2199" s="4" t="n">
        <v>0</v>
      </c>
      <c r="AI2199" s="4" t="n">
        <v>0</v>
      </c>
      <c r="AJ2199" s="4" t="n">
        <v>0</v>
      </c>
      <c r="AK2199" s="4" t="n">
        <v>0</v>
      </c>
      <c r="AL2199" s="4" t="s">
        <v>1242</v>
      </c>
      <c r="AM2199" s="4" t="s">
        <v>303</v>
      </c>
      <c r="AN2199" s="4" t="s">
        <v>467</v>
      </c>
      <c r="AO2199" s="4" t="s">
        <v>12802</v>
      </c>
      <c r="AP2199" s="4" t="s">
        <v>14780</v>
      </c>
      <c r="AQ2199" s="4"/>
      <c r="AR2199" s="4" t="s">
        <v>12803</v>
      </c>
      <c r="AS2199" s="4" t="s">
        <v>12804</v>
      </c>
      <c r="AT2199" s="4" t="s">
        <v>185</v>
      </c>
      <c r="AU2199" s="4" t="n">
        <v>2024</v>
      </c>
      <c r="AV2199" s="4" t="n">
        <v>59</v>
      </c>
      <c r="AW2199" s="4" t="n">
        <v>8</v>
      </c>
      <c r="AX2199" s="4"/>
      <c r="AY2199" s="4"/>
      <c r="AZ2199" s="4"/>
      <c r="BA2199" s="4"/>
      <c r="BB2199" s="4" t="n">
        <v>1118</v>
      </c>
      <c r="BC2199" s="4" t="n">
        <v>1126</v>
      </c>
      <c r="BD2199" s="4"/>
      <c r="BE2199" s="4" t="s">
        <v>37065</v>
      </c>
      <c r="BF2199" s="4" t="str">
        <f aca="false">HYPERLINK("http://dx.doi.org/10.1038/s41409-024-02304-4","http://dx.doi.org/10.1038/s41409-024-02304-4")</f>
        <v>http://dx.doi.org/10.1038/s41409-024-02304-4</v>
      </c>
      <c r="BG2199" s="4"/>
      <c r="BH2199" s="4" t="s">
        <v>2310</v>
      </c>
      <c r="BI2199" s="4" t="n">
        <v>9</v>
      </c>
      <c r="BJ2199" s="4" t="s">
        <v>12806</v>
      </c>
      <c r="BK2199" s="4" t="s">
        <v>100</v>
      </c>
      <c r="BL2199" s="4" t="s">
        <v>12806</v>
      </c>
      <c r="BM2199" s="4" t="s">
        <v>37066</v>
      </c>
      <c r="BN2199" s="4" t="n">
        <v>38730040</v>
      </c>
      <c r="BO2199" s="4"/>
      <c r="BP2199" s="4"/>
      <c r="BQ2199" s="4"/>
      <c r="BR2199" s="4" t="s">
        <v>104</v>
      </c>
      <c r="BS2199" s="4" t="s">
        <v>37067</v>
      </c>
      <c r="BT2199" s="4" t="str">
        <f aca="false">HYPERLINK("https%3A%2F%2Fwww.webofscience.com%2Fwos%2Fwoscc%2Ffull-record%2FWOS:001221732000001","View Full Record in Web of Science")</f>
        <v>View Full Record in Web of Science</v>
      </c>
    </row>
    <row r="2200" s="5" customFormat="true" ht="12.75" hidden="false" customHeight="false" outlineLevel="0" collapsed="false">
      <c r="A2200" s="4" t="s">
        <v>72</v>
      </c>
      <c r="B2200" s="4" t="s">
        <v>37068</v>
      </c>
      <c r="C2200" s="4"/>
      <c r="D2200" s="4"/>
      <c r="E2200" s="4"/>
      <c r="F2200" s="4" t="s">
        <v>37069</v>
      </c>
      <c r="G2200" s="4"/>
      <c r="H2200" s="4"/>
      <c r="I2200" s="4" t="s">
        <v>37070</v>
      </c>
      <c r="J2200" s="4" t="s">
        <v>742</v>
      </c>
      <c r="K2200" s="4"/>
      <c r="L2200" s="4"/>
      <c r="M2200" s="4" t="s">
        <v>77</v>
      </c>
      <c r="N2200" s="4" t="s">
        <v>78</v>
      </c>
      <c r="O2200" s="4"/>
      <c r="P2200" s="4"/>
      <c r="Q2200" s="4"/>
      <c r="R2200" s="4"/>
      <c r="S2200" s="4"/>
      <c r="T2200" s="1" t="s">
        <v>37071</v>
      </c>
      <c r="U2200" s="4" t="s">
        <v>37072</v>
      </c>
      <c r="V2200" s="4" t="s">
        <v>37073</v>
      </c>
      <c r="W2200" s="4" t="s">
        <v>37074</v>
      </c>
      <c r="X2200" s="4" t="s">
        <v>37075</v>
      </c>
      <c r="Y2200" s="4" t="s">
        <v>37076</v>
      </c>
      <c r="Z2200" s="4" t="s">
        <v>37077</v>
      </c>
      <c r="AA2200" s="4" t="s">
        <v>37078</v>
      </c>
      <c r="AB2200" s="4" t="s">
        <v>37079</v>
      </c>
      <c r="AC2200" s="4" t="s">
        <v>37080</v>
      </c>
      <c r="AD2200" s="4" t="s">
        <v>37081</v>
      </c>
      <c r="AE2200" s="4" t="s">
        <v>37082</v>
      </c>
      <c r="AF2200" s="4"/>
      <c r="AG2200" s="4" t="n">
        <v>42</v>
      </c>
      <c r="AH2200" s="4" t="n">
        <v>85</v>
      </c>
      <c r="AI2200" s="4" t="n">
        <v>98</v>
      </c>
      <c r="AJ2200" s="4" t="n">
        <v>0</v>
      </c>
      <c r="AK2200" s="4" t="n">
        <v>6</v>
      </c>
      <c r="AL2200" s="4" t="s">
        <v>755</v>
      </c>
      <c r="AM2200" s="4" t="s">
        <v>273</v>
      </c>
      <c r="AN2200" s="4" t="s">
        <v>756</v>
      </c>
      <c r="AO2200" s="4" t="s">
        <v>757</v>
      </c>
      <c r="AP2200" s="4" t="s">
        <v>758</v>
      </c>
      <c r="AQ2200" s="4"/>
      <c r="AR2200" s="4" t="s">
        <v>759</v>
      </c>
      <c r="AS2200" s="4" t="s">
        <v>760</v>
      </c>
      <c r="AT2200" s="4" t="s">
        <v>390</v>
      </c>
      <c r="AU2200" s="4" t="n">
        <v>2016</v>
      </c>
      <c r="AV2200" s="4" t="n">
        <v>90</v>
      </c>
      <c r="AW2200" s="4" t="n">
        <v>9</v>
      </c>
      <c r="AX2200" s="4"/>
      <c r="AY2200" s="4"/>
      <c r="AZ2200" s="4"/>
      <c r="BA2200" s="4"/>
      <c r="BB2200" s="4" t="n">
        <v>4369</v>
      </c>
      <c r="BC2200" s="4" t="n">
        <v>4382</v>
      </c>
      <c r="BD2200" s="4"/>
      <c r="BE2200" s="4" t="s">
        <v>37083</v>
      </c>
      <c r="BF2200" s="4" t="str">
        <f aca="false">HYPERLINK("http://dx.doi.org/10.1128/JVI.03172-15","http://dx.doi.org/10.1128/JVI.03172-15")</f>
        <v>http://dx.doi.org/10.1128/JVI.03172-15</v>
      </c>
      <c r="BG2200" s="4"/>
      <c r="BH2200" s="4"/>
      <c r="BI2200" s="4" t="n">
        <v>14</v>
      </c>
      <c r="BJ2200" s="4" t="s">
        <v>163</v>
      </c>
      <c r="BK2200" s="4" t="s">
        <v>100</v>
      </c>
      <c r="BL2200" s="4" t="s">
        <v>163</v>
      </c>
      <c r="BM2200" s="4" t="s">
        <v>37084</v>
      </c>
      <c r="BN2200" s="4" t="n">
        <v>26889027</v>
      </c>
      <c r="BO2200" s="4" t="s">
        <v>538</v>
      </c>
      <c r="BP2200" s="4"/>
      <c r="BQ2200" s="4"/>
      <c r="BR2200" s="4" t="s">
        <v>104</v>
      </c>
      <c r="BS2200" s="4" t="s">
        <v>37085</v>
      </c>
      <c r="BT2200" s="4" t="str">
        <f aca="false">HYPERLINK("https%3A%2F%2Fwww.webofscience.com%2Fwos%2Fwoscc%2Ffull-record%2FWOS:000375125400012","View Full Record in Web of Science")</f>
        <v>View Full Record in Web of Science</v>
      </c>
    </row>
    <row r="2201" s="5" customFormat="true" ht="12.75" hidden="false" customHeight="false" outlineLevel="0" collapsed="false">
      <c r="A2201" s="4" t="s">
        <v>72</v>
      </c>
      <c r="B2201" s="4" t="s">
        <v>37086</v>
      </c>
      <c r="C2201" s="4"/>
      <c r="D2201" s="4"/>
      <c r="E2201" s="4"/>
      <c r="F2201" s="4" t="s">
        <v>37087</v>
      </c>
      <c r="G2201" s="4"/>
      <c r="H2201" s="4"/>
      <c r="I2201" s="4" t="s">
        <v>37088</v>
      </c>
      <c r="J2201" s="4" t="s">
        <v>27453</v>
      </c>
      <c r="K2201" s="4"/>
      <c r="L2201" s="4"/>
      <c r="M2201" s="4" t="s">
        <v>77</v>
      </c>
      <c r="N2201" s="4" t="s">
        <v>78</v>
      </c>
      <c r="O2201" s="4"/>
      <c r="P2201" s="4"/>
      <c r="Q2201" s="4"/>
      <c r="R2201" s="4"/>
      <c r="S2201" s="4"/>
      <c r="T2201" s="1" t="s">
        <v>37089</v>
      </c>
      <c r="U2201" s="4" t="s">
        <v>37090</v>
      </c>
      <c r="V2201" s="4" t="s">
        <v>37091</v>
      </c>
      <c r="W2201" s="4" t="s">
        <v>37092</v>
      </c>
      <c r="X2201" s="4" t="s">
        <v>37093</v>
      </c>
      <c r="Y2201" s="4" t="s">
        <v>37094</v>
      </c>
      <c r="Z2201" s="4" t="s">
        <v>37095</v>
      </c>
      <c r="AA2201" s="4" t="s">
        <v>37096</v>
      </c>
      <c r="AB2201" s="4" t="s">
        <v>2104</v>
      </c>
      <c r="AC2201" s="4"/>
      <c r="AD2201" s="4"/>
      <c r="AE2201" s="4"/>
      <c r="AF2201" s="4"/>
      <c r="AG2201" s="4" t="n">
        <v>41</v>
      </c>
      <c r="AH2201" s="4" t="n">
        <v>7</v>
      </c>
      <c r="AI2201" s="4" t="n">
        <v>8</v>
      </c>
      <c r="AJ2201" s="4" t="n">
        <v>1</v>
      </c>
      <c r="AK2201" s="4" t="n">
        <v>13</v>
      </c>
      <c r="AL2201" s="4" t="s">
        <v>27463</v>
      </c>
      <c r="AM2201" s="4" t="s">
        <v>16252</v>
      </c>
      <c r="AN2201" s="4" t="s">
        <v>27464</v>
      </c>
      <c r="AO2201" s="4" t="s">
        <v>27465</v>
      </c>
      <c r="AP2201" s="4" t="s">
        <v>27466</v>
      </c>
      <c r="AQ2201" s="4"/>
      <c r="AR2201" s="4" t="s">
        <v>27467</v>
      </c>
      <c r="AS2201" s="4" t="s">
        <v>27468</v>
      </c>
      <c r="AT2201" s="4" t="s">
        <v>129</v>
      </c>
      <c r="AU2201" s="4" t="n">
        <v>2019</v>
      </c>
      <c r="AV2201" s="4" t="n">
        <v>72</v>
      </c>
      <c r="AW2201" s="4" t="n">
        <v>5</v>
      </c>
      <c r="AX2201" s="4"/>
      <c r="AY2201" s="4"/>
      <c r="AZ2201" s="4"/>
      <c r="BA2201" s="4"/>
      <c r="BB2201" s="4" t="n">
        <v>318</v>
      </c>
      <c r="BC2201" s="4" t="n">
        <v>322</v>
      </c>
      <c r="BD2201" s="4"/>
      <c r="BE2201" s="4" t="s">
        <v>37097</v>
      </c>
      <c r="BF2201" s="4" t="str">
        <f aca="false">HYPERLINK("http://dx.doi.org/10.7883/yoken.JJID.2018.510","http://dx.doi.org/10.7883/yoken.JJID.2018.510")</f>
        <v>http://dx.doi.org/10.7883/yoken.JJID.2018.510</v>
      </c>
      <c r="BG2201" s="4"/>
      <c r="BH2201" s="4"/>
      <c r="BI2201" s="4" t="n">
        <v>5</v>
      </c>
      <c r="BJ2201" s="4" t="s">
        <v>575</v>
      </c>
      <c r="BK2201" s="4" t="s">
        <v>100</v>
      </c>
      <c r="BL2201" s="4" t="s">
        <v>575</v>
      </c>
      <c r="BM2201" s="4" t="s">
        <v>29401</v>
      </c>
      <c r="BN2201" s="4" t="n">
        <v>31257239</v>
      </c>
      <c r="BO2201" s="4" t="s">
        <v>1355</v>
      </c>
      <c r="BP2201" s="4"/>
      <c r="BQ2201" s="4"/>
      <c r="BR2201" s="4" t="s">
        <v>104</v>
      </c>
      <c r="BS2201" s="4" t="s">
        <v>37098</v>
      </c>
      <c r="BT2201" s="4" t="str">
        <f aca="false">HYPERLINK("https%3A%2F%2Fwww.webofscience.com%2Fwos%2Fwoscc%2Ffull-record%2FWOS:000489677000006","View Full Record in Web of Science")</f>
        <v>View Full Record in Web of Science</v>
      </c>
    </row>
    <row r="2202" s="5" customFormat="true" ht="12.75" hidden="false" customHeight="false" outlineLevel="0" collapsed="false">
      <c r="A2202" s="4" t="s">
        <v>72</v>
      </c>
      <c r="B2202" s="4" t="s">
        <v>37099</v>
      </c>
      <c r="C2202" s="4"/>
      <c r="D2202" s="4"/>
      <c r="E2202" s="4"/>
      <c r="F2202" s="4" t="s">
        <v>37100</v>
      </c>
      <c r="G2202" s="4"/>
      <c r="H2202" s="4"/>
      <c r="I2202" s="4" t="s">
        <v>37101</v>
      </c>
      <c r="J2202" s="4" t="s">
        <v>27453</v>
      </c>
      <c r="K2202" s="4"/>
      <c r="L2202" s="4"/>
      <c r="M2202" s="4" t="s">
        <v>77</v>
      </c>
      <c r="N2202" s="4" t="s">
        <v>78</v>
      </c>
      <c r="O2202" s="4"/>
      <c r="P2202" s="4"/>
      <c r="Q2202" s="4"/>
      <c r="R2202" s="4"/>
      <c r="S2202" s="4"/>
      <c r="T2202" s="1" t="s">
        <v>37102</v>
      </c>
      <c r="U2202" s="4" t="s">
        <v>37103</v>
      </c>
      <c r="V2202" s="4" t="s">
        <v>37104</v>
      </c>
      <c r="W2202" s="4" t="s">
        <v>37105</v>
      </c>
      <c r="X2202" s="4" t="s">
        <v>14065</v>
      </c>
      <c r="Y2202" s="4" t="s">
        <v>37106</v>
      </c>
      <c r="Z2202" s="4" t="s">
        <v>29095</v>
      </c>
      <c r="AA2202" s="4"/>
      <c r="AB2202" s="4"/>
      <c r="AC2202" s="4" t="s">
        <v>37107</v>
      </c>
      <c r="AD2202" s="4" t="s">
        <v>37108</v>
      </c>
      <c r="AE2202" s="4" t="s">
        <v>37109</v>
      </c>
      <c r="AF2202" s="4"/>
      <c r="AG2202" s="4" t="n">
        <v>17</v>
      </c>
      <c r="AH2202" s="4" t="n">
        <v>2</v>
      </c>
      <c r="AI2202" s="4" t="n">
        <v>2</v>
      </c>
      <c r="AJ2202" s="4" t="n">
        <v>0</v>
      </c>
      <c r="AK2202" s="4" t="n">
        <v>3</v>
      </c>
      <c r="AL2202" s="4" t="s">
        <v>27463</v>
      </c>
      <c r="AM2202" s="4" t="s">
        <v>16252</v>
      </c>
      <c r="AN2202" s="4" t="s">
        <v>27464</v>
      </c>
      <c r="AO2202" s="4" t="s">
        <v>27465</v>
      </c>
      <c r="AP2202" s="4" t="s">
        <v>27466</v>
      </c>
      <c r="AQ2202" s="4"/>
      <c r="AR2202" s="4" t="s">
        <v>27467</v>
      </c>
      <c r="AS2202" s="4" t="s">
        <v>27468</v>
      </c>
      <c r="AT2202" s="4" t="s">
        <v>129</v>
      </c>
      <c r="AU2202" s="4" t="n">
        <v>2014</v>
      </c>
      <c r="AV2202" s="4" t="n">
        <v>67</v>
      </c>
      <c r="AW2202" s="4" t="n">
        <v>5</v>
      </c>
      <c r="AX2202" s="4"/>
      <c r="AY2202" s="4"/>
      <c r="AZ2202" s="4"/>
      <c r="BA2202" s="4"/>
      <c r="BB2202" s="4" t="n">
        <v>392</v>
      </c>
      <c r="BC2202" s="4" t="n">
        <v>396</v>
      </c>
      <c r="BD2202" s="4"/>
      <c r="BE2202" s="4" t="s">
        <v>37110</v>
      </c>
      <c r="BF2202" s="4" t="str">
        <f aca="false">HYPERLINK("http://dx.doi.org/10.7883/yoken.67.392","http://dx.doi.org/10.7883/yoken.67.392")</f>
        <v>http://dx.doi.org/10.7883/yoken.67.392</v>
      </c>
      <c r="BG2202" s="4"/>
      <c r="BH2202" s="4"/>
      <c r="BI2202" s="4" t="n">
        <v>5</v>
      </c>
      <c r="BJ2202" s="4" t="s">
        <v>575</v>
      </c>
      <c r="BK2202" s="4" t="s">
        <v>100</v>
      </c>
      <c r="BL2202" s="4" t="s">
        <v>575</v>
      </c>
      <c r="BM2202" s="4" t="s">
        <v>37111</v>
      </c>
      <c r="BN2202" s="4" t="n">
        <v>25241693</v>
      </c>
      <c r="BO2202" s="4" t="s">
        <v>656</v>
      </c>
      <c r="BP2202" s="4"/>
      <c r="BQ2202" s="4"/>
      <c r="BR2202" s="4" t="s">
        <v>104</v>
      </c>
      <c r="BS2202" s="4" t="s">
        <v>37112</v>
      </c>
      <c r="BT2202" s="4" t="str">
        <f aca="false">HYPERLINK("https%3A%2F%2Fwww.webofscience.com%2Fwos%2Fwoscc%2Ffull-record%2FWOS:000342608600014","View Full Record in Web of Science")</f>
        <v>View Full Record in Web of Science</v>
      </c>
    </row>
    <row r="2203" s="5" customFormat="true" ht="12.75" hidden="false" customHeight="false" outlineLevel="0" collapsed="false">
      <c r="A2203" s="4" t="s">
        <v>72</v>
      </c>
      <c r="B2203" s="4" t="s">
        <v>37113</v>
      </c>
      <c r="C2203" s="4"/>
      <c r="D2203" s="4"/>
      <c r="E2203" s="4"/>
      <c r="F2203" s="4" t="s">
        <v>37114</v>
      </c>
      <c r="G2203" s="4"/>
      <c r="H2203" s="4"/>
      <c r="I2203" s="4" t="s">
        <v>37115</v>
      </c>
      <c r="J2203" s="4" t="s">
        <v>37116</v>
      </c>
      <c r="K2203" s="4"/>
      <c r="L2203" s="4"/>
      <c r="M2203" s="4" t="s">
        <v>77</v>
      </c>
      <c r="N2203" s="4" t="s">
        <v>78</v>
      </c>
      <c r="O2203" s="4"/>
      <c r="P2203" s="4"/>
      <c r="Q2203" s="4"/>
      <c r="R2203" s="4"/>
      <c r="S2203" s="4"/>
      <c r="T2203" s="1" t="s">
        <v>37117</v>
      </c>
      <c r="U2203" s="4" t="s">
        <v>37118</v>
      </c>
      <c r="V2203" s="4" t="s">
        <v>37119</v>
      </c>
      <c r="W2203" s="4" t="s">
        <v>37120</v>
      </c>
      <c r="X2203" s="4" t="s">
        <v>37121</v>
      </c>
      <c r="Y2203" s="4" t="s">
        <v>37122</v>
      </c>
      <c r="Z2203" s="4" t="s">
        <v>37123</v>
      </c>
      <c r="AA2203" s="4"/>
      <c r="AB2203" s="4" t="s">
        <v>37124</v>
      </c>
      <c r="AC2203" s="4" t="s">
        <v>37125</v>
      </c>
      <c r="AD2203" s="4" t="s">
        <v>37126</v>
      </c>
      <c r="AE2203" s="4" t="s">
        <v>37127</v>
      </c>
      <c r="AF2203" s="4"/>
      <c r="AG2203" s="4" t="n">
        <v>58</v>
      </c>
      <c r="AH2203" s="4" t="n">
        <v>17</v>
      </c>
      <c r="AI2203" s="4" t="n">
        <v>21</v>
      </c>
      <c r="AJ2203" s="4" t="n">
        <v>2</v>
      </c>
      <c r="AK2203" s="4" t="n">
        <v>17</v>
      </c>
      <c r="AL2203" s="4" t="s">
        <v>272</v>
      </c>
      <c r="AM2203" s="4" t="s">
        <v>273</v>
      </c>
      <c r="AN2203" s="4" t="s">
        <v>274</v>
      </c>
      <c r="AO2203" s="4" t="s">
        <v>37128</v>
      </c>
      <c r="AP2203" s="4" t="s">
        <v>37129</v>
      </c>
      <c r="AQ2203" s="4"/>
      <c r="AR2203" s="4" t="s">
        <v>37130</v>
      </c>
      <c r="AS2203" s="4" t="s">
        <v>37131</v>
      </c>
      <c r="AT2203" s="4" t="s">
        <v>37132</v>
      </c>
      <c r="AU2203" s="4" t="n">
        <v>2021</v>
      </c>
      <c r="AV2203" s="4" t="n">
        <v>143</v>
      </c>
      <c r="AW2203" s="4" t="n">
        <v>15</v>
      </c>
      <c r="AX2203" s="4"/>
      <c r="AY2203" s="4"/>
      <c r="AZ2203" s="4"/>
      <c r="BA2203" s="4"/>
      <c r="BB2203" s="4" t="n">
        <v>5958</v>
      </c>
      <c r="BC2203" s="4" t="n">
        <v>5966</v>
      </c>
      <c r="BD2203" s="4"/>
      <c r="BE2203" s="4" t="s">
        <v>37133</v>
      </c>
      <c r="BF2203" s="4" t="str">
        <f aca="false">HYPERLINK("http://dx.doi.org/10.1021/jacs.1c01565","http://dx.doi.org/10.1021/jacs.1c01565")</f>
        <v>http://dx.doi.org/10.1021/jacs.1c01565</v>
      </c>
      <c r="BG2203" s="4"/>
      <c r="BH2203" s="4" t="s">
        <v>7257</v>
      </c>
      <c r="BI2203" s="4" t="n">
        <v>9</v>
      </c>
      <c r="BJ2203" s="4" t="s">
        <v>7715</v>
      </c>
      <c r="BK2203" s="4" t="s">
        <v>100</v>
      </c>
      <c r="BL2203" s="4" t="s">
        <v>7717</v>
      </c>
      <c r="BM2203" s="4" t="s">
        <v>37134</v>
      </c>
      <c r="BN2203" s="4" t="n">
        <v>33825470</v>
      </c>
      <c r="BO2203" s="4" t="s">
        <v>5506</v>
      </c>
      <c r="BP2203" s="4"/>
      <c r="BQ2203" s="4"/>
      <c r="BR2203" s="4" t="s">
        <v>104</v>
      </c>
      <c r="BS2203" s="4" t="s">
        <v>37135</v>
      </c>
      <c r="BT2203" s="4" t="str">
        <f aca="false">HYPERLINK("https%3A%2F%2Fwww.webofscience.com%2Fwos%2Fwoscc%2Ffull-record%2FWOS:000643591600046","View Full Record in Web of Science")</f>
        <v>View Full Record in Web of Science</v>
      </c>
    </row>
    <row r="2204" s="5" customFormat="true" ht="12.75" hidden="false" customHeight="false" outlineLevel="0" collapsed="false">
      <c r="A2204" s="4" t="s">
        <v>72</v>
      </c>
      <c r="B2204" s="4" t="s">
        <v>37136</v>
      </c>
      <c r="C2204" s="4"/>
      <c r="D2204" s="4"/>
      <c r="E2204" s="4"/>
      <c r="F2204" s="4" t="s">
        <v>37137</v>
      </c>
      <c r="G2204" s="4"/>
      <c r="H2204" s="4"/>
      <c r="I2204" s="4" t="s">
        <v>37138</v>
      </c>
      <c r="J2204" s="4" t="s">
        <v>27497</v>
      </c>
      <c r="K2204" s="4"/>
      <c r="L2204" s="4"/>
      <c r="M2204" s="4" t="s">
        <v>77</v>
      </c>
      <c r="N2204" s="4" t="s">
        <v>78</v>
      </c>
      <c r="O2204" s="4"/>
      <c r="P2204" s="4"/>
      <c r="Q2204" s="4"/>
      <c r="R2204" s="4"/>
      <c r="S2204" s="4"/>
      <c r="T2204" s="1" t="s">
        <v>37139</v>
      </c>
      <c r="U2204" s="4" t="s">
        <v>37140</v>
      </c>
      <c r="V2204" s="4" t="s">
        <v>37141</v>
      </c>
      <c r="W2204" s="4" t="s">
        <v>37142</v>
      </c>
      <c r="X2204" s="4" t="s">
        <v>37143</v>
      </c>
      <c r="Y2204" s="4" t="s">
        <v>37144</v>
      </c>
      <c r="Z2204" s="4" t="s">
        <v>37145</v>
      </c>
      <c r="AA2204" s="4" t="s">
        <v>37146</v>
      </c>
      <c r="AB2204" s="4" t="s">
        <v>37147</v>
      </c>
      <c r="AC2204" s="4" t="s">
        <v>37148</v>
      </c>
      <c r="AD2204" s="4" t="s">
        <v>37149</v>
      </c>
      <c r="AE2204" s="4" t="s">
        <v>37150</v>
      </c>
      <c r="AF2204" s="4"/>
      <c r="AG2204" s="4" t="n">
        <v>55</v>
      </c>
      <c r="AH2204" s="4" t="n">
        <v>38</v>
      </c>
      <c r="AI2204" s="4" t="n">
        <v>39</v>
      </c>
      <c r="AJ2204" s="4" t="n">
        <v>0</v>
      </c>
      <c r="AK2204" s="4" t="n">
        <v>7</v>
      </c>
      <c r="AL2204" s="4" t="s">
        <v>27506</v>
      </c>
      <c r="AM2204" s="4" t="s">
        <v>27507</v>
      </c>
      <c r="AN2204" s="4" t="s">
        <v>27508</v>
      </c>
      <c r="AO2204" s="4" t="s">
        <v>27509</v>
      </c>
      <c r="AP2204" s="4"/>
      <c r="AQ2204" s="4"/>
      <c r="AR2204" s="4" t="s">
        <v>27497</v>
      </c>
      <c r="AS2204" s="4" t="s">
        <v>27510</v>
      </c>
      <c r="AT2204" s="4" t="s">
        <v>37151</v>
      </c>
      <c r="AU2204" s="4" t="n">
        <v>2014</v>
      </c>
      <c r="AV2204" s="4" t="n">
        <v>9</v>
      </c>
      <c r="AW2204" s="4" t="n">
        <v>10</v>
      </c>
      <c r="AX2204" s="4"/>
      <c r="AY2204" s="4"/>
      <c r="AZ2204" s="4"/>
      <c r="BA2204" s="4"/>
      <c r="BB2204" s="4"/>
      <c r="BC2204" s="4"/>
      <c r="BD2204" s="4" t="s">
        <v>37152</v>
      </c>
      <c r="BE2204" s="4" t="s">
        <v>37153</v>
      </c>
      <c r="BF2204" s="4" t="str">
        <f aca="false">HYPERLINK("http://dx.doi.org/10.1371/journal.pone.0108481","http://dx.doi.org/10.1371/journal.pone.0108481")</f>
        <v>http://dx.doi.org/10.1371/journal.pone.0108481</v>
      </c>
      <c r="BG2204" s="4"/>
      <c r="BH2204" s="4"/>
      <c r="BI2204" s="4" t="n">
        <v>10</v>
      </c>
      <c r="BJ2204" s="4" t="s">
        <v>1658</v>
      </c>
      <c r="BK2204" s="4" t="s">
        <v>100</v>
      </c>
      <c r="BL2204" s="4" t="s">
        <v>1659</v>
      </c>
      <c r="BM2204" s="4" t="s">
        <v>37154</v>
      </c>
      <c r="BN2204" s="4" t="n">
        <v>25275464</v>
      </c>
      <c r="BO2204" s="4" t="s">
        <v>5702</v>
      </c>
      <c r="BP2204" s="4"/>
      <c r="BQ2204" s="4"/>
      <c r="BR2204" s="4" t="s">
        <v>104</v>
      </c>
      <c r="BS2204" s="4" t="s">
        <v>37155</v>
      </c>
      <c r="BT2204" s="4" t="str">
        <f aca="false">HYPERLINK("https%3A%2F%2Fwww.webofscience.com%2Fwos%2Fwoscc%2Ffull-record%2FWOS:000342591500018","View Full Record in Web of Science")</f>
        <v>View Full Record in Web of Science</v>
      </c>
    </row>
    <row r="2205" s="5" customFormat="true" ht="12.75" hidden="false" customHeight="false" outlineLevel="0" collapsed="false">
      <c r="A2205" s="4" t="s">
        <v>72</v>
      </c>
      <c r="B2205" s="4" t="s">
        <v>37156</v>
      </c>
      <c r="C2205" s="4"/>
      <c r="D2205" s="4"/>
      <c r="E2205" s="4"/>
      <c r="F2205" s="4" t="s">
        <v>37157</v>
      </c>
      <c r="G2205" s="4"/>
      <c r="H2205" s="4"/>
      <c r="I2205" s="4" t="s">
        <v>37158</v>
      </c>
      <c r="J2205" s="4" t="s">
        <v>31442</v>
      </c>
      <c r="K2205" s="4"/>
      <c r="L2205" s="4"/>
      <c r="M2205" s="4" t="s">
        <v>77</v>
      </c>
      <c r="N2205" s="4" t="s">
        <v>78</v>
      </c>
      <c r="O2205" s="4"/>
      <c r="P2205" s="4"/>
      <c r="Q2205" s="4"/>
      <c r="R2205" s="4"/>
      <c r="S2205" s="4"/>
      <c r="T2205" s="1" t="s">
        <v>37159</v>
      </c>
      <c r="U2205" s="4" t="s">
        <v>37160</v>
      </c>
      <c r="V2205" s="4" t="s">
        <v>37161</v>
      </c>
      <c r="W2205" s="4" t="s">
        <v>37162</v>
      </c>
      <c r="X2205" s="4" t="s">
        <v>37163</v>
      </c>
      <c r="Y2205" s="4" t="s">
        <v>37164</v>
      </c>
      <c r="Z2205" s="4" t="s">
        <v>37165</v>
      </c>
      <c r="AA2205" s="4" t="s">
        <v>37166</v>
      </c>
      <c r="AB2205" s="4" t="s">
        <v>37167</v>
      </c>
      <c r="AC2205" s="4" t="s">
        <v>37168</v>
      </c>
      <c r="AD2205" s="4" t="s">
        <v>37169</v>
      </c>
      <c r="AE2205" s="4" t="s">
        <v>37170</v>
      </c>
      <c r="AF2205" s="4"/>
      <c r="AG2205" s="4" t="n">
        <v>46</v>
      </c>
      <c r="AH2205" s="4" t="n">
        <v>29</v>
      </c>
      <c r="AI2205" s="4" t="n">
        <v>33</v>
      </c>
      <c r="AJ2205" s="4" t="n">
        <v>1</v>
      </c>
      <c r="AK2205" s="4" t="n">
        <v>33</v>
      </c>
      <c r="AL2205" s="4" t="s">
        <v>272</v>
      </c>
      <c r="AM2205" s="4" t="s">
        <v>273</v>
      </c>
      <c r="AN2205" s="4" t="s">
        <v>274</v>
      </c>
      <c r="AO2205" s="4" t="s">
        <v>31455</v>
      </c>
      <c r="AP2205" s="4" t="s">
        <v>31456</v>
      </c>
      <c r="AQ2205" s="4"/>
      <c r="AR2205" s="4" t="s">
        <v>31457</v>
      </c>
      <c r="AS2205" s="4" t="s">
        <v>31458</v>
      </c>
      <c r="AT2205" s="4" t="s">
        <v>10024</v>
      </c>
      <c r="AU2205" s="4" t="n">
        <v>2010</v>
      </c>
      <c r="AV2205" s="4" t="n">
        <v>82</v>
      </c>
      <c r="AW2205" s="4" t="n">
        <v>24</v>
      </c>
      <c r="AX2205" s="4"/>
      <c r="AY2205" s="4"/>
      <c r="AZ2205" s="4"/>
      <c r="BA2205" s="4"/>
      <c r="BB2205" s="4" t="n">
        <v>10102</v>
      </c>
      <c r="BC2205" s="4" t="n">
        <v>10109</v>
      </c>
      <c r="BD2205" s="4"/>
      <c r="BE2205" s="4" t="s">
        <v>37171</v>
      </c>
      <c r="BF2205" s="4" t="str">
        <f aca="false">HYPERLINK("http://dx.doi.org/10.1021/ac1020744","http://dx.doi.org/10.1021/ac1020744")</f>
        <v>http://dx.doi.org/10.1021/ac1020744</v>
      </c>
      <c r="BG2205" s="4"/>
      <c r="BH2205" s="4"/>
      <c r="BI2205" s="4" t="n">
        <v>8</v>
      </c>
      <c r="BJ2205" s="4" t="s">
        <v>31460</v>
      </c>
      <c r="BK2205" s="4" t="s">
        <v>100</v>
      </c>
      <c r="BL2205" s="4" t="s">
        <v>7717</v>
      </c>
      <c r="BM2205" s="4" t="s">
        <v>37172</v>
      </c>
      <c r="BN2205" s="4" t="n">
        <v>21114282</v>
      </c>
      <c r="BO2205" s="4" t="s">
        <v>695</v>
      </c>
      <c r="BP2205" s="4"/>
      <c r="BQ2205" s="4"/>
      <c r="BR2205" s="4" t="s">
        <v>104</v>
      </c>
      <c r="BS2205" s="4" t="s">
        <v>37173</v>
      </c>
      <c r="BT2205" s="4" t="str">
        <f aca="false">HYPERLINK("https%3A%2F%2Fwww.webofscience.com%2Fwos%2Fwoscc%2Ffull-record%2FWOS:000285215800020","View Full Record in Web of Science")</f>
        <v>View Full Record in Web of Science</v>
      </c>
    </row>
    <row r="2206" s="5" customFormat="true" ht="12.75" hidden="false" customHeight="false" outlineLevel="0" collapsed="false">
      <c r="A2206" s="4" t="s">
        <v>72</v>
      </c>
      <c r="B2206" s="4" t="s">
        <v>37174</v>
      </c>
      <c r="C2206" s="4"/>
      <c r="D2206" s="4"/>
      <c r="E2206" s="4"/>
      <c r="F2206" s="4" t="s">
        <v>37175</v>
      </c>
      <c r="G2206" s="4"/>
      <c r="H2206" s="4"/>
      <c r="I2206" s="4" t="s">
        <v>37176</v>
      </c>
      <c r="J2206" s="4" t="s">
        <v>10031</v>
      </c>
      <c r="K2206" s="4"/>
      <c r="L2206" s="4"/>
      <c r="M2206" s="4" t="s">
        <v>77</v>
      </c>
      <c r="N2206" s="4" t="s">
        <v>78</v>
      </c>
      <c r="O2206" s="4"/>
      <c r="P2206" s="4"/>
      <c r="Q2206" s="4"/>
      <c r="R2206" s="4"/>
      <c r="S2206" s="4"/>
      <c r="T2206" s="1" t="s">
        <v>37177</v>
      </c>
      <c r="U2206" s="4" t="s">
        <v>37178</v>
      </c>
      <c r="V2206" s="4" t="s">
        <v>37179</v>
      </c>
      <c r="W2206" s="4" t="s">
        <v>37180</v>
      </c>
      <c r="X2206" s="4" t="s">
        <v>37181</v>
      </c>
      <c r="Y2206" s="4" t="s">
        <v>37182</v>
      </c>
      <c r="Z2206" s="4" t="s">
        <v>37183</v>
      </c>
      <c r="AA2206" s="4" t="s">
        <v>37184</v>
      </c>
      <c r="AB2206" s="4" t="s">
        <v>37185</v>
      </c>
      <c r="AC2206" s="4" t="s">
        <v>37186</v>
      </c>
      <c r="AD2206" s="4" t="s">
        <v>37187</v>
      </c>
      <c r="AE2206" s="4" t="s">
        <v>37188</v>
      </c>
      <c r="AF2206" s="4"/>
      <c r="AG2206" s="4" t="n">
        <v>64</v>
      </c>
      <c r="AH2206" s="4" t="n">
        <v>48</v>
      </c>
      <c r="AI2206" s="4" t="n">
        <v>55</v>
      </c>
      <c r="AJ2206" s="4" t="n">
        <v>1</v>
      </c>
      <c r="AK2206" s="4" t="n">
        <v>11</v>
      </c>
      <c r="AL2206" s="4" t="s">
        <v>10039</v>
      </c>
      <c r="AM2206" s="4" t="s">
        <v>10040</v>
      </c>
      <c r="AN2206" s="4" t="s">
        <v>21829</v>
      </c>
      <c r="AO2206" s="4" t="s">
        <v>10042</v>
      </c>
      <c r="AP2206" s="4" t="s">
        <v>21830</v>
      </c>
      <c r="AQ2206" s="4"/>
      <c r="AR2206" s="4" t="s">
        <v>10043</v>
      </c>
      <c r="AS2206" s="4" t="s">
        <v>10044</v>
      </c>
      <c r="AT2206" s="4" t="s">
        <v>673</v>
      </c>
      <c r="AU2206" s="4" t="n">
        <v>2021</v>
      </c>
      <c r="AV2206" s="4" t="n">
        <v>57</v>
      </c>
      <c r="AW2206" s="4" t="n">
        <v>6</v>
      </c>
      <c r="AX2206" s="4"/>
      <c r="AY2206" s="4"/>
      <c r="AZ2206" s="4"/>
      <c r="BA2206" s="4"/>
      <c r="BB2206" s="4"/>
      <c r="BC2206" s="4"/>
      <c r="BD2206" s="4" t="n">
        <v>2003764</v>
      </c>
      <c r="BE2206" s="4" t="s">
        <v>37189</v>
      </c>
      <c r="BF2206" s="4" t="str">
        <f aca="false">HYPERLINK("http://dx.doi.org/10.1183/13993003.03764-2020","http://dx.doi.org/10.1183/13993003.03764-2020")</f>
        <v>http://dx.doi.org/10.1183/13993003.03764-2020</v>
      </c>
      <c r="BG2206" s="4"/>
      <c r="BH2206" s="4"/>
      <c r="BI2206" s="4" t="n">
        <v>17</v>
      </c>
      <c r="BJ2206" s="4" t="s">
        <v>338</v>
      </c>
      <c r="BK2206" s="4" t="s">
        <v>100</v>
      </c>
      <c r="BL2206" s="4" t="s">
        <v>338</v>
      </c>
      <c r="BM2206" s="4" t="s">
        <v>37190</v>
      </c>
      <c r="BN2206" s="4" t="n">
        <v>33303545</v>
      </c>
      <c r="BO2206" s="4" t="s">
        <v>284</v>
      </c>
      <c r="BP2206" s="4"/>
      <c r="BQ2206" s="4"/>
      <c r="BR2206" s="4" t="s">
        <v>104</v>
      </c>
      <c r="BS2206" s="4" t="s">
        <v>37191</v>
      </c>
      <c r="BT2206" s="4" t="str">
        <f aca="false">HYPERLINK("https%3A%2F%2Fwww.webofscience.com%2Fwos%2Fwoscc%2Ffull-record%2FWOS:000670910500012","View Full Record in Web of Science")</f>
        <v>View Full Record in Web of Science</v>
      </c>
    </row>
    <row r="2207" s="5" customFormat="true" ht="12.75" hidden="false" customHeight="false" outlineLevel="0" collapsed="false">
      <c r="A2207" s="4" t="s">
        <v>72</v>
      </c>
      <c r="B2207" s="4" t="s">
        <v>37192</v>
      </c>
      <c r="C2207" s="4"/>
      <c r="D2207" s="4"/>
      <c r="E2207" s="4"/>
      <c r="F2207" s="4" t="s">
        <v>37193</v>
      </c>
      <c r="G2207" s="4"/>
      <c r="H2207" s="4"/>
      <c r="I2207" s="4" t="s">
        <v>37194</v>
      </c>
      <c r="J2207" s="4" t="s">
        <v>4895</v>
      </c>
      <c r="K2207" s="4"/>
      <c r="L2207" s="4"/>
      <c r="M2207" s="4" t="s">
        <v>77</v>
      </c>
      <c r="N2207" s="4" t="s">
        <v>78</v>
      </c>
      <c r="O2207" s="4"/>
      <c r="P2207" s="4"/>
      <c r="Q2207" s="4"/>
      <c r="R2207" s="4"/>
      <c r="S2207" s="4"/>
      <c r="T2207" s="1" t="s">
        <v>37195</v>
      </c>
      <c r="U2207" s="4" t="s">
        <v>37196</v>
      </c>
      <c r="V2207" s="4" t="s">
        <v>37197</v>
      </c>
      <c r="W2207" s="4" t="s">
        <v>37198</v>
      </c>
      <c r="X2207" s="4" t="s">
        <v>37199</v>
      </c>
      <c r="Y2207" s="4" t="s">
        <v>37200</v>
      </c>
      <c r="Z2207" s="4" t="s">
        <v>37201</v>
      </c>
      <c r="AA2207" s="4" t="s">
        <v>37202</v>
      </c>
      <c r="AB2207" s="4" t="s">
        <v>37203</v>
      </c>
      <c r="AC2207" s="4" t="s">
        <v>37204</v>
      </c>
      <c r="AD2207" s="4" t="s">
        <v>37204</v>
      </c>
      <c r="AE2207" s="4" t="s">
        <v>37205</v>
      </c>
      <c r="AF2207" s="4"/>
      <c r="AG2207" s="4" t="n">
        <v>29</v>
      </c>
      <c r="AH2207" s="4" t="n">
        <v>47</v>
      </c>
      <c r="AI2207" s="4" t="n">
        <v>49</v>
      </c>
      <c r="AJ2207" s="4" t="n">
        <v>0</v>
      </c>
      <c r="AK2207" s="4" t="n">
        <v>10</v>
      </c>
      <c r="AL2207" s="4" t="s">
        <v>592</v>
      </c>
      <c r="AM2207" s="4" t="s">
        <v>593</v>
      </c>
      <c r="AN2207" s="4" t="s">
        <v>594</v>
      </c>
      <c r="AO2207" s="4" t="s">
        <v>4905</v>
      </c>
      <c r="AP2207" s="4"/>
      <c r="AQ2207" s="4"/>
      <c r="AR2207" s="4" t="s">
        <v>4907</v>
      </c>
      <c r="AS2207" s="4" t="s">
        <v>4908</v>
      </c>
      <c r="AT2207" s="4" t="s">
        <v>1041</v>
      </c>
      <c r="AU2207" s="4" t="n">
        <v>2011</v>
      </c>
      <c r="AV2207" s="4" t="n">
        <v>30</v>
      </c>
      <c r="AW2207" s="4" t="n">
        <v>2</v>
      </c>
      <c r="AX2207" s="4"/>
      <c r="AY2207" s="4"/>
      <c r="AZ2207" s="4"/>
      <c r="BA2207" s="4"/>
      <c r="BB2207" s="4" t="n">
        <v>159</v>
      </c>
      <c r="BC2207" s="4" t="n">
        <v>165</v>
      </c>
      <c r="BD2207" s="4"/>
      <c r="BE2207" s="4" t="s">
        <v>37206</v>
      </c>
      <c r="BF2207" s="4" t="str">
        <f aca="false">HYPERLINK("http://dx.doi.org/10.1007/s10096-010-1064-2","http://dx.doi.org/10.1007/s10096-010-1064-2")</f>
        <v>http://dx.doi.org/10.1007/s10096-010-1064-2</v>
      </c>
      <c r="BG2207" s="4"/>
      <c r="BH2207" s="4"/>
      <c r="BI2207" s="4" t="n">
        <v>7</v>
      </c>
      <c r="BJ2207" s="4" t="s">
        <v>1467</v>
      </c>
      <c r="BK2207" s="4" t="s">
        <v>100</v>
      </c>
      <c r="BL2207" s="4" t="s">
        <v>1467</v>
      </c>
      <c r="BM2207" s="4" t="s">
        <v>37207</v>
      </c>
      <c r="BN2207" s="4" t="n">
        <v>20853014</v>
      </c>
      <c r="BO2207" s="4" t="s">
        <v>136</v>
      </c>
      <c r="BP2207" s="4"/>
      <c r="BQ2207" s="4"/>
      <c r="BR2207" s="4" t="s">
        <v>104</v>
      </c>
      <c r="BS2207" s="4" t="s">
        <v>37208</v>
      </c>
      <c r="BT2207" s="4" t="str">
        <f aca="false">HYPERLINK("https%3A%2F%2Fwww.webofscience.com%2Fwos%2Fwoscc%2Ffull-record%2FWOS:000286333700004","View Full Record in Web of Science")</f>
        <v>View Full Record in Web of Science</v>
      </c>
    </row>
    <row r="2208" s="5" customFormat="true" ht="12.75" hidden="false" customHeight="false" outlineLevel="0" collapsed="false">
      <c r="A2208" s="4" t="s">
        <v>72</v>
      </c>
      <c r="B2208" s="4" t="s">
        <v>37209</v>
      </c>
      <c r="C2208" s="4"/>
      <c r="D2208" s="4"/>
      <c r="E2208" s="4"/>
      <c r="F2208" s="4" t="s">
        <v>37210</v>
      </c>
      <c r="G2208" s="4"/>
      <c r="H2208" s="4"/>
      <c r="I2208" s="4" t="s">
        <v>37211</v>
      </c>
      <c r="J2208" s="4" t="s">
        <v>30281</v>
      </c>
      <c r="K2208" s="4"/>
      <c r="L2208" s="4"/>
      <c r="M2208" s="4" t="s">
        <v>77</v>
      </c>
      <c r="N2208" s="4" t="s">
        <v>78</v>
      </c>
      <c r="O2208" s="4"/>
      <c r="P2208" s="4"/>
      <c r="Q2208" s="4"/>
      <c r="R2208" s="4"/>
      <c r="S2208" s="4"/>
      <c r="T2208" s="1" t="s">
        <v>37212</v>
      </c>
      <c r="U2208" s="4" t="s">
        <v>37213</v>
      </c>
      <c r="V2208" s="4" t="s">
        <v>37214</v>
      </c>
      <c r="W2208" s="4" t="s">
        <v>37215</v>
      </c>
      <c r="X2208" s="4" t="s">
        <v>37216</v>
      </c>
      <c r="Y2208" s="4" t="s">
        <v>37217</v>
      </c>
      <c r="Z2208" s="4" t="s">
        <v>37218</v>
      </c>
      <c r="AA2208" s="4" t="s">
        <v>37219</v>
      </c>
      <c r="AB2208" s="4" t="s">
        <v>37220</v>
      </c>
      <c r="AC2208" s="4" t="s">
        <v>37221</v>
      </c>
      <c r="AD2208" s="4" t="s">
        <v>37222</v>
      </c>
      <c r="AE2208" s="4" t="s">
        <v>37223</v>
      </c>
      <c r="AF2208" s="4"/>
      <c r="AG2208" s="4" t="n">
        <v>30</v>
      </c>
      <c r="AH2208" s="4" t="n">
        <v>41</v>
      </c>
      <c r="AI2208" s="4" t="n">
        <v>42</v>
      </c>
      <c r="AJ2208" s="4" t="n">
        <v>0</v>
      </c>
      <c r="AK2208" s="4" t="n">
        <v>6</v>
      </c>
      <c r="AL2208" s="4" t="s">
        <v>30292</v>
      </c>
      <c r="AM2208" s="4" t="s">
        <v>303</v>
      </c>
      <c r="AN2208" s="4" t="s">
        <v>30293</v>
      </c>
      <c r="AO2208" s="4" t="s">
        <v>30294</v>
      </c>
      <c r="AP2208" s="4"/>
      <c r="AQ2208" s="4"/>
      <c r="AR2208" s="4" t="s">
        <v>30295</v>
      </c>
      <c r="AS2208" s="4" t="s">
        <v>30296</v>
      </c>
      <c r="AT2208" s="4"/>
      <c r="AU2208" s="4" t="n">
        <v>2011</v>
      </c>
      <c r="AV2208" s="4" t="n">
        <v>16</v>
      </c>
      <c r="AW2208" s="4" t="n">
        <v>5</v>
      </c>
      <c r="AX2208" s="4"/>
      <c r="AY2208" s="4"/>
      <c r="AZ2208" s="4"/>
      <c r="BA2208" s="4"/>
      <c r="BB2208" s="4" t="n">
        <v>733</v>
      </c>
      <c r="BC2208" s="4" t="n">
        <v>740</v>
      </c>
      <c r="BD2208" s="4"/>
      <c r="BE2208" s="4" t="s">
        <v>37224</v>
      </c>
      <c r="BF2208" s="4" t="str">
        <f aca="false">HYPERLINK("http://dx.doi.org/10.3851/IMP1811","http://dx.doi.org/10.3851/IMP1811")</f>
        <v>http://dx.doi.org/10.3851/IMP1811</v>
      </c>
      <c r="BG2208" s="4"/>
      <c r="BH2208" s="4"/>
      <c r="BI2208" s="4" t="n">
        <v>8</v>
      </c>
      <c r="BJ2208" s="4" t="s">
        <v>30297</v>
      </c>
      <c r="BK2208" s="4" t="s">
        <v>100</v>
      </c>
      <c r="BL2208" s="4" t="s">
        <v>30297</v>
      </c>
      <c r="BM2208" s="4" t="s">
        <v>37225</v>
      </c>
      <c r="BN2208" s="4" t="n">
        <v>21817195</v>
      </c>
      <c r="BO2208" s="4"/>
      <c r="BP2208" s="4"/>
      <c r="BQ2208" s="4"/>
      <c r="BR2208" s="4" t="s">
        <v>104</v>
      </c>
      <c r="BS2208" s="4" t="s">
        <v>37226</v>
      </c>
      <c r="BT2208" s="4" t="str">
        <f aca="false">HYPERLINK("https%3A%2F%2Fwww.webofscience.com%2Fwos%2Fwoscc%2Ffull-record%2FWOS:000294375800013","View Full Record in Web of Science")</f>
        <v>View Full Record in Web of Science</v>
      </c>
    </row>
    <row r="2209" s="5" customFormat="true" ht="12.75" hidden="false" customHeight="false" outlineLevel="0" collapsed="false">
      <c r="A2209" s="4" t="s">
        <v>72</v>
      </c>
      <c r="B2209" s="4" t="s">
        <v>37227</v>
      </c>
      <c r="C2209" s="4"/>
      <c r="D2209" s="4"/>
      <c r="E2209" s="4"/>
      <c r="F2209" s="4" t="s">
        <v>37228</v>
      </c>
      <c r="G2209" s="4"/>
      <c r="H2209" s="4" t="s">
        <v>37229</v>
      </c>
      <c r="I2209" s="4" t="s">
        <v>37230</v>
      </c>
      <c r="J2209" s="4" t="s">
        <v>27497</v>
      </c>
      <c r="K2209" s="4"/>
      <c r="L2209" s="4"/>
      <c r="M2209" s="4" t="s">
        <v>77</v>
      </c>
      <c r="N2209" s="4" t="s">
        <v>78</v>
      </c>
      <c r="O2209" s="4"/>
      <c r="P2209" s="4"/>
      <c r="Q2209" s="4"/>
      <c r="R2209" s="4"/>
      <c r="S2209" s="4"/>
      <c r="T2209" s="1" t="s">
        <v>37231</v>
      </c>
      <c r="U2209" s="4" t="s">
        <v>37232</v>
      </c>
      <c r="V2209" s="4" t="s">
        <v>37233</v>
      </c>
      <c r="W2209" s="4" t="s">
        <v>37234</v>
      </c>
      <c r="X2209" s="4" t="s">
        <v>37235</v>
      </c>
      <c r="Y2209" s="4" t="s">
        <v>37236</v>
      </c>
      <c r="Z2209" s="4"/>
      <c r="AA2209" s="4" t="s">
        <v>37237</v>
      </c>
      <c r="AB2209" s="4" t="s">
        <v>37238</v>
      </c>
      <c r="AC2209" s="4" t="s">
        <v>37239</v>
      </c>
      <c r="AD2209" s="4" t="s">
        <v>37240</v>
      </c>
      <c r="AE2209" s="4" t="s">
        <v>37241</v>
      </c>
      <c r="AF2209" s="4"/>
      <c r="AG2209" s="4" t="n">
        <v>47</v>
      </c>
      <c r="AH2209" s="4" t="n">
        <v>63</v>
      </c>
      <c r="AI2209" s="4" t="n">
        <v>72</v>
      </c>
      <c r="AJ2209" s="4" t="n">
        <v>0</v>
      </c>
      <c r="AK2209" s="4" t="n">
        <v>6</v>
      </c>
      <c r="AL2209" s="4" t="s">
        <v>27506</v>
      </c>
      <c r="AM2209" s="4" t="s">
        <v>27507</v>
      </c>
      <c r="AN2209" s="4" t="s">
        <v>27508</v>
      </c>
      <c r="AO2209" s="4" t="s">
        <v>27509</v>
      </c>
      <c r="AP2209" s="4"/>
      <c r="AQ2209" s="4"/>
      <c r="AR2209" s="4" t="s">
        <v>27497</v>
      </c>
      <c r="AS2209" s="4" t="s">
        <v>27510</v>
      </c>
      <c r="AT2209" s="4" t="s">
        <v>5884</v>
      </c>
      <c r="AU2209" s="4" t="n">
        <v>2015</v>
      </c>
      <c r="AV2209" s="4" t="n">
        <v>10</v>
      </c>
      <c r="AW2209" s="4" t="n">
        <v>9</v>
      </c>
      <c r="AX2209" s="4"/>
      <c r="AY2209" s="4"/>
      <c r="AZ2209" s="4"/>
      <c r="BA2209" s="4"/>
      <c r="BB2209" s="4"/>
      <c r="BC2209" s="4"/>
      <c r="BD2209" s="4" t="s">
        <v>37242</v>
      </c>
      <c r="BE2209" s="4" t="s">
        <v>37243</v>
      </c>
      <c r="BF2209" s="4" t="str">
        <f aca="false">HYPERLINK("http://dx.doi.org/10.1371/journal.pone.0136526","http://dx.doi.org/10.1371/journal.pone.0136526")</f>
        <v>http://dx.doi.org/10.1371/journal.pone.0136526</v>
      </c>
      <c r="BG2209" s="4"/>
      <c r="BH2209" s="4"/>
      <c r="BI2209" s="4" t="n">
        <v>11</v>
      </c>
      <c r="BJ2209" s="4" t="s">
        <v>1658</v>
      </c>
      <c r="BK2209" s="4" t="s">
        <v>100</v>
      </c>
      <c r="BL2209" s="4" t="s">
        <v>1659</v>
      </c>
      <c r="BM2209" s="4" t="s">
        <v>37244</v>
      </c>
      <c r="BN2209" s="4" t="n">
        <v>26332375</v>
      </c>
      <c r="BO2209" s="4" t="s">
        <v>6349</v>
      </c>
      <c r="BP2209" s="4"/>
      <c r="BQ2209" s="4"/>
      <c r="BR2209" s="4" t="s">
        <v>104</v>
      </c>
      <c r="BS2209" s="4" t="s">
        <v>37245</v>
      </c>
      <c r="BT2209" s="4" t="str">
        <f aca="false">HYPERLINK("https%3A%2F%2Fwww.webofscience.com%2Fwos%2Fwoscc%2Ffull-record%2FWOS:000360613800060","View Full Record in Web of Science")</f>
        <v>View Full Record in Web of Science</v>
      </c>
    </row>
    <row r="2210" s="5" customFormat="true" ht="12.75" hidden="false" customHeight="false" outlineLevel="0" collapsed="false">
      <c r="A2210" s="4" t="s">
        <v>72</v>
      </c>
      <c r="B2210" s="4" t="s">
        <v>37246</v>
      </c>
      <c r="C2210" s="4"/>
      <c r="D2210" s="4"/>
      <c r="E2210" s="4"/>
      <c r="F2210" s="4" t="s">
        <v>37247</v>
      </c>
      <c r="G2210" s="4"/>
      <c r="H2210" s="4"/>
      <c r="I2210" s="4" t="s">
        <v>37248</v>
      </c>
      <c r="J2210" s="4" t="s">
        <v>2222</v>
      </c>
      <c r="K2210" s="4"/>
      <c r="L2210" s="4"/>
      <c r="M2210" s="4" t="s">
        <v>77</v>
      </c>
      <c r="N2210" s="4" t="s">
        <v>78</v>
      </c>
      <c r="O2210" s="4"/>
      <c r="P2210" s="4"/>
      <c r="Q2210" s="4"/>
      <c r="R2210" s="4"/>
      <c r="S2210" s="4"/>
      <c r="T2210" s="1" t="s">
        <v>37249</v>
      </c>
      <c r="U2210" s="4" t="s">
        <v>37250</v>
      </c>
      <c r="V2210" s="4" t="s">
        <v>37251</v>
      </c>
      <c r="W2210" s="4" t="s">
        <v>37252</v>
      </c>
      <c r="X2210" s="4" t="s">
        <v>37253</v>
      </c>
      <c r="Y2210" s="4" t="s">
        <v>37254</v>
      </c>
      <c r="Z2210" s="4" t="s">
        <v>37255</v>
      </c>
      <c r="AA2210" s="4" t="s">
        <v>37256</v>
      </c>
      <c r="AB2210" s="4" t="s">
        <v>37257</v>
      </c>
      <c r="AC2210" s="4"/>
      <c r="AD2210" s="4"/>
      <c r="AE2210" s="4"/>
      <c r="AF2210" s="4"/>
      <c r="AG2210" s="4" t="n">
        <v>26</v>
      </c>
      <c r="AH2210" s="4" t="n">
        <v>32</v>
      </c>
      <c r="AI2210" s="4" t="n">
        <v>33</v>
      </c>
      <c r="AJ2210" s="4" t="n">
        <v>0</v>
      </c>
      <c r="AK2210" s="4" t="n">
        <v>10</v>
      </c>
      <c r="AL2210" s="4" t="s">
        <v>755</v>
      </c>
      <c r="AM2210" s="4" t="s">
        <v>273</v>
      </c>
      <c r="AN2210" s="4" t="s">
        <v>756</v>
      </c>
      <c r="AO2210" s="4" t="s">
        <v>2234</v>
      </c>
      <c r="AP2210" s="4" t="s">
        <v>2235</v>
      </c>
      <c r="AQ2210" s="4"/>
      <c r="AR2210" s="4" t="s">
        <v>2236</v>
      </c>
      <c r="AS2210" s="4" t="s">
        <v>2237</v>
      </c>
      <c r="AT2210" s="4" t="s">
        <v>129</v>
      </c>
      <c r="AU2210" s="4" t="n">
        <v>2013</v>
      </c>
      <c r="AV2210" s="4" t="n">
        <v>51</v>
      </c>
      <c r="AW2210" s="4" t="n">
        <v>9</v>
      </c>
      <c r="AX2210" s="4"/>
      <c r="AY2210" s="4"/>
      <c r="AZ2210" s="4"/>
      <c r="BA2210" s="4"/>
      <c r="BB2210" s="4" t="n">
        <v>2977</v>
      </c>
      <c r="BC2210" s="4" t="n">
        <v>2985</v>
      </c>
      <c r="BD2210" s="4"/>
      <c r="BE2210" s="4" t="s">
        <v>37258</v>
      </c>
      <c r="BF2210" s="4" t="str">
        <f aca="false">HYPERLINK("http://dx.doi.org/10.1128/JCM.00911-13","http://dx.doi.org/10.1128/JCM.00911-13")</f>
        <v>http://dx.doi.org/10.1128/JCM.00911-13</v>
      </c>
      <c r="BG2210" s="4"/>
      <c r="BH2210" s="4"/>
      <c r="BI2210" s="4" t="n">
        <v>9</v>
      </c>
      <c r="BJ2210" s="4" t="s">
        <v>211</v>
      </c>
      <c r="BK2210" s="4" t="s">
        <v>100</v>
      </c>
      <c r="BL2210" s="4" t="s">
        <v>211</v>
      </c>
      <c r="BM2210" s="4" t="s">
        <v>37259</v>
      </c>
      <c r="BN2210" s="4" t="n">
        <v>23824777</v>
      </c>
      <c r="BO2210" s="4" t="s">
        <v>2643</v>
      </c>
      <c r="BP2210" s="4"/>
      <c r="BQ2210" s="4"/>
      <c r="BR2210" s="4" t="s">
        <v>104</v>
      </c>
      <c r="BS2210" s="4" t="s">
        <v>37260</v>
      </c>
      <c r="BT2210" s="4" t="str">
        <f aca="false">HYPERLINK("https%3A%2F%2Fwww.webofscience.com%2Fwos%2Fwoscc%2Ffull-record%2FWOS:000323214200027","View Full Record in Web of Science")</f>
        <v>View Full Record in Web of Science</v>
      </c>
    </row>
    <row r="2211" s="5" customFormat="true" ht="12.75" hidden="false" customHeight="false" outlineLevel="0" collapsed="false">
      <c r="A2211" s="4" t="s">
        <v>72</v>
      </c>
      <c r="B2211" s="4" t="s">
        <v>37261</v>
      </c>
      <c r="C2211" s="4"/>
      <c r="D2211" s="4"/>
      <c r="E2211" s="4"/>
      <c r="F2211" s="4" t="s">
        <v>37262</v>
      </c>
      <c r="G2211" s="4"/>
      <c r="H2211" s="4"/>
      <c r="I2211" s="4" t="s">
        <v>37263</v>
      </c>
      <c r="J2211" s="4" t="s">
        <v>1174</v>
      </c>
      <c r="K2211" s="4"/>
      <c r="L2211" s="4"/>
      <c r="M2211" s="4" t="s">
        <v>77</v>
      </c>
      <c r="N2211" s="4" t="s">
        <v>78</v>
      </c>
      <c r="O2211" s="4"/>
      <c r="P2211" s="4"/>
      <c r="Q2211" s="4"/>
      <c r="R2211" s="4"/>
      <c r="S2211" s="4"/>
      <c r="T2211" s="1" t="s">
        <v>37264</v>
      </c>
      <c r="U2211" s="4" t="s">
        <v>37265</v>
      </c>
      <c r="V2211" s="4" t="s">
        <v>37266</v>
      </c>
      <c r="W2211" s="4" t="s">
        <v>37267</v>
      </c>
      <c r="X2211" s="4" t="s">
        <v>37268</v>
      </c>
      <c r="Y2211" s="4" t="s">
        <v>37269</v>
      </c>
      <c r="Z2211" s="4" t="s">
        <v>37270</v>
      </c>
      <c r="AA2211" s="4" t="s">
        <v>25018</v>
      </c>
      <c r="AB2211" s="4" t="s">
        <v>25019</v>
      </c>
      <c r="AC2211" s="4" t="s">
        <v>37271</v>
      </c>
      <c r="AD2211" s="4" t="s">
        <v>37271</v>
      </c>
      <c r="AE2211" s="4" t="s">
        <v>37272</v>
      </c>
      <c r="AF2211" s="4"/>
      <c r="AG2211" s="4" t="n">
        <v>35</v>
      </c>
      <c r="AH2211" s="4" t="n">
        <v>82</v>
      </c>
      <c r="AI2211" s="4" t="n">
        <v>89</v>
      </c>
      <c r="AJ2211" s="4" t="n">
        <v>0</v>
      </c>
      <c r="AK2211" s="4" t="n">
        <v>4</v>
      </c>
      <c r="AL2211" s="4" t="s">
        <v>1186</v>
      </c>
      <c r="AM2211" s="4" t="s">
        <v>303</v>
      </c>
      <c r="AN2211" s="4" t="s">
        <v>1187</v>
      </c>
      <c r="AO2211" s="4" t="s">
        <v>1188</v>
      </c>
      <c r="AP2211" s="4" t="s">
        <v>1189</v>
      </c>
      <c r="AQ2211" s="4"/>
      <c r="AR2211" s="4" t="s">
        <v>1174</v>
      </c>
      <c r="AS2211" s="4" t="s">
        <v>1190</v>
      </c>
      <c r="AT2211" s="4" t="s">
        <v>97</v>
      </c>
      <c r="AU2211" s="4" t="n">
        <v>2009</v>
      </c>
      <c r="AV2211" s="4" t="n">
        <v>64</v>
      </c>
      <c r="AW2211" s="4" t="n">
        <v>3</v>
      </c>
      <c r="AX2211" s="4"/>
      <c r="AY2211" s="4"/>
      <c r="AZ2211" s="4"/>
      <c r="BA2211" s="4"/>
      <c r="BB2211" s="4" t="n">
        <v>252</v>
      </c>
      <c r="BC2211" s="4" t="n">
        <v>257</v>
      </c>
      <c r="BD2211" s="4"/>
      <c r="BE2211" s="4" t="s">
        <v>37273</v>
      </c>
      <c r="BF2211" s="4" t="str">
        <f aca="false">HYPERLINK("http://dx.doi.org/10.1136/thx.2008.099051","http://dx.doi.org/10.1136/thx.2008.099051")</f>
        <v>http://dx.doi.org/10.1136/thx.2008.099051</v>
      </c>
      <c r="BG2211" s="4"/>
      <c r="BH2211" s="4"/>
      <c r="BI2211" s="4" t="n">
        <v>6</v>
      </c>
      <c r="BJ2211" s="4" t="s">
        <v>338</v>
      </c>
      <c r="BK2211" s="4" t="s">
        <v>100</v>
      </c>
      <c r="BL2211" s="4" t="s">
        <v>338</v>
      </c>
      <c r="BM2211" s="4" t="s">
        <v>37274</v>
      </c>
      <c r="BN2211" s="4" t="n">
        <v>19052043</v>
      </c>
      <c r="BO2211" s="4" t="s">
        <v>32976</v>
      </c>
      <c r="BP2211" s="4"/>
      <c r="BQ2211" s="4"/>
      <c r="BR2211" s="4" t="s">
        <v>104</v>
      </c>
      <c r="BS2211" s="4" t="s">
        <v>37275</v>
      </c>
      <c r="BT2211" s="4" t="str">
        <f aca="false">HYPERLINK("https%3A%2F%2Fwww.webofscience.com%2Fwos%2Fwoscc%2Ffull-record%2FWOS:000263793000015","View Full Record in Web of Science")</f>
        <v>View Full Record in Web of Science</v>
      </c>
    </row>
    <row r="2212" s="5" customFormat="true" ht="12.75" hidden="false" customHeight="false" outlineLevel="0" collapsed="false">
      <c r="A2212" s="4" t="s">
        <v>72</v>
      </c>
      <c r="B2212" s="4" t="s">
        <v>37276</v>
      </c>
      <c r="C2212" s="4"/>
      <c r="D2212" s="4"/>
      <c r="E2212" s="4"/>
      <c r="F2212" s="4" t="s">
        <v>37277</v>
      </c>
      <c r="G2212" s="4"/>
      <c r="H2212" s="4"/>
      <c r="I2212" s="4" t="s">
        <v>37278</v>
      </c>
      <c r="J2212" s="4" t="s">
        <v>2222</v>
      </c>
      <c r="K2212" s="4"/>
      <c r="L2212" s="4"/>
      <c r="M2212" s="4" t="s">
        <v>77</v>
      </c>
      <c r="N2212" s="4" t="s">
        <v>78</v>
      </c>
      <c r="O2212" s="4"/>
      <c r="P2212" s="4"/>
      <c r="Q2212" s="4"/>
      <c r="R2212" s="4"/>
      <c r="S2212" s="4"/>
      <c r="T2212" s="1" t="s">
        <v>37279</v>
      </c>
      <c r="U2212" s="4" t="s">
        <v>37280</v>
      </c>
      <c r="V2212" s="4" t="s">
        <v>37281</v>
      </c>
      <c r="W2212" s="4" t="s">
        <v>37282</v>
      </c>
      <c r="X2212" s="4" t="s">
        <v>37283</v>
      </c>
      <c r="Y2212" s="4" t="s">
        <v>37284</v>
      </c>
      <c r="Z2212" s="4" t="s">
        <v>37285</v>
      </c>
      <c r="AA2212" s="4" t="s">
        <v>37286</v>
      </c>
      <c r="AB2212" s="4" t="s">
        <v>37287</v>
      </c>
      <c r="AC2212" s="4" t="s">
        <v>37288</v>
      </c>
      <c r="AD2212" s="4" t="s">
        <v>37289</v>
      </c>
      <c r="AE2212" s="4" t="s">
        <v>37290</v>
      </c>
      <c r="AF2212" s="4"/>
      <c r="AG2212" s="4" t="n">
        <v>37</v>
      </c>
      <c r="AH2212" s="4" t="n">
        <v>86</v>
      </c>
      <c r="AI2212" s="4" t="n">
        <v>94</v>
      </c>
      <c r="AJ2212" s="4" t="n">
        <v>0</v>
      </c>
      <c r="AK2212" s="4" t="n">
        <v>16</v>
      </c>
      <c r="AL2212" s="4" t="s">
        <v>755</v>
      </c>
      <c r="AM2212" s="4" t="s">
        <v>273</v>
      </c>
      <c r="AN2212" s="4" t="s">
        <v>756</v>
      </c>
      <c r="AO2212" s="4" t="s">
        <v>2234</v>
      </c>
      <c r="AP2212" s="4" t="s">
        <v>2235</v>
      </c>
      <c r="AQ2212" s="4"/>
      <c r="AR2212" s="4" t="s">
        <v>2236</v>
      </c>
      <c r="AS2212" s="4" t="s">
        <v>2237</v>
      </c>
      <c r="AT2212" s="4" t="s">
        <v>336</v>
      </c>
      <c r="AU2212" s="4" t="n">
        <v>2014</v>
      </c>
      <c r="AV2212" s="4" t="n">
        <v>52</v>
      </c>
      <c r="AW2212" s="4" t="n">
        <v>10</v>
      </c>
      <c r="AX2212" s="4"/>
      <c r="AY2212" s="4"/>
      <c r="AZ2212" s="4"/>
      <c r="BA2212" s="4"/>
      <c r="BB2212" s="4" t="n">
        <v>3722</v>
      </c>
      <c r="BC2212" s="4" t="n">
        <v>3730</v>
      </c>
      <c r="BD2212" s="4"/>
      <c r="BE2212" s="4" t="s">
        <v>37291</v>
      </c>
      <c r="BF2212" s="4" t="str">
        <f aca="false">HYPERLINK("http://dx.doi.org/10.1128/JCM.01641-14","http://dx.doi.org/10.1128/JCM.01641-14")</f>
        <v>http://dx.doi.org/10.1128/JCM.01641-14</v>
      </c>
      <c r="BG2212" s="4"/>
      <c r="BH2212" s="4"/>
      <c r="BI2212" s="4" t="n">
        <v>9</v>
      </c>
      <c r="BJ2212" s="4" t="s">
        <v>211</v>
      </c>
      <c r="BK2212" s="4" t="s">
        <v>100</v>
      </c>
      <c r="BL2212" s="4" t="s">
        <v>211</v>
      </c>
      <c r="BM2212" s="4" t="s">
        <v>33758</v>
      </c>
      <c r="BN2212" s="4" t="n">
        <v>25100822</v>
      </c>
      <c r="BO2212" s="4" t="s">
        <v>1267</v>
      </c>
      <c r="BP2212" s="4"/>
      <c r="BQ2212" s="4"/>
      <c r="BR2212" s="4" t="s">
        <v>104</v>
      </c>
      <c r="BS2212" s="4" t="s">
        <v>37292</v>
      </c>
      <c r="BT2212" s="4" t="str">
        <f aca="false">HYPERLINK("https%3A%2F%2Fwww.webofscience.com%2Fwos%2Fwoscc%2Ffull-record%2FWOS:000342371700027","View Full Record in Web of Science")</f>
        <v>View Full Record in Web of Science</v>
      </c>
    </row>
    <row r="2213" s="5" customFormat="true" ht="12.75" hidden="false" customHeight="false" outlineLevel="0" collapsed="false">
      <c r="A2213" s="4" t="s">
        <v>72</v>
      </c>
      <c r="B2213" s="4" t="s">
        <v>37293</v>
      </c>
      <c r="C2213" s="4"/>
      <c r="D2213" s="4"/>
      <c r="E2213" s="4"/>
      <c r="F2213" s="4" t="s">
        <v>37294</v>
      </c>
      <c r="G2213" s="4"/>
      <c r="H2213" s="4"/>
      <c r="I2213" s="4" t="s">
        <v>37295</v>
      </c>
      <c r="J2213" s="4" t="s">
        <v>2222</v>
      </c>
      <c r="K2213" s="4"/>
      <c r="L2213" s="4"/>
      <c r="M2213" s="4" t="s">
        <v>77</v>
      </c>
      <c r="N2213" s="4" t="s">
        <v>78</v>
      </c>
      <c r="O2213" s="4"/>
      <c r="P2213" s="4"/>
      <c r="Q2213" s="4"/>
      <c r="R2213" s="4"/>
      <c r="S2213" s="4"/>
      <c r="T2213" s="1" t="s">
        <v>37296</v>
      </c>
      <c r="U2213" s="4" t="s">
        <v>37297</v>
      </c>
      <c r="V2213" s="4" t="s">
        <v>37298</v>
      </c>
      <c r="W2213" s="4" t="s">
        <v>37299</v>
      </c>
      <c r="X2213" s="4" t="s">
        <v>37300</v>
      </c>
      <c r="Y2213" s="4" t="s">
        <v>37301</v>
      </c>
      <c r="Z2213" s="4" t="s">
        <v>4883</v>
      </c>
      <c r="AA2213" s="4" t="s">
        <v>37302</v>
      </c>
      <c r="AB2213" s="4" t="s">
        <v>37303</v>
      </c>
      <c r="AC2213" s="4" t="s">
        <v>37304</v>
      </c>
      <c r="AD2213" s="4" t="s">
        <v>37304</v>
      </c>
      <c r="AE2213" s="4" t="s">
        <v>37305</v>
      </c>
      <c r="AF2213" s="4"/>
      <c r="AG2213" s="4" t="n">
        <v>24</v>
      </c>
      <c r="AH2213" s="4" t="n">
        <v>92</v>
      </c>
      <c r="AI2213" s="4" t="n">
        <v>97</v>
      </c>
      <c r="AJ2213" s="4" t="n">
        <v>0</v>
      </c>
      <c r="AK2213" s="4" t="n">
        <v>13</v>
      </c>
      <c r="AL2213" s="4" t="s">
        <v>755</v>
      </c>
      <c r="AM2213" s="4" t="s">
        <v>273</v>
      </c>
      <c r="AN2213" s="4" t="s">
        <v>756</v>
      </c>
      <c r="AO2213" s="4" t="s">
        <v>2234</v>
      </c>
      <c r="AP2213" s="4"/>
      <c r="AQ2213" s="4"/>
      <c r="AR2213" s="4" t="s">
        <v>2236</v>
      </c>
      <c r="AS2213" s="4" t="s">
        <v>2237</v>
      </c>
      <c r="AT2213" s="4" t="s">
        <v>599</v>
      </c>
      <c r="AU2213" s="4" t="n">
        <v>2012</v>
      </c>
      <c r="AV2213" s="4" t="n">
        <v>50</v>
      </c>
      <c r="AW2213" s="4" t="n">
        <v>7</v>
      </c>
      <c r="AX2213" s="4"/>
      <c r="AY2213" s="4"/>
      <c r="AZ2213" s="4"/>
      <c r="BA2213" s="4"/>
      <c r="BB2213" s="4" t="n">
        <v>2282</v>
      </c>
      <c r="BC2213" s="4" t="n">
        <v>2288</v>
      </c>
      <c r="BD2213" s="4"/>
      <c r="BE2213" s="4" t="s">
        <v>37306</v>
      </c>
      <c r="BF2213" s="4" t="str">
        <f aca="false">HYPERLINK("http://dx.doi.org/10.1128/JCM.06186-11","http://dx.doi.org/10.1128/JCM.06186-11")</f>
        <v>http://dx.doi.org/10.1128/JCM.06186-11</v>
      </c>
      <c r="BG2213" s="4"/>
      <c r="BH2213" s="4"/>
      <c r="BI2213" s="4" t="n">
        <v>7</v>
      </c>
      <c r="BJ2213" s="4" t="s">
        <v>211</v>
      </c>
      <c r="BK2213" s="4" t="s">
        <v>100</v>
      </c>
      <c r="BL2213" s="4" t="s">
        <v>211</v>
      </c>
      <c r="BM2213" s="4" t="s">
        <v>37307</v>
      </c>
      <c r="BN2213" s="4" t="n">
        <v>22518855</v>
      </c>
      <c r="BO2213" s="4" t="s">
        <v>538</v>
      </c>
      <c r="BP2213" s="4"/>
      <c r="BQ2213" s="4"/>
      <c r="BR2213" s="4" t="s">
        <v>104</v>
      </c>
      <c r="BS2213" s="4" t="s">
        <v>37308</v>
      </c>
      <c r="BT2213" s="4" t="str">
        <f aca="false">HYPERLINK("https%3A%2F%2Fwww.webofscience.com%2Fwos%2Fwoscc%2Ffull-record%2FWOS:000307360800019","View Full Record in Web of Science")</f>
        <v>View Full Record in Web of Science</v>
      </c>
    </row>
    <row r="2214" s="5" customFormat="true" ht="12.75" hidden="false" customHeight="false" outlineLevel="0" collapsed="false">
      <c r="A2214" s="4" t="s">
        <v>72</v>
      </c>
      <c r="B2214" s="4" t="s">
        <v>37309</v>
      </c>
      <c r="C2214" s="4"/>
      <c r="D2214" s="4"/>
      <c r="E2214" s="4"/>
      <c r="F2214" s="4" t="s">
        <v>37309</v>
      </c>
      <c r="G2214" s="4"/>
      <c r="H2214" s="4"/>
      <c r="I2214" s="4" t="s">
        <v>37310</v>
      </c>
      <c r="J2214" s="4" t="s">
        <v>2222</v>
      </c>
      <c r="K2214" s="4"/>
      <c r="L2214" s="4"/>
      <c r="M2214" s="4" t="s">
        <v>77</v>
      </c>
      <c r="N2214" s="4" t="s">
        <v>78</v>
      </c>
      <c r="O2214" s="4"/>
      <c r="P2214" s="4"/>
      <c r="Q2214" s="4"/>
      <c r="R2214" s="4"/>
      <c r="S2214" s="4"/>
      <c r="T2214" s="1" t="s">
        <v>37311</v>
      </c>
      <c r="U2214" s="4" t="s">
        <v>37312</v>
      </c>
      <c r="V2214" s="4" t="s">
        <v>37313</v>
      </c>
      <c r="W2214" s="4" t="s">
        <v>37314</v>
      </c>
      <c r="X2214" s="4" t="s">
        <v>37315</v>
      </c>
      <c r="Y2214" s="4" t="s">
        <v>37316</v>
      </c>
      <c r="Z2214" s="4" t="s">
        <v>37317</v>
      </c>
      <c r="AA2214" s="4"/>
      <c r="AB2214" s="4" t="s">
        <v>37318</v>
      </c>
      <c r="AC2214" s="4"/>
      <c r="AD2214" s="4"/>
      <c r="AE2214" s="4"/>
      <c r="AF2214" s="4"/>
      <c r="AG2214" s="4" t="n">
        <v>29</v>
      </c>
      <c r="AH2214" s="4" t="n">
        <v>36</v>
      </c>
      <c r="AI2214" s="4" t="n">
        <v>50</v>
      </c>
      <c r="AJ2214" s="4" t="n">
        <v>0</v>
      </c>
      <c r="AK2214" s="4" t="n">
        <v>2</v>
      </c>
      <c r="AL2214" s="4" t="s">
        <v>755</v>
      </c>
      <c r="AM2214" s="4" t="s">
        <v>273</v>
      </c>
      <c r="AN2214" s="4" t="s">
        <v>756</v>
      </c>
      <c r="AO2214" s="4" t="s">
        <v>2234</v>
      </c>
      <c r="AP2214" s="4" t="s">
        <v>2235</v>
      </c>
      <c r="AQ2214" s="4"/>
      <c r="AR2214" s="4" t="s">
        <v>2236</v>
      </c>
      <c r="AS2214" s="4" t="s">
        <v>2237</v>
      </c>
      <c r="AT2214" s="4" t="s">
        <v>97</v>
      </c>
      <c r="AU2214" s="4" t="n">
        <v>2004</v>
      </c>
      <c r="AV2214" s="4" t="n">
        <v>42</v>
      </c>
      <c r="AW2214" s="4" t="n">
        <v>3</v>
      </c>
      <c r="AX2214" s="4"/>
      <c r="AY2214" s="4"/>
      <c r="AZ2214" s="4"/>
      <c r="BA2214" s="4"/>
      <c r="BB2214" s="4" t="n">
        <v>1003</v>
      </c>
      <c r="BC2214" s="4" t="n">
        <v>1011</v>
      </c>
      <c r="BD2214" s="4"/>
      <c r="BE2214" s="4" t="s">
        <v>37319</v>
      </c>
      <c r="BF2214" s="4" t="str">
        <f aca="false">HYPERLINK("http://dx.doi.org/10.1128/JCM.42.3.1003-1011.2004","http://dx.doi.org/10.1128/JCM.42.3.1003-1011.2004")</f>
        <v>http://dx.doi.org/10.1128/JCM.42.3.1003-1011.2004</v>
      </c>
      <c r="BG2214" s="4"/>
      <c r="BH2214" s="4"/>
      <c r="BI2214" s="4" t="n">
        <v>9</v>
      </c>
      <c r="BJ2214" s="4" t="s">
        <v>211</v>
      </c>
      <c r="BK2214" s="4" t="s">
        <v>100</v>
      </c>
      <c r="BL2214" s="4" t="s">
        <v>211</v>
      </c>
      <c r="BM2214" s="4" t="s">
        <v>32788</v>
      </c>
      <c r="BN2214" s="4" t="n">
        <v>15004045</v>
      </c>
      <c r="BO2214" s="4" t="s">
        <v>2178</v>
      </c>
      <c r="BP2214" s="4"/>
      <c r="BQ2214" s="4"/>
      <c r="BR2214" s="4" t="s">
        <v>104</v>
      </c>
      <c r="BS2214" s="4" t="s">
        <v>37320</v>
      </c>
      <c r="BT2214" s="4" t="str">
        <f aca="false">HYPERLINK("https%3A%2F%2Fwww.webofscience.com%2Fwos%2Fwoscc%2Ffull-record%2FWOS:000220376900010","View Full Record in Web of Science")</f>
        <v>View Full Record in Web of Science</v>
      </c>
    </row>
    <row r="2215" s="5" customFormat="true" ht="12.75" hidden="false" customHeight="false" outlineLevel="0" collapsed="false">
      <c r="A2215" s="4" t="s">
        <v>72</v>
      </c>
      <c r="B2215" s="4" t="s">
        <v>37321</v>
      </c>
      <c r="C2215" s="4"/>
      <c r="D2215" s="4"/>
      <c r="E2215" s="4"/>
      <c r="F2215" s="4" t="s">
        <v>37322</v>
      </c>
      <c r="G2215" s="4"/>
      <c r="H2215" s="4"/>
      <c r="I2215" s="4" t="s">
        <v>37323</v>
      </c>
      <c r="J2215" s="4" t="s">
        <v>6863</v>
      </c>
      <c r="K2215" s="4"/>
      <c r="L2215" s="4"/>
      <c r="M2215" s="4" t="s">
        <v>77</v>
      </c>
      <c r="N2215" s="4" t="s">
        <v>78</v>
      </c>
      <c r="O2215" s="4"/>
      <c r="P2215" s="4"/>
      <c r="Q2215" s="4"/>
      <c r="R2215" s="4"/>
      <c r="S2215" s="4"/>
      <c r="T2215" s="1" t="s">
        <v>37324</v>
      </c>
      <c r="U2215" s="4" t="s">
        <v>37325</v>
      </c>
      <c r="V2215" s="4" t="s">
        <v>37326</v>
      </c>
      <c r="W2215" s="4" t="s">
        <v>37327</v>
      </c>
      <c r="X2215" s="4" t="s">
        <v>37328</v>
      </c>
      <c r="Y2215" s="4" t="s">
        <v>37329</v>
      </c>
      <c r="Z2215" s="4"/>
      <c r="AA2215" s="4"/>
      <c r="AB2215" s="4"/>
      <c r="AC2215" s="4" t="s">
        <v>37330</v>
      </c>
      <c r="AD2215" s="4" t="s">
        <v>37331</v>
      </c>
      <c r="AE2215" s="4" t="s">
        <v>37332</v>
      </c>
      <c r="AF2215" s="4"/>
      <c r="AG2215" s="4" t="n">
        <v>82</v>
      </c>
      <c r="AH2215" s="4" t="n">
        <v>1</v>
      </c>
      <c r="AI2215" s="4" t="n">
        <v>1</v>
      </c>
      <c r="AJ2215" s="4" t="n">
        <v>0</v>
      </c>
      <c r="AK2215" s="4" t="n">
        <v>0</v>
      </c>
      <c r="AL2215" s="4" t="s">
        <v>383</v>
      </c>
      <c r="AM2215" s="4" t="s">
        <v>384</v>
      </c>
      <c r="AN2215" s="4" t="s">
        <v>385</v>
      </c>
      <c r="AO2215" s="4"/>
      <c r="AP2215" s="4" t="s">
        <v>6880</v>
      </c>
      <c r="AQ2215" s="4"/>
      <c r="AR2215" s="4" t="s">
        <v>6881</v>
      </c>
      <c r="AS2215" s="4" t="s">
        <v>6882</v>
      </c>
      <c r="AT2215" s="4" t="s">
        <v>185</v>
      </c>
      <c r="AU2215" s="4" t="n">
        <v>2024</v>
      </c>
      <c r="AV2215" s="4" t="n">
        <v>300</v>
      </c>
      <c r="AW2215" s="4" t="n">
        <v>8</v>
      </c>
      <c r="AX2215" s="4"/>
      <c r="AY2215" s="4"/>
      <c r="AZ2215" s="4"/>
      <c r="BA2215" s="4"/>
      <c r="BB2215" s="4"/>
      <c r="BC2215" s="4"/>
      <c r="BD2215" s="4" t="n">
        <v>107514</v>
      </c>
      <c r="BE2215" s="4" t="s">
        <v>37333</v>
      </c>
      <c r="BF2215" s="4" t="str">
        <f aca="false">HYPERLINK("http://dx.doi.org/10.1016/j.jbc.2024.107514","http://dx.doi.org/10.1016/j.jbc.2024.107514")</f>
        <v>http://dx.doi.org/10.1016/j.jbc.2024.107514</v>
      </c>
      <c r="BG2215" s="4"/>
      <c r="BH2215" s="4"/>
      <c r="BI2215" s="4" t="n">
        <v>16</v>
      </c>
      <c r="BJ2215" s="4" t="s">
        <v>4523</v>
      </c>
      <c r="BK2215" s="4" t="s">
        <v>100</v>
      </c>
      <c r="BL2215" s="4" t="s">
        <v>4523</v>
      </c>
      <c r="BM2215" s="4" t="s">
        <v>37334</v>
      </c>
      <c r="BN2215" s="4" t="n">
        <v>38945449</v>
      </c>
      <c r="BO2215" s="4" t="s">
        <v>341</v>
      </c>
      <c r="BP2215" s="4"/>
      <c r="BQ2215" s="4"/>
      <c r="BR2215" s="4" t="s">
        <v>104</v>
      </c>
      <c r="BS2215" s="4" t="s">
        <v>37335</v>
      </c>
      <c r="BT2215" s="4" t="str">
        <f aca="false">HYPERLINK("https%3A%2F%2Fwww.webofscience.com%2Fwos%2Fwoscc%2Ffull-record%2FWOS:001364963500001","View Full Record in Web of Science")</f>
        <v>View Full Record in Web of Science</v>
      </c>
    </row>
    <row r="2216" s="5" customFormat="true" ht="12.75" hidden="false" customHeight="false" outlineLevel="0" collapsed="false">
      <c r="A2216" s="4" t="s">
        <v>72</v>
      </c>
      <c r="B2216" s="4" t="s">
        <v>37336</v>
      </c>
      <c r="C2216" s="4"/>
      <c r="D2216" s="4"/>
      <c r="E2216" s="4"/>
      <c r="F2216" s="4" t="s">
        <v>37337</v>
      </c>
      <c r="G2216" s="4"/>
      <c r="H2216" s="4"/>
      <c r="I2216" s="4" t="s">
        <v>37338</v>
      </c>
      <c r="J2216" s="4" t="s">
        <v>37339</v>
      </c>
      <c r="K2216" s="4"/>
      <c r="L2216" s="4"/>
      <c r="M2216" s="4" t="s">
        <v>77</v>
      </c>
      <c r="N2216" s="4" t="s">
        <v>78</v>
      </c>
      <c r="O2216" s="4"/>
      <c r="P2216" s="4"/>
      <c r="Q2216" s="4"/>
      <c r="R2216" s="4"/>
      <c r="S2216" s="4"/>
      <c r="T2216" s="1" t="s">
        <v>37340</v>
      </c>
      <c r="U2216" s="4" t="s">
        <v>37341</v>
      </c>
      <c r="V2216" s="4" t="s">
        <v>37342</v>
      </c>
      <c r="W2216" s="4" t="s">
        <v>37343</v>
      </c>
      <c r="X2216" s="4" t="s">
        <v>37344</v>
      </c>
      <c r="Y2216" s="4" t="s">
        <v>37345</v>
      </c>
      <c r="Z2216" s="4" t="s">
        <v>37346</v>
      </c>
      <c r="AA2216" s="4" t="s">
        <v>37347</v>
      </c>
      <c r="AB2216" s="4" t="s">
        <v>37348</v>
      </c>
      <c r="AC2216" s="4" t="s">
        <v>37349</v>
      </c>
      <c r="AD2216" s="4" t="s">
        <v>37350</v>
      </c>
      <c r="AE2216" s="4" t="s">
        <v>37351</v>
      </c>
      <c r="AF2216" s="4"/>
      <c r="AG2216" s="4" t="n">
        <v>61</v>
      </c>
      <c r="AH2216" s="4" t="n">
        <v>164</v>
      </c>
      <c r="AI2216" s="4" t="n">
        <v>192</v>
      </c>
      <c r="AJ2216" s="4" t="n">
        <v>2</v>
      </c>
      <c r="AK2216" s="4" t="n">
        <v>17</v>
      </c>
      <c r="AL2216" s="4" t="s">
        <v>32375</v>
      </c>
      <c r="AM2216" s="4" t="s">
        <v>273</v>
      </c>
      <c r="AN2216" s="4" t="s">
        <v>32376</v>
      </c>
      <c r="AO2216" s="4" t="s">
        <v>37352</v>
      </c>
      <c r="AP2216" s="4"/>
      <c r="AQ2216" s="4"/>
      <c r="AR2216" s="4" t="s">
        <v>37353</v>
      </c>
      <c r="AS2216" s="4" t="s">
        <v>37354</v>
      </c>
      <c r="AT2216" s="4" t="s">
        <v>446</v>
      </c>
      <c r="AU2216" s="4" t="n">
        <v>2016</v>
      </c>
      <c r="AV2216" s="4" t="n">
        <v>1</v>
      </c>
      <c r="AW2216" s="4" t="n">
        <v>6</v>
      </c>
      <c r="AX2216" s="4"/>
      <c r="AY2216" s="4"/>
      <c r="AZ2216" s="4"/>
      <c r="BA2216" s="4"/>
      <c r="BB2216" s="4"/>
      <c r="BC2216" s="4"/>
      <c r="BD2216" s="4" t="s">
        <v>37355</v>
      </c>
      <c r="BE2216" s="4" t="s">
        <v>37356</v>
      </c>
      <c r="BF2216" s="4" t="str">
        <f aca="false">HYPERLINK("http://dx.doi.org/10.1126/sciimmunol.aaj1879","http://dx.doi.org/10.1126/sciimmunol.aaj1879")</f>
        <v>http://dx.doi.org/10.1126/sciimmunol.aaj1879</v>
      </c>
      <c r="BG2216" s="4"/>
      <c r="BH2216" s="4"/>
      <c r="BI2216" s="4" t="n">
        <v>11</v>
      </c>
      <c r="BJ2216" s="4" t="s">
        <v>628</v>
      </c>
      <c r="BK2216" s="4" t="s">
        <v>100</v>
      </c>
      <c r="BL2216" s="4" t="s">
        <v>628</v>
      </c>
      <c r="BM2216" s="4" t="s">
        <v>37357</v>
      </c>
      <c r="BN2216" s="4" t="n">
        <v>28111638</v>
      </c>
      <c r="BO2216" s="4" t="s">
        <v>5506</v>
      </c>
      <c r="BP2216" s="4"/>
      <c r="BQ2216" s="4"/>
      <c r="BR2216" s="4" t="s">
        <v>104</v>
      </c>
      <c r="BS2216" s="4" t="s">
        <v>37358</v>
      </c>
      <c r="BT2216" s="4" t="str">
        <f aca="false">HYPERLINK("https%3A%2F%2Fwww.webofscience.com%2Fwos%2Fwoscc%2Ffull-record%2FWOS:000434303700008","View Full Record in Web of Science")</f>
        <v>View Full Record in Web of Science</v>
      </c>
    </row>
    <row r="2217" s="5" customFormat="true" ht="12.75" hidden="false" customHeight="false" outlineLevel="0" collapsed="false">
      <c r="A2217" s="4" t="s">
        <v>72</v>
      </c>
      <c r="B2217" s="4" t="s">
        <v>37359</v>
      </c>
      <c r="C2217" s="4"/>
      <c r="D2217" s="4"/>
      <c r="E2217" s="4"/>
      <c r="F2217" s="4" t="s">
        <v>37360</v>
      </c>
      <c r="G2217" s="4"/>
      <c r="H2217" s="4"/>
      <c r="I2217" s="4" t="s">
        <v>37361</v>
      </c>
      <c r="J2217" s="4" t="s">
        <v>27820</v>
      </c>
      <c r="K2217" s="4"/>
      <c r="L2217" s="4"/>
      <c r="M2217" s="4" t="s">
        <v>77</v>
      </c>
      <c r="N2217" s="4" t="s">
        <v>78</v>
      </c>
      <c r="O2217" s="4"/>
      <c r="P2217" s="4"/>
      <c r="Q2217" s="4"/>
      <c r="R2217" s="4"/>
      <c r="S2217" s="4"/>
      <c r="T2217" s="1" t="s">
        <v>37362</v>
      </c>
      <c r="U2217" s="4" t="s">
        <v>37363</v>
      </c>
      <c r="V2217" s="4" t="s">
        <v>37364</v>
      </c>
      <c r="W2217" s="4" t="s">
        <v>37365</v>
      </c>
      <c r="X2217" s="4" t="s">
        <v>37366</v>
      </c>
      <c r="Y2217" s="4" t="s">
        <v>37367</v>
      </c>
      <c r="Z2217" s="4" t="s">
        <v>37368</v>
      </c>
      <c r="AA2217" s="4" t="s">
        <v>37369</v>
      </c>
      <c r="AB2217" s="4" t="s">
        <v>37370</v>
      </c>
      <c r="AC2217" s="4" t="s">
        <v>37371</v>
      </c>
      <c r="AD2217" s="4" t="s">
        <v>37372</v>
      </c>
      <c r="AE2217" s="4" t="s">
        <v>37373</v>
      </c>
      <c r="AF2217" s="4"/>
      <c r="AG2217" s="4" t="n">
        <v>62</v>
      </c>
      <c r="AH2217" s="4" t="n">
        <v>49</v>
      </c>
      <c r="AI2217" s="4" t="n">
        <v>59</v>
      </c>
      <c r="AJ2217" s="4" t="n">
        <v>2</v>
      </c>
      <c r="AK2217" s="4" t="n">
        <v>14</v>
      </c>
      <c r="AL2217" s="4" t="s">
        <v>27506</v>
      </c>
      <c r="AM2217" s="4" t="s">
        <v>27507</v>
      </c>
      <c r="AN2217" s="4" t="s">
        <v>27508</v>
      </c>
      <c r="AO2217" s="4" t="s">
        <v>27831</v>
      </c>
      <c r="AP2217" s="4" t="s">
        <v>27832</v>
      </c>
      <c r="AQ2217" s="4"/>
      <c r="AR2217" s="4" t="s">
        <v>27833</v>
      </c>
      <c r="AS2217" s="4" t="s">
        <v>27834</v>
      </c>
      <c r="AT2217" s="4" t="s">
        <v>446</v>
      </c>
      <c r="AU2217" s="4" t="n">
        <v>2016</v>
      </c>
      <c r="AV2217" s="4" t="n">
        <v>12</v>
      </c>
      <c r="AW2217" s="4" t="n">
        <v>12</v>
      </c>
      <c r="AX2217" s="4"/>
      <c r="AY2217" s="4"/>
      <c r="AZ2217" s="4"/>
      <c r="BA2217" s="4"/>
      <c r="BB2217" s="4"/>
      <c r="BC2217" s="4"/>
      <c r="BD2217" s="4" t="s">
        <v>37374</v>
      </c>
      <c r="BE2217" s="4" t="s">
        <v>37375</v>
      </c>
      <c r="BF2217" s="4" t="str">
        <f aca="false">HYPERLINK("http://dx.doi.org/10.1371/journal.ppat.1006062","http://dx.doi.org/10.1371/journal.ppat.1006062")</f>
        <v>http://dx.doi.org/10.1371/journal.ppat.1006062</v>
      </c>
      <c r="BG2217" s="4"/>
      <c r="BH2217" s="4"/>
      <c r="BI2217" s="4" t="n">
        <v>35</v>
      </c>
      <c r="BJ2217" s="4" t="s">
        <v>27837</v>
      </c>
      <c r="BK2217" s="4" t="s">
        <v>100</v>
      </c>
      <c r="BL2217" s="4" t="s">
        <v>27837</v>
      </c>
      <c r="BM2217" s="4" t="s">
        <v>37376</v>
      </c>
      <c r="BN2217" s="4" t="n">
        <v>27926942</v>
      </c>
      <c r="BO2217" s="4" t="s">
        <v>14604</v>
      </c>
      <c r="BP2217" s="4"/>
      <c r="BQ2217" s="4"/>
      <c r="BR2217" s="4" t="s">
        <v>104</v>
      </c>
      <c r="BS2217" s="4" t="s">
        <v>37377</v>
      </c>
      <c r="BT2217" s="4" t="str">
        <f aca="false">HYPERLINK("https%3A%2F%2Fwww.webofscience.com%2Fwos%2Fwoscc%2Ffull-record%2FWOS:000392202100039","View Full Record in Web of Science")</f>
        <v>View Full Record in Web of Science</v>
      </c>
    </row>
    <row r="2218" s="5" customFormat="true" ht="12.75" hidden="false" customHeight="false" outlineLevel="0" collapsed="false">
      <c r="A2218" s="4" t="s">
        <v>72</v>
      </c>
      <c r="B2218" s="4" t="s">
        <v>37378</v>
      </c>
      <c r="C2218" s="4"/>
      <c r="D2218" s="4"/>
      <c r="E2218" s="4"/>
      <c r="F2218" s="4" t="s">
        <v>37379</v>
      </c>
      <c r="G2218" s="4"/>
      <c r="H2218" s="4" t="s">
        <v>37380</v>
      </c>
      <c r="I2218" s="4" t="s">
        <v>37381</v>
      </c>
      <c r="J2218" s="4" t="s">
        <v>27497</v>
      </c>
      <c r="K2218" s="4"/>
      <c r="L2218" s="4"/>
      <c r="M2218" s="4" t="s">
        <v>77</v>
      </c>
      <c r="N2218" s="4" t="s">
        <v>78</v>
      </c>
      <c r="O2218" s="4"/>
      <c r="P2218" s="4"/>
      <c r="Q2218" s="4"/>
      <c r="R2218" s="4"/>
      <c r="S2218" s="4"/>
      <c r="T2218" s="1" t="s">
        <v>37382</v>
      </c>
      <c r="U2218" s="4" t="s">
        <v>37383</v>
      </c>
      <c r="V2218" s="4" t="s">
        <v>37384</v>
      </c>
      <c r="W2218" s="4" t="s">
        <v>37385</v>
      </c>
      <c r="X2218" s="4" t="s">
        <v>37386</v>
      </c>
      <c r="Y2218" s="4" t="s">
        <v>37387</v>
      </c>
      <c r="Z2218" s="4" t="s">
        <v>37388</v>
      </c>
      <c r="AA2218" s="4" t="s">
        <v>37389</v>
      </c>
      <c r="AB2218" s="4" t="s">
        <v>37390</v>
      </c>
      <c r="AC2218" s="4" t="s">
        <v>37391</v>
      </c>
      <c r="AD2218" s="4" t="s">
        <v>7156</v>
      </c>
      <c r="AE2218" s="4" t="s">
        <v>37392</v>
      </c>
      <c r="AF2218" s="4"/>
      <c r="AG2218" s="4" t="n">
        <v>40</v>
      </c>
      <c r="AH2218" s="4" t="n">
        <v>36</v>
      </c>
      <c r="AI2218" s="4" t="n">
        <v>38</v>
      </c>
      <c r="AJ2218" s="4" t="n">
        <v>0</v>
      </c>
      <c r="AK2218" s="4" t="n">
        <v>3</v>
      </c>
      <c r="AL2218" s="4" t="s">
        <v>27506</v>
      </c>
      <c r="AM2218" s="4" t="s">
        <v>27507</v>
      </c>
      <c r="AN2218" s="4" t="s">
        <v>28522</v>
      </c>
      <c r="AO2218" s="4" t="s">
        <v>27509</v>
      </c>
      <c r="AP2218" s="4"/>
      <c r="AQ2218" s="4"/>
      <c r="AR2218" s="4" t="s">
        <v>27497</v>
      </c>
      <c r="AS2218" s="4" t="s">
        <v>27510</v>
      </c>
      <c r="AT2218" s="4" t="s">
        <v>10947</v>
      </c>
      <c r="AU2218" s="4" t="n">
        <v>2011</v>
      </c>
      <c r="AV2218" s="4" t="n">
        <v>6</v>
      </c>
      <c r="AW2218" s="4" t="n">
        <v>6</v>
      </c>
      <c r="AX2218" s="4"/>
      <c r="AY2218" s="4"/>
      <c r="AZ2218" s="4"/>
      <c r="BA2218" s="4"/>
      <c r="BB2218" s="4"/>
      <c r="BC2218" s="4"/>
      <c r="BD2218" s="4" t="s">
        <v>37393</v>
      </c>
      <c r="BE2218" s="4" t="s">
        <v>37394</v>
      </c>
      <c r="BF2218" s="4" t="str">
        <f aca="false">HYPERLINK("http://dx.doi.org/10.1371/journal.pone.0021042","http://dx.doi.org/10.1371/journal.pone.0021042")</f>
        <v>http://dx.doi.org/10.1371/journal.pone.0021042</v>
      </c>
      <c r="BG2218" s="4"/>
      <c r="BH2218" s="4"/>
      <c r="BI2218" s="4" t="n">
        <v>6</v>
      </c>
      <c r="BJ2218" s="4" t="s">
        <v>1658</v>
      </c>
      <c r="BK2218" s="4" t="s">
        <v>100</v>
      </c>
      <c r="BL2218" s="4" t="s">
        <v>1659</v>
      </c>
      <c r="BM2218" s="4" t="s">
        <v>37395</v>
      </c>
      <c r="BN2218" s="4" t="n">
        <v>21695128</v>
      </c>
      <c r="BO2218" s="4" t="s">
        <v>103</v>
      </c>
      <c r="BP2218" s="4"/>
      <c r="BQ2218" s="4"/>
      <c r="BR2218" s="4" t="s">
        <v>104</v>
      </c>
      <c r="BS2218" s="4" t="s">
        <v>37396</v>
      </c>
      <c r="BT2218" s="4" t="str">
        <f aca="false">HYPERLINK("https%3A%2F%2Fwww.webofscience.com%2Fwos%2Fwoscc%2Ffull-record%2FWOS:000291682300027","View Full Record in Web of Science")</f>
        <v>View Full Record in Web of Science</v>
      </c>
    </row>
    <row r="2219" s="5" customFormat="true" ht="12.75" hidden="false" customHeight="false" outlineLevel="0" collapsed="false">
      <c r="A2219" s="4" t="s">
        <v>72</v>
      </c>
      <c r="B2219" s="4" t="s">
        <v>37397</v>
      </c>
      <c r="C2219" s="4"/>
      <c r="D2219" s="4"/>
      <c r="E2219" s="4"/>
      <c r="F2219" s="4" t="s">
        <v>37398</v>
      </c>
      <c r="G2219" s="4"/>
      <c r="H2219" s="4"/>
      <c r="I2219" s="4" t="s">
        <v>37399</v>
      </c>
      <c r="J2219" s="4" t="s">
        <v>27497</v>
      </c>
      <c r="K2219" s="4"/>
      <c r="L2219" s="4"/>
      <c r="M2219" s="4" t="s">
        <v>77</v>
      </c>
      <c r="N2219" s="4" t="s">
        <v>78</v>
      </c>
      <c r="O2219" s="4"/>
      <c r="P2219" s="4"/>
      <c r="Q2219" s="4"/>
      <c r="R2219" s="4"/>
      <c r="S2219" s="4"/>
      <c r="T2219" s="1" t="s">
        <v>37400</v>
      </c>
      <c r="U2219" s="4" t="s">
        <v>37401</v>
      </c>
      <c r="V2219" s="4" t="s">
        <v>37402</v>
      </c>
      <c r="W2219" s="4" t="s">
        <v>37403</v>
      </c>
      <c r="X2219" s="4" t="s">
        <v>37404</v>
      </c>
      <c r="Y2219" s="4" t="s">
        <v>37405</v>
      </c>
      <c r="Z2219" s="4" t="s">
        <v>5208</v>
      </c>
      <c r="AA2219" s="4" t="s">
        <v>37406</v>
      </c>
      <c r="AB2219" s="4" t="s">
        <v>37407</v>
      </c>
      <c r="AC2219" s="4" t="s">
        <v>37408</v>
      </c>
      <c r="AD2219" s="4" t="s">
        <v>37408</v>
      </c>
      <c r="AE2219" s="4" t="s">
        <v>37409</v>
      </c>
      <c r="AF2219" s="4"/>
      <c r="AG2219" s="4" t="n">
        <v>37</v>
      </c>
      <c r="AH2219" s="4" t="n">
        <v>33</v>
      </c>
      <c r="AI2219" s="4" t="n">
        <v>35</v>
      </c>
      <c r="AJ2219" s="4" t="n">
        <v>0</v>
      </c>
      <c r="AK2219" s="4" t="n">
        <v>8</v>
      </c>
      <c r="AL2219" s="4" t="s">
        <v>27506</v>
      </c>
      <c r="AM2219" s="4" t="s">
        <v>27507</v>
      </c>
      <c r="AN2219" s="4" t="s">
        <v>27508</v>
      </c>
      <c r="AO2219" s="4" t="s">
        <v>27509</v>
      </c>
      <c r="AP2219" s="4"/>
      <c r="AQ2219" s="4"/>
      <c r="AR2219" s="4" t="s">
        <v>27497</v>
      </c>
      <c r="AS2219" s="4" t="s">
        <v>27510</v>
      </c>
      <c r="AT2219" s="4" t="s">
        <v>7095</v>
      </c>
      <c r="AU2219" s="4" t="n">
        <v>2014</v>
      </c>
      <c r="AV2219" s="4" t="n">
        <v>9</v>
      </c>
      <c r="AW2219" s="4" t="n">
        <v>3</v>
      </c>
      <c r="AX2219" s="4"/>
      <c r="AY2219" s="4"/>
      <c r="AZ2219" s="4"/>
      <c r="BA2219" s="4"/>
      <c r="BB2219" s="4"/>
      <c r="BC2219" s="4"/>
      <c r="BD2219" s="4" t="s">
        <v>37410</v>
      </c>
      <c r="BE2219" s="4" t="s">
        <v>37411</v>
      </c>
      <c r="BF2219" s="4" t="str">
        <f aca="false">HYPERLINK("http://dx.doi.org/10.1371/journal.pone.0091464","http://dx.doi.org/10.1371/journal.pone.0091464")</f>
        <v>http://dx.doi.org/10.1371/journal.pone.0091464</v>
      </c>
      <c r="BG2219" s="4"/>
      <c r="BH2219" s="4"/>
      <c r="BI2219" s="4" t="n">
        <v>7</v>
      </c>
      <c r="BJ2219" s="4" t="s">
        <v>1658</v>
      </c>
      <c r="BK2219" s="4" t="s">
        <v>100</v>
      </c>
      <c r="BL2219" s="4" t="s">
        <v>1659</v>
      </c>
      <c r="BM2219" s="4" t="s">
        <v>28877</v>
      </c>
      <c r="BN2219" s="4" t="n">
        <v>24618667</v>
      </c>
      <c r="BO2219" s="4" t="s">
        <v>341</v>
      </c>
      <c r="BP2219" s="4"/>
      <c r="BQ2219" s="4"/>
      <c r="BR2219" s="4" t="s">
        <v>104</v>
      </c>
      <c r="BS2219" s="4" t="s">
        <v>37412</v>
      </c>
      <c r="BT2219" s="4" t="str">
        <f aca="false">HYPERLINK("https%3A%2F%2Fwww.webofscience.com%2Fwos%2Fwoscc%2Ffull-record%2FWOS:000332842400095","View Full Record in Web of Science")</f>
        <v>View Full Record in Web of Science</v>
      </c>
    </row>
    <row r="2220" s="5" customFormat="true" ht="12.75" hidden="false" customHeight="false" outlineLevel="0" collapsed="false">
      <c r="A2220" s="4" t="s">
        <v>72</v>
      </c>
      <c r="B2220" s="4" t="s">
        <v>37413</v>
      </c>
      <c r="C2220" s="4"/>
      <c r="D2220" s="4"/>
      <c r="E2220" s="4"/>
      <c r="F2220" s="4" t="s">
        <v>37413</v>
      </c>
      <c r="G2220" s="4"/>
      <c r="H2220" s="4"/>
      <c r="I2220" s="4" t="s">
        <v>37414</v>
      </c>
      <c r="J2220" s="4" t="s">
        <v>742</v>
      </c>
      <c r="K2220" s="4"/>
      <c r="L2220" s="4"/>
      <c r="M2220" s="4" t="s">
        <v>77</v>
      </c>
      <c r="N2220" s="4" t="s">
        <v>78</v>
      </c>
      <c r="O2220" s="4"/>
      <c r="P2220" s="4"/>
      <c r="Q2220" s="4"/>
      <c r="R2220" s="4"/>
      <c r="S2220" s="4"/>
      <c r="T2220" s="1" t="s">
        <v>37415</v>
      </c>
      <c r="U2220" s="4" t="s">
        <v>37416</v>
      </c>
      <c r="V2220" s="4" t="s">
        <v>37417</v>
      </c>
      <c r="W2220" s="4" t="s">
        <v>37418</v>
      </c>
      <c r="X2220" s="4" t="s">
        <v>6097</v>
      </c>
      <c r="Y2220" s="4" t="s">
        <v>37419</v>
      </c>
      <c r="Z2220" s="4" t="s">
        <v>7619</v>
      </c>
      <c r="AA2220" s="4"/>
      <c r="AB2220" s="4" t="s">
        <v>6166</v>
      </c>
      <c r="AC2220" s="4" t="s">
        <v>32069</v>
      </c>
      <c r="AD2220" s="4" t="s">
        <v>2416</v>
      </c>
      <c r="AE2220" s="4"/>
      <c r="AF2220" s="4"/>
      <c r="AG2220" s="4" t="n">
        <v>40</v>
      </c>
      <c r="AH2220" s="4" t="n">
        <v>75</v>
      </c>
      <c r="AI2220" s="4" t="n">
        <v>99</v>
      </c>
      <c r="AJ2220" s="4" t="n">
        <v>1</v>
      </c>
      <c r="AK2220" s="4" t="n">
        <v>7</v>
      </c>
      <c r="AL2220" s="4" t="s">
        <v>755</v>
      </c>
      <c r="AM2220" s="4" t="s">
        <v>273</v>
      </c>
      <c r="AN2220" s="4" t="s">
        <v>756</v>
      </c>
      <c r="AO2220" s="4" t="s">
        <v>757</v>
      </c>
      <c r="AP2220" s="4" t="s">
        <v>758</v>
      </c>
      <c r="AQ2220" s="4"/>
      <c r="AR2220" s="4" t="s">
        <v>759</v>
      </c>
      <c r="AS2220" s="4" t="s">
        <v>760</v>
      </c>
      <c r="AT2220" s="4" t="s">
        <v>336</v>
      </c>
      <c r="AU2220" s="4" t="n">
        <v>2004</v>
      </c>
      <c r="AV2220" s="4" t="n">
        <v>78</v>
      </c>
      <c r="AW2220" s="4" t="n">
        <v>20</v>
      </c>
      <c r="AX2220" s="4"/>
      <c r="AY2220" s="4"/>
      <c r="AZ2220" s="4"/>
      <c r="BA2220" s="4"/>
      <c r="BB2220" s="4" t="n">
        <v>11198</v>
      </c>
      <c r="BC2220" s="4" t="n">
        <v>11207</v>
      </c>
      <c r="BD2220" s="4"/>
      <c r="BE2220" s="4" t="s">
        <v>37420</v>
      </c>
      <c r="BF2220" s="4" t="str">
        <f aca="false">HYPERLINK("http://dx.doi.org/10.1128/JVI.78.20.11198-11207.2004","http://dx.doi.org/10.1128/JVI.78.20.11198-11207.2004")</f>
        <v>http://dx.doi.org/10.1128/JVI.78.20.11198-11207.2004</v>
      </c>
      <c r="BG2220" s="4"/>
      <c r="BH2220" s="4"/>
      <c r="BI2220" s="4" t="n">
        <v>10</v>
      </c>
      <c r="BJ2220" s="4" t="s">
        <v>163</v>
      </c>
      <c r="BK2220" s="4" t="s">
        <v>100</v>
      </c>
      <c r="BL2220" s="4" t="s">
        <v>163</v>
      </c>
      <c r="BM2220" s="4" t="s">
        <v>37421</v>
      </c>
      <c r="BN2220" s="4" t="n">
        <v>15452239</v>
      </c>
      <c r="BO2220" s="4" t="s">
        <v>165</v>
      </c>
      <c r="BP2220" s="4"/>
      <c r="BQ2220" s="4"/>
      <c r="BR2220" s="4" t="s">
        <v>104</v>
      </c>
      <c r="BS2220" s="4" t="s">
        <v>37422</v>
      </c>
      <c r="BT2220" s="4" t="str">
        <f aca="false">HYPERLINK("https%3A%2F%2Fwww.webofscience.com%2Fwos%2Fwoscc%2Ffull-record%2FWOS:000224229000036","View Full Record in Web of Science")</f>
        <v>View Full Record in Web of Science</v>
      </c>
    </row>
    <row r="2221" s="5" customFormat="true" ht="12.75" hidden="false" customHeight="false" outlineLevel="0" collapsed="false">
      <c r="A2221" s="4" t="s">
        <v>72</v>
      </c>
      <c r="B2221" s="4" t="s">
        <v>37423</v>
      </c>
      <c r="C2221" s="4"/>
      <c r="D2221" s="4"/>
      <c r="E2221" s="4"/>
      <c r="F2221" s="4" t="s">
        <v>37424</v>
      </c>
      <c r="G2221" s="4"/>
      <c r="H2221" s="4"/>
      <c r="I2221" s="4" t="s">
        <v>37425</v>
      </c>
      <c r="J2221" s="4" t="s">
        <v>33292</v>
      </c>
      <c r="K2221" s="4"/>
      <c r="L2221" s="4"/>
      <c r="M2221" s="4" t="s">
        <v>77</v>
      </c>
      <c r="N2221" s="4" t="s">
        <v>78</v>
      </c>
      <c r="O2221" s="4"/>
      <c r="P2221" s="4"/>
      <c r="Q2221" s="4"/>
      <c r="R2221" s="4"/>
      <c r="S2221" s="4"/>
      <c r="T2221" s="1" t="s">
        <v>37426</v>
      </c>
      <c r="U2221" s="4" t="s">
        <v>37427</v>
      </c>
      <c r="V2221" s="4" t="s">
        <v>37428</v>
      </c>
      <c r="W2221" s="4" t="s">
        <v>37429</v>
      </c>
      <c r="X2221" s="4" t="s">
        <v>6519</v>
      </c>
      <c r="Y2221" s="4" t="s">
        <v>37430</v>
      </c>
      <c r="Z2221" s="4" t="s">
        <v>6521</v>
      </c>
      <c r="AA2221" s="4"/>
      <c r="AB2221" s="4" t="s">
        <v>6522</v>
      </c>
      <c r="AC2221" s="4" t="s">
        <v>37431</v>
      </c>
      <c r="AD2221" s="4" t="s">
        <v>37432</v>
      </c>
      <c r="AE2221" s="4" t="s">
        <v>37433</v>
      </c>
      <c r="AF2221" s="4"/>
      <c r="AG2221" s="4" t="n">
        <v>27</v>
      </c>
      <c r="AH2221" s="4" t="n">
        <v>0</v>
      </c>
      <c r="AI2221" s="4" t="n">
        <v>0</v>
      </c>
      <c r="AJ2221" s="4" t="n">
        <v>0</v>
      </c>
      <c r="AK2221" s="4" t="n">
        <v>0</v>
      </c>
      <c r="AL2221" s="4" t="s">
        <v>6833</v>
      </c>
      <c r="AM2221" s="4" t="s">
        <v>1705</v>
      </c>
      <c r="AN2221" s="4" t="s">
        <v>6856</v>
      </c>
      <c r="AO2221" s="4" t="s">
        <v>32165</v>
      </c>
      <c r="AP2221" s="4" t="s">
        <v>32183</v>
      </c>
      <c r="AQ2221" s="4"/>
      <c r="AR2221" s="4" t="s">
        <v>32166</v>
      </c>
      <c r="AS2221" s="4" t="s">
        <v>32167</v>
      </c>
      <c r="AT2221" s="4" t="s">
        <v>804</v>
      </c>
      <c r="AU2221" s="4" t="n">
        <v>2024</v>
      </c>
      <c r="AV2221" s="4" t="n">
        <v>45</v>
      </c>
      <c r="AW2221" s="4" t="n">
        <v>11</v>
      </c>
      <c r="AX2221" s="4"/>
      <c r="AY2221" s="4"/>
      <c r="AZ2221" s="4"/>
      <c r="BA2221" s="4"/>
      <c r="BB2221" s="4" t="n">
        <v>1306</v>
      </c>
      <c r="BC2221" s="4" t="n">
        <v>1313</v>
      </c>
      <c r="BD2221" s="4"/>
      <c r="BE2221" s="4" t="s">
        <v>37434</v>
      </c>
      <c r="BF2221" s="4" t="str">
        <f aca="false">HYPERLINK("http://dx.doi.org/10.1017/ice.2024.108","http://dx.doi.org/10.1017/ice.2024.108")</f>
        <v>http://dx.doi.org/10.1017/ice.2024.108</v>
      </c>
      <c r="BG2221" s="4"/>
      <c r="BH2221" s="4" t="s">
        <v>22192</v>
      </c>
      <c r="BI2221" s="4" t="n">
        <v>8</v>
      </c>
      <c r="BJ2221" s="4" t="s">
        <v>2113</v>
      </c>
      <c r="BK2221" s="4" t="s">
        <v>100</v>
      </c>
      <c r="BL2221" s="4" t="s">
        <v>2113</v>
      </c>
      <c r="BM2221" s="4" t="s">
        <v>37435</v>
      </c>
      <c r="BN2221" s="4" t="n">
        <v>39229728</v>
      </c>
      <c r="BO2221" s="4"/>
      <c r="BP2221" s="4"/>
      <c r="BQ2221" s="4"/>
      <c r="BR2221" s="4" t="s">
        <v>104</v>
      </c>
      <c r="BS2221" s="4" t="s">
        <v>37436</v>
      </c>
      <c r="BT2221" s="4" t="str">
        <f aca="false">HYPERLINK("https%3A%2F%2Fwww.webofscience.com%2Fwos%2Fwoscc%2Ffull-record%2FWOS:001306049900001","View Full Record in Web of Science")</f>
        <v>View Full Record in Web of Science</v>
      </c>
    </row>
    <row r="2222" s="5" customFormat="true" ht="12.75" hidden="false" customHeight="false" outlineLevel="0" collapsed="false">
      <c r="A2222" s="4" t="s">
        <v>72</v>
      </c>
      <c r="B2222" s="4" t="s">
        <v>37437</v>
      </c>
      <c r="C2222" s="4"/>
      <c r="D2222" s="4"/>
      <c r="E2222" s="4"/>
      <c r="F2222" s="4" t="s">
        <v>37438</v>
      </c>
      <c r="G2222" s="4"/>
      <c r="H2222" s="4"/>
      <c r="I2222" s="4" t="s">
        <v>37439</v>
      </c>
      <c r="J2222" s="4" t="s">
        <v>37440</v>
      </c>
      <c r="K2222" s="4"/>
      <c r="L2222" s="4"/>
      <c r="M2222" s="4" t="s">
        <v>77</v>
      </c>
      <c r="N2222" s="4" t="s">
        <v>78</v>
      </c>
      <c r="O2222" s="4"/>
      <c r="P2222" s="4"/>
      <c r="Q2222" s="4"/>
      <c r="R2222" s="4"/>
      <c r="S2222" s="4"/>
      <c r="T2222" s="1" t="s">
        <v>37441</v>
      </c>
      <c r="U2222" s="4" t="s">
        <v>37442</v>
      </c>
      <c r="V2222" s="4" t="s">
        <v>37443</v>
      </c>
      <c r="W2222" s="4" t="s">
        <v>37444</v>
      </c>
      <c r="X2222" s="4" t="s">
        <v>37445</v>
      </c>
      <c r="Y2222" s="4" t="s">
        <v>37446</v>
      </c>
      <c r="Z2222" s="4" t="s">
        <v>37447</v>
      </c>
      <c r="AA2222" s="4" t="s">
        <v>37448</v>
      </c>
      <c r="AB2222" s="4" t="s">
        <v>37449</v>
      </c>
      <c r="AC2222" s="4" t="s">
        <v>37450</v>
      </c>
      <c r="AD2222" s="4" t="s">
        <v>37451</v>
      </c>
      <c r="AE2222" s="4" t="s">
        <v>37452</v>
      </c>
      <c r="AF2222" s="4"/>
      <c r="AG2222" s="4" t="n">
        <v>27</v>
      </c>
      <c r="AH2222" s="4" t="n">
        <v>4</v>
      </c>
      <c r="AI2222" s="4" t="n">
        <v>4</v>
      </c>
      <c r="AJ2222" s="4" t="n">
        <v>0</v>
      </c>
      <c r="AK2222" s="4" t="n">
        <v>2</v>
      </c>
      <c r="AL2222" s="4" t="s">
        <v>7639</v>
      </c>
      <c r="AM2222" s="4" t="s">
        <v>783</v>
      </c>
      <c r="AN2222" s="4" t="s">
        <v>7640</v>
      </c>
      <c r="AO2222" s="4" t="s">
        <v>37453</v>
      </c>
      <c r="AP2222" s="4" t="s">
        <v>37454</v>
      </c>
      <c r="AQ2222" s="4"/>
      <c r="AR2222" s="4" t="s">
        <v>37455</v>
      </c>
      <c r="AS2222" s="4" t="s">
        <v>37456</v>
      </c>
      <c r="AT2222" s="4" t="s">
        <v>97</v>
      </c>
      <c r="AU2222" s="4" t="n">
        <v>2019</v>
      </c>
      <c r="AV2222" s="4" t="n">
        <v>74</v>
      </c>
      <c r="AW2222" s="4" t="n">
        <v>3</v>
      </c>
      <c r="AX2222" s="4"/>
      <c r="AY2222" s="4"/>
      <c r="AZ2222" s="4"/>
      <c r="BA2222" s="4"/>
      <c r="BB2222" s="4" t="n">
        <v>691</v>
      </c>
      <c r="BC2222" s="4" t="n">
        <v>698</v>
      </c>
      <c r="BD2222" s="4"/>
      <c r="BE2222" s="4" t="s">
        <v>37457</v>
      </c>
      <c r="BF2222" s="4" t="str">
        <f aca="false">HYPERLINK("http://dx.doi.org/10.1093/jac/dky466","http://dx.doi.org/10.1093/jac/dky466")</f>
        <v>http://dx.doi.org/10.1093/jac/dky466</v>
      </c>
      <c r="BG2222" s="4"/>
      <c r="BH2222" s="4"/>
      <c r="BI2222" s="4" t="n">
        <v>8</v>
      </c>
      <c r="BJ2222" s="4" t="s">
        <v>10908</v>
      </c>
      <c r="BK2222" s="4" t="s">
        <v>100</v>
      </c>
      <c r="BL2222" s="4" t="s">
        <v>10908</v>
      </c>
      <c r="BM2222" s="4" t="s">
        <v>37458</v>
      </c>
      <c r="BN2222" s="4" t="n">
        <v>30452661</v>
      </c>
      <c r="BO2222" s="4" t="s">
        <v>656</v>
      </c>
      <c r="BP2222" s="4"/>
      <c r="BQ2222" s="4"/>
      <c r="BR2222" s="4" t="s">
        <v>104</v>
      </c>
      <c r="BS2222" s="4" t="s">
        <v>37459</v>
      </c>
      <c r="BT2222" s="4" t="str">
        <f aca="false">HYPERLINK("https%3A%2F%2Fwww.webofscience.com%2Fwos%2Fwoscc%2Ffull-record%2FWOS:000462835800023","View Full Record in Web of Science")</f>
        <v>View Full Record in Web of Science</v>
      </c>
    </row>
    <row r="2223" s="5" customFormat="true" ht="12.75" hidden="false" customHeight="false" outlineLevel="0" collapsed="false">
      <c r="A2223" s="4" t="s">
        <v>72</v>
      </c>
      <c r="B2223" s="4" t="s">
        <v>37460</v>
      </c>
      <c r="C2223" s="4"/>
      <c r="D2223" s="4"/>
      <c r="E2223" s="4"/>
      <c r="F2223" s="4" t="s">
        <v>37461</v>
      </c>
      <c r="G2223" s="4"/>
      <c r="H2223" s="4"/>
      <c r="I2223" s="4" t="s">
        <v>37462</v>
      </c>
      <c r="J2223" s="4" t="s">
        <v>8945</v>
      </c>
      <c r="K2223" s="4"/>
      <c r="L2223" s="4"/>
      <c r="M2223" s="4" t="s">
        <v>77</v>
      </c>
      <c r="N2223" s="4" t="s">
        <v>78</v>
      </c>
      <c r="O2223" s="4"/>
      <c r="P2223" s="4"/>
      <c r="Q2223" s="4"/>
      <c r="R2223" s="4"/>
      <c r="S2223" s="4"/>
      <c r="T2223" s="1" t="s">
        <v>37463</v>
      </c>
      <c r="U2223" s="4" t="s">
        <v>37464</v>
      </c>
      <c r="V2223" s="4" t="s">
        <v>37465</v>
      </c>
      <c r="W2223" s="4" t="s">
        <v>37466</v>
      </c>
      <c r="X2223" s="4" t="s">
        <v>37467</v>
      </c>
      <c r="Y2223" s="4" t="s">
        <v>37468</v>
      </c>
      <c r="Z2223" s="4" t="s">
        <v>37469</v>
      </c>
      <c r="AA2223" s="4" t="s">
        <v>37470</v>
      </c>
      <c r="AB2223" s="4" t="s">
        <v>37471</v>
      </c>
      <c r="AC2223" s="4" t="s">
        <v>37472</v>
      </c>
      <c r="AD2223" s="4" t="s">
        <v>37473</v>
      </c>
      <c r="AE2223" s="4"/>
      <c r="AF2223" s="4"/>
      <c r="AG2223" s="4" t="n">
        <v>42</v>
      </c>
      <c r="AH2223" s="4" t="n">
        <v>24</v>
      </c>
      <c r="AI2223" s="4" t="n">
        <v>26</v>
      </c>
      <c r="AJ2223" s="4" t="n">
        <v>0</v>
      </c>
      <c r="AK2223" s="4" t="n">
        <v>2</v>
      </c>
      <c r="AL2223" s="4" t="s">
        <v>8957</v>
      </c>
      <c r="AM2223" s="4" t="s">
        <v>303</v>
      </c>
      <c r="AN2223" s="4" t="s">
        <v>8958</v>
      </c>
      <c r="AO2223" s="4" t="s">
        <v>8959</v>
      </c>
      <c r="AP2223" s="4" t="s">
        <v>8960</v>
      </c>
      <c r="AQ2223" s="4"/>
      <c r="AR2223" s="4" t="s">
        <v>8961</v>
      </c>
      <c r="AS2223" s="4" t="s">
        <v>8962</v>
      </c>
      <c r="AT2223" s="4" t="s">
        <v>390</v>
      </c>
      <c r="AU2223" s="4" t="n">
        <v>2010</v>
      </c>
      <c r="AV2223" s="4" t="n">
        <v>42</v>
      </c>
      <c r="AW2223" s="4" t="n">
        <v>5</v>
      </c>
      <c r="AX2223" s="4"/>
      <c r="AY2223" s="4"/>
      <c r="AZ2223" s="4"/>
      <c r="BA2223" s="4"/>
      <c r="BB2223" s="4" t="n">
        <v>368</v>
      </c>
      <c r="BC2223" s="4" t="n">
        <v>374</v>
      </c>
      <c r="BD2223" s="4"/>
      <c r="BE2223" s="4" t="s">
        <v>37474</v>
      </c>
      <c r="BF2223" s="4" t="str">
        <f aca="false">HYPERLINK("http://dx.doi.org/10.3109/00365540903496544","http://dx.doi.org/10.3109/00365540903496544")</f>
        <v>http://dx.doi.org/10.3109/00365540903496544</v>
      </c>
      <c r="BG2223" s="4"/>
      <c r="BH2223" s="4"/>
      <c r="BI2223" s="4" t="n">
        <v>7</v>
      </c>
      <c r="BJ2223" s="4" t="s">
        <v>575</v>
      </c>
      <c r="BK2223" s="4" t="s">
        <v>100</v>
      </c>
      <c r="BL2223" s="4" t="s">
        <v>575</v>
      </c>
      <c r="BM2223" s="4" t="s">
        <v>37475</v>
      </c>
      <c r="BN2223" s="4" t="n">
        <v>20100116</v>
      </c>
      <c r="BO2223" s="4" t="s">
        <v>695</v>
      </c>
      <c r="BP2223" s="4"/>
      <c r="BQ2223" s="4"/>
      <c r="BR2223" s="4" t="s">
        <v>104</v>
      </c>
      <c r="BS2223" s="4" t="s">
        <v>37476</v>
      </c>
      <c r="BT2223" s="4" t="str">
        <f aca="false">HYPERLINK("https%3A%2F%2Fwww.webofscience.com%2Fwos%2Fwoscc%2Ffull-record%2FWOS:000276517500007","View Full Record in Web of Science")</f>
        <v>View Full Record in Web of Science</v>
      </c>
    </row>
    <row r="2224" s="5" customFormat="true" ht="12.75" hidden="false" customHeight="false" outlineLevel="0" collapsed="false">
      <c r="A2224" s="4" t="s">
        <v>72</v>
      </c>
      <c r="B2224" s="4" t="s">
        <v>37477</v>
      </c>
      <c r="C2224" s="4"/>
      <c r="D2224" s="4"/>
      <c r="E2224" s="4"/>
      <c r="F2224" s="4" t="s">
        <v>37478</v>
      </c>
      <c r="G2224" s="4"/>
      <c r="H2224" s="4"/>
      <c r="I2224" s="4" t="s">
        <v>37479</v>
      </c>
      <c r="J2224" s="4" t="s">
        <v>37480</v>
      </c>
      <c r="K2224" s="4"/>
      <c r="L2224" s="4"/>
      <c r="M2224" s="4" t="s">
        <v>77</v>
      </c>
      <c r="N2224" s="4" t="s">
        <v>78</v>
      </c>
      <c r="O2224" s="4"/>
      <c r="P2224" s="4"/>
      <c r="Q2224" s="4"/>
      <c r="R2224" s="4"/>
      <c r="S2224" s="4"/>
      <c r="T2224" s="1" t="s">
        <v>37481</v>
      </c>
      <c r="U2224" s="4" t="s">
        <v>37482</v>
      </c>
      <c r="V2224" s="4" t="s">
        <v>37483</v>
      </c>
      <c r="W2224" s="4" t="s">
        <v>37484</v>
      </c>
      <c r="X2224" s="4" t="s">
        <v>37485</v>
      </c>
      <c r="Y2224" s="4" t="s">
        <v>37486</v>
      </c>
      <c r="Z2224" s="4" t="s">
        <v>24130</v>
      </c>
      <c r="AA2224" s="4"/>
      <c r="AB2224" s="4" t="s">
        <v>28557</v>
      </c>
      <c r="AC2224" s="4" t="s">
        <v>37487</v>
      </c>
      <c r="AD2224" s="4" t="s">
        <v>37488</v>
      </c>
      <c r="AE2224" s="4" t="s">
        <v>37489</v>
      </c>
      <c r="AF2224" s="4"/>
      <c r="AG2224" s="4" t="n">
        <v>36</v>
      </c>
      <c r="AH2224" s="4" t="n">
        <v>19</v>
      </c>
      <c r="AI2224" s="4" t="n">
        <v>22</v>
      </c>
      <c r="AJ2224" s="4" t="n">
        <v>0</v>
      </c>
      <c r="AK2224" s="4" t="n">
        <v>1</v>
      </c>
      <c r="AL2224" s="4" t="s">
        <v>1186</v>
      </c>
      <c r="AM2224" s="4" t="s">
        <v>303</v>
      </c>
      <c r="AN2224" s="4" t="s">
        <v>1187</v>
      </c>
      <c r="AO2224" s="4" t="s">
        <v>37490</v>
      </c>
      <c r="AP2224" s="4" t="s">
        <v>37491</v>
      </c>
      <c r="AQ2224" s="4"/>
      <c r="AR2224" s="4" t="s">
        <v>37492</v>
      </c>
      <c r="AS2224" s="4" t="s">
        <v>37493</v>
      </c>
      <c r="AT2224" s="4" t="s">
        <v>161</v>
      </c>
      <c r="AU2224" s="4" t="n">
        <v>2018</v>
      </c>
      <c r="AV2224" s="4" t="n">
        <v>66</v>
      </c>
      <c r="AW2224" s="4" t="n">
        <v>1</v>
      </c>
      <c r="AX2224" s="4"/>
      <c r="AY2224" s="4"/>
      <c r="AZ2224" s="4"/>
      <c r="BA2224" s="4"/>
      <c r="BB2224" s="4" t="n">
        <v>46</v>
      </c>
      <c r="BC2224" s="4" t="n">
        <v>51</v>
      </c>
      <c r="BD2224" s="4"/>
      <c r="BE2224" s="4" t="s">
        <v>37494</v>
      </c>
      <c r="BF2224" s="4" t="str">
        <f aca="false">HYPERLINK("http://dx.doi.org/10.1136/jim-2017-000491","http://dx.doi.org/10.1136/jim-2017-000491")</f>
        <v>http://dx.doi.org/10.1136/jim-2017-000491</v>
      </c>
      <c r="BG2224" s="4"/>
      <c r="BH2224" s="4"/>
      <c r="BI2224" s="4" t="n">
        <v>6</v>
      </c>
      <c r="BJ2224" s="4" t="s">
        <v>4642</v>
      </c>
      <c r="BK2224" s="4" t="s">
        <v>100</v>
      </c>
      <c r="BL2224" s="4" t="s">
        <v>4643</v>
      </c>
      <c r="BM2224" s="4" t="s">
        <v>37495</v>
      </c>
      <c r="BN2224" s="4" t="n">
        <v>28947640</v>
      </c>
      <c r="BO2224" s="4" t="s">
        <v>695</v>
      </c>
      <c r="BP2224" s="4"/>
      <c r="BQ2224" s="4"/>
      <c r="BR2224" s="4" t="s">
        <v>104</v>
      </c>
      <c r="BS2224" s="4" t="s">
        <v>37496</v>
      </c>
      <c r="BT2224" s="4" t="str">
        <f aca="false">HYPERLINK("https%3A%2F%2Fwww.webofscience.com%2Fwos%2Fwoscc%2Ffull-record%2FWOS:000432007400010","View Full Record in Web of Science")</f>
        <v>View Full Record in Web of Science</v>
      </c>
    </row>
    <row r="2225" s="5" customFormat="true" ht="12.75" hidden="false" customHeight="false" outlineLevel="0" collapsed="false">
      <c r="A2225" s="4" t="s">
        <v>72</v>
      </c>
      <c r="B2225" s="4" t="s">
        <v>37497</v>
      </c>
      <c r="C2225" s="4"/>
      <c r="D2225" s="4"/>
      <c r="E2225" s="4"/>
      <c r="F2225" s="4" t="s">
        <v>37498</v>
      </c>
      <c r="G2225" s="4"/>
      <c r="H2225" s="4"/>
      <c r="I2225" s="4" t="s">
        <v>37499</v>
      </c>
      <c r="J2225" s="4" t="s">
        <v>27497</v>
      </c>
      <c r="K2225" s="4"/>
      <c r="L2225" s="4"/>
      <c r="M2225" s="4" t="s">
        <v>77</v>
      </c>
      <c r="N2225" s="4" t="s">
        <v>78</v>
      </c>
      <c r="O2225" s="4"/>
      <c r="P2225" s="4"/>
      <c r="Q2225" s="4"/>
      <c r="R2225" s="4"/>
      <c r="S2225" s="4"/>
      <c r="T2225" s="1" t="s">
        <v>37500</v>
      </c>
      <c r="U2225" s="4" t="s">
        <v>37501</v>
      </c>
      <c r="V2225" s="4" t="s">
        <v>37502</v>
      </c>
      <c r="W2225" s="4" t="s">
        <v>37503</v>
      </c>
      <c r="X2225" s="4" t="s">
        <v>37504</v>
      </c>
      <c r="Y2225" s="4" t="s">
        <v>37505</v>
      </c>
      <c r="Z2225" s="4" t="s">
        <v>37506</v>
      </c>
      <c r="AA2225" s="4"/>
      <c r="AB2225" s="4" t="s">
        <v>37507</v>
      </c>
      <c r="AC2225" s="4" t="s">
        <v>37508</v>
      </c>
      <c r="AD2225" s="4" t="s">
        <v>37509</v>
      </c>
      <c r="AE2225" s="4" t="s">
        <v>37510</v>
      </c>
      <c r="AF2225" s="4"/>
      <c r="AG2225" s="4" t="n">
        <v>30</v>
      </c>
      <c r="AH2225" s="4" t="n">
        <v>21</v>
      </c>
      <c r="AI2225" s="4" t="n">
        <v>21</v>
      </c>
      <c r="AJ2225" s="4" t="n">
        <v>0</v>
      </c>
      <c r="AK2225" s="4" t="n">
        <v>3</v>
      </c>
      <c r="AL2225" s="4" t="s">
        <v>27506</v>
      </c>
      <c r="AM2225" s="4" t="s">
        <v>27507</v>
      </c>
      <c r="AN2225" s="4" t="s">
        <v>27508</v>
      </c>
      <c r="AO2225" s="4" t="s">
        <v>27509</v>
      </c>
      <c r="AP2225" s="4"/>
      <c r="AQ2225" s="4"/>
      <c r="AR2225" s="4" t="s">
        <v>27497</v>
      </c>
      <c r="AS2225" s="4" t="s">
        <v>27510</v>
      </c>
      <c r="AT2225" s="4" t="s">
        <v>28155</v>
      </c>
      <c r="AU2225" s="4" t="n">
        <v>2020</v>
      </c>
      <c r="AV2225" s="4" t="n">
        <v>15</v>
      </c>
      <c r="AW2225" s="4" t="n">
        <v>6</v>
      </c>
      <c r="AX2225" s="4"/>
      <c r="AY2225" s="4"/>
      <c r="AZ2225" s="4"/>
      <c r="BA2225" s="4"/>
      <c r="BB2225" s="4"/>
      <c r="BC2225" s="4"/>
      <c r="BD2225" s="4" t="s">
        <v>37511</v>
      </c>
      <c r="BE2225" s="4" t="s">
        <v>37512</v>
      </c>
      <c r="BF2225" s="4" t="str">
        <f aca="false">HYPERLINK("http://dx.doi.org/10.1371/journal.pone.0234235","http://dx.doi.org/10.1371/journal.pone.0234235")</f>
        <v>http://dx.doi.org/10.1371/journal.pone.0234235</v>
      </c>
      <c r="BG2225" s="4"/>
      <c r="BH2225" s="4"/>
      <c r="BI2225" s="4" t="n">
        <v>14</v>
      </c>
      <c r="BJ2225" s="4" t="s">
        <v>1658</v>
      </c>
      <c r="BK2225" s="4" t="s">
        <v>100</v>
      </c>
      <c r="BL2225" s="4" t="s">
        <v>1659</v>
      </c>
      <c r="BM2225" s="4" t="s">
        <v>37513</v>
      </c>
      <c r="BN2225" s="4" t="n">
        <v>32525898</v>
      </c>
      <c r="BO2225" s="4" t="s">
        <v>103</v>
      </c>
      <c r="BP2225" s="4"/>
      <c r="BQ2225" s="4"/>
      <c r="BR2225" s="4" t="s">
        <v>104</v>
      </c>
      <c r="BS2225" s="4" t="s">
        <v>37514</v>
      </c>
      <c r="BT2225" s="4" t="str">
        <f aca="false">HYPERLINK("https%3A%2F%2Fwww.webofscience.com%2Fwos%2Fwoscc%2Ffull-record%2FWOS:000542036800024","View Full Record in Web of Science")</f>
        <v>View Full Record in Web of Science</v>
      </c>
    </row>
    <row r="2226" s="5" customFormat="true" ht="12.75" hidden="false" customHeight="false" outlineLevel="0" collapsed="false">
      <c r="A2226" s="4" t="s">
        <v>72</v>
      </c>
      <c r="B2226" s="4" t="s">
        <v>37515</v>
      </c>
      <c r="C2226" s="4"/>
      <c r="D2226" s="4"/>
      <c r="E2226" s="4"/>
      <c r="F2226" s="4" t="s">
        <v>37516</v>
      </c>
      <c r="G2226" s="4"/>
      <c r="H2226" s="4"/>
      <c r="I2226" s="4" t="s">
        <v>37517</v>
      </c>
      <c r="J2226" s="4" t="s">
        <v>2222</v>
      </c>
      <c r="K2226" s="4"/>
      <c r="L2226" s="4"/>
      <c r="M2226" s="4" t="s">
        <v>77</v>
      </c>
      <c r="N2226" s="4" t="s">
        <v>78</v>
      </c>
      <c r="O2226" s="4"/>
      <c r="P2226" s="4"/>
      <c r="Q2226" s="4"/>
      <c r="R2226" s="4"/>
      <c r="S2226" s="4"/>
      <c r="T2226" s="1" t="s">
        <v>37518</v>
      </c>
      <c r="U2226" s="4" t="s">
        <v>37519</v>
      </c>
      <c r="V2226" s="4" t="s">
        <v>37520</v>
      </c>
      <c r="W2226" s="4" t="s">
        <v>37521</v>
      </c>
      <c r="X2226" s="4" t="s">
        <v>37522</v>
      </c>
      <c r="Y2226" s="4" t="s">
        <v>37523</v>
      </c>
      <c r="Z2226" s="4" t="s">
        <v>37524</v>
      </c>
      <c r="AA2226" s="4" t="s">
        <v>37525</v>
      </c>
      <c r="AB2226" s="4" t="s">
        <v>37526</v>
      </c>
      <c r="AC2226" s="4"/>
      <c r="AD2226" s="4"/>
      <c r="AE2226" s="4"/>
      <c r="AF2226" s="4"/>
      <c r="AG2226" s="4" t="n">
        <v>29</v>
      </c>
      <c r="AH2226" s="4" t="n">
        <v>230</v>
      </c>
      <c r="AI2226" s="4" t="n">
        <v>249</v>
      </c>
      <c r="AJ2226" s="4" t="n">
        <v>0</v>
      </c>
      <c r="AK2226" s="4" t="n">
        <v>10</v>
      </c>
      <c r="AL2226" s="4" t="s">
        <v>755</v>
      </c>
      <c r="AM2226" s="4" t="s">
        <v>273</v>
      </c>
      <c r="AN2226" s="4" t="s">
        <v>756</v>
      </c>
      <c r="AO2226" s="4" t="s">
        <v>2234</v>
      </c>
      <c r="AP2226" s="4"/>
      <c r="AQ2226" s="4"/>
      <c r="AR2226" s="4" t="s">
        <v>2236</v>
      </c>
      <c r="AS2226" s="4" t="s">
        <v>2237</v>
      </c>
      <c r="AT2226" s="4" t="s">
        <v>599</v>
      </c>
      <c r="AU2226" s="4" t="n">
        <v>2011</v>
      </c>
      <c r="AV2226" s="4" t="n">
        <v>49</v>
      </c>
      <c r="AW2226" s="4" t="n">
        <v>7</v>
      </c>
      <c r="AX2226" s="4"/>
      <c r="AY2226" s="4"/>
      <c r="AZ2226" s="4"/>
      <c r="BA2226" s="4"/>
      <c r="BB2226" s="4" t="n">
        <v>2631</v>
      </c>
      <c r="BC2226" s="4" t="n">
        <v>2636</v>
      </c>
      <c r="BD2226" s="4"/>
      <c r="BE2226" s="4" t="s">
        <v>37527</v>
      </c>
      <c r="BF2226" s="4" t="str">
        <f aca="false">HYPERLINK("http://dx.doi.org/10.1128/JCM.02094-10","http://dx.doi.org/10.1128/JCM.02094-10")</f>
        <v>http://dx.doi.org/10.1128/JCM.02094-10</v>
      </c>
      <c r="BG2226" s="4"/>
      <c r="BH2226" s="4"/>
      <c r="BI2226" s="4" t="n">
        <v>6</v>
      </c>
      <c r="BJ2226" s="4" t="s">
        <v>211</v>
      </c>
      <c r="BK2226" s="4" t="s">
        <v>100</v>
      </c>
      <c r="BL2226" s="4" t="s">
        <v>211</v>
      </c>
      <c r="BM2226" s="4" t="s">
        <v>36045</v>
      </c>
      <c r="BN2226" s="4" t="n">
        <v>21543571</v>
      </c>
      <c r="BO2226" s="4" t="s">
        <v>165</v>
      </c>
      <c r="BP2226" s="4"/>
      <c r="BQ2226" s="4"/>
      <c r="BR2226" s="4" t="s">
        <v>104</v>
      </c>
      <c r="BS2226" s="4" t="s">
        <v>37528</v>
      </c>
      <c r="BT2226" s="4" t="str">
        <f aca="false">HYPERLINK("https%3A%2F%2Fwww.webofscience.com%2Fwos%2Fwoscc%2Ffull-record%2FWOS:000292276200040","View Full Record in Web of Science")</f>
        <v>View Full Record in Web of Science</v>
      </c>
    </row>
    <row r="2227" s="5" customFormat="true" ht="12.75" hidden="false" customHeight="false" outlineLevel="0" collapsed="false">
      <c r="A2227" s="4" t="s">
        <v>72</v>
      </c>
      <c r="B2227" s="4" t="s">
        <v>37529</v>
      </c>
      <c r="C2227" s="4"/>
      <c r="D2227" s="4"/>
      <c r="E2227" s="4"/>
      <c r="F2227" s="4" t="s">
        <v>37530</v>
      </c>
      <c r="G2227" s="4"/>
      <c r="H2227" s="4"/>
      <c r="I2227" s="4" t="s">
        <v>37531</v>
      </c>
      <c r="J2227" s="4" t="s">
        <v>13758</v>
      </c>
      <c r="K2227" s="4"/>
      <c r="L2227" s="4"/>
      <c r="M2227" s="4" t="s">
        <v>77</v>
      </c>
      <c r="N2227" s="4" t="s">
        <v>78</v>
      </c>
      <c r="O2227" s="4"/>
      <c r="P2227" s="4"/>
      <c r="Q2227" s="4"/>
      <c r="R2227" s="4"/>
      <c r="S2227" s="4"/>
      <c r="T2227" s="1" t="s">
        <v>37532</v>
      </c>
      <c r="U2227" s="4" t="s">
        <v>37533</v>
      </c>
      <c r="V2227" s="4" t="s">
        <v>37534</v>
      </c>
      <c r="W2227" s="4" t="s">
        <v>37535</v>
      </c>
      <c r="X2227" s="4" t="s">
        <v>37536</v>
      </c>
      <c r="Y2227" s="4" t="s">
        <v>37537</v>
      </c>
      <c r="Z2227" s="4" t="s">
        <v>37538</v>
      </c>
      <c r="AA2227" s="4" t="s">
        <v>37539</v>
      </c>
      <c r="AB2227" s="4" t="s">
        <v>37540</v>
      </c>
      <c r="AC2227" s="4" t="s">
        <v>37541</v>
      </c>
      <c r="AD2227" s="4" t="s">
        <v>37542</v>
      </c>
      <c r="AE2227" s="4" t="s">
        <v>37543</v>
      </c>
      <c r="AF2227" s="4"/>
      <c r="AG2227" s="4" t="n">
        <v>34</v>
      </c>
      <c r="AH2227" s="4" t="n">
        <v>13</v>
      </c>
      <c r="AI2227" s="4" t="n">
        <v>13</v>
      </c>
      <c r="AJ2227" s="4" t="n">
        <v>0</v>
      </c>
      <c r="AK2227" s="4" t="n">
        <v>11</v>
      </c>
      <c r="AL2227" s="4" t="s">
        <v>13769</v>
      </c>
      <c r="AM2227" s="4" t="s">
        <v>16554</v>
      </c>
      <c r="AN2227" s="4" t="s">
        <v>16555</v>
      </c>
      <c r="AO2227" s="4" t="s">
        <v>13772</v>
      </c>
      <c r="AP2227" s="4" t="s">
        <v>13773</v>
      </c>
      <c r="AQ2227" s="4"/>
      <c r="AR2227" s="4" t="s">
        <v>13774</v>
      </c>
      <c r="AS2227" s="4" t="s">
        <v>13775</v>
      </c>
      <c r="AT2227" s="4" t="s">
        <v>599</v>
      </c>
      <c r="AU2227" s="4" t="n">
        <v>2017</v>
      </c>
      <c r="AV2227" s="4" t="n">
        <v>162</v>
      </c>
      <c r="AW2227" s="4" t="n">
        <v>7</v>
      </c>
      <c r="AX2227" s="4"/>
      <c r="AY2227" s="4"/>
      <c r="AZ2227" s="4"/>
      <c r="BA2227" s="4"/>
      <c r="BB2227" s="4" t="n">
        <v>2003</v>
      </c>
      <c r="BC2227" s="4" t="n">
        <v>2012</v>
      </c>
      <c r="BD2227" s="4"/>
      <c r="BE2227" s="4" t="s">
        <v>37544</v>
      </c>
      <c r="BF2227" s="4" t="str">
        <f aca="false">HYPERLINK("http://dx.doi.org/10.1007/s00705-017-3367-4","http://dx.doi.org/10.1007/s00705-017-3367-4")</f>
        <v>http://dx.doi.org/10.1007/s00705-017-3367-4</v>
      </c>
      <c r="BG2227" s="4"/>
      <c r="BH2227" s="4"/>
      <c r="BI2227" s="4" t="n">
        <v>10</v>
      </c>
      <c r="BJ2227" s="4" t="s">
        <v>163</v>
      </c>
      <c r="BK2227" s="4" t="s">
        <v>100</v>
      </c>
      <c r="BL2227" s="4" t="s">
        <v>163</v>
      </c>
      <c r="BM2227" s="4" t="s">
        <v>37545</v>
      </c>
      <c r="BN2227" s="4" t="n">
        <v>28424887</v>
      </c>
      <c r="BO2227" s="4" t="s">
        <v>165</v>
      </c>
      <c r="BP2227" s="4"/>
      <c r="BQ2227" s="4"/>
      <c r="BR2227" s="4" t="s">
        <v>104</v>
      </c>
      <c r="BS2227" s="4" t="s">
        <v>37546</v>
      </c>
      <c r="BT2227" s="4" t="str">
        <f aca="false">HYPERLINK("https%3A%2F%2Fwww.webofscience.com%2Fwos%2Fwoscc%2Ffull-record%2FWOS:000403454900017","View Full Record in Web of Science")</f>
        <v>View Full Record in Web of Science</v>
      </c>
    </row>
    <row r="2228" s="5" customFormat="true" ht="12.75" hidden="false" customHeight="false" outlineLevel="0" collapsed="false">
      <c r="A2228" s="4" t="s">
        <v>72</v>
      </c>
      <c r="B2228" s="4" t="s">
        <v>37547</v>
      </c>
      <c r="C2228" s="4"/>
      <c r="D2228" s="4"/>
      <c r="E2228" s="4"/>
      <c r="F2228" s="4" t="s">
        <v>37548</v>
      </c>
      <c r="G2228" s="4"/>
      <c r="H2228" s="4"/>
      <c r="I2228" s="4" t="s">
        <v>37549</v>
      </c>
      <c r="J2228" s="4" t="s">
        <v>32139</v>
      </c>
      <c r="K2228" s="4"/>
      <c r="L2228" s="4"/>
      <c r="M2228" s="4" t="s">
        <v>77</v>
      </c>
      <c r="N2228" s="4" t="s">
        <v>78</v>
      </c>
      <c r="O2228" s="4"/>
      <c r="P2228" s="4"/>
      <c r="Q2228" s="4"/>
      <c r="R2228" s="4"/>
      <c r="S2228" s="4"/>
      <c r="T2228" s="1" t="s">
        <v>37550</v>
      </c>
      <c r="U2228" s="4" t="s">
        <v>37551</v>
      </c>
      <c r="V2228" s="4" t="s">
        <v>37552</v>
      </c>
      <c r="W2228" s="4" t="s">
        <v>37553</v>
      </c>
      <c r="X2228" s="4" t="s">
        <v>37554</v>
      </c>
      <c r="Y2228" s="4" t="s">
        <v>37555</v>
      </c>
      <c r="Z2228" s="4" t="s">
        <v>37556</v>
      </c>
      <c r="AA2228" s="4" t="s">
        <v>37557</v>
      </c>
      <c r="AB2228" s="4" t="s">
        <v>37558</v>
      </c>
      <c r="AC2228" s="4" t="s">
        <v>37559</v>
      </c>
      <c r="AD2228" s="4" t="s">
        <v>37560</v>
      </c>
      <c r="AE2228" s="4" t="s">
        <v>37561</v>
      </c>
      <c r="AF2228" s="4"/>
      <c r="AG2228" s="4" t="n">
        <v>32</v>
      </c>
      <c r="AH2228" s="4" t="n">
        <v>10</v>
      </c>
      <c r="AI2228" s="4" t="n">
        <v>10</v>
      </c>
      <c r="AJ2228" s="4" t="n">
        <v>0</v>
      </c>
      <c r="AK2228" s="4" t="n">
        <v>2</v>
      </c>
      <c r="AL2228" s="4" t="s">
        <v>27808</v>
      </c>
      <c r="AM2228" s="4" t="s">
        <v>303</v>
      </c>
      <c r="AN2228" s="4" t="s">
        <v>27809</v>
      </c>
      <c r="AO2228" s="4" t="s">
        <v>32146</v>
      </c>
      <c r="AP2228" s="4" t="s">
        <v>32147</v>
      </c>
      <c r="AQ2228" s="4"/>
      <c r="AR2228" s="4" t="s">
        <v>32148</v>
      </c>
      <c r="AS2228" s="4" t="s">
        <v>32149</v>
      </c>
      <c r="AT2228" s="4"/>
      <c r="AU2228" s="4" t="n">
        <v>2017</v>
      </c>
      <c r="AV2228" s="4" t="n">
        <v>2017</v>
      </c>
      <c r="AW2228" s="4"/>
      <c r="AX2228" s="4"/>
      <c r="AY2228" s="4"/>
      <c r="AZ2228" s="4"/>
      <c r="BA2228" s="4"/>
      <c r="BB2228" s="4"/>
      <c r="BC2228" s="4"/>
      <c r="BD2228" s="4" t="n">
        <v>1324276</v>
      </c>
      <c r="BE2228" s="4" t="s">
        <v>37562</v>
      </c>
      <c r="BF2228" s="4" t="str">
        <f aca="false">HYPERLINK("http://dx.doi.org/10.1155/2017/1324276","http://dx.doi.org/10.1155/2017/1324276")</f>
        <v>http://dx.doi.org/10.1155/2017/1324276</v>
      </c>
      <c r="BG2228" s="4"/>
      <c r="BH2228" s="4"/>
      <c r="BI2228" s="4" t="n">
        <v>8</v>
      </c>
      <c r="BJ2228" s="4" t="s">
        <v>163</v>
      </c>
      <c r="BK2228" s="4" t="s">
        <v>339</v>
      </c>
      <c r="BL2228" s="4" t="s">
        <v>163</v>
      </c>
      <c r="BM2228" s="4" t="s">
        <v>37563</v>
      </c>
      <c r="BN2228" s="4" t="n">
        <v>28947901</v>
      </c>
      <c r="BO2228" s="4" t="s">
        <v>11315</v>
      </c>
      <c r="BP2228" s="4"/>
      <c r="BQ2228" s="4"/>
      <c r="BR2228" s="4" t="s">
        <v>104</v>
      </c>
      <c r="BS2228" s="4" t="s">
        <v>37564</v>
      </c>
      <c r="BT2228" s="4" t="str">
        <f aca="false">HYPERLINK("https%3A%2F%2Fwww.webofscience.com%2Fwos%2Fwoscc%2Ffull-record%2FWOS:000409297700001","View Full Record in Web of Science")</f>
        <v>View Full Record in Web of Science</v>
      </c>
    </row>
    <row r="2229" s="5" customFormat="true" ht="12.75" hidden="false" customHeight="false" outlineLevel="0" collapsed="false">
      <c r="A2229" s="4" t="s">
        <v>72</v>
      </c>
      <c r="B2229" s="4" t="s">
        <v>37565</v>
      </c>
      <c r="C2229" s="4"/>
      <c r="D2229" s="4"/>
      <c r="E2229" s="4"/>
      <c r="F2229" s="4" t="s">
        <v>37566</v>
      </c>
      <c r="G2229" s="4"/>
      <c r="H2229" s="4"/>
      <c r="I2229" s="4" t="s">
        <v>37567</v>
      </c>
      <c r="J2229" s="4" t="s">
        <v>2021</v>
      </c>
      <c r="K2229" s="4"/>
      <c r="L2229" s="4"/>
      <c r="M2229" s="4" t="s">
        <v>77</v>
      </c>
      <c r="N2229" s="4" t="s">
        <v>78</v>
      </c>
      <c r="O2229" s="4"/>
      <c r="P2229" s="4"/>
      <c r="Q2229" s="4"/>
      <c r="R2229" s="4"/>
      <c r="S2229" s="4"/>
      <c r="T2229" s="1" t="s">
        <v>37568</v>
      </c>
      <c r="U2229" s="4" t="s">
        <v>37569</v>
      </c>
      <c r="V2229" s="4" t="s">
        <v>37570</v>
      </c>
      <c r="W2229" s="4" t="s">
        <v>37571</v>
      </c>
      <c r="X2229" s="4" t="s">
        <v>37572</v>
      </c>
      <c r="Y2229" s="4" t="s">
        <v>37573</v>
      </c>
      <c r="Z2229" s="4" t="s">
        <v>7386</v>
      </c>
      <c r="AA2229" s="4"/>
      <c r="AB2229" s="4" t="s">
        <v>37574</v>
      </c>
      <c r="AC2229" s="4"/>
      <c r="AD2229" s="4"/>
      <c r="AE2229" s="4"/>
      <c r="AF2229" s="4"/>
      <c r="AG2229" s="4" t="n">
        <v>7</v>
      </c>
      <c r="AH2229" s="4" t="n">
        <v>68</v>
      </c>
      <c r="AI2229" s="4" t="n">
        <v>80</v>
      </c>
      <c r="AJ2229" s="4" t="n">
        <v>0</v>
      </c>
      <c r="AK2229" s="4" t="n">
        <v>11</v>
      </c>
      <c r="AL2229" s="4" t="s">
        <v>527</v>
      </c>
      <c r="AM2229" s="4" t="s">
        <v>528</v>
      </c>
      <c r="AN2229" s="4" t="s">
        <v>529</v>
      </c>
      <c r="AO2229" s="4" t="s">
        <v>2033</v>
      </c>
      <c r="AP2229" s="4" t="s">
        <v>2034</v>
      </c>
      <c r="AQ2229" s="4"/>
      <c r="AR2229" s="4" t="s">
        <v>2035</v>
      </c>
      <c r="AS2229" s="4" t="s">
        <v>2036</v>
      </c>
      <c r="AT2229" s="4" t="s">
        <v>6698</v>
      </c>
      <c r="AU2229" s="4" t="n">
        <v>2008</v>
      </c>
      <c r="AV2229" s="4" t="n">
        <v>46</v>
      </c>
      <c r="AW2229" s="4" t="n">
        <v>7</v>
      </c>
      <c r="AX2229" s="4"/>
      <c r="AY2229" s="4"/>
      <c r="AZ2229" s="4"/>
      <c r="BA2229" s="4"/>
      <c r="BB2229" s="4" t="s">
        <v>37575</v>
      </c>
      <c r="BC2229" s="4" t="s">
        <v>25497</v>
      </c>
      <c r="BD2229" s="4"/>
      <c r="BE2229" s="4" t="s">
        <v>37576</v>
      </c>
      <c r="BF2229" s="4" t="str">
        <f aca="false">HYPERLINK("http://dx.doi.org/10.1086/529386","http://dx.doi.org/10.1086/529386")</f>
        <v>http://dx.doi.org/10.1086/529386</v>
      </c>
      <c r="BG2229" s="4"/>
      <c r="BH2229" s="4"/>
      <c r="BI2229" s="4" t="n">
        <v>4</v>
      </c>
      <c r="BJ2229" s="4" t="s">
        <v>536</v>
      </c>
      <c r="BK2229" s="4" t="s">
        <v>100</v>
      </c>
      <c r="BL2229" s="4" t="s">
        <v>536</v>
      </c>
      <c r="BM2229" s="4" t="s">
        <v>37577</v>
      </c>
      <c r="BN2229" s="4" t="n">
        <v>18444806</v>
      </c>
      <c r="BO2229" s="4" t="s">
        <v>165</v>
      </c>
      <c r="BP2229" s="4"/>
      <c r="BQ2229" s="4"/>
      <c r="BR2229" s="4" t="s">
        <v>104</v>
      </c>
      <c r="BS2229" s="4" t="s">
        <v>37578</v>
      </c>
      <c r="BT2229" s="4" t="str">
        <f aca="false">HYPERLINK("https%3A%2F%2Fwww.webofscience.com%2Fwos%2Fwoscc%2Ffull-record%2FWOS:000253817800033","View Full Record in Web of Science")</f>
        <v>View Full Record in Web of Science</v>
      </c>
    </row>
    <row r="2230" s="5" customFormat="true" ht="12.75" hidden="false" customHeight="false" outlineLevel="0" collapsed="false">
      <c r="A2230" s="4" t="s">
        <v>72</v>
      </c>
      <c r="B2230" s="4" t="s">
        <v>37579</v>
      </c>
      <c r="C2230" s="4"/>
      <c r="D2230" s="4"/>
      <c r="E2230" s="4"/>
      <c r="F2230" s="4" t="s">
        <v>37580</v>
      </c>
      <c r="G2230" s="4"/>
      <c r="H2230" s="4"/>
      <c r="I2230" s="4" t="s">
        <v>37581</v>
      </c>
      <c r="J2230" s="4" t="s">
        <v>37582</v>
      </c>
      <c r="K2230" s="4"/>
      <c r="L2230" s="4"/>
      <c r="M2230" s="4" t="s">
        <v>77</v>
      </c>
      <c r="N2230" s="4" t="s">
        <v>78</v>
      </c>
      <c r="O2230" s="4"/>
      <c r="P2230" s="4"/>
      <c r="Q2230" s="4"/>
      <c r="R2230" s="4"/>
      <c r="S2230" s="4"/>
      <c r="T2230" s="1" t="s">
        <v>37583</v>
      </c>
      <c r="U2230" s="4" t="s">
        <v>37584</v>
      </c>
      <c r="V2230" s="4" t="s">
        <v>37585</v>
      </c>
      <c r="W2230" s="4" t="s">
        <v>37586</v>
      </c>
      <c r="X2230" s="4" t="s">
        <v>37587</v>
      </c>
      <c r="Y2230" s="4" t="s">
        <v>37588</v>
      </c>
      <c r="Z2230" s="4" t="s">
        <v>11246</v>
      </c>
      <c r="AA2230" s="4" t="s">
        <v>37589</v>
      </c>
      <c r="AB2230" s="4" t="s">
        <v>37590</v>
      </c>
      <c r="AC2230" s="4"/>
      <c r="AD2230" s="4"/>
      <c r="AE2230" s="4"/>
      <c r="AF2230" s="4"/>
      <c r="AG2230" s="4" t="n">
        <v>63</v>
      </c>
      <c r="AH2230" s="4" t="n">
        <v>14</v>
      </c>
      <c r="AI2230" s="4" t="n">
        <v>18</v>
      </c>
      <c r="AJ2230" s="4" t="n">
        <v>0</v>
      </c>
      <c r="AK2230" s="4" t="n">
        <v>2</v>
      </c>
      <c r="AL2230" s="4" t="s">
        <v>1186</v>
      </c>
      <c r="AM2230" s="4" t="s">
        <v>303</v>
      </c>
      <c r="AN2230" s="4" t="s">
        <v>1187</v>
      </c>
      <c r="AO2230" s="4" t="s">
        <v>37591</v>
      </c>
      <c r="AP2230" s="4" t="s">
        <v>37592</v>
      </c>
      <c r="AQ2230" s="4"/>
      <c r="AR2230" s="4" t="s">
        <v>37593</v>
      </c>
      <c r="AS2230" s="4" t="s">
        <v>37594</v>
      </c>
      <c r="AT2230" s="4" t="s">
        <v>336</v>
      </c>
      <c r="AU2230" s="4" t="n">
        <v>2010</v>
      </c>
      <c r="AV2230" s="4" t="n">
        <v>63</v>
      </c>
      <c r="AW2230" s="4" t="n">
        <v>10</v>
      </c>
      <c r="AX2230" s="4"/>
      <c r="AY2230" s="4"/>
      <c r="AZ2230" s="4"/>
      <c r="BA2230" s="4"/>
      <c r="BB2230" s="4" t="n">
        <v>930</v>
      </c>
      <c r="BC2230" s="4" t="n">
        <v>934</v>
      </c>
      <c r="BD2230" s="4"/>
      <c r="BE2230" s="4" t="s">
        <v>37595</v>
      </c>
      <c r="BF2230" s="4" t="str">
        <f aca="false">HYPERLINK("http://dx.doi.org/10.1136/jcp.2010.077867","http://dx.doi.org/10.1136/jcp.2010.077867")</f>
        <v>http://dx.doi.org/10.1136/jcp.2010.077867</v>
      </c>
      <c r="BG2230" s="4"/>
      <c r="BH2230" s="4"/>
      <c r="BI2230" s="4" t="n">
        <v>5</v>
      </c>
      <c r="BJ2230" s="4" t="s">
        <v>6585</v>
      </c>
      <c r="BK2230" s="4" t="s">
        <v>100</v>
      </c>
      <c r="BL2230" s="4" t="s">
        <v>6585</v>
      </c>
      <c r="BM2230" s="4" t="s">
        <v>37596</v>
      </c>
      <c r="BN2230" s="4" t="n">
        <v>20876328</v>
      </c>
      <c r="BO2230" s="4"/>
      <c r="BP2230" s="4"/>
      <c r="BQ2230" s="4"/>
      <c r="BR2230" s="4" t="s">
        <v>104</v>
      </c>
      <c r="BS2230" s="4" t="s">
        <v>37597</v>
      </c>
      <c r="BT2230" s="4" t="str">
        <f aca="false">HYPERLINK("https%3A%2F%2Fwww.webofscience.com%2Fwos%2Fwoscc%2Ffull-record%2FWOS:000282168400014","View Full Record in Web of Science")</f>
        <v>View Full Record in Web of Science</v>
      </c>
    </row>
    <row r="2231" s="5" customFormat="true" ht="12.75" hidden="false" customHeight="false" outlineLevel="0" collapsed="false">
      <c r="A2231" s="4" t="s">
        <v>72</v>
      </c>
      <c r="B2231" s="4" t="s">
        <v>37598</v>
      </c>
      <c r="C2231" s="4"/>
      <c r="D2231" s="4"/>
      <c r="E2231" s="4"/>
      <c r="F2231" s="4" t="s">
        <v>37599</v>
      </c>
      <c r="G2231" s="4"/>
      <c r="H2231" s="4"/>
      <c r="I2231" s="4" t="s">
        <v>37600</v>
      </c>
      <c r="J2231" s="4" t="s">
        <v>30335</v>
      </c>
      <c r="K2231" s="4"/>
      <c r="L2231" s="4"/>
      <c r="M2231" s="4" t="s">
        <v>77</v>
      </c>
      <c r="N2231" s="4" t="s">
        <v>78</v>
      </c>
      <c r="O2231" s="4"/>
      <c r="P2231" s="4"/>
      <c r="Q2231" s="4"/>
      <c r="R2231" s="4"/>
      <c r="S2231" s="4"/>
      <c r="T2231" s="1" t="s">
        <v>37601</v>
      </c>
      <c r="U2231" s="4" t="s">
        <v>37602</v>
      </c>
      <c r="V2231" s="4" t="s">
        <v>37603</v>
      </c>
      <c r="W2231" s="4" t="s">
        <v>37604</v>
      </c>
      <c r="X2231" s="4" t="s">
        <v>37605</v>
      </c>
      <c r="Y2231" s="4" t="s">
        <v>37606</v>
      </c>
      <c r="Z2231" s="4" t="s">
        <v>37607</v>
      </c>
      <c r="AA2231" s="4" t="s">
        <v>37608</v>
      </c>
      <c r="AB2231" s="4" t="s">
        <v>37609</v>
      </c>
      <c r="AC2231" s="4" t="s">
        <v>37610</v>
      </c>
      <c r="AD2231" s="4" t="s">
        <v>37611</v>
      </c>
      <c r="AE2231" s="4" t="s">
        <v>37612</v>
      </c>
      <c r="AF2231" s="4"/>
      <c r="AG2231" s="4" t="n">
        <v>34</v>
      </c>
      <c r="AH2231" s="4" t="n">
        <v>8</v>
      </c>
      <c r="AI2231" s="4" t="n">
        <v>8</v>
      </c>
      <c r="AJ2231" s="4" t="n">
        <v>0</v>
      </c>
      <c r="AK2231" s="4" t="n">
        <v>5</v>
      </c>
      <c r="AL2231" s="4" t="s">
        <v>919</v>
      </c>
      <c r="AM2231" s="4" t="s">
        <v>593</v>
      </c>
      <c r="AN2231" s="4" t="s">
        <v>920</v>
      </c>
      <c r="AO2231" s="4" t="s">
        <v>30345</v>
      </c>
      <c r="AP2231" s="4" t="s">
        <v>33667</v>
      </c>
      <c r="AQ2231" s="4"/>
      <c r="AR2231" s="4" t="s">
        <v>30346</v>
      </c>
      <c r="AS2231" s="4" t="s">
        <v>2881</v>
      </c>
      <c r="AT2231" s="4" t="s">
        <v>336</v>
      </c>
      <c r="AU2231" s="4" t="n">
        <v>2019</v>
      </c>
      <c r="AV2231" s="4" t="n">
        <v>213</v>
      </c>
      <c r="AW2231" s="4"/>
      <c r="AX2231" s="4"/>
      <c r="AY2231" s="4"/>
      <c r="AZ2231" s="4"/>
      <c r="BA2231" s="4"/>
      <c r="BB2231" s="4" t="n">
        <v>96</v>
      </c>
      <c r="BC2231" s="4" t="n">
        <v>102</v>
      </c>
      <c r="BD2231" s="4"/>
      <c r="BE2231" s="4" t="s">
        <v>37613</v>
      </c>
      <c r="BF2231" s="4" t="str">
        <f aca="false">HYPERLINK("http://dx.doi.org/10.1016/j.jpeds.2019.05.061","http://dx.doi.org/10.1016/j.jpeds.2019.05.061")</f>
        <v>http://dx.doi.org/10.1016/j.jpeds.2019.05.061</v>
      </c>
      <c r="BG2231" s="4"/>
      <c r="BH2231" s="4"/>
      <c r="BI2231" s="4" t="n">
        <v>7</v>
      </c>
      <c r="BJ2231" s="4" t="s">
        <v>601</v>
      </c>
      <c r="BK2231" s="4" t="s">
        <v>100</v>
      </c>
      <c r="BL2231" s="4" t="s">
        <v>601</v>
      </c>
      <c r="BM2231" s="4" t="s">
        <v>37614</v>
      </c>
      <c r="BN2231" s="4" t="n">
        <v>31277900</v>
      </c>
      <c r="BO2231" s="4"/>
      <c r="BP2231" s="4"/>
      <c r="BQ2231" s="4"/>
      <c r="BR2231" s="4" t="s">
        <v>104</v>
      </c>
      <c r="BS2231" s="4" t="s">
        <v>37615</v>
      </c>
      <c r="BT2231" s="4" t="str">
        <f aca="false">HYPERLINK("https%3A%2F%2Fwww.webofscience.com%2Fwos%2Fwoscc%2Ffull-record%2FWOS:000487578800018","View Full Record in Web of Science")</f>
        <v>View Full Record in Web of Science</v>
      </c>
    </row>
    <row r="2232" s="5" customFormat="true" ht="12.75" hidden="false" customHeight="false" outlineLevel="0" collapsed="false">
      <c r="A2232" s="4" t="s">
        <v>72</v>
      </c>
      <c r="B2232" s="4" t="s">
        <v>37616</v>
      </c>
      <c r="C2232" s="4"/>
      <c r="D2232" s="4"/>
      <c r="E2232" s="4"/>
      <c r="F2232" s="4" t="s">
        <v>37617</v>
      </c>
      <c r="G2232" s="4"/>
      <c r="H2232" s="4" t="s">
        <v>37618</v>
      </c>
      <c r="I2232" s="4" t="s">
        <v>37619</v>
      </c>
      <c r="J2232" s="4" t="s">
        <v>2222</v>
      </c>
      <c r="K2232" s="4"/>
      <c r="L2232" s="4"/>
      <c r="M2232" s="4" t="s">
        <v>77</v>
      </c>
      <c r="N2232" s="4" t="s">
        <v>78</v>
      </c>
      <c r="O2232" s="4"/>
      <c r="P2232" s="4"/>
      <c r="Q2232" s="4"/>
      <c r="R2232" s="4"/>
      <c r="S2232" s="4"/>
      <c r="T2232" s="1" t="s">
        <v>37620</v>
      </c>
      <c r="U2232" s="4" t="s">
        <v>37621</v>
      </c>
      <c r="V2232" s="4" t="s">
        <v>37622</v>
      </c>
      <c r="W2232" s="4" t="s">
        <v>37623</v>
      </c>
      <c r="X2232" s="4" t="s">
        <v>37624</v>
      </c>
      <c r="Y2232" s="4" t="s">
        <v>37625</v>
      </c>
      <c r="Z2232" s="4" t="s">
        <v>37626</v>
      </c>
      <c r="AA2232" s="4"/>
      <c r="AB2232" s="4"/>
      <c r="AC2232" s="4" t="s">
        <v>37627</v>
      </c>
      <c r="AD2232" s="4" t="s">
        <v>8486</v>
      </c>
      <c r="AE2232" s="4" t="s">
        <v>37628</v>
      </c>
      <c r="AF2232" s="4"/>
      <c r="AG2232" s="4" t="n">
        <v>22</v>
      </c>
      <c r="AH2232" s="4" t="n">
        <v>67</v>
      </c>
      <c r="AI2232" s="4" t="n">
        <v>69</v>
      </c>
      <c r="AJ2232" s="4" t="n">
        <v>0</v>
      </c>
      <c r="AK2232" s="4" t="n">
        <v>9</v>
      </c>
      <c r="AL2232" s="4" t="s">
        <v>755</v>
      </c>
      <c r="AM2232" s="4" t="s">
        <v>273</v>
      </c>
      <c r="AN2232" s="4" t="s">
        <v>756</v>
      </c>
      <c r="AO2232" s="4" t="s">
        <v>2234</v>
      </c>
      <c r="AP2232" s="4" t="s">
        <v>2235</v>
      </c>
      <c r="AQ2232" s="4"/>
      <c r="AR2232" s="4" t="s">
        <v>2236</v>
      </c>
      <c r="AS2232" s="4" t="s">
        <v>2237</v>
      </c>
      <c r="AT2232" s="4" t="s">
        <v>97</v>
      </c>
      <c r="AU2232" s="4" t="n">
        <v>2012</v>
      </c>
      <c r="AV2232" s="4" t="n">
        <v>50</v>
      </c>
      <c r="AW2232" s="4" t="n">
        <v>3</v>
      </c>
      <c r="AX2232" s="4"/>
      <c r="AY2232" s="4"/>
      <c r="AZ2232" s="4"/>
      <c r="BA2232" s="4"/>
      <c r="BB2232" s="4" t="n">
        <v>977</v>
      </c>
      <c r="BC2232" s="4" t="n">
        <v>987</v>
      </c>
      <c r="BD2232" s="4"/>
      <c r="BE2232" s="4" t="s">
        <v>37629</v>
      </c>
      <c r="BF2232" s="4" t="str">
        <f aca="false">HYPERLINK("http://dx.doi.org/10.1128/JCM.00200-11","http://dx.doi.org/10.1128/JCM.00200-11")</f>
        <v>http://dx.doi.org/10.1128/JCM.00200-11</v>
      </c>
      <c r="BG2232" s="4"/>
      <c r="BH2232" s="4"/>
      <c r="BI2232" s="4" t="n">
        <v>11</v>
      </c>
      <c r="BJ2232" s="4" t="s">
        <v>211</v>
      </c>
      <c r="BK2232" s="4" t="s">
        <v>100</v>
      </c>
      <c r="BL2232" s="4" t="s">
        <v>211</v>
      </c>
      <c r="BM2232" s="4" t="s">
        <v>37630</v>
      </c>
      <c r="BN2232" s="4" t="n">
        <v>22170925</v>
      </c>
      <c r="BO2232" s="4" t="s">
        <v>538</v>
      </c>
      <c r="BP2232" s="4"/>
      <c r="BQ2232" s="4"/>
      <c r="BR2232" s="4" t="s">
        <v>104</v>
      </c>
      <c r="BS2232" s="4" t="s">
        <v>37631</v>
      </c>
      <c r="BT2232" s="4" t="str">
        <f aca="false">HYPERLINK("https%3A%2F%2Fwww.webofscience.com%2Fwos%2Fwoscc%2Ffull-record%2FWOS:000300997800063","View Full Record in Web of Science")</f>
        <v>View Full Record in Web of Science</v>
      </c>
    </row>
    <row r="2233" s="5" customFormat="true" ht="12.75" hidden="false" customHeight="false" outlineLevel="0" collapsed="false">
      <c r="A2233" s="4" t="s">
        <v>72</v>
      </c>
      <c r="B2233" s="4" t="s">
        <v>37632</v>
      </c>
      <c r="C2233" s="4"/>
      <c r="D2233" s="4"/>
      <c r="E2233" s="4"/>
      <c r="F2233" s="4" t="s">
        <v>37633</v>
      </c>
      <c r="G2233" s="4"/>
      <c r="H2233" s="4" t="s">
        <v>37634</v>
      </c>
      <c r="I2233" s="4" t="s">
        <v>37635</v>
      </c>
      <c r="J2233" s="4" t="s">
        <v>4895</v>
      </c>
      <c r="K2233" s="4"/>
      <c r="L2233" s="4"/>
      <c r="M2233" s="4" t="s">
        <v>77</v>
      </c>
      <c r="N2233" s="4" t="s">
        <v>78</v>
      </c>
      <c r="O2233" s="4"/>
      <c r="P2233" s="4"/>
      <c r="Q2233" s="4"/>
      <c r="R2233" s="4"/>
      <c r="S2233" s="4"/>
      <c r="T2233" s="1" t="s">
        <v>37636</v>
      </c>
      <c r="U2233" s="4" t="s">
        <v>37637</v>
      </c>
      <c r="V2233" s="4" t="s">
        <v>37638</v>
      </c>
      <c r="W2233" s="4" t="s">
        <v>37639</v>
      </c>
      <c r="X2233" s="4"/>
      <c r="Y2233" s="4" t="s">
        <v>37640</v>
      </c>
      <c r="Z2233" s="4" t="s">
        <v>37641</v>
      </c>
      <c r="AA2233" s="4"/>
      <c r="AB2233" s="4" t="s">
        <v>37642</v>
      </c>
      <c r="AC2233" s="4"/>
      <c r="AD2233" s="4"/>
      <c r="AE2233" s="4"/>
      <c r="AF2233" s="4"/>
      <c r="AG2233" s="4" t="n">
        <v>54</v>
      </c>
      <c r="AH2233" s="4" t="n">
        <v>7</v>
      </c>
      <c r="AI2233" s="4" t="n">
        <v>8</v>
      </c>
      <c r="AJ2233" s="4" t="n">
        <v>0</v>
      </c>
      <c r="AK2233" s="4" t="n">
        <v>6</v>
      </c>
      <c r="AL2233" s="4" t="s">
        <v>592</v>
      </c>
      <c r="AM2233" s="4" t="s">
        <v>593</v>
      </c>
      <c r="AN2233" s="4" t="s">
        <v>594</v>
      </c>
      <c r="AO2233" s="4" t="s">
        <v>4905</v>
      </c>
      <c r="AP2233" s="4"/>
      <c r="AQ2233" s="4"/>
      <c r="AR2233" s="4" t="s">
        <v>4907</v>
      </c>
      <c r="AS2233" s="4" t="s">
        <v>4908</v>
      </c>
      <c r="AT2233" s="4" t="s">
        <v>97</v>
      </c>
      <c r="AU2233" s="4" t="n">
        <v>2012</v>
      </c>
      <c r="AV2233" s="4" t="n">
        <v>31</v>
      </c>
      <c r="AW2233" s="4" t="n">
        <v>3</v>
      </c>
      <c r="AX2233" s="4"/>
      <c r="AY2233" s="4"/>
      <c r="AZ2233" s="4"/>
      <c r="BA2233" s="4"/>
      <c r="BB2233" s="4" t="n">
        <v>243</v>
      </c>
      <c r="BC2233" s="4" t="n">
        <v>250</v>
      </c>
      <c r="BD2233" s="4"/>
      <c r="BE2233" s="4" t="s">
        <v>37643</v>
      </c>
      <c r="BF2233" s="4" t="str">
        <f aca="false">HYPERLINK("http://dx.doi.org/10.1007/s10096-011-1300-4","http://dx.doi.org/10.1007/s10096-011-1300-4")</f>
        <v>http://dx.doi.org/10.1007/s10096-011-1300-4</v>
      </c>
      <c r="BG2233" s="4"/>
      <c r="BH2233" s="4"/>
      <c r="BI2233" s="4" t="n">
        <v>8</v>
      </c>
      <c r="BJ2233" s="4" t="s">
        <v>1467</v>
      </c>
      <c r="BK2233" s="4" t="s">
        <v>100</v>
      </c>
      <c r="BL2233" s="4" t="s">
        <v>1467</v>
      </c>
      <c r="BM2233" s="4" t="s">
        <v>37644</v>
      </c>
      <c r="BN2233" s="4" t="n">
        <v>21647616</v>
      </c>
      <c r="BO2233" s="4" t="s">
        <v>1267</v>
      </c>
      <c r="BP2233" s="4"/>
      <c r="BQ2233" s="4"/>
      <c r="BR2233" s="4" t="s">
        <v>104</v>
      </c>
      <c r="BS2233" s="4" t="s">
        <v>37645</v>
      </c>
      <c r="BT2233" s="4" t="str">
        <f aca="false">HYPERLINK("https%3A%2F%2Fwww.webofscience.com%2Fwos%2Fwoscc%2Ffull-record%2FWOS:000300291200005","View Full Record in Web of Science")</f>
        <v>View Full Record in Web of Science</v>
      </c>
    </row>
    <row r="2234" s="5" customFormat="true" ht="12.75" hidden="false" customHeight="false" outlineLevel="0" collapsed="false">
      <c r="A2234" s="4" t="s">
        <v>72</v>
      </c>
      <c r="B2234" s="4" t="s">
        <v>37646</v>
      </c>
      <c r="C2234" s="4"/>
      <c r="D2234" s="4"/>
      <c r="E2234" s="4"/>
      <c r="F2234" s="4" t="s">
        <v>37647</v>
      </c>
      <c r="G2234" s="4"/>
      <c r="H2234" s="4"/>
      <c r="I2234" s="4" t="s">
        <v>37648</v>
      </c>
      <c r="J2234" s="4" t="s">
        <v>37649</v>
      </c>
      <c r="K2234" s="4"/>
      <c r="L2234" s="4"/>
      <c r="M2234" s="4" t="s">
        <v>77</v>
      </c>
      <c r="N2234" s="4" t="s">
        <v>78</v>
      </c>
      <c r="O2234" s="4"/>
      <c r="P2234" s="4"/>
      <c r="Q2234" s="4"/>
      <c r="R2234" s="4"/>
      <c r="S2234" s="4"/>
      <c r="T2234" s="1" t="s">
        <v>37650</v>
      </c>
      <c r="U2234" s="4" t="s">
        <v>37651</v>
      </c>
      <c r="V2234" s="4" t="s">
        <v>37652</v>
      </c>
      <c r="W2234" s="4" t="s">
        <v>37653</v>
      </c>
      <c r="X2234" s="4" t="s">
        <v>37654</v>
      </c>
      <c r="Y2234" s="4" t="s">
        <v>37655</v>
      </c>
      <c r="Z2234" s="4"/>
      <c r="AA2234" s="4" t="s">
        <v>37656</v>
      </c>
      <c r="AB2234" s="4" t="s">
        <v>37657</v>
      </c>
      <c r="AC2234" s="4" t="s">
        <v>37658</v>
      </c>
      <c r="AD2234" s="4" t="s">
        <v>37658</v>
      </c>
      <c r="AE2234" s="4" t="s">
        <v>37659</v>
      </c>
      <c r="AF2234" s="4"/>
      <c r="AG2234" s="4" t="n">
        <v>22</v>
      </c>
      <c r="AH2234" s="4" t="n">
        <v>4</v>
      </c>
      <c r="AI2234" s="4" t="n">
        <v>4</v>
      </c>
      <c r="AJ2234" s="4" t="n">
        <v>0</v>
      </c>
      <c r="AK2234" s="4" t="n">
        <v>4</v>
      </c>
      <c r="AL2234" s="4" t="s">
        <v>7639</v>
      </c>
      <c r="AM2234" s="4" t="s">
        <v>783</v>
      </c>
      <c r="AN2234" s="4" t="s">
        <v>7640</v>
      </c>
      <c r="AO2234" s="4" t="s">
        <v>37660</v>
      </c>
      <c r="AP2234" s="4" t="s">
        <v>37661</v>
      </c>
      <c r="AQ2234" s="4"/>
      <c r="AR2234" s="4" t="s">
        <v>37662</v>
      </c>
      <c r="AS2234" s="4" t="s">
        <v>37663</v>
      </c>
      <c r="AT2234" s="4" t="s">
        <v>336</v>
      </c>
      <c r="AU2234" s="4" t="n">
        <v>2011</v>
      </c>
      <c r="AV2234" s="4" t="n">
        <v>176</v>
      </c>
      <c r="AW2234" s="4" t="n">
        <v>10</v>
      </c>
      <c r="AX2234" s="4"/>
      <c r="AY2234" s="4"/>
      <c r="AZ2234" s="4"/>
      <c r="BA2234" s="4"/>
      <c r="BB2234" s="4" t="n">
        <v>1096</v>
      </c>
      <c r="BC2234" s="4" t="n">
        <v>1100</v>
      </c>
      <c r="BD2234" s="4"/>
      <c r="BE2234" s="4" t="s">
        <v>37664</v>
      </c>
      <c r="BF2234" s="4" t="str">
        <f aca="false">HYPERLINK("http://dx.doi.org/10.7205/MILMED-D-11-00027","http://dx.doi.org/10.7205/MILMED-D-11-00027")</f>
        <v>http://dx.doi.org/10.7205/MILMED-D-11-00027</v>
      </c>
      <c r="BG2234" s="4"/>
      <c r="BH2234" s="4"/>
      <c r="BI2234" s="4" t="n">
        <v>5</v>
      </c>
      <c r="BJ2234" s="4" t="s">
        <v>363</v>
      </c>
      <c r="BK2234" s="4" t="s">
        <v>100</v>
      </c>
      <c r="BL2234" s="4" t="s">
        <v>364</v>
      </c>
      <c r="BM2234" s="4" t="s">
        <v>37665</v>
      </c>
      <c r="BN2234" s="4" t="n">
        <v>22128641</v>
      </c>
      <c r="BO2234" s="4" t="s">
        <v>538</v>
      </c>
      <c r="BP2234" s="4"/>
      <c r="BQ2234" s="4"/>
      <c r="BR2234" s="4" t="s">
        <v>104</v>
      </c>
      <c r="BS2234" s="4" t="s">
        <v>37666</v>
      </c>
      <c r="BT2234" s="4" t="str">
        <f aca="false">HYPERLINK("https%3A%2F%2Fwww.webofscience.com%2Fwos%2Fwoscc%2Ffull-record%2FWOS:000295711300004","View Full Record in Web of Science")</f>
        <v>View Full Record in Web of Science</v>
      </c>
    </row>
    <row r="2235" s="5" customFormat="true" ht="12.75" hidden="false" customHeight="false" outlineLevel="0" collapsed="false">
      <c r="A2235" s="4" t="s">
        <v>72</v>
      </c>
      <c r="B2235" s="4" t="s">
        <v>37667</v>
      </c>
      <c r="C2235" s="4"/>
      <c r="D2235" s="4"/>
      <c r="E2235" s="4"/>
      <c r="F2235" s="4" t="s">
        <v>37668</v>
      </c>
      <c r="G2235" s="4"/>
      <c r="H2235" s="4"/>
      <c r="I2235" s="4" t="s">
        <v>37669</v>
      </c>
      <c r="J2235" s="4" t="s">
        <v>6822</v>
      </c>
      <c r="K2235" s="4"/>
      <c r="L2235" s="4"/>
      <c r="M2235" s="4" t="s">
        <v>77</v>
      </c>
      <c r="N2235" s="4" t="s">
        <v>78</v>
      </c>
      <c r="O2235" s="4"/>
      <c r="P2235" s="4"/>
      <c r="Q2235" s="4"/>
      <c r="R2235" s="4"/>
      <c r="S2235" s="4"/>
      <c r="T2235" s="1" t="s">
        <v>37670</v>
      </c>
      <c r="U2235" s="4" t="s">
        <v>37671</v>
      </c>
      <c r="V2235" s="4" t="s">
        <v>37672</v>
      </c>
      <c r="W2235" s="4" t="s">
        <v>37673</v>
      </c>
      <c r="X2235" s="4" t="s">
        <v>37674</v>
      </c>
      <c r="Y2235" s="4" t="s">
        <v>37675</v>
      </c>
      <c r="Z2235" s="4" t="s">
        <v>37676</v>
      </c>
      <c r="AA2235" s="4" t="s">
        <v>37677</v>
      </c>
      <c r="AB2235" s="4" t="s">
        <v>37678</v>
      </c>
      <c r="AC2235" s="4" t="s">
        <v>37679</v>
      </c>
      <c r="AD2235" s="4" t="s">
        <v>37679</v>
      </c>
      <c r="AE2235" s="4" t="s">
        <v>37680</v>
      </c>
      <c r="AF2235" s="4"/>
      <c r="AG2235" s="4" t="n">
        <v>25</v>
      </c>
      <c r="AH2235" s="4" t="n">
        <v>15</v>
      </c>
      <c r="AI2235" s="4" t="n">
        <v>15</v>
      </c>
      <c r="AJ2235" s="4" t="n">
        <v>0</v>
      </c>
      <c r="AK2235" s="4" t="n">
        <v>4</v>
      </c>
      <c r="AL2235" s="4" t="s">
        <v>6833</v>
      </c>
      <c r="AM2235" s="4" t="s">
        <v>593</v>
      </c>
      <c r="AN2235" s="4" t="s">
        <v>6834</v>
      </c>
      <c r="AO2235" s="4" t="s">
        <v>6835</v>
      </c>
      <c r="AP2235" s="4" t="s">
        <v>6836</v>
      </c>
      <c r="AQ2235" s="4"/>
      <c r="AR2235" s="4" t="s">
        <v>6837</v>
      </c>
      <c r="AS2235" s="4" t="s">
        <v>6838</v>
      </c>
      <c r="AT2235" s="4" t="s">
        <v>185</v>
      </c>
      <c r="AU2235" s="4" t="n">
        <v>2018</v>
      </c>
      <c r="AV2235" s="4" t="n">
        <v>146</v>
      </c>
      <c r="AW2235" s="4" t="n">
        <v>11</v>
      </c>
      <c r="AX2235" s="4"/>
      <c r="AY2235" s="4"/>
      <c r="AZ2235" s="4"/>
      <c r="BA2235" s="4"/>
      <c r="BB2235" s="4" t="n">
        <v>1389</v>
      </c>
      <c r="BC2235" s="4" t="n">
        <v>1396</v>
      </c>
      <c r="BD2235" s="4"/>
      <c r="BE2235" s="4" t="s">
        <v>37681</v>
      </c>
      <c r="BF2235" s="4" t="str">
        <f aca="false">HYPERLINK("http://dx.doi.org/10.1017/S0950268818000262","http://dx.doi.org/10.1017/S0950268818000262")</f>
        <v>http://dx.doi.org/10.1017/S0950268818000262</v>
      </c>
      <c r="BG2235" s="4"/>
      <c r="BH2235" s="4"/>
      <c r="BI2235" s="4" t="n">
        <v>8</v>
      </c>
      <c r="BJ2235" s="4" t="s">
        <v>2113</v>
      </c>
      <c r="BK2235" s="4" t="s">
        <v>100</v>
      </c>
      <c r="BL2235" s="4" t="s">
        <v>2113</v>
      </c>
      <c r="BM2235" s="4" t="s">
        <v>37682</v>
      </c>
      <c r="BN2235" s="4" t="n">
        <v>29972108</v>
      </c>
      <c r="BO2235" s="4" t="s">
        <v>538</v>
      </c>
      <c r="BP2235" s="4"/>
      <c r="BQ2235" s="4"/>
      <c r="BR2235" s="4" t="s">
        <v>104</v>
      </c>
      <c r="BS2235" s="4" t="s">
        <v>37683</v>
      </c>
      <c r="BT2235" s="4" t="str">
        <f aca="false">HYPERLINK("https%3A%2F%2Fwww.webofscience.com%2Fwos%2Fwoscc%2Ffull-record%2FWOS:000440009600007","View Full Record in Web of Science")</f>
        <v>View Full Record in Web of Science</v>
      </c>
    </row>
    <row r="2236" s="5" customFormat="true" ht="12.75" hidden="false" customHeight="false" outlineLevel="0" collapsed="false">
      <c r="A2236" s="4" t="s">
        <v>72</v>
      </c>
      <c r="B2236" s="4" t="s">
        <v>37684</v>
      </c>
      <c r="C2236" s="4"/>
      <c r="D2236" s="4"/>
      <c r="E2236" s="4"/>
      <c r="F2236" s="4" t="s">
        <v>37685</v>
      </c>
      <c r="G2236" s="4"/>
      <c r="H2236" s="4" t="s">
        <v>22460</v>
      </c>
      <c r="I2236" s="4" t="s">
        <v>37686</v>
      </c>
      <c r="J2236" s="4" t="s">
        <v>33882</v>
      </c>
      <c r="K2236" s="4"/>
      <c r="L2236" s="4"/>
      <c r="M2236" s="4" t="s">
        <v>77</v>
      </c>
      <c r="N2236" s="4" t="s">
        <v>78</v>
      </c>
      <c r="O2236" s="4"/>
      <c r="P2236" s="4"/>
      <c r="Q2236" s="4"/>
      <c r="R2236" s="4"/>
      <c r="S2236" s="4"/>
      <c r="T2236" s="1" t="s">
        <v>37687</v>
      </c>
      <c r="U2236" s="4" t="s">
        <v>37688</v>
      </c>
      <c r="V2236" s="4" t="s">
        <v>37689</v>
      </c>
      <c r="W2236" s="4" t="s">
        <v>37690</v>
      </c>
      <c r="X2236" s="4" t="s">
        <v>37691</v>
      </c>
      <c r="Y2236" s="4" t="s">
        <v>37692</v>
      </c>
      <c r="Z2236" s="4" t="s">
        <v>37693</v>
      </c>
      <c r="AA2236" s="4" t="s">
        <v>37694</v>
      </c>
      <c r="AB2236" s="4" t="s">
        <v>37695</v>
      </c>
      <c r="AC2236" s="4" t="s">
        <v>37696</v>
      </c>
      <c r="AD2236" s="4" t="s">
        <v>37697</v>
      </c>
      <c r="AE2236" s="4" t="s">
        <v>37698</v>
      </c>
      <c r="AF2236" s="4"/>
      <c r="AG2236" s="4" t="n">
        <v>69</v>
      </c>
      <c r="AH2236" s="4" t="n">
        <v>533</v>
      </c>
      <c r="AI2236" s="4" t="n">
        <v>556</v>
      </c>
      <c r="AJ2236" s="4" t="n">
        <v>4</v>
      </c>
      <c r="AK2236" s="4" t="n">
        <v>84</v>
      </c>
      <c r="AL2236" s="4" t="s">
        <v>1460</v>
      </c>
      <c r="AM2236" s="4" t="s">
        <v>593</v>
      </c>
      <c r="AN2236" s="4" t="s">
        <v>2088</v>
      </c>
      <c r="AO2236" s="4" t="s">
        <v>33892</v>
      </c>
      <c r="AP2236" s="4" t="s">
        <v>35290</v>
      </c>
      <c r="AQ2236" s="4"/>
      <c r="AR2236" s="4" t="s">
        <v>33882</v>
      </c>
      <c r="AS2236" s="4" t="s">
        <v>33893</v>
      </c>
      <c r="AT2236" s="4" t="s">
        <v>37699</v>
      </c>
      <c r="AU2236" s="4" t="n">
        <v>2019</v>
      </c>
      <c r="AV2236" s="4" t="n">
        <v>394</v>
      </c>
      <c r="AW2236" s="4" t="n">
        <v>10200</v>
      </c>
      <c r="AX2236" s="4"/>
      <c r="AY2236" s="4"/>
      <c r="AZ2236" s="4"/>
      <c r="BA2236" s="4"/>
      <c r="BB2236" s="4" t="n">
        <v>757</v>
      </c>
      <c r="BC2236" s="4" t="n">
        <v>779</v>
      </c>
      <c r="BD2236" s="4"/>
      <c r="BE2236" s="4" t="s">
        <v>37700</v>
      </c>
      <c r="BF2236" s="4" t="str">
        <f aca="false">HYPERLINK("http://dx.doi.org/10.1016/S0140-6736(19)30721-4","http://dx.doi.org/10.1016/S0140-6736(19)30721-4")</f>
        <v>http://dx.doi.org/10.1016/S0140-6736(19)30721-4</v>
      </c>
      <c r="BG2236" s="4"/>
      <c r="BH2236" s="4"/>
      <c r="BI2236" s="4" t="n">
        <v>23</v>
      </c>
      <c r="BJ2236" s="4" t="s">
        <v>363</v>
      </c>
      <c r="BK2236" s="4" t="s">
        <v>100</v>
      </c>
      <c r="BL2236" s="4" t="s">
        <v>364</v>
      </c>
      <c r="BM2236" s="4" t="s">
        <v>37701</v>
      </c>
      <c r="BN2236" s="4" t="n">
        <v>31257127</v>
      </c>
      <c r="BO2236" s="4" t="s">
        <v>9673</v>
      </c>
      <c r="BP2236" s="4" t="s">
        <v>1921</v>
      </c>
      <c r="BQ2236" s="4" t="s">
        <v>1922</v>
      </c>
      <c r="BR2236" s="4" t="s">
        <v>104</v>
      </c>
      <c r="BS2236" s="4" t="s">
        <v>37702</v>
      </c>
      <c r="BT2236" s="4" t="str">
        <f aca="false">HYPERLINK("https%3A%2F%2Fwww.webofscience.com%2Fwos%2Fwoscc%2Ffull-record%2FWOS:000483011400029","View Full Record in Web of Science")</f>
        <v>View Full Record in Web of Science</v>
      </c>
    </row>
    <row r="2237" s="5" customFormat="true" ht="12.75" hidden="false" customHeight="false" outlineLevel="0" collapsed="false">
      <c r="A2237" s="4" t="s">
        <v>72</v>
      </c>
      <c r="B2237" s="4" t="s">
        <v>37703</v>
      </c>
      <c r="C2237" s="4"/>
      <c r="D2237" s="4"/>
      <c r="E2237" s="4"/>
      <c r="F2237" s="4" t="s">
        <v>37703</v>
      </c>
      <c r="G2237" s="4"/>
      <c r="H2237" s="4"/>
      <c r="I2237" s="4" t="s">
        <v>37704</v>
      </c>
      <c r="J2237" s="4" t="s">
        <v>33882</v>
      </c>
      <c r="K2237" s="4"/>
      <c r="L2237" s="4"/>
      <c r="M2237" s="4" t="s">
        <v>77</v>
      </c>
      <c r="N2237" s="4" t="s">
        <v>78</v>
      </c>
      <c r="O2237" s="4"/>
      <c r="P2237" s="4"/>
      <c r="Q2237" s="4"/>
      <c r="R2237" s="4"/>
      <c r="S2237" s="4"/>
      <c r="T2237" s="1" t="s">
        <v>37705</v>
      </c>
      <c r="U2237" s="4" t="s">
        <v>37706</v>
      </c>
      <c r="V2237" s="4" t="s">
        <v>37707</v>
      </c>
      <c r="W2237" s="4" t="s">
        <v>37708</v>
      </c>
      <c r="X2237" s="4" t="s">
        <v>37709</v>
      </c>
      <c r="Y2237" s="4" t="s">
        <v>37710</v>
      </c>
      <c r="Z2237" s="4" t="s">
        <v>37711</v>
      </c>
      <c r="AA2237" s="4" t="s">
        <v>37712</v>
      </c>
      <c r="AB2237" s="4" t="s">
        <v>37713</v>
      </c>
      <c r="AC2237" s="4"/>
      <c r="AD2237" s="4"/>
      <c r="AE2237" s="4"/>
      <c r="AF2237" s="4"/>
      <c r="AG2237" s="4" t="n">
        <v>25</v>
      </c>
      <c r="AH2237" s="4" t="n">
        <v>803</v>
      </c>
      <c r="AI2237" s="4" t="n">
        <v>935</v>
      </c>
      <c r="AJ2237" s="4" t="n">
        <v>0</v>
      </c>
      <c r="AK2237" s="4" t="n">
        <v>56</v>
      </c>
      <c r="AL2237" s="4" t="s">
        <v>1460</v>
      </c>
      <c r="AM2237" s="4" t="s">
        <v>593</v>
      </c>
      <c r="AN2237" s="4" t="s">
        <v>2088</v>
      </c>
      <c r="AO2237" s="4" t="s">
        <v>33892</v>
      </c>
      <c r="AP2237" s="4" t="s">
        <v>35290</v>
      </c>
      <c r="AQ2237" s="4"/>
      <c r="AR2237" s="4" t="s">
        <v>33882</v>
      </c>
      <c r="AS2237" s="4" t="s">
        <v>33893</v>
      </c>
      <c r="AT2237" s="4" t="s">
        <v>37714</v>
      </c>
      <c r="AU2237" s="4" t="n">
        <v>2003</v>
      </c>
      <c r="AV2237" s="4" t="n">
        <v>361</v>
      </c>
      <c r="AW2237" s="4" t="n">
        <v>9371</v>
      </c>
      <c r="AX2237" s="4"/>
      <c r="AY2237" s="4"/>
      <c r="AZ2237" s="4"/>
      <c r="BA2237" s="4"/>
      <c r="BB2237" s="4" t="n">
        <v>1773</v>
      </c>
      <c r="BC2237" s="4" t="n">
        <v>1778</v>
      </c>
      <c r="BD2237" s="4"/>
      <c r="BE2237" s="4" t="s">
        <v>37715</v>
      </c>
      <c r="BF2237" s="4" t="str">
        <f aca="false">HYPERLINK("http://dx.doi.org/10.1016/S0140-6736(03)13413-7","http://dx.doi.org/10.1016/S0140-6736(03)13413-7")</f>
        <v>http://dx.doi.org/10.1016/S0140-6736(03)13413-7</v>
      </c>
      <c r="BG2237" s="4"/>
      <c r="BH2237" s="4"/>
      <c r="BI2237" s="4" t="n">
        <v>6</v>
      </c>
      <c r="BJ2237" s="4" t="s">
        <v>363</v>
      </c>
      <c r="BK2237" s="4" t="s">
        <v>100</v>
      </c>
      <c r="BL2237" s="4" t="s">
        <v>364</v>
      </c>
      <c r="BM2237" s="4" t="s">
        <v>37716</v>
      </c>
      <c r="BN2237" s="4" t="n">
        <v>12781536</v>
      </c>
      <c r="BO2237" s="4" t="s">
        <v>165</v>
      </c>
      <c r="BP2237" s="4"/>
      <c r="BQ2237" s="4"/>
      <c r="BR2237" s="4" t="s">
        <v>104</v>
      </c>
      <c r="BS2237" s="4" t="s">
        <v>37717</v>
      </c>
      <c r="BT2237" s="4" t="str">
        <f aca="false">HYPERLINK("https%3A%2F%2Fwww.webofscience.com%2Fwos%2Fwoscc%2Ffull-record%2FWOS:000183074800009","View Full Record in Web of Science")</f>
        <v>View Full Record in Web of Science</v>
      </c>
    </row>
    <row r="2238" s="5" customFormat="true" ht="12.75" hidden="false" customHeight="false" outlineLevel="0" collapsed="false">
      <c r="A2238" s="4" t="s">
        <v>72</v>
      </c>
      <c r="B2238" s="4" t="s">
        <v>37718</v>
      </c>
      <c r="C2238" s="4"/>
      <c r="D2238" s="4"/>
      <c r="E2238" s="4"/>
      <c r="F2238" s="4" t="s">
        <v>37719</v>
      </c>
      <c r="G2238" s="4"/>
      <c r="H2238" s="4"/>
      <c r="I2238" s="4" t="s">
        <v>37720</v>
      </c>
      <c r="J2238" s="4" t="s">
        <v>34920</v>
      </c>
      <c r="K2238" s="4"/>
      <c r="L2238" s="4"/>
      <c r="M2238" s="4" t="s">
        <v>77</v>
      </c>
      <c r="N2238" s="4" t="s">
        <v>78</v>
      </c>
      <c r="O2238" s="4"/>
      <c r="P2238" s="4"/>
      <c r="Q2238" s="4"/>
      <c r="R2238" s="4"/>
      <c r="S2238" s="4"/>
      <c r="T2238" s="1" t="s">
        <v>37721</v>
      </c>
      <c r="U2238" s="4" t="s">
        <v>37722</v>
      </c>
      <c r="V2238" s="4" t="s">
        <v>37723</v>
      </c>
      <c r="W2238" s="4" t="s">
        <v>37724</v>
      </c>
      <c r="X2238" s="4" t="s">
        <v>37725</v>
      </c>
      <c r="Y2238" s="4" t="s">
        <v>37726</v>
      </c>
      <c r="Z2238" s="4" t="s">
        <v>37727</v>
      </c>
      <c r="AA2238" s="4" t="s">
        <v>37728</v>
      </c>
      <c r="AB2238" s="4" t="s">
        <v>37729</v>
      </c>
      <c r="AC2238" s="4" t="s">
        <v>37730</v>
      </c>
      <c r="AD2238" s="4" t="s">
        <v>37731</v>
      </c>
      <c r="AE2238" s="4" t="s">
        <v>37732</v>
      </c>
      <c r="AF2238" s="4"/>
      <c r="AG2238" s="4" t="n">
        <v>28</v>
      </c>
      <c r="AH2238" s="4" t="n">
        <v>23</v>
      </c>
      <c r="AI2238" s="4" t="n">
        <v>24</v>
      </c>
      <c r="AJ2238" s="4" t="n">
        <v>2</v>
      </c>
      <c r="AK2238" s="4" t="n">
        <v>15</v>
      </c>
      <c r="AL2238" s="4" t="s">
        <v>782</v>
      </c>
      <c r="AM2238" s="4" t="s">
        <v>783</v>
      </c>
      <c r="AN2238" s="4" t="s">
        <v>784</v>
      </c>
      <c r="AO2238" s="4" t="s">
        <v>34932</v>
      </c>
      <c r="AP2238" s="4" t="s">
        <v>34933</v>
      </c>
      <c r="AQ2238" s="4"/>
      <c r="AR2238" s="4" t="s">
        <v>34934</v>
      </c>
      <c r="AS2238" s="4" t="s">
        <v>34935</v>
      </c>
      <c r="AT2238" s="4" t="s">
        <v>129</v>
      </c>
      <c r="AU2238" s="4" t="n">
        <v>2023</v>
      </c>
      <c r="AV2238" s="4" t="n">
        <v>23</v>
      </c>
      <c r="AW2238" s="4" t="n">
        <v>9</v>
      </c>
      <c r="AX2238" s="4"/>
      <c r="AY2238" s="4"/>
      <c r="AZ2238" s="4"/>
      <c r="BA2238" s="4"/>
      <c r="BB2238" s="4" t="n">
        <v>1031</v>
      </c>
      <c r="BC2238" s="4" t="n">
        <v>1041</v>
      </c>
      <c r="BD2238" s="4"/>
      <c r="BE2238" s="4" t="s">
        <v>37733</v>
      </c>
      <c r="BF2238" s="4" t="str">
        <f aca="false">HYPERLINK("http://dx.doi.org/10.1016/S1473-3099(23)00200-1","http://dx.doi.org/10.1016/S1473-3099(23)00200-1")</f>
        <v>http://dx.doi.org/10.1016/S1473-3099(23)00200-1</v>
      </c>
      <c r="BG2238" s="4"/>
      <c r="BH2238" s="4" t="s">
        <v>5077</v>
      </c>
      <c r="BI2238" s="4" t="n">
        <v>11</v>
      </c>
      <c r="BJ2238" s="4" t="s">
        <v>575</v>
      </c>
      <c r="BK2238" s="4" t="s">
        <v>100</v>
      </c>
      <c r="BL2238" s="4" t="s">
        <v>575</v>
      </c>
      <c r="BM2238" s="4" t="s">
        <v>37734</v>
      </c>
      <c r="BN2238" s="4" t="n">
        <v>37141913</v>
      </c>
      <c r="BO2238" s="4" t="s">
        <v>538</v>
      </c>
      <c r="BP2238" s="4"/>
      <c r="BQ2238" s="4"/>
      <c r="BR2238" s="4" t="s">
        <v>104</v>
      </c>
      <c r="BS2238" s="4" t="s">
        <v>37735</v>
      </c>
      <c r="BT2238" s="4" t="str">
        <f aca="false">HYPERLINK("https%3A%2F%2Fwww.webofscience.com%2Fwos%2Fwoscc%2Ffull-record%2FWOS:001068800300001","View Full Record in Web of Science")</f>
        <v>View Full Record in Web of Science</v>
      </c>
    </row>
    <row r="2239" s="5" customFormat="true" ht="12.75" hidden="false" customHeight="false" outlineLevel="0" collapsed="false">
      <c r="A2239" s="4" t="s">
        <v>72</v>
      </c>
      <c r="B2239" s="4" t="s">
        <v>37736</v>
      </c>
      <c r="C2239" s="4"/>
      <c r="D2239" s="4"/>
      <c r="E2239" s="4"/>
      <c r="F2239" s="4" t="s">
        <v>37737</v>
      </c>
      <c r="G2239" s="4"/>
      <c r="H2239" s="4"/>
      <c r="I2239" s="4" t="s">
        <v>37738</v>
      </c>
      <c r="J2239" s="4" t="s">
        <v>27497</v>
      </c>
      <c r="K2239" s="4"/>
      <c r="L2239" s="4"/>
      <c r="M2239" s="4" t="s">
        <v>77</v>
      </c>
      <c r="N2239" s="4" t="s">
        <v>78</v>
      </c>
      <c r="O2239" s="4"/>
      <c r="P2239" s="4"/>
      <c r="Q2239" s="4"/>
      <c r="R2239" s="4"/>
      <c r="S2239" s="4"/>
      <c r="T2239" s="1" t="s">
        <v>37739</v>
      </c>
      <c r="U2239" s="4" t="s">
        <v>37740</v>
      </c>
      <c r="V2239" s="4" t="s">
        <v>37741</v>
      </c>
      <c r="W2239" s="4" t="s">
        <v>37742</v>
      </c>
      <c r="X2239" s="4" t="s">
        <v>37743</v>
      </c>
      <c r="Y2239" s="4" t="s">
        <v>37744</v>
      </c>
      <c r="Z2239" s="4" t="s">
        <v>37745</v>
      </c>
      <c r="AA2239" s="4" t="s">
        <v>37746</v>
      </c>
      <c r="AB2239" s="4" t="s">
        <v>37747</v>
      </c>
      <c r="AC2239" s="4"/>
      <c r="AD2239" s="4"/>
      <c r="AE2239" s="4"/>
      <c r="AF2239" s="4"/>
      <c r="AG2239" s="4" t="n">
        <v>25</v>
      </c>
      <c r="AH2239" s="4" t="n">
        <v>118</v>
      </c>
      <c r="AI2239" s="4" t="n">
        <v>125</v>
      </c>
      <c r="AJ2239" s="4" t="n">
        <v>0</v>
      </c>
      <c r="AK2239" s="4" t="n">
        <v>7</v>
      </c>
      <c r="AL2239" s="4" t="s">
        <v>27506</v>
      </c>
      <c r="AM2239" s="4" t="s">
        <v>27507</v>
      </c>
      <c r="AN2239" s="4" t="s">
        <v>28522</v>
      </c>
      <c r="AO2239" s="4" t="s">
        <v>27509</v>
      </c>
      <c r="AP2239" s="4"/>
      <c r="AQ2239" s="4"/>
      <c r="AR2239" s="4" t="s">
        <v>27497</v>
      </c>
      <c r="AS2239" s="4" t="s">
        <v>27510</v>
      </c>
      <c r="AT2239" s="4" t="s">
        <v>36892</v>
      </c>
      <c r="AU2239" s="4" t="n">
        <v>2011</v>
      </c>
      <c r="AV2239" s="4" t="n">
        <v>6</v>
      </c>
      <c r="AW2239" s="4" t="n">
        <v>6</v>
      </c>
      <c r="AX2239" s="4"/>
      <c r="AY2239" s="4"/>
      <c r="AZ2239" s="4"/>
      <c r="BA2239" s="4"/>
      <c r="BB2239" s="4"/>
      <c r="BC2239" s="4"/>
      <c r="BD2239" s="4" t="s">
        <v>37748</v>
      </c>
      <c r="BE2239" s="4" t="s">
        <v>37749</v>
      </c>
      <c r="BF2239" s="4" t="str">
        <f aca="false">HYPERLINK("http://dx.doi.org/10.1371/journal.pone.0021610","http://dx.doi.org/10.1371/journal.pone.0021610")</f>
        <v>http://dx.doi.org/10.1371/journal.pone.0021610</v>
      </c>
      <c r="BG2239" s="4"/>
      <c r="BH2239" s="4"/>
      <c r="BI2239" s="4" t="n">
        <v>6</v>
      </c>
      <c r="BJ2239" s="4" t="s">
        <v>1658</v>
      </c>
      <c r="BK2239" s="4" t="s">
        <v>100</v>
      </c>
      <c r="BL2239" s="4" t="s">
        <v>1659</v>
      </c>
      <c r="BM2239" s="4" t="s">
        <v>37750</v>
      </c>
      <c r="BN2239" s="4" t="n">
        <v>21738731</v>
      </c>
      <c r="BO2239" s="4" t="s">
        <v>103</v>
      </c>
      <c r="BP2239" s="4"/>
      <c r="BQ2239" s="4"/>
      <c r="BR2239" s="4" t="s">
        <v>104</v>
      </c>
      <c r="BS2239" s="4" t="s">
        <v>37751</v>
      </c>
      <c r="BT2239" s="4" t="str">
        <f aca="false">HYPERLINK("https%3A%2F%2Fwww.webofscience.com%2Fwos%2Fwoscc%2Ffull-record%2FWOS:000292291800026","View Full Record in Web of Science")</f>
        <v>View Full Record in Web of Science</v>
      </c>
    </row>
    <row r="2240" s="5" customFormat="true" ht="12.75" hidden="false" customHeight="false" outlineLevel="0" collapsed="false">
      <c r="A2240" s="4" t="s">
        <v>72</v>
      </c>
      <c r="B2240" s="4" t="s">
        <v>37752</v>
      </c>
      <c r="C2240" s="4"/>
      <c r="D2240" s="4"/>
      <c r="E2240" s="4"/>
      <c r="F2240" s="4" t="s">
        <v>37753</v>
      </c>
      <c r="G2240" s="4"/>
      <c r="H2240" s="4"/>
      <c r="I2240" s="4" t="s">
        <v>37754</v>
      </c>
      <c r="J2240" s="4" t="s">
        <v>27497</v>
      </c>
      <c r="K2240" s="4"/>
      <c r="L2240" s="4"/>
      <c r="M2240" s="4" t="s">
        <v>77</v>
      </c>
      <c r="N2240" s="4" t="s">
        <v>78</v>
      </c>
      <c r="O2240" s="4"/>
      <c r="P2240" s="4"/>
      <c r="Q2240" s="4"/>
      <c r="R2240" s="4"/>
      <c r="S2240" s="4"/>
      <c r="T2240" s="1" t="s">
        <v>37755</v>
      </c>
      <c r="U2240" s="4" t="s">
        <v>37756</v>
      </c>
      <c r="V2240" s="4" t="s">
        <v>37757</v>
      </c>
      <c r="W2240" s="4" t="s">
        <v>37758</v>
      </c>
      <c r="X2240" s="4" t="s">
        <v>37759</v>
      </c>
      <c r="Y2240" s="4" t="s">
        <v>37760</v>
      </c>
      <c r="Z2240" s="4" t="s">
        <v>37761</v>
      </c>
      <c r="AA2240" s="4" t="s">
        <v>37762</v>
      </c>
      <c r="AB2240" s="4" t="s">
        <v>37763</v>
      </c>
      <c r="AC2240" s="4" t="s">
        <v>37764</v>
      </c>
      <c r="AD2240" s="4" t="s">
        <v>37765</v>
      </c>
      <c r="AE2240" s="4" t="s">
        <v>37766</v>
      </c>
      <c r="AF2240" s="4"/>
      <c r="AG2240" s="4" t="n">
        <v>32</v>
      </c>
      <c r="AH2240" s="4" t="n">
        <v>8</v>
      </c>
      <c r="AI2240" s="4" t="n">
        <v>9</v>
      </c>
      <c r="AJ2240" s="4" t="n">
        <v>0</v>
      </c>
      <c r="AK2240" s="4" t="n">
        <v>17</v>
      </c>
      <c r="AL2240" s="4" t="s">
        <v>27506</v>
      </c>
      <c r="AM2240" s="4" t="s">
        <v>27507</v>
      </c>
      <c r="AN2240" s="4" t="s">
        <v>27508</v>
      </c>
      <c r="AO2240" s="4" t="s">
        <v>27509</v>
      </c>
      <c r="AP2240" s="4"/>
      <c r="AQ2240" s="4"/>
      <c r="AR2240" s="4" t="s">
        <v>27497</v>
      </c>
      <c r="AS2240" s="4" t="s">
        <v>27510</v>
      </c>
      <c r="AT2240" s="4" t="s">
        <v>18410</v>
      </c>
      <c r="AU2240" s="4" t="n">
        <v>2014</v>
      </c>
      <c r="AV2240" s="4" t="n">
        <v>9</v>
      </c>
      <c r="AW2240" s="4" t="n">
        <v>3</v>
      </c>
      <c r="AX2240" s="4"/>
      <c r="AY2240" s="4"/>
      <c r="AZ2240" s="4"/>
      <c r="BA2240" s="4"/>
      <c r="BB2240" s="4"/>
      <c r="BC2240" s="4"/>
      <c r="BD2240" s="4" t="s">
        <v>37767</v>
      </c>
      <c r="BE2240" s="4" t="s">
        <v>37768</v>
      </c>
      <c r="BF2240" s="4" t="str">
        <f aca="false">HYPERLINK("http://dx.doi.org/10.1371/journal.pone.0090066","http://dx.doi.org/10.1371/journal.pone.0090066")</f>
        <v>http://dx.doi.org/10.1371/journal.pone.0090066</v>
      </c>
      <c r="BG2240" s="4"/>
      <c r="BH2240" s="4"/>
      <c r="BI2240" s="4" t="n">
        <v>8</v>
      </c>
      <c r="BJ2240" s="4" t="s">
        <v>1658</v>
      </c>
      <c r="BK2240" s="4" t="s">
        <v>100</v>
      </c>
      <c r="BL2240" s="4" t="s">
        <v>1659</v>
      </c>
      <c r="BM2240" s="4" t="s">
        <v>37769</v>
      </c>
      <c r="BN2240" s="4" t="n">
        <v>24594847</v>
      </c>
      <c r="BO2240" s="4" t="s">
        <v>341</v>
      </c>
      <c r="BP2240" s="4"/>
      <c r="BQ2240" s="4"/>
      <c r="BR2240" s="4" t="s">
        <v>104</v>
      </c>
      <c r="BS2240" s="4" t="s">
        <v>37770</v>
      </c>
      <c r="BT2240" s="4" t="str">
        <f aca="false">HYPERLINK("https%3A%2F%2Fwww.webofscience.com%2Fwos%2Fwoscc%2Ffull-record%2FWOS:000332468900064","View Full Record in Web of Science")</f>
        <v>View Full Record in Web of Science</v>
      </c>
    </row>
    <row r="2241" s="5" customFormat="true" ht="12.75" hidden="false" customHeight="false" outlineLevel="0" collapsed="false">
      <c r="A2241" s="4" t="s">
        <v>72</v>
      </c>
      <c r="B2241" s="4" t="s">
        <v>37771</v>
      </c>
      <c r="C2241" s="4"/>
      <c r="D2241" s="4"/>
      <c r="E2241" s="4"/>
      <c r="F2241" s="4" t="s">
        <v>37772</v>
      </c>
      <c r="G2241" s="4"/>
      <c r="H2241" s="4"/>
      <c r="I2241" s="4" t="s">
        <v>37773</v>
      </c>
      <c r="J2241" s="4" t="s">
        <v>27497</v>
      </c>
      <c r="K2241" s="4"/>
      <c r="L2241" s="4"/>
      <c r="M2241" s="4" t="s">
        <v>77</v>
      </c>
      <c r="N2241" s="4" t="s">
        <v>78</v>
      </c>
      <c r="O2241" s="4"/>
      <c r="P2241" s="4"/>
      <c r="Q2241" s="4"/>
      <c r="R2241" s="4"/>
      <c r="S2241" s="4"/>
      <c r="T2241" s="1" t="s">
        <v>37774</v>
      </c>
      <c r="U2241" s="4" t="s">
        <v>37775</v>
      </c>
      <c r="V2241" s="4" t="s">
        <v>37776</v>
      </c>
      <c r="W2241" s="4" t="s">
        <v>37777</v>
      </c>
      <c r="X2241" s="4" t="s">
        <v>37778</v>
      </c>
      <c r="Y2241" s="4" t="s">
        <v>37779</v>
      </c>
      <c r="Z2241" s="4" t="s">
        <v>37780</v>
      </c>
      <c r="AA2241" s="4" t="s">
        <v>37781</v>
      </c>
      <c r="AB2241" s="4"/>
      <c r="AC2241" s="4" t="s">
        <v>37782</v>
      </c>
      <c r="AD2241" s="4" t="s">
        <v>37783</v>
      </c>
      <c r="AE2241" s="4" t="s">
        <v>37784</v>
      </c>
      <c r="AF2241" s="4"/>
      <c r="AG2241" s="4" t="n">
        <v>37</v>
      </c>
      <c r="AH2241" s="4" t="n">
        <v>12</v>
      </c>
      <c r="AI2241" s="4" t="n">
        <v>14</v>
      </c>
      <c r="AJ2241" s="4" t="n">
        <v>0</v>
      </c>
      <c r="AK2241" s="4" t="n">
        <v>5</v>
      </c>
      <c r="AL2241" s="4" t="s">
        <v>27506</v>
      </c>
      <c r="AM2241" s="4" t="s">
        <v>27507</v>
      </c>
      <c r="AN2241" s="4" t="s">
        <v>27508</v>
      </c>
      <c r="AO2241" s="4" t="s">
        <v>27509</v>
      </c>
      <c r="AP2241" s="4"/>
      <c r="AQ2241" s="4"/>
      <c r="AR2241" s="4" t="s">
        <v>27497</v>
      </c>
      <c r="AS2241" s="4" t="s">
        <v>27510</v>
      </c>
      <c r="AT2241" s="4" t="s">
        <v>31349</v>
      </c>
      <c r="AU2241" s="4" t="n">
        <v>2011</v>
      </c>
      <c r="AV2241" s="4" t="n">
        <v>6</v>
      </c>
      <c r="AW2241" s="4" t="n">
        <v>3</v>
      </c>
      <c r="AX2241" s="4"/>
      <c r="AY2241" s="4"/>
      <c r="AZ2241" s="4"/>
      <c r="BA2241" s="4"/>
      <c r="BB2241" s="4"/>
      <c r="BC2241" s="4"/>
      <c r="BD2241" s="4" t="s">
        <v>37785</v>
      </c>
      <c r="BE2241" s="4" t="s">
        <v>37786</v>
      </c>
      <c r="BF2241" s="4" t="str">
        <f aca="false">HYPERLINK("http://dx.doi.org/10.1371/journal.pone.0018176","http://dx.doi.org/10.1371/journal.pone.0018176")</f>
        <v>http://dx.doi.org/10.1371/journal.pone.0018176</v>
      </c>
      <c r="BG2241" s="4"/>
      <c r="BH2241" s="4"/>
      <c r="BI2241" s="4" t="n">
        <v>9</v>
      </c>
      <c r="BJ2241" s="4" t="s">
        <v>1658</v>
      </c>
      <c r="BK2241" s="4" t="s">
        <v>100</v>
      </c>
      <c r="BL2241" s="4" t="s">
        <v>1659</v>
      </c>
      <c r="BM2241" s="4" t="s">
        <v>37787</v>
      </c>
      <c r="BN2241" s="4"/>
      <c r="BO2241" s="4" t="s">
        <v>6349</v>
      </c>
      <c r="BP2241" s="4"/>
      <c r="BQ2241" s="4"/>
      <c r="BR2241" s="4" t="s">
        <v>104</v>
      </c>
      <c r="BS2241" s="4" t="s">
        <v>37788</v>
      </c>
      <c r="BT2241" s="4" t="str">
        <f aca="false">HYPERLINK("https%3A%2F%2Fwww.webofscience.com%2Fwos%2Fwoscc%2Ffull-record%2FWOS:000288811500027","View Full Record in Web of Science")</f>
        <v>View Full Record in Web of Science</v>
      </c>
    </row>
    <row r="2242" s="5" customFormat="true" ht="12.75" hidden="false" customHeight="false" outlineLevel="0" collapsed="false">
      <c r="A2242" s="4" t="s">
        <v>72</v>
      </c>
      <c r="B2242" s="4" t="s">
        <v>37789</v>
      </c>
      <c r="C2242" s="4"/>
      <c r="D2242" s="4"/>
      <c r="E2242" s="4"/>
      <c r="F2242" s="4" t="s">
        <v>37790</v>
      </c>
      <c r="G2242" s="4"/>
      <c r="H2242" s="4"/>
      <c r="I2242" s="4" t="s">
        <v>37791</v>
      </c>
      <c r="J2242" s="4" t="s">
        <v>34186</v>
      </c>
      <c r="K2242" s="4"/>
      <c r="L2242" s="4"/>
      <c r="M2242" s="4" t="s">
        <v>77</v>
      </c>
      <c r="N2242" s="4" t="s">
        <v>78</v>
      </c>
      <c r="O2242" s="4"/>
      <c r="P2242" s="4"/>
      <c r="Q2242" s="4"/>
      <c r="R2242" s="4"/>
      <c r="S2242" s="4"/>
      <c r="T2242" s="1" t="s">
        <v>37792</v>
      </c>
      <c r="U2242" s="4" t="s">
        <v>37793</v>
      </c>
      <c r="V2242" s="4" t="s">
        <v>37794</v>
      </c>
      <c r="W2242" s="4" t="s">
        <v>37795</v>
      </c>
      <c r="X2242" s="4" t="s">
        <v>37796</v>
      </c>
      <c r="Y2242" s="4" t="s">
        <v>37797</v>
      </c>
      <c r="Z2242" s="4" t="s">
        <v>37798</v>
      </c>
      <c r="AA2242" s="4"/>
      <c r="AB2242" s="4"/>
      <c r="AC2242" s="4"/>
      <c r="AD2242" s="4"/>
      <c r="AE2242" s="4"/>
      <c r="AF2242" s="4"/>
      <c r="AG2242" s="4" t="n">
        <v>20</v>
      </c>
      <c r="AH2242" s="4" t="n">
        <v>7</v>
      </c>
      <c r="AI2242" s="4" t="n">
        <v>7</v>
      </c>
      <c r="AJ2242" s="4" t="n">
        <v>0</v>
      </c>
      <c r="AK2242" s="4" t="n">
        <v>2</v>
      </c>
      <c r="AL2242" s="4" t="s">
        <v>1460</v>
      </c>
      <c r="AM2242" s="4" t="s">
        <v>593</v>
      </c>
      <c r="AN2242" s="4" t="s">
        <v>1461</v>
      </c>
      <c r="AO2242" s="4" t="s">
        <v>34194</v>
      </c>
      <c r="AP2242" s="4"/>
      <c r="AQ2242" s="4"/>
      <c r="AR2242" s="4" t="s">
        <v>34196</v>
      </c>
      <c r="AS2242" s="4" t="s">
        <v>34197</v>
      </c>
      <c r="AT2242" s="4" t="s">
        <v>3673</v>
      </c>
      <c r="AU2242" s="4" t="n">
        <v>2013</v>
      </c>
      <c r="AV2242" s="4" t="n">
        <v>45</v>
      </c>
      <c r="AW2242" s="4" t="n">
        <v>6</v>
      </c>
      <c r="AX2242" s="4"/>
      <c r="AY2242" s="4"/>
      <c r="AZ2242" s="4"/>
      <c r="BA2242" s="4"/>
      <c r="BB2242" s="4" t="n">
        <v>2371</v>
      </c>
      <c r="BC2242" s="4" t="n">
        <v>2374</v>
      </c>
      <c r="BD2242" s="4"/>
      <c r="BE2242" s="4" t="s">
        <v>37799</v>
      </c>
      <c r="BF2242" s="4" t="str">
        <f aca="false">HYPERLINK("http://dx.doi.org/10.1016/j.transproceed.2012.11.010","http://dx.doi.org/10.1016/j.transproceed.2012.11.010")</f>
        <v>http://dx.doi.org/10.1016/j.transproceed.2012.11.010</v>
      </c>
      <c r="BG2242" s="4"/>
      <c r="BH2242" s="4"/>
      <c r="BI2242" s="4" t="n">
        <v>4</v>
      </c>
      <c r="BJ2242" s="4" t="s">
        <v>10100</v>
      </c>
      <c r="BK2242" s="4" t="s">
        <v>100</v>
      </c>
      <c r="BL2242" s="4" t="s">
        <v>10100</v>
      </c>
      <c r="BM2242" s="4" t="s">
        <v>37800</v>
      </c>
      <c r="BN2242" s="4" t="n">
        <v>23747186</v>
      </c>
      <c r="BO2242" s="4"/>
      <c r="BP2242" s="4"/>
      <c r="BQ2242" s="4"/>
      <c r="BR2242" s="4" t="s">
        <v>104</v>
      </c>
      <c r="BS2242" s="4" t="s">
        <v>37801</v>
      </c>
      <c r="BT2242" s="4" t="str">
        <f aca="false">HYPERLINK("https%3A%2F%2Fwww.webofscience.com%2Fwos%2Fwoscc%2Ffull-record%2FWOS:000323852000052","View Full Record in Web of Science")</f>
        <v>View Full Record in Web of Science</v>
      </c>
    </row>
    <row r="2243" s="5" customFormat="true" ht="12.75" hidden="false" customHeight="false" outlineLevel="0" collapsed="false">
      <c r="A2243" s="4" t="s">
        <v>72</v>
      </c>
      <c r="B2243" s="4" t="s">
        <v>37802</v>
      </c>
      <c r="C2243" s="4"/>
      <c r="D2243" s="4"/>
      <c r="E2243" s="4"/>
      <c r="F2243" s="4" t="s">
        <v>37803</v>
      </c>
      <c r="G2243" s="4"/>
      <c r="H2243" s="4"/>
      <c r="I2243" s="4" t="s">
        <v>37804</v>
      </c>
      <c r="J2243" s="4" t="s">
        <v>1174</v>
      </c>
      <c r="K2243" s="4"/>
      <c r="L2243" s="4"/>
      <c r="M2243" s="4" t="s">
        <v>77</v>
      </c>
      <c r="N2243" s="4" t="s">
        <v>78</v>
      </c>
      <c r="O2243" s="4"/>
      <c r="P2243" s="4"/>
      <c r="Q2243" s="4"/>
      <c r="R2243" s="4"/>
      <c r="S2243" s="4"/>
      <c r="T2243" s="1" t="s">
        <v>37805</v>
      </c>
      <c r="U2243" s="4" t="s">
        <v>37806</v>
      </c>
      <c r="V2243" s="4" t="s">
        <v>37807</v>
      </c>
      <c r="W2243" s="4" t="s">
        <v>37808</v>
      </c>
      <c r="X2243" s="4" t="s">
        <v>37809</v>
      </c>
      <c r="Y2243" s="4" t="s">
        <v>37810</v>
      </c>
      <c r="Z2243" s="4" t="s">
        <v>37811</v>
      </c>
      <c r="AA2243" s="4" t="s">
        <v>37812</v>
      </c>
      <c r="AB2243" s="4" t="s">
        <v>37813</v>
      </c>
      <c r="AC2243" s="4" t="s">
        <v>37814</v>
      </c>
      <c r="AD2243" s="4" t="s">
        <v>37815</v>
      </c>
      <c r="AE2243" s="4" t="s">
        <v>37816</v>
      </c>
      <c r="AF2243" s="4"/>
      <c r="AG2243" s="4" t="n">
        <v>35</v>
      </c>
      <c r="AH2243" s="4" t="n">
        <v>55</v>
      </c>
      <c r="AI2243" s="4" t="n">
        <v>64</v>
      </c>
      <c r="AJ2243" s="4" t="n">
        <v>0</v>
      </c>
      <c r="AK2243" s="4" t="n">
        <v>10</v>
      </c>
      <c r="AL2243" s="4" t="s">
        <v>1186</v>
      </c>
      <c r="AM2243" s="4" t="s">
        <v>303</v>
      </c>
      <c r="AN2243" s="4" t="s">
        <v>1187</v>
      </c>
      <c r="AO2243" s="4" t="s">
        <v>1188</v>
      </c>
      <c r="AP2243" s="4"/>
      <c r="AQ2243" s="4"/>
      <c r="AR2243" s="4" t="s">
        <v>1174</v>
      </c>
      <c r="AS2243" s="4" t="s">
        <v>1190</v>
      </c>
      <c r="AT2243" s="4" t="s">
        <v>161</v>
      </c>
      <c r="AU2243" s="4" t="n">
        <v>2013</v>
      </c>
      <c r="AV2243" s="4" t="n">
        <v>68</v>
      </c>
      <c r="AW2243" s="4" t="n">
        <v>1</v>
      </c>
      <c r="AX2243" s="4"/>
      <c r="AY2243" s="4"/>
      <c r="AZ2243" s="4"/>
      <c r="BA2243" s="4"/>
      <c r="BB2243" s="4" t="n">
        <v>76</v>
      </c>
      <c r="BC2243" s="4" t="n">
        <v>81</v>
      </c>
      <c r="BD2243" s="4"/>
      <c r="BE2243" s="4" t="s">
        <v>37817</v>
      </c>
      <c r="BF2243" s="4" t="str">
        <f aca="false">HYPERLINK("http://dx.doi.org/10.1136/thoraxjnl-2012-202288","http://dx.doi.org/10.1136/thoraxjnl-2012-202288")</f>
        <v>http://dx.doi.org/10.1136/thoraxjnl-2012-202288</v>
      </c>
      <c r="BG2243" s="4"/>
      <c r="BH2243" s="4"/>
      <c r="BI2243" s="4" t="n">
        <v>6</v>
      </c>
      <c r="BJ2243" s="4" t="s">
        <v>338</v>
      </c>
      <c r="BK2243" s="4" t="s">
        <v>100</v>
      </c>
      <c r="BL2243" s="4" t="s">
        <v>338</v>
      </c>
      <c r="BM2243" s="4" t="s">
        <v>37818</v>
      </c>
      <c r="BN2243" s="4" t="n">
        <v>23002173</v>
      </c>
      <c r="BO2243" s="4" t="s">
        <v>1903</v>
      </c>
      <c r="BP2243" s="4"/>
      <c r="BQ2243" s="4"/>
      <c r="BR2243" s="4" t="s">
        <v>104</v>
      </c>
      <c r="BS2243" s="4" t="s">
        <v>37819</v>
      </c>
      <c r="BT2243" s="4" t="str">
        <f aca="false">HYPERLINK("https%3A%2F%2Fwww.webofscience.com%2Fwos%2Fwoscc%2Ffull-record%2FWOS:000312204900014","View Full Record in Web of Science")</f>
        <v>View Full Record in Web of Science</v>
      </c>
    </row>
    <row r="2244" s="5" customFormat="true" ht="12.75" hidden="false" customHeight="false" outlineLevel="0" collapsed="false">
      <c r="A2244" s="4" t="s">
        <v>72</v>
      </c>
      <c r="B2244" s="4" t="s">
        <v>37820</v>
      </c>
      <c r="C2244" s="4"/>
      <c r="D2244" s="4"/>
      <c r="E2244" s="4"/>
      <c r="F2244" s="4" t="s">
        <v>37821</v>
      </c>
      <c r="G2244" s="4"/>
      <c r="H2244" s="4"/>
      <c r="I2244" s="4" t="s">
        <v>37822</v>
      </c>
      <c r="J2244" s="4" t="s">
        <v>27497</v>
      </c>
      <c r="K2244" s="4"/>
      <c r="L2244" s="4"/>
      <c r="M2244" s="4" t="s">
        <v>77</v>
      </c>
      <c r="N2244" s="4" t="s">
        <v>78</v>
      </c>
      <c r="O2244" s="4"/>
      <c r="P2244" s="4"/>
      <c r="Q2244" s="4"/>
      <c r="R2244" s="4"/>
      <c r="S2244" s="4"/>
      <c r="T2244" s="1" t="s">
        <v>37823</v>
      </c>
      <c r="U2244" s="4" t="s">
        <v>37824</v>
      </c>
      <c r="V2244" s="4" t="s">
        <v>37825</v>
      </c>
      <c r="W2244" s="4" t="s">
        <v>37826</v>
      </c>
      <c r="X2244" s="4" t="s">
        <v>37827</v>
      </c>
      <c r="Y2244" s="4" t="s">
        <v>37828</v>
      </c>
      <c r="Z2244" s="4" t="s">
        <v>37829</v>
      </c>
      <c r="AA2244" s="4" t="s">
        <v>37830</v>
      </c>
      <c r="AB2244" s="4" t="s">
        <v>37831</v>
      </c>
      <c r="AC2244" s="4" t="s">
        <v>37832</v>
      </c>
      <c r="AD2244" s="4" t="s">
        <v>37833</v>
      </c>
      <c r="AE2244" s="4" t="s">
        <v>37834</v>
      </c>
      <c r="AF2244" s="4"/>
      <c r="AG2244" s="4" t="n">
        <v>53</v>
      </c>
      <c r="AH2244" s="4" t="n">
        <v>44</v>
      </c>
      <c r="AI2244" s="4" t="n">
        <v>60</v>
      </c>
      <c r="AJ2244" s="4" t="n">
        <v>1</v>
      </c>
      <c r="AK2244" s="4" t="n">
        <v>9</v>
      </c>
      <c r="AL2244" s="4" t="s">
        <v>27506</v>
      </c>
      <c r="AM2244" s="4" t="s">
        <v>27507</v>
      </c>
      <c r="AN2244" s="4" t="s">
        <v>27508</v>
      </c>
      <c r="AO2244" s="4" t="s">
        <v>27509</v>
      </c>
      <c r="AP2244" s="4"/>
      <c r="AQ2244" s="4"/>
      <c r="AR2244" s="4" t="s">
        <v>27497</v>
      </c>
      <c r="AS2244" s="4" t="s">
        <v>27510</v>
      </c>
      <c r="AT2244" s="4" t="s">
        <v>28238</v>
      </c>
      <c r="AU2244" s="4" t="n">
        <v>2012</v>
      </c>
      <c r="AV2244" s="4" t="n">
        <v>7</v>
      </c>
      <c r="AW2244" s="4" t="n">
        <v>8</v>
      </c>
      <c r="AX2244" s="4"/>
      <c r="AY2244" s="4"/>
      <c r="AZ2244" s="4"/>
      <c r="BA2244" s="4"/>
      <c r="BB2244" s="4"/>
      <c r="BC2244" s="4"/>
      <c r="BD2244" s="4" t="s">
        <v>37835</v>
      </c>
      <c r="BE2244" s="4" t="s">
        <v>37836</v>
      </c>
      <c r="BF2244" s="4" t="str">
        <f aca="false">HYPERLINK("http://dx.doi.org/10.1371/journal.pone.0043893","http://dx.doi.org/10.1371/journal.pone.0043893")</f>
        <v>http://dx.doi.org/10.1371/journal.pone.0043893</v>
      </c>
      <c r="BG2244" s="4"/>
      <c r="BH2244" s="4"/>
      <c r="BI2244" s="4" t="n">
        <v>8</v>
      </c>
      <c r="BJ2244" s="4" t="s">
        <v>1658</v>
      </c>
      <c r="BK2244" s="4" t="s">
        <v>100</v>
      </c>
      <c r="BL2244" s="4" t="s">
        <v>1659</v>
      </c>
      <c r="BM2244" s="4" t="s">
        <v>37837</v>
      </c>
      <c r="BN2244" s="4" t="n">
        <v>22937119</v>
      </c>
      <c r="BO2244" s="4" t="s">
        <v>6349</v>
      </c>
      <c r="BP2244" s="4"/>
      <c r="BQ2244" s="4"/>
      <c r="BR2244" s="4" t="s">
        <v>104</v>
      </c>
      <c r="BS2244" s="4" t="s">
        <v>37838</v>
      </c>
      <c r="BT2244" s="4" t="str">
        <f aca="false">HYPERLINK("https%3A%2F%2Fwww.webofscience.com%2Fwos%2Fwoscc%2Ffull-record%2FWOS:000308213600055","View Full Record in Web of Science")</f>
        <v>View Full Record in Web of Science</v>
      </c>
    </row>
    <row r="2245" s="5" customFormat="true" ht="12.75" hidden="false" customHeight="false" outlineLevel="0" collapsed="false">
      <c r="A2245" s="4" t="s">
        <v>72</v>
      </c>
      <c r="B2245" s="4" t="s">
        <v>37839</v>
      </c>
      <c r="C2245" s="4"/>
      <c r="D2245" s="4"/>
      <c r="E2245" s="4"/>
      <c r="F2245" s="4" t="s">
        <v>37840</v>
      </c>
      <c r="G2245" s="4"/>
      <c r="H2245" s="4"/>
      <c r="I2245" s="4" t="s">
        <v>37841</v>
      </c>
      <c r="J2245" s="4" t="s">
        <v>1174</v>
      </c>
      <c r="K2245" s="4"/>
      <c r="L2245" s="4"/>
      <c r="M2245" s="4" t="s">
        <v>77</v>
      </c>
      <c r="N2245" s="4" t="s">
        <v>78</v>
      </c>
      <c r="O2245" s="4"/>
      <c r="P2245" s="4"/>
      <c r="Q2245" s="4"/>
      <c r="R2245" s="4"/>
      <c r="S2245" s="4"/>
      <c r="T2245" s="1" t="s">
        <v>37842</v>
      </c>
      <c r="U2245" s="4" t="s">
        <v>37843</v>
      </c>
      <c r="V2245" s="4" t="s">
        <v>37844</v>
      </c>
      <c r="W2245" s="4" t="s">
        <v>37845</v>
      </c>
      <c r="X2245" s="4" t="s">
        <v>37846</v>
      </c>
      <c r="Y2245" s="4" t="s">
        <v>6310</v>
      </c>
      <c r="Z2245" s="4" t="s">
        <v>5815</v>
      </c>
      <c r="AA2245" s="4" t="s">
        <v>37847</v>
      </c>
      <c r="AB2245" s="4" t="s">
        <v>37848</v>
      </c>
      <c r="AC2245" s="4" t="s">
        <v>37849</v>
      </c>
      <c r="AD2245" s="4" t="s">
        <v>37850</v>
      </c>
      <c r="AE2245" s="4" t="s">
        <v>37851</v>
      </c>
      <c r="AF2245" s="4"/>
      <c r="AG2245" s="4" t="n">
        <v>18</v>
      </c>
      <c r="AH2245" s="4" t="n">
        <v>58</v>
      </c>
      <c r="AI2245" s="4" t="n">
        <v>63</v>
      </c>
      <c r="AJ2245" s="4" t="n">
        <v>0</v>
      </c>
      <c r="AK2245" s="4" t="n">
        <v>5</v>
      </c>
      <c r="AL2245" s="4" t="s">
        <v>1186</v>
      </c>
      <c r="AM2245" s="4" t="s">
        <v>303</v>
      </c>
      <c r="AN2245" s="4" t="s">
        <v>1187</v>
      </c>
      <c r="AO2245" s="4" t="s">
        <v>1188</v>
      </c>
      <c r="AP2245" s="4" t="s">
        <v>1189</v>
      </c>
      <c r="AQ2245" s="4"/>
      <c r="AR2245" s="4" t="s">
        <v>1174</v>
      </c>
      <c r="AS2245" s="4" t="s">
        <v>1190</v>
      </c>
      <c r="AT2245" s="4" t="s">
        <v>486</v>
      </c>
      <c r="AU2245" s="4" t="n">
        <v>2011</v>
      </c>
      <c r="AV2245" s="4" t="n">
        <v>66</v>
      </c>
      <c r="AW2245" s="4" t="n">
        <v>6</v>
      </c>
      <c r="AX2245" s="4"/>
      <c r="AY2245" s="4"/>
      <c r="AZ2245" s="4"/>
      <c r="BA2245" s="4"/>
      <c r="BB2245" s="4" t="n">
        <v>468</v>
      </c>
      <c r="BC2245" s="4" t="n">
        <v>473</v>
      </c>
      <c r="BD2245" s="4"/>
      <c r="BE2245" s="4" t="s">
        <v>37852</v>
      </c>
      <c r="BF2245" s="4" t="str">
        <f aca="false">HYPERLINK("http://dx.doi.org/10.1136/thx.2010.148023","http://dx.doi.org/10.1136/thx.2010.148023")</f>
        <v>http://dx.doi.org/10.1136/thx.2010.148023</v>
      </c>
      <c r="BG2245" s="4"/>
      <c r="BH2245" s="4"/>
      <c r="BI2245" s="4" t="n">
        <v>6</v>
      </c>
      <c r="BJ2245" s="4" t="s">
        <v>338</v>
      </c>
      <c r="BK2245" s="4" t="s">
        <v>100</v>
      </c>
      <c r="BL2245" s="4" t="s">
        <v>338</v>
      </c>
      <c r="BM2245" s="4" t="s">
        <v>37853</v>
      </c>
      <c r="BN2245" s="4" t="n">
        <v>21447496</v>
      </c>
      <c r="BO2245" s="4" t="s">
        <v>1903</v>
      </c>
      <c r="BP2245" s="4"/>
      <c r="BQ2245" s="4"/>
      <c r="BR2245" s="4" t="s">
        <v>104</v>
      </c>
      <c r="BS2245" s="4" t="s">
        <v>37854</v>
      </c>
      <c r="BT2245" s="4" t="str">
        <f aca="false">HYPERLINK("https%3A%2F%2Fwww.webofscience.com%2Fwos%2Fwoscc%2Ffull-record%2FWOS:000290852600005","View Full Record in Web of Science")</f>
        <v>View Full Record in Web of Science</v>
      </c>
    </row>
    <row r="2246" s="5" customFormat="true" ht="12.75" hidden="false" customHeight="false" outlineLevel="0" collapsed="false">
      <c r="A2246" s="4" t="s">
        <v>72</v>
      </c>
      <c r="B2246" s="4" t="s">
        <v>37855</v>
      </c>
      <c r="C2246" s="4"/>
      <c r="D2246" s="4"/>
      <c r="E2246" s="4"/>
      <c r="F2246" s="4" t="s">
        <v>37856</v>
      </c>
      <c r="G2246" s="4"/>
      <c r="H2246" s="4"/>
      <c r="I2246" s="4" t="s">
        <v>37857</v>
      </c>
      <c r="J2246" s="4" t="s">
        <v>37440</v>
      </c>
      <c r="K2246" s="4"/>
      <c r="L2246" s="4"/>
      <c r="M2246" s="4" t="s">
        <v>77</v>
      </c>
      <c r="N2246" s="4" t="s">
        <v>78</v>
      </c>
      <c r="O2246" s="4"/>
      <c r="P2246" s="4"/>
      <c r="Q2246" s="4"/>
      <c r="R2246" s="4"/>
      <c r="S2246" s="4"/>
      <c r="T2246" s="1" t="s">
        <v>37858</v>
      </c>
      <c r="U2246" s="4" t="s">
        <v>37859</v>
      </c>
      <c r="V2246" s="4" t="s">
        <v>37860</v>
      </c>
      <c r="W2246" s="4" t="s">
        <v>37861</v>
      </c>
      <c r="X2246" s="4" t="s">
        <v>37862</v>
      </c>
      <c r="Y2246" s="4" t="s">
        <v>37863</v>
      </c>
      <c r="Z2246" s="4" t="s">
        <v>37864</v>
      </c>
      <c r="AA2246" s="4" t="s">
        <v>37865</v>
      </c>
      <c r="AB2246" s="4" t="s">
        <v>37866</v>
      </c>
      <c r="AC2246" s="4"/>
      <c r="AD2246" s="4"/>
      <c r="AE2246" s="4"/>
      <c r="AF2246" s="4"/>
      <c r="AG2246" s="4" t="n">
        <v>46</v>
      </c>
      <c r="AH2246" s="4" t="n">
        <v>16</v>
      </c>
      <c r="AI2246" s="4" t="n">
        <v>16</v>
      </c>
      <c r="AJ2246" s="4" t="n">
        <v>0</v>
      </c>
      <c r="AK2246" s="4" t="n">
        <v>5</v>
      </c>
      <c r="AL2246" s="4" t="s">
        <v>7639</v>
      </c>
      <c r="AM2246" s="4" t="s">
        <v>783</v>
      </c>
      <c r="AN2246" s="4" t="s">
        <v>7640</v>
      </c>
      <c r="AO2246" s="4" t="s">
        <v>37453</v>
      </c>
      <c r="AP2246" s="4" t="s">
        <v>37454</v>
      </c>
      <c r="AQ2246" s="4"/>
      <c r="AR2246" s="4" t="s">
        <v>37455</v>
      </c>
      <c r="AS2246" s="4" t="s">
        <v>37456</v>
      </c>
      <c r="AT2246" s="4" t="s">
        <v>129</v>
      </c>
      <c r="AU2246" s="4" t="n">
        <v>2021</v>
      </c>
      <c r="AV2246" s="4" t="n">
        <v>76</v>
      </c>
      <c r="AW2246" s="4"/>
      <c r="AX2246" s="4"/>
      <c r="AY2246" s="4" t="n">
        <v>3</v>
      </c>
      <c r="AZ2246" s="4"/>
      <c r="BA2246" s="4"/>
      <c r="BB2246" s="4" t="n">
        <v>12</v>
      </c>
      <c r="BC2246" s="4" t="n">
        <v>19</v>
      </c>
      <c r="BD2246" s="4"/>
      <c r="BE2246" s="4" t="s">
        <v>37867</v>
      </c>
      <c r="BF2246" s="4" t="str">
        <f aca="false">HYPERLINK("http://dx.doi.org/10.1093/jac/dkab244","http://dx.doi.org/10.1093/jac/dkab244")</f>
        <v>http://dx.doi.org/10.1093/jac/dkab244</v>
      </c>
      <c r="BG2246" s="4"/>
      <c r="BH2246" s="4"/>
      <c r="BI2246" s="4" t="n">
        <v>8</v>
      </c>
      <c r="BJ2246" s="4" t="s">
        <v>10908</v>
      </c>
      <c r="BK2246" s="4" t="s">
        <v>100</v>
      </c>
      <c r="BL2246" s="4" t="s">
        <v>10908</v>
      </c>
      <c r="BM2246" s="4" t="s">
        <v>37868</v>
      </c>
      <c r="BN2246" s="4" t="n">
        <v>34555160</v>
      </c>
      <c r="BO2246" s="4" t="s">
        <v>136</v>
      </c>
      <c r="BP2246" s="4"/>
      <c r="BQ2246" s="4"/>
      <c r="BR2246" s="4" t="s">
        <v>104</v>
      </c>
      <c r="BS2246" s="4" t="s">
        <v>37869</v>
      </c>
      <c r="BT2246" s="4" t="str">
        <f aca="false">HYPERLINK("https%3A%2F%2Fwww.webofscience.com%2Fwos%2Fwoscc%2Ffull-record%2FWOS:000703971400004","View Full Record in Web of Science")</f>
        <v>View Full Record in Web of Science</v>
      </c>
    </row>
    <row r="2247" s="5" customFormat="true" ht="12.75" hidden="false" customHeight="false" outlineLevel="0" collapsed="false">
      <c r="A2247" s="4" t="s">
        <v>72</v>
      </c>
      <c r="B2247" s="4" t="s">
        <v>37870</v>
      </c>
      <c r="C2247" s="4"/>
      <c r="D2247" s="4"/>
      <c r="E2247" s="4"/>
      <c r="F2247" s="4" t="s">
        <v>37871</v>
      </c>
      <c r="G2247" s="4"/>
      <c r="H2247" s="4"/>
      <c r="I2247" s="4" t="s">
        <v>37872</v>
      </c>
      <c r="J2247" s="4" t="s">
        <v>2222</v>
      </c>
      <c r="K2247" s="4"/>
      <c r="L2247" s="4"/>
      <c r="M2247" s="4" t="s">
        <v>77</v>
      </c>
      <c r="N2247" s="4" t="s">
        <v>78</v>
      </c>
      <c r="O2247" s="4"/>
      <c r="P2247" s="4"/>
      <c r="Q2247" s="4"/>
      <c r="R2247" s="4"/>
      <c r="S2247" s="4"/>
      <c r="T2247" s="1" t="s">
        <v>37873</v>
      </c>
      <c r="U2247" s="4" t="s">
        <v>37874</v>
      </c>
      <c r="V2247" s="4" t="s">
        <v>37875</v>
      </c>
      <c r="W2247" s="4" t="s">
        <v>37876</v>
      </c>
      <c r="X2247" s="4" t="s">
        <v>22486</v>
      </c>
      <c r="Y2247" s="4" t="s">
        <v>15309</v>
      </c>
      <c r="Z2247" s="4" t="s">
        <v>15310</v>
      </c>
      <c r="AA2247" s="4"/>
      <c r="AB2247" s="4"/>
      <c r="AC2247" s="4"/>
      <c r="AD2247" s="4"/>
      <c r="AE2247" s="4"/>
      <c r="AF2247" s="4"/>
      <c r="AG2247" s="4" t="n">
        <v>22</v>
      </c>
      <c r="AH2247" s="4" t="n">
        <v>77</v>
      </c>
      <c r="AI2247" s="4" t="n">
        <v>81</v>
      </c>
      <c r="AJ2247" s="4" t="n">
        <v>0</v>
      </c>
      <c r="AK2247" s="4" t="n">
        <v>11</v>
      </c>
      <c r="AL2247" s="4" t="s">
        <v>755</v>
      </c>
      <c r="AM2247" s="4" t="s">
        <v>273</v>
      </c>
      <c r="AN2247" s="4" t="s">
        <v>756</v>
      </c>
      <c r="AO2247" s="4" t="s">
        <v>2234</v>
      </c>
      <c r="AP2247" s="4" t="s">
        <v>2235</v>
      </c>
      <c r="AQ2247" s="4"/>
      <c r="AR2247" s="4" t="s">
        <v>2236</v>
      </c>
      <c r="AS2247" s="4" t="s">
        <v>2237</v>
      </c>
      <c r="AT2247" s="4" t="s">
        <v>390</v>
      </c>
      <c r="AU2247" s="4" t="n">
        <v>2011</v>
      </c>
      <c r="AV2247" s="4" t="n">
        <v>49</v>
      </c>
      <c r="AW2247" s="4" t="n">
        <v>5</v>
      </c>
      <c r="AX2247" s="4"/>
      <c r="AY2247" s="4"/>
      <c r="AZ2247" s="4"/>
      <c r="BA2247" s="4"/>
      <c r="BB2247" s="4" t="n">
        <v>1738</v>
      </c>
      <c r="BC2247" s="4" t="n">
        <v>1744</v>
      </c>
      <c r="BD2247" s="4"/>
      <c r="BE2247" s="4" t="s">
        <v>37877</v>
      </c>
      <c r="BF2247" s="4" t="str">
        <f aca="false">HYPERLINK("http://dx.doi.org/10.1128/JCM.02090-10","http://dx.doi.org/10.1128/JCM.02090-10")</f>
        <v>http://dx.doi.org/10.1128/JCM.02090-10</v>
      </c>
      <c r="BG2247" s="4"/>
      <c r="BH2247" s="4"/>
      <c r="BI2247" s="4" t="n">
        <v>7</v>
      </c>
      <c r="BJ2247" s="4" t="s">
        <v>211</v>
      </c>
      <c r="BK2247" s="4" t="s">
        <v>100</v>
      </c>
      <c r="BL2247" s="4" t="s">
        <v>211</v>
      </c>
      <c r="BM2247" s="4" t="s">
        <v>37878</v>
      </c>
      <c r="BN2247" s="4" t="n">
        <v>21411570</v>
      </c>
      <c r="BO2247" s="4" t="s">
        <v>165</v>
      </c>
      <c r="BP2247" s="4"/>
      <c r="BQ2247" s="4"/>
      <c r="BR2247" s="4" t="s">
        <v>104</v>
      </c>
      <c r="BS2247" s="4" t="s">
        <v>37879</v>
      </c>
      <c r="BT2247" s="4" t="str">
        <f aca="false">HYPERLINK("https%3A%2F%2Fwww.webofscience.com%2Fwos%2Fwoscc%2Ffull-record%2FWOS:000289941000006","View Full Record in Web of Science")</f>
        <v>View Full Record in Web of Science</v>
      </c>
    </row>
    <row r="2248" s="5" customFormat="true" ht="12.75" hidden="false" customHeight="false" outlineLevel="0" collapsed="false">
      <c r="A2248" s="4" t="s">
        <v>72</v>
      </c>
      <c r="B2248" s="4" t="s">
        <v>37880</v>
      </c>
      <c r="C2248" s="4"/>
      <c r="D2248" s="4"/>
      <c r="E2248" s="4"/>
      <c r="F2248" s="4" t="s">
        <v>37881</v>
      </c>
      <c r="G2248" s="4"/>
      <c r="H2248" s="4"/>
      <c r="I2248" s="4" t="s">
        <v>37882</v>
      </c>
      <c r="J2248" s="4" t="s">
        <v>2021</v>
      </c>
      <c r="K2248" s="4"/>
      <c r="L2248" s="4"/>
      <c r="M2248" s="4" t="s">
        <v>77</v>
      </c>
      <c r="N2248" s="4" t="s">
        <v>78</v>
      </c>
      <c r="O2248" s="4"/>
      <c r="P2248" s="4"/>
      <c r="Q2248" s="4"/>
      <c r="R2248" s="4"/>
      <c r="S2248" s="4"/>
      <c r="T2248" s="1" t="s">
        <v>37883</v>
      </c>
      <c r="U2248" s="4" t="s">
        <v>37884</v>
      </c>
      <c r="V2248" s="4" t="s">
        <v>37885</v>
      </c>
      <c r="W2248" s="4" t="s">
        <v>37886</v>
      </c>
      <c r="X2248" s="4" t="s">
        <v>37887</v>
      </c>
      <c r="Y2248" s="4" t="s">
        <v>37888</v>
      </c>
      <c r="Z2248" s="4" t="s">
        <v>37889</v>
      </c>
      <c r="AA2248" s="4" t="s">
        <v>37890</v>
      </c>
      <c r="AB2248" s="4" t="s">
        <v>37891</v>
      </c>
      <c r="AC2248" s="4"/>
      <c r="AD2248" s="4"/>
      <c r="AE2248" s="4"/>
      <c r="AF2248" s="4"/>
      <c r="AG2248" s="4" t="n">
        <v>32</v>
      </c>
      <c r="AH2248" s="4" t="n">
        <v>443</v>
      </c>
      <c r="AI2248" s="4" t="n">
        <v>517</v>
      </c>
      <c r="AJ2248" s="4" t="n">
        <v>1</v>
      </c>
      <c r="AK2248" s="4" t="n">
        <v>28</v>
      </c>
      <c r="AL2248" s="4" t="s">
        <v>527</v>
      </c>
      <c r="AM2248" s="4" t="s">
        <v>528</v>
      </c>
      <c r="AN2248" s="4" t="s">
        <v>529</v>
      </c>
      <c r="AO2248" s="4" t="s">
        <v>2033</v>
      </c>
      <c r="AP2248" s="4" t="s">
        <v>2034</v>
      </c>
      <c r="AQ2248" s="4"/>
      <c r="AR2248" s="4" t="s">
        <v>2035</v>
      </c>
      <c r="AS2248" s="4" t="s">
        <v>2036</v>
      </c>
      <c r="AT2248" s="4" t="s">
        <v>6698</v>
      </c>
      <c r="AU2248" s="4" t="n">
        <v>2007</v>
      </c>
      <c r="AV2248" s="4" t="n">
        <v>44</v>
      </c>
      <c r="AW2248" s="4" t="n">
        <v>7</v>
      </c>
      <c r="AX2248" s="4"/>
      <c r="AY2248" s="4"/>
      <c r="AZ2248" s="4"/>
      <c r="BA2248" s="4"/>
      <c r="BB2248" s="4" t="n">
        <v>904</v>
      </c>
      <c r="BC2248" s="4" t="n">
        <v>910</v>
      </c>
      <c r="BD2248" s="4"/>
      <c r="BE2248" s="4" t="s">
        <v>37892</v>
      </c>
      <c r="BF2248" s="4" t="str">
        <f aca="false">HYPERLINK("http://dx.doi.org/10.1086/512196","http://dx.doi.org/10.1086/512196")</f>
        <v>http://dx.doi.org/10.1086/512196</v>
      </c>
      <c r="BG2248" s="4"/>
      <c r="BH2248" s="4"/>
      <c r="BI2248" s="4" t="n">
        <v>7</v>
      </c>
      <c r="BJ2248" s="4" t="s">
        <v>536</v>
      </c>
      <c r="BK2248" s="4" t="s">
        <v>100</v>
      </c>
      <c r="BL2248" s="4" t="s">
        <v>536</v>
      </c>
      <c r="BM2248" s="4" t="s">
        <v>37893</v>
      </c>
      <c r="BN2248" s="4" t="n">
        <v>17342639</v>
      </c>
      <c r="BO2248" s="4" t="s">
        <v>165</v>
      </c>
      <c r="BP2248" s="4"/>
      <c r="BQ2248" s="4"/>
      <c r="BR2248" s="4" t="s">
        <v>104</v>
      </c>
      <c r="BS2248" s="4" t="s">
        <v>37894</v>
      </c>
      <c r="BT2248" s="4" t="str">
        <f aca="false">HYPERLINK("https%3A%2F%2Fwww.webofscience.com%2Fwos%2Fwoscc%2Ffull-record%2FWOS:000244721600003","View Full Record in Web of Science")</f>
        <v>View Full Record in Web of Science</v>
      </c>
    </row>
    <row r="2249" s="5" customFormat="true" ht="12.75" hidden="false" customHeight="false" outlineLevel="0" collapsed="false">
      <c r="A2249" s="4" t="s">
        <v>72</v>
      </c>
      <c r="B2249" s="4" t="s">
        <v>37895</v>
      </c>
      <c r="C2249" s="4"/>
      <c r="D2249" s="4"/>
      <c r="E2249" s="4"/>
      <c r="F2249" s="4" t="s">
        <v>37896</v>
      </c>
      <c r="G2249" s="4"/>
      <c r="H2249" s="4"/>
      <c r="I2249" s="4" t="s">
        <v>37897</v>
      </c>
      <c r="J2249" s="4" t="s">
        <v>27497</v>
      </c>
      <c r="K2249" s="4"/>
      <c r="L2249" s="4"/>
      <c r="M2249" s="4" t="s">
        <v>77</v>
      </c>
      <c r="N2249" s="4" t="s">
        <v>78</v>
      </c>
      <c r="O2249" s="4"/>
      <c r="P2249" s="4"/>
      <c r="Q2249" s="4"/>
      <c r="R2249" s="4"/>
      <c r="S2249" s="4"/>
      <c r="T2249" s="1" t="s">
        <v>37898</v>
      </c>
      <c r="U2249" s="4" t="s">
        <v>37899</v>
      </c>
      <c r="V2249" s="4" t="s">
        <v>37900</v>
      </c>
      <c r="W2249" s="4" t="s">
        <v>37901</v>
      </c>
      <c r="X2249" s="4" t="s">
        <v>37902</v>
      </c>
      <c r="Y2249" s="4" t="s">
        <v>37903</v>
      </c>
      <c r="Z2249" s="4" t="s">
        <v>37904</v>
      </c>
      <c r="AA2249" s="4" t="s">
        <v>37905</v>
      </c>
      <c r="AB2249" s="4" t="s">
        <v>37906</v>
      </c>
      <c r="AC2249" s="4"/>
      <c r="AD2249" s="4"/>
      <c r="AE2249" s="4"/>
      <c r="AF2249" s="4"/>
      <c r="AG2249" s="4" t="n">
        <v>86</v>
      </c>
      <c r="AH2249" s="4" t="n">
        <v>3</v>
      </c>
      <c r="AI2249" s="4" t="n">
        <v>3</v>
      </c>
      <c r="AJ2249" s="4" t="n">
        <v>0</v>
      </c>
      <c r="AK2249" s="4" t="n">
        <v>1</v>
      </c>
      <c r="AL2249" s="4" t="s">
        <v>27506</v>
      </c>
      <c r="AM2249" s="4" t="s">
        <v>27507</v>
      </c>
      <c r="AN2249" s="4" t="s">
        <v>27508</v>
      </c>
      <c r="AO2249" s="4" t="s">
        <v>27509</v>
      </c>
      <c r="AP2249" s="4"/>
      <c r="AQ2249" s="4"/>
      <c r="AR2249" s="4" t="s">
        <v>27497</v>
      </c>
      <c r="AS2249" s="4" t="s">
        <v>27510</v>
      </c>
      <c r="AT2249" s="4" t="s">
        <v>33733</v>
      </c>
      <c r="AU2249" s="4" t="n">
        <v>2021</v>
      </c>
      <c r="AV2249" s="4" t="n">
        <v>16</v>
      </c>
      <c r="AW2249" s="4" t="n">
        <v>4</v>
      </c>
      <c r="AX2249" s="4"/>
      <c r="AY2249" s="4"/>
      <c r="AZ2249" s="4"/>
      <c r="BA2249" s="4"/>
      <c r="BB2249" s="4"/>
      <c r="BC2249" s="4"/>
      <c r="BD2249" s="4" t="s">
        <v>37907</v>
      </c>
      <c r="BE2249" s="4" t="s">
        <v>37908</v>
      </c>
      <c r="BF2249" s="4" t="str">
        <f aca="false">HYPERLINK("http://dx.doi.org/10.1371/journal.pone.0249831","http://dx.doi.org/10.1371/journal.pone.0249831")</f>
        <v>http://dx.doi.org/10.1371/journal.pone.0249831</v>
      </c>
      <c r="BG2249" s="4"/>
      <c r="BH2249" s="4"/>
      <c r="BI2249" s="4" t="n">
        <v>16</v>
      </c>
      <c r="BJ2249" s="4" t="s">
        <v>1658</v>
      </c>
      <c r="BK2249" s="4" t="s">
        <v>100</v>
      </c>
      <c r="BL2249" s="4" t="s">
        <v>1659</v>
      </c>
      <c r="BM2249" s="4" t="s">
        <v>37909</v>
      </c>
      <c r="BN2249" s="4" t="n">
        <v>33857215</v>
      </c>
      <c r="BO2249" s="4" t="s">
        <v>103</v>
      </c>
      <c r="BP2249" s="4"/>
      <c r="BQ2249" s="4"/>
      <c r="BR2249" s="4" t="s">
        <v>104</v>
      </c>
      <c r="BS2249" s="4" t="s">
        <v>37910</v>
      </c>
      <c r="BT2249" s="4" t="str">
        <f aca="false">HYPERLINK("https%3A%2F%2Fwww.webofscience.com%2Fwos%2Fwoscc%2Ffull-record%2FWOS:000641474900117","View Full Record in Web of Science")</f>
        <v>View Full Record in Web of Science</v>
      </c>
    </row>
    <row r="2250" s="5" customFormat="true" ht="12.75" hidden="false" customHeight="false" outlineLevel="0" collapsed="false">
      <c r="A2250" s="4" t="s">
        <v>72</v>
      </c>
      <c r="B2250" s="4" t="s">
        <v>37911</v>
      </c>
      <c r="C2250" s="4"/>
      <c r="D2250" s="4"/>
      <c r="E2250" s="4"/>
      <c r="F2250" s="4" t="s">
        <v>37912</v>
      </c>
      <c r="G2250" s="4"/>
      <c r="H2250" s="4"/>
      <c r="I2250" s="4" t="s">
        <v>37913</v>
      </c>
      <c r="J2250" s="4" t="s">
        <v>29033</v>
      </c>
      <c r="K2250" s="4"/>
      <c r="L2250" s="4"/>
      <c r="M2250" s="4" t="s">
        <v>77</v>
      </c>
      <c r="N2250" s="4" t="s">
        <v>78</v>
      </c>
      <c r="O2250" s="4"/>
      <c r="P2250" s="4"/>
      <c r="Q2250" s="4"/>
      <c r="R2250" s="4"/>
      <c r="S2250" s="4"/>
      <c r="T2250" s="1" t="s">
        <v>37914</v>
      </c>
      <c r="U2250" s="4" t="s">
        <v>37915</v>
      </c>
      <c r="V2250" s="4" t="s">
        <v>37916</v>
      </c>
      <c r="W2250" s="4" t="s">
        <v>37917</v>
      </c>
      <c r="X2250" s="4" t="s">
        <v>37918</v>
      </c>
      <c r="Y2250" s="4" t="s">
        <v>37919</v>
      </c>
      <c r="Z2250" s="4" t="s">
        <v>37920</v>
      </c>
      <c r="AA2250" s="4"/>
      <c r="AB2250" s="4" t="s">
        <v>37921</v>
      </c>
      <c r="AC2250" s="4" t="s">
        <v>37922</v>
      </c>
      <c r="AD2250" s="4" t="s">
        <v>37923</v>
      </c>
      <c r="AE2250" s="4" t="s">
        <v>37924</v>
      </c>
      <c r="AF2250" s="4"/>
      <c r="AG2250" s="4" t="n">
        <v>43</v>
      </c>
      <c r="AH2250" s="4" t="n">
        <v>8</v>
      </c>
      <c r="AI2250" s="4" t="n">
        <v>9</v>
      </c>
      <c r="AJ2250" s="4" t="n">
        <v>0</v>
      </c>
      <c r="AK2250" s="4" t="n">
        <v>3</v>
      </c>
      <c r="AL2250" s="4" t="s">
        <v>29043</v>
      </c>
      <c r="AM2250" s="4" t="s">
        <v>29044</v>
      </c>
      <c r="AN2250" s="4" t="s">
        <v>29045</v>
      </c>
      <c r="AO2250" s="4" t="s">
        <v>29046</v>
      </c>
      <c r="AP2250" s="4" t="s">
        <v>33338</v>
      </c>
      <c r="AQ2250" s="4"/>
      <c r="AR2250" s="4" t="s">
        <v>29047</v>
      </c>
      <c r="AS2250" s="4" t="s">
        <v>29048</v>
      </c>
      <c r="AT2250" s="4"/>
      <c r="AU2250" s="4" t="n">
        <v>2019</v>
      </c>
      <c r="AV2250" s="4" t="n">
        <v>100</v>
      </c>
      <c r="AW2250" s="4" t="n">
        <v>3</v>
      </c>
      <c r="AX2250" s="4"/>
      <c r="AY2250" s="4"/>
      <c r="AZ2250" s="4"/>
      <c r="BA2250" s="4"/>
      <c r="BB2250" s="4" t="n">
        <v>672</v>
      </c>
      <c r="BC2250" s="4" t="n">
        <v>680</v>
      </c>
      <c r="BD2250" s="4"/>
      <c r="BE2250" s="4" t="s">
        <v>37925</v>
      </c>
      <c r="BF2250" s="4" t="str">
        <f aca="false">HYPERLINK("http://dx.doi.org/10.4269/ajtmh.18-0699","http://dx.doi.org/10.4269/ajtmh.18-0699")</f>
        <v>http://dx.doi.org/10.4269/ajtmh.18-0699</v>
      </c>
      <c r="BG2250" s="4"/>
      <c r="BH2250" s="4"/>
      <c r="BI2250" s="4" t="n">
        <v>9</v>
      </c>
      <c r="BJ2250" s="4" t="s">
        <v>9015</v>
      </c>
      <c r="BK2250" s="4" t="s">
        <v>100</v>
      </c>
      <c r="BL2250" s="4" t="s">
        <v>9015</v>
      </c>
      <c r="BM2250" s="4" t="s">
        <v>37926</v>
      </c>
      <c r="BN2250" s="4" t="n">
        <v>30594268</v>
      </c>
      <c r="BO2250" s="4" t="s">
        <v>538</v>
      </c>
      <c r="BP2250" s="4"/>
      <c r="BQ2250" s="4"/>
      <c r="BR2250" s="4" t="s">
        <v>104</v>
      </c>
      <c r="BS2250" s="4" t="s">
        <v>37927</v>
      </c>
      <c r="BT2250" s="4" t="str">
        <f aca="false">HYPERLINK("https%3A%2F%2Fwww.webofscience.com%2Fwos%2Fwoscc%2Ffull-record%2FWOS:000460416400038","View Full Record in Web of Science")</f>
        <v>View Full Record in Web of Science</v>
      </c>
    </row>
    <row r="2251" s="5" customFormat="true" ht="12.75" hidden="false" customHeight="false" outlineLevel="0" collapsed="false">
      <c r="A2251" s="4" t="s">
        <v>72</v>
      </c>
      <c r="B2251" s="4" t="s">
        <v>37928</v>
      </c>
      <c r="C2251" s="4"/>
      <c r="D2251" s="4"/>
      <c r="E2251" s="4"/>
      <c r="F2251" s="4" t="s">
        <v>37928</v>
      </c>
      <c r="G2251" s="4"/>
      <c r="H2251" s="4"/>
      <c r="I2251" s="4" t="s">
        <v>37929</v>
      </c>
      <c r="J2251" s="4" t="s">
        <v>2222</v>
      </c>
      <c r="K2251" s="4"/>
      <c r="L2251" s="4"/>
      <c r="M2251" s="4" t="s">
        <v>77</v>
      </c>
      <c r="N2251" s="4" t="s">
        <v>78</v>
      </c>
      <c r="O2251" s="4"/>
      <c r="P2251" s="4"/>
      <c r="Q2251" s="4"/>
      <c r="R2251" s="4"/>
      <c r="S2251" s="4"/>
      <c r="T2251" s="1" t="s">
        <v>37930</v>
      </c>
      <c r="U2251" s="4" t="s">
        <v>37931</v>
      </c>
      <c r="V2251" s="4" t="s">
        <v>37932</v>
      </c>
      <c r="W2251" s="4" t="s">
        <v>37933</v>
      </c>
      <c r="X2251" s="4" t="s">
        <v>29146</v>
      </c>
      <c r="Y2251" s="4" t="s">
        <v>37934</v>
      </c>
      <c r="Z2251" s="4" t="s">
        <v>12355</v>
      </c>
      <c r="AA2251" s="4"/>
      <c r="AB2251" s="4" t="s">
        <v>2414</v>
      </c>
      <c r="AC2251" s="4"/>
      <c r="AD2251" s="4"/>
      <c r="AE2251" s="4"/>
      <c r="AF2251" s="4"/>
      <c r="AG2251" s="4" t="n">
        <v>32</v>
      </c>
      <c r="AH2251" s="4" t="n">
        <v>113</v>
      </c>
      <c r="AI2251" s="4" t="n">
        <v>134</v>
      </c>
      <c r="AJ2251" s="4" t="n">
        <v>1</v>
      </c>
      <c r="AK2251" s="4" t="n">
        <v>9</v>
      </c>
      <c r="AL2251" s="4" t="s">
        <v>755</v>
      </c>
      <c r="AM2251" s="4" t="s">
        <v>273</v>
      </c>
      <c r="AN2251" s="4" t="s">
        <v>756</v>
      </c>
      <c r="AO2251" s="4" t="s">
        <v>2234</v>
      </c>
      <c r="AP2251" s="4" t="s">
        <v>2235</v>
      </c>
      <c r="AQ2251" s="4"/>
      <c r="AR2251" s="4" t="s">
        <v>2236</v>
      </c>
      <c r="AS2251" s="4" t="s">
        <v>2237</v>
      </c>
      <c r="AT2251" s="4" t="s">
        <v>161</v>
      </c>
      <c r="AU2251" s="4" t="n">
        <v>2004</v>
      </c>
      <c r="AV2251" s="4" t="n">
        <v>42</v>
      </c>
      <c r="AW2251" s="4" t="n">
        <v>1</v>
      </c>
      <c r="AX2251" s="4"/>
      <c r="AY2251" s="4"/>
      <c r="AZ2251" s="4"/>
      <c r="BA2251" s="4"/>
      <c r="BB2251" s="4" t="n">
        <v>45</v>
      </c>
      <c r="BC2251" s="4" t="n">
        <v>51</v>
      </c>
      <c r="BD2251" s="4"/>
      <c r="BE2251" s="4" t="s">
        <v>37935</v>
      </c>
      <c r="BF2251" s="4" t="str">
        <f aca="false">HYPERLINK("http://dx.doi.org/10.1128/JCM.42.1.45-51.2004","http://dx.doi.org/10.1128/JCM.42.1.45-51.2004")</f>
        <v>http://dx.doi.org/10.1128/JCM.42.1.45-51.2004</v>
      </c>
      <c r="BG2251" s="4"/>
      <c r="BH2251" s="4"/>
      <c r="BI2251" s="4" t="n">
        <v>7</v>
      </c>
      <c r="BJ2251" s="4" t="s">
        <v>211</v>
      </c>
      <c r="BK2251" s="4" t="s">
        <v>100</v>
      </c>
      <c r="BL2251" s="4" t="s">
        <v>211</v>
      </c>
      <c r="BM2251" s="4" t="s">
        <v>29802</v>
      </c>
      <c r="BN2251" s="4" t="n">
        <v>14715730</v>
      </c>
      <c r="BO2251" s="4" t="s">
        <v>3775</v>
      </c>
      <c r="BP2251" s="4"/>
      <c r="BQ2251" s="4"/>
      <c r="BR2251" s="4" t="s">
        <v>104</v>
      </c>
      <c r="BS2251" s="4" t="s">
        <v>37936</v>
      </c>
      <c r="BT2251" s="4" t="str">
        <f aca="false">HYPERLINK("https%3A%2F%2Fwww.webofscience.com%2Fwos%2Fwoscc%2Ffull-record%2FWOS:000188121800008","View Full Record in Web of Science")</f>
        <v>View Full Record in Web of Science</v>
      </c>
    </row>
    <row r="2252" s="5" customFormat="true" ht="12.75" hidden="false" customHeight="false" outlineLevel="0" collapsed="false">
      <c r="A2252" s="4" t="s">
        <v>72</v>
      </c>
      <c r="B2252" s="4" t="s">
        <v>37937</v>
      </c>
      <c r="C2252" s="4"/>
      <c r="D2252" s="4"/>
      <c r="E2252" s="4"/>
      <c r="F2252" s="4" t="s">
        <v>37938</v>
      </c>
      <c r="G2252" s="4"/>
      <c r="H2252" s="4"/>
      <c r="I2252" s="4" t="s">
        <v>37939</v>
      </c>
      <c r="J2252" s="4" t="s">
        <v>514</v>
      </c>
      <c r="K2252" s="4"/>
      <c r="L2252" s="4"/>
      <c r="M2252" s="4" t="s">
        <v>77</v>
      </c>
      <c r="N2252" s="4" t="s">
        <v>78</v>
      </c>
      <c r="O2252" s="4"/>
      <c r="P2252" s="4"/>
      <c r="Q2252" s="4"/>
      <c r="R2252" s="4"/>
      <c r="S2252" s="4"/>
      <c r="T2252" s="1" t="s">
        <v>37940</v>
      </c>
      <c r="U2252" s="4" t="s">
        <v>37941</v>
      </c>
      <c r="V2252" s="4" t="s">
        <v>37942</v>
      </c>
      <c r="W2252" s="4" t="s">
        <v>37943</v>
      </c>
      <c r="X2252" s="4" t="s">
        <v>37944</v>
      </c>
      <c r="Y2252" s="4" t="s">
        <v>37945</v>
      </c>
      <c r="Z2252" s="4" t="s">
        <v>37946</v>
      </c>
      <c r="AA2252" s="4" t="s">
        <v>37947</v>
      </c>
      <c r="AB2252" s="4" t="s">
        <v>37948</v>
      </c>
      <c r="AC2252" s="4" t="s">
        <v>37949</v>
      </c>
      <c r="AD2252" s="4" t="s">
        <v>37950</v>
      </c>
      <c r="AE2252" s="4" t="s">
        <v>37951</v>
      </c>
      <c r="AF2252" s="4"/>
      <c r="AG2252" s="4" t="n">
        <v>32</v>
      </c>
      <c r="AH2252" s="4" t="n">
        <v>187</v>
      </c>
      <c r="AI2252" s="4" t="n">
        <v>203</v>
      </c>
      <c r="AJ2252" s="4" t="n">
        <v>0</v>
      </c>
      <c r="AK2252" s="4" t="n">
        <v>3</v>
      </c>
      <c r="AL2252" s="4" t="s">
        <v>527</v>
      </c>
      <c r="AM2252" s="4" t="s">
        <v>528</v>
      </c>
      <c r="AN2252" s="4" t="s">
        <v>529</v>
      </c>
      <c r="AO2252" s="4" t="s">
        <v>530</v>
      </c>
      <c r="AP2252" s="4" t="s">
        <v>531</v>
      </c>
      <c r="AQ2252" s="4"/>
      <c r="AR2252" s="4" t="s">
        <v>532</v>
      </c>
      <c r="AS2252" s="4" t="s">
        <v>533</v>
      </c>
      <c r="AT2252" s="4" t="s">
        <v>1855</v>
      </c>
      <c r="AU2252" s="4" t="n">
        <v>2011</v>
      </c>
      <c r="AV2252" s="4" t="n">
        <v>204</v>
      </c>
      <c r="AW2252" s="4" t="n">
        <v>11</v>
      </c>
      <c r="AX2252" s="4"/>
      <c r="AY2252" s="4"/>
      <c r="AZ2252" s="4"/>
      <c r="BA2252" s="4"/>
      <c r="BB2252" s="4" t="n">
        <v>1702</v>
      </c>
      <c r="BC2252" s="4" t="n">
        <v>1710</v>
      </c>
      <c r="BD2252" s="4"/>
      <c r="BE2252" s="4" t="s">
        <v>37952</v>
      </c>
      <c r="BF2252" s="4" t="str">
        <f aca="false">HYPERLINK("http://dx.doi.org/10.1093/infdis/jir634","http://dx.doi.org/10.1093/infdis/jir634")</f>
        <v>http://dx.doi.org/10.1093/infdis/jir634</v>
      </c>
      <c r="BG2252" s="4"/>
      <c r="BH2252" s="4"/>
      <c r="BI2252" s="4" t="n">
        <v>9</v>
      </c>
      <c r="BJ2252" s="4" t="s">
        <v>536</v>
      </c>
      <c r="BK2252" s="4" t="s">
        <v>100</v>
      </c>
      <c r="BL2252" s="4" t="s">
        <v>536</v>
      </c>
      <c r="BM2252" s="4" t="s">
        <v>37953</v>
      </c>
      <c r="BN2252" s="4" t="n">
        <v>22013207</v>
      </c>
      <c r="BO2252" s="4" t="s">
        <v>656</v>
      </c>
      <c r="BP2252" s="4"/>
      <c r="BQ2252" s="4"/>
      <c r="BR2252" s="4" t="s">
        <v>104</v>
      </c>
      <c r="BS2252" s="4" t="s">
        <v>37954</v>
      </c>
      <c r="BT2252" s="4" t="str">
        <f aca="false">HYPERLINK("https%3A%2F%2Fwww.webofscience.com%2Fwos%2Fwoscc%2Ffull-record%2FWOS:000296297900009","View Full Record in Web of Science")</f>
        <v>View Full Record in Web of Science</v>
      </c>
    </row>
    <row r="2253" s="5" customFormat="true" ht="12.75" hidden="false" customHeight="false" outlineLevel="0" collapsed="false">
      <c r="A2253" s="4" t="s">
        <v>72</v>
      </c>
      <c r="B2253" s="4" t="s">
        <v>37955</v>
      </c>
      <c r="C2253" s="4"/>
      <c r="D2253" s="4"/>
      <c r="E2253" s="4"/>
      <c r="F2253" s="4" t="s">
        <v>37956</v>
      </c>
      <c r="G2253" s="4"/>
      <c r="H2253" s="4"/>
      <c r="I2253" s="4" t="s">
        <v>37957</v>
      </c>
      <c r="J2253" s="4" t="s">
        <v>1174</v>
      </c>
      <c r="K2253" s="4"/>
      <c r="L2253" s="4"/>
      <c r="M2253" s="4" t="s">
        <v>77</v>
      </c>
      <c r="N2253" s="4" t="s">
        <v>78</v>
      </c>
      <c r="O2253" s="4"/>
      <c r="P2253" s="4"/>
      <c r="Q2253" s="4"/>
      <c r="R2253" s="4"/>
      <c r="S2253" s="4"/>
      <c r="T2253" s="1" t="s">
        <v>37958</v>
      </c>
      <c r="U2253" s="4" t="s">
        <v>37959</v>
      </c>
      <c r="V2253" s="4" t="s">
        <v>37960</v>
      </c>
      <c r="W2253" s="4" t="s">
        <v>37961</v>
      </c>
      <c r="X2253" s="4" t="s">
        <v>15764</v>
      </c>
      <c r="Y2253" s="4" t="s">
        <v>37962</v>
      </c>
      <c r="Z2253" s="4" t="s">
        <v>33315</v>
      </c>
      <c r="AA2253" s="4" t="s">
        <v>28114</v>
      </c>
      <c r="AB2253" s="4" t="s">
        <v>15768</v>
      </c>
      <c r="AC2253" s="4" t="s">
        <v>37963</v>
      </c>
      <c r="AD2253" s="4" t="s">
        <v>37964</v>
      </c>
      <c r="AE2253" s="4" t="s">
        <v>37965</v>
      </c>
      <c r="AF2253" s="4"/>
      <c r="AG2253" s="4" t="n">
        <v>35</v>
      </c>
      <c r="AH2253" s="4" t="n">
        <v>33</v>
      </c>
      <c r="AI2253" s="4" t="n">
        <v>36</v>
      </c>
      <c r="AJ2253" s="4" t="n">
        <v>0</v>
      </c>
      <c r="AK2253" s="4" t="n">
        <v>2</v>
      </c>
      <c r="AL2253" s="4" t="s">
        <v>37966</v>
      </c>
      <c r="AM2253" s="4" t="s">
        <v>303</v>
      </c>
      <c r="AN2253" s="4" t="s">
        <v>1187</v>
      </c>
      <c r="AO2253" s="4" t="s">
        <v>1188</v>
      </c>
      <c r="AP2253" s="4"/>
      <c r="AQ2253" s="4"/>
      <c r="AR2253" s="4" t="s">
        <v>1174</v>
      </c>
      <c r="AS2253" s="4" t="s">
        <v>1190</v>
      </c>
      <c r="AT2253" s="4" t="s">
        <v>599</v>
      </c>
      <c r="AU2253" s="4" t="n">
        <v>2010</v>
      </c>
      <c r="AV2253" s="4" t="n">
        <v>65</v>
      </c>
      <c r="AW2253" s="4" t="n">
        <v>7</v>
      </c>
      <c r="AX2253" s="4"/>
      <c r="AY2253" s="4"/>
      <c r="AZ2253" s="4"/>
      <c r="BA2253" s="4"/>
      <c r="BB2253" s="4" t="n">
        <v>639</v>
      </c>
      <c r="BC2253" s="4" t="n">
        <v>644</v>
      </c>
      <c r="BD2253" s="4"/>
      <c r="BE2253" s="4" t="s">
        <v>37967</v>
      </c>
      <c r="BF2253" s="4" t="str">
        <f aca="false">HYPERLINK("http://dx.doi.org/10.1136/thx.2009.132480","http://dx.doi.org/10.1136/thx.2009.132480")</f>
        <v>http://dx.doi.org/10.1136/thx.2009.132480</v>
      </c>
      <c r="BG2253" s="4"/>
      <c r="BH2253" s="4"/>
      <c r="BI2253" s="4" t="n">
        <v>6</v>
      </c>
      <c r="BJ2253" s="4" t="s">
        <v>338</v>
      </c>
      <c r="BK2253" s="4" t="s">
        <v>100</v>
      </c>
      <c r="BL2253" s="4" t="s">
        <v>338</v>
      </c>
      <c r="BM2253" s="4" t="s">
        <v>37968</v>
      </c>
      <c r="BN2253" s="4" t="n">
        <v>20627924</v>
      </c>
      <c r="BO2253" s="4" t="s">
        <v>37969</v>
      </c>
      <c r="BP2253" s="4"/>
      <c r="BQ2253" s="4"/>
      <c r="BR2253" s="4" t="s">
        <v>104</v>
      </c>
      <c r="BS2253" s="4" t="s">
        <v>37970</v>
      </c>
      <c r="BT2253" s="4" t="str">
        <f aca="false">HYPERLINK("https%3A%2F%2Fwww.webofscience.com%2Fwos%2Fwoscc%2Ffull-record%2FWOS:000279806400016","View Full Record in Web of Science")</f>
        <v>View Full Record in Web of Science</v>
      </c>
    </row>
    <row r="2254" s="5" customFormat="true" ht="12.75" hidden="false" customHeight="false" outlineLevel="0" collapsed="false">
      <c r="A2254" s="4" t="s">
        <v>72</v>
      </c>
      <c r="B2254" s="4" t="s">
        <v>37971</v>
      </c>
      <c r="C2254" s="4"/>
      <c r="D2254" s="4"/>
      <c r="E2254" s="4"/>
      <c r="F2254" s="4" t="s">
        <v>37972</v>
      </c>
      <c r="G2254" s="4"/>
      <c r="H2254" s="4"/>
      <c r="I2254" s="4" t="s">
        <v>37973</v>
      </c>
      <c r="J2254" s="4" t="s">
        <v>27497</v>
      </c>
      <c r="K2254" s="4"/>
      <c r="L2254" s="4"/>
      <c r="M2254" s="4" t="s">
        <v>77</v>
      </c>
      <c r="N2254" s="4" t="s">
        <v>78</v>
      </c>
      <c r="O2254" s="4"/>
      <c r="P2254" s="4"/>
      <c r="Q2254" s="4"/>
      <c r="R2254" s="4"/>
      <c r="S2254" s="4"/>
      <c r="T2254" s="1" t="s">
        <v>37974</v>
      </c>
      <c r="U2254" s="4" t="s">
        <v>37975</v>
      </c>
      <c r="V2254" s="4" t="s">
        <v>37976</v>
      </c>
      <c r="W2254" s="4" t="s">
        <v>37977</v>
      </c>
      <c r="X2254" s="4" t="s">
        <v>37978</v>
      </c>
      <c r="Y2254" s="4" t="s">
        <v>37979</v>
      </c>
      <c r="Z2254" s="4" t="s">
        <v>37980</v>
      </c>
      <c r="AA2254" s="4" t="s">
        <v>37981</v>
      </c>
      <c r="AB2254" s="4" t="s">
        <v>37982</v>
      </c>
      <c r="AC2254" s="4" t="s">
        <v>37983</v>
      </c>
      <c r="AD2254" s="4" t="s">
        <v>37983</v>
      </c>
      <c r="AE2254" s="4" t="s">
        <v>37984</v>
      </c>
      <c r="AF2254" s="4"/>
      <c r="AG2254" s="4" t="n">
        <v>22</v>
      </c>
      <c r="AH2254" s="4" t="n">
        <v>29</v>
      </c>
      <c r="AI2254" s="4" t="n">
        <v>30</v>
      </c>
      <c r="AJ2254" s="4" t="n">
        <v>0</v>
      </c>
      <c r="AK2254" s="4" t="n">
        <v>6</v>
      </c>
      <c r="AL2254" s="4" t="s">
        <v>27506</v>
      </c>
      <c r="AM2254" s="4" t="s">
        <v>27507</v>
      </c>
      <c r="AN2254" s="4" t="s">
        <v>27508</v>
      </c>
      <c r="AO2254" s="4" t="s">
        <v>27509</v>
      </c>
      <c r="AP2254" s="4"/>
      <c r="AQ2254" s="4"/>
      <c r="AR2254" s="4" t="s">
        <v>27497</v>
      </c>
      <c r="AS2254" s="4" t="s">
        <v>27510</v>
      </c>
      <c r="AT2254" s="4" t="s">
        <v>37985</v>
      </c>
      <c r="AU2254" s="4" t="n">
        <v>2020</v>
      </c>
      <c r="AV2254" s="4" t="n">
        <v>15</v>
      </c>
      <c r="AW2254" s="4" t="n">
        <v>3</v>
      </c>
      <c r="AX2254" s="4"/>
      <c r="AY2254" s="4"/>
      <c r="AZ2254" s="4"/>
      <c r="BA2254" s="4"/>
      <c r="BB2254" s="4"/>
      <c r="BC2254" s="4"/>
      <c r="BD2254" s="4" t="s">
        <v>37986</v>
      </c>
      <c r="BE2254" s="4" t="s">
        <v>37987</v>
      </c>
      <c r="BF2254" s="4" t="str">
        <f aca="false">HYPERLINK("http://dx.doi.org/10.1371/journal.pone.0230183","http://dx.doi.org/10.1371/journal.pone.0230183")</f>
        <v>http://dx.doi.org/10.1371/journal.pone.0230183</v>
      </c>
      <c r="BG2254" s="4"/>
      <c r="BH2254" s="4"/>
      <c r="BI2254" s="4" t="n">
        <v>12</v>
      </c>
      <c r="BJ2254" s="4" t="s">
        <v>1658</v>
      </c>
      <c r="BK2254" s="4" t="s">
        <v>100</v>
      </c>
      <c r="BL2254" s="4" t="s">
        <v>1659</v>
      </c>
      <c r="BM2254" s="4" t="s">
        <v>37988</v>
      </c>
      <c r="BN2254" s="4" t="n">
        <v>32163484</v>
      </c>
      <c r="BO2254" s="4" t="s">
        <v>103</v>
      </c>
      <c r="BP2254" s="4"/>
      <c r="BQ2254" s="4"/>
      <c r="BR2254" s="4" t="s">
        <v>104</v>
      </c>
      <c r="BS2254" s="4" t="s">
        <v>37989</v>
      </c>
      <c r="BT2254" s="4" t="str">
        <f aca="false">HYPERLINK("https%3A%2F%2Fwww.webofscience.com%2Fwos%2Fwoscc%2Ffull-record%2FWOS:000535288600065","View Full Record in Web of Science")</f>
        <v>View Full Record in Web of Science</v>
      </c>
    </row>
    <row r="2255" s="5" customFormat="true" ht="12.75" hidden="false" customHeight="false" outlineLevel="0" collapsed="false">
      <c r="A2255" s="4" t="s">
        <v>72</v>
      </c>
      <c r="B2255" s="4" t="s">
        <v>37990</v>
      </c>
      <c r="C2255" s="4"/>
      <c r="D2255" s="4"/>
      <c r="E2255" s="4"/>
      <c r="F2255" s="4" t="s">
        <v>37991</v>
      </c>
      <c r="G2255" s="4"/>
      <c r="H2255" s="4"/>
      <c r="I2255" s="4" t="s">
        <v>37992</v>
      </c>
      <c r="J2255" s="4" t="s">
        <v>2222</v>
      </c>
      <c r="K2255" s="4"/>
      <c r="L2255" s="4"/>
      <c r="M2255" s="4" t="s">
        <v>77</v>
      </c>
      <c r="N2255" s="4" t="s">
        <v>78</v>
      </c>
      <c r="O2255" s="4"/>
      <c r="P2255" s="4"/>
      <c r="Q2255" s="4"/>
      <c r="R2255" s="4"/>
      <c r="S2255" s="4"/>
      <c r="T2255" s="1" t="s">
        <v>37993</v>
      </c>
      <c r="U2255" s="4" t="s">
        <v>37994</v>
      </c>
      <c r="V2255" s="4" t="s">
        <v>37995</v>
      </c>
      <c r="W2255" s="4" t="s">
        <v>37996</v>
      </c>
      <c r="X2255" s="4" t="s">
        <v>37997</v>
      </c>
      <c r="Y2255" s="4" t="s">
        <v>37998</v>
      </c>
      <c r="Z2255" s="4" t="s">
        <v>37999</v>
      </c>
      <c r="AA2255" s="4"/>
      <c r="AB2255" s="4"/>
      <c r="AC2255" s="4" t="s">
        <v>38000</v>
      </c>
      <c r="AD2255" s="4" t="s">
        <v>24241</v>
      </c>
      <c r="AE2255" s="4"/>
      <c r="AF2255" s="4"/>
      <c r="AG2255" s="4" t="n">
        <v>25</v>
      </c>
      <c r="AH2255" s="4" t="n">
        <v>63</v>
      </c>
      <c r="AI2255" s="4" t="n">
        <v>63</v>
      </c>
      <c r="AJ2255" s="4" t="n">
        <v>0</v>
      </c>
      <c r="AK2255" s="4" t="n">
        <v>8</v>
      </c>
      <c r="AL2255" s="4" t="s">
        <v>755</v>
      </c>
      <c r="AM2255" s="4" t="s">
        <v>273</v>
      </c>
      <c r="AN2255" s="4" t="s">
        <v>756</v>
      </c>
      <c r="AO2255" s="4" t="s">
        <v>2234</v>
      </c>
      <c r="AP2255" s="4" t="s">
        <v>2235</v>
      </c>
      <c r="AQ2255" s="4"/>
      <c r="AR2255" s="4" t="s">
        <v>2236</v>
      </c>
      <c r="AS2255" s="4" t="s">
        <v>2237</v>
      </c>
      <c r="AT2255" s="4" t="s">
        <v>446</v>
      </c>
      <c r="AU2255" s="4" t="n">
        <v>2016</v>
      </c>
      <c r="AV2255" s="4" t="n">
        <v>54</v>
      </c>
      <c r="AW2255" s="4" t="n">
        <v>12</v>
      </c>
      <c r="AX2255" s="4"/>
      <c r="AY2255" s="4"/>
      <c r="AZ2255" s="4"/>
      <c r="BA2255" s="4"/>
      <c r="BB2255" s="4" t="n">
        <v>2950</v>
      </c>
      <c r="BC2255" s="4" t="n">
        <v>2955</v>
      </c>
      <c r="BD2255" s="4"/>
      <c r="BE2255" s="4" t="s">
        <v>38001</v>
      </c>
      <c r="BF2255" s="4" t="str">
        <f aca="false">HYPERLINK("http://dx.doi.org/10.1128/JCM.01579-16","http://dx.doi.org/10.1128/JCM.01579-16")</f>
        <v>http://dx.doi.org/10.1128/JCM.01579-16</v>
      </c>
      <c r="BG2255" s="4"/>
      <c r="BH2255" s="4"/>
      <c r="BI2255" s="4" t="n">
        <v>6</v>
      </c>
      <c r="BJ2255" s="4" t="s">
        <v>211</v>
      </c>
      <c r="BK2255" s="4" t="s">
        <v>100</v>
      </c>
      <c r="BL2255" s="4" t="s">
        <v>211</v>
      </c>
      <c r="BM2255" s="4" t="s">
        <v>38002</v>
      </c>
      <c r="BN2255" s="4" t="n">
        <v>27654334</v>
      </c>
      <c r="BO2255" s="4" t="s">
        <v>1267</v>
      </c>
      <c r="BP2255" s="4"/>
      <c r="BQ2255" s="4"/>
      <c r="BR2255" s="4" t="s">
        <v>104</v>
      </c>
      <c r="BS2255" s="4" t="s">
        <v>38003</v>
      </c>
      <c r="BT2255" s="4" t="str">
        <f aca="false">HYPERLINK("https%3A%2F%2Fwww.webofscience.com%2Fwos%2Fwoscc%2Ffull-record%2FWOS:000389209600017","View Full Record in Web of Science")</f>
        <v>View Full Record in Web of Science</v>
      </c>
    </row>
    <row r="2256" s="5" customFormat="true" ht="12.75" hidden="false" customHeight="false" outlineLevel="0" collapsed="false">
      <c r="A2256" s="4" t="s">
        <v>72</v>
      </c>
      <c r="B2256" s="4" t="s">
        <v>38004</v>
      </c>
      <c r="C2256" s="4"/>
      <c r="D2256" s="4"/>
      <c r="E2256" s="4"/>
      <c r="F2256" s="4" t="s">
        <v>38005</v>
      </c>
      <c r="G2256" s="4"/>
      <c r="H2256" s="4"/>
      <c r="I2256" s="4" t="s">
        <v>38006</v>
      </c>
      <c r="J2256" s="4" t="s">
        <v>742</v>
      </c>
      <c r="K2256" s="4"/>
      <c r="L2256" s="4"/>
      <c r="M2256" s="4" t="s">
        <v>77</v>
      </c>
      <c r="N2256" s="4" t="s">
        <v>78</v>
      </c>
      <c r="O2256" s="4"/>
      <c r="P2256" s="4"/>
      <c r="Q2256" s="4"/>
      <c r="R2256" s="4"/>
      <c r="S2256" s="4"/>
      <c r="T2256" s="1" t="s">
        <v>38007</v>
      </c>
      <c r="U2256" s="4" t="s">
        <v>38008</v>
      </c>
      <c r="V2256" s="4" t="s">
        <v>38009</v>
      </c>
      <c r="W2256" s="4" t="s">
        <v>38010</v>
      </c>
      <c r="X2256" s="4" t="s">
        <v>38011</v>
      </c>
      <c r="Y2256" s="4" t="s">
        <v>38012</v>
      </c>
      <c r="Z2256" s="4" t="s">
        <v>38013</v>
      </c>
      <c r="AA2256" s="4" t="s">
        <v>38014</v>
      </c>
      <c r="AB2256" s="4"/>
      <c r="AC2256" s="4" t="s">
        <v>13915</v>
      </c>
      <c r="AD2256" s="4" t="s">
        <v>9549</v>
      </c>
      <c r="AE2256" s="4"/>
      <c r="AF2256" s="4"/>
      <c r="AG2256" s="4" t="n">
        <v>48</v>
      </c>
      <c r="AH2256" s="4" t="n">
        <v>20</v>
      </c>
      <c r="AI2256" s="4" t="n">
        <v>21</v>
      </c>
      <c r="AJ2256" s="4" t="n">
        <v>0</v>
      </c>
      <c r="AK2256" s="4" t="n">
        <v>3</v>
      </c>
      <c r="AL2256" s="4" t="s">
        <v>755</v>
      </c>
      <c r="AM2256" s="4" t="s">
        <v>273</v>
      </c>
      <c r="AN2256" s="4" t="s">
        <v>756</v>
      </c>
      <c r="AO2256" s="4" t="s">
        <v>757</v>
      </c>
      <c r="AP2256" s="4"/>
      <c r="AQ2256" s="4"/>
      <c r="AR2256" s="4" t="s">
        <v>759</v>
      </c>
      <c r="AS2256" s="4" t="s">
        <v>760</v>
      </c>
      <c r="AT2256" s="4" t="s">
        <v>129</v>
      </c>
      <c r="AU2256" s="4" t="n">
        <v>2007</v>
      </c>
      <c r="AV2256" s="4" t="n">
        <v>81</v>
      </c>
      <c r="AW2256" s="4" t="n">
        <v>17</v>
      </c>
      <c r="AX2256" s="4"/>
      <c r="AY2256" s="4"/>
      <c r="AZ2256" s="4"/>
      <c r="BA2256" s="4"/>
      <c r="BB2256" s="4" t="n">
        <v>9490</v>
      </c>
      <c r="BC2256" s="4" t="n">
        <v>9501</v>
      </c>
      <c r="BD2256" s="4"/>
      <c r="BE2256" s="4" t="s">
        <v>38015</v>
      </c>
      <c r="BF2256" s="4" t="str">
        <f aca="false">HYPERLINK("http://dx.doi.org/10.1128/JVI.00364-07","http://dx.doi.org/10.1128/JVI.00364-07")</f>
        <v>http://dx.doi.org/10.1128/JVI.00364-07</v>
      </c>
      <c r="BG2256" s="4"/>
      <c r="BH2256" s="4"/>
      <c r="BI2256" s="4" t="n">
        <v>12</v>
      </c>
      <c r="BJ2256" s="4" t="s">
        <v>163</v>
      </c>
      <c r="BK2256" s="4" t="s">
        <v>100</v>
      </c>
      <c r="BL2256" s="4" t="s">
        <v>163</v>
      </c>
      <c r="BM2256" s="4" t="s">
        <v>38016</v>
      </c>
      <c r="BN2256" s="4" t="n">
        <v>17567693</v>
      </c>
      <c r="BO2256" s="4" t="s">
        <v>165</v>
      </c>
      <c r="BP2256" s="4"/>
      <c r="BQ2256" s="4"/>
      <c r="BR2256" s="4" t="s">
        <v>104</v>
      </c>
      <c r="BS2256" s="4" t="s">
        <v>38017</v>
      </c>
      <c r="BT2256" s="4" t="str">
        <f aca="false">HYPERLINK("https%3A%2F%2Fwww.webofscience.com%2Fwos%2Fwoscc%2Ffull-record%2FWOS:000248923700062","View Full Record in Web of Science")</f>
        <v>View Full Record in Web of Science</v>
      </c>
    </row>
    <row r="2257" s="5" customFormat="true" ht="12.75" hidden="false" customHeight="false" outlineLevel="0" collapsed="false">
      <c r="A2257" s="4" t="s">
        <v>72</v>
      </c>
      <c r="B2257" s="4" t="s">
        <v>38018</v>
      </c>
      <c r="C2257" s="4"/>
      <c r="D2257" s="4"/>
      <c r="E2257" s="4"/>
      <c r="F2257" s="4" t="s">
        <v>38019</v>
      </c>
      <c r="G2257" s="4"/>
      <c r="H2257" s="4"/>
      <c r="I2257" s="4" t="s">
        <v>38020</v>
      </c>
      <c r="J2257" s="4" t="s">
        <v>27497</v>
      </c>
      <c r="K2257" s="4"/>
      <c r="L2257" s="4"/>
      <c r="M2257" s="4" t="s">
        <v>77</v>
      </c>
      <c r="N2257" s="4" t="s">
        <v>78</v>
      </c>
      <c r="O2257" s="4"/>
      <c r="P2257" s="4"/>
      <c r="Q2257" s="4"/>
      <c r="R2257" s="4"/>
      <c r="S2257" s="4"/>
      <c r="T2257" s="1" t="s">
        <v>38021</v>
      </c>
      <c r="U2257" s="4" t="s">
        <v>38022</v>
      </c>
      <c r="V2257" s="4" t="s">
        <v>38023</v>
      </c>
      <c r="W2257" s="4" t="s">
        <v>38024</v>
      </c>
      <c r="X2257" s="4" t="s">
        <v>38025</v>
      </c>
      <c r="Y2257" s="4" t="s">
        <v>38026</v>
      </c>
      <c r="Z2257" s="4" t="s">
        <v>38027</v>
      </c>
      <c r="AA2257" s="4" t="s">
        <v>38028</v>
      </c>
      <c r="AB2257" s="4" t="s">
        <v>38029</v>
      </c>
      <c r="AC2257" s="4" t="s">
        <v>38030</v>
      </c>
      <c r="AD2257" s="4" t="s">
        <v>38031</v>
      </c>
      <c r="AE2257" s="4" t="s">
        <v>38032</v>
      </c>
      <c r="AF2257" s="4"/>
      <c r="AG2257" s="4" t="n">
        <v>18</v>
      </c>
      <c r="AH2257" s="4" t="n">
        <v>17</v>
      </c>
      <c r="AI2257" s="4" t="n">
        <v>19</v>
      </c>
      <c r="AJ2257" s="4" t="n">
        <v>0</v>
      </c>
      <c r="AK2257" s="4" t="n">
        <v>3</v>
      </c>
      <c r="AL2257" s="4" t="s">
        <v>27506</v>
      </c>
      <c r="AM2257" s="4" t="s">
        <v>27507</v>
      </c>
      <c r="AN2257" s="4" t="s">
        <v>27508</v>
      </c>
      <c r="AO2257" s="4" t="s">
        <v>27509</v>
      </c>
      <c r="AP2257" s="4"/>
      <c r="AQ2257" s="4"/>
      <c r="AR2257" s="4" t="s">
        <v>27497</v>
      </c>
      <c r="AS2257" s="4" t="s">
        <v>27510</v>
      </c>
      <c r="AT2257" s="4" t="s">
        <v>6635</v>
      </c>
      <c r="AU2257" s="4" t="n">
        <v>2018</v>
      </c>
      <c r="AV2257" s="4" t="n">
        <v>13</v>
      </c>
      <c r="AW2257" s="4" t="n">
        <v>7</v>
      </c>
      <c r="AX2257" s="4"/>
      <c r="AY2257" s="4"/>
      <c r="AZ2257" s="4"/>
      <c r="BA2257" s="4"/>
      <c r="BB2257" s="4"/>
      <c r="BC2257" s="4"/>
      <c r="BD2257" s="4" t="s">
        <v>38033</v>
      </c>
      <c r="BE2257" s="4" t="s">
        <v>38034</v>
      </c>
      <c r="BF2257" s="4" t="str">
        <f aca="false">HYPERLINK("http://dx.doi.org/10.1371/journal.pone.0201497","http://dx.doi.org/10.1371/journal.pone.0201497")</f>
        <v>http://dx.doi.org/10.1371/journal.pone.0201497</v>
      </c>
      <c r="BG2257" s="4"/>
      <c r="BH2257" s="4"/>
      <c r="BI2257" s="4" t="n">
        <v>11</v>
      </c>
      <c r="BJ2257" s="4" t="s">
        <v>1658</v>
      </c>
      <c r="BK2257" s="4" t="s">
        <v>100</v>
      </c>
      <c r="BL2257" s="4" t="s">
        <v>1659</v>
      </c>
      <c r="BM2257" s="4" t="s">
        <v>38035</v>
      </c>
      <c r="BN2257" s="4" t="n">
        <v>30059540</v>
      </c>
      <c r="BO2257" s="4" t="s">
        <v>6349</v>
      </c>
      <c r="BP2257" s="4"/>
      <c r="BQ2257" s="4"/>
      <c r="BR2257" s="4" t="s">
        <v>104</v>
      </c>
      <c r="BS2257" s="4" t="s">
        <v>38036</v>
      </c>
      <c r="BT2257" s="4" t="str">
        <f aca="false">HYPERLINK("https%3A%2F%2Fwww.webofscience.com%2Fwos%2Fwoscc%2Ffull-record%2FWOS:000440251600047","View Full Record in Web of Science")</f>
        <v>View Full Record in Web of Science</v>
      </c>
    </row>
    <row r="2258" s="5" customFormat="true" ht="12.75" hidden="false" customHeight="false" outlineLevel="0" collapsed="false">
      <c r="A2258" s="4" t="s">
        <v>72</v>
      </c>
      <c r="B2258" s="4" t="s">
        <v>38037</v>
      </c>
      <c r="C2258" s="4"/>
      <c r="D2258" s="4"/>
      <c r="E2258" s="4"/>
      <c r="F2258" s="4" t="s">
        <v>38038</v>
      </c>
      <c r="G2258" s="4"/>
      <c r="H2258" s="4"/>
      <c r="I2258" s="4" t="s">
        <v>38039</v>
      </c>
      <c r="J2258" s="4" t="s">
        <v>6395</v>
      </c>
      <c r="K2258" s="4"/>
      <c r="L2258" s="4"/>
      <c r="M2258" s="4" t="s">
        <v>77</v>
      </c>
      <c r="N2258" s="4" t="s">
        <v>78</v>
      </c>
      <c r="O2258" s="4"/>
      <c r="P2258" s="4"/>
      <c r="Q2258" s="4"/>
      <c r="R2258" s="4"/>
      <c r="S2258" s="4"/>
      <c r="T2258" s="1" t="s">
        <v>38040</v>
      </c>
      <c r="U2258" s="4" t="s">
        <v>38041</v>
      </c>
      <c r="V2258" s="4" t="s">
        <v>38042</v>
      </c>
      <c r="W2258" s="4" t="s">
        <v>38043</v>
      </c>
      <c r="X2258" s="4" t="s">
        <v>38044</v>
      </c>
      <c r="Y2258" s="4" t="s">
        <v>38045</v>
      </c>
      <c r="Z2258" s="4" t="s">
        <v>38046</v>
      </c>
      <c r="AA2258" s="4" t="s">
        <v>38047</v>
      </c>
      <c r="AB2258" s="4" t="s">
        <v>38048</v>
      </c>
      <c r="AC2258" s="4" t="s">
        <v>38049</v>
      </c>
      <c r="AD2258" s="4" t="s">
        <v>38050</v>
      </c>
      <c r="AE2258" s="4" t="s">
        <v>38051</v>
      </c>
      <c r="AF2258" s="4"/>
      <c r="AG2258" s="4" t="n">
        <v>37</v>
      </c>
      <c r="AH2258" s="4" t="n">
        <v>7</v>
      </c>
      <c r="AI2258" s="4" t="n">
        <v>7</v>
      </c>
      <c r="AJ2258" s="4" t="n">
        <v>0</v>
      </c>
      <c r="AK2258" s="4" t="n">
        <v>4</v>
      </c>
      <c r="AL2258" s="4" t="s">
        <v>6405</v>
      </c>
      <c r="AM2258" s="4" t="s">
        <v>6406</v>
      </c>
      <c r="AN2258" s="4" t="s">
        <v>6407</v>
      </c>
      <c r="AO2258" s="4" t="s">
        <v>6408</v>
      </c>
      <c r="AP2258" s="4"/>
      <c r="AQ2258" s="4"/>
      <c r="AR2258" s="4" t="s">
        <v>6409</v>
      </c>
      <c r="AS2258" s="4" t="s">
        <v>6410</v>
      </c>
      <c r="AT2258" s="4" t="s">
        <v>38052</v>
      </c>
      <c r="AU2258" s="4" t="n">
        <v>2021</v>
      </c>
      <c r="AV2258" s="4" t="n">
        <v>11</v>
      </c>
      <c r="AW2258" s="4" t="n">
        <v>1</v>
      </c>
      <c r="AX2258" s="4"/>
      <c r="AY2258" s="4"/>
      <c r="AZ2258" s="4"/>
      <c r="BA2258" s="4"/>
      <c r="BB2258" s="4"/>
      <c r="BC2258" s="4"/>
      <c r="BD2258" s="4" t="n">
        <v>20058</v>
      </c>
      <c r="BE2258" s="4" t="s">
        <v>38053</v>
      </c>
      <c r="BF2258" s="4" t="str">
        <f aca="false">HYPERLINK("http://dx.doi.org/10.1038/s41598-021-99608-y","http://dx.doi.org/10.1038/s41598-021-99608-y")</f>
        <v>http://dx.doi.org/10.1038/s41598-021-99608-y</v>
      </c>
      <c r="BG2258" s="4"/>
      <c r="BH2258" s="4"/>
      <c r="BI2258" s="4" t="n">
        <v>9</v>
      </c>
      <c r="BJ2258" s="4" t="s">
        <v>1658</v>
      </c>
      <c r="BK2258" s="4" t="s">
        <v>100</v>
      </c>
      <c r="BL2258" s="4" t="s">
        <v>1659</v>
      </c>
      <c r="BM2258" s="4" t="s">
        <v>38054</v>
      </c>
      <c r="BN2258" s="4" t="n">
        <v>34625621</v>
      </c>
      <c r="BO2258" s="4" t="s">
        <v>190</v>
      </c>
      <c r="BP2258" s="4"/>
      <c r="BQ2258" s="4"/>
      <c r="BR2258" s="4" t="s">
        <v>104</v>
      </c>
      <c r="BS2258" s="4" t="s">
        <v>38055</v>
      </c>
      <c r="BT2258" s="4" t="str">
        <f aca="false">HYPERLINK("https%3A%2F%2Fwww.webofscience.com%2Fwos%2Fwoscc%2Ffull-record%2FWOS:000705243600021","View Full Record in Web of Science")</f>
        <v>View Full Record in Web of Science</v>
      </c>
    </row>
    <row r="2259" s="5" customFormat="true" ht="12.75" hidden="false" customHeight="false" outlineLevel="0" collapsed="false">
      <c r="A2259" s="4" t="s">
        <v>72</v>
      </c>
      <c r="B2259" s="4" t="s">
        <v>38056</v>
      </c>
      <c r="C2259" s="4"/>
      <c r="D2259" s="4"/>
      <c r="E2259" s="4"/>
      <c r="F2259" s="4" t="s">
        <v>38057</v>
      </c>
      <c r="G2259" s="4"/>
      <c r="H2259" s="4"/>
      <c r="I2259" s="4" t="s">
        <v>38058</v>
      </c>
      <c r="J2259" s="4" t="s">
        <v>557</v>
      </c>
      <c r="K2259" s="4"/>
      <c r="L2259" s="4"/>
      <c r="M2259" s="4" t="s">
        <v>77</v>
      </c>
      <c r="N2259" s="4" t="s">
        <v>78</v>
      </c>
      <c r="O2259" s="4"/>
      <c r="P2259" s="4"/>
      <c r="Q2259" s="4"/>
      <c r="R2259" s="4"/>
      <c r="S2259" s="4"/>
      <c r="T2259" s="1" t="s">
        <v>38059</v>
      </c>
      <c r="U2259" s="4" t="s">
        <v>38060</v>
      </c>
      <c r="V2259" s="4" t="s">
        <v>38061</v>
      </c>
      <c r="W2259" s="4" t="s">
        <v>38062</v>
      </c>
      <c r="X2259" s="4" t="s">
        <v>10331</v>
      </c>
      <c r="Y2259" s="4" t="s">
        <v>38063</v>
      </c>
      <c r="Z2259" s="4" t="s">
        <v>38064</v>
      </c>
      <c r="AA2259" s="4" t="s">
        <v>14743</v>
      </c>
      <c r="AB2259" s="4" t="s">
        <v>14744</v>
      </c>
      <c r="AC2259" s="4" t="s">
        <v>38065</v>
      </c>
      <c r="AD2259" s="4" t="s">
        <v>38065</v>
      </c>
      <c r="AE2259" s="4" t="s">
        <v>38066</v>
      </c>
      <c r="AF2259" s="4"/>
      <c r="AG2259" s="4" t="n">
        <v>61</v>
      </c>
      <c r="AH2259" s="4" t="n">
        <v>45</v>
      </c>
      <c r="AI2259" s="4" t="n">
        <v>51</v>
      </c>
      <c r="AJ2259" s="4" t="n">
        <v>0</v>
      </c>
      <c r="AK2259" s="4" t="n">
        <v>6</v>
      </c>
      <c r="AL2259" s="4" t="s">
        <v>302</v>
      </c>
      <c r="AM2259" s="4" t="s">
        <v>303</v>
      </c>
      <c r="AN2259" s="4" t="s">
        <v>304</v>
      </c>
      <c r="AO2259" s="4"/>
      <c r="AP2259" s="4" t="s">
        <v>570</v>
      </c>
      <c r="AQ2259" s="4"/>
      <c r="AR2259" s="4" t="s">
        <v>571</v>
      </c>
      <c r="AS2259" s="4" t="s">
        <v>572</v>
      </c>
      <c r="AT2259" s="4" t="s">
        <v>7754</v>
      </c>
      <c r="AU2259" s="4" t="n">
        <v>2012</v>
      </c>
      <c r="AV2259" s="4" t="n">
        <v>12</v>
      </c>
      <c r="AW2259" s="4"/>
      <c r="AX2259" s="4"/>
      <c r="AY2259" s="4"/>
      <c r="AZ2259" s="4"/>
      <c r="BA2259" s="4"/>
      <c r="BB2259" s="4"/>
      <c r="BC2259" s="4"/>
      <c r="BD2259" s="4" t="n">
        <v>267</v>
      </c>
      <c r="BE2259" s="4" t="s">
        <v>38067</v>
      </c>
      <c r="BF2259" s="4" t="str">
        <f aca="false">HYPERLINK("http://dx.doi.org/10.1186/1471-2334-12-267","http://dx.doi.org/10.1186/1471-2334-12-267")</f>
        <v>http://dx.doi.org/10.1186/1471-2334-12-267</v>
      </c>
      <c r="BG2259" s="4"/>
      <c r="BH2259" s="4"/>
      <c r="BI2259" s="4" t="n">
        <v>11</v>
      </c>
      <c r="BJ2259" s="4" t="s">
        <v>575</v>
      </c>
      <c r="BK2259" s="4" t="s">
        <v>100</v>
      </c>
      <c r="BL2259" s="4" t="s">
        <v>575</v>
      </c>
      <c r="BM2259" s="4" t="s">
        <v>38068</v>
      </c>
      <c r="BN2259" s="4" t="n">
        <v>23092190</v>
      </c>
      <c r="BO2259" s="4" t="s">
        <v>190</v>
      </c>
      <c r="BP2259" s="4"/>
      <c r="BQ2259" s="4"/>
      <c r="BR2259" s="4" t="s">
        <v>104</v>
      </c>
      <c r="BS2259" s="4" t="s">
        <v>38069</v>
      </c>
      <c r="BT2259" s="4" t="str">
        <f aca="false">HYPERLINK("https%3A%2F%2Fwww.webofscience.com%2Fwos%2Fwoscc%2Ffull-record%2FWOS:000312374700001","View Full Record in Web of Science")</f>
        <v>View Full Record in Web of Science</v>
      </c>
    </row>
    <row r="2260" s="5" customFormat="true" ht="12.75" hidden="false" customHeight="false" outlineLevel="0" collapsed="false">
      <c r="A2260" s="4" t="s">
        <v>72</v>
      </c>
      <c r="B2260" s="4" t="s">
        <v>38070</v>
      </c>
      <c r="C2260" s="4"/>
      <c r="D2260" s="4"/>
      <c r="E2260" s="4"/>
      <c r="F2260" s="4" t="s">
        <v>38071</v>
      </c>
      <c r="G2260" s="4"/>
      <c r="H2260" s="4"/>
      <c r="I2260" s="4" t="s">
        <v>38072</v>
      </c>
      <c r="J2260" s="4" t="s">
        <v>2021</v>
      </c>
      <c r="K2260" s="4"/>
      <c r="L2260" s="4"/>
      <c r="M2260" s="4" t="s">
        <v>77</v>
      </c>
      <c r="N2260" s="4" t="s">
        <v>78</v>
      </c>
      <c r="O2260" s="4"/>
      <c r="P2260" s="4"/>
      <c r="Q2260" s="4"/>
      <c r="R2260" s="4"/>
      <c r="S2260" s="4"/>
      <c r="T2260" s="1" t="s">
        <v>38073</v>
      </c>
      <c r="U2260" s="4" t="s">
        <v>38074</v>
      </c>
      <c r="V2260" s="4" t="s">
        <v>38075</v>
      </c>
      <c r="W2260" s="4" t="s">
        <v>38076</v>
      </c>
      <c r="X2260" s="4" t="s">
        <v>38077</v>
      </c>
      <c r="Y2260" s="4" t="s">
        <v>38078</v>
      </c>
      <c r="Z2260" s="4" t="s">
        <v>38079</v>
      </c>
      <c r="AA2260" s="4" t="s">
        <v>38080</v>
      </c>
      <c r="AB2260" s="4" t="s">
        <v>38081</v>
      </c>
      <c r="AC2260" s="4" t="s">
        <v>26907</v>
      </c>
      <c r="AD2260" s="4" t="s">
        <v>25357</v>
      </c>
      <c r="AE2260" s="4" t="s">
        <v>38082</v>
      </c>
      <c r="AF2260" s="4"/>
      <c r="AG2260" s="4" t="n">
        <v>27</v>
      </c>
      <c r="AH2260" s="4" t="n">
        <v>61</v>
      </c>
      <c r="AI2260" s="4" t="n">
        <v>61</v>
      </c>
      <c r="AJ2260" s="4" t="n">
        <v>0</v>
      </c>
      <c r="AK2260" s="4" t="n">
        <v>3</v>
      </c>
      <c r="AL2260" s="4" t="s">
        <v>527</v>
      </c>
      <c r="AM2260" s="4" t="s">
        <v>528</v>
      </c>
      <c r="AN2260" s="4" t="s">
        <v>529</v>
      </c>
      <c r="AO2260" s="4" t="s">
        <v>2033</v>
      </c>
      <c r="AP2260" s="4"/>
      <c r="AQ2260" s="4"/>
      <c r="AR2260" s="4" t="s">
        <v>2035</v>
      </c>
      <c r="AS2260" s="4" t="s">
        <v>2036</v>
      </c>
      <c r="AT2260" s="4" t="s">
        <v>4483</v>
      </c>
      <c r="AU2260" s="4" t="n">
        <v>2010</v>
      </c>
      <c r="AV2260" s="4" t="n">
        <v>51</v>
      </c>
      <c r="AW2260" s="4" t="n">
        <v>2</v>
      </c>
      <c r="AX2260" s="4"/>
      <c r="AY2260" s="4"/>
      <c r="AZ2260" s="4"/>
      <c r="BA2260" s="4"/>
      <c r="BB2260" s="4" t="n">
        <v>163</v>
      </c>
      <c r="BC2260" s="4" t="n">
        <v>170</v>
      </c>
      <c r="BD2260" s="4"/>
      <c r="BE2260" s="4" t="s">
        <v>38083</v>
      </c>
      <c r="BF2260" s="4" t="str">
        <f aca="false">HYPERLINK("http://dx.doi.org/10.1086/653529","http://dx.doi.org/10.1086/653529")</f>
        <v>http://dx.doi.org/10.1086/653529</v>
      </c>
      <c r="BG2260" s="4"/>
      <c r="BH2260" s="4"/>
      <c r="BI2260" s="4" t="n">
        <v>8</v>
      </c>
      <c r="BJ2260" s="4" t="s">
        <v>536</v>
      </c>
      <c r="BK2260" s="4" t="s">
        <v>100</v>
      </c>
      <c r="BL2260" s="4" t="s">
        <v>536</v>
      </c>
      <c r="BM2260" s="4" t="s">
        <v>38084</v>
      </c>
      <c r="BN2260" s="4" t="n">
        <v>20524853</v>
      </c>
      <c r="BO2260" s="4" t="s">
        <v>22124</v>
      </c>
      <c r="BP2260" s="4"/>
      <c r="BQ2260" s="4"/>
      <c r="BR2260" s="4" t="s">
        <v>104</v>
      </c>
      <c r="BS2260" s="4" t="s">
        <v>38085</v>
      </c>
      <c r="BT2260" s="4" t="str">
        <f aca="false">HYPERLINK("https%3A%2F%2Fwww.webofscience.com%2Fwos%2Fwoscc%2Ffull-record%2FWOS:000278929900007","View Full Record in Web of Science")</f>
        <v>View Full Record in Web of Science</v>
      </c>
    </row>
    <row r="2261" s="5" customFormat="true" ht="12.75" hidden="false" customHeight="false" outlineLevel="0" collapsed="false">
      <c r="A2261" s="4" t="s">
        <v>72</v>
      </c>
      <c r="B2261" s="4" t="s">
        <v>38086</v>
      </c>
      <c r="C2261" s="4"/>
      <c r="D2261" s="4"/>
      <c r="E2261" s="4"/>
      <c r="F2261" s="4" t="s">
        <v>38087</v>
      </c>
      <c r="G2261" s="4"/>
      <c r="H2261" s="4"/>
      <c r="I2261" s="4" t="s">
        <v>38088</v>
      </c>
      <c r="J2261" s="4" t="s">
        <v>27497</v>
      </c>
      <c r="K2261" s="4"/>
      <c r="L2261" s="4"/>
      <c r="M2261" s="4" t="s">
        <v>77</v>
      </c>
      <c r="N2261" s="4" t="s">
        <v>78</v>
      </c>
      <c r="O2261" s="4"/>
      <c r="P2261" s="4"/>
      <c r="Q2261" s="4"/>
      <c r="R2261" s="4"/>
      <c r="S2261" s="4"/>
      <c r="T2261" s="1" t="s">
        <v>38089</v>
      </c>
      <c r="U2261" s="4" t="s">
        <v>13939</v>
      </c>
      <c r="V2261" s="4" t="s">
        <v>38090</v>
      </c>
      <c r="W2261" s="4" t="s">
        <v>38091</v>
      </c>
      <c r="X2261" s="4" t="s">
        <v>38092</v>
      </c>
      <c r="Y2261" s="4" t="s">
        <v>38093</v>
      </c>
      <c r="Z2261" s="4" t="s">
        <v>38094</v>
      </c>
      <c r="AA2261" s="4"/>
      <c r="AB2261" s="4" t="s">
        <v>38095</v>
      </c>
      <c r="AC2261" s="4"/>
      <c r="AD2261" s="4"/>
      <c r="AE2261" s="4"/>
      <c r="AF2261" s="4"/>
      <c r="AG2261" s="4" t="n">
        <v>49</v>
      </c>
      <c r="AH2261" s="4" t="n">
        <v>7</v>
      </c>
      <c r="AI2261" s="4" t="n">
        <v>7</v>
      </c>
      <c r="AJ2261" s="4" t="n">
        <v>3</v>
      </c>
      <c r="AK2261" s="4" t="n">
        <v>4</v>
      </c>
      <c r="AL2261" s="4" t="s">
        <v>27506</v>
      </c>
      <c r="AM2261" s="4" t="s">
        <v>27507</v>
      </c>
      <c r="AN2261" s="4" t="s">
        <v>27508</v>
      </c>
      <c r="AO2261" s="4" t="s">
        <v>27509</v>
      </c>
      <c r="AP2261" s="4"/>
      <c r="AQ2261" s="4"/>
      <c r="AR2261" s="4" t="s">
        <v>27497</v>
      </c>
      <c r="AS2261" s="4" t="s">
        <v>27510</v>
      </c>
      <c r="AT2261" s="4" t="s">
        <v>38096</v>
      </c>
      <c r="AU2261" s="4" t="n">
        <v>2023</v>
      </c>
      <c r="AV2261" s="4" t="n">
        <v>18</v>
      </c>
      <c r="AW2261" s="4" t="n">
        <v>6</v>
      </c>
      <c r="AX2261" s="4"/>
      <c r="AY2261" s="4"/>
      <c r="AZ2261" s="4"/>
      <c r="BA2261" s="4"/>
      <c r="BB2261" s="4"/>
      <c r="BC2261" s="4"/>
      <c r="BD2261" s="4" t="s">
        <v>38097</v>
      </c>
      <c r="BE2261" s="4" t="s">
        <v>38098</v>
      </c>
      <c r="BF2261" s="4" t="str">
        <f aca="false">HYPERLINK("http://dx.doi.org/10.1371/journal.pone.0287395","http://dx.doi.org/10.1371/journal.pone.0287395")</f>
        <v>http://dx.doi.org/10.1371/journal.pone.0287395</v>
      </c>
      <c r="BG2261" s="4"/>
      <c r="BH2261" s="4"/>
      <c r="BI2261" s="4" t="n">
        <v>17</v>
      </c>
      <c r="BJ2261" s="4" t="s">
        <v>1658</v>
      </c>
      <c r="BK2261" s="4" t="s">
        <v>100</v>
      </c>
      <c r="BL2261" s="4" t="s">
        <v>1659</v>
      </c>
      <c r="BM2261" s="4" t="s">
        <v>38099</v>
      </c>
      <c r="BN2261" s="4" t="n">
        <v>37327212</v>
      </c>
      <c r="BO2261" s="4" t="s">
        <v>190</v>
      </c>
      <c r="BP2261" s="4"/>
      <c r="BQ2261" s="4"/>
      <c r="BR2261" s="4" t="s">
        <v>104</v>
      </c>
      <c r="BS2261" s="4" t="s">
        <v>38100</v>
      </c>
      <c r="BT2261" s="4" t="str">
        <f aca="false">HYPERLINK("https%3A%2F%2Fwww.webofscience.com%2Fwos%2Fwoscc%2Ffull-record%2FWOS:001029859700028","View Full Record in Web of Science")</f>
        <v>View Full Record in Web of Science</v>
      </c>
    </row>
    <row r="2262" s="5" customFormat="true" ht="12.75" hidden="false" customHeight="false" outlineLevel="0" collapsed="false">
      <c r="A2262" s="4" t="s">
        <v>72</v>
      </c>
      <c r="B2262" s="4" t="s">
        <v>38101</v>
      </c>
      <c r="C2262" s="4"/>
      <c r="D2262" s="4"/>
      <c r="E2262" s="4"/>
      <c r="F2262" s="4" t="s">
        <v>38102</v>
      </c>
      <c r="G2262" s="4"/>
      <c r="H2262" s="4"/>
      <c r="I2262" s="4" t="s">
        <v>38103</v>
      </c>
      <c r="J2262" s="4" t="s">
        <v>27497</v>
      </c>
      <c r="K2262" s="4"/>
      <c r="L2262" s="4"/>
      <c r="M2262" s="4" t="s">
        <v>77</v>
      </c>
      <c r="N2262" s="4" t="s">
        <v>78</v>
      </c>
      <c r="O2262" s="4"/>
      <c r="P2262" s="4"/>
      <c r="Q2262" s="4"/>
      <c r="R2262" s="4"/>
      <c r="S2262" s="4"/>
      <c r="T2262" s="1" t="s">
        <v>38104</v>
      </c>
      <c r="U2262" s="4" t="s">
        <v>38105</v>
      </c>
      <c r="V2262" s="4" t="s">
        <v>38106</v>
      </c>
      <c r="W2262" s="4" t="s">
        <v>38107</v>
      </c>
      <c r="X2262" s="4" t="s">
        <v>4185</v>
      </c>
      <c r="Y2262" s="4" t="s">
        <v>38108</v>
      </c>
      <c r="Z2262" s="4" t="s">
        <v>25136</v>
      </c>
      <c r="AA2262" s="4" t="s">
        <v>38109</v>
      </c>
      <c r="AB2262" s="4" t="s">
        <v>38110</v>
      </c>
      <c r="AC2262" s="4" t="s">
        <v>38111</v>
      </c>
      <c r="AD2262" s="4" t="s">
        <v>38112</v>
      </c>
      <c r="AE2262" s="4" t="s">
        <v>38113</v>
      </c>
      <c r="AF2262" s="4"/>
      <c r="AG2262" s="4" t="n">
        <v>16</v>
      </c>
      <c r="AH2262" s="4" t="n">
        <v>24</v>
      </c>
      <c r="AI2262" s="4" t="n">
        <v>26</v>
      </c>
      <c r="AJ2262" s="4" t="n">
        <v>0</v>
      </c>
      <c r="AK2262" s="4" t="n">
        <v>3</v>
      </c>
      <c r="AL2262" s="4" t="s">
        <v>27506</v>
      </c>
      <c r="AM2262" s="4" t="s">
        <v>27507</v>
      </c>
      <c r="AN2262" s="4" t="s">
        <v>27508</v>
      </c>
      <c r="AO2262" s="4" t="s">
        <v>27509</v>
      </c>
      <c r="AP2262" s="4"/>
      <c r="AQ2262" s="4"/>
      <c r="AR2262" s="4" t="s">
        <v>27497</v>
      </c>
      <c r="AS2262" s="4" t="s">
        <v>27510</v>
      </c>
      <c r="AT2262" s="4" t="s">
        <v>10947</v>
      </c>
      <c r="AU2262" s="4" t="n">
        <v>2021</v>
      </c>
      <c r="AV2262" s="4" t="n">
        <v>16</v>
      </c>
      <c r="AW2262" s="4" t="n">
        <v>6</v>
      </c>
      <c r="AX2262" s="4"/>
      <c r="AY2262" s="4"/>
      <c r="AZ2262" s="4"/>
      <c r="BA2262" s="4"/>
      <c r="BB2262" s="4"/>
      <c r="BC2262" s="4"/>
      <c r="BD2262" s="4" t="s">
        <v>38114</v>
      </c>
      <c r="BE2262" s="4" t="s">
        <v>38115</v>
      </c>
      <c r="BF2262" s="4" t="str">
        <f aca="false">HYPERLINK("http://dx.doi.org/10.1371/journal.pone.0252963","http://dx.doi.org/10.1371/journal.pone.0252963")</f>
        <v>http://dx.doi.org/10.1371/journal.pone.0252963</v>
      </c>
      <c r="BG2262" s="4"/>
      <c r="BH2262" s="4"/>
      <c r="BI2262" s="4" t="n">
        <v>11</v>
      </c>
      <c r="BJ2262" s="4" t="s">
        <v>1658</v>
      </c>
      <c r="BK2262" s="4" t="s">
        <v>100</v>
      </c>
      <c r="BL2262" s="4" t="s">
        <v>1659</v>
      </c>
      <c r="BM2262" s="4" t="s">
        <v>38116</v>
      </c>
      <c r="BN2262" s="4" t="n">
        <v>34125839</v>
      </c>
      <c r="BO2262" s="4" t="s">
        <v>103</v>
      </c>
      <c r="BP2262" s="4"/>
      <c r="BQ2262" s="4"/>
      <c r="BR2262" s="4" t="s">
        <v>104</v>
      </c>
      <c r="BS2262" s="4" t="s">
        <v>38117</v>
      </c>
      <c r="BT2262" s="4" t="str">
        <f aca="false">HYPERLINK("https%3A%2F%2Fwww.webofscience.com%2Fwos%2Fwoscc%2Ffull-record%2FWOS:000664643500019","View Full Record in Web of Science")</f>
        <v>View Full Record in Web of Science</v>
      </c>
    </row>
    <row r="2263" s="5" customFormat="true" ht="12.75" hidden="false" customHeight="false" outlineLevel="0" collapsed="false">
      <c r="A2263" s="4" t="s">
        <v>72</v>
      </c>
      <c r="B2263" s="4" t="s">
        <v>38118</v>
      </c>
      <c r="C2263" s="4"/>
      <c r="D2263" s="4"/>
      <c r="E2263" s="4"/>
      <c r="F2263" s="4" t="s">
        <v>38119</v>
      </c>
      <c r="G2263" s="4"/>
      <c r="H2263" s="4"/>
      <c r="I2263" s="4" t="s">
        <v>38120</v>
      </c>
      <c r="J2263" s="4" t="s">
        <v>24209</v>
      </c>
      <c r="K2263" s="4"/>
      <c r="L2263" s="4"/>
      <c r="M2263" s="4" t="s">
        <v>77</v>
      </c>
      <c r="N2263" s="4" t="s">
        <v>78</v>
      </c>
      <c r="O2263" s="4"/>
      <c r="P2263" s="4"/>
      <c r="Q2263" s="4"/>
      <c r="R2263" s="4"/>
      <c r="S2263" s="4"/>
      <c r="T2263" s="1" t="s">
        <v>38121</v>
      </c>
      <c r="U2263" s="4" t="s">
        <v>38122</v>
      </c>
      <c r="V2263" s="4" t="s">
        <v>38123</v>
      </c>
      <c r="W2263" s="4" t="s">
        <v>38124</v>
      </c>
      <c r="X2263" s="4" t="s">
        <v>38125</v>
      </c>
      <c r="Y2263" s="4" t="s">
        <v>38126</v>
      </c>
      <c r="Z2263" s="4" t="s">
        <v>38127</v>
      </c>
      <c r="AA2263" s="4" t="s">
        <v>38128</v>
      </c>
      <c r="AB2263" s="4"/>
      <c r="AC2263" s="4" t="s">
        <v>38129</v>
      </c>
      <c r="AD2263" s="4" t="s">
        <v>38130</v>
      </c>
      <c r="AE2263" s="4" t="s">
        <v>38131</v>
      </c>
      <c r="AF2263" s="4"/>
      <c r="AG2263" s="4" t="n">
        <v>33</v>
      </c>
      <c r="AH2263" s="4" t="n">
        <v>18</v>
      </c>
      <c r="AI2263" s="4" t="n">
        <v>19</v>
      </c>
      <c r="AJ2263" s="4" t="n">
        <v>0</v>
      </c>
      <c r="AK2263" s="4" t="n">
        <v>6</v>
      </c>
      <c r="AL2263" s="4" t="s">
        <v>122</v>
      </c>
      <c r="AM2263" s="4" t="s">
        <v>123</v>
      </c>
      <c r="AN2263" s="4" t="s">
        <v>124</v>
      </c>
      <c r="AO2263" s="4" t="s">
        <v>24221</v>
      </c>
      <c r="AP2263" s="4" t="s">
        <v>24222</v>
      </c>
      <c r="AQ2263" s="4"/>
      <c r="AR2263" s="4" t="s">
        <v>24209</v>
      </c>
      <c r="AS2263" s="4" t="s">
        <v>24223</v>
      </c>
      <c r="AT2263" s="4" t="s">
        <v>692</v>
      </c>
      <c r="AU2263" s="4" t="n">
        <v>2016</v>
      </c>
      <c r="AV2263" s="4" t="n">
        <v>95</v>
      </c>
      <c r="AW2263" s="4" t="n">
        <v>15</v>
      </c>
      <c r="AX2263" s="4"/>
      <c r="AY2263" s="4"/>
      <c r="AZ2263" s="4"/>
      <c r="BA2263" s="4"/>
      <c r="BB2263" s="4"/>
      <c r="BC2263" s="4"/>
      <c r="BD2263" s="4" t="s">
        <v>38132</v>
      </c>
      <c r="BE2263" s="4" t="s">
        <v>38133</v>
      </c>
      <c r="BF2263" s="4" t="str">
        <f aca="false">HYPERLINK("http://dx.doi.org/10.1097/MD.0000000000003090","http://dx.doi.org/10.1097/MD.0000000000003090")</f>
        <v>http://dx.doi.org/10.1097/MD.0000000000003090</v>
      </c>
      <c r="BG2263" s="4"/>
      <c r="BH2263" s="4"/>
      <c r="BI2263" s="4" t="n">
        <v>8</v>
      </c>
      <c r="BJ2263" s="4" t="s">
        <v>363</v>
      </c>
      <c r="BK2263" s="4" t="s">
        <v>100</v>
      </c>
      <c r="BL2263" s="4" t="s">
        <v>364</v>
      </c>
      <c r="BM2263" s="4" t="s">
        <v>38134</v>
      </c>
      <c r="BN2263" s="4" t="n">
        <v>27082548</v>
      </c>
      <c r="BO2263" s="4" t="s">
        <v>103</v>
      </c>
      <c r="BP2263" s="4"/>
      <c r="BQ2263" s="4"/>
      <c r="BR2263" s="4" t="s">
        <v>104</v>
      </c>
      <c r="BS2263" s="4" t="s">
        <v>38135</v>
      </c>
      <c r="BT2263" s="4" t="str">
        <f aca="false">HYPERLINK("https%3A%2F%2Fwww.webofscience.com%2Fwos%2Fwoscc%2Ffull-record%2FWOS:000376924500011","View Full Record in Web of Science")</f>
        <v>View Full Record in Web of Science</v>
      </c>
    </row>
    <row r="2264" s="5" customFormat="true" ht="12.75" hidden="false" customHeight="false" outlineLevel="0" collapsed="false">
      <c r="A2264" s="4" t="s">
        <v>72</v>
      </c>
      <c r="B2264" s="4" t="s">
        <v>38136</v>
      </c>
      <c r="C2264" s="4"/>
      <c r="D2264" s="4"/>
      <c r="E2264" s="4"/>
      <c r="F2264" s="4" t="s">
        <v>38137</v>
      </c>
      <c r="G2264" s="4"/>
      <c r="H2264" s="4"/>
      <c r="I2264" s="4" t="s">
        <v>38138</v>
      </c>
      <c r="J2264" s="4" t="s">
        <v>4895</v>
      </c>
      <c r="K2264" s="4"/>
      <c r="L2264" s="4"/>
      <c r="M2264" s="4" t="s">
        <v>77</v>
      </c>
      <c r="N2264" s="4" t="s">
        <v>78</v>
      </c>
      <c r="O2264" s="4"/>
      <c r="P2264" s="4"/>
      <c r="Q2264" s="4"/>
      <c r="R2264" s="4"/>
      <c r="S2264" s="4"/>
      <c r="T2264" s="1" t="s">
        <v>38139</v>
      </c>
      <c r="U2264" s="4" t="s">
        <v>38140</v>
      </c>
      <c r="V2264" s="4" t="s">
        <v>38141</v>
      </c>
      <c r="W2264" s="4" t="s">
        <v>38142</v>
      </c>
      <c r="X2264" s="4" t="s">
        <v>38143</v>
      </c>
      <c r="Y2264" s="4" t="s">
        <v>38144</v>
      </c>
      <c r="Z2264" s="4" t="s">
        <v>38145</v>
      </c>
      <c r="AA2264" s="4"/>
      <c r="AB2264" s="4"/>
      <c r="AC2264" s="4" t="s">
        <v>38146</v>
      </c>
      <c r="AD2264" s="4" t="s">
        <v>38146</v>
      </c>
      <c r="AE2264" s="4" t="s">
        <v>38147</v>
      </c>
      <c r="AF2264" s="4"/>
      <c r="AG2264" s="4" t="n">
        <v>29</v>
      </c>
      <c r="AH2264" s="4" t="n">
        <v>7</v>
      </c>
      <c r="AI2264" s="4" t="n">
        <v>8</v>
      </c>
      <c r="AJ2264" s="4" t="n">
        <v>0</v>
      </c>
      <c r="AK2264" s="4" t="n">
        <v>6</v>
      </c>
      <c r="AL2264" s="4" t="s">
        <v>592</v>
      </c>
      <c r="AM2264" s="4" t="s">
        <v>593</v>
      </c>
      <c r="AN2264" s="4" t="s">
        <v>594</v>
      </c>
      <c r="AO2264" s="4" t="s">
        <v>4905</v>
      </c>
      <c r="AP2264" s="4" t="s">
        <v>4906</v>
      </c>
      <c r="AQ2264" s="4"/>
      <c r="AR2264" s="4" t="s">
        <v>4907</v>
      </c>
      <c r="AS2264" s="4" t="s">
        <v>4908</v>
      </c>
      <c r="AT2264" s="4" t="s">
        <v>692</v>
      </c>
      <c r="AU2264" s="4" t="n">
        <v>2018</v>
      </c>
      <c r="AV2264" s="4" t="n">
        <v>37</v>
      </c>
      <c r="AW2264" s="4" t="n">
        <v>4</v>
      </c>
      <c r="AX2264" s="4"/>
      <c r="AY2264" s="4"/>
      <c r="AZ2264" s="4"/>
      <c r="BA2264" s="4"/>
      <c r="BB2264" s="4" t="n">
        <v>665</v>
      </c>
      <c r="BC2264" s="4" t="n">
        <v>672</v>
      </c>
      <c r="BD2264" s="4"/>
      <c r="BE2264" s="4" t="s">
        <v>38148</v>
      </c>
      <c r="BF2264" s="4" t="str">
        <f aca="false">HYPERLINK("http://dx.doi.org/10.1007/s10096-017-3158-6","http://dx.doi.org/10.1007/s10096-017-3158-6")</f>
        <v>http://dx.doi.org/10.1007/s10096-017-3158-6</v>
      </c>
      <c r="BG2264" s="4"/>
      <c r="BH2264" s="4"/>
      <c r="BI2264" s="4" t="n">
        <v>8</v>
      </c>
      <c r="BJ2264" s="4" t="s">
        <v>1467</v>
      </c>
      <c r="BK2264" s="4" t="s">
        <v>100</v>
      </c>
      <c r="BL2264" s="4" t="s">
        <v>1467</v>
      </c>
      <c r="BM2264" s="4" t="s">
        <v>38149</v>
      </c>
      <c r="BN2264" s="4" t="n">
        <v>29302815</v>
      </c>
      <c r="BO2264" s="4" t="s">
        <v>165</v>
      </c>
      <c r="BP2264" s="4"/>
      <c r="BQ2264" s="4"/>
      <c r="BR2264" s="4" t="s">
        <v>104</v>
      </c>
      <c r="BS2264" s="4" t="s">
        <v>38150</v>
      </c>
      <c r="BT2264" s="4" t="str">
        <f aca="false">HYPERLINK("https%3A%2F%2Fwww.webofscience.com%2Fwos%2Fwoscc%2Ffull-record%2FWOS:000428247300009","View Full Record in Web of Science")</f>
        <v>View Full Record in Web of Science</v>
      </c>
    </row>
    <row r="2265" s="5" customFormat="true" ht="12.75" hidden="false" customHeight="false" outlineLevel="0" collapsed="false">
      <c r="A2265" s="4" t="s">
        <v>72</v>
      </c>
      <c r="B2265" s="4" t="s">
        <v>38151</v>
      </c>
      <c r="C2265" s="4"/>
      <c r="D2265" s="4"/>
      <c r="E2265" s="4"/>
      <c r="F2265" s="4" t="s">
        <v>38152</v>
      </c>
      <c r="G2265" s="4"/>
      <c r="H2265" s="4"/>
      <c r="I2265" s="4" t="s">
        <v>38153</v>
      </c>
      <c r="J2265" s="4" t="s">
        <v>514</v>
      </c>
      <c r="K2265" s="4"/>
      <c r="L2265" s="4"/>
      <c r="M2265" s="4" t="s">
        <v>77</v>
      </c>
      <c r="N2265" s="4" t="s">
        <v>78</v>
      </c>
      <c r="O2265" s="4"/>
      <c r="P2265" s="4"/>
      <c r="Q2265" s="4"/>
      <c r="R2265" s="4"/>
      <c r="S2265" s="4"/>
      <c r="T2265" s="1" t="s">
        <v>38154</v>
      </c>
      <c r="U2265" s="4" t="s">
        <v>38155</v>
      </c>
      <c r="V2265" s="4" t="s">
        <v>38156</v>
      </c>
      <c r="W2265" s="4" t="s">
        <v>38157</v>
      </c>
      <c r="X2265" s="4" t="s">
        <v>38158</v>
      </c>
      <c r="Y2265" s="4" t="s">
        <v>38159</v>
      </c>
      <c r="Z2265" s="4" t="s">
        <v>38160</v>
      </c>
      <c r="AA2265" s="4" t="s">
        <v>38161</v>
      </c>
      <c r="AB2265" s="4" t="s">
        <v>20953</v>
      </c>
      <c r="AC2265" s="4" t="s">
        <v>38162</v>
      </c>
      <c r="AD2265" s="4" t="s">
        <v>38163</v>
      </c>
      <c r="AE2265" s="4" t="s">
        <v>38164</v>
      </c>
      <c r="AF2265" s="4"/>
      <c r="AG2265" s="4" t="n">
        <v>50</v>
      </c>
      <c r="AH2265" s="4" t="n">
        <v>63</v>
      </c>
      <c r="AI2265" s="4" t="n">
        <v>65</v>
      </c>
      <c r="AJ2265" s="4" t="n">
        <v>0</v>
      </c>
      <c r="AK2265" s="4" t="n">
        <v>2</v>
      </c>
      <c r="AL2265" s="4" t="s">
        <v>527</v>
      </c>
      <c r="AM2265" s="4" t="s">
        <v>528</v>
      </c>
      <c r="AN2265" s="4" t="s">
        <v>529</v>
      </c>
      <c r="AO2265" s="4" t="s">
        <v>530</v>
      </c>
      <c r="AP2265" s="4" t="s">
        <v>531</v>
      </c>
      <c r="AQ2265" s="4"/>
      <c r="AR2265" s="4" t="s">
        <v>532</v>
      </c>
      <c r="AS2265" s="4" t="s">
        <v>533</v>
      </c>
      <c r="AT2265" s="4" t="s">
        <v>2640</v>
      </c>
      <c r="AU2265" s="4" t="n">
        <v>2010</v>
      </c>
      <c r="AV2265" s="4" t="n">
        <v>201</v>
      </c>
      <c r="AW2265" s="4" t="n">
        <v>9</v>
      </c>
      <c r="AX2265" s="4"/>
      <c r="AY2265" s="4"/>
      <c r="AZ2265" s="4"/>
      <c r="BA2265" s="4"/>
      <c r="BB2265" s="4" t="n">
        <v>1404</v>
      </c>
      <c r="BC2265" s="4" t="n">
        <v>1413</v>
      </c>
      <c r="BD2265" s="4"/>
      <c r="BE2265" s="4" t="s">
        <v>38165</v>
      </c>
      <c r="BF2265" s="4" t="str">
        <f aca="false">HYPERLINK("http://dx.doi.org/10.1086/651662","http://dx.doi.org/10.1086/651662")</f>
        <v>http://dx.doi.org/10.1086/651662</v>
      </c>
      <c r="BG2265" s="4"/>
      <c r="BH2265" s="4"/>
      <c r="BI2265" s="4" t="n">
        <v>10</v>
      </c>
      <c r="BJ2265" s="4" t="s">
        <v>536</v>
      </c>
      <c r="BK2265" s="4" t="s">
        <v>100</v>
      </c>
      <c r="BL2265" s="4" t="s">
        <v>536</v>
      </c>
      <c r="BM2265" s="4" t="s">
        <v>38166</v>
      </c>
      <c r="BN2265" s="4" t="n">
        <v>20350162</v>
      </c>
      <c r="BO2265" s="4" t="s">
        <v>1089</v>
      </c>
      <c r="BP2265" s="4"/>
      <c r="BQ2265" s="4"/>
      <c r="BR2265" s="4" t="s">
        <v>104</v>
      </c>
      <c r="BS2265" s="4" t="s">
        <v>38167</v>
      </c>
      <c r="BT2265" s="4" t="str">
        <f aca="false">HYPERLINK("https%3A%2F%2Fwww.webofscience.com%2Fwos%2Fwoscc%2Ffull-record%2FWOS:000276248400018","View Full Record in Web of Science")</f>
        <v>View Full Record in Web of Science</v>
      </c>
    </row>
    <row r="2266" s="5" customFormat="true" ht="12.75" hidden="false" customHeight="false" outlineLevel="0" collapsed="false">
      <c r="A2266" s="4" t="s">
        <v>72</v>
      </c>
      <c r="B2266" s="4" t="s">
        <v>38168</v>
      </c>
      <c r="C2266" s="4"/>
      <c r="D2266" s="4"/>
      <c r="E2266" s="4"/>
      <c r="F2266" s="4" t="s">
        <v>38169</v>
      </c>
      <c r="G2266" s="4"/>
      <c r="H2266" s="4"/>
      <c r="I2266" s="4" t="s">
        <v>38170</v>
      </c>
      <c r="J2266" s="4" t="s">
        <v>34057</v>
      </c>
      <c r="K2266" s="4"/>
      <c r="L2266" s="4"/>
      <c r="M2266" s="4" t="s">
        <v>77</v>
      </c>
      <c r="N2266" s="4" t="s">
        <v>78</v>
      </c>
      <c r="O2266" s="4"/>
      <c r="P2266" s="4"/>
      <c r="Q2266" s="4"/>
      <c r="R2266" s="4"/>
      <c r="S2266" s="4"/>
      <c r="T2266" s="1" t="s">
        <v>38171</v>
      </c>
      <c r="U2266" s="4"/>
      <c r="V2266" s="4" t="s">
        <v>38172</v>
      </c>
      <c r="W2266" s="4" t="s">
        <v>38173</v>
      </c>
      <c r="X2266" s="4" t="s">
        <v>8537</v>
      </c>
      <c r="Y2266" s="4" t="s">
        <v>38174</v>
      </c>
      <c r="Z2266" s="4" t="s">
        <v>38175</v>
      </c>
      <c r="AA2266" s="4"/>
      <c r="AB2266" s="4" t="s">
        <v>38176</v>
      </c>
      <c r="AC2266" s="4" t="s">
        <v>38177</v>
      </c>
      <c r="AD2266" s="4" t="s">
        <v>38177</v>
      </c>
      <c r="AE2266" s="4" t="s">
        <v>38178</v>
      </c>
      <c r="AF2266" s="4"/>
      <c r="AG2266" s="4" t="n">
        <v>21</v>
      </c>
      <c r="AH2266" s="4" t="n">
        <v>6</v>
      </c>
      <c r="AI2266" s="4" t="n">
        <v>6</v>
      </c>
      <c r="AJ2266" s="4" t="n">
        <v>0</v>
      </c>
      <c r="AK2266" s="4" t="n">
        <v>0</v>
      </c>
      <c r="AL2266" s="4" t="s">
        <v>34063</v>
      </c>
      <c r="AM2266" s="4" t="s">
        <v>34064</v>
      </c>
      <c r="AN2266" s="4" t="s">
        <v>34065</v>
      </c>
      <c r="AO2266" s="4" t="s">
        <v>34066</v>
      </c>
      <c r="AP2266" s="4" t="s">
        <v>34067</v>
      </c>
      <c r="AQ2266" s="4"/>
      <c r="AR2266" s="4" t="s">
        <v>34068</v>
      </c>
      <c r="AS2266" s="4" t="s">
        <v>34069</v>
      </c>
      <c r="AT2266" s="4" t="s">
        <v>21917</v>
      </c>
      <c r="AU2266" s="4" t="n">
        <v>2012</v>
      </c>
      <c r="AV2266" s="4" t="n">
        <v>3</v>
      </c>
      <c r="AW2266" s="4" t="n">
        <v>3</v>
      </c>
      <c r="AX2266" s="4"/>
      <c r="AY2266" s="4"/>
      <c r="AZ2266" s="4"/>
      <c r="BA2266" s="4"/>
      <c r="BB2266" s="4"/>
      <c r="BC2266" s="4"/>
      <c r="BD2266" s="4"/>
      <c r="BE2266" s="4" t="s">
        <v>38179</v>
      </c>
      <c r="BF2266" s="4" t="str">
        <f aca="false">HYPERLINK("http://dx.doi.org/10.5365/wpsar.2012.3.2.011","http://dx.doi.org/10.5365/wpsar.2012.3.2.011")</f>
        <v>http://dx.doi.org/10.5365/wpsar.2012.3.2.011</v>
      </c>
      <c r="BG2266" s="4"/>
      <c r="BH2266" s="4"/>
      <c r="BI2266" s="4" t="n">
        <v>8</v>
      </c>
      <c r="BJ2266" s="4" t="s">
        <v>1353</v>
      </c>
      <c r="BK2266" s="4" t="s">
        <v>339</v>
      </c>
      <c r="BL2266" s="4" t="s">
        <v>1353</v>
      </c>
      <c r="BM2266" s="4" t="s">
        <v>38180</v>
      </c>
      <c r="BN2266" s="4" t="n">
        <v>23908924</v>
      </c>
      <c r="BO2266" s="4" t="s">
        <v>103</v>
      </c>
      <c r="BP2266" s="4"/>
      <c r="BQ2266" s="4"/>
      <c r="BR2266" s="4" t="s">
        <v>104</v>
      </c>
      <c r="BS2266" s="4" t="s">
        <v>38181</v>
      </c>
      <c r="BT2266" s="4" t="str">
        <f aca="false">HYPERLINK("https%3A%2F%2Fwww.webofscience.com%2Fwos%2Fwoscc%2Ffull-record%2FWOS:000214801300012","View Full Record in Web of Science")</f>
        <v>View Full Record in Web of Science</v>
      </c>
    </row>
    <row r="2267" s="5" customFormat="true" ht="12.75" hidden="false" customHeight="false" outlineLevel="0" collapsed="false">
      <c r="A2267" s="4" t="s">
        <v>72</v>
      </c>
      <c r="B2267" s="4" t="s">
        <v>38182</v>
      </c>
      <c r="C2267" s="4"/>
      <c r="D2267" s="4"/>
      <c r="E2267" s="4"/>
      <c r="F2267" s="4" t="s">
        <v>38183</v>
      </c>
      <c r="G2267" s="4"/>
      <c r="H2267" s="4"/>
      <c r="I2267" s="4" t="s">
        <v>38184</v>
      </c>
      <c r="J2267" s="4" t="s">
        <v>27497</v>
      </c>
      <c r="K2267" s="4"/>
      <c r="L2267" s="4"/>
      <c r="M2267" s="4" t="s">
        <v>77</v>
      </c>
      <c r="N2267" s="4" t="s">
        <v>78</v>
      </c>
      <c r="O2267" s="4"/>
      <c r="P2267" s="4"/>
      <c r="Q2267" s="4"/>
      <c r="R2267" s="4"/>
      <c r="S2267" s="4"/>
      <c r="T2267" s="1" t="s">
        <v>38185</v>
      </c>
      <c r="U2267" s="4" t="s">
        <v>38186</v>
      </c>
      <c r="V2267" s="4" t="s">
        <v>38187</v>
      </c>
      <c r="W2267" s="4" t="s">
        <v>38188</v>
      </c>
      <c r="X2267" s="4" t="s">
        <v>38189</v>
      </c>
      <c r="Y2267" s="4" t="s">
        <v>38190</v>
      </c>
      <c r="Z2267" s="4" t="s">
        <v>38191</v>
      </c>
      <c r="AA2267" s="4" t="s">
        <v>38192</v>
      </c>
      <c r="AB2267" s="4" t="s">
        <v>38193</v>
      </c>
      <c r="AC2267" s="4" t="s">
        <v>38194</v>
      </c>
      <c r="AD2267" s="4" t="s">
        <v>38194</v>
      </c>
      <c r="AE2267" s="4" t="s">
        <v>38194</v>
      </c>
      <c r="AF2267" s="4"/>
      <c r="AG2267" s="4" t="n">
        <v>68</v>
      </c>
      <c r="AH2267" s="4" t="n">
        <v>0</v>
      </c>
      <c r="AI2267" s="4" t="n">
        <v>0</v>
      </c>
      <c r="AJ2267" s="4" t="n">
        <v>0</v>
      </c>
      <c r="AK2267" s="4" t="n">
        <v>3</v>
      </c>
      <c r="AL2267" s="4" t="s">
        <v>27506</v>
      </c>
      <c r="AM2267" s="4" t="s">
        <v>27507</v>
      </c>
      <c r="AN2267" s="4" t="s">
        <v>27508</v>
      </c>
      <c r="AO2267" s="4" t="s">
        <v>27509</v>
      </c>
      <c r="AP2267" s="4"/>
      <c r="AQ2267" s="4"/>
      <c r="AR2267" s="4" t="s">
        <v>27497</v>
      </c>
      <c r="AS2267" s="4" t="s">
        <v>27510</v>
      </c>
      <c r="AT2267" s="4" t="s">
        <v>1147</v>
      </c>
      <c r="AU2267" s="4" t="n">
        <v>2023</v>
      </c>
      <c r="AV2267" s="4" t="n">
        <v>18</v>
      </c>
      <c r="AW2267" s="4" t="n">
        <v>10</v>
      </c>
      <c r="AX2267" s="4"/>
      <c r="AY2267" s="4"/>
      <c r="AZ2267" s="4"/>
      <c r="BA2267" s="4"/>
      <c r="BB2267" s="4"/>
      <c r="BC2267" s="4"/>
      <c r="BD2267" s="4" t="s">
        <v>38195</v>
      </c>
      <c r="BE2267" s="4" t="s">
        <v>38196</v>
      </c>
      <c r="BF2267" s="4" t="str">
        <f aca="false">HYPERLINK("http://dx.doi.org/10.1371/journal.pone.0292652","http://dx.doi.org/10.1371/journal.pone.0292652")</f>
        <v>http://dx.doi.org/10.1371/journal.pone.0292652</v>
      </c>
      <c r="BG2267" s="4"/>
      <c r="BH2267" s="4"/>
      <c r="BI2267" s="4" t="n">
        <v>18</v>
      </c>
      <c r="BJ2267" s="4" t="s">
        <v>1658</v>
      </c>
      <c r="BK2267" s="4" t="s">
        <v>100</v>
      </c>
      <c r="BL2267" s="4" t="s">
        <v>1659</v>
      </c>
      <c r="BM2267" s="4" t="s">
        <v>38197</v>
      </c>
      <c r="BN2267" s="4" t="n">
        <v>37816008</v>
      </c>
      <c r="BO2267" s="4" t="s">
        <v>2582</v>
      </c>
      <c r="BP2267" s="4"/>
      <c r="BQ2267" s="4"/>
      <c r="BR2267" s="4" t="s">
        <v>104</v>
      </c>
      <c r="BS2267" s="4" t="s">
        <v>38198</v>
      </c>
      <c r="BT2267" s="4" t="str">
        <f aca="false">HYPERLINK("https%3A%2F%2Fwww.webofscience.com%2Fwos%2Fwoscc%2Ffull-record%2FWOS:001086473900022","View Full Record in Web of Science")</f>
        <v>View Full Record in Web of Science</v>
      </c>
    </row>
    <row r="2268" s="5" customFormat="true" ht="12.75" hidden="false" customHeight="false" outlineLevel="0" collapsed="false">
      <c r="A2268" s="4" t="s">
        <v>72</v>
      </c>
      <c r="B2268" s="4" t="s">
        <v>38199</v>
      </c>
      <c r="C2268" s="4"/>
      <c r="D2268" s="4"/>
      <c r="E2268" s="4"/>
      <c r="F2268" s="4" t="s">
        <v>38200</v>
      </c>
      <c r="G2268" s="4"/>
      <c r="H2268" s="4"/>
      <c r="I2268" s="4" t="s">
        <v>38201</v>
      </c>
      <c r="J2268" s="4" t="s">
        <v>370</v>
      </c>
      <c r="K2268" s="4"/>
      <c r="L2268" s="4"/>
      <c r="M2268" s="4" t="s">
        <v>77</v>
      </c>
      <c r="N2268" s="4" t="s">
        <v>78</v>
      </c>
      <c r="O2268" s="4"/>
      <c r="P2268" s="4"/>
      <c r="Q2268" s="4"/>
      <c r="R2268" s="4"/>
      <c r="S2268" s="4"/>
      <c r="T2268" s="1" t="s">
        <v>38202</v>
      </c>
      <c r="U2268" s="4" t="s">
        <v>38203</v>
      </c>
      <c r="V2268" s="4" t="s">
        <v>38204</v>
      </c>
      <c r="W2268" s="4" t="s">
        <v>38205</v>
      </c>
      <c r="X2268" s="4" t="s">
        <v>38206</v>
      </c>
      <c r="Y2268" s="4" t="s">
        <v>38207</v>
      </c>
      <c r="Z2268" s="4" t="s">
        <v>38208</v>
      </c>
      <c r="AA2268" s="4" t="s">
        <v>38209</v>
      </c>
      <c r="AB2268" s="4" t="s">
        <v>38210</v>
      </c>
      <c r="AC2268" s="4"/>
      <c r="AD2268" s="4"/>
      <c r="AE2268" s="4"/>
      <c r="AF2268" s="4"/>
      <c r="AG2268" s="4" t="n">
        <v>34</v>
      </c>
      <c r="AH2268" s="4" t="n">
        <v>6</v>
      </c>
      <c r="AI2268" s="4" t="n">
        <v>8</v>
      </c>
      <c r="AJ2268" s="4" t="n">
        <v>0</v>
      </c>
      <c r="AK2268" s="4" t="n">
        <v>4</v>
      </c>
      <c r="AL2268" s="4" t="s">
        <v>383</v>
      </c>
      <c r="AM2268" s="4" t="s">
        <v>384</v>
      </c>
      <c r="AN2268" s="4" t="s">
        <v>385</v>
      </c>
      <c r="AO2268" s="4" t="s">
        <v>386</v>
      </c>
      <c r="AP2268" s="4" t="s">
        <v>387</v>
      </c>
      <c r="AQ2268" s="4"/>
      <c r="AR2268" s="4" t="s">
        <v>388</v>
      </c>
      <c r="AS2268" s="4" t="s">
        <v>389</v>
      </c>
      <c r="AT2268" s="4" t="s">
        <v>336</v>
      </c>
      <c r="AU2268" s="4" t="n">
        <v>2022</v>
      </c>
      <c r="AV2268" s="4" t="n">
        <v>155</v>
      </c>
      <c r="AW2268" s="4"/>
      <c r="AX2268" s="4"/>
      <c r="AY2268" s="4"/>
      <c r="AZ2268" s="4"/>
      <c r="BA2268" s="4"/>
      <c r="BB2268" s="4"/>
      <c r="BC2268" s="4"/>
      <c r="BD2268" s="4" t="n">
        <v>105249</v>
      </c>
      <c r="BE2268" s="4" t="s">
        <v>38211</v>
      </c>
      <c r="BF2268" s="4" t="str">
        <f aca="false">HYPERLINK("http://dx.doi.org/10.1016/j.jcv.2022.105249","http://dx.doi.org/10.1016/j.jcv.2022.105249")</f>
        <v>http://dx.doi.org/10.1016/j.jcv.2022.105249</v>
      </c>
      <c r="BG2268" s="4"/>
      <c r="BH2268" s="4" t="s">
        <v>2216</v>
      </c>
      <c r="BI2268" s="4" t="n">
        <v>6</v>
      </c>
      <c r="BJ2268" s="4" t="s">
        <v>163</v>
      </c>
      <c r="BK2268" s="4" t="s">
        <v>100</v>
      </c>
      <c r="BL2268" s="4" t="s">
        <v>163</v>
      </c>
      <c r="BM2268" s="4" t="s">
        <v>38212</v>
      </c>
      <c r="BN2268" s="4" t="n">
        <v>35939878</v>
      </c>
      <c r="BO2268" s="4"/>
      <c r="BP2268" s="4"/>
      <c r="BQ2268" s="4"/>
      <c r="BR2268" s="4" t="s">
        <v>104</v>
      </c>
      <c r="BS2268" s="4" t="s">
        <v>38213</v>
      </c>
      <c r="BT2268" s="4" t="str">
        <f aca="false">HYPERLINK("https%3A%2F%2Fwww.webofscience.com%2Fwos%2Fwoscc%2Ffull-record%2FWOS:000862574800002","View Full Record in Web of Science")</f>
        <v>View Full Record in Web of Science</v>
      </c>
    </row>
    <row r="2269" s="5" customFormat="true" ht="12.75" hidden="false" customHeight="false" outlineLevel="0" collapsed="false">
      <c r="A2269" s="4" t="s">
        <v>72</v>
      </c>
      <c r="B2269" s="4" t="s">
        <v>38214</v>
      </c>
      <c r="C2269" s="4"/>
      <c r="D2269" s="4"/>
      <c r="E2269" s="4"/>
      <c r="F2269" s="4" t="s">
        <v>38215</v>
      </c>
      <c r="G2269" s="4"/>
      <c r="H2269" s="4"/>
      <c r="I2269" s="4" t="s">
        <v>38216</v>
      </c>
      <c r="J2269" s="4" t="s">
        <v>38217</v>
      </c>
      <c r="K2269" s="4"/>
      <c r="L2269" s="4"/>
      <c r="M2269" s="4" t="s">
        <v>77</v>
      </c>
      <c r="N2269" s="4" t="s">
        <v>78</v>
      </c>
      <c r="O2269" s="4"/>
      <c r="P2269" s="4"/>
      <c r="Q2269" s="4"/>
      <c r="R2269" s="4"/>
      <c r="S2269" s="4"/>
      <c r="T2269" s="1" t="s">
        <v>38218</v>
      </c>
      <c r="U2269" s="4" t="s">
        <v>38219</v>
      </c>
      <c r="V2269" s="4" t="s">
        <v>38220</v>
      </c>
      <c r="W2269" s="4" t="s">
        <v>38221</v>
      </c>
      <c r="X2269" s="4" t="s">
        <v>38222</v>
      </c>
      <c r="Y2269" s="4" t="s">
        <v>38223</v>
      </c>
      <c r="Z2269" s="4" t="s">
        <v>38224</v>
      </c>
      <c r="AA2269" s="4" t="s">
        <v>38225</v>
      </c>
      <c r="AB2269" s="4" t="s">
        <v>38226</v>
      </c>
      <c r="AC2269" s="4" t="s">
        <v>38227</v>
      </c>
      <c r="AD2269" s="4" t="s">
        <v>38227</v>
      </c>
      <c r="AE2269" s="4" t="s">
        <v>38228</v>
      </c>
      <c r="AF2269" s="4"/>
      <c r="AG2269" s="4" t="n">
        <v>39</v>
      </c>
      <c r="AH2269" s="4" t="n">
        <v>42</v>
      </c>
      <c r="AI2269" s="4" t="n">
        <v>48</v>
      </c>
      <c r="AJ2269" s="4" t="n">
        <v>0</v>
      </c>
      <c r="AK2269" s="4" t="n">
        <v>13</v>
      </c>
      <c r="AL2269" s="4" t="s">
        <v>1186</v>
      </c>
      <c r="AM2269" s="4" t="s">
        <v>303</v>
      </c>
      <c r="AN2269" s="4" t="s">
        <v>1187</v>
      </c>
      <c r="AO2269" s="4" t="s">
        <v>38229</v>
      </c>
      <c r="AP2269" s="4" t="s">
        <v>38230</v>
      </c>
      <c r="AQ2269" s="4"/>
      <c r="AR2269" s="4" t="s">
        <v>38231</v>
      </c>
      <c r="AS2269" s="4" t="s">
        <v>38232</v>
      </c>
      <c r="AT2269" s="4" t="s">
        <v>129</v>
      </c>
      <c r="AU2269" s="4" t="n">
        <v>2019</v>
      </c>
      <c r="AV2269" s="4" t="n">
        <v>53</v>
      </c>
      <c r="AW2269" s="4" t="n">
        <v>17</v>
      </c>
      <c r="AX2269" s="4"/>
      <c r="AY2269" s="4"/>
      <c r="AZ2269" s="4"/>
      <c r="BA2269" s="4"/>
      <c r="BB2269" s="4" t="n">
        <v>1093</v>
      </c>
      <c r="BC2269" s="4" t="s">
        <v>986</v>
      </c>
      <c r="BD2269" s="4"/>
      <c r="BE2269" s="4" t="s">
        <v>38233</v>
      </c>
      <c r="BF2269" s="4" t="str">
        <f aca="false">HYPERLINK("http://dx.doi.org/10.1136/bjsports-2018-100487","http://dx.doi.org/10.1136/bjsports-2018-100487")</f>
        <v>http://dx.doi.org/10.1136/bjsports-2018-100487</v>
      </c>
      <c r="BG2269" s="4"/>
      <c r="BH2269" s="4"/>
      <c r="BI2269" s="4" t="n">
        <v>7</v>
      </c>
      <c r="BJ2269" s="4" t="s">
        <v>38234</v>
      </c>
      <c r="BK2269" s="4" t="s">
        <v>100</v>
      </c>
      <c r="BL2269" s="4" t="s">
        <v>38234</v>
      </c>
      <c r="BM2269" s="4" t="s">
        <v>38235</v>
      </c>
      <c r="BN2269" s="4" t="n">
        <v>31142472</v>
      </c>
      <c r="BO2269" s="4" t="s">
        <v>136</v>
      </c>
      <c r="BP2269" s="4"/>
      <c r="BQ2269" s="4"/>
      <c r="BR2269" s="4" t="s">
        <v>104</v>
      </c>
      <c r="BS2269" s="4" t="s">
        <v>38236</v>
      </c>
      <c r="BT2269" s="4" t="str">
        <f aca="false">HYPERLINK("https%3A%2F%2Fwww.webofscience.com%2Fwos%2Fwoscc%2Ffull-record%2FWOS:000493920700007","View Full Record in Web of Science")</f>
        <v>View Full Record in Web of Science</v>
      </c>
    </row>
    <row r="2270" s="5" customFormat="true" ht="12.75" hidden="false" customHeight="false" outlineLevel="0" collapsed="false">
      <c r="A2270" s="4" t="s">
        <v>72</v>
      </c>
      <c r="B2270" s="4" t="s">
        <v>38237</v>
      </c>
      <c r="C2270" s="4"/>
      <c r="D2270" s="4"/>
      <c r="E2270" s="4"/>
      <c r="F2270" s="4" t="s">
        <v>38238</v>
      </c>
      <c r="G2270" s="4"/>
      <c r="H2270" s="4"/>
      <c r="I2270" s="4" t="s">
        <v>38239</v>
      </c>
      <c r="J2270" s="4" t="s">
        <v>3415</v>
      </c>
      <c r="K2270" s="4"/>
      <c r="L2270" s="4"/>
      <c r="M2270" s="4" t="s">
        <v>77</v>
      </c>
      <c r="N2270" s="4" t="s">
        <v>78</v>
      </c>
      <c r="O2270" s="4"/>
      <c r="P2270" s="4"/>
      <c r="Q2270" s="4"/>
      <c r="R2270" s="4"/>
      <c r="S2270" s="4"/>
      <c r="T2270" s="1" t="s">
        <v>38240</v>
      </c>
      <c r="U2270" s="4" t="s">
        <v>38241</v>
      </c>
      <c r="V2270" s="4" t="s">
        <v>38242</v>
      </c>
      <c r="W2270" s="4" t="s">
        <v>38243</v>
      </c>
      <c r="X2270" s="4" t="s">
        <v>38244</v>
      </c>
      <c r="Y2270" s="4" t="s">
        <v>38245</v>
      </c>
      <c r="Z2270" s="4" t="s">
        <v>38246</v>
      </c>
      <c r="AA2270" s="4" t="s">
        <v>38247</v>
      </c>
      <c r="AB2270" s="4" t="s">
        <v>38248</v>
      </c>
      <c r="AC2270" s="4" t="s">
        <v>38249</v>
      </c>
      <c r="AD2270" s="4" t="s">
        <v>38250</v>
      </c>
      <c r="AE2270" s="4" t="s">
        <v>38251</v>
      </c>
      <c r="AF2270" s="4"/>
      <c r="AG2270" s="4" t="n">
        <v>27</v>
      </c>
      <c r="AH2270" s="4" t="n">
        <v>31</v>
      </c>
      <c r="AI2270" s="4" t="n">
        <v>36</v>
      </c>
      <c r="AJ2270" s="4" t="n">
        <v>0</v>
      </c>
      <c r="AK2270" s="4" t="n">
        <v>11</v>
      </c>
      <c r="AL2270" s="4" t="s">
        <v>3426</v>
      </c>
      <c r="AM2270" s="4" t="s">
        <v>303</v>
      </c>
      <c r="AN2270" s="4" t="s">
        <v>3427</v>
      </c>
      <c r="AO2270" s="4" t="s">
        <v>3428</v>
      </c>
      <c r="AP2270" s="4" t="s">
        <v>3429</v>
      </c>
      <c r="AQ2270" s="4"/>
      <c r="AR2270" s="4" t="s">
        <v>3430</v>
      </c>
      <c r="AS2270" s="4" t="s">
        <v>3431</v>
      </c>
      <c r="AT2270" s="4" t="s">
        <v>446</v>
      </c>
      <c r="AU2270" s="4" t="n">
        <v>2013</v>
      </c>
      <c r="AV2270" s="4" t="n">
        <v>62</v>
      </c>
      <c r="AW2270" s="4"/>
      <c r="AX2270" s="4" t="n">
        <v>12</v>
      </c>
      <c r="AY2270" s="4"/>
      <c r="AZ2270" s="4"/>
      <c r="BA2270" s="4"/>
      <c r="BB2270" s="4" t="n">
        <v>1876</v>
      </c>
      <c r="BC2270" s="4" t="n">
        <v>1882</v>
      </c>
      <c r="BD2270" s="4"/>
      <c r="BE2270" s="4" t="s">
        <v>38252</v>
      </c>
      <c r="BF2270" s="4" t="str">
        <f aca="false">HYPERLINK("http://dx.doi.org/10.1099/jmm.0.066191-0","http://dx.doi.org/10.1099/jmm.0.066191-0")</f>
        <v>http://dx.doi.org/10.1099/jmm.0.066191-0</v>
      </c>
      <c r="BG2270" s="4"/>
      <c r="BH2270" s="4"/>
      <c r="BI2270" s="4" t="n">
        <v>7</v>
      </c>
      <c r="BJ2270" s="4" t="s">
        <v>211</v>
      </c>
      <c r="BK2270" s="4" t="s">
        <v>100</v>
      </c>
      <c r="BL2270" s="4" t="s">
        <v>211</v>
      </c>
      <c r="BM2270" s="4" t="s">
        <v>38253</v>
      </c>
      <c r="BN2270" s="4" t="n">
        <v>24008501</v>
      </c>
      <c r="BO2270" s="4"/>
      <c r="BP2270" s="4"/>
      <c r="BQ2270" s="4"/>
      <c r="BR2270" s="4" t="s">
        <v>104</v>
      </c>
      <c r="BS2270" s="4" t="s">
        <v>38254</v>
      </c>
      <c r="BT2270" s="4" t="str">
        <f aca="false">HYPERLINK("https%3A%2F%2Fwww.webofscience.com%2Fwos%2Fwoscc%2Ffull-record%2FWOS:000330917800013","View Full Record in Web of Science")</f>
        <v>View Full Record in Web of Science</v>
      </c>
    </row>
    <row r="2271" s="5" customFormat="true" ht="12.75" hidden="false" customHeight="false" outlineLevel="0" collapsed="false">
      <c r="A2271" s="4" t="s">
        <v>72</v>
      </c>
      <c r="B2271" s="4" t="s">
        <v>38255</v>
      </c>
      <c r="C2271" s="4"/>
      <c r="D2271" s="4"/>
      <c r="E2271" s="4"/>
      <c r="F2271" s="4" t="s">
        <v>38256</v>
      </c>
      <c r="G2271" s="4"/>
      <c r="H2271" s="4"/>
      <c r="I2271" s="4" t="s">
        <v>38257</v>
      </c>
      <c r="J2271" s="4" t="s">
        <v>2021</v>
      </c>
      <c r="K2271" s="4"/>
      <c r="L2271" s="4"/>
      <c r="M2271" s="4" t="s">
        <v>77</v>
      </c>
      <c r="N2271" s="4" t="s">
        <v>78</v>
      </c>
      <c r="O2271" s="4"/>
      <c r="P2271" s="4"/>
      <c r="Q2271" s="4"/>
      <c r="R2271" s="4"/>
      <c r="S2271" s="4"/>
      <c r="T2271" s="1" t="s">
        <v>38258</v>
      </c>
      <c r="U2271" s="4" t="s">
        <v>38259</v>
      </c>
      <c r="V2271" s="4" t="s">
        <v>38260</v>
      </c>
      <c r="W2271" s="4" t="s">
        <v>38261</v>
      </c>
      <c r="X2271" s="4" t="s">
        <v>38262</v>
      </c>
      <c r="Y2271" s="4" t="s">
        <v>38263</v>
      </c>
      <c r="Z2271" s="4" t="s">
        <v>15599</v>
      </c>
      <c r="AA2271" s="4" t="s">
        <v>38264</v>
      </c>
      <c r="AB2271" s="4"/>
      <c r="AC2271" s="4" t="s">
        <v>38265</v>
      </c>
      <c r="AD2271" s="4" t="s">
        <v>38266</v>
      </c>
      <c r="AE2271" s="4" t="s">
        <v>38267</v>
      </c>
      <c r="AF2271" s="4"/>
      <c r="AG2271" s="4" t="n">
        <v>30</v>
      </c>
      <c r="AH2271" s="4" t="n">
        <v>55</v>
      </c>
      <c r="AI2271" s="4" t="n">
        <v>57</v>
      </c>
      <c r="AJ2271" s="4" t="n">
        <v>0</v>
      </c>
      <c r="AK2271" s="4" t="n">
        <v>12</v>
      </c>
      <c r="AL2271" s="4" t="s">
        <v>527</v>
      </c>
      <c r="AM2271" s="4" t="s">
        <v>528</v>
      </c>
      <c r="AN2271" s="4" t="s">
        <v>529</v>
      </c>
      <c r="AO2271" s="4" t="s">
        <v>2033</v>
      </c>
      <c r="AP2271" s="4" t="s">
        <v>2034</v>
      </c>
      <c r="AQ2271" s="4"/>
      <c r="AR2271" s="4" t="s">
        <v>2035</v>
      </c>
      <c r="AS2271" s="4" t="s">
        <v>2036</v>
      </c>
      <c r="AT2271" s="4" t="s">
        <v>6698</v>
      </c>
      <c r="AU2271" s="4" t="n">
        <v>2012</v>
      </c>
      <c r="AV2271" s="4" t="n">
        <v>54</v>
      </c>
      <c r="AW2271" s="4" t="n">
        <v>7</v>
      </c>
      <c r="AX2271" s="4"/>
      <c r="AY2271" s="4"/>
      <c r="AZ2271" s="4"/>
      <c r="BA2271" s="4"/>
      <c r="BB2271" s="4" t="n">
        <v>905</v>
      </c>
      <c r="BC2271" s="4" t="n">
        <v>912</v>
      </c>
      <c r="BD2271" s="4"/>
      <c r="BE2271" s="4" t="s">
        <v>38268</v>
      </c>
      <c r="BF2271" s="4" t="str">
        <f aca="false">HYPERLINK("http://dx.doi.org/10.1093/cid/cir955","http://dx.doi.org/10.1093/cid/cir955")</f>
        <v>http://dx.doi.org/10.1093/cid/cir955</v>
      </c>
      <c r="BG2271" s="4"/>
      <c r="BH2271" s="4"/>
      <c r="BI2271" s="4" t="n">
        <v>8</v>
      </c>
      <c r="BJ2271" s="4" t="s">
        <v>536</v>
      </c>
      <c r="BK2271" s="4" t="s">
        <v>100</v>
      </c>
      <c r="BL2271" s="4" t="s">
        <v>536</v>
      </c>
      <c r="BM2271" s="4" t="s">
        <v>38269</v>
      </c>
      <c r="BN2271" s="4" t="n">
        <v>22238168</v>
      </c>
      <c r="BO2271" s="4" t="s">
        <v>538</v>
      </c>
      <c r="BP2271" s="4"/>
      <c r="BQ2271" s="4"/>
      <c r="BR2271" s="4" t="s">
        <v>104</v>
      </c>
      <c r="BS2271" s="4" t="s">
        <v>38270</v>
      </c>
      <c r="BT2271" s="4" t="str">
        <f aca="false">HYPERLINK("https%3A%2F%2Fwww.webofscience.com%2Fwos%2Fwoscc%2Ffull-record%2FWOS:000301296200010","View Full Record in Web of Science")</f>
        <v>View Full Record in Web of Science</v>
      </c>
    </row>
    <row r="2272" s="5" customFormat="true" ht="12.75" hidden="false" customHeight="false" outlineLevel="0" collapsed="false">
      <c r="A2272" s="4" t="s">
        <v>72</v>
      </c>
      <c r="B2272" s="4" t="s">
        <v>38271</v>
      </c>
      <c r="C2272" s="4"/>
      <c r="D2272" s="4"/>
      <c r="E2272" s="4"/>
      <c r="F2272" s="4" t="s">
        <v>38272</v>
      </c>
      <c r="G2272" s="4"/>
      <c r="H2272" s="4"/>
      <c r="I2272" s="4" t="s">
        <v>38273</v>
      </c>
      <c r="J2272" s="4" t="s">
        <v>38274</v>
      </c>
      <c r="K2272" s="4"/>
      <c r="L2272" s="4"/>
      <c r="M2272" s="4" t="s">
        <v>77</v>
      </c>
      <c r="N2272" s="4" t="s">
        <v>78</v>
      </c>
      <c r="O2272" s="4"/>
      <c r="P2272" s="4"/>
      <c r="Q2272" s="4"/>
      <c r="R2272" s="4"/>
      <c r="S2272" s="4"/>
      <c r="T2272" s="1" t="s">
        <v>38275</v>
      </c>
      <c r="U2272" s="4" t="s">
        <v>38276</v>
      </c>
      <c r="V2272" s="4" t="s">
        <v>38277</v>
      </c>
      <c r="W2272" s="4" t="s">
        <v>38278</v>
      </c>
      <c r="X2272" s="4" t="s">
        <v>38279</v>
      </c>
      <c r="Y2272" s="4" t="s">
        <v>38280</v>
      </c>
      <c r="Z2272" s="4" t="s">
        <v>38281</v>
      </c>
      <c r="AA2272" s="4" t="s">
        <v>5830</v>
      </c>
      <c r="AB2272" s="4" t="s">
        <v>5831</v>
      </c>
      <c r="AC2272" s="4"/>
      <c r="AD2272" s="4"/>
      <c r="AE2272" s="4"/>
      <c r="AF2272" s="4"/>
      <c r="AG2272" s="4" t="n">
        <v>32</v>
      </c>
      <c r="AH2272" s="4" t="n">
        <v>60</v>
      </c>
      <c r="AI2272" s="4" t="n">
        <v>62</v>
      </c>
      <c r="AJ2272" s="4" t="n">
        <v>0</v>
      </c>
      <c r="AK2272" s="4" t="n">
        <v>3</v>
      </c>
      <c r="AL2272" s="4" t="s">
        <v>302</v>
      </c>
      <c r="AM2272" s="4" t="s">
        <v>303</v>
      </c>
      <c r="AN2272" s="4" t="s">
        <v>304</v>
      </c>
      <c r="AO2272" s="4" t="s">
        <v>38282</v>
      </c>
      <c r="AP2272" s="4" t="s">
        <v>38283</v>
      </c>
      <c r="AQ2272" s="4"/>
      <c r="AR2272" s="4" t="s">
        <v>38284</v>
      </c>
      <c r="AS2272" s="4" t="s">
        <v>38285</v>
      </c>
      <c r="AT2272" s="4"/>
      <c r="AU2272" s="4" t="n">
        <v>2006</v>
      </c>
      <c r="AV2272" s="4" t="n">
        <v>10</v>
      </c>
      <c r="AW2272" s="4" t="n">
        <v>2</v>
      </c>
      <c r="AX2272" s="4"/>
      <c r="AY2272" s="4"/>
      <c r="AZ2272" s="4"/>
      <c r="BA2272" s="4"/>
      <c r="BB2272" s="4"/>
      <c r="BC2272" s="4"/>
      <c r="BD2272" s="4" t="s">
        <v>38286</v>
      </c>
      <c r="BE2272" s="4" t="s">
        <v>38287</v>
      </c>
      <c r="BF2272" s="4" t="str">
        <f aca="false">HYPERLINK("http://dx.doi.org/10.1186/cc4895","http://dx.doi.org/10.1186/cc4895")</f>
        <v>http://dx.doi.org/10.1186/cc4895</v>
      </c>
      <c r="BG2272" s="4"/>
      <c r="BH2272" s="4"/>
      <c r="BI2272" s="4" t="n">
        <v>7</v>
      </c>
      <c r="BJ2272" s="4" t="s">
        <v>473</v>
      </c>
      <c r="BK2272" s="4" t="s">
        <v>100</v>
      </c>
      <c r="BL2272" s="4" t="s">
        <v>364</v>
      </c>
      <c r="BM2272" s="4" t="s">
        <v>38288</v>
      </c>
      <c r="BN2272" s="4" t="n">
        <v>16611370</v>
      </c>
      <c r="BO2272" s="4" t="s">
        <v>190</v>
      </c>
      <c r="BP2272" s="4"/>
      <c r="BQ2272" s="4"/>
      <c r="BR2272" s="4" t="s">
        <v>104</v>
      </c>
      <c r="BS2272" s="4" t="s">
        <v>38289</v>
      </c>
      <c r="BT2272" s="4" t="str">
        <f aca="false">HYPERLINK("https%3A%2F%2Fwww.webofscience.com%2Fwos%2Fwoscc%2Ffull-record%2FWOS:000240436400022","View Full Record in Web of Science")</f>
        <v>View Full Record in Web of Science</v>
      </c>
    </row>
    <row r="2273" s="5" customFormat="true" ht="12.75" hidden="false" customHeight="false" outlineLevel="0" collapsed="false">
      <c r="A2273" s="4" t="s">
        <v>72</v>
      </c>
      <c r="B2273" s="4" t="s">
        <v>38290</v>
      </c>
      <c r="C2273" s="4"/>
      <c r="D2273" s="4"/>
      <c r="E2273" s="4"/>
      <c r="F2273" s="4" t="s">
        <v>38291</v>
      </c>
      <c r="G2273" s="4"/>
      <c r="H2273" s="4"/>
      <c r="I2273" s="4" t="s">
        <v>38292</v>
      </c>
      <c r="J2273" s="4" t="s">
        <v>37649</v>
      </c>
      <c r="K2273" s="4"/>
      <c r="L2273" s="4"/>
      <c r="M2273" s="4" t="s">
        <v>77</v>
      </c>
      <c r="N2273" s="4" t="s">
        <v>78</v>
      </c>
      <c r="O2273" s="4"/>
      <c r="P2273" s="4"/>
      <c r="Q2273" s="4"/>
      <c r="R2273" s="4"/>
      <c r="S2273" s="4"/>
      <c r="T2273" s="1" t="s">
        <v>38293</v>
      </c>
      <c r="U2273" s="4" t="s">
        <v>38294</v>
      </c>
      <c r="V2273" s="4" t="s">
        <v>38295</v>
      </c>
      <c r="W2273" s="4" t="s">
        <v>38296</v>
      </c>
      <c r="X2273" s="4" t="s">
        <v>38297</v>
      </c>
      <c r="Y2273" s="4" t="s">
        <v>38298</v>
      </c>
      <c r="Z2273" s="4"/>
      <c r="AA2273" s="4"/>
      <c r="AB2273" s="4" t="s">
        <v>38299</v>
      </c>
      <c r="AC2273" s="4"/>
      <c r="AD2273" s="4"/>
      <c r="AE2273" s="4"/>
      <c r="AF2273" s="4"/>
      <c r="AG2273" s="4" t="n">
        <v>14</v>
      </c>
      <c r="AH2273" s="4" t="n">
        <v>0</v>
      </c>
      <c r="AI2273" s="4" t="n">
        <v>0</v>
      </c>
      <c r="AJ2273" s="4" t="n">
        <v>0</v>
      </c>
      <c r="AK2273" s="4" t="n">
        <v>1</v>
      </c>
      <c r="AL2273" s="4" t="s">
        <v>7639</v>
      </c>
      <c r="AM2273" s="4" t="s">
        <v>783</v>
      </c>
      <c r="AN2273" s="4" t="s">
        <v>7640</v>
      </c>
      <c r="AO2273" s="4" t="s">
        <v>37660</v>
      </c>
      <c r="AP2273" s="4" t="s">
        <v>37661</v>
      </c>
      <c r="AQ2273" s="4"/>
      <c r="AR2273" s="4" t="s">
        <v>37662</v>
      </c>
      <c r="AS2273" s="4" t="s">
        <v>37663</v>
      </c>
      <c r="AT2273" s="4" t="s">
        <v>30157</v>
      </c>
      <c r="AU2273" s="4" t="n">
        <v>2024</v>
      </c>
      <c r="AV2273" s="4" t="n">
        <v>189</v>
      </c>
      <c r="AW2273" s="4" t="s">
        <v>38300</v>
      </c>
      <c r="AX2273" s="4"/>
      <c r="AY2273" s="4"/>
      <c r="AZ2273" s="4"/>
      <c r="BA2273" s="4"/>
      <c r="BB2273" s="4" t="s">
        <v>38301</v>
      </c>
      <c r="BC2273" s="4" t="s">
        <v>38302</v>
      </c>
      <c r="BD2273" s="4"/>
      <c r="BE2273" s="4" t="s">
        <v>38303</v>
      </c>
      <c r="BF2273" s="4" t="str">
        <f aca="false">HYPERLINK("http://dx.doi.org/10.1093/milmed/usae013","http://dx.doi.org/10.1093/milmed/usae013")</f>
        <v>http://dx.doi.org/10.1093/milmed/usae013</v>
      </c>
      <c r="BG2273" s="4"/>
      <c r="BH2273" s="4" t="s">
        <v>5299</v>
      </c>
      <c r="BI2273" s="4" t="n">
        <v>6</v>
      </c>
      <c r="BJ2273" s="4" t="s">
        <v>363</v>
      </c>
      <c r="BK2273" s="4" t="s">
        <v>100</v>
      </c>
      <c r="BL2273" s="4" t="s">
        <v>364</v>
      </c>
      <c r="BM2273" s="4" t="s">
        <v>38304</v>
      </c>
      <c r="BN2273" s="4" t="n">
        <v>38330092</v>
      </c>
      <c r="BO2273" s="4" t="s">
        <v>2278</v>
      </c>
      <c r="BP2273" s="4"/>
      <c r="BQ2273" s="4"/>
      <c r="BR2273" s="4" t="s">
        <v>104</v>
      </c>
      <c r="BS2273" s="4" t="s">
        <v>38305</v>
      </c>
      <c r="BT2273" s="4" t="str">
        <f aca="false">HYPERLINK("https%3A%2F%2Fwww.webofscience.com%2Fwos%2Fwoscc%2Ffull-record%2FWOS:001157785000001","View Full Record in Web of Science")</f>
        <v>View Full Record in Web of Science</v>
      </c>
    </row>
    <row r="2274" s="5" customFormat="true" ht="12.75" hidden="false" customHeight="false" outlineLevel="0" collapsed="false">
      <c r="A2274" s="4" t="s">
        <v>72</v>
      </c>
      <c r="B2274" s="4" t="s">
        <v>38306</v>
      </c>
      <c r="C2274" s="4"/>
      <c r="D2274" s="4"/>
      <c r="E2274" s="4"/>
      <c r="F2274" s="4" t="s">
        <v>38307</v>
      </c>
      <c r="G2274" s="4"/>
      <c r="H2274" s="4" t="s">
        <v>38308</v>
      </c>
      <c r="I2274" s="4" t="s">
        <v>38309</v>
      </c>
      <c r="J2274" s="4" t="s">
        <v>29033</v>
      </c>
      <c r="K2274" s="4"/>
      <c r="L2274" s="4"/>
      <c r="M2274" s="4" t="s">
        <v>77</v>
      </c>
      <c r="N2274" s="4" t="s">
        <v>78</v>
      </c>
      <c r="O2274" s="4"/>
      <c r="P2274" s="4"/>
      <c r="Q2274" s="4"/>
      <c r="R2274" s="4"/>
      <c r="S2274" s="4"/>
      <c r="T2274" s="1" t="s">
        <v>38310</v>
      </c>
      <c r="U2274" s="4" t="s">
        <v>38311</v>
      </c>
      <c r="V2274" s="4" t="s">
        <v>38312</v>
      </c>
      <c r="W2274" s="4" t="s">
        <v>38313</v>
      </c>
      <c r="X2274" s="4" t="s">
        <v>38314</v>
      </c>
      <c r="Y2274" s="4" t="s">
        <v>38315</v>
      </c>
      <c r="Z2274" s="4" t="s">
        <v>38316</v>
      </c>
      <c r="AA2274" s="4" t="s">
        <v>38317</v>
      </c>
      <c r="AB2274" s="4" t="s">
        <v>38318</v>
      </c>
      <c r="AC2274" s="4" t="s">
        <v>7529</v>
      </c>
      <c r="AD2274" s="4" t="s">
        <v>7529</v>
      </c>
      <c r="AE2274" s="4" t="s">
        <v>7530</v>
      </c>
      <c r="AF2274" s="4"/>
      <c r="AG2274" s="4" t="n">
        <v>40</v>
      </c>
      <c r="AH2274" s="4" t="n">
        <v>0</v>
      </c>
      <c r="AI2274" s="4" t="n">
        <v>0</v>
      </c>
      <c r="AJ2274" s="4" t="n">
        <v>0</v>
      </c>
      <c r="AK2274" s="4" t="n">
        <v>4</v>
      </c>
      <c r="AL2274" s="4" t="s">
        <v>29043</v>
      </c>
      <c r="AM2274" s="4" t="s">
        <v>29044</v>
      </c>
      <c r="AN2274" s="4" t="s">
        <v>29045</v>
      </c>
      <c r="AO2274" s="4" t="s">
        <v>29046</v>
      </c>
      <c r="AP2274" s="4" t="s">
        <v>33338</v>
      </c>
      <c r="AQ2274" s="4"/>
      <c r="AR2274" s="4" t="s">
        <v>29047</v>
      </c>
      <c r="AS2274" s="4" t="s">
        <v>29048</v>
      </c>
      <c r="AT2274" s="4" t="s">
        <v>692</v>
      </c>
      <c r="AU2274" s="4" t="n">
        <v>2022</v>
      </c>
      <c r="AV2274" s="4" t="n">
        <v>106</v>
      </c>
      <c r="AW2274" s="4" t="n">
        <v>4</v>
      </c>
      <c r="AX2274" s="4"/>
      <c r="AY2274" s="4"/>
      <c r="AZ2274" s="4"/>
      <c r="BA2274" s="4"/>
      <c r="BB2274" s="4" t="n">
        <v>1086</v>
      </c>
      <c r="BC2274" s="4" t="n">
        <v>1093</v>
      </c>
      <c r="BD2274" s="4"/>
      <c r="BE2274" s="4" t="s">
        <v>38319</v>
      </c>
      <c r="BF2274" s="4" t="str">
        <f aca="false">HYPERLINK("http://dx.doi.org/10.4269/ajtmh.21-0980","http://dx.doi.org/10.4269/ajtmh.21-0980")</f>
        <v>http://dx.doi.org/10.4269/ajtmh.21-0980</v>
      </c>
      <c r="BG2274" s="4"/>
      <c r="BH2274" s="4"/>
      <c r="BI2274" s="4" t="n">
        <v>8</v>
      </c>
      <c r="BJ2274" s="4" t="s">
        <v>9015</v>
      </c>
      <c r="BK2274" s="4" t="s">
        <v>100</v>
      </c>
      <c r="BL2274" s="4" t="s">
        <v>9015</v>
      </c>
      <c r="BM2274" s="4" t="s">
        <v>38320</v>
      </c>
      <c r="BN2274" s="4" t="n">
        <v>35130481</v>
      </c>
      <c r="BO2274" s="4" t="s">
        <v>538</v>
      </c>
      <c r="BP2274" s="4"/>
      <c r="BQ2274" s="4"/>
      <c r="BR2274" s="4" t="s">
        <v>104</v>
      </c>
      <c r="BS2274" s="4" t="s">
        <v>38321</v>
      </c>
      <c r="BT2274" s="4" t="str">
        <f aca="false">HYPERLINK("https%3A%2F%2Fwww.webofscience.com%2Fwos%2Fwoscc%2Ffull-record%2FWOS:000797995100017","View Full Record in Web of Science")</f>
        <v>View Full Record in Web of Science</v>
      </c>
    </row>
    <row r="2275" s="5" customFormat="true" ht="12.75" hidden="false" customHeight="false" outlineLevel="0" collapsed="false">
      <c r="A2275" s="4" t="s">
        <v>72</v>
      </c>
      <c r="B2275" s="4" t="s">
        <v>38322</v>
      </c>
      <c r="C2275" s="4"/>
      <c r="D2275" s="4"/>
      <c r="E2275" s="4"/>
      <c r="F2275" s="4" t="s">
        <v>38323</v>
      </c>
      <c r="G2275" s="4"/>
      <c r="H2275" s="4"/>
      <c r="I2275" s="4" t="s">
        <v>38324</v>
      </c>
      <c r="J2275" s="4" t="s">
        <v>33155</v>
      </c>
      <c r="K2275" s="4"/>
      <c r="L2275" s="4"/>
      <c r="M2275" s="4" t="s">
        <v>77</v>
      </c>
      <c r="N2275" s="4" t="s">
        <v>78</v>
      </c>
      <c r="O2275" s="4"/>
      <c r="P2275" s="4"/>
      <c r="Q2275" s="4"/>
      <c r="R2275" s="4"/>
      <c r="S2275" s="4"/>
      <c r="T2275" s="1" t="s">
        <v>38325</v>
      </c>
      <c r="U2275" s="4" t="s">
        <v>38326</v>
      </c>
      <c r="V2275" s="4" t="s">
        <v>38327</v>
      </c>
      <c r="W2275" s="4" t="s">
        <v>38328</v>
      </c>
      <c r="X2275" s="4" t="s">
        <v>38329</v>
      </c>
      <c r="Y2275" s="4" t="s">
        <v>38330</v>
      </c>
      <c r="Z2275" s="4" t="s">
        <v>38331</v>
      </c>
      <c r="AA2275" s="4"/>
      <c r="AB2275" s="4"/>
      <c r="AC2275" s="4" t="s">
        <v>38332</v>
      </c>
      <c r="AD2275" s="4" t="s">
        <v>38332</v>
      </c>
      <c r="AE2275" s="4" t="s">
        <v>38333</v>
      </c>
      <c r="AF2275" s="4"/>
      <c r="AG2275" s="4" t="n">
        <v>34</v>
      </c>
      <c r="AH2275" s="4" t="n">
        <v>25</v>
      </c>
      <c r="AI2275" s="4" t="n">
        <v>26</v>
      </c>
      <c r="AJ2275" s="4" t="n">
        <v>0</v>
      </c>
      <c r="AK2275" s="4" t="n">
        <v>4</v>
      </c>
      <c r="AL2275" s="4" t="s">
        <v>33623</v>
      </c>
      <c r="AM2275" s="4" t="s">
        <v>33169</v>
      </c>
      <c r="AN2275" s="4" t="s">
        <v>38334</v>
      </c>
      <c r="AO2275" s="4" t="s">
        <v>33171</v>
      </c>
      <c r="AP2275" s="4" t="s">
        <v>33172</v>
      </c>
      <c r="AQ2275" s="4"/>
      <c r="AR2275" s="4" t="s">
        <v>33173</v>
      </c>
      <c r="AS2275" s="4" t="s">
        <v>33174</v>
      </c>
      <c r="AT2275" s="4" t="s">
        <v>446</v>
      </c>
      <c r="AU2275" s="4" t="n">
        <v>2020</v>
      </c>
      <c r="AV2275" s="4" t="n">
        <v>10</v>
      </c>
      <c r="AW2275" s="4" t="n">
        <v>2</v>
      </c>
      <c r="AX2275" s="4"/>
      <c r="AY2275" s="4"/>
      <c r="AZ2275" s="4"/>
      <c r="BA2275" s="4"/>
      <c r="BB2275" s="4"/>
      <c r="BC2275" s="4"/>
      <c r="BD2275" s="4" t="n">
        <v>20422</v>
      </c>
      <c r="BE2275" s="4" t="s">
        <v>38335</v>
      </c>
      <c r="BF2275" s="4" t="str">
        <f aca="false">HYPERLINK("http://dx.doi.org/10.7189/jogh.10.020422","http://dx.doi.org/10.7189/jogh.10.020422")</f>
        <v>http://dx.doi.org/10.7189/jogh.10.020422</v>
      </c>
      <c r="BG2275" s="4"/>
      <c r="BH2275" s="4"/>
      <c r="BI2275" s="4" t="n">
        <v>10</v>
      </c>
      <c r="BJ2275" s="4" t="s">
        <v>1353</v>
      </c>
      <c r="BK2275" s="4" t="s">
        <v>1086</v>
      </c>
      <c r="BL2275" s="4" t="s">
        <v>1353</v>
      </c>
      <c r="BM2275" s="4" t="s">
        <v>38336</v>
      </c>
      <c r="BN2275" s="4" t="n">
        <v>33110581</v>
      </c>
      <c r="BO2275" s="4" t="s">
        <v>165</v>
      </c>
      <c r="BP2275" s="4"/>
      <c r="BQ2275" s="4"/>
      <c r="BR2275" s="4" t="s">
        <v>104</v>
      </c>
      <c r="BS2275" s="4" t="s">
        <v>38337</v>
      </c>
      <c r="BT2275" s="4" t="str">
        <f aca="false">HYPERLINK("https%3A%2F%2Fwww.webofscience.com%2Fwos%2Fwoscc%2Ffull-record%2FWOS:000612476300134","View Full Record in Web of Science")</f>
        <v>View Full Record in Web of Science</v>
      </c>
    </row>
    <row r="2276" s="5" customFormat="true" ht="12.75" hidden="false" customHeight="false" outlineLevel="0" collapsed="false">
      <c r="A2276" s="4" t="s">
        <v>72</v>
      </c>
      <c r="B2276" s="4" t="s">
        <v>38338</v>
      </c>
      <c r="C2276" s="4"/>
      <c r="D2276" s="4"/>
      <c r="E2276" s="4"/>
      <c r="F2276" s="4" t="s">
        <v>38339</v>
      </c>
      <c r="G2276" s="4"/>
      <c r="H2276" s="4"/>
      <c r="I2276" s="4" t="s">
        <v>38340</v>
      </c>
      <c r="J2276" s="4" t="s">
        <v>2222</v>
      </c>
      <c r="K2276" s="4"/>
      <c r="L2276" s="4"/>
      <c r="M2276" s="4" t="s">
        <v>77</v>
      </c>
      <c r="N2276" s="4" t="s">
        <v>78</v>
      </c>
      <c r="O2276" s="4"/>
      <c r="P2276" s="4"/>
      <c r="Q2276" s="4"/>
      <c r="R2276" s="4"/>
      <c r="S2276" s="4"/>
      <c r="T2276" s="1" t="s">
        <v>38341</v>
      </c>
      <c r="U2276" s="4" t="s">
        <v>38342</v>
      </c>
      <c r="V2276" s="4" t="s">
        <v>38343</v>
      </c>
      <c r="W2276" s="4" t="s">
        <v>38344</v>
      </c>
      <c r="X2276" s="4" t="s">
        <v>10277</v>
      </c>
      <c r="Y2276" s="4" t="s">
        <v>38345</v>
      </c>
      <c r="Z2276" s="4" t="s">
        <v>38346</v>
      </c>
      <c r="AA2276" s="4" t="s">
        <v>38347</v>
      </c>
      <c r="AB2276" s="4" t="s">
        <v>10281</v>
      </c>
      <c r="AC2276" s="4" t="s">
        <v>38348</v>
      </c>
      <c r="AD2276" s="4" t="s">
        <v>38349</v>
      </c>
      <c r="AE2276" s="4" t="s">
        <v>38350</v>
      </c>
      <c r="AF2276" s="4"/>
      <c r="AG2276" s="4" t="n">
        <v>49</v>
      </c>
      <c r="AH2276" s="4" t="n">
        <v>20</v>
      </c>
      <c r="AI2276" s="4" t="n">
        <v>24</v>
      </c>
      <c r="AJ2276" s="4" t="n">
        <v>0</v>
      </c>
      <c r="AK2276" s="4" t="n">
        <v>19</v>
      </c>
      <c r="AL2276" s="4" t="s">
        <v>755</v>
      </c>
      <c r="AM2276" s="4" t="s">
        <v>273</v>
      </c>
      <c r="AN2276" s="4" t="s">
        <v>756</v>
      </c>
      <c r="AO2276" s="4" t="s">
        <v>2234</v>
      </c>
      <c r="AP2276" s="4" t="s">
        <v>2235</v>
      </c>
      <c r="AQ2276" s="4"/>
      <c r="AR2276" s="4" t="s">
        <v>2236</v>
      </c>
      <c r="AS2276" s="4" t="s">
        <v>2237</v>
      </c>
      <c r="AT2276" s="4" t="s">
        <v>185</v>
      </c>
      <c r="AU2276" s="4" t="n">
        <v>2015</v>
      </c>
      <c r="AV2276" s="4" t="n">
        <v>53</v>
      </c>
      <c r="AW2276" s="4" t="n">
        <v>8</v>
      </c>
      <c r="AX2276" s="4"/>
      <c r="AY2276" s="4"/>
      <c r="AZ2276" s="4"/>
      <c r="BA2276" s="4"/>
      <c r="BB2276" s="4" t="n">
        <v>2549</v>
      </c>
      <c r="BC2276" s="4" t="n">
        <v>2554</v>
      </c>
      <c r="BD2276" s="4"/>
      <c r="BE2276" s="4" t="s">
        <v>38351</v>
      </c>
      <c r="BF2276" s="4" t="str">
        <f aca="false">HYPERLINK("http://dx.doi.org/10.1128/JCM.00943-15","http://dx.doi.org/10.1128/JCM.00943-15")</f>
        <v>http://dx.doi.org/10.1128/JCM.00943-15</v>
      </c>
      <c r="BG2276" s="4"/>
      <c r="BH2276" s="4"/>
      <c r="BI2276" s="4" t="n">
        <v>6</v>
      </c>
      <c r="BJ2276" s="4" t="s">
        <v>211</v>
      </c>
      <c r="BK2276" s="4" t="s">
        <v>100</v>
      </c>
      <c r="BL2276" s="4" t="s">
        <v>211</v>
      </c>
      <c r="BM2276" s="4" t="s">
        <v>38352</v>
      </c>
      <c r="BN2276" s="4" t="n">
        <v>26019198</v>
      </c>
      <c r="BO2276" s="4" t="s">
        <v>1267</v>
      </c>
      <c r="BP2276" s="4"/>
      <c r="BQ2276" s="4"/>
      <c r="BR2276" s="4" t="s">
        <v>104</v>
      </c>
      <c r="BS2276" s="4" t="s">
        <v>38353</v>
      </c>
      <c r="BT2276" s="4" t="str">
        <f aca="false">HYPERLINK("https%3A%2F%2Fwww.webofscience.com%2Fwos%2Fwoscc%2Ffull-record%2FWOS:000358290200022","View Full Record in Web of Science")</f>
        <v>View Full Record in Web of Science</v>
      </c>
    </row>
    <row r="2277" s="5" customFormat="true" ht="12.75" hidden="false" customHeight="false" outlineLevel="0" collapsed="false">
      <c r="A2277" s="4" t="s">
        <v>72</v>
      </c>
      <c r="B2277" s="4" t="s">
        <v>38354</v>
      </c>
      <c r="C2277" s="4"/>
      <c r="D2277" s="4"/>
      <c r="E2277" s="4"/>
      <c r="F2277" s="4" t="s">
        <v>38355</v>
      </c>
      <c r="G2277" s="4"/>
      <c r="H2277" s="4"/>
      <c r="I2277" s="4" t="s">
        <v>38356</v>
      </c>
      <c r="J2277" s="4" t="s">
        <v>10086</v>
      </c>
      <c r="K2277" s="4"/>
      <c r="L2277" s="4"/>
      <c r="M2277" s="4" t="s">
        <v>77</v>
      </c>
      <c r="N2277" s="4" t="s">
        <v>78</v>
      </c>
      <c r="O2277" s="4"/>
      <c r="P2277" s="4"/>
      <c r="Q2277" s="4"/>
      <c r="R2277" s="4"/>
      <c r="S2277" s="4"/>
      <c r="T2277" s="1" t="s">
        <v>38357</v>
      </c>
      <c r="U2277" s="4" t="s">
        <v>38358</v>
      </c>
      <c r="V2277" s="4" t="s">
        <v>38359</v>
      </c>
      <c r="W2277" s="4" t="s">
        <v>38360</v>
      </c>
      <c r="X2277" s="4" t="s">
        <v>38361</v>
      </c>
      <c r="Y2277" s="4" t="s">
        <v>38362</v>
      </c>
      <c r="Z2277" s="4" t="s">
        <v>32113</v>
      </c>
      <c r="AA2277" s="4" t="s">
        <v>38363</v>
      </c>
      <c r="AB2277" s="4" t="s">
        <v>38364</v>
      </c>
      <c r="AC2277" s="4"/>
      <c r="AD2277" s="4"/>
      <c r="AE2277" s="4"/>
      <c r="AF2277" s="4"/>
      <c r="AG2277" s="4" t="n">
        <v>44</v>
      </c>
      <c r="AH2277" s="4" t="n">
        <v>25</v>
      </c>
      <c r="AI2277" s="4" t="n">
        <v>25</v>
      </c>
      <c r="AJ2277" s="4" t="n">
        <v>0</v>
      </c>
      <c r="AK2277" s="4" t="n">
        <v>3</v>
      </c>
      <c r="AL2277" s="4" t="s">
        <v>122</v>
      </c>
      <c r="AM2277" s="4" t="s">
        <v>123</v>
      </c>
      <c r="AN2277" s="4" t="s">
        <v>124</v>
      </c>
      <c r="AO2277" s="4" t="s">
        <v>10096</v>
      </c>
      <c r="AP2277" s="4" t="s">
        <v>10097</v>
      </c>
      <c r="AQ2277" s="4"/>
      <c r="AR2277" s="4" t="s">
        <v>10086</v>
      </c>
      <c r="AS2277" s="4" t="s">
        <v>10098</v>
      </c>
      <c r="AT2277" s="4" t="s">
        <v>129</v>
      </c>
      <c r="AU2277" s="4" t="n">
        <v>2021</v>
      </c>
      <c r="AV2277" s="4" t="n">
        <v>105</v>
      </c>
      <c r="AW2277" s="4" t="n">
        <v>9</v>
      </c>
      <c r="AX2277" s="4"/>
      <c r="AY2277" s="4"/>
      <c r="AZ2277" s="4"/>
      <c r="BA2277" s="4"/>
      <c r="BB2277" s="4" t="n">
        <v>2072</v>
      </c>
      <c r="BC2277" s="4" t="n">
        <v>2079</v>
      </c>
      <c r="BD2277" s="4"/>
      <c r="BE2277" s="4" t="s">
        <v>38365</v>
      </c>
      <c r="BF2277" s="4" t="str">
        <f aca="false">HYPERLINK("http://dx.doi.org/10.1097/TP.0000000000003839","http://dx.doi.org/10.1097/TP.0000000000003839")</f>
        <v>http://dx.doi.org/10.1097/TP.0000000000003839</v>
      </c>
      <c r="BG2277" s="4"/>
      <c r="BH2277" s="4"/>
      <c r="BI2277" s="4" t="n">
        <v>8</v>
      </c>
      <c r="BJ2277" s="4" t="s">
        <v>10100</v>
      </c>
      <c r="BK2277" s="4" t="s">
        <v>100</v>
      </c>
      <c r="BL2277" s="4" t="s">
        <v>10100</v>
      </c>
      <c r="BM2277" s="4" t="s">
        <v>38366</v>
      </c>
      <c r="BN2277" s="4" t="n">
        <v>34075005</v>
      </c>
      <c r="BO2277" s="4" t="s">
        <v>656</v>
      </c>
      <c r="BP2277" s="4"/>
      <c r="BQ2277" s="4"/>
      <c r="BR2277" s="4" t="s">
        <v>104</v>
      </c>
      <c r="BS2277" s="4" t="s">
        <v>38367</v>
      </c>
      <c r="BT2277" s="4" t="str">
        <f aca="false">HYPERLINK("https%3A%2F%2Fwww.webofscience.com%2Fwos%2Fwoscc%2Ffull-record%2FWOS:000687814500036","View Full Record in Web of Science")</f>
        <v>View Full Record in Web of Science</v>
      </c>
    </row>
    <row r="2278" s="5" customFormat="true" ht="12.75" hidden="false" customHeight="false" outlineLevel="0" collapsed="false">
      <c r="A2278" s="4" t="s">
        <v>72</v>
      </c>
      <c r="B2278" s="4" t="s">
        <v>38368</v>
      </c>
      <c r="C2278" s="4"/>
      <c r="D2278" s="4"/>
      <c r="E2278" s="4"/>
      <c r="F2278" s="4" t="s">
        <v>38369</v>
      </c>
      <c r="G2278" s="4"/>
      <c r="H2278" s="4"/>
      <c r="I2278" s="4" t="s">
        <v>38370</v>
      </c>
      <c r="J2278" s="4" t="s">
        <v>33882</v>
      </c>
      <c r="K2278" s="4"/>
      <c r="L2278" s="4"/>
      <c r="M2278" s="4" t="s">
        <v>77</v>
      </c>
      <c r="N2278" s="4" t="s">
        <v>78</v>
      </c>
      <c r="O2278" s="4"/>
      <c r="P2278" s="4"/>
      <c r="Q2278" s="4"/>
      <c r="R2278" s="4"/>
      <c r="S2278" s="4"/>
      <c r="T2278" s="1" t="s">
        <v>38371</v>
      </c>
      <c r="U2278" s="4" t="s">
        <v>38372</v>
      </c>
      <c r="V2278" s="4" t="s">
        <v>38373</v>
      </c>
      <c r="W2278" s="4" t="s">
        <v>38374</v>
      </c>
      <c r="X2278" s="4" t="s">
        <v>38375</v>
      </c>
      <c r="Y2278" s="4" t="s">
        <v>38376</v>
      </c>
      <c r="Z2278" s="4" t="s">
        <v>38377</v>
      </c>
      <c r="AA2278" s="4" t="s">
        <v>38378</v>
      </c>
      <c r="AB2278" s="4" t="s">
        <v>38379</v>
      </c>
      <c r="AC2278" s="4" t="s">
        <v>38380</v>
      </c>
      <c r="AD2278" s="4" t="s">
        <v>38381</v>
      </c>
      <c r="AE2278" s="4" t="s">
        <v>38382</v>
      </c>
      <c r="AF2278" s="4"/>
      <c r="AG2278" s="4" t="n">
        <v>56</v>
      </c>
      <c r="AH2278" s="4" t="n">
        <v>2098</v>
      </c>
      <c r="AI2278" s="4" t="n">
        <v>2344</v>
      </c>
      <c r="AJ2278" s="4" t="n">
        <v>4</v>
      </c>
      <c r="AK2278" s="4" t="n">
        <v>278</v>
      </c>
      <c r="AL2278" s="4" t="s">
        <v>1460</v>
      </c>
      <c r="AM2278" s="4" t="s">
        <v>593</v>
      </c>
      <c r="AN2278" s="4" t="s">
        <v>2088</v>
      </c>
      <c r="AO2278" s="4" t="s">
        <v>33892</v>
      </c>
      <c r="AP2278" s="4" t="s">
        <v>35290</v>
      </c>
      <c r="AQ2278" s="4"/>
      <c r="AR2278" s="4" t="s">
        <v>33882</v>
      </c>
      <c r="AS2278" s="4" t="s">
        <v>33893</v>
      </c>
      <c r="AT2278" s="4" t="s">
        <v>2640</v>
      </c>
      <c r="AU2278" s="4" t="n">
        <v>2010</v>
      </c>
      <c r="AV2278" s="4" t="n">
        <v>375</v>
      </c>
      <c r="AW2278" s="4" t="n">
        <v>9725</v>
      </c>
      <c r="AX2278" s="4"/>
      <c r="AY2278" s="4"/>
      <c r="AZ2278" s="4"/>
      <c r="BA2278" s="4"/>
      <c r="BB2278" s="4" t="n">
        <v>1545</v>
      </c>
      <c r="BC2278" s="4" t="n">
        <v>1555</v>
      </c>
      <c r="BD2278" s="4"/>
      <c r="BE2278" s="4" t="s">
        <v>38383</v>
      </c>
      <c r="BF2278" s="4" t="str">
        <f aca="false">HYPERLINK("http://dx.doi.org/10.1016/S0140-6736(10)60206-1","http://dx.doi.org/10.1016/S0140-6736(10)60206-1")</f>
        <v>http://dx.doi.org/10.1016/S0140-6736(10)60206-1</v>
      </c>
      <c r="BG2278" s="4"/>
      <c r="BH2278" s="4"/>
      <c r="BI2278" s="4" t="n">
        <v>11</v>
      </c>
      <c r="BJ2278" s="4" t="s">
        <v>363</v>
      </c>
      <c r="BK2278" s="4" t="s">
        <v>100</v>
      </c>
      <c r="BL2278" s="4" t="s">
        <v>364</v>
      </c>
      <c r="BM2278" s="4" t="s">
        <v>38384</v>
      </c>
      <c r="BN2278" s="4" t="n">
        <v>20399493</v>
      </c>
      <c r="BO2278" s="4" t="s">
        <v>165</v>
      </c>
      <c r="BP2278" s="4"/>
      <c r="BQ2278" s="4"/>
      <c r="BR2278" s="4" t="s">
        <v>104</v>
      </c>
      <c r="BS2278" s="4" t="s">
        <v>38385</v>
      </c>
      <c r="BT2278" s="4" t="str">
        <f aca="false">HYPERLINK("https%3A%2F%2Fwww.webofscience.com%2Fwos%2Fwoscc%2Ffull-record%2FWOS:000277655100027","View Full Record in Web of Science")</f>
        <v>View Full Record in Web of Science</v>
      </c>
    </row>
    <row r="2279" s="5" customFormat="true" ht="12.75" hidden="false" customHeight="false" outlineLevel="0" collapsed="false">
      <c r="A2279" s="4" t="s">
        <v>72</v>
      </c>
      <c r="B2279" s="4" t="s">
        <v>38386</v>
      </c>
      <c r="C2279" s="4"/>
      <c r="D2279" s="4"/>
      <c r="E2279" s="4"/>
      <c r="F2279" s="4" t="s">
        <v>38387</v>
      </c>
      <c r="G2279" s="4"/>
      <c r="H2279" s="4"/>
      <c r="I2279" s="4" t="s">
        <v>38388</v>
      </c>
      <c r="J2279" s="4" t="s">
        <v>34115</v>
      </c>
      <c r="K2279" s="4"/>
      <c r="L2279" s="4"/>
      <c r="M2279" s="4" t="s">
        <v>77</v>
      </c>
      <c r="N2279" s="4" t="s">
        <v>78</v>
      </c>
      <c r="O2279" s="4"/>
      <c r="P2279" s="4"/>
      <c r="Q2279" s="4"/>
      <c r="R2279" s="4"/>
      <c r="S2279" s="4"/>
      <c r="T2279" s="1" t="s">
        <v>38389</v>
      </c>
      <c r="U2279" s="4" t="s">
        <v>38390</v>
      </c>
      <c r="V2279" s="4" t="s">
        <v>38391</v>
      </c>
      <c r="W2279" s="4" t="s">
        <v>38392</v>
      </c>
      <c r="X2279" s="4" t="s">
        <v>38393</v>
      </c>
      <c r="Y2279" s="4" t="s">
        <v>38394</v>
      </c>
      <c r="Z2279" s="4" t="s">
        <v>33754</v>
      </c>
      <c r="AA2279" s="4" t="s">
        <v>38395</v>
      </c>
      <c r="AB2279" s="4" t="s">
        <v>38396</v>
      </c>
      <c r="AC2279" s="4" t="s">
        <v>38397</v>
      </c>
      <c r="AD2279" s="4" t="s">
        <v>38398</v>
      </c>
      <c r="AE2279" s="4" t="s">
        <v>38399</v>
      </c>
      <c r="AF2279" s="4"/>
      <c r="AG2279" s="4" t="n">
        <v>44</v>
      </c>
      <c r="AH2279" s="4" t="n">
        <v>18</v>
      </c>
      <c r="AI2279" s="4" t="n">
        <v>19</v>
      </c>
      <c r="AJ2279" s="4" t="n">
        <v>1</v>
      </c>
      <c r="AK2279" s="4" t="n">
        <v>7</v>
      </c>
      <c r="AL2279" s="4" t="s">
        <v>6405</v>
      </c>
      <c r="AM2279" s="4" t="s">
        <v>6406</v>
      </c>
      <c r="AN2279" s="4" t="s">
        <v>6407</v>
      </c>
      <c r="AO2279" s="4" t="s">
        <v>34124</v>
      </c>
      <c r="AP2279" s="4" t="s">
        <v>34125</v>
      </c>
      <c r="AQ2279" s="4"/>
      <c r="AR2279" s="4" t="s">
        <v>34126</v>
      </c>
      <c r="AS2279" s="4" t="s">
        <v>34127</v>
      </c>
      <c r="AT2279" s="4" t="s">
        <v>129</v>
      </c>
      <c r="AU2279" s="4" t="n">
        <v>2023</v>
      </c>
      <c r="AV2279" s="4" t="n">
        <v>29</v>
      </c>
      <c r="AW2279" s="4" t="n">
        <v>9</v>
      </c>
      <c r="AX2279" s="4"/>
      <c r="AY2279" s="4"/>
      <c r="AZ2279" s="4"/>
      <c r="BA2279" s="4"/>
      <c r="BB2279" s="4" t="n">
        <v>2334</v>
      </c>
      <c r="BC2279" s="4" t="s">
        <v>986</v>
      </c>
      <c r="BD2279" s="4"/>
      <c r="BE2279" s="4" t="s">
        <v>38400</v>
      </c>
      <c r="BF2279" s="4" t="str">
        <f aca="false">HYPERLINK("http://dx.doi.org/10.1038/s41591-023-02503-4","http://dx.doi.org/10.1038/s41591-023-02503-4")</f>
        <v>http://dx.doi.org/10.1038/s41591-023-02503-4</v>
      </c>
      <c r="BG2279" s="4"/>
      <c r="BH2279" s="4" t="s">
        <v>5077</v>
      </c>
      <c r="BI2279" s="4" t="n">
        <v>30</v>
      </c>
      <c r="BJ2279" s="4" t="s">
        <v>34129</v>
      </c>
      <c r="BK2279" s="4" t="s">
        <v>100</v>
      </c>
      <c r="BL2279" s="4" t="s">
        <v>34130</v>
      </c>
      <c r="BM2279" s="4" t="s">
        <v>38401</v>
      </c>
      <c r="BN2279" s="4" t="n">
        <v>37640860</v>
      </c>
      <c r="BO2279" s="4" t="s">
        <v>136</v>
      </c>
      <c r="BP2279" s="4"/>
      <c r="BQ2279" s="4"/>
      <c r="BR2279" s="4" t="s">
        <v>104</v>
      </c>
      <c r="BS2279" s="4" t="s">
        <v>38402</v>
      </c>
      <c r="BT2279" s="4" t="str">
        <f aca="false">HYPERLINK("https%3A%2F%2Fwww.webofscience.com%2Fwos%2Fwoscc%2Ffull-record%2FWOS:001063746200003","View Full Record in Web of Science")</f>
        <v>View Full Record in Web of Science</v>
      </c>
    </row>
    <row r="2280" s="5" customFormat="true" ht="12.75" hidden="false" customHeight="false" outlineLevel="0" collapsed="false">
      <c r="A2280" s="4" t="s">
        <v>72</v>
      </c>
      <c r="B2280" s="4" t="s">
        <v>38403</v>
      </c>
      <c r="C2280" s="4"/>
      <c r="D2280" s="4"/>
      <c r="E2280" s="4"/>
      <c r="F2280" s="4" t="s">
        <v>38404</v>
      </c>
      <c r="G2280" s="4"/>
      <c r="H2280" s="4"/>
      <c r="I2280" s="4" t="s">
        <v>38405</v>
      </c>
      <c r="J2280" s="4" t="s">
        <v>742</v>
      </c>
      <c r="K2280" s="4"/>
      <c r="L2280" s="4"/>
      <c r="M2280" s="4" t="s">
        <v>77</v>
      </c>
      <c r="N2280" s="4" t="s">
        <v>78</v>
      </c>
      <c r="O2280" s="4"/>
      <c r="P2280" s="4"/>
      <c r="Q2280" s="4"/>
      <c r="R2280" s="4"/>
      <c r="S2280" s="4"/>
      <c r="T2280" s="1" t="s">
        <v>38406</v>
      </c>
      <c r="U2280" s="4" t="s">
        <v>38407</v>
      </c>
      <c r="V2280" s="4" t="s">
        <v>38408</v>
      </c>
      <c r="W2280" s="4" t="s">
        <v>38409</v>
      </c>
      <c r="X2280" s="4" t="s">
        <v>38410</v>
      </c>
      <c r="Y2280" s="4" t="s">
        <v>38411</v>
      </c>
      <c r="Z2280" s="4" t="s">
        <v>38412</v>
      </c>
      <c r="AA2280" s="4" t="s">
        <v>38413</v>
      </c>
      <c r="AB2280" s="4" t="s">
        <v>38414</v>
      </c>
      <c r="AC2280" s="4" t="s">
        <v>38415</v>
      </c>
      <c r="AD2280" s="4" t="s">
        <v>38416</v>
      </c>
      <c r="AE2280" s="4" t="s">
        <v>38417</v>
      </c>
      <c r="AF2280" s="4"/>
      <c r="AG2280" s="4" t="n">
        <v>32</v>
      </c>
      <c r="AH2280" s="4" t="n">
        <v>348</v>
      </c>
      <c r="AI2280" s="4" t="n">
        <v>412</v>
      </c>
      <c r="AJ2280" s="4" t="n">
        <v>0</v>
      </c>
      <c r="AK2280" s="4" t="n">
        <v>19</v>
      </c>
      <c r="AL2280" s="4" t="s">
        <v>755</v>
      </c>
      <c r="AM2280" s="4" t="s">
        <v>273</v>
      </c>
      <c r="AN2280" s="4" t="s">
        <v>756</v>
      </c>
      <c r="AO2280" s="4" t="s">
        <v>757</v>
      </c>
      <c r="AP2280" s="4" t="s">
        <v>758</v>
      </c>
      <c r="AQ2280" s="4"/>
      <c r="AR2280" s="4" t="s">
        <v>759</v>
      </c>
      <c r="AS2280" s="4" t="s">
        <v>760</v>
      </c>
      <c r="AT2280" s="4" t="s">
        <v>486</v>
      </c>
      <c r="AU2280" s="4" t="n">
        <v>2010</v>
      </c>
      <c r="AV2280" s="4" t="n">
        <v>84</v>
      </c>
      <c r="AW2280" s="4" t="n">
        <v>11</v>
      </c>
      <c r="AX2280" s="4"/>
      <c r="AY2280" s="4"/>
      <c r="AZ2280" s="4"/>
      <c r="BA2280" s="4"/>
      <c r="BB2280" s="4" t="n">
        <v>5670</v>
      </c>
      <c r="BC2280" s="4" t="n">
        <v>5677</v>
      </c>
      <c r="BD2280" s="4"/>
      <c r="BE2280" s="4" t="s">
        <v>38418</v>
      </c>
      <c r="BF2280" s="4" t="str">
        <f aca="false">HYPERLINK("http://dx.doi.org/10.1128/JVI.00272-10","http://dx.doi.org/10.1128/JVI.00272-10")</f>
        <v>http://dx.doi.org/10.1128/JVI.00272-10</v>
      </c>
      <c r="BG2280" s="4"/>
      <c r="BH2280" s="4"/>
      <c r="BI2280" s="4" t="n">
        <v>8</v>
      </c>
      <c r="BJ2280" s="4" t="s">
        <v>163</v>
      </c>
      <c r="BK2280" s="4" t="s">
        <v>100</v>
      </c>
      <c r="BL2280" s="4" t="s">
        <v>163</v>
      </c>
      <c r="BM2280" s="4" t="s">
        <v>38419</v>
      </c>
      <c r="BN2280" s="4" t="n">
        <v>20335250</v>
      </c>
      <c r="BO2280" s="4" t="s">
        <v>165</v>
      </c>
      <c r="BP2280" s="4"/>
      <c r="BQ2280" s="4"/>
      <c r="BR2280" s="4" t="s">
        <v>104</v>
      </c>
      <c r="BS2280" s="4" t="s">
        <v>38420</v>
      </c>
      <c r="BT2280" s="4" t="str">
        <f aca="false">HYPERLINK("https%3A%2F%2Fwww.webofscience.com%2Fwos%2Fwoscc%2Ffull-record%2FWOS:000277386700020","View Full Record in Web of Science")</f>
        <v>View Full Record in Web of Science</v>
      </c>
    </row>
    <row r="2281" s="5" customFormat="true" ht="12.75" hidden="false" customHeight="false" outlineLevel="0" collapsed="false">
      <c r="A2281" s="4" t="s">
        <v>72</v>
      </c>
      <c r="B2281" s="4" t="s">
        <v>38421</v>
      </c>
      <c r="C2281" s="4"/>
      <c r="D2281" s="4"/>
      <c r="E2281" s="4"/>
      <c r="F2281" s="4" t="s">
        <v>38422</v>
      </c>
      <c r="G2281" s="4"/>
      <c r="H2281" s="4"/>
      <c r="I2281" s="4" t="s">
        <v>38423</v>
      </c>
      <c r="J2281" s="4" t="s">
        <v>27475</v>
      </c>
      <c r="K2281" s="4"/>
      <c r="L2281" s="4"/>
      <c r="M2281" s="4" t="s">
        <v>77</v>
      </c>
      <c r="N2281" s="4" t="s">
        <v>78</v>
      </c>
      <c r="O2281" s="4"/>
      <c r="P2281" s="4"/>
      <c r="Q2281" s="4"/>
      <c r="R2281" s="4"/>
      <c r="S2281" s="4"/>
      <c r="T2281" s="1" t="s">
        <v>38424</v>
      </c>
      <c r="U2281" s="4" t="s">
        <v>38425</v>
      </c>
      <c r="V2281" s="4" t="s">
        <v>38426</v>
      </c>
      <c r="W2281" s="4" t="s">
        <v>38427</v>
      </c>
      <c r="X2281" s="4" t="s">
        <v>38428</v>
      </c>
      <c r="Y2281" s="4" t="s">
        <v>38429</v>
      </c>
      <c r="Z2281" s="4" t="s">
        <v>38430</v>
      </c>
      <c r="AA2281" s="4" t="s">
        <v>38431</v>
      </c>
      <c r="AB2281" s="4" t="s">
        <v>38432</v>
      </c>
      <c r="AC2281" s="4" t="s">
        <v>38433</v>
      </c>
      <c r="AD2281" s="4" t="s">
        <v>38434</v>
      </c>
      <c r="AE2281" s="4" t="s">
        <v>38435</v>
      </c>
      <c r="AF2281" s="4"/>
      <c r="AG2281" s="4" t="n">
        <v>38</v>
      </c>
      <c r="AH2281" s="4" t="n">
        <v>1619</v>
      </c>
      <c r="AI2281" s="4" t="n">
        <v>1776</v>
      </c>
      <c r="AJ2281" s="4" t="n">
        <v>0</v>
      </c>
      <c r="AK2281" s="4" t="n">
        <v>88</v>
      </c>
      <c r="AL2281" s="4" t="s">
        <v>27485</v>
      </c>
      <c r="AM2281" s="4" t="s">
        <v>27486</v>
      </c>
      <c r="AN2281" s="4" t="s">
        <v>27487</v>
      </c>
      <c r="AO2281" s="4" t="s">
        <v>27488</v>
      </c>
      <c r="AP2281" s="4" t="s">
        <v>32833</v>
      </c>
      <c r="AQ2281" s="4"/>
      <c r="AR2281" s="4" t="s">
        <v>27489</v>
      </c>
      <c r="AS2281" s="4" t="s">
        <v>27490</v>
      </c>
      <c r="AT2281" s="4" t="s">
        <v>30157</v>
      </c>
      <c r="AU2281" s="4" t="n">
        <v>2009</v>
      </c>
      <c r="AV2281" s="4" t="n">
        <v>360</v>
      </c>
      <c r="AW2281" s="4" t="n">
        <v>6</v>
      </c>
      <c r="AX2281" s="4"/>
      <c r="AY2281" s="4"/>
      <c r="AZ2281" s="4"/>
      <c r="BA2281" s="4"/>
      <c r="BB2281" s="4" t="n">
        <v>588</v>
      </c>
      <c r="BC2281" s="4" t="n">
        <v>598</v>
      </c>
      <c r="BD2281" s="4"/>
      <c r="BE2281" s="4" t="s">
        <v>38436</v>
      </c>
      <c r="BF2281" s="4" t="str">
        <f aca="false">HYPERLINK("http://dx.doi.org/10.1056/NEJMoa0804877","http://dx.doi.org/10.1056/NEJMoa0804877")</f>
        <v>http://dx.doi.org/10.1056/NEJMoa0804877</v>
      </c>
      <c r="BG2281" s="4"/>
      <c r="BH2281" s="4"/>
      <c r="BI2281" s="4" t="n">
        <v>11</v>
      </c>
      <c r="BJ2281" s="4" t="s">
        <v>363</v>
      </c>
      <c r="BK2281" s="4" t="s">
        <v>100</v>
      </c>
      <c r="BL2281" s="4" t="s">
        <v>364</v>
      </c>
      <c r="BM2281" s="4" t="s">
        <v>38437</v>
      </c>
      <c r="BN2281" s="4" t="n">
        <v>19196675</v>
      </c>
      <c r="BO2281" s="4" t="s">
        <v>5372</v>
      </c>
      <c r="BP2281" s="4"/>
      <c r="BQ2281" s="4"/>
      <c r="BR2281" s="4" t="s">
        <v>104</v>
      </c>
      <c r="BS2281" s="4" t="s">
        <v>38438</v>
      </c>
      <c r="BT2281" s="4" t="str">
        <f aca="false">HYPERLINK("https%3A%2F%2Fwww.webofscience.com%2Fwos%2Fwoscc%2Ffull-record%2FWOS:000263028800005","View Full Record in Web of Science")</f>
        <v>View Full Record in Web of Science</v>
      </c>
    </row>
    <row r="2282" s="5" customFormat="true" ht="12.75" hidden="false" customHeight="false" outlineLevel="0" collapsed="false">
      <c r="A2282" s="4" t="s">
        <v>72</v>
      </c>
      <c r="B2282" s="4" t="s">
        <v>38439</v>
      </c>
      <c r="C2282" s="4"/>
      <c r="D2282" s="4"/>
      <c r="E2282" s="4"/>
      <c r="F2282" s="4" t="s">
        <v>38440</v>
      </c>
      <c r="G2282" s="4"/>
      <c r="H2282" s="4"/>
      <c r="I2282" s="4" t="s">
        <v>38441</v>
      </c>
      <c r="J2282" s="4" t="s">
        <v>32139</v>
      </c>
      <c r="K2282" s="4"/>
      <c r="L2282" s="4"/>
      <c r="M2282" s="4" t="s">
        <v>77</v>
      </c>
      <c r="N2282" s="4" t="s">
        <v>78</v>
      </c>
      <c r="O2282" s="4"/>
      <c r="P2282" s="4"/>
      <c r="Q2282" s="4"/>
      <c r="R2282" s="4"/>
      <c r="S2282" s="4"/>
      <c r="T2282" s="1" t="s">
        <v>38442</v>
      </c>
      <c r="U2282" s="4" t="s">
        <v>38443</v>
      </c>
      <c r="V2282" s="4" t="s">
        <v>38444</v>
      </c>
      <c r="W2282" s="4" t="s">
        <v>38445</v>
      </c>
      <c r="X2282" s="4" t="s">
        <v>38446</v>
      </c>
      <c r="Y2282" s="4" t="s">
        <v>38447</v>
      </c>
      <c r="Z2282" s="4" t="s">
        <v>38448</v>
      </c>
      <c r="AA2282" s="4" t="s">
        <v>38449</v>
      </c>
      <c r="AB2282" s="4"/>
      <c r="AC2282" s="4"/>
      <c r="AD2282" s="4"/>
      <c r="AE2282" s="4"/>
      <c r="AF2282" s="4"/>
      <c r="AG2282" s="4" t="n">
        <v>39</v>
      </c>
      <c r="AH2282" s="4" t="n">
        <v>2</v>
      </c>
      <c r="AI2282" s="4" t="n">
        <v>2</v>
      </c>
      <c r="AJ2282" s="4" t="n">
        <v>0</v>
      </c>
      <c r="AK2282" s="4" t="n">
        <v>0</v>
      </c>
      <c r="AL2282" s="4" t="s">
        <v>27808</v>
      </c>
      <c r="AM2282" s="4" t="s">
        <v>303</v>
      </c>
      <c r="AN2282" s="4" t="s">
        <v>27809</v>
      </c>
      <c r="AO2282" s="4" t="s">
        <v>32146</v>
      </c>
      <c r="AP2282" s="4" t="s">
        <v>32147</v>
      </c>
      <c r="AQ2282" s="4"/>
      <c r="AR2282" s="4" t="s">
        <v>32148</v>
      </c>
      <c r="AS2282" s="4" t="s">
        <v>32149</v>
      </c>
      <c r="AT2282" s="4" t="s">
        <v>38450</v>
      </c>
      <c r="AU2282" s="4" t="n">
        <v>2023</v>
      </c>
      <c r="AV2282" s="4" t="n">
        <v>2023</v>
      </c>
      <c r="AW2282" s="4"/>
      <c r="AX2282" s="4"/>
      <c r="AY2282" s="4"/>
      <c r="AZ2282" s="4"/>
      <c r="BA2282" s="4"/>
      <c r="BB2282" s="4"/>
      <c r="BC2282" s="4"/>
      <c r="BD2282" s="4" t="n">
        <v>2679770</v>
      </c>
      <c r="BE2282" s="4" t="s">
        <v>38451</v>
      </c>
      <c r="BF2282" s="4" t="str">
        <f aca="false">HYPERLINK("http://dx.doi.org/10.1155/2023/2679770","http://dx.doi.org/10.1155/2023/2679770")</f>
        <v>http://dx.doi.org/10.1155/2023/2679770</v>
      </c>
      <c r="BG2282" s="4"/>
      <c r="BH2282" s="4"/>
      <c r="BI2282" s="4" t="n">
        <v>10</v>
      </c>
      <c r="BJ2282" s="4" t="s">
        <v>163</v>
      </c>
      <c r="BK2282" s="4" t="s">
        <v>339</v>
      </c>
      <c r="BL2282" s="4" t="s">
        <v>163</v>
      </c>
      <c r="BM2282" s="4" t="s">
        <v>38452</v>
      </c>
      <c r="BN2282" s="4" t="n">
        <v>37384256</v>
      </c>
      <c r="BO2282" s="4" t="s">
        <v>190</v>
      </c>
      <c r="BP2282" s="4"/>
      <c r="BQ2282" s="4"/>
      <c r="BR2282" s="4" t="s">
        <v>104</v>
      </c>
      <c r="BS2282" s="4" t="s">
        <v>38453</v>
      </c>
      <c r="BT2282" s="4" t="str">
        <f aca="false">HYPERLINK("https%3A%2F%2Fwww.webofscience.com%2Fwos%2Fwoscc%2Ffull-record%2FWOS:001017647300001","View Full Record in Web of Science")</f>
        <v>View Full Record in Web of Science</v>
      </c>
    </row>
    <row r="2283" s="5" customFormat="true" ht="12.75" hidden="false" customHeight="false" outlineLevel="0" collapsed="false">
      <c r="A2283" s="4" t="s">
        <v>72</v>
      </c>
      <c r="B2283" s="4" t="s">
        <v>38454</v>
      </c>
      <c r="C2283" s="4"/>
      <c r="D2283" s="4"/>
      <c r="E2283" s="4"/>
      <c r="F2283" s="4" t="s">
        <v>38455</v>
      </c>
      <c r="G2283" s="4"/>
      <c r="H2283" s="4"/>
      <c r="I2283" s="4" t="s">
        <v>38456</v>
      </c>
      <c r="J2283" s="4" t="s">
        <v>27497</v>
      </c>
      <c r="K2283" s="4"/>
      <c r="L2283" s="4"/>
      <c r="M2283" s="4" t="s">
        <v>77</v>
      </c>
      <c r="N2283" s="4" t="s">
        <v>78</v>
      </c>
      <c r="O2283" s="4"/>
      <c r="P2283" s="4"/>
      <c r="Q2283" s="4"/>
      <c r="R2283" s="4"/>
      <c r="S2283" s="4"/>
      <c r="T2283" s="1" t="s">
        <v>38457</v>
      </c>
      <c r="U2283" s="4" t="s">
        <v>38458</v>
      </c>
      <c r="V2283" s="4" t="s">
        <v>38459</v>
      </c>
      <c r="W2283" s="4" t="s">
        <v>38460</v>
      </c>
      <c r="X2283" s="4" t="s">
        <v>10331</v>
      </c>
      <c r="Y2283" s="4" t="s">
        <v>38461</v>
      </c>
      <c r="Z2283" s="4" t="s">
        <v>38462</v>
      </c>
      <c r="AA2283" s="4" t="s">
        <v>38463</v>
      </c>
      <c r="AB2283" s="4" t="s">
        <v>14744</v>
      </c>
      <c r="AC2283" s="4" t="s">
        <v>38464</v>
      </c>
      <c r="AD2283" s="4" t="s">
        <v>38465</v>
      </c>
      <c r="AE2283" s="4" t="s">
        <v>38466</v>
      </c>
      <c r="AF2283" s="4"/>
      <c r="AG2283" s="4" t="n">
        <v>42</v>
      </c>
      <c r="AH2283" s="4" t="n">
        <v>28</v>
      </c>
      <c r="AI2283" s="4" t="n">
        <v>28</v>
      </c>
      <c r="AJ2283" s="4" t="n">
        <v>0</v>
      </c>
      <c r="AK2283" s="4" t="n">
        <v>2</v>
      </c>
      <c r="AL2283" s="4" t="s">
        <v>27506</v>
      </c>
      <c r="AM2283" s="4" t="s">
        <v>27507</v>
      </c>
      <c r="AN2283" s="4" t="s">
        <v>27508</v>
      </c>
      <c r="AO2283" s="4" t="s">
        <v>27509</v>
      </c>
      <c r="AP2283" s="4"/>
      <c r="AQ2283" s="4"/>
      <c r="AR2283" s="4" t="s">
        <v>27497</v>
      </c>
      <c r="AS2283" s="4" t="s">
        <v>27510</v>
      </c>
      <c r="AT2283" s="4" t="s">
        <v>26048</v>
      </c>
      <c r="AU2283" s="4" t="n">
        <v>2015</v>
      </c>
      <c r="AV2283" s="4" t="n">
        <v>10</v>
      </c>
      <c r="AW2283" s="4" t="n">
        <v>4</v>
      </c>
      <c r="AX2283" s="4"/>
      <c r="AY2283" s="4"/>
      <c r="AZ2283" s="4"/>
      <c r="BA2283" s="4"/>
      <c r="BB2283" s="4"/>
      <c r="BC2283" s="4"/>
      <c r="BD2283" s="4" t="s">
        <v>38467</v>
      </c>
      <c r="BE2283" s="4" t="s">
        <v>38468</v>
      </c>
      <c r="BF2283" s="4" t="str">
        <f aca="false">HYPERLINK("http://dx.doi.org/10.1371/journal.pone.0123755","http://dx.doi.org/10.1371/journal.pone.0123755")</f>
        <v>http://dx.doi.org/10.1371/journal.pone.0123755</v>
      </c>
      <c r="BG2283" s="4"/>
      <c r="BH2283" s="4"/>
      <c r="BI2283" s="4" t="n">
        <v>13</v>
      </c>
      <c r="BJ2283" s="4" t="s">
        <v>1658</v>
      </c>
      <c r="BK2283" s="4" t="s">
        <v>100</v>
      </c>
      <c r="BL2283" s="4" t="s">
        <v>1659</v>
      </c>
      <c r="BM2283" s="4" t="s">
        <v>38469</v>
      </c>
      <c r="BN2283" s="4" t="n">
        <v>25893441</v>
      </c>
      <c r="BO2283" s="4" t="s">
        <v>341</v>
      </c>
      <c r="BP2283" s="4"/>
      <c r="BQ2283" s="4"/>
      <c r="BR2283" s="4" t="s">
        <v>104</v>
      </c>
      <c r="BS2283" s="4" t="s">
        <v>38470</v>
      </c>
      <c r="BT2283" s="4" t="str">
        <f aca="false">HYPERLINK("https%3A%2F%2Fwww.webofscience.com%2Fwos%2Fwoscc%2Ffull-record%2FWOS:000353211700053","View Full Record in Web of Science")</f>
        <v>View Full Record in Web of Science</v>
      </c>
    </row>
    <row r="2284" s="5" customFormat="true" ht="12.75" hidden="false" customHeight="false" outlineLevel="0" collapsed="false">
      <c r="A2284" s="4" t="s">
        <v>72</v>
      </c>
      <c r="B2284" s="4" t="s">
        <v>38471</v>
      </c>
      <c r="C2284" s="4"/>
      <c r="D2284" s="4"/>
      <c r="E2284" s="4"/>
      <c r="F2284" s="4" t="s">
        <v>38472</v>
      </c>
      <c r="G2284" s="4"/>
      <c r="H2284" s="4"/>
      <c r="I2284" s="4" t="s">
        <v>38473</v>
      </c>
      <c r="J2284" s="4" t="s">
        <v>30899</v>
      </c>
      <c r="K2284" s="4"/>
      <c r="L2284" s="4"/>
      <c r="M2284" s="4" t="s">
        <v>77</v>
      </c>
      <c r="N2284" s="4" t="s">
        <v>78</v>
      </c>
      <c r="O2284" s="4"/>
      <c r="P2284" s="4"/>
      <c r="Q2284" s="4"/>
      <c r="R2284" s="4"/>
      <c r="S2284" s="4"/>
      <c r="T2284" s="1" t="s">
        <v>38474</v>
      </c>
      <c r="U2284" s="4" t="s">
        <v>38475</v>
      </c>
      <c r="V2284" s="4" t="s">
        <v>38476</v>
      </c>
      <c r="W2284" s="4" t="s">
        <v>38477</v>
      </c>
      <c r="X2284" s="4" t="s">
        <v>38478</v>
      </c>
      <c r="Y2284" s="4" t="s">
        <v>38479</v>
      </c>
      <c r="Z2284" s="4" t="s">
        <v>38480</v>
      </c>
      <c r="AA2284" s="4"/>
      <c r="AB2284" s="4" t="s">
        <v>38481</v>
      </c>
      <c r="AC2284" s="4"/>
      <c r="AD2284" s="4"/>
      <c r="AE2284" s="4"/>
      <c r="AF2284" s="4"/>
      <c r="AG2284" s="4" t="n">
        <v>25</v>
      </c>
      <c r="AH2284" s="4" t="n">
        <v>2</v>
      </c>
      <c r="AI2284" s="4" t="n">
        <v>2</v>
      </c>
      <c r="AJ2284" s="4" t="n">
        <v>0</v>
      </c>
      <c r="AK2284" s="4" t="n">
        <v>2</v>
      </c>
      <c r="AL2284" s="4" t="s">
        <v>1186</v>
      </c>
      <c r="AM2284" s="4" t="s">
        <v>303</v>
      </c>
      <c r="AN2284" s="4" t="s">
        <v>1187</v>
      </c>
      <c r="AO2284" s="4" t="s">
        <v>30906</v>
      </c>
      <c r="AP2284" s="4" t="s">
        <v>30907</v>
      </c>
      <c r="AQ2284" s="4"/>
      <c r="AR2284" s="4" t="s">
        <v>30908</v>
      </c>
      <c r="AS2284" s="4" t="s">
        <v>30909</v>
      </c>
      <c r="AT2284" s="4" t="s">
        <v>804</v>
      </c>
      <c r="AU2284" s="4" t="n">
        <v>2023</v>
      </c>
      <c r="AV2284" s="4" t="n">
        <v>108</v>
      </c>
      <c r="AW2284" s="4" t="n">
        <v>11</v>
      </c>
      <c r="AX2284" s="4"/>
      <c r="AY2284" s="4"/>
      <c r="AZ2284" s="4"/>
      <c r="BA2284" s="4"/>
      <c r="BB2284" s="4" t="n">
        <v>922</v>
      </c>
      <c r="BC2284" s="4" t="n">
        <v>928</v>
      </c>
      <c r="BD2284" s="4"/>
      <c r="BE2284" s="4" t="s">
        <v>38482</v>
      </c>
      <c r="BF2284" s="4" t="str">
        <f aca="false">HYPERLINK("http://dx.doi.org/10.1136/archdischild-2023-325305","http://dx.doi.org/10.1136/archdischild-2023-325305")</f>
        <v>http://dx.doi.org/10.1136/archdischild-2023-325305</v>
      </c>
      <c r="BG2284" s="4"/>
      <c r="BH2284" s="4" t="s">
        <v>280</v>
      </c>
      <c r="BI2284" s="4" t="n">
        <v>7</v>
      </c>
      <c r="BJ2284" s="4" t="s">
        <v>601</v>
      </c>
      <c r="BK2284" s="4" t="s">
        <v>100</v>
      </c>
      <c r="BL2284" s="4" t="s">
        <v>601</v>
      </c>
      <c r="BM2284" s="4" t="s">
        <v>38483</v>
      </c>
      <c r="BN2284" s="4" t="n">
        <v>37487693</v>
      </c>
      <c r="BO2284" s="4"/>
      <c r="BP2284" s="4"/>
      <c r="BQ2284" s="4"/>
      <c r="BR2284" s="4" t="s">
        <v>104</v>
      </c>
      <c r="BS2284" s="4" t="s">
        <v>38484</v>
      </c>
      <c r="BT2284" s="4" t="str">
        <f aca="false">HYPERLINK("https%3A%2F%2Fwww.webofscience.com%2Fwos%2Fwoscc%2Ffull-record%2FWOS:001033580000001","View Full Record in Web of Science")</f>
        <v>View Full Record in Web of Science</v>
      </c>
    </row>
    <row r="2285" s="5" customFormat="true" ht="12.75" hidden="false" customHeight="false" outlineLevel="0" collapsed="false">
      <c r="A2285" s="4" t="s">
        <v>72</v>
      </c>
      <c r="B2285" s="4" t="s">
        <v>38485</v>
      </c>
      <c r="C2285" s="4"/>
      <c r="D2285" s="4"/>
      <c r="E2285" s="4"/>
      <c r="F2285" s="4" t="s">
        <v>38486</v>
      </c>
      <c r="G2285" s="4"/>
      <c r="H2285" s="4"/>
      <c r="I2285" s="4" t="s">
        <v>38487</v>
      </c>
      <c r="J2285" s="4" t="s">
        <v>557</v>
      </c>
      <c r="K2285" s="4"/>
      <c r="L2285" s="4"/>
      <c r="M2285" s="4" t="s">
        <v>77</v>
      </c>
      <c r="N2285" s="4" t="s">
        <v>78</v>
      </c>
      <c r="O2285" s="4"/>
      <c r="P2285" s="4"/>
      <c r="Q2285" s="4"/>
      <c r="R2285" s="4"/>
      <c r="S2285" s="4"/>
      <c r="T2285" s="1" t="s">
        <v>38488</v>
      </c>
      <c r="U2285" s="4" t="s">
        <v>38489</v>
      </c>
      <c r="V2285" s="4" t="s">
        <v>38490</v>
      </c>
      <c r="W2285" s="4" t="s">
        <v>38491</v>
      </c>
      <c r="X2285" s="4" t="s">
        <v>8564</v>
      </c>
      <c r="Y2285" s="4" t="s">
        <v>38492</v>
      </c>
      <c r="Z2285" s="4" t="s">
        <v>38493</v>
      </c>
      <c r="AA2285" s="4" t="s">
        <v>8567</v>
      </c>
      <c r="AB2285" s="4" t="s">
        <v>8568</v>
      </c>
      <c r="AC2285" s="4"/>
      <c r="AD2285" s="4"/>
      <c r="AE2285" s="4"/>
      <c r="AF2285" s="4"/>
      <c r="AG2285" s="4" t="n">
        <v>38</v>
      </c>
      <c r="AH2285" s="4" t="n">
        <v>45</v>
      </c>
      <c r="AI2285" s="4" t="n">
        <v>48</v>
      </c>
      <c r="AJ2285" s="4" t="n">
        <v>0</v>
      </c>
      <c r="AK2285" s="4" t="n">
        <v>3</v>
      </c>
      <c r="AL2285" s="4" t="s">
        <v>302</v>
      </c>
      <c r="AM2285" s="4" t="s">
        <v>303</v>
      </c>
      <c r="AN2285" s="4" t="s">
        <v>304</v>
      </c>
      <c r="AO2285" s="4"/>
      <c r="AP2285" s="4" t="s">
        <v>570</v>
      </c>
      <c r="AQ2285" s="4"/>
      <c r="AR2285" s="4" t="s">
        <v>571</v>
      </c>
      <c r="AS2285" s="4" t="s">
        <v>572</v>
      </c>
      <c r="AT2285" s="4" t="s">
        <v>4214</v>
      </c>
      <c r="AU2285" s="4" t="n">
        <v>2011</v>
      </c>
      <c r="AV2285" s="4" t="n">
        <v>11</v>
      </c>
      <c r="AW2285" s="4"/>
      <c r="AX2285" s="4"/>
      <c r="AY2285" s="4"/>
      <c r="AZ2285" s="4"/>
      <c r="BA2285" s="4"/>
      <c r="BB2285" s="4"/>
      <c r="BC2285" s="4"/>
      <c r="BD2285" s="4" t="n">
        <v>65</v>
      </c>
      <c r="BE2285" s="4" t="s">
        <v>38494</v>
      </c>
      <c r="BF2285" s="4" t="str">
        <f aca="false">HYPERLINK("http://dx.doi.org/10.1186/1471-2334-11-65","http://dx.doi.org/10.1186/1471-2334-11-65")</f>
        <v>http://dx.doi.org/10.1186/1471-2334-11-65</v>
      </c>
      <c r="BG2285" s="4"/>
      <c r="BH2285" s="4"/>
      <c r="BI2285" s="4" t="n">
        <v>8</v>
      </c>
      <c r="BJ2285" s="4" t="s">
        <v>575</v>
      </c>
      <c r="BK2285" s="4" t="s">
        <v>100</v>
      </c>
      <c r="BL2285" s="4" t="s">
        <v>575</v>
      </c>
      <c r="BM2285" s="4" t="s">
        <v>38495</v>
      </c>
      <c r="BN2285" s="4" t="n">
        <v>21401965</v>
      </c>
      <c r="BO2285" s="4" t="s">
        <v>103</v>
      </c>
      <c r="BP2285" s="4"/>
      <c r="BQ2285" s="4"/>
      <c r="BR2285" s="4" t="s">
        <v>104</v>
      </c>
      <c r="BS2285" s="4" t="s">
        <v>38496</v>
      </c>
      <c r="BT2285" s="4" t="str">
        <f aca="false">HYPERLINK("https%3A%2F%2Fwww.webofscience.com%2Fwos%2Fwoscc%2Ffull-record%2FWOS:000288854400001","View Full Record in Web of Science")</f>
        <v>View Full Record in Web of Science</v>
      </c>
    </row>
    <row r="2286" s="5" customFormat="true" ht="12.75" hidden="false" customHeight="false" outlineLevel="0" collapsed="false">
      <c r="A2286" s="4" t="s">
        <v>72</v>
      </c>
      <c r="B2286" s="4" t="s">
        <v>38497</v>
      </c>
      <c r="C2286" s="4"/>
      <c r="D2286" s="4"/>
      <c r="E2286" s="4"/>
      <c r="F2286" s="4" t="s">
        <v>38498</v>
      </c>
      <c r="G2286" s="4"/>
      <c r="H2286" s="4"/>
      <c r="I2286" s="4" t="s">
        <v>38499</v>
      </c>
      <c r="J2286" s="4" t="s">
        <v>12792</v>
      </c>
      <c r="K2286" s="4"/>
      <c r="L2286" s="4"/>
      <c r="M2286" s="4" t="s">
        <v>77</v>
      </c>
      <c r="N2286" s="4" t="s">
        <v>78</v>
      </c>
      <c r="O2286" s="4"/>
      <c r="P2286" s="4"/>
      <c r="Q2286" s="4"/>
      <c r="R2286" s="4"/>
      <c r="S2286" s="4"/>
      <c r="T2286" s="1" t="s">
        <v>38500</v>
      </c>
      <c r="U2286" s="4" t="s">
        <v>38501</v>
      </c>
      <c r="V2286" s="4" t="s">
        <v>38502</v>
      </c>
      <c r="W2286" s="4" t="s">
        <v>38503</v>
      </c>
      <c r="X2286" s="4" t="s">
        <v>38504</v>
      </c>
      <c r="Y2286" s="4" t="s">
        <v>38505</v>
      </c>
      <c r="Z2286" s="4" t="s">
        <v>2252</v>
      </c>
      <c r="AA2286" s="4" t="s">
        <v>38506</v>
      </c>
      <c r="AB2286" s="4" t="s">
        <v>38507</v>
      </c>
      <c r="AC2286" s="4"/>
      <c r="AD2286" s="4"/>
      <c r="AE2286" s="4"/>
      <c r="AF2286" s="4"/>
      <c r="AG2286" s="4" t="n">
        <v>36</v>
      </c>
      <c r="AH2286" s="4" t="n">
        <v>18</v>
      </c>
      <c r="AI2286" s="4" t="n">
        <v>18</v>
      </c>
      <c r="AJ2286" s="4" t="n">
        <v>0</v>
      </c>
      <c r="AK2286" s="4" t="n">
        <v>5</v>
      </c>
      <c r="AL2286" s="4" t="s">
        <v>12800</v>
      </c>
      <c r="AM2286" s="4" t="s">
        <v>303</v>
      </c>
      <c r="AN2286" s="4" t="s">
        <v>12801</v>
      </c>
      <c r="AO2286" s="4" t="s">
        <v>12802</v>
      </c>
      <c r="AP2286" s="4" t="s">
        <v>14780</v>
      </c>
      <c r="AQ2286" s="4"/>
      <c r="AR2286" s="4" t="s">
        <v>12803</v>
      </c>
      <c r="AS2286" s="4" t="s">
        <v>12804</v>
      </c>
      <c r="AT2286" s="4" t="s">
        <v>1041</v>
      </c>
      <c r="AU2286" s="4" t="n">
        <v>2020</v>
      </c>
      <c r="AV2286" s="4" t="n">
        <v>55</v>
      </c>
      <c r="AW2286" s="4" t="n">
        <v>2</v>
      </c>
      <c r="AX2286" s="4"/>
      <c r="AY2286" s="4"/>
      <c r="AZ2286" s="4"/>
      <c r="BA2286" s="4"/>
      <c r="BB2286" s="4" t="n">
        <v>431</v>
      </c>
      <c r="BC2286" s="4" t="n">
        <v>440</v>
      </c>
      <c r="BD2286" s="4"/>
      <c r="BE2286" s="4" t="s">
        <v>38508</v>
      </c>
      <c r="BF2286" s="4" t="str">
        <f aca="false">HYPERLINK("http://dx.doi.org/10.1038/s41409-019-0698-7","http://dx.doi.org/10.1038/s41409-019-0698-7")</f>
        <v>http://dx.doi.org/10.1038/s41409-019-0698-7</v>
      </c>
      <c r="BG2286" s="4"/>
      <c r="BH2286" s="4"/>
      <c r="BI2286" s="4" t="n">
        <v>10</v>
      </c>
      <c r="BJ2286" s="4" t="s">
        <v>12806</v>
      </c>
      <c r="BK2286" s="4" t="s">
        <v>100</v>
      </c>
      <c r="BL2286" s="4" t="s">
        <v>12806</v>
      </c>
      <c r="BM2286" s="4" t="s">
        <v>38509</v>
      </c>
      <c r="BN2286" s="4" t="n">
        <v>31551521</v>
      </c>
      <c r="BO2286" s="4" t="s">
        <v>538</v>
      </c>
      <c r="BP2286" s="4"/>
      <c r="BQ2286" s="4"/>
      <c r="BR2286" s="4" t="s">
        <v>104</v>
      </c>
      <c r="BS2286" s="4" t="s">
        <v>38510</v>
      </c>
      <c r="BT2286" s="4" t="str">
        <f aca="false">HYPERLINK("https%3A%2F%2Fwww.webofscience.com%2Fwos%2Fwoscc%2Ffull-record%2FWOS:000511176900020","View Full Record in Web of Science")</f>
        <v>View Full Record in Web of Science</v>
      </c>
    </row>
    <row r="2287" s="5" customFormat="true" ht="12.75" hidden="false" customHeight="false" outlineLevel="0" collapsed="false">
      <c r="A2287" s="4" t="s">
        <v>72</v>
      </c>
      <c r="B2287" s="4" t="s">
        <v>38511</v>
      </c>
      <c r="C2287" s="4"/>
      <c r="D2287" s="4"/>
      <c r="E2287" s="4"/>
      <c r="F2287" s="4" t="s">
        <v>38512</v>
      </c>
      <c r="G2287" s="4"/>
      <c r="H2287" s="4"/>
      <c r="I2287" s="4" t="s">
        <v>38513</v>
      </c>
      <c r="J2287" s="4" t="s">
        <v>742</v>
      </c>
      <c r="K2287" s="4"/>
      <c r="L2287" s="4"/>
      <c r="M2287" s="4" t="s">
        <v>77</v>
      </c>
      <c r="N2287" s="4" t="s">
        <v>78</v>
      </c>
      <c r="O2287" s="4"/>
      <c r="P2287" s="4"/>
      <c r="Q2287" s="4"/>
      <c r="R2287" s="4"/>
      <c r="S2287" s="4"/>
      <c r="T2287" s="1" t="s">
        <v>38514</v>
      </c>
      <c r="U2287" s="4" t="s">
        <v>38515</v>
      </c>
      <c r="V2287" s="4" t="s">
        <v>38516</v>
      </c>
      <c r="W2287" s="4" t="s">
        <v>38517</v>
      </c>
      <c r="X2287" s="4" t="s">
        <v>38518</v>
      </c>
      <c r="Y2287" s="4" t="s">
        <v>38519</v>
      </c>
      <c r="Z2287" s="4" t="s">
        <v>38520</v>
      </c>
      <c r="AA2287" s="4" t="s">
        <v>38521</v>
      </c>
      <c r="AB2287" s="4" t="s">
        <v>38522</v>
      </c>
      <c r="AC2287" s="4" t="s">
        <v>38523</v>
      </c>
      <c r="AD2287" s="4" t="s">
        <v>38524</v>
      </c>
      <c r="AE2287" s="4" t="s">
        <v>38525</v>
      </c>
      <c r="AF2287" s="4"/>
      <c r="AG2287" s="4" t="n">
        <v>67</v>
      </c>
      <c r="AH2287" s="4" t="n">
        <v>773</v>
      </c>
      <c r="AI2287" s="4" t="n">
        <v>852</v>
      </c>
      <c r="AJ2287" s="4" t="n">
        <v>0</v>
      </c>
      <c r="AK2287" s="4" t="n">
        <v>47</v>
      </c>
      <c r="AL2287" s="4" t="s">
        <v>755</v>
      </c>
      <c r="AM2287" s="4" t="s">
        <v>273</v>
      </c>
      <c r="AN2287" s="4" t="s">
        <v>756</v>
      </c>
      <c r="AO2287" s="4" t="s">
        <v>757</v>
      </c>
      <c r="AP2287" s="4" t="s">
        <v>758</v>
      </c>
      <c r="AQ2287" s="4"/>
      <c r="AR2287" s="4" t="s">
        <v>759</v>
      </c>
      <c r="AS2287" s="4" t="s">
        <v>760</v>
      </c>
      <c r="AT2287" s="4" t="s">
        <v>390</v>
      </c>
      <c r="AU2287" s="4" t="n">
        <v>2011</v>
      </c>
      <c r="AV2287" s="4" t="n">
        <v>85</v>
      </c>
      <c r="AW2287" s="4" t="n">
        <v>9</v>
      </c>
      <c r="AX2287" s="4"/>
      <c r="AY2287" s="4"/>
      <c r="AZ2287" s="4"/>
      <c r="BA2287" s="4"/>
      <c r="BB2287" s="4" t="n">
        <v>4122</v>
      </c>
      <c r="BC2287" s="4" t="n">
        <v>4134</v>
      </c>
      <c r="BD2287" s="4"/>
      <c r="BE2287" s="4" t="s">
        <v>38526</v>
      </c>
      <c r="BF2287" s="4" t="str">
        <f aca="false">HYPERLINK("http://dx.doi.org/10.1128/JVI.02232-10","http://dx.doi.org/10.1128/JVI.02232-10")</f>
        <v>http://dx.doi.org/10.1128/JVI.02232-10</v>
      </c>
      <c r="BG2287" s="4"/>
      <c r="BH2287" s="4"/>
      <c r="BI2287" s="4" t="n">
        <v>13</v>
      </c>
      <c r="BJ2287" s="4" t="s">
        <v>163</v>
      </c>
      <c r="BK2287" s="4" t="s">
        <v>100</v>
      </c>
      <c r="BL2287" s="4" t="s">
        <v>163</v>
      </c>
      <c r="BM2287" s="4" t="s">
        <v>38527</v>
      </c>
      <c r="BN2287" s="4" t="n">
        <v>21325420</v>
      </c>
      <c r="BO2287" s="4" t="s">
        <v>165</v>
      </c>
      <c r="BP2287" s="4"/>
      <c r="BQ2287" s="4"/>
      <c r="BR2287" s="4" t="s">
        <v>104</v>
      </c>
      <c r="BS2287" s="4" t="s">
        <v>38528</v>
      </c>
      <c r="BT2287" s="4" t="str">
        <f aca="false">HYPERLINK("https%3A%2F%2Fwww.webofscience.com%2Fwos%2Fwoscc%2Ffull-record%2FWOS:000289618600007","View Full Record in Web of Science")</f>
        <v>View Full Record in Web of Science</v>
      </c>
    </row>
    <row r="2288" s="5" customFormat="true" ht="12.75" hidden="false" customHeight="false" outlineLevel="0" collapsed="false">
      <c r="A2288" s="4" t="s">
        <v>72</v>
      </c>
      <c r="B2288" s="4" t="s">
        <v>38529</v>
      </c>
      <c r="C2288" s="4"/>
      <c r="D2288" s="4"/>
      <c r="E2288" s="4"/>
      <c r="F2288" s="4" t="s">
        <v>38530</v>
      </c>
      <c r="G2288" s="4"/>
      <c r="H2288" s="4"/>
      <c r="I2288" s="4" t="s">
        <v>38531</v>
      </c>
      <c r="J2288" s="4" t="s">
        <v>38532</v>
      </c>
      <c r="K2288" s="4"/>
      <c r="L2288" s="4"/>
      <c r="M2288" s="4" t="s">
        <v>77</v>
      </c>
      <c r="N2288" s="4" t="s">
        <v>78</v>
      </c>
      <c r="O2288" s="4"/>
      <c r="P2288" s="4"/>
      <c r="Q2288" s="4"/>
      <c r="R2288" s="4"/>
      <c r="S2288" s="4"/>
      <c r="T2288" s="1" t="s">
        <v>38533</v>
      </c>
      <c r="U2288" s="4" t="s">
        <v>38534</v>
      </c>
      <c r="V2288" s="4" t="s">
        <v>38535</v>
      </c>
      <c r="W2288" s="4" t="s">
        <v>38536</v>
      </c>
      <c r="X2288" s="4" t="s">
        <v>38537</v>
      </c>
      <c r="Y2288" s="4" t="s">
        <v>38538</v>
      </c>
      <c r="Z2288" s="4" t="s">
        <v>38539</v>
      </c>
      <c r="AA2288" s="4" t="s">
        <v>38540</v>
      </c>
      <c r="AB2288" s="4" t="s">
        <v>38541</v>
      </c>
      <c r="AC2288" s="4" t="s">
        <v>38542</v>
      </c>
      <c r="AD2288" s="4" t="s">
        <v>38543</v>
      </c>
      <c r="AE2288" s="4" t="s">
        <v>38544</v>
      </c>
      <c r="AF2288" s="4"/>
      <c r="AG2288" s="4" t="n">
        <v>28</v>
      </c>
      <c r="AH2288" s="4" t="n">
        <v>0</v>
      </c>
      <c r="AI2288" s="4" t="n">
        <v>0</v>
      </c>
      <c r="AJ2288" s="4" t="n">
        <v>1</v>
      </c>
      <c r="AK2288" s="4" t="n">
        <v>1</v>
      </c>
      <c r="AL2288" s="4" t="s">
        <v>38545</v>
      </c>
      <c r="AM2288" s="4" t="s">
        <v>38546</v>
      </c>
      <c r="AN2288" s="4" t="s">
        <v>38547</v>
      </c>
      <c r="AO2288" s="4" t="s">
        <v>38548</v>
      </c>
      <c r="AP2288" s="4" t="s">
        <v>38549</v>
      </c>
      <c r="AQ2288" s="4"/>
      <c r="AR2288" s="4" t="s">
        <v>38550</v>
      </c>
      <c r="AS2288" s="4" t="s">
        <v>38551</v>
      </c>
      <c r="AT2288" s="4" t="s">
        <v>13916</v>
      </c>
      <c r="AU2288" s="4" t="n">
        <v>2023</v>
      </c>
      <c r="AV2288" s="4" t="n">
        <v>153</v>
      </c>
      <c r="AW2288" s="4"/>
      <c r="AX2288" s="4"/>
      <c r="AY2288" s="4"/>
      <c r="AZ2288" s="4"/>
      <c r="BA2288" s="4"/>
      <c r="BB2288" s="4"/>
      <c r="BC2288" s="4"/>
      <c r="BD2288" s="4" t="n">
        <v>40040</v>
      </c>
      <c r="BE2288" s="4" t="s">
        <v>38552</v>
      </c>
      <c r="BF2288" s="4" t="str">
        <f aca="false">HYPERLINK("http://dx.doi.org/10.57187/smw.2023.40040","http://dx.doi.org/10.57187/smw.2023.40040")</f>
        <v>http://dx.doi.org/10.57187/smw.2023.40040</v>
      </c>
      <c r="BG2288" s="4"/>
      <c r="BH2288" s="4"/>
      <c r="BI2288" s="4" t="n">
        <v>10</v>
      </c>
      <c r="BJ2288" s="4" t="s">
        <v>363</v>
      </c>
      <c r="BK2288" s="4" t="s">
        <v>100</v>
      </c>
      <c r="BL2288" s="4" t="s">
        <v>364</v>
      </c>
      <c r="BM2288" s="4" t="s">
        <v>38553</v>
      </c>
      <c r="BN2288" s="4" t="n">
        <v>36800889</v>
      </c>
      <c r="BO2288" s="4" t="s">
        <v>38554</v>
      </c>
      <c r="BP2288" s="4"/>
      <c r="BQ2288" s="4"/>
      <c r="BR2288" s="4" t="s">
        <v>104</v>
      </c>
      <c r="BS2288" s="4" t="s">
        <v>38555</v>
      </c>
      <c r="BT2288" s="4" t="str">
        <f aca="false">HYPERLINK("https%3A%2F%2Fwww.webofscience.com%2Fwos%2Fwoscc%2Ffull-record%2FWOS:001020619000003","View Full Record in Web of Science")</f>
        <v>View Full Record in Web of Science</v>
      </c>
    </row>
    <row r="2289" s="5" customFormat="true" ht="12.75" hidden="false" customHeight="false" outlineLevel="0" collapsed="false">
      <c r="A2289" s="4" t="s">
        <v>72</v>
      </c>
      <c r="B2289" s="4" t="s">
        <v>38556</v>
      </c>
      <c r="C2289" s="4"/>
      <c r="D2289" s="4"/>
      <c r="E2289" s="4"/>
      <c r="F2289" s="4" t="s">
        <v>38557</v>
      </c>
      <c r="G2289" s="4"/>
      <c r="H2289" s="4"/>
      <c r="I2289" s="4" t="s">
        <v>38558</v>
      </c>
      <c r="J2289" s="4" t="s">
        <v>2021</v>
      </c>
      <c r="K2289" s="4"/>
      <c r="L2289" s="4"/>
      <c r="M2289" s="4" t="s">
        <v>77</v>
      </c>
      <c r="N2289" s="4" t="s">
        <v>78</v>
      </c>
      <c r="O2289" s="4"/>
      <c r="P2289" s="4"/>
      <c r="Q2289" s="4"/>
      <c r="R2289" s="4"/>
      <c r="S2289" s="4"/>
      <c r="T2289" s="1" t="s">
        <v>38559</v>
      </c>
      <c r="U2289" s="4" t="s">
        <v>38560</v>
      </c>
      <c r="V2289" s="4" t="s">
        <v>38561</v>
      </c>
      <c r="W2289" s="4" t="s">
        <v>38562</v>
      </c>
      <c r="X2289" s="4" t="s">
        <v>38563</v>
      </c>
      <c r="Y2289" s="4" t="s">
        <v>38564</v>
      </c>
      <c r="Z2289" s="4" t="s">
        <v>33754</v>
      </c>
      <c r="AA2289" s="4" t="s">
        <v>38565</v>
      </c>
      <c r="AB2289" s="4"/>
      <c r="AC2289" s="4" t="s">
        <v>38566</v>
      </c>
      <c r="AD2289" s="4" t="s">
        <v>38566</v>
      </c>
      <c r="AE2289" s="4" t="s">
        <v>38567</v>
      </c>
      <c r="AF2289" s="4"/>
      <c r="AG2289" s="4" t="n">
        <v>21</v>
      </c>
      <c r="AH2289" s="4" t="n">
        <v>94</v>
      </c>
      <c r="AI2289" s="4" t="n">
        <v>95</v>
      </c>
      <c r="AJ2289" s="4" t="n">
        <v>0</v>
      </c>
      <c r="AK2289" s="4" t="n">
        <v>0</v>
      </c>
      <c r="AL2289" s="4" t="s">
        <v>527</v>
      </c>
      <c r="AM2289" s="4" t="s">
        <v>528</v>
      </c>
      <c r="AN2289" s="4" t="s">
        <v>529</v>
      </c>
      <c r="AO2289" s="4" t="s">
        <v>2033</v>
      </c>
      <c r="AP2289" s="4" t="s">
        <v>2034</v>
      </c>
      <c r="AQ2289" s="4"/>
      <c r="AR2289" s="4" t="s">
        <v>2035</v>
      </c>
      <c r="AS2289" s="4" t="s">
        <v>2036</v>
      </c>
      <c r="AT2289" s="4" t="s">
        <v>38568</v>
      </c>
      <c r="AU2289" s="4" t="n">
        <v>2022</v>
      </c>
      <c r="AV2289" s="4" t="n">
        <v>74</v>
      </c>
      <c r="AW2289" s="4" t="n">
        <v>6</v>
      </c>
      <c r="AX2289" s="4"/>
      <c r="AY2289" s="4"/>
      <c r="AZ2289" s="4"/>
      <c r="BA2289" s="4"/>
      <c r="BB2289" s="4" t="n">
        <v>1004</v>
      </c>
      <c r="BC2289" s="4" t="n">
        <v>1011</v>
      </c>
      <c r="BD2289" s="4"/>
      <c r="BE2289" s="4" t="s">
        <v>38569</v>
      </c>
      <c r="BF2289" s="4" t="str">
        <f aca="false">HYPERLINK("http://dx.doi.org/10.1093/cid/ciab595","http://dx.doi.org/10.1093/cid/ciab595")</f>
        <v>http://dx.doi.org/10.1093/cid/ciab595</v>
      </c>
      <c r="BG2289" s="4"/>
      <c r="BH2289" s="4" t="s">
        <v>2112</v>
      </c>
      <c r="BI2289" s="4" t="n">
        <v>8</v>
      </c>
      <c r="BJ2289" s="4" t="s">
        <v>536</v>
      </c>
      <c r="BK2289" s="4" t="s">
        <v>100</v>
      </c>
      <c r="BL2289" s="4" t="s">
        <v>536</v>
      </c>
      <c r="BM2289" s="4" t="s">
        <v>38570</v>
      </c>
      <c r="BN2289" s="4" t="n">
        <v>34244735</v>
      </c>
      <c r="BO2289" s="4"/>
      <c r="BP2289" s="4"/>
      <c r="BQ2289" s="4"/>
      <c r="BR2289" s="4" t="s">
        <v>104</v>
      </c>
      <c r="BS2289" s="4" t="s">
        <v>38571</v>
      </c>
      <c r="BT2289" s="4" t="str">
        <f aca="false">HYPERLINK("https%3A%2F%2Fwww.webofscience.com%2Fwos%2Fwoscc%2Ffull-record%2FWOS:000755831900001","View Full Record in Web of Science")</f>
        <v>View Full Record in Web of Science</v>
      </c>
    </row>
    <row r="2290" s="5" customFormat="true" ht="12.75" hidden="false" customHeight="false" outlineLevel="0" collapsed="false">
      <c r="A2290" s="4" t="s">
        <v>72</v>
      </c>
      <c r="B2290" s="4" t="s">
        <v>38572</v>
      </c>
      <c r="C2290" s="4"/>
      <c r="D2290" s="4"/>
      <c r="E2290" s="4"/>
      <c r="F2290" s="4" t="s">
        <v>38573</v>
      </c>
      <c r="G2290" s="4"/>
      <c r="H2290" s="4"/>
      <c r="I2290" s="4" t="s">
        <v>38574</v>
      </c>
      <c r="J2290" s="4" t="s">
        <v>27497</v>
      </c>
      <c r="K2290" s="4"/>
      <c r="L2290" s="4"/>
      <c r="M2290" s="4" t="s">
        <v>77</v>
      </c>
      <c r="N2290" s="4" t="s">
        <v>78</v>
      </c>
      <c r="O2290" s="4"/>
      <c r="P2290" s="4"/>
      <c r="Q2290" s="4"/>
      <c r="R2290" s="4"/>
      <c r="S2290" s="4"/>
      <c r="T2290" s="1" t="s">
        <v>38575</v>
      </c>
      <c r="U2290" s="4" t="s">
        <v>38576</v>
      </c>
      <c r="V2290" s="4" t="s">
        <v>38577</v>
      </c>
      <c r="W2290" s="4" t="s">
        <v>38578</v>
      </c>
      <c r="X2290" s="4" t="s">
        <v>38579</v>
      </c>
      <c r="Y2290" s="4" t="s">
        <v>38580</v>
      </c>
      <c r="Z2290" s="4" t="s">
        <v>25511</v>
      </c>
      <c r="AA2290" s="4" t="s">
        <v>38581</v>
      </c>
      <c r="AB2290" s="4" t="s">
        <v>38582</v>
      </c>
      <c r="AC2290" s="4" t="s">
        <v>38583</v>
      </c>
      <c r="AD2290" s="4" t="s">
        <v>38584</v>
      </c>
      <c r="AE2290" s="4" t="s">
        <v>38585</v>
      </c>
      <c r="AF2290" s="4"/>
      <c r="AG2290" s="4" t="n">
        <v>25</v>
      </c>
      <c r="AH2290" s="4" t="n">
        <v>69</v>
      </c>
      <c r="AI2290" s="4" t="n">
        <v>74</v>
      </c>
      <c r="AJ2290" s="4" t="n">
        <v>0</v>
      </c>
      <c r="AK2290" s="4" t="n">
        <v>5</v>
      </c>
      <c r="AL2290" s="4" t="s">
        <v>27506</v>
      </c>
      <c r="AM2290" s="4" t="s">
        <v>27507</v>
      </c>
      <c r="AN2290" s="4" t="s">
        <v>27508</v>
      </c>
      <c r="AO2290" s="4" t="s">
        <v>27509</v>
      </c>
      <c r="AP2290" s="4"/>
      <c r="AQ2290" s="4"/>
      <c r="AR2290" s="4" t="s">
        <v>27497</v>
      </c>
      <c r="AS2290" s="4" t="s">
        <v>27510</v>
      </c>
      <c r="AT2290" s="4" t="s">
        <v>20000</v>
      </c>
      <c r="AU2290" s="4" t="n">
        <v>2012</v>
      </c>
      <c r="AV2290" s="4" t="n">
        <v>7</v>
      </c>
      <c r="AW2290" s="4" t="n">
        <v>8</v>
      </c>
      <c r="AX2290" s="4"/>
      <c r="AY2290" s="4"/>
      <c r="AZ2290" s="4"/>
      <c r="BA2290" s="4"/>
      <c r="BB2290" s="4"/>
      <c r="BC2290" s="4"/>
      <c r="BD2290" s="4" t="s">
        <v>38586</v>
      </c>
      <c r="BE2290" s="4" t="s">
        <v>38587</v>
      </c>
      <c r="BF2290" s="4" t="str">
        <f aca="false">HYPERLINK("http://dx.doi.org/10.1371/journal.pone.0042136","http://dx.doi.org/10.1371/journal.pone.0042136")</f>
        <v>http://dx.doi.org/10.1371/journal.pone.0042136</v>
      </c>
      <c r="BG2290" s="4"/>
      <c r="BH2290" s="4"/>
      <c r="BI2290" s="4" t="n">
        <v>11</v>
      </c>
      <c r="BJ2290" s="4" t="s">
        <v>1658</v>
      </c>
      <c r="BK2290" s="4" t="s">
        <v>100</v>
      </c>
      <c r="BL2290" s="4" t="s">
        <v>1659</v>
      </c>
      <c r="BM2290" s="4" t="s">
        <v>38588</v>
      </c>
      <c r="BN2290" s="4" t="n">
        <v>22870291</v>
      </c>
      <c r="BO2290" s="4" t="s">
        <v>6349</v>
      </c>
      <c r="BP2290" s="4"/>
      <c r="BQ2290" s="4"/>
      <c r="BR2290" s="4" t="s">
        <v>104</v>
      </c>
      <c r="BS2290" s="4" t="s">
        <v>38589</v>
      </c>
      <c r="BT2290" s="4" t="str">
        <f aca="false">HYPERLINK("https%3A%2F%2Fwww.webofscience.com%2Fwos%2Fwoscc%2Ffull-record%2FWOS:000307284100047","View Full Record in Web of Science")</f>
        <v>View Full Record in Web of Science</v>
      </c>
    </row>
    <row r="2291" s="5" customFormat="true" ht="12.75" hidden="false" customHeight="false" outlineLevel="0" collapsed="false">
      <c r="A2291" s="4" t="s">
        <v>72</v>
      </c>
      <c r="B2291" s="4" t="s">
        <v>38590</v>
      </c>
      <c r="C2291" s="4"/>
      <c r="D2291" s="4"/>
      <c r="E2291" s="4"/>
      <c r="F2291" s="4" t="s">
        <v>38591</v>
      </c>
      <c r="G2291" s="4"/>
      <c r="H2291" s="4"/>
      <c r="I2291" s="4" t="s">
        <v>38592</v>
      </c>
      <c r="J2291" s="4" t="s">
        <v>4235</v>
      </c>
      <c r="K2291" s="4"/>
      <c r="L2291" s="4"/>
      <c r="M2291" s="4" t="s">
        <v>77</v>
      </c>
      <c r="N2291" s="4" t="s">
        <v>78</v>
      </c>
      <c r="O2291" s="4"/>
      <c r="P2291" s="4"/>
      <c r="Q2291" s="4"/>
      <c r="R2291" s="4"/>
      <c r="S2291" s="4"/>
      <c r="T2291" s="1" t="s">
        <v>38593</v>
      </c>
      <c r="U2291" s="4" t="s">
        <v>38594</v>
      </c>
      <c r="V2291" s="4" t="s">
        <v>38595</v>
      </c>
      <c r="W2291" s="4" t="s">
        <v>38596</v>
      </c>
      <c r="X2291" s="4" t="s">
        <v>38597</v>
      </c>
      <c r="Y2291" s="4" t="s">
        <v>38598</v>
      </c>
      <c r="Z2291" s="4" t="s">
        <v>38599</v>
      </c>
      <c r="AA2291" s="4" t="s">
        <v>38600</v>
      </c>
      <c r="AB2291" s="4" t="s">
        <v>38601</v>
      </c>
      <c r="AC2291" s="4" t="s">
        <v>38602</v>
      </c>
      <c r="AD2291" s="4" t="s">
        <v>38603</v>
      </c>
      <c r="AE2291" s="4" t="s">
        <v>38604</v>
      </c>
      <c r="AF2291" s="4"/>
      <c r="AG2291" s="4" t="n">
        <v>24</v>
      </c>
      <c r="AH2291" s="4" t="n">
        <v>9</v>
      </c>
      <c r="AI2291" s="4" t="n">
        <v>12</v>
      </c>
      <c r="AJ2291" s="4" t="n">
        <v>0</v>
      </c>
      <c r="AK2291" s="4" t="n">
        <v>0</v>
      </c>
      <c r="AL2291" s="4" t="s">
        <v>302</v>
      </c>
      <c r="AM2291" s="4" t="s">
        <v>303</v>
      </c>
      <c r="AN2291" s="4" t="s">
        <v>304</v>
      </c>
      <c r="AO2291" s="4" t="s">
        <v>4248</v>
      </c>
      <c r="AP2291" s="4"/>
      <c r="AQ2291" s="4"/>
      <c r="AR2291" s="4" t="s">
        <v>4249</v>
      </c>
      <c r="AS2291" s="4" t="s">
        <v>4250</v>
      </c>
      <c r="AT2291" s="4"/>
      <c r="AU2291" s="4" t="n">
        <v>2011</v>
      </c>
      <c r="AV2291" s="4" t="n">
        <v>11</v>
      </c>
      <c r="AW2291" s="4"/>
      <c r="AX2291" s="4"/>
      <c r="AY2291" s="4"/>
      <c r="AZ2291" s="4"/>
      <c r="BA2291" s="4"/>
      <c r="BB2291" s="4"/>
      <c r="BC2291" s="4"/>
      <c r="BD2291" s="4" t="n">
        <v>38</v>
      </c>
      <c r="BE2291" s="4" t="s">
        <v>38605</v>
      </c>
      <c r="BF2291" s="4" t="str">
        <f aca="false">HYPERLINK("http://dx.doi.org/10.1186/1471-2466-11-38","http://dx.doi.org/10.1186/1471-2466-11-38")</f>
        <v>http://dx.doi.org/10.1186/1471-2466-11-38</v>
      </c>
      <c r="BG2291" s="4"/>
      <c r="BH2291" s="4"/>
      <c r="BI2291" s="4" t="n">
        <v>6</v>
      </c>
      <c r="BJ2291" s="4" t="s">
        <v>338</v>
      </c>
      <c r="BK2291" s="4" t="s">
        <v>100</v>
      </c>
      <c r="BL2291" s="4" t="s">
        <v>338</v>
      </c>
      <c r="BM2291" s="4" t="s">
        <v>38606</v>
      </c>
      <c r="BN2291" s="4" t="n">
        <v>21693045</v>
      </c>
      <c r="BO2291" s="4" t="s">
        <v>103</v>
      </c>
      <c r="BP2291" s="4"/>
      <c r="BQ2291" s="4"/>
      <c r="BR2291" s="4" t="s">
        <v>104</v>
      </c>
      <c r="BS2291" s="4" t="s">
        <v>38607</v>
      </c>
      <c r="BT2291" s="4" t="str">
        <f aca="false">HYPERLINK("https%3A%2F%2Fwww.webofscience.com%2Fwos%2Fwoscc%2Ffull-record%2FWOS:000208592800038","View Full Record in Web of Science")</f>
        <v>View Full Record in Web of Science</v>
      </c>
    </row>
    <row r="2292" s="5" customFormat="true" ht="12.75" hidden="false" customHeight="false" outlineLevel="0" collapsed="false">
      <c r="A2292" s="4" t="s">
        <v>72</v>
      </c>
      <c r="B2292" s="4" t="s">
        <v>38608</v>
      </c>
      <c r="C2292" s="4"/>
      <c r="D2292" s="4"/>
      <c r="E2292" s="4"/>
      <c r="F2292" s="4" t="s">
        <v>38609</v>
      </c>
      <c r="G2292" s="4"/>
      <c r="H2292" s="4"/>
      <c r="I2292" s="4" t="s">
        <v>38610</v>
      </c>
      <c r="J2292" s="4" t="s">
        <v>7060</v>
      </c>
      <c r="K2292" s="4"/>
      <c r="L2292" s="4"/>
      <c r="M2292" s="4" t="s">
        <v>77</v>
      </c>
      <c r="N2292" s="4" t="s">
        <v>78</v>
      </c>
      <c r="O2292" s="4"/>
      <c r="P2292" s="4"/>
      <c r="Q2292" s="4"/>
      <c r="R2292" s="4"/>
      <c r="S2292" s="4"/>
      <c r="T2292" s="1" t="s">
        <v>38611</v>
      </c>
      <c r="U2292" s="4" t="s">
        <v>38612</v>
      </c>
      <c r="V2292" s="4" t="s">
        <v>38613</v>
      </c>
      <c r="W2292" s="4" t="s">
        <v>38614</v>
      </c>
      <c r="X2292" s="4" t="s">
        <v>38615</v>
      </c>
      <c r="Y2292" s="4" t="s">
        <v>7472</v>
      </c>
      <c r="Z2292" s="4" t="s">
        <v>7473</v>
      </c>
      <c r="AA2292" s="4" t="s">
        <v>38616</v>
      </c>
      <c r="AB2292" s="4" t="s">
        <v>38617</v>
      </c>
      <c r="AC2292" s="4" t="s">
        <v>38618</v>
      </c>
      <c r="AD2292" s="4" t="s">
        <v>38619</v>
      </c>
      <c r="AE2292" s="4" t="s">
        <v>38620</v>
      </c>
      <c r="AF2292" s="4"/>
      <c r="AG2292" s="4" t="n">
        <v>50</v>
      </c>
      <c r="AH2292" s="4" t="n">
        <v>84</v>
      </c>
      <c r="AI2292" s="4" t="n">
        <v>86</v>
      </c>
      <c r="AJ2292" s="4" t="n">
        <v>0</v>
      </c>
      <c r="AK2292" s="4" t="n">
        <v>5</v>
      </c>
      <c r="AL2292" s="4" t="s">
        <v>7073</v>
      </c>
      <c r="AM2292" s="4" t="s">
        <v>31220</v>
      </c>
      <c r="AN2292" s="4" t="s">
        <v>31221</v>
      </c>
      <c r="AO2292" s="4" t="s">
        <v>7076</v>
      </c>
      <c r="AP2292" s="4" t="s">
        <v>7291</v>
      </c>
      <c r="AQ2292" s="4"/>
      <c r="AR2292" s="4" t="s">
        <v>7060</v>
      </c>
      <c r="AS2292" s="4" t="s">
        <v>601</v>
      </c>
      <c r="AT2292" s="4" t="s">
        <v>692</v>
      </c>
      <c r="AU2292" s="4" t="n">
        <v>2016</v>
      </c>
      <c r="AV2292" s="4" t="n">
        <v>137</v>
      </c>
      <c r="AW2292" s="4" t="n">
        <v>4</v>
      </c>
      <c r="AX2292" s="4"/>
      <c r="AY2292" s="4"/>
      <c r="AZ2292" s="4"/>
      <c r="BA2292" s="4"/>
      <c r="BB2292" s="4"/>
      <c r="BC2292" s="4"/>
      <c r="BD2292" s="4" t="s">
        <v>38621</v>
      </c>
      <c r="BE2292" s="4" t="s">
        <v>38622</v>
      </c>
      <c r="BF2292" s="4" t="str">
        <f aca="false">HYPERLINK("http://dx.doi.org/10.1542/peds.2015-3272","http://dx.doi.org/10.1542/peds.2015-3272")</f>
        <v>http://dx.doi.org/10.1542/peds.2015-3272</v>
      </c>
      <c r="BG2292" s="4"/>
      <c r="BH2292" s="4"/>
      <c r="BI2292" s="4" t="n">
        <v>10</v>
      </c>
      <c r="BJ2292" s="4" t="s">
        <v>601</v>
      </c>
      <c r="BK2292" s="4" t="s">
        <v>100</v>
      </c>
      <c r="BL2292" s="4" t="s">
        <v>601</v>
      </c>
      <c r="BM2292" s="4" t="s">
        <v>38623</v>
      </c>
      <c r="BN2292" s="4" t="n">
        <v>27025960</v>
      </c>
      <c r="BO2292" s="4" t="s">
        <v>38624</v>
      </c>
      <c r="BP2292" s="4"/>
      <c r="BQ2292" s="4"/>
      <c r="BR2292" s="4" t="s">
        <v>104</v>
      </c>
      <c r="BS2292" s="4" t="s">
        <v>38625</v>
      </c>
      <c r="BT2292" s="4" t="str">
        <f aca="false">HYPERLINK("https%3A%2F%2Fwww.webofscience.com%2Fwos%2Fwoscc%2Ffull-record%2FWOS:000373197500034","View Full Record in Web of Science")</f>
        <v>View Full Record in Web of Science</v>
      </c>
    </row>
    <row r="2293" s="5" customFormat="true" ht="12.75" hidden="false" customHeight="false" outlineLevel="0" collapsed="false">
      <c r="A2293" s="4" t="s">
        <v>72</v>
      </c>
      <c r="B2293" s="4" t="s">
        <v>38626</v>
      </c>
      <c r="C2293" s="4"/>
      <c r="D2293" s="4"/>
      <c r="E2293" s="4"/>
      <c r="F2293" s="4" t="s">
        <v>38627</v>
      </c>
      <c r="G2293" s="4"/>
      <c r="H2293" s="4"/>
      <c r="I2293" s="4" t="s">
        <v>38628</v>
      </c>
      <c r="J2293" s="4" t="s">
        <v>38629</v>
      </c>
      <c r="K2293" s="4"/>
      <c r="L2293" s="4"/>
      <c r="M2293" s="4" t="s">
        <v>77</v>
      </c>
      <c r="N2293" s="4" t="s">
        <v>78</v>
      </c>
      <c r="O2293" s="4"/>
      <c r="P2293" s="4"/>
      <c r="Q2293" s="4"/>
      <c r="R2293" s="4"/>
      <c r="S2293" s="4"/>
      <c r="T2293" s="1" t="s">
        <v>38630</v>
      </c>
      <c r="U2293" s="4"/>
      <c r="V2293" s="4" t="s">
        <v>38631</v>
      </c>
      <c r="W2293" s="4" t="s">
        <v>38632</v>
      </c>
      <c r="X2293" s="4" t="s">
        <v>38633</v>
      </c>
      <c r="Y2293" s="4" t="s">
        <v>38634</v>
      </c>
      <c r="Z2293" s="4" t="s">
        <v>38635</v>
      </c>
      <c r="AA2293" s="4" t="s">
        <v>38636</v>
      </c>
      <c r="AB2293" s="4" t="s">
        <v>38637</v>
      </c>
      <c r="AC2293" s="4"/>
      <c r="AD2293" s="4"/>
      <c r="AE2293" s="4"/>
      <c r="AF2293" s="4"/>
      <c r="AG2293" s="4" t="n">
        <v>37</v>
      </c>
      <c r="AH2293" s="4" t="n">
        <v>23</v>
      </c>
      <c r="AI2293" s="4" t="n">
        <v>23</v>
      </c>
      <c r="AJ2293" s="4" t="n">
        <v>0</v>
      </c>
      <c r="AK2293" s="4" t="n">
        <v>4</v>
      </c>
      <c r="AL2293" s="4" t="s">
        <v>1460</v>
      </c>
      <c r="AM2293" s="4" t="s">
        <v>593</v>
      </c>
      <c r="AN2293" s="4" t="s">
        <v>2088</v>
      </c>
      <c r="AO2293" s="4" t="s">
        <v>38638</v>
      </c>
      <c r="AP2293" s="4" t="s">
        <v>38639</v>
      </c>
      <c r="AQ2293" s="4"/>
      <c r="AR2293" s="4" t="s">
        <v>38640</v>
      </c>
      <c r="AS2293" s="4" t="s">
        <v>38641</v>
      </c>
      <c r="AT2293" s="4" t="s">
        <v>446</v>
      </c>
      <c r="AU2293" s="4" t="n">
        <v>2021</v>
      </c>
      <c r="AV2293" s="4" t="n">
        <v>96</v>
      </c>
      <c r="AW2293" s="4" t="n">
        <v>12</v>
      </c>
      <c r="AX2293" s="4"/>
      <c r="AY2293" s="4"/>
      <c r="AZ2293" s="4"/>
      <c r="BA2293" s="4"/>
      <c r="BB2293" s="4" t="n">
        <v>3042</v>
      </c>
      <c r="BC2293" s="4" t="n">
        <v>3052</v>
      </c>
      <c r="BD2293" s="4"/>
      <c r="BE2293" s="4" t="s">
        <v>38642</v>
      </c>
      <c r="BF2293" s="4" t="str">
        <f aca="false">HYPERLINK("http://dx.doi.org/10.1016/j.mayocp.2021.09.004","http://dx.doi.org/10.1016/j.mayocp.2021.09.004")</f>
        <v>http://dx.doi.org/10.1016/j.mayocp.2021.09.004</v>
      </c>
      <c r="BG2293" s="4"/>
      <c r="BH2293" s="4" t="s">
        <v>38643</v>
      </c>
      <c r="BI2293" s="4" t="n">
        <v>11</v>
      </c>
      <c r="BJ2293" s="4" t="s">
        <v>363</v>
      </c>
      <c r="BK2293" s="4" t="s">
        <v>100</v>
      </c>
      <c r="BL2293" s="4" t="s">
        <v>364</v>
      </c>
      <c r="BM2293" s="4" t="s">
        <v>38644</v>
      </c>
      <c r="BN2293" s="4" t="n">
        <v>34863395</v>
      </c>
      <c r="BO2293" s="4" t="s">
        <v>136</v>
      </c>
      <c r="BP2293" s="4"/>
      <c r="BQ2293" s="4"/>
      <c r="BR2293" s="4" t="s">
        <v>104</v>
      </c>
      <c r="BS2293" s="4" t="s">
        <v>38645</v>
      </c>
      <c r="BT2293" s="4" t="str">
        <f aca="false">HYPERLINK("https%3A%2F%2Fwww.webofscience.com%2Fwos%2Fwoscc%2Ffull-record%2FWOS:000726699200018","View Full Record in Web of Science")</f>
        <v>View Full Record in Web of Science</v>
      </c>
    </row>
    <row r="2294" s="5" customFormat="true" ht="12.75" hidden="false" customHeight="false" outlineLevel="0" collapsed="false">
      <c r="A2294" s="4" t="s">
        <v>72</v>
      </c>
      <c r="B2294" s="4" t="s">
        <v>38646</v>
      </c>
      <c r="C2294" s="4"/>
      <c r="D2294" s="4"/>
      <c r="E2294" s="4"/>
      <c r="F2294" s="4" t="s">
        <v>38647</v>
      </c>
      <c r="G2294" s="4"/>
      <c r="H2294" s="4"/>
      <c r="I2294" s="4" t="s">
        <v>38648</v>
      </c>
      <c r="J2294" s="4" t="s">
        <v>27497</v>
      </c>
      <c r="K2294" s="4"/>
      <c r="L2294" s="4"/>
      <c r="M2294" s="4" t="s">
        <v>77</v>
      </c>
      <c r="N2294" s="4" t="s">
        <v>78</v>
      </c>
      <c r="O2294" s="4"/>
      <c r="P2294" s="4"/>
      <c r="Q2294" s="4"/>
      <c r="R2294" s="4"/>
      <c r="S2294" s="4"/>
      <c r="T2294" s="1" t="s">
        <v>38649</v>
      </c>
      <c r="U2294" s="4" t="s">
        <v>38650</v>
      </c>
      <c r="V2294" s="4" t="s">
        <v>38651</v>
      </c>
      <c r="W2294" s="4" t="s">
        <v>38652</v>
      </c>
      <c r="X2294" s="4" t="s">
        <v>38653</v>
      </c>
      <c r="Y2294" s="4" t="s">
        <v>38654</v>
      </c>
      <c r="Z2294" s="4" t="s">
        <v>38655</v>
      </c>
      <c r="AA2294" s="4" t="s">
        <v>38656</v>
      </c>
      <c r="AB2294" s="4" t="s">
        <v>38657</v>
      </c>
      <c r="AC2294" s="4" t="s">
        <v>38658</v>
      </c>
      <c r="AD2294" s="4" t="s">
        <v>38659</v>
      </c>
      <c r="AE2294" s="4" t="s">
        <v>38660</v>
      </c>
      <c r="AF2294" s="4"/>
      <c r="AG2294" s="4" t="n">
        <v>46</v>
      </c>
      <c r="AH2294" s="4" t="n">
        <v>23</v>
      </c>
      <c r="AI2294" s="4" t="n">
        <v>28</v>
      </c>
      <c r="AJ2294" s="4" t="n">
        <v>0</v>
      </c>
      <c r="AK2294" s="4" t="n">
        <v>1</v>
      </c>
      <c r="AL2294" s="4" t="s">
        <v>27506</v>
      </c>
      <c r="AM2294" s="4" t="s">
        <v>27507</v>
      </c>
      <c r="AN2294" s="4" t="s">
        <v>27508</v>
      </c>
      <c r="AO2294" s="4" t="s">
        <v>27509</v>
      </c>
      <c r="AP2294" s="4"/>
      <c r="AQ2294" s="4"/>
      <c r="AR2294" s="4" t="s">
        <v>27497</v>
      </c>
      <c r="AS2294" s="4" t="s">
        <v>27510</v>
      </c>
      <c r="AT2294" s="4" t="s">
        <v>38661</v>
      </c>
      <c r="AU2294" s="4" t="n">
        <v>2016</v>
      </c>
      <c r="AV2294" s="4" t="n">
        <v>11</v>
      </c>
      <c r="AW2294" s="4" t="n">
        <v>3</v>
      </c>
      <c r="AX2294" s="4"/>
      <c r="AY2294" s="4"/>
      <c r="AZ2294" s="4"/>
      <c r="BA2294" s="4"/>
      <c r="BB2294" s="4"/>
      <c r="BC2294" s="4"/>
      <c r="BD2294" s="4" t="s">
        <v>38662</v>
      </c>
      <c r="BE2294" s="4" t="s">
        <v>38663</v>
      </c>
      <c r="BF2294" s="4" t="str">
        <f aca="false">HYPERLINK("http://dx.doi.org/10.1371/journal.pone.0150776","http://dx.doi.org/10.1371/journal.pone.0150776")</f>
        <v>http://dx.doi.org/10.1371/journal.pone.0150776</v>
      </c>
      <c r="BG2294" s="4"/>
      <c r="BH2294" s="4"/>
      <c r="BI2294" s="4" t="n">
        <v>15</v>
      </c>
      <c r="BJ2294" s="4" t="s">
        <v>1658</v>
      </c>
      <c r="BK2294" s="4" t="s">
        <v>100</v>
      </c>
      <c r="BL2294" s="4" t="s">
        <v>1659</v>
      </c>
      <c r="BM2294" s="4" t="s">
        <v>38664</v>
      </c>
      <c r="BN2294" s="4" t="n">
        <v>26964038</v>
      </c>
      <c r="BO2294" s="4" t="s">
        <v>341</v>
      </c>
      <c r="BP2294" s="4"/>
      <c r="BQ2294" s="4"/>
      <c r="BR2294" s="4" t="s">
        <v>104</v>
      </c>
      <c r="BS2294" s="4" t="s">
        <v>38665</v>
      </c>
      <c r="BT2294" s="4" t="str">
        <f aca="false">HYPERLINK("https%3A%2F%2Fwww.webofscience.com%2Fwos%2Fwoscc%2Ffull-record%2FWOS:000371993000062","View Full Record in Web of Science")</f>
        <v>View Full Record in Web of Science</v>
      </c>
    </row>
    <row r="2295" s="5" customFormat="true" ht="12.75" hidden="false" customHeight="false" outlineLevel="0" collapsed="false">
      <c r="A2295" s="4" t="s">
        <v>72</v>
      </c>
      <c r="B2295" s="4" t="s">
        <v>38666</v>
      </c>
      <c r="C2295" s="4"/>
      <c r="D2295" s="4"/>
      <c r="E2295" s="4"/>
      <c r="F2295" s="4" t="s">
        <v>38667</v>
      </c>
      <c r="G2295" s="4"/>
      <c r="H2295" s="4"/>
      <c r="I2295" s="4" t="s">
        <v>38668</v>
      </c>
      <c r="J2295" s="4" t="s">
        <v>4895</v>
      </c>
      <c r="K2295" s="4"/>
      <c r="L2295" s="4"/>
      <c r="M2295" s="4" t="s">
        <v>77</v>
      </c>
      <c r="N2295" s="4" t="s">
        <v>78</v>
      </c>
      <c r="O2295" s="4"/>
      <c r="P2295" s="4"/>
      <c r="Q2295" s="4"/>
      <c r="R2295" s="4"/>
      <c r="S2295" s="4"/>
      <c r="T2295" s="1" t="s">
        <v>38669</v>
      </c>
      <c r="U2295" s="4" t="s">
        <v>38670</v>
      </c>
      <c r="V2295" s="4" t="s">
        <v>38671</v>
      </c>
      <c r="W2295" s="4" t="s">
        <v>38672</v>
      </c>
      <c r="X2295" s="4" t="s">
        <v>38673</v>
      </c>
      <c r="Y2295" s="4" t="s">
        <v>38674</v>
      </c>
      <c r="Z2295" s="4" t="s">
        <v>38675</v>
      </c>
      <c r="AA2295" s="4" t="s">
        <v>38676</v>
      </c>
      <c r="AB2295" s="4"/>
      <c r="AC2295" s="4"/>
      <c r="AD2295" s="4"/>
      <c r="AE2295" s="4"/>
      <c r="AF2295" s="4"/>
      <c r="AG2295" s="4" t="n">
        <v>35</v>
      </c>
      <c r="AH2295" s="4" t="n">
        <v>26</v>
      </c>
      <c r="AI2295" s="4" t="n">
        <v>29</v>
      </c>
      <c r="AJ2295" s="4" t="n">
        <v>0</v>
      </c>
      <c r="AK2295" s="4" t="n">
        <v>4</v>
      </c>
      <c r="AL2295" s="4" t="s">
        <v>592</v>
      </c>
      <c r="AM2295" s="4" t="s">
        <v>593</v>
      </c>
      <c r="AN2295" s="4" t="s">
        <v>594</v>
      </c>
      <c r="AO2295" s="4" t="s">
        <v>4905</v>
      </c>
      <c r="AP2295" s="4"/>
      <c r="AQ2295" s="4"/>
      <c r="AR2295" s="4" t="s">
        <v>4907</v>
      </c>
      <c r="AS2295" s="4" t="s">
        <v>4908</v>
      </c>
      <c r="AT2295" s="4" t="s">
        <v>446</v>
      </c>
      <c r="AU2295" s="4" t="n">
        <v>2012</v>
      </c>
      <c r="AV2295" s="4" t="n">
        <v>31</v>
      </c>
      <c r="AW2295" s="4" t="n">
        <v>12</v>
      </c>
      <c r="AX2295" s="4"/>
      <c r="AY2295" s="4"/>
      <c r="AZ2295" s="4"/>
      <c r="BA2295" s="4"/>
      <c r="BB2295" s="4" t="n">
        <v>3323</v>
      </c>
      <c r="BC2295" s="4" t="n">
        <v>3330</v>
      </c>
      <c r="BD2295" s="4"/>
      <c r="BE2295" s="4" t="s">
        <v>38677</v>
      </c>
      <c r="BF2295" s="4" t="str">
        <f aca="false">HYPERLINK("http://dx.doi.org/10.1007/s10096-012-1699-2","http://dx.doi.org/10.1007/s10096-012-1699-2")</f>
        <v>http://dx.doi.org/10.1007/s10096-012-1699-2</v>
      </c>
      <c r="BG2295" s="4"/>
      <c r="BH2295" s="4"/>
      <c r="BI2295" s="4" t="n">
        <v>8</v>
      </c>
      <c r="BJ2295" s="4" t="s">
        <v>1467</v>
      </c>
      <c r="BK2295" s="4" t="s">
        <v>100</v>
      </c>
      <c r="BL2295" s="4" t="s">
        <v>1467</v>
      </c>
      <c r="BM2295" s="4" t="s">
        <v>38678</v>
      </c>
      <c r="BN2295" s="4" t="n">
        <v>22825246</v>
      </c>
      <c r="BO2295" s="4"/>
      <c r="BP2295" s="4"/>
      <c r="BQ2295" s="4"/>
      <c r="BR2295" s="4" t="s">
        <v>104</v>
      </c>
      <c r="BS2295" s="4" t="s">
        <v>38679</v>
      </c>
      <c r="BT2295" s="4" t="str">
        <f aca="false">HYPERLINK("https%3A%2F%2Fwww.webofscience.com%2Fwos%2Fwoscc%2Ffull-record%2FWOS:000310466700009","View Full Record in Web of Science")</f>
        <v>View Full Record in Web of Science</v>
      </c>
    </row>
    <row r="2296" s="5" customFormat="true" ht="12.75" hidden="false" customHeight="false" outlineLevel="0" collapsed="false">
      <c r="A2296" s="4" t="s">
        <v>72</v>
      </c>
      <c r="B2296" s="4" t="s">
        <v>38680</v>
      </c>
      <c r="C2296" s="4"/>
      <c r="D2296" s="4"/>
      <c r="E2296" s="4"/>
      <c r="F2296" s="4" t="s">
        <v>38681</v>
      </c>
      <c r="G2296" s="4"/>
      <c r="H2296" s="4"/>
      <c r="I2296" s="4" t="s">
        <v>38682</v>
      </c>
      <c r="J2296" s="4" t="s">
        <v>27497</v>
      </c>
      <c r="K2296" s="4"/>
      <c r="L2296" s="4"/>
      <c r="M2296" s="4" t="s">
        <v>77</v>
      </c>
      <c r="N2296" s="4" t="s">
        <v>78</v>
      </c>
      <c r="O2296" s="4"/>
      <c r="P2296" s="4"/>
      <c r="Q2296" s="4"/>
      <c r="R2296" s="4"/>
      <c r="S2296" s="4"/>
      <c r="T2296" s="1" t="s">
        <v>38683</v>
      </c>
      <c r="U2296" s="4" t="s">
        <v>38684</v>
      </c>
      <c r="V2296" s="4" t="s">
        <v>38685</v>
      </c>
      <c r="W2296" s="4" t="s">
        <v>38686</v>
      </c>
      <c r="X2296" s="4" t="s">
        <v>38687</v>
      </c>
      <c r="Y2296" s="4" t="s">
        <v>38688</v>
      </c>
      <c r="Z2296" s="4" t="s">
        <v>38689</v>
      </c>
      <c r="AA2296" s="4" t="s">
        <v>38690</v>
      </c>
      <c r="AB2296" s="4" t="s">
        <v>38691</v>
      </c>
      <c r="AC2296" s="4" t="s">
        <v>38692</v>
      </c>
      <c r="AD2296" s="4" t="s">
        <v>6084</v>
      </c>
      <c r="AE2296" s="4" t="s">
        <v>38693</v>
      </c>
      <c r="AF2296" s="4"/>
      <c r="AG2296" s="4" t="n">
        <v>25</v>
      </c>
      <c r="AH2296" s="4" t="n">
        <v>3</v>
      </c>
      <c r="AI2296" s="4" t="n">
        <v>3</v>
      </c>
      <c r="AJ2296" s="4" t="n">
        <v>0</v>
      </c>
      <c r="AK2296" s="4" t="n">
        <v>2</v>
      </c>
      <c r="AL2296" s="4" t="s">
        <v>27506</v>
      </c>
      <c r="AM2296" s="4" t="s">
        <v>27507</v>
      </c>
      <c r="AN2296" s="4" t="s">
        <v>27508</v>
      </c>
      <c r="AO2296" s="4" t="s">
        <v>27509</v>
      </c>
      <c r="AP2296" s="4"/>
      <c r="AQ2296" s="4"/>
      <c r="AR2296" s="4" t="s">
        <v>27497</v>
      </c>
      <c r="AS2296" s="4" t="s">
        <v>27510</v>
      </c>
      <c r="AT2296" s="4" t="s">
        <v>1709</v>
      </c>
      <c r="AU2296" s="4" t="n">
        <v>2020</v>
      </c>
      <c r="AV2296" s="4" t="n">
        <v>15</v>
      </c>
      <c r="AW2296" s="4" t="n">
        <v>4</v>
      </c>
      <c r="AX2296" s="4"/>
      <c r="AY2296" s="4"/>
      <c r="AZ2296" s="4"/>
      <c r="BA2296" s="4"/>
      <c r="BB2296" s="4"/>
      <c r="BC2296" s="4"/>
      <c r="BD2296" s="4" t="s">
        <v>38694</v>
      </c>
      <c r="BE2296" s="4" t="s">
        <v>38695</v>
      </c>
      <c r="BF2296" s="4" t="str">
        <f aca="false">HYPERLINK("http://dx.doi.org/10.1371/journal.pone.0232188","http://dx.doi.org/10.1371/journal.pone.0232188")</f>
        <v>http://dx.doi.org/10.1371/journal.pone.0232188</v>
      </c>
      <c r="BG2296" s="4"/>
      <c r="BH2296" s="4"/>
      <c r="BI2296" s="4" t="n">
        <v>15</v>
      </c>
      <c r="BJ2296" s="4" t="s">
        <v>1658</v>
      </c>
      <c r="BK2296" s="4" t="s">
        <v>100</v>
      </c>
      <c r="BL2296" s="4" t="s">
        <v>1659</v>
      </c>
      <c r="BM2296" s="4" t="s">
        <v>38696</v>
      </c>
      <c r="BN2296" s="4" t="n">
        <v>32353012</v>
      </c>
      <c r="BO2296" s="4" t="s">
        <v>190</v>
      </c>
      <c r="BP2296" s="4"/>
      <c r="BQ2296" s="4"/>
      <c r="BR2296" s="4" t="s">
        <v>104</v>
      </c>
      <c r="BS2296" s="4" t="s">
        <v>38697</v>
      </c>
      <c r="BT2296" s="4" t="str">
        <f aca="false">HYPERLINK("https%3A%2F%2Fwww.webofscience.com%2Fwos%2Fwoscc%2Ffull-record%2FWOS:000536673200050","View Full Record in Web of Science")</f>
        <v>View Full Record in Web of Science</v>
      </c>
    </row>
    <row r="2297" s="5" customFormat="true" ht="12.75" hidden="false" customHeight="false" outlineLevel="0" collapsed="false">
      <c r="A2297" s="4" t="s">
        <v>72</v>
      </c>
      <c r="B2297" s="4" t="s">
        <v>38698</v>
      </c>
      <c r="C2297" s="4"/>
      <c r="D2297" s="4"/>
      <c r="E2297" s="4"/>
      <c r="F2297" s="4" t="s">
        <v>38699</v>
      </c>
      <c r="G2297" s="4"/>
      <c r="H2297" s="4"/>
      <c r="I2297" s="4" t="s">
        <v>38700</v>
      </c>
      <c r="J2297" s="4" t="s">
        <v>742</v>
      </c>
      <c r="K2297" s="4"/>
      <c r="L2297" s="4"/>
      <c r="M2297" s="4" t="s">
        <v>77</v>
      </c>
      <c r="N2297" s="4" t="s">
        <v>78</v>
      </c>
      <c r="O2297" s="4"/>
      <c r="P2297" s="4"/>
      <c r="Q2297" s="4"/>
      <c r="R2297" s="4"/>
      <c r="S2297" s="4"/>
      <c r="T2297" s="1" t="s">
        <v>38701</v>
      </c>
      <c r="U2297" s="4" t="s">
        <v>38702</v>
      </c>
      <c r="V2297" s="4" t="s">
        <v>38703</v>
      </c>
      <c r="W2297" s="4" t="s">
        <v>38704</v>
      </c>
      <c r="X2297" s="4" t="s">
        <v>6708</v>
      </c>
      <c r="Y2297" s="4" t="s">
        <v>38705</v>
      </c>
      <c r="Z2297" s="4" t="s">
        <v>38706</v>
      </c>
      <c r="AA2297" s="4" t="s">
        <v>38707</v>
      </c>
      <c r="AB2297" s="4" t="s">
        <v>38708</v>
      </c>
      <c r="AC2297" s="4" t="s">
        <v>5607</v>
      </c>
      <c r="AD2297" s="4" t="s">
        <v>1621</v>
      </c>
      <c r="AE2297" s="4" t="s">
        <v>38709</v>
      </c>
      <c r="AF2297" s="4"/>
      <c r="AG2297" s="4" t="n">
        <v>51</v>
      </c>
      <c r="AH2297" s="4" t="n">
        <v>25</v>
      </c>
      <c r="AI2297" s="4" t="n">
        <v>38</v>
      </c>
      <c r="AJ2297" s="4" t="n">
        <v>0</v>
      </c>
      <c r="AK2297" s="4" t="n">
        <v>6</v>
      </c>
      <c r="AL2297" s="4" t="s">
        <v>755</v>
      </c>
      <c r="AM2297" s="4" t="s">
        <v>273</v>
      </c>
      <c r="AN2297" s="4" t="s">
        <v>756</v>
      </c>
      <c r="AO2297" s="4" t="s">
        <v>757</v>
      </c>
      <c r="AP2297" s="4" t="s">
        <v>758</v>
      </c>
      <c r="AQ2297" s="4"/>
      <c r="AR2297" s="4" t="s">
        <v>759</v>
      </c>
      <c r="AS2297" s="4" t="s">
        <v>760</v>
      </c>
      <c r="AT2297" s="4" t="s">
        <v>692</v>
      </c>
      <c r="AU2297" s="4" t="n">
        <v>2014</v>
      </c>
      <c r="AV2297" s="4" t="n">
        <v>88</v>
      </c>
      <c r="AW2297" s="4" t="n">
        <v>8</v>
      </c>
      <c r="AX2297" s="4"/>
      <c r="AY2297" s="4"/>
      <c r="AZ2297" s="4"/>
      <c r="BA2297" s="4"/>
      <c r="BB2297" s="4" t="n">
        <v>4237</v>
      </c>
      <c r="BC2297" s="4" t="n">
        <v>4250</v>
      </c>
      <c r="BD2297" s="4"/>
      <c r="BE2297" s="4" t="s">
        <v>38710</v>
      </c>
      <c r="BF2297" s="4" t="str">
        <f aca="false">HYPERLINK("http://dx.doi.org/10.1128/JVI.03481-13","http://dx.doi.org/10.1128/JVI.03481-13")</f>
        <v>http://dx.doi.org/10.1128/JVI.03481-13</v>
      </c>
      <c r="BG2297" s="4"/>
      <c r="BH2297" s="4"/>
      <c r="BI2297" s="4" t="n">
        <v>14</v>
      </c>
      <c r="BJ2297" s="4" t="s">
        <v>163</v>
      </c>
      <c r="BK2297" s="4" t="s">
        <v>100</v>
      </c>
      <c r="BL2297" s="4" t="s">
        <v>163</v>
      </c>
      <c r="BM2297" s="4" t="s">
        <v>28987</v>
      </c>
      <c r="BN2297" s="4" t="n">
        <v>24478424</v>
      </c>
      <c r="BO2297" s="4" t="s">
        <v>538</v>
      </c>
      <c r="BP2297" s="4"/>
      <c r="BQ2297" s="4"/>
      <c r="BR2297" s="4" t="s">
        <v>104</v>
      </c>
      <c r="BS2297" s="4" t="s">
        <v>38711</v>
      </c>
      <c r="BT2297" s="4" t="str">
        <f aca="false">HYPERLINK("https%3A%2F%2Fwww.webofscience.com%2Fwos%2Fwoscc%2Ffull-record%2FWOS:000333676400028","View Full Record in Web of Science")</f>
        <v>View Full Record in Web of Science</v>
      </c>
    </row>
    <row r="2298" s="5" customFormat="true" ht="12.75" hidden="false" customHeight="false" outlineLevel="0" collapsed="false">
      <c r="A2298" s="4" t="s">
        <v>72</v>
      </c>
      <c r="B2298" s="4" t="s">
        <v>38712</v>
      </c>
      <c r="C2298" s="4"/>
      <c r="D2298" s="4"/>
      <c r="E2298" s="4"/>
      <c r="F2298" s="4" t="s">
        <v>38712</v>
      </c>
      <c r="G2298" s="4"/>
      <c r="H2298" s="4"/>
      <c r="I2298" s="4" t="s">
        <v>38713</v>
      </c>
      <c r="J2298" s="4" t="s">
        <v>742</v>
      </c>
      <c r="K2298" s="4"/>
      <c r="L2298" s="4"/>
      <c r="M2298" s="4" t="s">
        <v>77</v>
      </c>
      <c r="N2298" s="4" t="s">
        <v>78</v>
      </c>
      <c r="O2298" s="4"/>
      <c r="P2298" s="4"/>
      <c r="Q2298" s="4"/>
      <c r="R2298" s="4"/>
      <c r="S2298" s="4"/>
      <c r="T2298" s="1" t="s">
        <v>38714</v>
      </c>
      <c r="U2298" s="4" t="s">
        <v>38715</v>
      </c>
      <c r="V2298" s="4" t="s">
        <v>38716</v>
      </c>
      <c r="W2298" s="4" t="s">
        <v>38717</v>
      </c>
      <c r="X2298" s="4" t="s">
        <v>38718</v>
      </c>
      <c r="Y2298" s="4" t="s">
        <v>38719</v>
      </c>
      <c r="Z2298" s="4" t="s">
        <v>38720</v>
      </c>
      <c r="AA2298" s="4" t="s">
        <v>38721</v>
      </c>
      <c r="AB2298" s="4" t="s">
        <v>38722</v>
      </c>
      <c r="AC2298" s="4"/>
      <c r="AD2298" s="4"/>
      <c r="AE2298" s="4"/>
      <c r="AF2298" s="4"/>
      <c r="AG2298" s="4" t="n">
        <v>51</v>
      </c>
      <c r="AH2298" s="4" t="n">
        <v>1087</v>
      </c>
      <c r="AI2298" s="4" t="n">
        <v>1280</v>
      </c>
      <c r="AJ2298" s="4" t="n">
        <v>2</v>
      </c>
      <c r="AK2298" s="4" t="n">
        <v>147</v>
      </c>
      <c r="AL2298" s="4" t="s">
        <v>755</v>
      </c>
      <c r="AM2298" s="4" t="s">
        <v>273</v>
      </c>
      <c r="AN2298" s="4" t="s">
        <v>756</v>
      </c>
      <c r="AO2298" s="4" t="s">
        <v>757</v>
      </c>
      <c r="AP2298" s="4" t="s">
        <v>758</v>
      </c>
      <c r="AQ2298" s="4"/>
      <c r="AR2298" s="4" t="s">
        <v>759</v>
      </c>
      <c r="AS2298" s="4" t="s">
        <v>760</v>
      </c>
      <c r="AT2298" s="4" t="s">
        <v>161</v>
      </c>
      <c r="AU2298" s="4" t="n">
        <v>2005</v>
      </c>
      <c r="AV2298" s="4" t="n">
        <v>79</v>
      </c>
      <c r="AW2298" s="4" t="n">
        <v>2</v>
      </c>
      <c r="AX2298" s="4"/>
      <c r="AY2298" s="4"/>
      <c r="AZ2298" s="4"/>
      <c r="BA2298" s="4"/>
      <c r="BB2298" s="4" t="n">
        <v>884</v>
      </c>
      <c r="BC2298" s="4" t="n">
        <v>895</v>
      </c>
      <c r="BD2298" s="4"/>
      <c r="BE2298" s="4" t="s">
        <v>38723</v>
      </c>
      <c r="BF2298" s="4" t="str">
        <f aca="false">HYPERLINK("http://dx.doi.org/10.1128/JVI.79.2.884-895.2005","http://dx.doi.org/10.1128/JVI.79.2.884-895.2005")</f>
        <v>http://dx.doi.org/10.1128/JVI.79.2.884-895.2005</v>
      </c>
      <c r="BG2298" s="4"/>
      <c r="BH2298" s="4"/>
      <c r="BI2298" s="4" t="n">
        <v>12</v>
      </c>
      <c r="BJ2298" s="4" t="s">
        <v>163</v>
      </c>
      <c r="BK2298" s="4" t="s">
        <v>100</v>
      </c>
      <c r="BL2298" s="4" t="s">
        <v>163</v>
      </c>
      <c r="BM2298" s="4" t="s">
        <v>38724</v>
      </c>
      <c r="BN2298" s="4" t="n">
        <v>15613317</v>
      </c>
      <c r="BO2298" s="4" t="s">
        <v>165</v>
      </c>
      <c r="BP2298" s="4"/>
      <c r="BQ2298" s="4"/>
      <c r="BR2298" s="4" t="s">
        <v>104</v>
      </c>
      <c r="BS2298" s="4" t="s">
        <v>38725</v>
      </c>
      <c r="BT2298" s="4" t="str">
        <f aca="false">HYPERLINK("https%3A%2F%2Fwww.webofscience.com%2Fwos%2Fwoscc%2Ffull-record%2FWOS:000226149700024","View Full Record in Web of Science")</f>
        <v>View Full Record in Web of Science</v>
      </c>
    </row>
    <row r="2299" s="5" customFormat="true" ht="12.75" hidden="false" customHeight="false" outlineLevel="0" collapsed="false">
      <c r="A2299" s="4" t="s">
        <v>72</v>
      </c>
      <c r="B2299" s="4" t="s">
        <v>38726</v>
      </c>
      <c r="C2299" s="4"/>
      <c r="D2299" s="4"/>
      <c r="E2299" s="4"/>
      <c r="F2299" s="4" t="s">
        <v>38727</v>
      </c>
      <c r="G2299" s="4"/>
      <c r="H2299" s="4"/>
      <c r="I2299" s="4" t="s">
        <v>38728</v>
      </c>
      <c r="J2299" s="4" t="s">
        <v>28310</v>
      </c>
      <c r="K2299" s="4"/>
      <c r="L2299" s="4"/>
      <c r="M2299" s="4" t="s">
        <v>77</v>
      </c>
      <c r="N2299" s="4" t="s">
        <v>78</v>
      </c>
      <c r="O2299" s="4"/>
      <c r="P2299" s="4"/>
      <c r="Q2299" s="4"/>
      <c r="R2299" s="4"/>
      <c r="S2299" s="4"/>
      <c r="T2299" s="1" t="s">
        <v>38729</v>
      </c>
      <c r="U2299" s="4" t="s">
        <v>38730</v>
      </c>
      <c r="V2299" s="4" t="s">
        <v>38731</v>
      </c>
      <c r="W2299" s="4" t="s">
        <v>38732</v>
      </c>
      <c r="X2299" s="4" t="s">
        <v>38733</v>
      </c>
      <c r="Y2299" s="4" t="s">
        <v>38734</v>
      </c>
      <c r="Z2299" s="4" t="s">
        <v>38735</v>
      </c>
      <c r="AA2299" s="4" t="s">
        <v>38736</v>
      </c>
      <c r="AB2299" s="4" t="s">
        <v>38737</v>
      </c>
      <c r="AC2299" s="4"/>
      <c r="AD2299" s="4"/>
      <c r="AE2299" s="4"/>
      <c r="AF2299" s="4"/>
      <c r="AG2299" s="4" t="n">
        <v>65</v>
      </c>
      <c r="AH2299" s="4" t="n">
        <v>64</v>
      </c>
      <c r="AI2299" s="4" t="n">
        <v>67</v>
      </c>
      <c r="AJ2299" s="4" t="n">
        <v>0</v>
      </c>
      <c r="AK2299" s="4" t="n">
        <v>3</v>
      </c>
      <c r="AL2299" s="4" t="s">
        <v>2337</v>
      </c>
      <c r="AM2299" s="4" t="s">
        <v>303</v>
      </c>
      <c r="AN2299" s="4" t="s">
        <v>2338</v>
      </c>
      <c r="AO2299" s="4" t="s">
        <v>28321</v>
      </c>
      <c r="AP2299" s="4"/>
      <c r="AQ2299" s="4"/>
      <c r="AR2299" s="4" t="s">
        <v>28322</v>
      </c>
      <c r="AS2299" s="4" t="s">
        <v>28323</v>
      </c>
      <c r="AT2299" s="4" t="s">
        <v>34013</v>
      </c>
      <c r="AU2299" s="4" t="n">
        <v>2008</v>
      </c>
      <c r="AV2299" s="4" t="n">
        <v>9</v>
      </c>
      <c r="AW2299" s="4"/>
      <c r="AX2299" s="4"/>
      <c r="AY2299" s="4"/>
      <c r="AZ2299" s="4"/>
      <c r="BA2299" s="4"/>
      <c r="BB2299" s="4"/>
      <c r="BC2299" s="4"/>
      <c r="BD2299" s="4" t="n">
        <v>11</v>
      </c>
      <c r="BE2299" s="4" t="s">
        <v>38738</v>
      </c>
      <c r="BF2299" s="4" t="str">
        <f aca="false">HYPERLINK("http://dx.doi.org/10.1186/1465-9921-9-11","http://dx.doi.org/10.1186/1465-9921-9-11")</f>
        <v>http://dx.doi.org/10.1186/1465-9921-9-11</v>
      </c>
      <c r="BG2299" s="4"/>
      <c r="BH2299" s="4"/>
      <c r="BI2299" s="4" t="n">
        <v>11</v>
      </c>
      <c r="BJ2299" s="4" t="s">
        <v>338</v>
      </c>
      <c r="BK2299" s="4" t="s">
        <v>100</v>
      </c>
      <c r="BL2299" s="4" t="s">
        <v>338</v>
      </c>
      <c r="BM2299" s="4" t="s">
        <v>38739</v>
      </c>
      <c r="BN2299" s="4" t="n">
        <v>18215329</v>
      </c>
      <c r="BO2299" s="4" t="s">
        <v>190</v>
      </c>
      <c r="BP2299" s="4"/>
      <c r="BQ2299" s="4"/>
      <c r="BR2299" s="4" t="s">
        <v>104</v>
      </c>
      <c r="BS2299" s="4" t="s">
        <v>38740</v>
      </c>
      <c r="BT2299" s="4" t="str">
        <f aca="false">HYPERLINK("https%3A%2F%2Fwww.webofscience.com%2Fwos%2Fwoscc%2Ffull-record%2FWOS:000253796700001","View Full Record in Web of Science")</f>
        <v>View Full Record in Web of Science</v>
      </c>
    </row>
    <row r="2300" s="5" customFormat="true" ht="12.75" hidden="false" customHeight="false" outlineLevel="0" collapsed="false">
      <c r="A2300" s="4" t="s">
        <v>72</v>
      </c>
      <c r="B2300" s="4" t="s">
        <v>38741</v>
      </c>
      <c r="C2300" s="4"/>
      <c r="D2300" s="4"/>
      <c r="E2300" s="4"/>
      <c r="F2300" s="4" t="s">
        <v>38742</v>
      </c>
      <c r="G2300" s="4"/>
      <c r="H2300" s="4"/>
      <c r="I2300" s="4" t="s">
        <v>38743</v>
      </c>
      <c r="J2300" s="4" t="s">
        <v>38744</v>
      </c>
      <c r="K2300" s="4"/>
      <c r="L2300" s="4"/>
      <c r="M2300" s="4" t="s">
        <v>77</v>
      </c>
      <c r="N2300" s="4" t="s">
        <v>78</v>
      </c>
      <c r="O2300" s="4"/>
      <c r="P2300" s="4"/>
      <c r="Q2300" s="4"/>
      <c r="R2300" s="4"/>
      <c r="S2300" s="4"/>
      <c r="T2300" s="1" t="s">
        <v>38745</v>
      </c>
      <c r="U2300" s="4" t="s">
        <v>38746</v>
      </c>
      <c r="V2300" s="4" t="s">
        <v>38747</v>
      </c>
      <c r="W2300" s="4" t="s">
        <v>38748</v>
      </c>
      <c r="X2300" s="4" t="s">
        <v>38749</v>
      </c>
      <c r="Y2300" s="4" t="s">
        <v>38750</v>
      </c>
      <c r="Z2300" s="4" t="s">
        <v>38751</v>
      </c>
      <c r="AA2300" s="4" t="s">
        <v>38752</v>
      </c>
      <c r="AB2300" s="4" t="s">
        <v>38753</v>
      </c>
      <c r="AC2300" s="4" t="s">
        <v>38754</v>
      </c>
      <c r="AD2300" s="4" t="s">
        <v>38755</v>
      </c>
      <c r="AE2300" s="4" t="s">
        <v>38756</v>
      </c>
      <c r="AF2300" s="4"/>
      <c r="AG2300" s="4" t="n">
        <v>23</v>
      </c>
      <c r="AH2300" s="4" t="n">
        <v>64</v>
      </c>
      <c r="AI2300" s="4" t="n">
        <v>70</v>
      </c>
      <c r="AJ2300" s="4" t="n">
        <v>1</v>
      </c>
      <c r="AK2300" s="4" t="n">
        <v>29</v>
      </c>
      <c r="AL2300" s="4" t="s">
        <v>34393</v>
      </c>
      <c r="AM2300" s="4" t="s">
        <v>1705</v>
      </c>
      <c r="AN2300" s="4" t="s">
        <v>34394</v>
      </c>
      <c r="AO2300" s="4" t="s">
        <v>38757</v>
      </c>
      <c r="AP2300" s="4" t="s">
        <v>38758</v>
      </c>
      <c r="AQ2300" s="4"/>
      <c r="AR2300" s="4" t="s">
        <v>38744</v>
      </c>
      <c r="AS2300" s="4" t="s">
        <v>38759</v>
      </c>
      <c r="AT2300" s="4" t="s">
        <v>7137</v>
      </c>
      <c r="AU2300" s="4" t="n">
        <v>2021</v>
      </c>
      <c r="AV2300" s="4" t="n">
        <v>146</v>
      </c>
      <c r="AW2300" s="4" t="n">
        <v>2</v>
      </c>
      <c r="AX2300" s="4"/>
      <c r="AY2300" s="4"/>
      <c r="AZ2300" s="4"/>
      <c r="BA2300" s="4"/>
      <c r="BB2300" s="4" t="n">
        <v>471</v>
      </c>
      <c r="BC2300" s="4" t="n">
        <v>477</v>
      </c>
      <c r="BD2300" s="4"/>
      <c r="BE2300" s="4" t="s">
        <v>38760</v>
      </c>
      <c r="BF2300" s="4" t="str">
        <f aca="false">HYPERLINK("http://dx.doi.org/10.1039/d0an01775b","http://dx.doi.org/10.1039/d0an01775b")</f>
        <v>http://dx.doi.org/10.1039/d0an01775b</v>
      </c>
      <c r="BG2300" s="4"/>
      <c r="BH2300" s="4"/>
      <c r="BI2300" s="4" t="n">
        <v>7</v>
      </c>
      <c r="BJ2300" s="4" t="s">
        <v>31460</v>
      </c>
      <c r="BK2300" s="4" t="s">
        <v>100</v>
      </c>
      <c r="BL2300" s="4" t="s">
        <v>7717</v>
      </c>
      <c r="BM2300" s="4" t="s">
        <v>38761</v>
      </c>
      <c r="BN2300" s="4" t="n">
        <v>33165486</v>
      </c>
      <c r="BO2300" s="4"/>
      <c r="BP2300" s="4"/>
      <c r="BQ2300" s="4"/>
      <c r="BR2300" s="4" t="s">
        <v>104</v>
      </c>
      <c r="BS2300" s="4" t="s">
        <v>38762</v>
      </c>
      <c r="BT2300" s="4" t="str">
        <f aca="false">HYPERLINK("https%3A%2F%2Fwww.webofscience.com%2Fwos%2Fwoscc%2Ffull-record%2FWOS:000611287000009","View Full Record in Web of Science")</f>
        <v>View Full Record in Web of Science</v>
      </c>
    </row>
    <row r="2301" s="5" customFormat="true" ht="12.75" hidden="false" customHeight="false" outlineLevel="0" collapsed="false">
      <c r="A2301" s="4" t="s">
        <v>72</v>
      </c>
      <c r="B2301" s="4" t="s">
        <v>38763</v>
      </c>
      <c r="C2301" s="4"/>
      <c r="D2301" s="4"/>
      <c r="E2301" s="4"/>
      <c r="F2301" s="4" t="s">
        <v>38764</v>
      </c>
      <c r="G2301" s="4"/>
      <c r="H2301" s="4"/>
      <c r="I2301" s="4" t="s">
        <v>38765</v>
      </c>
      <c r="J2301" s="4" t="s">
        <v>27497</v>
      </c>
      <c r="K2301" s="4"/>
      <c r="L2301" s="4"/>
      <c r="M2301" s="4" t="s">
        <v>77</v>
      </c>
      <c r="N2301" s="4" t="s">
        <v>78</v>
      </c>
      <c r="O2301" s="4"/>
      <c r="P2301" s="4"/>
      <c r="Q2301" s="4"/>
      <c r="R2301" s="4"/>
      <c r="S2301" s="4"/>
      <c r="T2301" s="1" t="s">
        <v>38766</v>
      </c>
      <c r="U2301" s="4" t="s">
        <v>38767</v>
      </c>
      <c r="V2301" s="4" t="s">
        <v>38768</v>
      </c>
      <c r="W2301" s="4" t="s">
        <v>38769</v>
      </c>
      <c r="X2301" s="4" t="s">
        <v>38770</v>
      </c>
      <c r="Y2301" s="4" t="s">
        <v>38771</v>
      </c>
      <c r="Z2301" s="4" t="s">
        <v>38772</v>
      </c>
      <c r="AA2301" s="4" t="s">
        <v>38773</v>
      </c>
      <c r="AB2301" s="4" t="s">
        <v>38774</v>
      </c>
      <c r="AC2301" s="4" t="s">
        <v>38775</v>
      </c>
      <c r="AD2301" s="4" t="s">
        <v>38776</v>
      </c>
      <c r="AE2301" s="4" t="s">
        <v>38777</v>
      </c>
      <c r="AF2301" s="4"/>
      <c r="AG2301" s="4" t="n">
        <v>28</v>
      </c>
      <c r="AH2301" s="4" t="n">
        <v>47</v>
      </c>
      <c r="AI2301" s="4" t="n">
        <v>54</v>
      </c>
      <c r="AJ2301" s="4" t="n">
        <v>0</v>
      </c>
      <c r="AK2301" s="4" t="n">
        <v>4</v>
      </c>
      <c r="AL2301" s="4" t="s">
        <v>27506</v>
      </c>
      <c r="AM2301" s="4" t="s">
        <v>27507</v>
      </c>
      <c r="AN2301" s="4" t="s">
        <v>27508</v>
      </c>
      <c r="AO2301" s="4" t="s">
        <v>27509</v>
      </c>
      <c r="AP2301" s="4"/>
      <c r="AQ2301" s="4"/>
      <c r="AR2301" s="4" t="s">
        <v>27497</v>
      </c>
      <c r="AS2301" s="4" t="s">
        <v>27510</v>
      </c>
      <c r="AT2301" s="4" t="s">
        <v>20421</v>
      </c>
      <c r="AU2301" s="4" t="n">
        <v>2020</v>
      </c>
      <c r="AV2301" s="4" t="n">
        <v>15</v>
      </c>
      <c r="AW2301" s="4" t="n">
        <v>2</v>
      </c>
      <c r="AX2301" s="4"/>
      <c r="AY2301" s="4"/>
      <c r="AZ2301" s="4"/>
      <c r="BA2301" s="4"/>
      <c r="BB2301" s="4"/>
      <c r="BC2301" s="4"/>
      <c r="BD2301" s="4" t="s">
        <v>38778</v>
      </c>
      <c r="BE2301" s="4" t="s">
        <v>38779</v>
      </c>
      <c r="BF2301" s="4" t="str">
        <f aca="false">HYPERLINK("http://dx.doi.org/10.1371/journal.pone.0228544","http://dx.doi.org/10.1371/journal.pone.0228544")</f>
        <v>http://dx.doi.org/10.1371/journal.pone.0228544</v>
      </c>
      <c r="BG2301" s="4"/>
      <c r="BH2301" s="4"/>
      <c r="BI2301" s="4" t="n">
        <v>12</v>
      </c>
      <c r="BJ2301" s="4" t="s">
        <v>1658</v>
      </c>
      <c r="BK2301" s="4" t="s">
        <v>100</v>
      </c>
      <c r="BL2301" s="4" t="s">
        <v>1659</v>
      </c>
      <c r="BM2301" s="4" t="s">
        <v>38780</v>
      </c>
      <c r="BN2301" s="4" t="n">
        <v>32027687</v>
      </c>
      <c r="BO2301" s="4" t="s">
        <v>190</v>
      </c>
      <c r="BP2301" s="4"/>
      <c r="BQ2301" s="4"/>
      <c r="BR2301" s="4" t="s">
        <v>104</v>
      </c>
      <c r="BS2301" s="4" t="s">
        <v>38781</v>
      </c>
      <c r="BT2301" s="4" t="str">
        <f aca="false">HYPERLINK("https%3A%2F%2Fwww.webofscience.com%2Fwos%2Fwoscc%2Ffull-record%2FWOS:000534623800045","View Full Record in Web of Science")</f>
        <v>View Full Record in Web of Science</v>
      </c>
    </row>
    <row r="2302" s="5" customFormat="true" ht="12.75" hidden="false" customHeight="false" outlineLevel="0" collapsed="false">
      <c r="A2302" s="4" t="s">
        <v>72</v>
      </c>
      <c r="B2302" s="4" t="s">
        <v>38782</v>
      </c>
      <c r="C2302" s="4"/>
      <c r="D2302" s="4"/>
      <c r="E2302" s="4"/>
      <c r="F2302" s="4" t="s">
        <v>38783</v>
      </c>
      <c r="G2302" s="4"/>
      <c r="H2302" s="4"/>
      <c r="I2302" s="4" t="s">
        <v>38784</v>
      </c>
      <c r="J2302" s="4" t="s">
        <v>27497</v>
      </c>
      <c r="K2302" s="4"/>
      <c r="L2302" s="4"/>
      <c r="M2302" s="4" t="s">
        <v>77</v>
      </c>
      <c r="N2302" s="4" t="s">
        <v>78</v>
      </c>
      <c r="O2302" s="4"/>
      <c r="P2302" s="4"/>
      <c r="Q2302" s="4"/>
      <c r="R2302" s="4"/>
      <c r="S2302" s="4"/>
      <c r="T2302" s="1" t="s">
        <v>38785</v>
      </c>
      <c r="U2302" s="4" t="s">
        <v>38786</v>
      </c>
      <c r="V2302" s="4" t="s">
        <v>38787</v>
      </c>
      <c r="W2302" s="4" t="s">
        <v>38788</v>
      </c>
      <c r="X2302" s="4" t="s">
        <v>38789</v>
      </c>
      <c r="Y2302" s="4" t="s">
        <v>38790</v>
      </c>
      <c r="Z2302" s="4" t="s">
        <v>38791</v>
      </c>
      <c r="AA2302" s="4" t="s">
        <v>38792</v>
      </c>
      <c r="AB2302" s="4" t="s">
        <v>38793</v>
      </c>
      <c r="AC2302" s="4" t="s">
        <v>38794</v>
      </c>
      <c r="AD2302" s="4" t="s">
        <v>38795</v>
      </c>
      <c r="AE2302" s="4" t="s">
        <v>38796</v>
      </c>
      <c r="AF2302" s="4"/>
      <c r="AG2302" s="4" t="n">
        <v>52</v>
      </c>
      <c r="AH2302" s="4" t="n">
        <v>20</v>
      </c>
      <c r="AI2302" s="4" t="n">
        <v>23</v>
      </c>
      <c r="AJ2302" s="4" t="n">
        <v>0</v>
      </c>
      <c r="AK2302" s="4" t="n">
        <v>3</v>
      </c>
      <c r="AL2302" s="4" t="s">
        <v>27506</v>
      </c>
      <c r="AM2302" s="4" t="s">
        <v>27507</v>
      </c>
      <c r="AN2302" s="4" t="s">
        <v>27508</v>
      </c>
      <c r="AO2302" s="4" t="s">
        <v>27509</v>
      </c>
      <c r="AP2302" s="4"/>
      <c r="AQ2302" s="4"/>
      <c r="AR2302" s="4" t="s">
        <v>27497</v>
      </c>
      <c r="AS2302" s="4" t="s">
        <v>27510</v>
      </c>
      <c r="AT2302" s="4" t="s">
        <v>7607</v>
      </c>
      <c r="AU2302" s="4" t="n">
        <v>2020</v>
      </c>
      <c r="AV2302" s="4" t="n">
        <v>15</v>
      </c>
      <c r="AW2302" s="4" t="n">
        <v>2</v>
      </c>
      <c r="AX2302" s="4"/>
      <c r="AY2302" s="4"/>
      <c r="AZ2302" s="4"/>
      <c r="BA2302" s="4"/>
      <c r="BB2302" s="4"/>
      <c r="BC2302" s="4"/>
      <c r="BD2302" s="4" t="s">
        <v>38797</v>
      </c>
      <c r="BE2302" s="4" t="s">
        <v>38798</v>
      </c>
      <c r="BF2302" s="4" t="str">
        <f aca="false">HYPERLINK("http://dx.doi.org/10.1371/journal.pone.0228056","http://dx.doi.org/10.1371/journal.pone.0228056")</f>
        <v>http://dx.doi.org/10.1371/journal.pone.0228056</v>
      </c>
      <c r="BG2302" s="4"/>
      <c r="BH2302" s="4"/>
      <c r="BI2302" s="4" t="n">
        <v>17</v>
      </c>
      <c r="BJ2302" s="4" t="s">
        <v>1658</v>
      </c>
      <c r="BK2302" s="4" t="s">
        <v>100</v>
      </c>
      <c r="BL2302" s="4" t="s">
        <v>1659</v>
      </c>
      <c r="BM2302" s="4" t="s">
        <v>38799</v>
      </c>
      <c r="BN2302" s="4" t="n">
        <v>32059033</v>
      </c>
      <c r="BO2302" s="4" t="s">
        <v>2582</v>
      </c>
      <c r="BP2302" s="4"/>
      <c r="BQ2302" s="4"/>
      <c r="BR2302" s="4" t="s">
        <v>104</v>
      </c>
      <c r="BS2302" s="4" t="s">
        <v>38800</v>
      </c>
      <c r="BT2302" s="4" t="str">
        <f aca="false">HYPERLINK("https%3A%2F%2Fwww.webofscience.com%2Fwos%2Fwoscc%2Ffull-record%2FWOS:000535206600006","View Full Record in Web of Science")</f>
        <v>View Full Record in Web of Science</v>
      </c>
    </row>
    <row r="2303" s="5" customFormat="true" ht="12.75" hidden="false" customHeight="false" outlineLevel="0" collapsed="false">
      <c r="A2303" s="4" t="s">
        <v>72</v>
      </c>
      <c r="B2303" s="4" t="s">
        <v>38801</v>
      </c>
      <c r="C2303" s="4"/>
      <c r="D2303" s="4"/>
      <c r="E2303" s="4"/>
      <c r="F2303" s="4" t="s">
        <v>38802</v>
      </c>
      <c r="G2303" s="4"/>
      <c r="H2303" s="4"/>
      <c r="I2303" s="4" t="s">
        <v>38803</v>
      </c>
      <c r="J2303" s="4" t="s">
        <v>37582</v>
      </c>
      <c r="K2303" s="4"/>
      <c r="L2303" s="4"/>
      <c r="M2303" s="4" t="s">
        <v>77</v>
      </c>
      <c r="N2303" s="4" t="s">
        <v>78</v>
      </c>
      <c r="O2303" s="4"/>
      <c r="P2303" s="4"/>
      <c r="Q2303" s="4"/>
      <c r="R2303" s="4"/>
      <c r="S2303" s="4"/>
      <c r="T2303" s="1" t="s">
        <v>38804</v>
      </c>
      <c r="U2303" s="4" t="s">
        <v>38805</v>
      </c>
      <c r="V2303" s="4" t="s">
        <v>38806</v>
      </c>
      <c r="W2303" s="4" t="s">
        <v>38807</v>
      </c>
      <c r="X2303" s="4" t="s">
        <v>38808</v>
      </c>
      <c r="Y2303" s="4" t="s">
        <v>38809</v>
      </c>
      <c r="Z2303" s="4" t="s">
        <v>31290</v>
      </c>
      <c r="AA2303" s="4"/>
      <c r="AB2303" s="4"/>
      <c r="AC2303" s="4" t="s">
        <v>38810</v>
      </c>
      <c r="AD2303" s="4" t="s">
        <v>38810</v>
      </c>
      <c r="AE2303" s="4" t="s">
        <v>38811</v>
      </c>
      <c r="AF2303" s="4"/>
      <c r="AG2303" s="4" t="n">
        <v>15</v>
      </c>
      <c r="AH2303" s="4" t="n">
        <v>9</v>
      </c>
      <c r="AI2303" s="4" t="n">
        <v>10</v>
      </c>
      <c r="AJ2303" s="4" t="n">
        <v>0</v>
      </c>
      <c r="AK2303" s="4" t="n">
        <v>1</v>
      </c>
      <c r="AL2303" s="4" t="s">
        <v>1186</v>
      </c>
      <c r="AM2303" s="4" t="s">
        <v>303</v>
      </c>
      <c r="AN2303" s="4" t="s">
        <v>1187</v>
      </c>
      <c r="AO2303" s="4" t="s">
        <v>37591</v>
      </c>
      <c r="AP2303" s="4" t="s">
        <v>37592</v>
      </c>
      <c r="AQ2303" s="4"/>
      <c r="AR2303" s="4" t="s">
        <v>37593</v>
      </c>
      <c r="AS2303" s="4" t="s">
        <v>37594</v>
      </c>
      <c r="AT2303" s="4" t="s">
        <v>804</v>
      </c>
      <c r="AU2303" s="4" t="n">
        <v>2009</v>
      </c>
      <c r="AV2303" s="4" t="n">
        <v>62</v>
      </c>
      <c r="AW2303" s="4" t="n">
        <v>11</v>
      </c>
      <c r="AX2303" s="4"/>
      <c r="AY2303" s="4"/>
      <c r="AZ2303" s="4"/>
      <c r="BA2303" s="4"/>
      <c r="BB2303" s="4" t="n">
        <v>998</v>
      </c>
      <c r="BC2303" s="4" t="n">
        <v>1002</v>
      </c>
      <c r="BD2303" s="4"/>
      <c r="BE2303" s="4" t="s">
        <v>38812</v>
      </c>
      <c r="BF2303" s="4" t="str">
        <f aca="false">HYPERLINK("http://dx.doi.org/10.1136/jcp.2009.066688","http://dx.doi.org/10.1136/jcp.2009.066688")</f>
        <v>http://dx.doi.org/10.1136/jcp.2009.066688</v>
      </c>
      <c r="BG2303" s="4"/>
      <c r="BH2303" s="4"/>
      <c r="BI2303" s="4" t="n">
        <v>5</v>
      </c>
      <c r="BJ2303" s="4" t="s">
        <v>6585</v>
      </c>
      <c r="BK2303" s="4" t="s">
        <v>100</v>
      </c>
      <c r="BL2303" s="4" t="s">
        <v>6585</v>
      </c>
      <c r="BM2303" s="4" t="s">
        <v>38813</v>
      </c>
      <c r="BN2303" s="4" t="n">
        <v>19625288</v>
      </c>
      <c r="BO2303" s="4"/>
      <c r="BP2303" s="4"/>
      <c r="BQ2303" s="4"/>
      <c r="BR2303" s="4" t="s">
        <v>104</v>
      </c>
      <c r="BS2303" s="4" t="s">
        <v>38814</v>
      </c>
      <c r="BT2303" s="4" t="str">
        <f aca="false">HYPERLINK("https%3A%2F%2Fwww.webofscience.com%2Fwos%2Fwoscc%2Ffull-record%2FWOS:000271213400005","View Full Record in Web of Science")</f>
        <v>View Full Record in Web of Science</v>
      </c>
    </row>
    <row r="2304" s="5" customFormat="true" ht="12.75" hidden="false" customHeight="false" outlineLevel="0" collapsed="false">
      <c r="A2304" s="4" t="s">
        <v>72</v>
      </c>
      <c r="B2304" s="4" t="s">
        <v>38815</v>
      </c>
      <c r="C2304" s="4"/>
      <c r="D2304" s="4"/>
      <c r="E2304" s="4"/>
      <c r="F2304" s="4" t="s">
        <v>38816</v>
      </c>
      <c r="G2304" s="4"/>
      <c r="H2304" s="4"/>
      <c r="I2304" s="4" t="s">
        <v>38817</v>
      </c>
      <c r="J2304" s="4" t="s">
        <v>27820</v>
      </c>
      <c r="K2304" s="4"/>
      <c r="L2304" s="4"/>
      <c r="M2304" s="4" t="s">
        <v>77</v>
      </c>
      <c r="N2304" s="4" t="s">
        <v>78</v>
      </c>
      <c r="O2304" s="4"/>
      <c r="P2304" s="4"/>
      <c r="Q2304" s="4"/>
      <c r="R2304" s="4"/>
      <c r="S2304" s="4"/>
      <c r="T2304" s="1" t="s">
        <v>38818</v>
      </c>
      <c r="U2304" s="4" t="s">
        <v>38819</v>
      </c>
      <c r="V2304" s="4" t="s">
        <v>38820</v>
      </c>
      <c r="W2304" s="4" t="s">
        <v>38821</v>
      </c>
      <c r="X2304" s="4" t="s">
        <v>38822</v>
      </c>
      <c r="Y2304" s="4" t="s">
        <v>38823</v>
      </c>
      <c r="Z2304" s="4" t="s">
        <v>38824</v>
      </c>
      <c r="AA2304" s="4" t="s">
        <v>38825</v>
      </c>
      <c r="AB2304" s="4" t="s">
        <v>38826</v>
      </c>
      <c r="AC2304" s="4" t="s">
        <v>38827</v>
      </c>
      <c r="AD2304" s="4" t="s">
        <v>38828</v>
      </c>
      <c r="AE2304" s="4" t="s">
        <v>38829</v>
      </c>
      <c r="AF2304" s="4"/>
      <c r="AG2304" s="4" t="n">
        <v>66</v>
      </c>
      <c r="AH2304" s="4" t="n">
        <v>46</v>
      </c>
      <c r="AI2304" s="4" t="n">
        <v>57</v>
      </c>
      <c r="AJ2304" s="4" t="n">
        <v>0</v>
      </c>
      <c r="AK2304" s="4" t="n">
        <v>4</v>
      </c>
      <c r="AL2304" s="4" t="s">
        <v>27506</v>
      </c>
      <c r="AM2304" s="4" t="s">
        <v>27507</v>
      </c>
      <c r="AN2304" s="4" t="s">
        <v>27508</v>
      </c>
      <c r="AO2304" s="4" t="s">
        <v>27831</v>
      </c>
      <c r="AP2304" s="4" t="s">
        <v>27832</v>
      </c>
      <c r="AQ2304" s="4"/>
      <c r="AR2304" s="4" t="s">
        <v>27833</v>
      </c>
      <c r="AS2304" s="4" t="s">
        <v>27834</v>
      </c>
      <c r="AT2304" s="4" t="s">
        <v>97</v>
      </c>
      <c r="AU2304" s="4" t="n">
        <v>2018</v>
      </c>
      <c r="AV2304" s="4" t="n">
        <v>14</v>
      </c>
      <c r="AW2304" s="4" t="n">
        <v>3</v>
      </c>
      <c r="AX2304" s="4"/>
      <c r="AY2304" s="4"/>
      <c r="AZ2304" s="4"/>
      <c r="BA2304" s="4"/>
      <c r="BB2304" s="4"/>
      <c r="BC2304" s="4"/>
      <c r="BD2304" s="4" t="s">
        <v>38830</v>
      </c>
      <c r="BE2304" s="4" t="s">
        <v>38831</v>
      </c>
      <c r="BF2304" s="4" t="str">
        <f aca="false">HYPERLINK("http://dx.doi.org/10.1371/journal.ppat.1006935","http://dx.doi.org/10.1371/journal.ppat.1006935")</f>
        <v>http://dx.doi.org/10.1371/journal.ppat.1006935</v>
      </c>
      <c r="BG2304" s="4"/>
      <c r="BH2304" s="4"/>
      <c r="BI2304" s="4" t="n">
        <v>23</v>
      </c>
      <c r="BJ2304" s="4" t="s">
        <v>27837</v>
      </c>
      <c r="BK2304" s="4" t="s">
        <v>100</v>
      </c>
      <c r="BL2304" s="4" t="s">
        <v>27837</v>
      </c>
      <c r="BM2304" s="4" t="s">
        <v>38832</v>
      </c>
      <c r="BN2304" s="4" t="n">
        <v>29509814</v>
      </c>
      <c r="BO2304" s="4" t="s">
        <v>2582</v>
      </c>
      <c r="BP2304" s="4"/>
      <c r="BQ2304" s="4"/>
      <c r="BR2304" s="4" t="s">
        <v>104</v>
      </c>
      <c r="BS2304" s="4" t="s">
        <v>38833</v>
      </c>
      <c r="BT2304" s="4" t="str">
        <f aca="false">HYPERLINK("https%3A%2F%2Fwww.webofscience.com%2Fwos%2Fwoscc%2Ffull-record%2FWOS:000430192300028","View Full Record in Web of Science")</f>
        <v>View Full Record in Web of Science</v>
      </c>
    </row>
    <row r="2305" s="5" customFormat="true" ht="12.75" hidden="false" customHeight="false" outlineLevel="0" collapsed="false">
      <c r="A2305" s="4" t="s">
        <v>72</v>
      </c>
      <c r="B2305" s="4" t="s">
        <v>38834</v>
      </c>
      <c r="C2305" s="4"/>
      <c r="D2305" s="4"/>
      <c r="E2305" s="4"/>
      <c r="F2305" s="4" t="s">
        <v>38835</v>
      </c>
      <c r="G2305" s="4"/>
      <c r="H2305" s="4" t="s">
        <v>37229</v>
      </c>
      <c r="I2305" s="4" t="s">
        <v>38836</v>
      </c>
      <c r="J2305" s="4" t="s">
        <v>27497</v>
      </c>
      <c r="K2305" s="4"/>
      <c r="L2305" s="4"/>
      <c r="M2305" s="4" t="s">
        <v>77</v>
      </c>
      <c r="N2305" s="4" t="s">
        <v>78</v>
      </c>
      <c r="O2305" s="4"/>
      <c r="P2305" s="4"/>
      <c r="Q2305" s="4"/>
      <c r="R2305" s="4"/>
      <c r="S2305" s="4"/>
      <c r="T2305" s="1" t="s">
        <v>38837</v>
      </c>
      <c r="U2305" s="4" t="s">
        <v>38838</v>
      </c>
      <c r="V2305" s="4" t="s">
        <v>38839</v>
      </c>
      <c r="W2305" s="4" t="s">
        <v>38840</v>
      </c>
      <c r="X2305" s="4" t="s">
        <v>38841</v>
      </c>
      <c r="Y2305" s="4" t="s">
        <v>38842</v>
      </c>
      <c r="Z2305" s="4" t="s">
        <v>38843</v>
      </c>
      <c r="AA2305" s="4" t="s">
        <v>38844</v>
      </c>
      <c r="AB2305" s="4" t="s">
        <v>38845</v>
      </c>
      <c r="AC2305" s="4" t="s">
        <v>38846</v>
      </c>
      <c r="AD2305" s="4" t="s">
        <v>38847</v>
      </c>
      <c r="AE2305" s="4" t="s">
        <v>38848</v>
      </c>
      <c r="AF2305" s="4"/>
      <c r="AG2305" s="4" t="n">
        <v>35</v>
      </c>
      <c r="AH2305" s="4" t="n">
        <v>50</v>
      </c>
      <c r="AI2305" s="4" t="n">
        <v>52</v>
      </c>
      <c r="AJ2305" s="4" t="n">
        <v>0</v>
      </c>
      <c r="AK2305" s="4" t="n">
        <v>8</v>
      </c>
      <c r="AL2305" s="4" t="s">
        <v>27506</v>
      </c>
      <c r="AM2305" s="4" t="s">
        <v>27507</v>
      </c>
      <c r="AN2305" s="4" t="s">
        <v>27508</v>
      </c>
      <c r="AO2305" s="4" t="s">
        <v>27509</v>
      </c>
      <c r="AP2305" s="4"/>
      <c r="AQ2305" s="4"/>
      <c r="AR2305" s="4" t="s">
        <v>27497</v>
      </c>
      <c r="AS2305" s="4" t="s">
        <v>27510</v>
      </c>
      <c r="AT2305" s="4" t="s">
        <v>26048</v>
      </c>
      <c r="AU2305" s="4" t="n">
        <v>2016</v>
      </c>
      <c r="AV2305" s="4" t="n">
        <v>11</v>
      </c>
      <c r="AW2305" s="4" t="n">
        <v>4</v>
      </c>
      <c r="AX2305" s="4"/>
      <c r="AY2305" s="4"/>
      <c r="AZ2305" s="4"/>
      <c r="BA2305" s="4"/>
      <c r="BB2305" s="4"/>
      <c r="BC2305" s="4"/>
      <c r="BD2305" s="4" t="s">
        <v>38849</v>
      </c>
      <c r="BE2305" s="4" t="s">
        <v>38850</v>
      </c>
      <c r="BF2305" s="4" t="str">
        <f aca="false">HYPERLINK("http://dx.doi.org/10.1371/journal.pone.0152481","http://dx.doi.org/10.1371/journal.pone.0152481")</f>
        <v>http://dx.doi.org/10.1371/journal.pone.0152481</v>
      </c>
      <c r="BG2305" s="4"/>
      <c r="BH2305" s="4"/>
      <c r="BI2305" s="4" t="n">
        <v>12</v>
      </c>
      <c r="BJ2305" s="4" t="s">
        <v>1658</v>
      </c>
      <c r="BK2305" s="4" t="s">
        <v>100</v>
      </c>
      <c r="BL2305" s="4" t="s">
        <v>1659</v>
      </c>
      <c r="BM2305" s="4" t="s">
        <v>38851</v>
      </c>
      <c r="BN2305" s="4" t="n">
        <v>27096199</v>
      </c>
      <c r="BO2305" s="4" t="s">
        <v>5702</v>
      </c>
      <c r="BP2305" s="4"/>
      <c r="BQ2305" s="4"/>
      <c r="BR2305" s="4" t="s">
        <v>104</v>
      </c>
      <c r="BS2305" s="4" t="s">
        <v>38852</v>
      </c>
      <c r="BT2305" s="4" t="str">
        <f aca="false">HYPERLINK("https%3A%2F%2Fwww.webofscience.com%2Fwos%2Fwoscc%2Ffull-record%2FWOS:000374543600014","View Full Record in Web of Science")</f>
        <v>View Full Record in Web of Science</v>
      </c>
    </row>
    <row r="2306" s="5" customFormat="true" ht="12.75" hidden="false" customHeight="false" outlineLevel="0" collapsed="false">
      <c r="A2306" s="4" t="s">
        <v>72</v>
      </c>
      <c r="B2306" s="4" t="s">
        <v>38853</v>
      </c>
      <c r="C2306" s="4"/>
      <c r="D2306" s="4"/>
      <c r="E2306" s="4"/>
      <c r="F2306" s="4" t="s">
        <v>38854</v>
      </c>
      <c r="G2306" s="4"/>
      <c r="H2306" s="4" t="s">
        <v>38855</v>
      </c>
      <c r="I2306" s="4" t="s">
        <v>38856</v>
      </c>
      <c r="J2306" s="4" t="s">
        <v>30899</v>
      </c>
      <c r="K2306" s="4"/>
      <c r="L2306" s="4"/>
      <c r="M2306" s="4" t="s">
        <v>77</v>
      </c>
      <c r="N2306" s="4" t="s">
        <v>78</v>
      </c>
      <c r="O2306" s="4"/>
      <c r="P2306" s="4"/>
      <c r="Q2306" s="4"/>
      <c r="R2306" s="4"/>
      <c r="S2306" s="4"/>
      <c r="T2306" s="1" t="s">
        <v>38857</v>
      </c>
      <c r="U2306" s="4"/>
      <c r="V2306" s="4" t="s">
        <v>38858</v>
      </c>
      <c r="W2306" s="4" t="s">
        <v>38859</v>
      </c>
      <c r="X2306" s="4" t="s">
        <v>38860</v>
      </c>
      <c r="Y2306" s="4" t="s">
        <v>38861</v>
      </c>
      <c r="Z2306" s="4" t="s">
        <v>38862</v>
      </c>
      <c r="AA2306" s="4" t="s">
        <v>38863</v>
      </c>
      <c r="AB2306" s="4" t="s">
        <v>38864</v>
      </c>
      <c r="AC2306" s="4" t="s">
        <v>38865</v>
      </c>
      <c r="AD2306" s="4" t="s">
        <v>38866</v>
      </c>
      <c r="AE2306" s="4" t="s">
        <v>38867</v>
      </c>
      <c r="AF2306" s="4"/>
      <c r="AG2306" s="4" t="n">
        <v>26</v>
      </c>
      <c r="AH2306" s="4" t="n">
        <v>6</v>
      </c>
      <c r="AI2306" s="4" t="n">
        <v>6</v>
      </c>
      <c r="AJ2306" s="4" t="n">
        <v>2</v>
      </c>
      <c r="AK2306" s="4" t="n">
        <v>3</v>
      </c>
      <c r="AL2306" s="4" t="s">
        <v>1186</v>
      </c>
      <c r="AM2306" s="4" t="s">
        <v>303</v>
      </c>
      <c r="AN2306" s="4" t="s">
        <v>1187</v>
      </c>
      <c r="AO2306" s="4" t="s">
        <v>30906</v>
      </c>
      <c r="AP2306" s="4" t="s">
        <v>30907</v>
      </c>
      <c r="AQ2306" s="4"/>
      <c r="AR2306" s="4" t="s">
        <v>30908</v>
      </c>
      <c r="AS2306" s="4" t="s">
        <v>30909</v>
      </c>
      <c r="AT2306" s="4" t="s">
        <v>129</v>
      </c>
      <c r="AU2306" s="4" t="n">
        <v>2023</v>
      </c>
      <c r="AV2306" s="4" t="n">
        <v>108</v>
      </c>
      <c r="AW2306" s="4" t="n">
        <v>9</v>
      </c>
      <c r="AX2306" s="4"/>
      <c r="AY2306" s="4"/>
      <c r="AZ2306" s="4"/>
      <c r="BA2306" s="4"/>
      <c r="BB2306" s="4"/>
      <c r="BC2306" s="4"/>
      <c r="BD2306" s="4" t="s">
        <v>38868</v>
      </c>
      <c r="BE2306" s="4" t="s">
        <v>38869</v>
      </c>
      <c r="BF2306" s="4" t="str">
        <f aca="false">HYPERLINK("http://dx.doi.org/10.1136/archdischild-2023-325448","http://dx.doi.org/10.1136/archdischild-2023-325448")</f>
        <v>http://dx.doi.org/10.1136/archdischild-2023-325448</v>
      </c>
      <c r="BG2306" s="4"/>
      <c r="BH2306" s="4" t="s">
        <v>12608</v>
      </c>
      <c r="BI2306" s="4" t="n">
        <v>6</v>
      </c>
      <c r="BJ2306" s="4" t="s">
        <v>601</v>
      </c>
      <c r="BK2306" s="4" t="s">
        <v>100</v>
      </c>
      <c r="BL2306" s="4" t="s">
        <v>601</v>
      </c>
      <c r="BM2306" s="4" t="s">
        <v>38870</v>
      </c>
      <c r="BN2306" s="4" t="n">
        <v>37130726</v>
      </c>
      <c r="BO2306" s="4" t="s">
        <v>656</v>
      </c>
      <c r="BP2306" s="4"/>
      <c r="BQ2306" s="4"/>
      <c r="BR2306" s="4" t="s">
        <v>104</v>
      </c>
      <c r="BS2306" s="4" t="s">
        <v>38871</v>
      </c>
      <c r="BT2306" s="4" t="str">
        <f aca="false">HYPERLINK("https%3A%2F%2Fwww.webofscience.com%2Fwos%2Fwoscc%2Ffull-record%2FWOS:001009541500001","View Full Record in Web of Science")</f>
        <v>View Full Record in Web of Science</v>
      </c>
    </row>
    <row r="2307" s="5" customFormat="true" ht="12.75" hidden="false" customHeight="false" outlineLevel="0" collapsed="false">
      <c r="A2307" s="4" t="s">
        <v>72</v>
      </c>
      <c r="B2307" s="4" t="s">
        <v>38872</v>
      </c>
      <c r="C2307" s="4"/>
      <c r="D2307" s="4"/>
      <c r="E2307" s="4"/>
      <c r="F2307" s="4" t="s">
        <v>38873</v>
      </c>
      <c r="G2307" s="4"/>
      <c r="H2307" s="4"/>
      <c r="I2307" s="4" t="s">
        <v>38874</v>
      </c>
      <c r="J2307" s="4" t="s">
        <v>24209</v>
      </c>
      <c r="K2307" s="4"/>
      <c r="L2307" s="4"/>
      <c r="M2307" s="4" t="s">
        <v>77</v>
      </c>
      <c r="N2307" s="4" t="s">
        <v>78</v>
      </c>
      <c r="O2307" s="4"/>
      <c r="P2307" s="4"/>
      <c r="Q2307" s="4"/>
      <c r="R2307" s="4"/>
      <c r="S2307" s="4"/>
      <c r="T2307" s="1" t="s">
        <v>38875</v>
      </c>
      <c r="U2307" s="4" t="s">
        <v>38876</v>
      </c>
      <c r="V2307" s="4" t="s">
        <v>38877</v>
      </c>
      <c r="W2307" s="4" t="s">
        <v>38878</v>
      </c>
      <c r="X2307" s="4" t="s">
        <v>38879</v>
      </c>
      <c r="Y2307" s="4" t="s">
        <v>38880</v>
      </c>
      <c r="Z2307" s="4" t="s">
        <v>38881</v>
      </c>
      <c r="AA2307" s="4" t="s">
        <v>38882</v>
      </c>
      <c r="AB2307" s="4" t="s">
        <v>38883</v>
      </c>
      <c r="AC2307" s="4" t="s">
        <v>38884</v>
      </c>
      <c r="AD2307" s="4" t="s">
        <v>38885</v>
      </c>
      <c r="AE2307" s="4" t="s">
        <v>38886</v>
      </c>
      <c r="AF2307" s="4"/>
      <c r="AG2307" s="4" t="n">
        <v>51</v>
      </c>
      <c r="AH2307" s="4" t="n">
        <v>26</v>
      </c>
      <c r="AI2307" s="4" t="n">
        <v>28</v>
      </c>
      <c r="AJ2307" s="4" t="n">
        <v>1</v>
      </c>
      <c r="AK2307" s="4" t="n">
        <v>7</v>
      </c>
      <c r="AL2307" s="4" t="s">
        <v>122</v>
      </c>
      <c r="AM2307" s="4" t="s">
        <v>123</v>
      </c>
      <c r="AN2307" s="4" t="s">
        <v>124</v>
      </c>
      <c r="AO2307" s="4" t="s">
        <v>24221</v>
      </c>
      <c r="AP2307" s="4" t="s">
        <v>24222</v>
      </c>
      <c r="AQ2307" s="4"/>
      <c r="AR2307" s="4" t="s">
        <v>24209</v>
      </c>
      <c r="AS2307" s="4" t="s">
        <v>24223</v>
      </c>
      <c r="AT2307" s="4" t="s">
        <v>692</v>
      </c>
      <c r="AU2307" s="4" t="n">
        <v>2015</v>
      </c>
      <c r="AV2307" s="4" t="n">
        <v>94</v>
      </c>
      <c r="AW2307" s="4" t="n">
        <v>16</v>
      </c>
      <c r="AX2307" s="4"/>
      <c r="AY2307" s="4"/>
      <c r="AZ2307" s="4"/>
      <c r="BA2307" s="4"/>
      <c r="BB2307" s="4"/>
      <c r="BC2307" s="4"/>
      <c r="BD2307" s="4" t="s">
        <v>38887</v>
      </c>
      <c r="BE2307" s="4" t="s">
        <v>38888</v>
      </c>
      <c r="BF2307" s="4" t="str">
        <f aca="false">HYPERLINK("http://dx.doi.org/10.1097/MD.0000000000000742","http://dx.doi.org/10.1097/MD.0000000000000742")</f>
        <v>http://dx.doi.org/10.1097/MD.0000000000000742</v>
      </c>
      <c r="BG2307" s="4"/>
      <c r="BH2307" s="4"/>
      <c r="BI2307" s="4" t="n">
        <v>7</v>
      </c>
      <c r="BJ2307" s="4" t="s">
        <v>363</v>
      </c>
      <c r="BK2307" s="4" t="s">
        <v>100</v>
      </c>
      <c r="BL2307" s="4" t="s">
        <v>364</v>
      </c>
      <c r="BM2307" s="4" t="s">
        <v>38889</v>
      </c>
      <c r="BN2307" s="4" t="n">
        <v>25906103</v>
      </c>
      <c r="BO2307" s="4" t="s">
        <v>190</v>
      </c>
      <c r="BP2307" s="4"/>
      <c r="BQ2307" s="4"/>
      <c r="BR2307" s="4" t="s">
        <v>104</v>
      </c>
      <c r="BS2307" s="4" t="s">
        <v>38890</v>
      </c>
      <c r="BT2307" s="4" t="str">
        <f aca="false">HYPERLINK("https%3A%2F%2Fwww.webofscience.com%2Fwos%2Fwoscc%2Ffull-record%2FWOS:000353794700014","View Full Record in Web of Science")</f>
        <v>View Full Record in Web of Science</v>
      </c>
    </row>
    <row r="2308" s="5" customFormat="true" ht="12.75" hidden="false" customHeight="false" outlineLevel="0" collapsed="false">
      <c r="A2308" s="4" t="s">
        <v>72</v>
      </c>
      <c r="B2308" s="4" t="s">
        <v>38891</v>
      </c>
      <c r="C2308" s="4"/>
      <c r="D2308" s="4"/>
      <c r="E2308" s="4"/>
      <c r="F2308" s="4" t="s">
        <v>38892</v>
      </c>
      <c r="G2308" s="4"/>
      <c r="H2308" s="4"/>
      <c r="I2308" s="4" t="s">
        <v>38893</v>
      </c>
      <c r="J2308" s="4" t="s">
        <v>38894</v>
      </c>
      <c r="K2308" s="4"/>
      <c r="L2308" s="4"/>
      <c r="M2308" s="4" t="s">
        <v>77</v>
      </c>
      <c r="N2308" s="4" t="s">
        <v>78</v>
      </c>
      <c r="O2308" s="4"/>
      <c r="P2308" s="4"/>
      <c r="Q2308" s="4"/>
      <c r="R2308" s="4"/>
      <c r="S2308" s="4"/>
      <c r="T2308" s="1" t="s">
        <v>38895</v>
      </c>
      <c r="U2308" s="4" t="s">
        <v>38896</v>
      </c>
      <c r="V2308" s="4" t="s">
        <v>38897</v>
      </c>
      <c r="W2308" s="4" t="s">
        <v>38898</v>
      </c>
      <c r="X2308" s="4" t="s">
        <v>28094</v>
      </c>
      <c r="Y2308" s="4" t="s">
        <v>38899</v>
      </c>
      <c r="Z2308" s="4" t="s">
        <v>33754</v>
      </c>
      <c r="AA2308" s="4"/>
      <c r="AB2308" s="4"/>
      <c r="AC2308" s="4"/>
      <c r="AD2308" s="4"/>
      <c r="AE2308" s="4"/>
      <c r="AF2308" s="4"/>
      <c r="AG2308" s="4" t="n">
        <v>105</v>
      </c>
      <c r="AH2308" s="4" t="n">
        <v>130</v>
      </c>
      <c r="AI2308" s="4" t="n">
        <v>142</v>
      </c>
      <c r="AJ2308" s="4" t="n">
        <v>0</v>
      </c>
      <c r="AK2308" s="4" t="n">
        <v>24</v>
      </c>
      <c r="AL2308" s="4" t="s">
        <v>28794</v>
      </c>
      <c r="AM2308" s="4" t="s">
        <v>28795</v>
      </c>
      <c r="AN2308" s="4" t="s">
        <v>28796</v>
      </c>
      <c r="AO2308" s="4" t="s">
        <v>38900</v>
      </c>
      <c r="AP2308" s="4" t="s">
        <v>38901</v>
      </c>
      <c r="AQ2308" s="4"/>
      <c r="AR2308" s="4" t="s">
        <v>38902</v>
      </c>
      <c r="AS2308" s="4" t="s">
        <v>38903</v>
      </c>
      <c r="AT2308" s="4" t="s">
        <v>692</v>
      </c>
      <c r="AU2308" s="4" t="n">
        <v>2015</v>
      </c>
      <c r="AV2308" s="4" t="n">
        <v>32</v>
      </c>
      <c r="AW2308" s="4" t="n">
        <v>4</v>
      </c>
      <c r="AX2308" s="4"/>
      <c r="AY2308" s="4"/>
      <c r="AZ2308" s="4"/>
      <c r="BA2308" s="4"/>
      <c r="BB2308" s="4" t="n">
        <v>261</v>
      </c>
      <c r="BC2308" s="4" t="n">
        <v>269</v>
      </c>
      <c r="BD2308" s="4"/>
      <c r="BE2308" s="4" t="s">
        <v>38904</v>
      </c>
      <c r="BF2308" s="4" t="str">
        <f aca="false">HYPERLINK("http://dx.doi.org/10.1007/s40266-015-0258-9","http://dx.doi.org/10.1007/s40266-015-0258-9")</f>
        <v>http://dx.doi.org/10.1007/s40266-015-0258-9</v>
      </c>
      <c r="BG2308" s="4"/>
      <c r="BH2308" s="4"/>
      <c r="BI2308" s="4" t="n">
        <v>9</v>
      </c>
      <c r="BJ2308" s="4" t="s">
        <v>38905</v>
      </c>
      <c r="BK2308" s="4" t="s">
        <v>100</v>
      </c>
      <c r="BL2308" s="4" t="s">
        <v>38905</v>
      </c>
      <c r="BM2308" s="4" t="s">
        <v>38906</v>
      </c>
      <c r="BN2308" s="4" t="n">
        <v>25851217</v>
      </c>
      <c r="BO2308" s="4" t="s">
        <v>656</v>
      </c>
      <c r="BP2308" s="4"/>
      <c r="BQ2308" s="4"/>
      <c r="BR2308" s="4" t="s">
        <v>104</v>
      </c>
      <c r="BS2308" s="4" t="s">
        <v>38907</v>
      </c>
      <c r="BT2308" s="4" t="str">
        <f aca="false">HYPERLINK("https%3A%2F%2Fwww.webofscience.com%2Fwos%2Fwoscc%2Ffull-record%2FWOS:000352786600001","View Full Record in Web of Science")</f>
        <v>View Full Record in Web of Science</v>
      </c>
    </row>
    <row r="2309" s="5" customFormat="true" ht="12.75" hidden="false" customHeight="false" outlineLevel="0" collapsed="false">
      <c r="A2309" s="4" t="s">
        <v>72</v>
      </c>
      <c r="B2309" s="4" t="s">
        <v>38908</v>
      </c>
      <c r="C2309" s="4"/>
      <c r="D2309" s="4"/>
      <c r="E2309" s="4"/>
      <c r="F2309" s="4" t="s">
        <v>38909</v>
      </c>
      <c r="G2309" s="4"/>
      <c r="H2309" s="4"/>
      <c r="I2309" s="4" t="s">
        <v>38910</v>
      </c>
      <c r="J2309" s="4" t="s">
        <v>1174</v>
      </c>
      <c r="K2309" s="4"/>
      <c r="L2309" s="4"/>
      <c r="M2309" s="4" t="s">
        <v>77</v>
      </c>
      <c r="N2309" s="4" t="s">
        <v>78</v>
      </c>
      <c r="O2309" s="4"/>
      <c r="P2309" s="4"/>
      <c r="Q2309" s="4"/>
      <c r="R2309" s="4"/>
      <c r="S2309" s="4"/>
      <c r="T2309" s="1" t="s">
        <v>38911</v>
      </c>
      <c r="U2309" s="4" t="s">
        <v>38912</v>
      </c>
      <c r="V2309" s="4" t="s">
        <v>38913</v>
      </c>
      <c r="W2309" s="4" t="s">
        <v>38914</v>
      </c>
      <c r="X2309" s="4" t="s">
        <v>38915</v>
      </c>
      <c r="Y2309" s="4" t="s">
        <v>38916</v>
      </c>
      <c r="Z2309" s="4" t="s">
        <v>17679</v>
      </c>
      <c r="AA2309" s="4" t="s">
        <v>26905</v>
      </c>
      <c r="AB2309" s="4" t="s">
        <v>38917</v>
      </c>
      <c r="AC2309" s="4" t="s">
        <v>38918</v>
      </c>
      <c r="AD2309" s="4" t="s">
        <v>38919</v>
      </c>
      <c r="AE2309" s="4" t="s">
        <v>38920</v>
      </c>
      <c r="AF2309" s="4"/>
      <c r="AG2309" s="4" t="n">
        <v>26</v>
      </c>
      <c r="AH2309" s="4" t="n">
        <v>89</v>
      </c>
      <c r="AI2309" s="4" t="n">
        <v>94</v>
      </c>
      <c r="AJ2309" s="4" t="n">
        <v>0</v>
      </c>
      <c r="AK2309" s="4" t="n">
        <v>2</v>
      </c>
      <c r="AL2309" s="4" t="s">
        <v>37966</v>
      </c>
      <c r="AM2309" s="4" t="s">
        <v>303</v>
      </c>
      <c r="AN2309" s="4" t="s">
        <v>1187</v>
      </c>
      <c r="AO2309" s="4" t="s">
        <v>1188</v>
      </c>
      <c r="AP2309" s="4"/>
      <c r="AQ2309" s="4"/>
      <c r="AR2309" s="4" t="s">
        <v>1174</v>
      </c>
      <c r="AS2309" s="4" t="s">
        <v>1190</v>
      </c>
      <c r="AT2309" s="4" t="s">
        <v>390</v>
      </c>
      <c r="AU2309" s="4" t="n">
        <v>2009</v>
      </c>
      <c r="AV2309" s="4" t="n">
        <v>64</v>
      </c>
      <c r="AW2309" s="4" t="n">
        <v>5</v>
      </c>
      <c r="AX2309" s="4"/>
      <c r="AY2309" s="4"/>
      <c r="AZ2309" s="4"/>
      <c r="BA2309" s="4"/>
      <c r="BB2309" s="4" t="n">
        <v>399</v>
      </c>
      <c r="BC2309" s="4" t="n">
        <v>404</v>
      </c>
      <c r="BD2309" s="4"/>
      <c r="BE2309" s="4" t="s">
        <v>38921</v>
      </c>
      <c r="BF2309" s="4" t="str">
        <f aca="false">HYPERLINK("http://dx.doi.org/10.1136/thx.2008.105155","http://dx.doi.org/10.1136/thx.2008.105155")</f>
        <v>http://dx.doi.org/10.1136/thx.2008.105155</v>
      </c>
      <c r="BG2309" s="4"/>
      <c r="BH2309" s="4"/>
      <c r="BI2309" s="4" t="n">
        <v>6</v>
      </c>
      <c r="BJ2309" s="4" t="s">
        <v>338</v>
      </c>
      <c r="BK2309" s="4" t="s">
        <v>100</v>
      </c>
      <c r="BL2309" s="4" t="s">
        <v>338</v>
      </c>
      <c r="BM2309" s="4" t="s">
        <v>38922</v>
      </c>
      <c r="BN2309" s="4" t="n">
        <v>19174425</v>
      </c>
      <c r="BO2309" s="4" t="s">
        <v>1903</v>
      </c>
      <c r="BP2309" s="4"/>
      <c r="BQ2309" s="4"/>
      <c r="BR2309" s="4" t="s">
        <v>104</v>
      </c>
      <c r="BS2309" s="4" t="s">
        <v>38923</v>
      </c>
      <c r="BT2309" s="4" t="str">
        <f aca="false">HYPERLINK("https%3A%2F%2Fwww.webofscience.com%2Fwos%2Fwoscc%2Ffull-record%2FWOS:000265579900010","View Full Record in Web of Science")</f>
        <v>View Full Record in Web of Science</v>
      </c>
    </row>
    <row r="2310" s="5" customFormat="true" ht="12.75" hidden="false" customHeight="false" outlineLevel="0" collapsed="false">
      <c r="A2310" s="4" t="s">
        <v>72</v>
      </c>
      <c r="B2310" s="4" t="s">
        <v>38924</v>
      </c>
      <c r="C2310" s="4"/>
      <c r="D2310" s="4"/>
      <c r="E2310" s="4"/>
      <c r="F2310" s="4" t="s">
        <v>38925</v>
      </c>
      <c r="G2310" s="4"/>
      <c r="H2310" s="4"/>
      <c r="I2310" s="4" t="s">
        <v>38926</v>
      </c>
      <c r="J2310" s="4" t="s">
        <v>27497</v>
      </c>
      <c r="K2310" s="4"/>
      <c r="L2310" s="4"/>
      <c r="M2310" s="4" t="s">
        <v>77</v>
      </c>
      <c r="N2310" s="4" t="s">
        <v>78</v>
      </c>
      <c r="O2310" s="4"/>
      <c r="P2310" s="4"/>
      <c r="Q2310" s="4"/>
      <c r="R2310" s="4"/>
      <c r="S2310" s="4"/>
      <c r="T2310" s="1" t="s">
        <v>38927</v>
      </c>
      <c r="U2310" s="4" t="s">
        <v>38928</v>
      </c>
      <c r="V2310" s="4" t="s">
        <v>38929</v>
      </c>
      <c r="W2310" s="4" t="s">
        <v>38930</v>
      </c>
      <c r="X2310" s="4" t="s">
        <v>38931</v>
      </c>
      <c r="Y2310" s="4" t="s">
        <v>38932</v>
      </c>
      <c r="Z2310" s="4" t="s">
        <v>38933</v>
      </c>
      <c r="AA2310" s="4" t="s">
        <v>38934</v>
      </c>
      <c r="AB2310" s="4" t="s">
        <v>38935</v>
      </c>
      <c r="AC2310" s="4" t="s">
        <v>38936</v>
      </c>
      <c r="AD2310" s="4" t="s">
        <v>38937</v>
      </c>
      <c r="AE2310" s="4" t="s">
        <v>38938</v>
      </c>
      <c r="AF2310" s="4"/>
      <c r="AG2310" s="4" t="n">
        <v>27</v>
      </c>
      <c r="AH2310" s="4" t="n">
        <v>29</v>
      </c>
      <c r="AI2310" s="4" t="n">
        <v>29</v>
      </c>
      <c r="AJ2310" s="4" t="n">
        <v>0</v>
      </c>
      <c r="AK2310" s="4" t="n">
        <v>1</v>
      </c>
      <c r="AL2310" s="4" t="s">
        <v>27506</v>
      </c>
      <c r="AM2310" s="4" t="s">
        <v>27507</v>
      </c>
      <c r="AN2310" s="4" t="s">
        <v>27508</v>
      </c>
      <c r="AO2310" s="4" t="s">
        <v>27509</v>
      </c>
      <c r="AP2310" s="4"/>
      <c r="AQ2310" s="4"/>
      <c r="AR2310" s="4" t="s">
        <v>27497</v>
      </c>
      <c r="AS2310" s="4" t="s">
        <v>27510</v>
      </c>
      <c r="AT2310" s="4"/>
      <c r="AU2310" s="4" t="n">
        <v>2022</v>
      </c>
      <c r="AV2310" s="4" t="n">
        <v>17</v>
      </c>
      <c r="AW2310" s="4" t="n">
        <v>3</v>
      </c>
      <c r="AX2310" s="4"/>
      <c r="AY2310" s="4"/>
      <c r="AZ2310" s="4"/>
      <c r="BA2310" s="4"/>
      <c r="BB2310" s="4"/>
      <c r="BC2310" s="4"/>
      <c r="BD2310" s="4" t="s">
        <v>38939</v>
      </c>
      <c r="BE2310" s="4" t="s">
        <v>38940</v>
      </c>
      <c r="BF2310" s="4" t="str">
        <f aca="false">HYPERLINK("http://dx.doi.org/10.1371/journal.pone.0264890","http://dx.doi.org/10.1371/journal.pone.0264890")</f>
        <v>http://dx.doi.org/10.1371/journal.pone.0264890</v>
      </c>
      <c r="BG2310" s="4"/>
      <c r="BH2310" s="4"/>
      <c r="BI2310" s="4" t="n">
        <v>10</v>
      </c>
      <c r="BJ2310" s="4" t="s">
        <v>1658</v>
      </c>
      <c r="BK2310" s="4" t="s">
        <v>100</v>
      </c>
      <c r="BL2310" s="4" t="s">
        <v>1659</v>
      </c>
      <c r="BM2310" s="4" t="s">
        <v>35932</v>
      </c>
      <c r="BN2310" s="4" t="n">
        <v>35263382</v>
      </c>
      <c r="BO2310" s="4" t="s">
        <v>103</v>
      </c>
      <c r="BP2310" s="4"/>
      <c r="BQ2310" s="4"/>
      <c r="BR2310" s="4" t="s">
        <v>104</v>
      </c>
      <c r="BS2310" s="4" t="s">
        <v>38941</v>
      </c>
      <c r="BT2310" s="4" t="str">
        <f aca="false">HYPERLINK("https%3A%2F%2Fwww.webofscience.com%2Fwos%2Fwoscc%2Ffull-record%2FWOS:000804638700040","View Full Record in Web of Science")</f>
        <v>View Full Record in Web of Science</v>
      </c>
    </row>
    <row r="2311" s="5" customFormat="true" ht="12.75" hidden="false" customHeight="false" outlineLevel="0" collapsed="false">
      <c r="A2311" s="4" t="s">
        <v>72</v>
      </c>
      <c r="B2311" s="4" t="s">
        <v>38942</v>
      </c>
      <c r="C2311" s="4"/>
      <c r="D2311" s="4"/>
      <c r="E2311" s="4"/>
      <c r="F2311" s="4" t="s">
        <v>38943</v>
      </c>
      <c r="G2311" s="4"/>
      <c r="H2311" s="4"/>
      <c r="I2311" s="4" t="s">
        <v>38944</v>
      </c>
      <c r="J2311" s="4" t="s">
        <v>2222</v>
      </c>
      <c r="K2311" s="4"/>
      <c r="L2311" s="4"/>
      <c r="M2311" s="4" t="s">
        <v>77</v>
      </c>
      <c r="N2311" s="4" t="s">
        <v>78</v>
      </c>
      <c r="O2311" s="4"/>
      <c r="P2311" s="4"/>
      <c r="Q2311" s="4"/>
      <c r="R2311" s="4"/>
      <c r="S2311" s="4"/>
      <c r="T2311" s="1" t="s">
        <v>38945</v>
      </c>
      <c r="U2311" s="4" t="s">
        <v>38946</v>
      </c>
      <c r="V2311" s="4" t="s">
        <v>38947</v>
      </c>
      <c r="W2311" s="4" t="s">
        <v>38948</v>
      </c>
      <c r="X2311" s="4" t="s">
        <v>38949</v>
      </c>
      <c r="Y2311" s="4" t="s">
        <v>38950</v>
      </c>
      <c r="Z2311" s="4" t="s">
        <v>38951</v>
      </c>
      <c r="AA2311" s="4" t="s">
        <v>38952</v>
      </c>
      <c r="AB2311" s="4" t="s">
        <v>38953</v>
      </c>
      <c r="AC2311" s="4"/>
      <c r="AD2311" s="4"/>
      <c r="AE2311" s="4"/>
      <c r="AF2311" s="4"/>
      <c r="AG2311" s="4" t="n">
        <v>27</v>
      </c>
      <c r="AH2311" s="4" t="n">
        <v>52</v>
      </c>
      <c r="AI2311" s="4" t="n">
        <v>55</v>
      </c>
      <c r="AJ2311" s="4" t="n">
        <v>0</v>
      </c>
      <c r="AK2311" s="4" t="n">
        <v>13</v>
      </c>
      <c r="AL2311" s="4" t="s">
        <v>755</v>
      </c>
      <c r="AM2311" s="4" t="s">
        <v>273</v>
      </c>
      <c r="AN2311" s="4" t="s">
        <v>756</v>
      </c>
      <c r="AO2311" s="4" t="s">
        <v>2234</v>
      </c>
      <c r="AP2311" s="4" t="s">
        <v>2235</v>
      </c>
      <c r="AQ2311" s="4"/>
      <c r="AR2311" s="4" t="s">
        <v>2236</v>
      </c>
      <c r="AS2311" s="4" t="s">
        <v>2237</v>
      </c>
      <c r="AT2311" s="4" t="s">
        <v>599</v>
      </c>
      <c r="AU2311" s="4" t="n">
        <v>2016</v>
      </c>
      <c r="AV2311" s="4" t="n">
        <v>54</v>
      </c>
      <c r="AW2311" s="4" t="n">
        <v>7</v>
      </c>
      <c r="AX2311" s="4"/>
      <c r="AY2311" s="4"/>
      <c r="AZ2311" s="4"/>
      <c r="BA2311" s="4"/>
      <c r="BB2311" s="4" t="n">
        <v>1820</v>
      </c>
      <c r="BC2311" s="4" t="n">
        <v>1825</v>
      </c>
      <c r="BD2311" s="4"/>
      <c r="BE2311" s="4" t="s">
        <v>38954</v>
      </c>
      <c r="BF2311" s="4" t="str">
        <f aca="false">HYPERLINK("http://dx.doi.org/10.1128/JCM.00517-16","http://dx.doi.org/10.1128/JCM.00517-16")</f>
        <v>http://dx.doi.org/10.1128/JCM.00517-16</v>
      </c>
      <c r="BG2311" s="4"/>
      <c r="BH2311" s="4"/>
      <c r="BI2311" s="4" t="n">
        <v>6</v>
      </c>
      <c r="BJ2311" s="4" t="s">
        <v>211</v>
      </c>
      <c r="BK2311" s="4" t="s">
        <v>100</v>
      </c>
      <c r="BL2311" s="4" t="s">
        <v>211</v>
      </c>
      <c r="BM2311" s="4" t="s">
        <v>38955</v>
      </c>
      <c r="BN2311" s="4" t="n">
        <v>27122380</v>
      </c>
      <c r="BO2311" s="4" t="s">
        <v>538</v>
      </c>
      <c r="BP2311" s="4"/>
      <c r="BQ2311" s="4"/>
      <c r="BR2311" s="4" t="s">
        <v>104</v>
      </c>
      <c r="BS2311" s="4" t="s">
        <v>38956</v>
      </c>
      <c r="BT2311" s="4" t="str">
        <f aca="false">HYPERLINK("https%3A%2F%2Fwww.webofscience.com%2Fwos%2Fwoscc%2Ffull-record%2FWOS:000378641600024","View Full Record in Web of Science")</f>
        <v>View Full Record in Web of Science</v>
      </c>
    </row>
    <row r="2312" s="5" customFormat="true" ht="12.75" hidden="false" customHeight="false" outlineLevel="0" collapsed="false">
      <c r="A2312" s="4" t="s">
        <v>72</v>
      </c>
      <c r="B2312" s="4" t="s">
        <v>38957</v>
      </c>
      <c r="C2312" s="4"/>
      <c r="D2312" s="4"/>
      <c r="E2312" s="4"/>
      <c r="F2312" s="4" t="s">
        <v>38958</v>
      </c>
      <c r="G2312" s="4"/>
      <c r="H2312" s="4"/>
      <c r="I2312" s="4" t="s">
        <v>38959</v>
      </c>
      <c r="J2312" s="4" t="s">
        <v>2222</v>
      </c>
      <c r="K2312" s="4"/>
      <c r="L2312" s="4"/>
      <c r="M2312" s="4" t="s">
        <v>77</v>
      </c>
      <c r="N2312" s="4" t="s">
        <v>78</v>
      </c>
      <c r="O2312" s="4"/>
      <c r="P2312" s="4"/>
      <c r="Q2312" s="4"/>
      <c r="R2312" s="4"/>
      <c r="S2312" s="4"/>
      <c r="T2312" s="1" t="s">
        <v>38960</v>
      </c>
      <c r="U2312" s="4" t="s">
        <v>38961</v>
      </c>
      <c r="V2312" s="4" t="s">
        <v>38962</v>
      </c>
      <c r="W2312" s="4" t="s">
        <v>38963</v>
      </c>
      <c r="X2312" s="4" t="s">
        <v>12968</v>
      </c>
      <c r="Y2312" s="4" t="s">
        <v>38964</v>
      </c>
      <c r="Z2312" s="4" t="s">
        <v>12970</v>
      </c>
      <c r="AA2312" s="4" t="s">
        <v>12971</v>
      </c>
      <c r="AB2312" s="4"/>
      <c r="AC2312" s="4" t="s">
        <v>38965</v>
      </c>
      <c r="AD2312" s="4" t="s">
        <v>11010</v>
      </c>
      <c r="AE2312" s="4"/>
      <c r="AF2312" s="4"/>
      <c r="AG2312" s="4" t="n">
        <v>28</v>
      </c>
      <c r="AH2312" s="4" t="n">
        <v>252</v>
      </c>
      <c r="AI2312" s="4" t="n">
        <v>275</v>
      </c>
      <c r="AJ2312" s="4" t="n">
        <v>0</v>
      </c>
      <c r="AK2312" s="4" t="n">
        <v>16</v>
      </c>
      <c r="AL2312" s="4" t="s">
        <v>755</v>
      </c>
      <c r="AM2312" s="4" t="s">
        <v>273</v>
      </c>
      <c r="AN2312" s="4" t="s">
        <v>756</v>
      </c>
      <c r="AO2312" s="4" t="s">
        <v>2234</v>
      </c>
      <c r="AP2312" s="4" t="s">
        <v>2235</v>
      </c>
      <c r="AQ2312" s="4"/>
      <c r="AR2312" s="4" t="s">
        <v>2236</v>
      </c>
      <c r="AS2312" s="4" t="s">
        <v>2237</v>
      </c>
      <c r="AT2312" s="4" t="s">
        <v>599</v>
      </c>
      <c r="AU2312" s="4" t="n">
        <v>2006</v>
      </c>
      <c r="AV2312" s="4" t="n">
        <v>44</v>
      </c>
      <c r="AW2312" s="4" t="n">
        <v>7</v>
      </c>
      <c r="AX2312" s="4"/>
      <c r="AY2312" s="4"/>
      <c r="AZ2312" s="4"/>
      <c r="BA2312" s="4"/>
      <c r="BB2312" s="4" t="n">
        <v>2382</v>
      </c>
      <c r="BC2312" s="4" t="n">
        <v>2388</v>
      </c>
      <c r="BD2312" s="4"/>
      <c r="BE2312" s="4" t="s">
        <v>38966</v>
      </c>
      <c r="BF2312" s="4" t="str">
        <f aca="false">HYPERLINK("http://dx.doi.org/10.1128/JCM.00216-06","http://dx.doi.org/10.1128/JCM.00216-06")</f>
        <v>http://dx.doi.org/10.1128/JCM.00216-06</v>
      </c>
      <c r="BG2312" s="4"/>
      <c r="BH2312" s="4"/>
      <c r="BI2312" s="4" t="n">
        <v>7</v>
      </c>
      <c r="BJ2312" s="4" t="s">
        <v>211</v>
      </c>
      <c r="BK2312" s="4" t="s">
        <v>100</v>
      </c>
      <c r="BL2312" s="4" t="s">
        <v>211</v>
      </c>
      <c r="BM2312" s="4" t="s">
        <v>38967</v>
      </c>
      <c r="BN2312" s="4" t="n">
        <v>16825353</v>
      </c>
      <c r="BO2312" s="4" t="s">
        <v>165</v>
      </c>
      <c r="BP2312" s="4"/>
      <c r="BQ2312" s="4"/>
      <c r="BR2312" s="4" t="s">
        <v>104</v>
      </c>
      <c r="BS2312" s="4" t="s">
        <v>38968</v>
      </c>
      <c r="BT2312" s="4" t="str">
        <f aca="false">HYPERLINK("https%3A%2F%2Fwww.webofscience.com%2Fwos%2Fwoscc%2Ffull-record%2FWOS:000239157400011","View Full Record in Web of Science")</f>
        <v>View Full Record in Web of Science</v>
      </c>
    </row>
    <row r="2313" s="5" customFormat="true" ht="12.75" hidden="false" customHeight="false" outlineLevel="0" collapsed="false">
      <c r="A2313" s="4" t="s">
        <v>72</v>
      </c>
      <c r="B2313" s="4" t="s">
        <v>38969</v>
      </c>
      <c r="C2313" s="4"/>
      <c r="D2313" s="4"/>
      <c r="E2313" s="4"/>
      <c r="F2313" s="4" t="s">
        <v>38970</v>
      </c>
      <c r="G2313" s="4"/>
      <c r="H2313" s="4"/>
      <c r="I2313" s="4" t="s">
        <v>38971</v>
      </c>
      <c r="J2313" s="4" t="s">
        <v>24209</v>
      </c>
      <c r="K2313" s="4"/>
      <c r="L2313" s="4"/>
      <c r="M2313" s="4" t="s">
        <v>77</v>
      </c>
      <c r="N2313" s="4" t="s">
        <v>78</v>
      </c>
      <c r="O2313" s="4"/>
      <c r="P2313" s="4"/>
      <c r="Q2313" s="4"/>
      <c r="R2313" s="4"/>
      <c r="S2313" s="4"/>
      <c r="T2313" s="1" t="s">
        <v>38972</v>
      </c>
      <c r="U2313" s="4" t="s">
        <v>38973</v>
      </c>
      <c r="V2313" s="4" t="s">
        <v>38974</v>
      </c>
      <c r="W2313" s="4" t="s">
        <v>38975</v>
      </c>
      <c r="X2313" s="4" t="s">
        <v>11997</v>
      </c>
      <c r="Y2313" s="4" t="s">
        <v>38976</v>
      </c>
      <c r="Z2313" s="4" t="s">
        <v>23073</v>
      </c>
      <c r="AA2313" s="4" t="s">
        <v>7016</v>
      </c>
      <c r="AB2313" s="4" t="s">
        <v>38977</v>
      </c>
      <c r="AC2313" s="4" t="s">
        <v>38978</v>
      </c>
      <c r="AD2313" s="4" t="s">
        <v>7019</v>
      </c>
      <c r="AE2313" s="4" t="s">
        <v>38979</v>
      </c>
      <c r="AF2313" s="4"/>
      <c r="AG2313" s="4" t="n">
        <v>32</v>
      </c>
      <c r="AH2313" s="4" t="n">
        <v>44</v>
      </c>
      <c r="AI2313" s="4" t="n">
        <v>51</v>
      </c>
      <c r="AJ2313" s="4" t="n">
        <v>0</v>
      </c>
      <c r="AK2313" s="4" t="n">
        <v>1</v>
      </c>
      <c r="AL2313" s="4" t="s">
        <v>122</v>
      </c>
      <c r="AM2313" s="4" t="s">
        <v>123</v>
      </c>
      <c r="AN2313" s="4" t="s">
        <v>124</v>
      </c>
      <c r="AO2313" s="4" t="s">
        <v>24221</v>
      </c>
      <c r="AP2313" s="4" t="s">
        <v>24222</v>
      </c>
      <c r="AQ2313" s="4"/>
      <c r="AR2313" s="4" t="s">
        <v>24209</v>
      </c>
      <c r="AS2313" s="4" t="s">
        <v>24223</v>
      </c>
      <c r="AT2313" s="4" t="s">
        <v>336</v>
      </c>
      <c r="AU2313" s="4" t="n">
        <v>2015</v>
      </c>
      <c r="AV2313" s="4" t="n">
        <v>94</v>
      </c>
      <c r="AW2313" s="4" t="n">
        <v>42</v>
      </c>
      <c r="AX2313" s="4"/>
      <c r="AY2313" s="4"/>
      <c r="AZ2313" s="4"/>
      <c r="BA2313" s="4"/>
      <c r="BB2313" s="4"/>
      <c r="BC2313" s="4"/>
      <c r="BD2313" s="4" t="s">
        <v>38980</v>
      </c>
      <c r="BE2313" s="4" t="s">
        <v>38981</v>
      </c>
      <c r="BF2313" s="4" t="str">
        <f aca="false">HYPERLINK("http://dx.doi.org/10.1097/MD.0000000000001788","http://dx.doi.org/10.1097/MD.0000000000001788")</f>
        <v>http://dx.doi.org/10.1097/MD.0000000000001788</v>
      </c>
      <c r="BG2313" s="4"/>
      <c r="BH2313" s="4"/>
      <c r="BI2313" s="4" t="n">
        <v>7</v>
      </c>
      <c r="BJ2313" s="4" t="s">
        <v>363</v>
      </c>
      <c r="BK2313" s="4" t="s">
        <v>100</v>
      </c>
      <c r="BL2313" s="4" t="s">
        <v>364</v>
      </c>
      <c r="BM2313" s="4" t="s">
        <v>38982</v>
      </c>
      <c r="BN2313" s="4" t="n">
        <v>26496310</v>
      </c>
      <c r="BO2313" s="4" t="s">
        <v>103</v>
      </c>
      <c r="BP2313" s="4"/>
      <c r="BQ2313" s="4"/>
      <c r="BR2313" s="4" t="s">
        <v>104</v>
      </c>
      <c r="BS2313" s="4" t="s">
        <v>38983</v>
      </c>
      <c r="BT2313" s="4" t="str">
        <f aca="false">HYPERLINK("https%3A%2F%2Fwww.webofscience.com%2Fwos%2Fwoscc%2Ffull-record%2FWOS:000369641600059","View Full Record in Web of Science")</f>
        <v>View Full Record in Web of Science</v>
      </c>
    </row>
    <row r="2314" s="5" customFormat="true" ht="12.75" hidden="false" customHeight="false" outlineLevel="0" collapsed="false">
      <c r="A2314" s="4" t="s">
        <v>72</v>
      </c>
      <c r="B2314" s="4" t="s">
        <v>38984</v>
      </c>
      <c r="C2314" s="4"/>
      <c r="D2314" s="4"/>
      <c r="E2314" s="4"/>
      <c r="F2314" s="4" t="s">
        <v>38985</v>
      </c>
      <c r="G2314" s="4"/>
      <c r="H2314" s="4"/>
      <c r="I2314" s="4" t="s">
        <v>38986</v>
      </c>
      <c r="J2314" s="4" t="s">
        <v>27497</v>
      </c>
      <c r="K2314" s="4"/>
      <c r="L2314" s="4"/>
      <c r="M2314" s="4" t="s">
        <v>77</v>
      </c>
      <c r="N2314" s="4" t="s">
        <v>78</v>
      </c>
      <c r="O2314" s="4"/>
      <c r="P2314" s="4"/>
      <c r="Q2314" s="4"/>
      <c r="R2314" s="4"/>
      <c r="S2314" s="4"/>
      <c r="T2314" s="1" t="s">
        <v>38987</v>
      </c>
      <c r="U2314" s="4" t="s">
        <v>38988</v>
      </c>
      <c r="V2314" s="4" t="s">
        <v>38989</v>
      </c>
      <c r="W2314" s="4" t="s">
        <v>38990</v>
      </c>
      <c r="X2314" s="4" t="s">
        <v>38991</v>
      </c>
      <c r="Y2314" s="4" t="s">
        <v>38992</v>
      </c>
      <c r="Z2314" s="4" t="s">
        <v>38993</v>
      </c>
      <c r="AA2314" s="4" t="s">
        <v>38994</v>
      </c>
      <c r="AB2314" s="4" t="s">
        <v>38995</v>
      </c>
      <c r="AC2314" s="4" t="s">
        <v>38996</v>
      </c>
      <c r="AD2314" s="4" t="s">
        <v>38997</v>
      </c>
      <c r="AE2314" s="4" t="s">
        <v>38998</v>
      </c>
      <c r="AF2314" s="4"/>
      <c r="AG2314" s="4" t="n">
        <v>39</v>
      </c>
      <c r="AH2314" s="4" t="n">
        <v>31</v>
      </c>
      <c r="AI2314" s="4" t="n">
        <v>38</v>
      </c>
      <c r="AJ2314" s="4" t="n">
        <v>0</v>
      </c>
      <c r="AK2314" s="4" t="n">
        <v>12</v>
      </c>
      <c r="AL2314" s="4" t="s">
        <v>27506</v>
      </c>
      <c r="AM2314" s="4" t="s">
        <v>27507</v>
      </c>
      <c r="AN2314" s="4" t="s">
        <v>27508</v>
      </c>
      <c r="AO2314" s="4" t="s">
        <v>27509</v>
      </c>
      <c r="AP2314" s="4"/>
      <c r="AQ2314" s="4"/>
      <c r="AR2314" s="4" t="s">
        <v>27497</v>
      </c>
      <c r="AS2314" s="4" t="s">
        <v>27510</v>
      </c>
      <c r="AT2314" s="4" t="s">
        <v>38999</v>
      </c>
      <c r="AU2314" s="4" t="n">
        <v>2015</v>
      </c>
      <c r="AV2314" s="4" t="n">
        <v>10</v>
      </c>
      <c r="AW2314" s="4" t="n">
        <v>3</v>
      </c>
      <c r="AX2314" s="4"/>
      <c r="AY2314" s="4"/>
      <c r="AZ2314" s="4"/>
      <c r="BA2314" s="4"/>
      <c r="BB2314" s="4"/>
      <c r="BC2314" s="4"/>
      <c r="BD2314" s="4" t="s">
        <v>39000</v>
      </c>
      <c r="BE2314" s="4" t="s">
        <v>39001</v>
      </c>
      <c r="BF2314" s="4" t="str">
        <f aca="false">HYPERLINK("http://dx.doi.org/10.1371/journal.pone.0119170","http://dx.doi.org/10.1371/journal.pone.0119170")</f>
        <v>http://dx.doi.org/10.1371/journal.pone.0119170</v>
      </c>
      <c r="BG2314" s="4"/>
      <c r="BH2314" s="4"/>
      <c r="BI2314" s="4" t="n">
        <v>14</v>
      </c>
      <c r="BJ2314" s="4" t="s">
        <v>1658</v>
      </c>
      <c r="BK2314" s="4" t="s">
        <v>100</v>
      </c>
      <c r="BL2314" s="4" t="s">
        <v>1659</v>
      </c>
      <c r="BM2314" s="4" t="s">
        <v>39002</v>
      </c>
      <c r="BN2314" s="4" t="n">
        <v>25751402</v>
      </c>
      <c r="BO2314" s="4" t="s">
        <v>341</v>
      </c>
      <c r="BP2314" s="4"/>
      <c r="BQ2314" s="4"/>
      <c r="BR2314" s="4" t="s">
        <v>104</v>
      </c>
      <c r="BS2314" s="4" t="s">
        <v>39003</v>
      </c>
      <c r="BT2314" s="4" t="str">
        <f aca="false">HYPERLINK("https%3A%2F%2Fwww.webofscience.com%2Fwos%2Fwoscc%2Ffull-record%2FWOS:000350692700017","View Full Record in Web of Science")</f>
        <v>View Full Record in Web of Science</v>
      </c>
    </row>
    <row r="2315" s="5" customFormat="true" ht="12.75" hidden="false" customHeight="false" outlineLevel="0" collapsed="false">
      <c r="A2315" s="4" t="s">
        <v>72</v>
      </c>
      <c r="B2315" s="4" t="s">
        <v>39004</v>
      </c>
      <c r="C2315" s="4"/>
      <c r="D2315" s="4"/>
      <c r="E2315" s="4"/>
      <c r="F2315" s="4" t="s">
        <v>39005</v>
      </c>
      <c r="G2315" s="4"/>
      <c r="H2315" s="4"/>
      <c r="I2315" s="4" t="s">
        <v>39006</v>
      </c>
      <c r="J2315" s="4" t="s">
        <v>1134</v>
      </c>
      <c r="K2315" s="4"/>
      <c r="L2315" s="4"/>
      <c r="M2315" s="4" t="s">
        <v>77</v>
      </c>
      <c r="N2315" s="4" t="s">
        <v>78</v>
      </c>
      <c r="O2315" s="4"/>
      <c r="P2315" s="4"/>
      <c r="Q2315" s="4"/>
      <c r="R2315" s="4"/>
      <c r="S2315" s="4"/>
      <c r="T2315" s="1" t="s">
        <v>39007</v>
      </c>
      <c r="U2315" s="4" t="s">
        <v>39008</v>
      </c>
      <c r="V2315" s="4" t="s">
        <v>39009</v>
      </c>
      <c r="W2315" s="4" t="s">
        <v>39010</v>
      </c>
      <c r="X2315" s="4" t="s">
        <v>39011</v>
      </c>
      <c r="Y2315" s="4" t="s">
        <v>39012</v>
      </c>
      <c r="Z2315" s="4" t="s">
        <v>29597</v>
      </c>
      <c r="AA2315" s="4" t="s">
        <v>39013</v>
      </c>
      <c r="AB2315" s="4" t="s">
        <v>39014</v>
      </c>
      <c r="AC2315" s="4" t="s">
        <v>39015</v>
      </c>
      <c r="AD2315" s="4" t="s">
        <v>39016</v>
      </c>
      <c r="AE2315" s="4" t="s">
        <v>39017</v>
      </c>
      <c r="AF2315" s="4"/>
      <c r="AG2315" s="4" t="n">
        <v>38</v>
      </c>
      <c r="AH2315" s="4" t="n">
        <v>124</v>
      </c>
      <c r="AI2315" s="4" t="n">
        <v>137</v>
      </c>
      <c r="AJ2315" s="4" t="n">
        <v>2</v>
      </c>
      <c r="AK2315" s="4" t="n">
        <v>16</v>
      </c>
      <c r="AL2315" s="4" t="s">
        <v>2337</v>
      </c>
      <c r="AM2315" s="4" t="s">
        <v>303</v>
      </c>
      <c r="AN2315" s="4" t="s">
        <v>2338</v>
      </c>
      <c r="AO2315" s="4" t="s">
        <v>1144</v>
      </c>
      <c r="AP2315" s="4"/>
      <c r="AQ2315" s="4"/>
      <c r="AR2315" s="4" t="s">
        <v>1145</v>
      </c>
      <c r="AS2315" s="4" t="s">
        <v>1146</v>
      </c>
      <c r="AT2315" s="4" t="s">
        <v>13617</v>
      </c>
      <c r="AU2315" s="4" t="n">
        <v>2012</v>
      </c>
      <c r="AV2315" s="4" t="n">
        <v>12</v>
      </c>
      <c r="AW2315" s="4"/>
      <c r="AX2315" s="4"/>
      <c r="AY2315" s="4"/>
      <c r="AZ2315" s="4"/>
      <c r="BA2315" s="4"/>
      <c r="BB2315" s="4"/>
      <c r="BC2315" s="4"/>
      <c r="BD2315" s="4" t="n">
        <v>32</v>
      </c>
      <c r="BE2315" s="4" t="s">
        <v>39018</v>
      </c>
      <c r="BF2315" s="4" t="str">
        <f aca="false">HYPERLINK("http://dx.doi.org/10.1186/1471-2431-12-32","http://dx.doi.org/10.1186/1471-2431-12-32")</f>
        <v>http://dx.doi.org/10.1186/1471-2431-12-32</v>
      </c>
      <c r="BG2315" s="4"/>
      <c r="BH2315" s="4"/>
      <c r="BI2315" s="4" t="n">
        <v>9</v>
      </c>
      <c r="BJ2315" s="4" t="s">
        <v>601</v>
      </c>
      <c r="BK2315" s="4" t="s">
        <v>100</v>
      </c>
      <c r="BL2315" s="4" t="s">
        <v>601</v>
      </c>
      <c r="BM2315" s="4" t="s">
        <v>39019</v>
      </c>
      <c r="BN2315" s="4" t="n">
        <v>22429933</v>
      </c>
      <c r="BO2315" s="4" t="s">
        <v>103</v>
      </c>
      <c r="BP2315" s="4"/>
      <c r="BQ2315" s="4"/>
      <c r="BR2315" s="4" t="s">
        <v>104</v>
      </c>
      <c r="BS2315" s="4" t="s">
        <v>39020</v>
      </c>
      <c r="BT2315" s="4" t="str">
        <f aca="false">HYPERLINK("https%3A%2F%2Fwww.webofscience.com%2Fwos%2Fwoscc%2Ffull-record%2FWOS:000303331500001","View Full Record in Web of Science")</f>
        <v>View Full Record in Web of Science</v>
      </c>
    </row>
    <row r="2316" s="5" customFormat="true" ht="12.75" hidden="false" customHeight="false" outlineLevel="0" collapsed="false">
      <c r="A2316" s="4" t="s">
        <v>72</v>
      </c>
      <c r="B2316" s="4" t="s">
        <v>39021</v>
      </c>
      <c r="C2316" s="4"/>
      <c r="D2316" s="4"/>
      <c r="E2316" s="4"/>
      <c r="F2316" s="4" t="s">
        <v>39022</v>
      </c>
      <c r="G2316" s="4"/>
      <c r="H2316" s="4"/>
      <c r="I2316" s="4" t="s">
        <v>39023</v>
      </c>
      <c r="J2316" s="4" t="s">
        <v>4895</v>
      </c>
      <c r="K2316" s="4"/>
      <c r="L2316" s="4"/>
      <c r="M2316" s="4" t="s">
        <v>77</v>
      </c>
      <c r="N2316" s="4" t="s">
        <v>78</v>
      </c>
      <c r="O2316" s="4"/>
      <c r="P2316" s="4"/>
      <c r="Q2316" s="4"/>
      <c r="R2316" s="4"/>
      <c r="S2316" s="4"/>
      <c r="T2316" s="1" t="s">
        <v>39024</v>
      </c>
      <c r="U2316" s="4" t="s">
        <v>39025</v>
      </c>
      <c r="V2316" s="4" t="s">
        <v>39026</v>
      </c>
      <c r="W2316" s="4" t="s">
        <v>39027</v>
      </c>
      <c r="X2316" s="4" t="s">
        <v>39028</v>
      </c>
      <c r="Y2316" s="4" t="s">
        <v>39029</v>
      </c>
      <c r="Z2316" s="4" t="s">
        <v>37201</v>
      </c>
      <c r="AA2316" s="4" t="s">
        <v>37202</v>
      </c>
      <c r="AB2316" s="4" t="s">
        <v>37203</v>
      </c>
      <c r="AC2316" s="4" t="s">
        <v>39030</v>
      </c>
      <c r="AD2316" s="4" t="s">
        <v>39030</v>
      </c>
      <c r="AE2316" s="4" t="s">
        <v>39031</v>
      </c>
      <c r="AF2316" s="4"/>
      <c r="AG2316" s="4" t="n">
        <v>30</v>
      </c>
      <c r="AH2316" s="4" t="n">
        <v>21</v>
      </c>
      <c r="AI2316" s="4" t="n">
        <v>21</v>
      </c>
      <c r="AJ2316" s="4" t="n">
        <v>0</v>
      </c>
      <c r="AK2316" s="4" t="n">
        <v>3</v>
      </c>
      <c r="AL2316" s="4" t="s">
        <v>592</v>
      </c>
      <c r="AM2316" s="4" t="s">
        <v>593</v>
      </c>
      <c r="AN2316" s="4" t="s">
        <v>594</v>
      </c>
      <c r="AO2316" s="4" t="s">
        <v>4905</v>
      </c>
      <c r="AP2316" s="4" t="s">
        <v>4906</v>
      </c>
      <c r="AQ2316" s="4"/>
      <c r="AR2316" s="4" t="s">
        <v>4907</v>
      </c>
      <c r="AS2316" s="4" t="s">
        <v>4908</v>
      </c>
      <c r="AT2316" s="4" t="s">
        <v>97</v>
      </c>
      <c r="AU2316" s="4" t="n">
        <v>2014</v>
      </c>
      <c r="AV2316" s="4" t="n">
        <v>33</v>
      </c>
      <c r="AW2316" s="4" t="n">
        <v>3</v>
      </c>
      <c r="AX2316" s="4"/>
      <c r="AY2316" s="4"/>
      <c r="AZ2316" s="4"/>
      <c r="BA2316" s="4"/>
      <c r="BB2316" s="4" t="n">
        <v>359</v>
      </c>
      <c r="BC2316" s="4" t="n">
        <v>364</v>
      </c>
      <c r="BD2316" s="4"/>
      <c r="BE2316" s="4" t="s">
        <v>39032</v>
      </c>
      <c r="BF2316" s="4" t="str">
        <f aca="false">HYPERLINK("http://dx.doi.org/10.1007/s10096-013-1963-0","http://dx.doi.org/10.1007/s10096-013-1963-0")</f>
        <v>http://dx.doi.org/10.1007/s10096-013-1963-0</v>
      </c>
      <c r="BG2316" s="4"/>
      <c r="BH2316" s="4"/>
      <c r="BI2316" s="4" t="n">
        <v>6</v>
      </c>
      <c r="BJ2316" s="4" t="s">
        <v>1467</v>
      </c>
      <c r="BK2316" s="4" t="s">
        <v>100</v>
      </c>
      <c r="BL2316" s="4" t="s">
        <v>1467</v>
      </c>
      <c r="BM2316" s="4" t="s">
        <v>39033</v>
      </c>
      <c r="BN2316" s="4" t="n">
        <v>23999830</v>
      </c>
      <c r="BO2316" s="4" t="s">
        <v>538</v>
      </c>
      <c r="BP2316" s="4"/>
      <c r="BQ2316" s="4"/>
      <c r="BR2316" s="4" t="s">
        <v>104</v>
      </c>
      <c r="BS2316" s="4" t="s">
        <v>39034</v>
      </c>
      <c r="BT2316" s="4" t="str">
        <f aca="false">HYPERLINK("https%3A%2F%2Fwww.webofscience.com%2Fwos%2Fwoscc%2Ffull-record%2FWOS:000331709700009","View Full Record in Web of Science")</f>
        <v>View Full Record in Web of Science</v>
      </c>
    </row>
    <row r="2317" s="5" customFormat="true" ht="12.75" hidden="false" customHeight="false" outlineLevel="0" collapsed="false">
      <c r="A2317" s="4" t="s">
        <v>72</v>
      </c>
      <c r="B2317" s="4" t="s">
        <v>39035</v>
      </c>
      <c r="C2317" s="4"/>
      <c r="D2317" s="4"/>
      <c r="E2317" s="4"/>
      <c r="F2317" s="4" t="s">
        <v>39036</v>
      </c>
      <c r="G2317" s="4"/>
      <c r="H2317" s="4"/>
      <c r="I2317" s="4" t="s">
        <v>39037</v>
      </c>
      <c r="J2317" s="4" t="s">
        <v>2222</v>
      </c>
      <c r="K2317" s="4"/>
      <c r="L2317" s="4"/>
      <c r="M2317" s="4" t="s">
        <v>77</v>
      </c>
      <c r="N2317" s="4" t="s">
        <v>78</v>
      </c>
      <c r="O2317" s="4"/>
      <c r="P2317" s="4"/>
      <c r="Q2317" s="4"/>
      <c r="R2317" s="4"/>
      <c r="S2317" s="4"/>
      <c r="T2317" s="1" t="s">
        <v>39038</v>
      </c>
      <c r="U2317" s="4" t="s">
        <v>39039</v>
      </c>
      <c r="V2317" s="4" t="s">
        <v>39040</v>
      </c>
      <c r="W2317" s="4" t="s">
        <v>39041</v>
      </c>
      <c r="X2317" s="4" t="s">
        <v>39042</v>
      </c>
      <c r="Y2317" s="4" t="s">
        <v>39043</v>
      </c>
      <c r="Z2317" s="4" t="s">
        <v>39044</v>
      </c>
      <c r="AA2317" s="4"/>
      <c r="AB2317" s="4"/>
      <c r="AC2317" s="4"/>
      <c r="AD2317" s="4"/>
      <c r="AE2317" s="4"/>
      <c r="AF2317" s="4"/>
      <c r="AG2317" s="4" t="n">
        <v>10</v>
      </c>
      <c r="AH2317" s="4" t="n">
        <v>270</v>
      </c>
      <c r="AI2317" s="4" t="n">
        <v>317</v>
      </c>
      <c r="AJ2317" s="4" t="n">
        <v>0</v>
      </c>
      <c r="AK2317" s="4" t="n">
        <v>31</v>
      </c>
      <c r="AL2317" s="4" t="s">
        <v>755</v>
      </c>
      <c r="AM2317" s="4" t="s">
        <v>273</v>
      </c>
      <c r="AN2317" s="4" t="s">
        <v>756</v>
      </c>
      <c r="AO2317" s="4" t="s">
        <v>2234</v>
      </c>
      <c r="AP2317" s="4"/>
      <c r="AQ2317" s="4"/>
      <c r="AR2317" s="4" t="s">
        <v>2236</v>
      </c>
      <c r="AS2317" s="4" t="s">
        <v>2237</v>
      </c>
      <c r="AT2317" s="4" t="s">
        <v>129</v>
      </c>
      <c r="AU2317" s="4" t="n">
        <v>2007</v>
      </c>
      <c r="AV2317" s="4" t="n">
        <v>45</v>
      </c>
      <c r="AW2317" s="4" t="n">
        <v>9</v>
      </c>
      <c r="AX2317" s="4"/>
      <c r="AY2317" s="4"/>
      <c r="AZ2317" s="4"/>
      <c r="BA2317" s="4"/>
      <c r="BB2317" s="4" t="n">
        <v>2965</v>
      </c>
      <c r="BC2317" s="4" t="n">
        <v>2970</v>
      </c>
      <c r="BD2317" s="4"/>
      <c r="BE2317" s="4" t="s">
        <v>39045</v>
      </c>
      <c r="BF2317" s="4" t="str">
        <f aca="false">HYPERLINK("http://dx.doi.org/10.1128/JCM.02436-06","http://dx.doi.org/10.1128/JCM.02436-06")</f>
        <v>http://dx.doi.org/10.1128/JCM.02436-06</v>
      </c>
      <c r="BG2317" s="4"/>
      <c r="BH2317" s="4"/>
      <c r="BI2317" s="4" t="n">
        <v>6</v>
      </c>
      <c r="BJ2317" s="4" t="s">
        <v>211</v>
      </c>
      <c r="BK2317" s="4" t="s">
        <v>100</v>
      </c>
      <c r="BL2317" s="4" t="s">
        <v>211</v>
      </c>
      <c r="BM2317" s="4" t="s">
        <v>34052</v>
      </c>
      <c r="BN2317" s="4" t="n">
        <v>17596360</v>
      </c>
      <c r="BO2317" s="4" t="s">
        <v>165</v>
      </c>
      <c r="BP2317" s="4"/>
      <c r="BQ2317" s="4"/>
      <c r="BR2317" s="4" t="s">
        <v>104</v>
      </c>
      <c r="BS2317" s="4" t="s">
        <v>39046</v>
      </c>
      <c r="BT2317" s="4" t="str">
        <f aca="false">HYPERLINK("https%3A%2F%2Fwww.webofscience.com%2Fwos%2Fwoscc%2Ffull-record%2FWOS:000249506900032","View Full Record in Web of Science")</f>
        <v>View Full Record in Web of Science</v>
      </c>
    </row>
    <row r="2318" s="5" customFormat="true" ht="12.75" hidden="false" customHeight="false" outlineLevel="0" collapsed="false">
      <c r="A2318" s="4" t="s">
        <v>72</v>
      </c>
      <c r="B2318" s="4" t="s">
        <v>39047</v>
      </c>
      <c r="C2318" s="4"/>
      <c r="D2318" s="4"/>
      <c r="E2318" s="4"/>
      <c r="F2318" s="4" t="s">
        <v>39048</v>
      </c>
      <c r="G2318" s="4"/>
      <c r="H2318" s="4"/>
      <c r="I2318" s="4" t="s">
        <v>39049</v>
      </c>
      <c r="J2318" s="4" t="s">
        <v>2547</v>
      </c>
      <c r="K2318" s="4"/>
      <c r="L2318" s="4"/>
      <c r="M2318" s="4" t="s">
        <v>77</v>
      </c>
      <c r="N2318" s="4" t="s">
        <v>78</v>
      </c>
      <c r="O2318" s="4"/>
      <c r="P2318" s="4"/>
      <c r="Q2318" s="4"/>
      <c r="R2318" s="4"/>
      <c r="S2318" s="4"/>
      <c r="T2318" s="1" t="s">
        <v>39050</v>
      </c>
      <c r="U2318" s="4" t="s">
        <v>39051</v>
      </c>
      <c r="V2318" s="4" t="s">
        <v>39052</v>
      </c>
      <c r="W2318" s="4" t="s">
        <v>39053</v>
      </c>
      <c r="X2318" s="4" t="s">
        <v>39054</v>
      </c>
      <c r="Y2318" s="4" t="s">
        <v>39055</v>
      </c>
      <c r="Z2318" s="4" t="s">
        <v>39056</v>
      </c>
      <c r="AA2318" s="4"/>
      <c r="AB2318" s="4" t="s">
        <v>39057</v>
      </c>
      <c r="AC2318" s="4" t="s">
        <v>39058</v>
      </c>
      <c r="AD2318" s="4" t="s">
        <v>39058</v>
      </c>
      <c r="AE2318" s="4" t="s">
        <v>39059</v>
      </c>
      <c r="AF2318" s="4"/>
      <c r="AG2318" s="4" t="n">
        <v>50</v>
      </c>
      <c r="AH2318" s="4" t="n">
        <v>23</v>
      </c>
      <c r="AI2318" s="4" t="n">
        <v>24</v>
      </c>
      <c r="AJ2318" s="4" t="n">
        <v>0</v>
      </c>
      <c r="AK2318" s="4" t="n">
        <v>8</v>
      </c>
      <c r="AL2318" s="4" t="s">
        <v>782</v>
      </c>
      <c r="AM2318" s="4" t="s">
        <v>783</v>
      </c>
      <c r="AN2318" s="4" t="s">
        <v>784</v>
      </c>
      <c r="AO2318" s="4" t="s">
        <v>2556</v>
      </c>
      <c r="AP2318" s="4" t="s">
        <v>2557</v>
      </c>
      <c r="AQ2318" s="4"/>
      <c r="AR2318" s="4" t="s">
        <v>2547</v>
      </c>
      <c r="AS2318" s="4" t="s">
        <v>2558</v>
      </c>
      <c r="AT2318" s="4" t="s">
        <v>34013</v>
      </c>
      <c r="AU2318" s="4" t="n">
        <v>2022</v>
      </c>
      <c r="AV2318" s="4" t="n">
        <v>40</v>
      </c>
      <c r="AW2318" s="4" t="n">
        <v>3</v>
      </c>
      <c r="AX2318" s="4"/>
      <c r="AY2318" s="4"/>
      <c r="AZ2318" s="4"/>
      <c r="BA2318" s="4"/>
      <c r="BB2318" s="4" t="n">
        <v>483</v>
      </c>
      <c r="BC2318" s="4" t="n">
        <v>493</v>
      </c>
      <c r="BD2318" s="4"/>
      <c r="BE2318" s="4" t="s">
        <v>39060</v>
      </c>
      <c r="BF2318" s="4" t="str">
        <f aca="false">HYPERLINK("http://dx.doi.org/10.1016/j.vaccine.2021.12.002","http://dx.doi.org/10.1016/j.vaccine.2021.12.002")</f>
        <v>http://dx.doi.org/10.1016/j.vaccine.2021.12.002</v>
      </c>
      <c r="BG2318" s="4"/>
      <c r="BH2318" s="4" t="s">
        <v>3298</v>
      </c>
      <c r="BI2318" s="4" t="n">
        <v>11</v>
      </c>
      <c r="BJ2318" s="4" t="s">
        <v>187</v>
      </c>
      <c r="BK2318" s="4" t="s">
        <v>100</v>
      </c>
      <c r="BL2318" s="4" t="s">
        <v>188</v>
      </c>
      <c r="BM2318" s="4" t="s">
        <v>39061</v>
      </c>
      <c r="BN2318" s="4" t="n">
        <v>34933763</v>
      </c>
      <c r="BO2318" s="4" t="s">
        <v>2278</v>
      </c>
      <c r="BP2318" s="4"/>
      <c r="BQ2318" s="4"/>
      <c r="BR2318" s="4" t="s">
        <v>104</v>
      </c>
      <c r="BS2318" s="4" t="s">
        <v>39062</v>
      </c>
      <c r="BT2318" s="4" t="str">
        <f aca="false">HYPERLINK("https%3A%2F%2Fwww.webofscience.com%2Fwos%2Fwoscc%2Ffull-record%2FWOS:000800130900016","View Full Record in Web of Science")</f>
        <v>View Full Record in Web of Science</v>
      </c>
    </row>
    <row r="2319" s="5" customFormat="true" ht="12.75" hidden="false" customHeight="false" outlineLevel="0" collapsed="false">
      <c r="A2319" s="4" t="s">
        <v>72</v>
      </c>
      <c r="B2319" s="4" t="s">
        <v>39063</v>
      </c>
      <c r="C2319" s="4"/>
      <c r="D2319" s="4"/>
      <c r="E2319" s="4"/>
      <c r="F2319" s="4" t="s">
        <v>39064</v>
      </c>
      <c r="G2319" s="4"/>
      <c r="H2319" s="4"/>
      <c r="I2319" s="4" t="s">
        <v>39065</v>
      </c>
      <c r="J2319" s="4" t="s">
        <v>27497</v>
      </c>
      <c r="K2319" s="4"/>
      <c r="L2319" s="4"/>
      <c r="M2319" s="4" t="s">
        <v>77</v>
      </c>
      <c r="N2319" s="4" t="s">
        <v>78</v>
      </c>
      <c r="O2319" s="4"/>
      <c r="P2319" s="4"/>
      <c r="Q2319" s="4"/>
      <c r="R2319" s="4"/>
      <c r="S2319" s="4"/>
      <c r="T2319" s="1" t="s">
        <v>39066</v>
      </c>
      <c r="U2319" s="4" t="s">
        <v>39067</v>
      </c>
      <c r="V2319" s="4" t="s">
        <v>39068</v>
      </c>
      <c r="W2319" s="4" t="s">
        <v>39069</v>
      </c>
      <c r="X2319" s="4" t="s">
        <v>39070</v>
      </c>
      <c r="Y2319" s="4" t="s">
        <v>39071</v>
      </c>
      <c r="Z2319" s="4" t="s">
        <v>39072</v>
      </c>
      <c r="AA2319" s="4" t="s">
        <v>39073</v>
      </c>
      <c r="AB2319" s="4" t="s">
        <v>39074</v>
      </c>
      <c r="AC2319" s="4" t="s">
        <v>39075</v>
      </c>
      <c r="AD2319" s="4" t="s">
        <v>39076</v>
      </c>
      <c r="AE2319" s="4" t="s">
        <v>39077</v>
      </c>
      <c r="AF2319" s="4"/>
      <c r="AG2319" s="4" t="n">
        <v>42</v>
      </c>
      <c r="AH2319" s="4" t="n">
        <v>24</v>
      </c>
      <c r="AI2319" s="4" t="n">
        <v>25</v>
      </c>
      <c r="AJ2319" s="4" t="n">
        <v>1</v>
      </c>
      <c r="AK2319" s="4" t="n">
        <v>19</v>
      </c>
      <c r="AL2319" s="4" t="s">
        <v>27506</v>
      </c>
      <c r="AM2319" s="4" t="s">
        <v>27507</v>
      </c>
      <c r="AN2319" s="4" t="s">
        <v>27508</v>
      </c>
      <c r="AO2319" s="4" t="s">
        <v>27509</v>
      </c>
      <c r="AP2319" s="4"/>
      <c r="AQ2319" s="4"/>
      <c r="AR2319" s="4" t="s">
        <v>27497</v>
      </c>
      <c r="AS2319" s="4" t="s">
        <v>27510</v>
      </c>
      <c r="AT2319" s="4" t="s">
        <v>12645</v>
      </c>
      <c r="AU2319" s="4" t="n">
        <v>2015</v>
      </c>
      <c r="AV2319" s="4" t="n">
        <v>10</v>
      </c>
      <c r="AW2319" s="4" t="n">
        <v>9</v>
      </c>
      <c r="AX2319" s="4"/>
      <c r="AY2319" s="4"/>
      <c r="AZ2319" s="4"/>
      <c r="BA2319" s="4"/>
      <c r="BB2319" s="4"/>
      <c r="BC2319" s="4"/>
      <c r="BD2319" s="4" t="s">
        <v>39078</v>
      </c>
      <c r="BE2319" s="4" t="s">
        <v>39079</v>
      </c>
      <c r="BF2319" s="4" t="str">
        <f aca="false">HYPERLINK("http://dx.doi.org/10.1371/journal.pone.0138684","http://dx.doi.org/10.1371/journal.pone.0138684")</f>
        <v>http://dx.doi.org/10.1371/journal.pone.0138684</v>
      </c>
      <c r="BG2319" s="4"/>
      <c r="BH2319" s="4"/>
      <c r="BI2319" s="4" t="n">
        <v>15</v>
      </c>
      <c r="BJ2319" s="4" t="s">
        <v>1658</v>
      </c>
      <c r="BK2319" s="4" t="s">
        <v>100</v>
      </c>
      <c r="BL2319" s="4" t="s">
        <v>1659</v>
      </c>
      <c r="BM2319" s="4" t="s">
        <v>39080</v>
      </c>
      <c r="BN2319" s="4" t="n">
        <v>26406339</v>
      </c>
      <c r="BO2319" s="4" t="s">
        <v>6349</v>
      </c>
      <c r="BP2319" s="4"/>
      <c r="BQ2319" s="4"/>
      <c r="BR2319" s="4" t="s">
        <v>104</v>
      </c>
      <c r="BS2319" s="4" t="s">
        <v>39081</v>
      </c>
      <c r="BT2319" s="4" t="str">
        <f aca="false">HYPERLINK("https%3A%2F%2Fwww.webofscience.com%2Fwos%2Fwoscc%2Ffull-record%2FWOS:000361800700069","View Full Record in Web of Science")</f>
        <v>View Full Record in Web of Science</v>
      </c>
    </row>
    <row r="2320" s="5" customFormat="true" ht="12.75" hidden="false" customHeight="false" outlineLevel="0" collapsed="false">
      <c r="A2320" s="4" t="s">
        <v>72</v>
      </c>
      <c r="B2320" s="4" t="s">
        <v>39082</v>
      </c>
      <c r="C2320" s="4"/>
      <c r="D2320" s="4"/>
      <c r="E2320" s="4"/>
      <c r="F2320" s="4" t="s">
        <v>39083</v>
      </c>
      <c r="G2320" s="4"/>
      <c r="H2320" s="4"/>
      <c r="I2320" s="4" t="s">
        <v>39084</v>
      </c>
      <c r="J2320" s="4" t="s">
        <v>27497</v>
      </c>
      <c r="K2320" s="4"/>
      <c r="L2320" s="4"/>
      <c r="M2320" s="4" t="s">
        <v>77</v>
      </c>
      <c r="N2320" s="4" t="s">
        <v>78</v>
      </c>
      <c r="O2320" s="4"/>
      <c r="P2320" s="4"/>
      <c r="Q2320" s="4"/>
      <c r="R2320" s="4"/>
      <c r="S2320" s="4"/>
      <c r="T2320" s="1" t="s">
        <v>39085</v>
      </c>
      <c r="U2320" s="4" t="s">
        <v>39086</v>
      </c>
      <c r="V2320" s="4" t="s">
        <v>39087</v>
      </c>
      <c r="W2320" s="4" t="s">
        <v>39088</v>
      </c>
      <c r="X2320" s="4" t="s">
        <v>39089</v>
      </c>
      <c r="Y2320" s="4" t="s">
        <v>39090</v>
      </c>
      <c r="Z2320" s="4" t="s">
        <v>5208</v>
      </c>
      <c r="AA2320" s="4" t="s">
        <v>5830</v>
      </c>
      <c r="AB2320" s="4" t="s">
        <v>39091</v>
      </c>
      <c r="AC2320" s="4" t="s">
        <v>39092</v>
      </c>
      <c r="AD2320" s="4" t="s">
        <v>39092</v>
      </c>
      <c r="AE2320" s="4" t="s">
        <v>39093</v>
      </c>
      <c r="AF2320" s="4"/>
      <c r="AG2320" s="4" t="n">
        <v>49</v>
      </c>
      <c r="AH2320" s="4" t="n">
        <v>41</v>
      </c>
      <c r="AI2320" s="4" t="n">
        <v>41</v>
      </c>
      <c r="AJ2320" s="4" t="n">
        <v>0</v>
      </c>
      <c r="AK2320" s="4" t="n">
        <v>8</v>
      </c>
      <c r="AL2320" s="4" t="s">
        <v>27506</v>
      </c>
      <c r="AM2320" s="4" t="s">
        <v>27507</v>
      </c>
      <c r="AN2320" s="4" t="s">
        <v>27508</v>
      </c>
      <c r="AO2320" s="4" t="s">
        <v>27509</v>
      </c>
      <c r="AP2320" s="4"/>
      <c r="AQ2320" s="4"/>
      <c r="AR2320" s="4" t="s">
        <v>27497</v>
      </c>
      <c r="AS2320" s="4" t="s">
        <v>27510</v>
      </c>
      <c r="AT2320" s="4" t="s">
        <v>6728</v>
      </c>
      <c r="AU2320" s="4" t="n">
        <v>2014</v>
      </c>
      <c r="AV2320" s="4" t="n">
        <v>9</v>
      </c>
      <c r="AW2320" s="4" t="n">
        <v>2</v>
      </c>
      <c r="AX2320" s="4"/>
      <c r="AY2320" s="4"/>
      <c r="AZ2320" s="4"/>
      <c r="BA2320" s="4"/>
      <c r="BB2320" s="4"/>
      <c r="BC2320" s="4"/>
      <c r="BD2320" s="4" t="s">
        <v>39094</v>
      </c>
      <c r="BE2320" s="4" t="s">
        <v>39095</v>
      </c>
      <c r="BF2320" s="4" t="str">
        <f aca="false">HYPERLINK("http://dx.doi.org/10.1371/journal.pone.0086448","http://dx.doi.org/10.1371/journal.pone.0086448")</f>
        <v>http://dx.doi.org/10.1371/journal.pone.0086448</v>
      </c>
      <c r="BG2320" s="4"/>
      <c r="BH2320" s="4"/>
      <c r="BI2320" s="4" t="n">
        <v>12</v>
      </c>
      <c r="BJ2320" s="4" t="s">
        <v>1658</v>
      </c>
      <c r="BK2320" s="4" t="s">
        <v>100</v>
      </c>
      <c r="BL2320" s="4" t="s">
        <v>1659</v>
      </c>
      <c r="BM2320" s="4" t="s">
        <v>39096</v>
      </c>
      <c r="BN2320" s="4" t="n">
        <v>24498274</v>
      </c>
      <c r="BO2320" s="4" t="s">
        <v>11315</v>
      </c>
      <c r="BP2320" s="4"/>
      <c r="BQ2320" s="4"/>
      <c r="BR2320" s="4" t="s">
        <v>104</v>
      </c>
      <c r="BS2320" s="4" t="s">
        <v>39097</v>
      </c>
      <c r="BT2320" s="4" t="str">
        <f aca="false">HYPERLINK("https%3A%2F%2Fwww.webofscience.com%2Fwos%2Fwoscc%2Ffull-record%2FWOS:000330626900020","View Full Record in Web of Science")</f>
        <v>View Full Record in Web of Science</v>
      </c>
    </row>
    <row r="2321" s="5" customFormat="true" ht="12.75" hidden="false" customHeight="false" outlineLevel="0" collapsed="false">
      <c r="A2321" s="4" t="s">
        <v>72</v>
      </c>
      <c r="B2321" s="4" t="s">
        <v>39098</v>
      </c>
      <c r="C2321" s="4"/>
      <c r="D2321" s="4"/>
      <c r="E2321" s="4"/>
      <c r="F2321" s="4" t="s">
        <v>39099</v>
      </c>
      <c r="G2321" s="4"/>
      <c r="H2321" s="4"/>
      <c r="I2321" s="4" t="s">
        <v>39100</v>
      </c>
      <c r="J2321" s="4" t="s">
        <v>39101</v>
      </c>
      <c r="K2321" s="4"/>
      <c r="L2321" s="4"/>
      <c r="M2321" s="4" t="s">
        <v>77</v>
      </c>
      <c r="N2321" s="4" t="s">
        <v>78</v>
      </c>
      <c r="O2321" s="4"/>
      <c r="P2321" s="4"/>
      <c r="Q2321" s="4"/>
      <c r="R2321" s="4"/>
      <c r="S2321" s="4"/>
      <c r="T2321" s="1" t="s">
        <v>39102</v>
      </c>
      <c r="U2321" s="4" t="s">
        <v>39103</v>
      </c>
      <c r="V2321" s="4" t="s">
        <v>39104</v>
      </c>
      <c r="W2321" s="4" t="s">
        <v>39105</v>
      </c>
      <c r="X2321" s="4" t="s">
        <v>39106</v>
      </c>
      <c r="Y2321" s="4" t="s">
        <v>39107</v>
      </c>
      <c r="Z2321" s="4" t="s">
        <v>38599</v>
      </c>
      <c r="AA2321" s="4" t="s">
        <v>39108</v>
      </c>
      <c r="AB2321" s="4" t="s">
        <v>39109</v>
      </c>
      <c r="AC2321" s="4" t="s">
        <v>39110</v>
      </c>
      <c r="AD2321" s="4" t="s">
        <v>39111</v>
      </c>
      <c r="AE2321" s="4" t="s">
        <v>39112</v>
      </c>
      <c r="AF2321" s="4"/>
      <c r="AG2321" s="4" t="n">
        <v>52</v>
      </c>
      <c r="AH2321" s="4" t="n">
        <v>34</v>
      </c>
      <c r="AI2321" s="4" t="n">
        <v>38</v>
      </c>
      <c r="AJ2321" s="4" t="n">
        <v>0</v>
      </c>
      <c r="AK2321" s="4" t="n">
        <v>10</v>
      </c>
      <c r="AL2321" s="4" t="s">
        <v>1186</v>
      </c>
      <c r="AM2321" s="4" t="s">
        <v>303</v>
      </c>
      <c r="AN2321" s="4" t="s">
        <v>1187</v>
      </c>
      <c r="AO2321" s="4" t="s">
        <v>39113</v>
      </c>
      <c r="AP2321" s="4"/>
      <c r="AQ2321" s="4"/>
      <c r="AR2321" s="4" t="s">
        <v>39114</v>
      </c>
      <c r="AS2321" s="4" t="s">
        <v>39115</v>
      </c>
      <c r="AT2321" s="4" t="s">
        <v>626</v>
      </c>
      <c r="AU2321" s="4" t="n">
        <v>2013</v>
      </c>
      <c r="AV2321" s="4" t="n">
        <v>347</v>
      </c>
      <c r="AW2321" s="4"/>
      <c r="AX2321" s="4"/>
      <c r="AY2321" s="4"/>
      <c r="AZ2321" s="4"/>
      <c r="BA2321" s="4"/>
      <c r="BB2321" s="4"/>
      <c r="BC2321" s="4"/>
      <c r="BD2321" s="4" t="s">
        <v>39116</v>
      </c>
      <c r="BE2321" s="4" t="s">
        <v>39117</v>
      </c>
      <c r="BF2321" s="4" t="str">
        <f aca="false">HYPERLINK("http://dx.doi.org/10.1136/bmj.f5762","http://dx.doi.org/10.1136/bmj.f5762")</f>
        <v>http://dx.doi.org/10.1136/bmj.f5762</v>
      </c>
      <c r="BG2321" s="4"/>
      <c r="BH2321" s="4"/>
      <c r="BI2321" s="4" t="n">
        <v>12</v>
      </c>
      <c r="BJ2321" s="4" t="s">
        <v>363</v>
      </c>
      <c r="BK2321" s="4" t="s">
        <v>100</v>
      </c>
      <c r="BL2321" s="4" t="s">
        <v>364</v>
      </c>
      <c r="BM2321" s="4" t="s">
        <v>39118</v>
      </c>
      <c r="BN2321" s="4" t="n">
        <v>24097128</v>
      </c>
      <c r="BO2321" s="4" t="s">
        <v>284</v>
      </c>
      <c r="BP2321" s="4"/>
      <c r="BQ2321" s="4"/>
      <c r="BR2321" s="4" t="s">
        <v>104</v>
      </c>
      <c r="BS2321" s="4" t="s">
        <v>39119</v>
      </c>
      <c r="BT2321" s="4" t="str">
        <f aca="false">HYPERLINK("https%3A%2F%2Fwww.webofscience.com%2Fwos%2Fwoscc%2Ffull-record%2FWOS:000325429300001","View Full Record in Web of Science")</f>
        <v>View Full Record in Web of Science</v>
      </c>
    </row>
    <row r="2322" s="5" customFormat="true" ht="12.75" hidden="false" customHeight="false" outlineLevel="0" collapsed="false">
      <c r="A2322" s="4" t="s">
        <v>72</v>
      </c>
      <c r="B2322" s="4" t="s">
        <v>39120</v>
      </c>
      <c r="C2322" s="4"/>
      <c r="D2322" s="4"/>
      <c r="E2322" s="4"/>
      <c r="F2322" s="4" t="s">
        <v>39121</v>
      </c>
      <c r="G2322" s="4"/>
      <c r="H2322" s="4"/>
      <c r="I2322" s="4" t="s">
        <v>39122</v>
      </c>
      <c r="J2322" s="4" t="s">
        <v>27497</v>
      </c>
      <c r="K2322" s="4"/>
      <c r="L2322" s="4"/>
      <c r="M2322" s="4" t="s">
        <v>77</v>
      </c>
      <c r="N2322" s="4" t="s">
        <v>78</v>
      </c>
      <c r="O2322" s="4"/>
      <c r="P2322" s="4"/>
      <c r="Q2322" s="4"/>
      <c r="R2322" s="4"/>
      <c r="S2322" s="4"/>
      <c r="T2322" s="1" t="s">
        <v>39123</v>
      </c>
      <c r="U2322" s="4" t="s">
        <v>39124</v>
      </c>
      <c r="V2322" s="4" t="s">
        <v>39125</v>
      </c>
      <c r="W2322" s="4" t="s">
        <v>39126</v>
      </c>
      <c r="X2322" s="4" t="s">
        <v>39127</v>
      </c>
      <c r="Y2322" s="4" t="s">
        <v>39128</v>
      </c>
      <c r="Z2322" s="4" t="s">
        <v>39129</v>
      </c>
      <c r="AA2322" s="4" t="s">
        <v>39130</v>
      </c>
      <c r="AB2322" s="4" t="s">
        <v>39131</v>
      </c>
      <c r="AC2322" s="4" t="s">
        <v>39132</v>
      </c>
      <c r="AD2322" s="4" t="s">
        <v>39132</v>
      </c>
      <c r="AE2322" s="4" t="s">
        <v>39133</v>
      </c>
      <c r="AF2322" s="4"/>
      <c r="AG2322" s="4" t="n">
        <v>91</v>
      </c>
      <c r="AH2322" s="4" t="n">
        <v>35</v>
      </c>
      <c r="AI2322" s="4" t="n">
        <v>36</v>
      </c>
      <c r="AJ2322" s="4" t="n">
        <v>0</v>
      </c>
      <c r="AK2322" s="4" t="n">
        <v>8</v>
      </c>
      <c r="AL2322" s="4" t="s">
        <v>27506</v>
      </c>
      <c r="AM2322" s="4" t="s">
        <v>27507</v>
      </c>
      <c r="AN2322" s="4" t="s">
        <v>27508</v>
      </c>
      <c r="AO2322" s="4" t="s">
        <v>27509</v>
      </c>
      <c r="AP2322" s="4"/>
      <c r="AQ2322" s="4"/>
      <c r="AR2322" s="4" t="s">
        <v>27497</v>
      </c>
      <c r="AS2322" s="4" t="s">
        <v>27510</v>
      </c>
      <c r="AT2322" s="4" t="s">
        <v>27377</v>
      </c>
      <c r="AU2322" s="4" t="n">
        <v>2013</v>
      </c>
      <c r="AV2322" s="4" t="n">
        <v>8</v>
      </c>
      <c r="AW2322" s="4" t="n">
        <v>4</v>
      </c>
      <c r="AX2322" s="4"/>
      <c r="AY2322" s="4"/>
      <c r="AZ2322" s="4"/>
      <c r="BA2322" s="4"/>
      <c r="BB2322" s="4"/>
      <c r="BC2322" s="4"/>
      <c r="BD2322" s="4" t="s">
        <v>39134</v>
      </c>
      <c r="BE2322" s="4" t="s">
        <v>39135</v>
      </c>
      <c r="BF2322" s="4" t="str">
        <f aca="false">HYPERLINK("http://dx.doi.org/10.1371/journal.pone.0060845","http://dx.doi.org/10.1371/journal.pone.0060845")</f>
        <v>http://dx.doi.org/10.1371/journal.pone.0060845</v>
      </c>
      <c r="BG2322" s="4"/>
      <c r="BH2322" s="4"/>
      <c r="BI2322" s="4" t="n">
        <v>10</v>
      </c>
      <c r="BJ2322" s="4" t="s">
        <v>1658</v>
      </c>
      <c r="BK2322" s="4" t="s">
        <v>100</v>
      </c>
      <c r="BL2322" s="4" t="s">
        <v>1659</v>
      </c>
      <c r="BM2322" s="4" t="s">
        <v>39136</v>
      </c>
      <c r="BN2322" s="4" t="n">
        <v>23585856</v>
      </c>
      <c r="BO2322" s="4" t="s">
        <v>341</v>
      </c>
      <c r="BP2322" s="4"/>
      <c r="BQ2322" s="4"/>
      <c r="BR2322" s="4" t="s">
        <v>104</v>
      </c>
      <c r="BS2322" s="4" t="s">
        <v>39137</v>
      </c>
      <c r="BT2322" s="4" t="str">
        <f aca="false">HYPERLINK("https%3A%2F%2Fwww.webofscience.com%2Fwos%2Fwoscc%2Ffull-record%2FWOS:000317909600058","View Full Record in Web of Science")</f>
        <v>View Full Record in Web of Science</v>
      </c>
    </row>
    <row r="2323" s="5" customFormat="true" ht="12.75" hidden="false" customHeight="false" outlineLevel="0" collapsed="false">
      <c r="A2323" s="4" t="s">
        <v>72</v>
      </c>
      <c r="B2323" s="4" t="s">
        <v>39138</v>
      </c>
      <c r="C2323" s="4"/>
      <c r="D2323" s="4"/>
      <c r="E2323" s="4"/>
      <c r="F2323" s="4" t="s">
        <v>39139</v>
      </c>
      <c r="G2323" s="4"/>
      <c r="H2323" s="4"/>
      <c r="I2323" s="4" t="s">
        <v>39140</v>
      </c>
      <c r="J2323" s="4" t="s">
        <v>39141</v>
      </c>
      <c r="K2323" s="4"/>
      <c r="L2323" s="4"/>
      <c r="M2323" s="4" t="s">
        <v>77</v>
      </c>
      <c r="N2323" s="4" t="s">
        <v>78</v>
      </c>
      <c r="O2323" s="4"/>
      <c r="P2323" s="4"/>
      <c r="Q2323" s="4"/>
      <c r="R2323" s="4"/>
      <c r="S2323" s="4"/>
      <c r="T2323" s="1" t="s">
        <v>39142</v>
      </c>
      <c r="U2323" s="4" t="s">
        <v>39143</v>
      </c>
      <c r="V2323" s="4" t="s">
        <v>39144</v>
      </c>
      <c r="W2323" s="4" t="s">
        <v>39145</v>
      </c>
      <c r="X2323" s="4" t="s">
        <v>39146</v>
      </c>
      <c r="Y2323" s="4" t="s">
        <v>39147</v>
      </c>
      <c r="Z2323" s="4" t="s">
        <v>39148</v>
      </c>
      <c r="AA2323" s="4" t="s">
        <v>39149</v>
      </c>
      <c r="AB2323" s="4" t="s">
        <v>39150</v>
      </c>
      <c r="AC2323" s="4" t="s">
        <v>39151</v>
      </c>
      <c r="AD2323" s="4" t="s">
        <v>39152</v>
      </c>
      <c r="AE2323" s="4" t="s">
        <v>39153</v>
      </c>
      <c r="AF2323" s="4"/>
      <c r="AG2323" s="4" t="n">
        <v>33</v>
      </c>
      <c r="AH2323" s="4" t="n">
        <v>239</v>
      </c>
      <c r="AI2323" s="4" t="n">
        <v>268</v>
      </c>
      <c r="AJ2323" s="4" t="n">
        <v>0</v>
      </c>
      <c r="AK2323" s="4" t="n">
        <v>10</v>
      </c>
      <c r="AL2323" s="4" t="s">
        <v>28840</v>
      </c>
      <c r="AM2323" s="4" t="s">
        <v>20223</v>
      </c>
      <c r="AN2323" s="4" t="s">
        <v>36824</v>
      </c>
      <c r="AO2323" s="4" t="s">
        <v>39154</v>
      </c>
      <c r="AP2323" s="4" t="s">
        <v>39155</v>
      </c>
      <c r="AQ2323" s="4"/>
      <c r="AR2323" s="4" t="s">
        <v>39156</v>
      </c>
      <c r="AS2323" s="4" t="s">
        <v>39157</v>
      </c>
      <c r="AT2323" s="4" t="s">
        <v>39158</v>
      </c>
      <c r="AU2323" s="4" t="n">
        <v>2010</v>
      </c>
      <c r="AV2323" s="4" t="n">
        <v>303</v>
      </c>
      <c r="AW2323" s="4" t="n">
        <v>20</v>
      </c>
      <c r="AX2323" s="4"/>
      <c r="AY2323" s="4"/>
      <c r="AZ2323" s="4"/>
      <c r="BA2323" s="4"/>
      <c r="BB2323" s="4" t="n">
        <v>2051</v>
      </c>
      <c r="BC2323" s="4" t="n">
        <v>2057</v>
      </c>
      <c r="BD2323" s="4"/>
      <c r="BE2323" s="4" t="s">
        <v>39159</v>
      </c>
      <c r="BF2323" s="4" t="str">
        <f aca="false">HYPERLINK("http://dx.doi.org/10.1001/jama.2010.675","http://dx.doi.org/10.1001/jama.2010.675")</f>
        <v>http://dx.doi.org/10.1001/jama.2010.675</v>
      </c>
      <c r="BG2323" s="4"/>
      <c r="BH2323" s="4"/>
      <c r="BI2323" s="4" t="n">
        <v>7</v>
      </c>
      <c r="BJ2323" s="4" t="s">
        <v>363</v>
      </c>
      <c r="BK2323" s="4" t="s">
        <v>100</v>
      </c>
      <c r="BL2323" s="4" t="s">
        <v>364</v>
      </c>
      <c r="BM2323" s="4" t="s">
        <v>39160</v>
      </c>
      <c r="BN2323" s="4" t="n">
        <v>20501927</v>
      </c>
      <c r="BO2323" s="4" t="s">
        <v>695</v>
      </c>
      <c r="BP2323" s="4"/>
      <c r="BQ2323" s="4"/>
      <c r="BR2323" s="4" t="s">
        <v>104</v>
      </c>
      <c r="BS2323" s="4" t="s">
        <v>39161</v>
      </c>
      <c r="BT2323" s="4" t="str">
        <f aca="false">HYPERLINK("https%3A%2F%2Fwww.webofscience.com%2Fwos%2Fwoscc%2Ffull-record%2FWOS:000278018200029","View Full Record in Web of Science")</f>
        <v>View Full Record in Web of Science</v>
      </c>
    </row>
    <row r="2324" s="5" customFormat="true" ht="12.75" hidden="false" customHeight="false" outlineLevel="0" collapsed="false">
      <c r="A2324" s="4" t="s">
        <v>72</v>
      </c>
      <c r="B2324" s="4" t="s">
        <v>39162</v>
      </c>
      <c r="C2324" s="4"/>
      <c r="D2324" s="4"/>
      <c r="E2324" s="4"/>
      <c r="F2324" s="4" t="s">
        <v>39163</v>
      </c>
      <c r="G2324" s="4"/>
      <c r="H2324" s="4"/>
      <c r="I2324" s="4" t="s">
        <v>39164</v>
      </c>
      <c r="J2324" s="4" t="s">
        <v>27497</v>
      </c>
      <c r="K2324" s="4"/>
      <c r="L2324" s="4"/>
      <c r="M2324" s="4" t="s">
        <v>77</v>
      </c>
      <c r="N2324" s="4" t="s">
        <v>78</v>
      </c>
      <c r="O2324" s="4"/>
      <c r="P2324" s="4"/>
      <c r="Q2324" s="4"/>
      <c r="R2324" s="4"/>
      <c r="S2324" s="4"/>
      <c r="T2324" s="1" t="s">
        <v>39165</v>
      </c>
      <c r="U2324" s="4" t="s">
        <v>39166</v>
      </c>
      <c r="V2324" s="4" t="s">
        <v>39167</v>
      </c>
      <c r="W2324" s="4" t="s">
        <v>39168</v>
      </c>
      <c r="X2324" s="4" t="s">
        <v>39169</v>
      </c>
      <c r="Y2324" s="4" t="s">
        <v>39170</v>
      </c>
      <c r="Z2324" s="4" t="s">
        <v>39171</v>
      </c>
      <c r="AA2324" s="4" t="s">
        <v>39172</v>
      </c>
      <c r="AB2324" s="4" t="s">
        <v>39173</v>
      </c>
      <c r="AC2324" s="4" t="s">
        <v>39174</v>
      </c>
      <c r="AD2324" s="4" t="s">
        <v>39175</v>
      </c>
      <c r="AE2324" s="4" t="s">
        <v>39176</v>
      </c>
      <c r="AF2324" s="4"/>
      <c r="AG2324" s="4" t="n">
        <v>54</v>
      </c>
      <c r="AH2324" s="4" t="n">
        <v>54</v>
      </c>
      <c r="AI2324" s="4" t="n">
        <v>60</v>
      </c>
      <c r="AJ2324" s="4" t="n">
        <v>1</v>
      </c>
      <c r="AK2324" s="4" t="n">
        <v>6</v>
      </c>
      <c r="AL2324" s="4" t="s">
        <v>27506</v>
      </c>
      <c r="AM2324" s="4" t="s">
        <v>27507</v>
      </c>
      <c r="AN2324" s="4" t="s">
        <v>27508</v>
      </c>
      <c r="AO2324" s="4" t="s">
        <v>27509</v>
      </c>
      <c r="AP2324" s="4"/>
      <c r="AQ2324" s="4"/>
      <c r="AR2324" s="4" t="s">
        <v>27497</v>
      </c>
      <c r="AS2324" s="4" t="s">
        <v>27510</v>
      </c>
      <c r="AT2324" s="4" t="s">
        <v>13617</v>
      </c>
      <c r="AU2324" s="4" t="n">
        <v>2015</v>
      </c>
      <c r="AV2324" s="4" t="n">
        <v>10</v>
      </c>
      <c r="AW2324" s="4" t="n">
        <v>3</v>
      </c>
      <c r="AX2324" s="4"/>
      <c r="AY2324" s="4"/>
      <c r="AZ2324" s="4"/>
      <c r="BA2324" s="4"/>
      <c r="BB2324" s="4"/>
      <c r="BC2324" s="4"/>
      <c r="BD2324" s="4" t="s">
        <v>39177</v>
      </c>
      <c r="BE2324" s="4" t="s">
        <v>39178</v>
      </c>
      <c r="BF2324" s="4" t="str">
        <f aca="false">HYPERLINK("http://dx.doi.org/10.1371/journal.pone.0120098","http://dx.doi.org/10.1371/journal.pone.0120098")</f>
        <v>http://dx.doi.org/10.1371/journal.pone.0120098</v>
      </c>
      <c r="BG2324" s="4"/>
      <c r="BH2324" s="4"/>
      <c r="BI2324" s="4" t="n">
        <v>22</v>
      </c>
      <c r="BJ2324" s="4" t="s">
        <v>1658</v>
      </c>
      <c r="BK2324" s="4" t="s">
        <v>100</v>
      </c>
      <c r="BL2324" s="4" t="s">
        <v>1659</v>
      </c>
      <c r="BM2324" s="4" t="s">
        <v>39179</v>
      </c>
      <c r="BN2324" s="4" t="n">
        <v>25793751</v>
      </c>
      <c r="BO2324" s="4" t="s">
        <v>341</v>
      </c>
      <c r="BP2324" s="4"/>
      <c r="BQ2324" s="4"/>
      <c r="BR2324" s="4" t="s">
        <v>104</v>
      </c>
      <c r="BS2324" s="4" t="s">
        <v>39180</v>
      </c>
      <c r="BT2324" s="4" t="str">
        <f aca="false">HYPERLINK("https%3A%2F%2Fwww.webofscience.com%2Fwos%2Fwoscc%2Ffull-record%2FWOS:000352084200144","View Full Record in Web of Science")</f>
        <v>View Full Record in Web of Science</v>
      </c>
    </row>
    <row r="2325" s="5" customFormat="true" ht="12.75" hidden="false" customHeight="false" outlineLevel="0" collapsed="false">
      <c r="A2325" s="4" t="s">
        <v>72</v>
      </c>
      <c r="B2325" s="4" t="s">
        <v>39181</v>
      </c>
      <c r="C2325" s="4"/>
      <c r="D2325" s="4"/>
      <c r="E2325" s="4"/>
      <c r="F2325" s="4" t="s">
        <v>39182</v>
      </c>
      <c r="G2325" s="4"/>
      <c r="H2325" s="4" t="s">
        <v>39183</v>
      </c>
      <c r="I2325" s="4" t="s">
        <v>39184</v>
      </c>
      <c r="J2325" s="4" t="s">
        <v>39185</v>
      </c>
      <c r="K2325" s="4"/>
      <c r="L2325" s="4"/>
      <c r="M2325" s="4" t="s">
        <v>77</v>
      </c>
      <c r="N2325" s="4" t="s">
        <v>78</v>
      </c>
      <c r="O2325" s="4"/>
      <c r="P2325" s="4"/>
      <c r="Q2325" s="4"/>
      <c r="R2325" s="4"/>
      <c r="S2325" s="4"/>
      <c r="T2325" s="1" t="s">
        <v>39186</v>
      </c>
      <c r="U2325" s="4" t="s">
        <v>39187</v>
      </c>
      <c r="V2325" s="4" t="s">
        <v>39188</v>
      </c>
      <c r="W2325" s="4" t="s">
        <v>39189</v>
      </c>
      <c r="X2325" s="4" t="s">
        <v>39190</v>
      </c>
      <c r="Y2325" s="4" t="s">
        <v>39191</v>
      </c>
      <c r="Z2325" s="4" t="s">
        <v>22814</v>
      </c>
      <c r="AA2325" s="4" t="s">
        <v>20471</v>
      </c>
      <c r="AB2325" s="4" t="s">
        <v>5364</v>
      </c>
      <c r="AC2325" s="4" t="s">
        <v>39192</v>
      </c>
      <c r="AD2325" s="4" t="s">
        <v>11195</v>
      </c>
      <c r="AE2325" s="4" t="s">
        <v>39193</v>
      </c>
      <c r="AF2325" s="4"/>
      <c r="AG2325" s="4" t="n">
        <v>45</v>
      </c>
      <c r="AH2325" s="4" t="n">
        <v>274</v>
      </c>
      <c r="AI2325" s="4" t="n">
        <v>294</v>
      </c>
      <c r="AJ2325" s="4" t="n">
        <v>0</v>
      </c>
      <c r="AK2325" s="4" t="n">
        <v>13</v>
      </c>
      <c r="AL2325" s="4" t="s">
        <v>28840</v>
      </c>
      <c r="AM2325" s="4" t="s">
        <v>20223</v>
      </c>
      <c r="AN2325" s="4" t="s">
        <v>32700</v>
      </c>
      <c r="AO2325" s="4" t="s">
        <v>39194</v>
      </c>
      <c r="AP2325" s="4"/>
      <c r="AQ2325" s="4"/>
      <c r="AR2325" s="4" t="s">
        <v>39195</v>
      </c>
      <c r="AS2325" s="4" t="s">
        <v>39196</v>
      </c>
      <c r="AT2325" s="4" t="s">
        <v>185</v>
      </c>
      <c r="AU2325" s="4" t="n">
        <v>2012</v>
      </c>
      <c r="AV2325" s="4" t="n">
        <v>166</v>
      </c>
      <c r="AW2325" s="4" t="n">
        <v>8</v>
      </c>
      <c r="AX2325" s="4"/>
      <c r="AY2325" s="4"/>
      <c r="AZ2325" s="4"/>
      <c r="BA2325" s="4"/>
      <c r="BB2325" s="4" t="n">
        <v>700</v>
      </c>
      <c r="BC2325" s="4" t="n">
        <v>706</v>
      </c>
      <c r="BD2325" s="4"/>
      <c r="BE2325" s="4" t="s">
        <v>39197</v>
      </c>
      <c r="BF2325" s="4" t="str">
        <f aca="false">HYPERLINK("http://dx.doi.org/10.1001/archpediatrics.2011.1669","http://dx.doi.org/10.1001/archpediatrics.2011.1669")</f>
        <v>http://dx.doi.org/10.1001/archpediatrics.2011.1669</v>
      </c>
      <c r="BG2325" s="4"/>
      <c r="BH2325" s="4"/>
      <c r="BI2325" s="4" t="n">
        <v>7</v>
      </c>
      <c r="BJ2325" s="4" t="s">
        <v>601</v>
      </c>
      <c r="BK2325" s="4" t="s">
        <v>100</v>
      </c>
      <c r="BL2325" s="4" t="s">
        <v>601</v>
      </c>
      <c r="BM2325" s="4" t="s">
        <v>39198</v>
      </c>
      <c r="BN2325" s="4" t="n">
        <v>22473882</v>
      </c>
      <c r="BO2325" s="4" t="s">
        <v>695</v>
      </c>
      <c r="BP2325" s="4"/>
      <c r="BQ2325" s="4"/>
      <c r="BR2325" s="4" t="s">
        <v>104</v>
      </c>
      <c r="BS2325" s="4" t="s">
        <v>39199</v>
      </c>
      <c r="BT2325" s="4" t="str">
        <f aca="false">HYPERLINK("https%3A%2F%2Fwww.webofscience.com%2Fwos%2Fwoscc%2Ffull-record%2FWOS:000307189300003","View Full Record in Web of Science")</f>
        <v>View Full Record in Web of Science</v>
      </c>
    </row>
    <row r="2326" s="5" customFormat="true" ht="12.75" hidden="false" customHeight="false" outlineLevel="0" collapsed="false">
      <c r="A2326" s="4" t="s">
        <v>72</v>
      </c>
      <c r="B2326" s="4" t="s">
        <v>39200</v>
      </c>
      <c r="C2326" s="4"/>
      <c r="D2326" s="4"/>
      <c r="E2326" s="4"/>
      <c r="F2326" s="4" t="s">
        <v>39201</v>
      </c>
      <c r="G2326" s="4"/>
      <c r="H2326" s="4" t="s">
        <v>39202</v>
      </c>
      <c r="I2326" s="4" t="s">
        <v>39203</v>
      </c>
      <c r="J2326" s="4" t="s">
        <v>27475</v>
      </c>
      <c r="K2326" s="4"/>
      <c r="L2326" s="4"/>
      <c r="M2326" s="4" t="s">
        <v>77</v>
      </c>
      <c r="N2326" s="4" t="s">
        <v>78</v>
      </c>
      <c r="O2326" s="4"/>
      <c r="P2326" s="4"/>
      <c r="Q2326" s="4"/>
      <c r="R2326" s="4"/>
      <c r="S2326" s="4"/>
      <c r="T2326" s="1" t="s">
        <v>39204</v>
      </c>
      <c r="U2326" s="4" t="s">
        <v>39205</v>
      </c>
      <c r="V2326" s="4" t="s">
        <v>39206</v>
      </c>
      <c r="W2326" s="4" t="s">
        <v>39207</v>
      </c>
      <c r="X2326" s="4" t="s">
        <v>39208</v>
      </c>
      <c r="Y2326" s="4" t="s">
        <v>39209</v>
      </c>
      <c r="Z2326" s="4" t="s">
        <v>39210</v>
      </c>
      <c r="AA2326" s="4" t="s">
        <v>39211</v>
      </c>
      <c r="AB2326" s="4" t="s">
        <v>39212</v>
      </c>
      <c r="AC2326" s="4" t="s">
        <v>39213</v>
      </c>
      <c r="AD2326" s="4" t="s">
        <v>39213</v>
      </c>
      <c r="AE2326" s="4" t="s">
        <v>39214</v>
      </c>
      <c r="AF2326" s="4"/>
      <c r="AG2326" s="4" t="n">
        <v>42</v>
      </c>
      <c r="AH2326" s="4" t="n">
        <v>1408</v>
      </c>
      <c r="AI2326" s="4" t="n">
        <v>1623</v>
      </c>
      <c r="AJ2326" s="4" t="n">
        <v>8</v>
      </c>
      <c r="AK2326" s="4" t="n">
        <v>149</v>
      </c>
      <c r="AL2326" s="4" t="s">
        <v>27485</v>
      </c>
      <c r="AM2326" s="4" t="s">
        <v>27486</v>
      </c>
      <c r="AN2326" s="4" t="s">
        <v>27487</v>
      </c>
      <c r="AO2326" s="4" t="s">
        <v>27488</v>
      </c>
      <c r="AP2326" s="4" t="s">
        <v>32833</v>
      </c>
      <c r="AQ2326" s="4"/>
      <c r="AR2326" s="4" t="s">
        <v>27489</v>
      </c>
      <c r="AS2326" s="4" t="s">
        <v>27490</v>
      </c>
      <c r="AT2326" s="4" t="s">
        <v>36471</v>
      </c>
      <c r="AU2326" s="4" t="n">
        <v>2015</v>
      </c>
      <c r="AV2326" s="4" t="n">
        <v>372</v>
      </c>
      <c r="AW2326" s="4" t="n">
        <v>9</v>
      </c>
      <c r="AX2326" s="4"/>
      <c r="AY2326" s="4"/>
      <c r="AZ2326" s="4"/>
      <c r="BA2326" s="4"/>
      <c r="BB2326" s="4" t="n">
        <v>835</v>
      </c>
      <c r="BC2326" s="4" t="n">
        <v>845</v>
      </c>
      <c r="BD2326" s="4"/>
      <c r="BE2326" s="4" t="s">
        <v>39215</v>
      </c>
      <c r="BF2326" s="4" t="str">
        <f aca="false">HYPERLINK("http://dx.doi.org/10.1056/NEJMoa1405870","http://dx.doi.org/10.1056/NEJMoa1405870")</f>
        <v>http://dx.doi.org/10.1056/NEJMoa1405870</v>
      </c>
      <c r="BG2326" s="4"/>
      <c r="BH2326" s="4"/>
      <c r="BI2326" s="4" t="n">
        <v>11</v>
      </c>
      <c r="BJ2326" s="4" t="s">
        <v>363</v>
      </c>
      <c r="BK2326" s="4" t="s">
        <v>100</v>
      </c>
      <c r="BL2326" s="4" t="s">
        <v>364</v>
      </c>
      <c r="BM2326" s="4" t="s">
        <v>39216</v>
      </c>
      <c r="BN2326" s="4" t="n">
        <v>25714161</v>
      </c>
      <c r="BO2326" s="4" t="s">
        <v>5372</v>
      </c>
      <c r="BP2326" s="4" t="s">
        <v>1921</v>
      </c>
      <c r="BQ2326" s="4" t="s">
        <v>1922</v>
      </c>
      <c r="BR2326" s="4" t="s">
        <v>104</v>
      </c>
      <c r="BS2326" s="4" t="s">
        <v>39217</v>
      </c>
      <c r="BT2326" s="4" t="str">
        <f aca="false">HYPERLINK("https%3A%2F%2Fwww.webofscience.com%2Fwos%2Fwoscc%2Ffull-record%2FWOS:000349901700008","View Full Record in Web of Science")</f>
        <v>View Full Record in Web of Science</v>
      </c>
    </row>
    <row r="2327" s="5" customFormat="true" ht="12.75" hidden="false" customHeight="false" outlineLevel="0" collapsed="false">
      <c r="A2327" s="4" t="s">
        <v>72</v>
      </c>
      <c r="B2327" s="4" t="s">
        <v>39218</v>
      </c>
      <c r="C2327" s="4"/>
      <c r="D2327" s="4"/>
      <c r="E2327" s="4"/>
      <c r="F2327" s="4" t="s">
        <v>39219</v>
      </c>
      <c r="G2327" s="4"/>
      <c r="H2327" s="4"/>
      <c r="I2327" s="4" t="s">
        <v>39220</v>
      </c>
      <c r="J2327" s="4" t="s">
        <v>39221</v>
      </c>
      <c r="K2327" s="4"/>
      <c r="L2327" s="4"/>
      <c r="M2327" s="4" t="s">
        <v>77</v>
      </c>
      <c r="N2327" s="4" t="s">
        <v>78</v>
      </c>
      <c r="O2327" s="4"/>
      <c r="P2327" s="4"/>
      <c r="Q2327" s="4"/>
      <c r="R2327" s="4"/>
      <c r="S2327" s="4"/>
      <c r="T2327" s="1" t="s">
        <v>39222</v>
      </c>
      <c r="U2327" s="4" t="s">
        <v>39223</v>
      </c>
      <c r="V2327" s="4" t="s">
        <v>39224</v>
      </c>
      <c r="W2327" s="4" t="s">
        <v>39225</v>
      </c>
      <c r="X2327" s="4" t="s">
        <v>39226</v>
      </c>
      <c r="Y2327" s="4" t="s">
        <v>39227</v>
      </c>
      <c r="Z2327" s="4" t="s">
        <v>39228</v>
      </c>
      <c r="AA2327" s="4"/>
      <c r="AB2327" s="4"/>
      <c r="AC2327" s="4"/>
      <c r="AD2327" s="4"/>
      <c r="AE2327" s="4"/>
      <c r="AF2327" s="4"/>
      <c r="AG2327" s="4" t="n">
        <v>37</v>
      </c>
      <c r="AH2327" s="4" t="n">
        <v>1</v>
      </c>
      <c r="AI2327" s="4" t="n">
        <v>1</v>
      </c>
      <c r="AJ2327" s="4" t="n">
        <v>0</v>
      </c>
      <c r="AK2327" s="4" t="n">
        <v>1</v>
      </c>
      <c r="AL2327" s="4" t="s">
        <v>37044</v>
      </c>
      <c r="AM2327" s="4" t="s">
        <v>37045</v>
      </c>
      <c r="AN2327" s="4" t="s">
        <v>37046</v>
      </c>
      <c r="AO2327" s="4" t="s">
        <v>39229</v>
      </c>
      <c r="AP2327" s="4" t="s">
        <v>39230</v>
      </c>
      <c r="AQ2327" s="4"/>
      <c r="AR2327" s="4" t="s">
        <v>39231</v>
      </c>
      <c r="AS2327" s="4" t="s">
        <v>39232</v>
      </c>
      <c r="AT2327" s="4"/>
      <c r="AU2327" s="4" t="n">
        <v>2016</v>
      </c>
      <c r="AV2327" s="4" t="n">
        <v>7</v>
      </c>
      <c r="AW2327" s="4" t="n">
        <v>2</v>
      </c>
      <c r="AX2327" s="4"/>
      <c r="AY2327" s="4"/>
      <c r="AZ2327" s="4"/>
      <c r="BA2327" s="4"/>
      <c r="BB2327" s="4" t="s">
        <v>39233</v>
      </c>
      <c r="BC2327" s="4" t="s">
        <v>39234</v>
      </c>
      <c r="BD2327" s="4"/>
      <c r="BE2327" s="4" t="s">
        <v>39235</v>
      </c>
      <c r="BF2327" s="4" t="str">
        <f aca="false">HYPERLINK("http://dx.doi.org/10.2500/ar.2016.7.0157","http://dx.doi.org/10.2500/ar.2016.7.0157")</f>
        <v>http://dx.doi.org/10.2500/ar.2016.7.0157</v>
      </c>
      <c r="BG2327" s="4"/>
      <c r="BH2327" s="4"/>
      <c r="BI2327" s="4" t="n">
        <v>7</v>
      </c>
      <c r="BJ2327" s="4" t="s">
        <v>23811</v>
      </c>
      <c r="BK2327" s="4" t="s">
        <v>339</v>
      </c>
      <c r="BL2327" s="4" t="s">
        <v>23811</v>
      </c>
      <c r="BM2327" s="4" t="s">
        <v>39236</v>
      </c>
      <c r="BN2327" s="4" t="n">
        <v>27658182</v>
      </c>
      <c r="BO2327" s="4" t="s">
        <v>190</v>
      </c>
      <c r="BP2327" s="4"/>
      <c r="BQ2327" s="4"/>
      <c r="BR2327" s="4" t="s">
        <v>104</v>
      </c>
      <c r="BS2327" s="4" t="s">
        <v>39237</v>
      </c>
      <c r="BT2327" s="4" t="str">
        <f aca="false">HYPERLINK("https%3A%2F%2Fwww.webofscience.com%2Fwos%2Fwoscc%2Ffull-record%2FWOS:000401530800002","View Full Record in Web of Science")</f>
        <v>View Full Record in Web of Science</v>
      </c>
    </row>
    <row r="2328" s="5" customFormat="true" ht="12.75" hidden="false" customHeight="false" outlineLevel="0" collapsed="false">
      <c r="A2328" s="4" t="s">
        <v>72</v>
      </c>
      <c r="B2328" s="4" t="s">
        <v>39238</v>
      </c>
      <c r="C2328" s="4"/>
      <c r="D2328" s="4"/>
      <c r="E2328" s="4"/>
      <c r="F2328" s="4" t="s">
        <v>39239</v>
      </c>
      <c r="G2328" s="4"/>
      <c r="H2328" s="4"/>
      <c r="I2328" s="4" t="s">
        <v>39240</v>
      </c>
      <c r="J2328" s="4" t="s">
        <v>27497</v>
      </c>
      <c r="K2328" s="4"/>
      <c r="L2328" s="4"/>
      <c r="M2328" s="4" t="s">
        <v>77</v>
      </c>
      <c r="N2328" s="4" t="s">
        <v>78</v>
      </c>
      <c r="O2328" s="4"/>
      <c r="P2328" s="4"/>
      <c r="Q2328" s="4"/>
      <c r="R2328" s="4"/>
      <c r="S2328" s="4"/>
      <c r="T2328" s="1" t="s">
        <v>39241</v>
      </c>
      <c r="U2328" s="4" t="s">
        <v>39242</v>
      </c>
      <c r="V2328" s="4" t="s">
        <v>39243</v>
      </c>
      <c r="W2328" s="4" t="s">
        <v>39244</v>
      </c>
      <c r="X2328" s="4" t="s">
        <v>39245</v>
      </c>
      <c r="Y2328" s="4" t="s">
        <v>39246</v>
      </c>
      <c r="Z2328" s="4" t="s">
        <v>39247</v>
      </c>
      <c r="AA2328" s="4"/>
      <c r="AB2328" s="4" t="s">
        <v>39248</v>
      </c>
      <c r="AC2328" s="4" t="s">
        <v>39249</v>
      </c>
      <c r="AD2328" s="4" t="s">
        <v>39250</v>
      </c>
      <c r="AE2328" s="4" t="s">
        <v>39251</v>
      </c>
      <c r="AF2328" s="4"/>
      <c r="AG2328" s="4" t="n">
        <v>46</v>
      </c>
      <c r="AH2328" s="4" t="n">
        <v>20</v>
      </c>
      <c r="AI2328" s="4" t="n">
        <v>22</v>
      </c>
      <c r="AJ2328" s="4" t="n">
        <v>0</v>
      </c>
      <c r="AK2328" s="4" t="n">
        <v>23</v>
      </c>
      <c r="AL2328" s="4" t="s">
        <v>27506</v>
      </c>
      <c r="AM2328" s="4" t="s">
        <v>27507</v>
      </c>
      <c r="AN2328" s="4" t="s">
        <v>27508</v>
      </c>
      <c r="AO2328" s="4" t="s">
        <v>27509</v>
      </c>
      <c r="AP2328" s="4"/>
      <c r="AQ2328" s="4"/>
      <c r="AR2328" s="4" t="s">
        <v>27497</v>
      </c>
      <c r="AS2328" s="4" t="s">
        <v>27510</v>
      </c>
      <c r="AT2328" s="4" t="s">
        <v>5801</v>
      </c>
      <c r="AU2328" s="4" t="n">
        <v>2017</v>
      </c>
      <c r="AV2328" s="4" t="n">
        <v>12</v>
      </c>
      <c r="AW2328" s="4" t="n">
        <v>11</v>
      </c>
      <c r="AX2328" s="4"/>
      <c r="AY2328" s="4"/>
      <c r="AZ2328" s="4"/>
      <c r="BA2328" s="4"/>
      <c r="BB2328" s="4"/>
      <c r="BC2328" s="4"/>
      <c r="BD2328" s="4" t="s">
        <v>39252</v>
      </c>
      <c r="BE2328" s="4" t="s">
        <v>39253</v>
      </c>
      <c r="BF2328" s="4" t="str">
        <f aca="false">HYPERLINK("http://dx.doi.org/10.1371/journal.pone.0188325","http://dx.doi.org/10.1371/journal.pone.0188325")</f>
        <v>http://dx.doi.org/10.1371/journal.pone.0188325</v>
      </c>
      <c r="BG2328" s="4"/>
      <c r="BH2328" s="4"/>
      <c r="BI2328" s="4" t="n">
        <v>17</v>
      </c>
      <c r="BJ2328" s="4" t="s">
        <v>1658</v>
      </c>
      <c r="BK2328" s="4" t="s">
        <v>100</v>
      </c>
      <c r="BL2328" s="4" t="s">
        <v>1659</v>
      </c>
      <c r="BM2328" s="4" t="s">
        <v>39254</v>
      </c>
      <c r="BN2328" s="4" t="n">
        <v>29149199</v>
      </c>
      <c r="BO2328" s="4" t="s">
        <v>6349</v>
      </c>
      <c r="BP2328" s="4"/>
      <c r="BQ2328" s="4"/>
      <c r="BR2328" s="4" t="s">
        <v>104</v>
      </c>
      <c r="BS2328" s="4" t="s">
        <v>39255</v>
      </c>
      <c r="BT2328" s="4" t="str">
        <f aca="false">HYPERLINK("https%3A%2F%2Fwww.webofscience.com%2Fwos%2Fwoscc%2Ffull-record%2FWOS:000415646100038","View Full Record in Web of Science")</f>
        <v>View Full Record in Web of Science</v>
      </c>
    </row>
    <row r="2329" s="5" customFormat="true" ht="12.75" hidden="false" customHeight="false" outlineLevel="0" collapsed="false">
      <c r="A2329" s="4" t="s">
        <v>72</v>
      </c>
      <c r="B2329" s="4" t="s">
        <v>39256</v>
      </c>
      <c r="C2329" s="4"/>
      <c r="D2329" s="4"/>
      <c r="E2329" s="4"/>
      <c r="F2329" s="4" t="s">
        <v>39257</v>
      </c>
      <c r="G2329" s="4"/>
      <c r="H2329" s="4"/>
      <c r="I2329" s="4" t="s">
        <v>39258</v>
      </c>
      <c r="J2329" s="4" t="s">
        <v>557</v>
      </c>
      <c r="K2329" s="4"/>
      <c r="L2329" s="4"/>
      <c r="M2329" s="4" t="s">
        <v>77</v>
      </c>
      <c r="N2329" s="4" t="s">
        <v>78</v>
      </c>
      <c r="O2329" s="4"/>
      <c r="P2329" s="4"/>
      <c r="Q2329" s="4"/>
      <c r="R2329" s="4"/>
      <c r="S2329" s="4"/>
      <c r="T2329" s="1" t="s">
        <v>39259</v>
      </c>
      <c r="U2329" s="4" t="s">
        <v>39260</v>
      </c>
      <c r="V2329" s="4" t="s">
        <v>39261</v>
      </c>
      <c r="W2329" s="4" t="s">
        <v>39262</v>
      </c>
      <c r="X2329" s="4" t="s">
        <v>39263</v>
      </c>
      <c r="Y2329" s="4" t="s">
        <v>39264</v>
      </c>
      <c r="Z2329" s="4" t="s">
        <v>23962</v>
      </c>
      <c r="AA2329" s="4" t="s">
        <v>39265</v>
      </c>
      <c r="AB2329" s="4" t="s">
        <v>39266</v>
      </c>
      <c r="AC2329" s="4" t="s">
        <v>36784</v>
      </c>
      <c r="AD2329" s="4" t="s">
        <v>36785</v>
      </c>
      <c r="AE2329" s="4" t="s">
        <v>39267</v>
      </c>
      <c r="AF2329" s="4"/>
      <c r="AG2329" s="4" t="n">
        <v>32</v>
      </c>
      <c r="AH2329" s="4" t="n">
        <v>36</v>
      </c>
      <c r="AI2329" s="4" t="n">
        <v>39</v>
      </c>
      <c r="AJ2329" s="4" t="n">
        <v>0</v>
      </c>
      <c r="AK2329" s="4" t="n">
        <v>2</v>
      </c>
      <c r="AL2329" s="4" t="s">
        <v>302</v>
      </c>
      <c r="AM2329" s="4" t="s">
        <v>303</v>
      </c>
      <c r="AN2329" s="4" t="s">
        <v>304</v>
      </c>
      <c r="AO2329" s="4"/>
      <c r="AP2329" s="4" t="s">
        <v>570</v>
      </c>
      <c r="AQ2329" s="4"/>
      <c r="AR2329" s="4" t="s">
        <v>571</v>
      </c>
      <c r="AS2329" s="4" t="s">
        <v>572</v>
      </c>
      <c r="AT2329" s="4" t="s">
        <v>11931</v>
      </c>
      <c r="AU2329" s="4" t="n">
        <v>2010</v>
      </c>
      <c r="AV2329" s="4" t="n">
        <v>10</v>
      </c>
      <c r="AW2329" s="4"/>
      <c r="AX2329" s="4"/>
      <c r="AY2329" s="4"/>
      <c r="AZ2329" s="4"/>
      <c r="BA2329" s="4"/>
      <c r="BB2329" s="4"/>
      <c r="BC2329" s="4"/>
      <c r="BD2329" s="4" t="n">
        <v>305</v>
      </c>
      <c r="BE2329" s="4" t="s">
        <v>39268</v>
      </c>
      <c r="BF2329" s="4" t="str">
        <f aca="false">HYPERLINK("http://dx.doi.org/10.1186/1471-2334-10-305","http://dx.doi.org/10.1186/1471-2334-10-305")</f>
        <v>http://dx.doi.org/10.1186/1471-2334-10-305</v>
      </c>
      <c r="BG2329" s="4"/>
      <c r="BH2329" s="4"/>
      <c r="BI2329" s="4" t="n">
        <v>8</v>
      </c>
      <c r="BJ2329" s="4" t="s">
        <v>575</v>
      </c>
      <c r="BK2329" s="4" t="s">
        <v>100</v>
      </c>
      <c r="BL2329" s="4" t="s">
        <v>575</v>
      </c>
      <c r="BM2329" s="4" t="s">
        <v>39269</v>
      </c>
      <c r="BN2329" s="4" t="n">
        <v>20969802</v>
      </c>
      <c r="BO2329" s="4" t="s">
        <v>190</v>
      </c>
      <c r="BP2329" s="4"/>
      <c r="BQ2329" s="4"/>
      <c r="BR2329" s="4" t="s">
        <v>104</v>
      </c>
      <c r="BS2329" s="4" t="s">
        <v>39270</v>
      </c>
      <c r="BT2329" s="4" t="str">
        <f aca="false">HYPERLINK("https%3A%2F%2Fwww.webofscience.com%2Fwos%2Fwoscc%2Ffull-record%2FWOS:000284174600001","View Full Record in Web of Science")</f>
        <v>View Full Record in Web of Science</v>
      </c>
    </row>
    <row r="2330" s="5" customFormat="true" ht="12.75" hidden="false" customHeight="false" outlineLevel="0" collapsed="false">
      <c r="A2330" s="4" t="s">
        <v>72</v>
      </c>
      <c r="B2330" s="4" t="s">
        <v>39271</v>
      </c>
      <c r="C2330" s="4"/>
      <c r="D2330" s="4"/>
      <c r="E2330" s="4"/>
      <c r="F2330" s="4" t="s">
        <v>39271</v>
      </c>
      <c r="G2330" s="4"/>
      <c r="H2330" s="4"/>
      <c r="I2330" s="4" t="s">
        <v>39272</v>
      </c>
      <c r="J2330" s="4" t="s">
        <v>742</v>
      </c>
      <c r="K2330" s="4"/>
      <c r="L2330" s="4"/>
      <c r="M2330" s="4" t="s">
        <v>77</v>
      </c>
      <c r="N2330" s="4" t="s">
        <v>78</v>
      </c>
      <c r="O2330" s="4"/>
      <c r="P2330" s="4"/>
      <c r="Q2330" s="4"/>
      <c r="R2330" s="4"/>
      <c r="S2330" s="4"/>
      <c r="T2330" s="1" t="s">
        <v>39273</v>
      </c>
      <c r="U2330" s="4" t="s">
        <v>39274</v>
      </c>
      <c r="V2330" s="4" t="s">
        <v>39275</v>
      </c>
      <c r="W2330" s="4" t="s">
        <v>39276</v>
      </c>
      <c r="X2330" s="4" t="s">
        <v>39277</v>
      </c>
      <c r="Y2330" s="4" t="s">
        <v>8023</v>
      </c>
      <c r="Z2330" s="4" t="s">
        <v>39278</v>
      </c>
      <c r="AA2330" s="4"/>
      <c r="AB2330" s="4" t="s">
        <v>39279</v>
      </c>
      <c r="AC2330" s="4"/>
      <c r="AD2330" s="4"/>
      <c r="AE2330" s="4"/>
      <c r="AF2330" s="4"/>
      <c r="AG2330" s="4" t="n">
        <v>48</v>
      </c>
      <c r="AH2330" s="4" t="n">
        <v>26</v>
      </c>
      <c r="AI2330" s="4" t="n">
        <v>38</v>
      </c>
      <c r="AJ2330" s="4" t="n">
        <v>3</v>
      </c>
      <c r="AK2330" s="4" t="n">
        <v>10</v>
      </c>
      <c r="AL2330" s="4" t="s">
        <v>755</v>
      </c>
      <c r="AM2330" s="4" t="s">
        <v>273</v>
      </c>
      <c r="AN2330" s="4" t="s">
        <v>756</v>
      </c>
      <c r="AO2330" s="4" t="s">
        <v>757</v>
      </c>
      <c r="AP2330" s="4" t="s">
        <v>758</v>
      </c>
      <c r="AQ2330" s="4"/>
      <c r="AR2330" s="4" t="s">
        <v>759</v>
      </c>
      <c r="AS2330" s="4" t="s">
        <v>760</v>
      </c>
      <c r="AT2330" s="4" t="s">
        <v>446</v>
      </c>
      <c r="AU2330" s="4" t="n">
        <v>2005</v>
      </c>
      <c r="AV2330" s="4" t="n">
        <v>79</v>
      </c>
      <c r="AW2330" s="4" t="n">
        <v>23</v>
      </c>
      <c r="AX2330" s="4"/>
      <c r="AY2330" s="4"/>
      <c r="AZ2330" s="4"/>
      <c r="BA2330" s="4"/>
      <c r="BB2330" s="4" t="n">
        <v>14834</v>
      </c>
      <c r="BC2330" s="4" t="n">
        <v>14842</v>
      </c>
      <c r="BD2330" s="4"/>
      <c r="BE2330" s="4" t="s">
        <v>39280</v>
      </c>
      <c r="BF2330" s="4" t="str">
        <f aca="false">HYPERLINK("http://dx.doi.org/10.1128/JVI.79.23.14834-14842.2005","http://dx.doi.org/10.1128/JVI.79.23.14834-14842.2005")</f>
        <v>http://dx.doi.org/10.1128/JVI.79.23.14834-14842.2005</v>
      </c>
      <c r="BG2330" s="4"/>
      <c r="BH2330" s="4"/>
      <c r="BI2330" s="4" t="n">
        <v>9</v>
      </c>
      <c r="BJ2330" s="4" t="s">
        <v>163</v>
      </c>
      <c r="BK2330" s="4" t="s">
        <v>100</v>
      </c>
      <c r="BL2330" s="4" t="s">
        <v>163</v>
      </c>
      <c r="BM2330" s="4" t="s">
        <v>28030</v>
      </c>
      <c r="BN2330" s="4" t="n">
        <v>16282483</v>
      </c>
      <c r="BO2330" s="4" t="s">
        <v>165</v>
      </c>
      <c r="BP2330" s="4"/>
      <c r="BQ2330" s="4"/>
      <c r="BR2330" s="4" t="s">
        <v>104</v>
      </c>
      <c r="BS2330" s="4" t="s">
        <v>39281</v>
      </c>
      <c r="BT2330" s="4" t="str">
        <f aca="false">HYPERLINK("https%3A%2F%2Fwww.webofscience.com%2Fwos%2Fwoscc%2Ffull-record%2FWOS:000233279300038","View Full Record in Web of Science")</f>
        <v>View Full Record in Web of Science</v>
      </c>
    </row>
    <row r="2331" s="5" customFormat="true" ht="12.75" hidden="false" customHeight="false" outlineLevel="0" collapsed="false">
      <c r="A2331" s="4" t="s">
        <v>72</v>
      </c>
      <c r="B2331" s="4" t="s">
        <v>39282</v>
      </c>
      <c r="C2331" s="4"/>
      <c r="D2331" s="4"/>
      <c r="E2331" s="4"/>
      <c r="F2331" s="4" t="s">
        <v>39283</v>
      </c>
      <c r="G2331" s="4"/>
      <c r="H2331" s="4"/>
      <c r="I2331" s="4" t="s">
        <v>39284</v>
      </c>
      <c r="J2331" s="4" t="s">
        <v>27497</v>
      </c>
      <c r="K2331" s="4"/>
      <c r="L2331" s="4"/>
      <c r="M2331" s="4" t="s">
        <v>77</v>
      </c>
      <c r="N2331" s="4" t="s">
        <v>78</v>
      </c>
      <c r="O2331" s="4"/>
      <c r="P2331" s="4"/>
      <c r="Q2331" s="4"/>
      <c r="R2331" s="4"/>
      <c r="S2331" s="4"/>
      <c r="T2331" s="1" t="s">
        <v>39285</v>
      </c>
      <c r="U2331" s="4" t="s">
        <v>39286</v>
      </c>
      <c r="V2331" s="4" t="s">
        <v>39287</v>
      </c>
      <c r="W2331" s="4" t="s">
        <v>39288</v>
      </c>
      <c r="X2331" s="4" t="s">
        <v>39289</v>
      </c>
      <c r="Y2331" s="4" t="s">
        <v>39290</v>
      </c>
      <c r="Z2331" s="4" t="s">
        <v>39291</v>
      </c>
      <c r="AA2331" s="4" t="s">
        <v>39292</v>
      </c>
      <c r="AB2331" s="4" t="s">
        <v>39293</v>
      </c>
      <c r="AC2331" s="4" t="s">
        <v>39294</v>
      </c>
      <c r="AD2331" s="4" t="s">
        <v>39295</v>
      </c>
      <c r="AE2331" s="4" t="s">
        <v>39296</v>
      </c>
      <c r="AF2331" s="4"/>
      <c r="AG2331" s="4" t="n">
        <v>35</v>
      </c>
      <c r="AH2331" s="4" t="n">
        <v>69</v>
      </c>
      <c r="AI2331" s="4" t="n">
        <v>75</v>
      </c>
      <c r="AJ2331" s="4" t="n">
        <v>0</v>
      </c>
      <c r="AK2331" s="4" t="n">
        <v>1</v>
      </c>
      <c r="AL2331" s="4" t="s">
        <v>27506</v>
      </c>
      <c r="AM2331" s="4" t="s">
        <v>27507</v>
      </c>
      <c r="AN2331" s="4" t="s">
        <v>27508</v>
      </c>
      <c r="AO2331" s="4" t="s">
        <v>27509</v>
      </c>
      <c r="AP2331" s="4"/>
      <c r="AQ2331" s="4"/>
      <c r="AR2331" s="4" t="s">
        <v>27497</v>
      </c>
      <c r="AS2331" s="4" t="s">
        <v>27510</v>
      </c>
      <c r="AT2331" s="4" t="s">
        <v>18410</v>
      </c>
      <c r="AU2331" s="4" t="n">
        <v>2011</v>
      </c>
      <c r="AV2331" s="4" t="n">
        <v>6</v>
      </c>
      <c r="AW2331" s="4" t="n">
        <v>3</v>
      </c>
      <c r="AX2331" s="4"/>
      <c r="AY2331" s="4"/>
      <c r="AZ2331" s="4"/>
      <c r="BA2331" s="4"/>
      <c r="BB2331" s="4"/>
      <c r="BC2331" s="4"/>
      <c r="BD2331" s="4" t="s">
        <v>39297</v>
      </c>
      <c r="BE2331" s="4" t="s">
        <v>39298</v>
      </c>
      <c r="BF2331" s="4" t="str">
        <f aca="false">HYPERLINK("http://dx.doi.org/10.1371/journal.pone.0017579","http://dx.doi.org/10.1371/journal.pone.0017579")</f>
        <v>http://dx.doi.org/10.1371/journal.pone.0017579</v>
      </c>
      <c r="BG2331" s="4"/>
      <c r="BH2331" s="4"/>
      <c r="BI2331" s="4" t="n">
        <v>7</v>
      </c>
      <c r="BJ2331" s="4" t="s">
        <v>1658</v>
      </c>
      <c r="BK2331" s="4" t="s">
        <v>100</v>
      </c>
      <c r="BL2331" s="4" t="s">
        <v>1659</v>
      </c>
      <c r="BM2331" s="4" t="s">
        <v>39299</v>
      </c>
      <c r="BN2331" s="4" t="n">
        <v>21390235</v>
      </c>
      <c r="BO2331" s="4" t="s">
        <v>103</v>
      </c>
      <c r="BP2331" s="4"/>
      <c r="BQ2331" s="4"/>
      <c r="BR2331" s="4" t="s">
        <v>104</v>
      </c>
      <c r="BS2331" s="4" t="s">
        <v>39300</v>
      </c>
      <c r="BT2331" s="4" t="str">
        <f aca="false">HYPERLINK("https%3A%2F%2Fwww.webofscience.com%2Fwos%2Fwoscc%2Ffull-record%2FWOS:000287965200029","View Full Record in Web of Science")</f>
        <v>View Full Record in Web of Science</v>
      </c>
    </row>
    <row r="2332" s="5" customFormat="true" ht="12.75" hidden="false" customHeight="false" outlineLevel="0" collapsed="false">
      <c r="A2332" s="4" t="s">
        <v>72</v>
      </c>
      <c r="B2332" s="4" t="s">
        <v>39301</v>
      </c>
      <c r="C2332" s="4"/>
      <c r="D2332" s="4"/>
      <c r="E2332" s="4"/>
      <c r="F2332" s="4" t="s">
        <v>39302</v>
      </c>
      <c r="G2332" s="4"/>
      <c r="H2332" s="4"/>
      <c r="I2332" s="4" t="s">
        <v>39303</v>
      </c>
      <c r="J2332" s="4" t="s">
        <v>27497</v>
      </c>
      <c r="K2332" s="4"/>
      <c r="L2332" s="4"/>
      <c r="M2332" s="4" t="s">
        <v>77</v>
      </c>
      <c r="N2332" s="4" t="s">
        <v>78</v>
      </c>
      <c r="O2332" s="4"/>
      <c r="P2332" s="4"/>
      <c r="Q2332" s="4"/>
      <c r="R2332" s="4"/>
      <c r="S2332" s="4"/>
      <c r="T2332" s="1" t="s">
        <v>39304</v>
      </c>
      <c r="U2332" s="4" t="s">
        <v>39305</v>
      </c>
      <c r="V2332" s="4" t="s">
        <v>39306</v>
      </c>
      <c r="W2332" s="4" t="s">
        <v>39307</v>
      </c>
      <c r="X2332" s="4" t="s">
        <v>33017</v>
      </c>
      <c r="Y2332" s="4" t="s">
        <v>39308</v>
      </c>
      <c r="Z2332" s="4" t="s">
        <v>35135</v>
      </c>
      <c r="AA2332" s="4" t="s">
        <v>39309</v>
      </c>
      <c r="AB2332" s="4" t="s">
        <v>39310</v>
      </c>
      <c r="AC2332" s="4" t="s">
        <v>39311</v>
      </c>
      <c r="AD2332" s="4" t="s">
        <v>39312</v>
      </c>
      <c r="AE2332" s="4" t="s">
        <v>39313</v>
      </c>
      <c r="AF2332" s="4"/>
      <c r="AG2332" s="4" t="n">
        <v>68</v>
      </c>
      <c r="AH2332" s="4" t="n">
        <v>107</v>
      </c>
      <c r="AI2332" s="4" t="n">
        <v>119</v>
      </c>
      <c r="AJ2332" s="4" t="n">
        <v>0</v>
      </c>
      <c r="AK2332" s="4" t="n">
        <v>14</v>
      </c>
      <c r="AL2332" s="4" t="s">
        <v>27506</v>
      </c>
      <c r="AM2332" s="4" t="s">
        <v>27507</v>
      </c>
      <c r="AN2332" s="4" t="s">
        <v>27508</v>
      </c>
      <c r="AO2332" s="4" t="s">
        <v>27509</v>
      </c>
      <c r="AP2332" s="4"/>
      <c r="AQ2332" s="4"/>
      <c r="AR2332" s="4" t="s">
        <v>27497</v>
      </c>
      <c r="AS2332" s="4" t="s">
        <v>27510</v>
      </c>
      <c r="AT2332" s="4" t="s">
        <v>7586</v>
      </c>
      <c r="AU2332" s="4" t="n">
        <v>2012</v>
      </c>
      <c r="AV2332" s="4" t="n">
        <v>7</v>
      </c>
      <c r="AW2332" s="4" t="n">
        <v>8</v>
      </c>
      <c r="AX2332" s="4"/>
      <c r="AY2332" s="4"/>
      <c r="AZ2332" s="4"/>
      <c r="BA2332" s="4"/>
      <c r="BB2332" s="4"/>
      <c r="BC2332" s="4"/>
      <c r="BD2332" s="4" t="s">
        <v>39314</v>
      </c>
      <c r="BE2332" s="4" t="s">
        <v>39315</v>
      </c>
      <c r="BF2332" s="4" t="str">
        <f aca="false">HYPERLINK("http://dx.doi.org/10.1371/journal.pone.0043656","http://dx.doi.org/10.1371/journal.pone.0043656")</f>
        <v>http://dx.doi.org/10.1371/journal.pone.0043656</v>
      </c>
      <c r="BG2332" s="4"/>
      <c r="BH2332" s="4"/>
      <c r="BI2332" s="4" t="n">
        <v>11</v>
      </c>
      <c r="BJ2332" s="4" t="s">
        <v>1658</v>
      </c>
      <c r="BK2332" s="4" t="s">
        <v>100</v>
      </c>
      <c r="BL2332" s="4" t="s">
        <v>1659</v>
      </c>
      <c r="BM2332" s="4" t="s">
        <v>39316</v>
      </c>
      <c r="BN2332" s="4" t="n">
        <v>22937071</v>
      </c>
      <c r="BO2332" s="4" t="s">
        <v>6349</v>
      </c>
      <c r="BP2332" s="4"/>
      <c r="BQ2332" s="4"/>
      <c r="BR2332" s="4" t="s">
        <v>104</v>
      </c>
      <c r="BS2332" s="4" t="s">
        <v>39317</v>
      </c>
      <c r="BT2332" s="4" t="str">
        <f aca="false">HYPERLINK("https%3A%2F%2Fwww.webofscience.com%2Fwos%2Fwoscc%2Ffull-record%2FWOS:000308225500073","View Full Record in Web of Science")</f>
        <v>View Full Record in Web of Science</v>
      </c>
    </row>
    <row r="2333" s="5" customFormat="true" ht="12.75" hidden="false" customHeight="false" outlineLevel="0" collapsed="false">
      <c r="A2333" s="4" t="s">
        <v>72</v>
      </c>
      <c r="B2333" s="4" t="s">
        <v>39318</v>
      </c>
      <c r="C2333" s="4"/>
      <c r="D2333" s="4"/>
      <c r="E2333" s="4"/>
      <c r="F2333" s="4" t="s">
        <v>39319</v>
      </c>
      <c r="G2333" s="4"/>
      <c r="H2333" s="4"/>
      <c r="I2333" s="4" t="s">
        <v>39320</v>
      </c>
      <c r="J2333" s="4" t="s">
        <v>27497</v>
      </c>
      <c r="K2333" s="4"/>
      <c r="L2333" s="4"/>
      <c r="M2333" s="4" t="s">
        <v>77</v>
      </c>
      <c r="N2333" s="4" t="s">
        <v>78</v>
      </c>
      <c r="O2333" s="4"/>
      <c r="P2333" s="4"/>
      <c r="Q2333" s="4"/>
      <c r="R2333" s="4"/>
      <c r="S2333" s="4"/>
      <c r="T2333" s="1" t="s">
        <v>39321</v>
      </c>
      <c r="U2333" s="4" t="s">
        <v>39322</v>
      </c>
      <c r="V2333" s="4" t="s">
        <v>39323</v>
      </c>
      <c r="W2333" s="4" t="s">
        <v>39324</v>
      </c>
      <c r="X2333" s="4" t="s">
        <v>37902</v>
      </c>
      <c r="Y2333" s="4" t="s">
        <v>39325</v>
      </c>
      <c r="Z2333" s="4" t="s">
        <v>24980</v>
      </c>
      <c r="AA2333" s="4" t="s">
        <v>39326</v>
      </c>
      <c r="AB2333" s="4" t="s">
        <v>39327</v>
      </c>
      <c r="AC2333" s="4"/>
      <c r="AD2333" s="4"/>
      <c r="AE2333" s="4"/>
      <c r="AF2333" s="4"/>
      <c r="AG2333" s="4" t="n">
        <v>74</v>
      </c>
      <c r="AH2333" s="4" t="n">
        <v>6</v>
      </c>
      <c r="AI2333" s="4" t="n">
        <v>6</v>
      </c>
      <c r="AJ2333" s="4" t="n">
        <v>0</v>
      </c>
      <c r="AK2333" s="4" t="n">
        <v>1</v>
      </c>
      <c r="AL2333" s="4" t="s">
        <v>27506</v>
      </c>
      <c r="AM2333" s="4" t="s">
        <v>27507</v>
      </c>
      <c r="AN2333" s="4" t="s">
        <v>27508</v>
      </c>
      <c r="AO2333" s="4" t="s">
        <v>27509</v>
      </c>
      <c r="AP2333" s="4"/>
      <c r="AQ2333" s="4"/>
      <c r="AR2333" s="4" t="s">
        <v>27497</v>
      </c>
      <c r="AS2333" s="4" t="s">
        <v>27510</v>
      </c>
      <c r="AT2333" s="4" t="s">
        <v>11418</v>
      </c>
      <c r="AU2333" s="4" t="n">
        <v>2020</v>
      </c>
      <c r="AV2333" s="4" t="n">
        <v>15</v>
      </c>
      <c r="AW2333" s="4" t="n">
        <v>12</v>
      </c>
      <c r="AX2333" s="4"/>
      <c r="AY2333" s="4"/>
      <c r="AZ2333" s="4"/>
      <c r="BA2333" s="4"/>
      <c r="BB2333" s="4"/>
      <c r="BC2333" s="4"/>
      <c r="BD2333" s="4" t="s">
        <v>39328</v>
      </c>
      <c r="BE2333" s="4" t="s">
        <v>39329</v>
      </c>
      <c r="BF2333" s="4" t="str">
        <f aca="false">HYPERLINK("http://dx.doi.org/10.1371/journal.pone.0243735","http://dx.doi.org/10.1371/journal.pone.0243735")</f>
        <v>http://dx.doi.org/10.1371/journal.pone.0243735</v>
      </c>
      <c r="BG2333" s="4"/>
      <c r="BH2333" s="4"/>
      <c r="BI2333" s="4" t="n">
        <v>16</v>
      </c>
      <c r="BJ2333" s="4" t="s">
        <v>1658</v>
      </c>
      <c r="BK2333" s="4" t="s">
        <v>100</v>
      </c>
      <c r="BL2333" s="4" t="s">
        <v>1659</v>
      </c>
      <c r="BM2333" s="4" t="s">
        <v>39330</v>
      </c>
      <c r="BN2333" s="4" t="n">
        <v>33315873</v>
      </c>
      <c r="BO2333" s="4" t="s">
        <v>103</v>
      </c>
      <c r="BP2333" s="4"/>
      <c r="BQ2333" s="4"/>
      <c r="BR2333" s="4" t="s">
        <v>104</v>
      </c>
      <c r="BS2333" s="4" t="s">
        <v>39331</v>
      </c>
      <c r="BT2333" s="4" t="str">
        <f aca="false">HYPERLINK("https%3A%2F%2Fwww.webofscience.com%2Fwos%2Fwoscc%2Ffull-record%2FWOS:000600186100079","View Full Record in Web of Science")</f>
        <v>View Full Record in Web of Science</v>
      </c>
    </row>
    <row r="2334" s="5" customFormat="true" ht="12.75" hidden="false" customHeight="false" outlineLevel="0" collapsed="false">
      <c r="A2334" s="4" t="s">
        <v>72</v>
      </c>
      <c r="B2334" s="4" t="s">
        <v>39332</v>
      </c>
      <c r="C2334" s="4"/>
      <c r="D2334" s="4"/>
      <c r="E2334" s="4"/>
      <c r="F2334" s="4" t="s">
        <v>39333</v>
      </c>
      <c r="G2334" s="4"/>
      <c r="H2334" s="4"/>
      <c r="I2334" s="4" t="s">
        <v>39334</v>
      </c>
      <c r="J2334" s="4" t="s">
        <v>27497</v>
      </c>
      <c r="K2334" s="4"/>
      <c r="L2334" s="4"/>
      <c r="M2334" s="4" t="s">
        <v>77</v>
      </c>
      <c r="N2334" s="4" t="s">
        <v>78</v>
      </c>
      <c r="O2334" s="4"/>
      <c r="P2334" s="4"/>
      <c r="Q2334" s="4"/>
      <c r="R2334" s="4"/>
      <c r="S2334" s="4"/>
      <c r="T2334" s="1" t="s">
        <v>39335</v>
      </c>
      <c r="U2334" s="4" t="s">
        <v>39336</v>
      </c>
      <c r="V2334" s="4" t="s">
        <v>39337</v>
      </c>
      <c r="W2334" s="4" t="s">
        <v>39338</v>
      </c>
      <c r="X2334" s="4" t="s">
        <v>39339</v>
      </c>
      <c r="Y2334" s="4" t="s">
        <v>39340</v>
      </c>
      <c r="Z2334" s="4" t="s">
        <v>39341</v>
      </c>
      <c r="AA2334" s="4" t="s">
        <v>26473</v>
      </c>
      <c r="AB2334" s="4" t="s">
        <v>26474</v>
      </c>
      <c r="AC2334" s="4" t="s">
        <v>39342</v>
      </c>
      <c r="AD2334" s="4" t="s">
        <v>39343</v>
      </c>
      <c r="AE2334" s="4" t="s">
        <v>39344</v>
      </c>
      <c r="AF2334" s="4"/>
      <c r="AG2334" s="4" t="n">
        <v>50</v>
      </c>
      <c r="AH2334" s="4" t="n">
        <v>39</v>
      </c>
      <c r="AI2334" s="4" t="n">
        <v>42</v>
      </c>
      <c r="AJ2334" s="4" t="n">
        <v>0</v>
      </c>
      <c r="AK2334" s="4" t="n">
        <v>4</v>
      </c>
      <c r="AL2334" s="4" t="s">
        <v>27506</v>
      </c>
      <c r="AM2334" s="4" t="s">
        <v>27507</v>
      </c>
      <c r="AN2334" s="4" t="s">
        <v>27508</v>
      </c>
      <c r="AO2334" s="4" t="s">
        <v>27509</v>
      </c>
      <c r="AP2334" s="4"/>
      <c r="AQ2334" s="4"/>
      <c r="AR2334" s="4" t="s">
        <v>27497</v>
      </c>
      <c r="AS2334" s="4" t="s">
        <v>27510</v>
      </c>
      <c r="AT2334" s="4" t="s">
        <v>2539</v>
      </c>
      <c r="AU2334" s="4" t="n">
        <v>2013</v>
      </c>
      <c r="AV2334" s="4" t="n">
        <v>8</v>
      </c>
      <c r="AW2334" s="4" t="n">
        <v>12</v>
      </c>
      <c r="AX2334" s="4"/>
      <c r="AY2334" s="4"/>
      <c r="AZ2334" s="4"/>
      <c r="BA2334" s="4"/>
      <c r="BB2334" s="4"/>
      <c r="BC2334" s="4"/>
      <c r="BD2334" s="4" t="s">
        <v>39345</v>
      </c>
      <c r="BE2334" s="4" t="s">
        <v>39346</v>
      </c>
      <c r="BF2334" s="4" t="str">
        <f aca="false">HYPERLINK("http://dx.doi.org/10.1371/journal.pone.0083600","http://dx.doi.org/10.1371/journal.pone.0083600")</f>
        <v>http://dx.doi.org/10.1371/journal.pone.0083600</v>
      </c>
      <c r="BG2334" s="4"/>
      <c r="BH2334" s="4"/>
      <c r="BI2334" s="4" t="n">
        <v>11</v>
      </c>
      <c r="BJ2334" s="4" t="s">
        <v>1658</v>
      </c>
      <c r="BK2334" s="4" t="s">
        <v>100</v>
      </c>
      <c r="BL2334" s="4" t="s">
        <v>1659</v>
      </c>
      <c r="BM2334" s="4" t="s">
        <v>39347</v>
      </c>
      <c r="BN2334" s="4" t="n">
        <v>24391792</v>
      </c>
      <c r="BO2334" s="4" t="s">
        <v>103</v>
      </c>
      <c r="BP2334" s="4"/>
      <c r="BQ2334" s="4"/>
      <c r="BR2334" s="4" t="s">
        <v>104</v>
      </c>
      <c r="BS2334" s="4" t="s">
        <v>39348</v>
      </c>
      <c r="BT2334" s="4" t="str">
        <f aca="false">HYPERLINK("https%3A%2F%2Fwww.webofscience.com%2Fwos%2Fwoscc%2Ffull-record%2FWOS:000329325200089","View Full Record in Web of Science")</f>
        <v>View Full Record in Web of Science</v>
      </c>
    </row>
    <row r="2335" s="5" customFormat="true" ht="12.75" hidden="false" customHeight="false" outlineLevel="0" collapsed="false">
      <c r="A2335" s="4" t="s">
        <v>72</v>
      </c>
      <c r="B2335" s="4" t="s">
        <v>39349</v>
      </c>
      <c r="C2335" s="4"/>
      <c r="D2335" s="4"/>
      <c r="E2335" s="4"/>
      <c r="F2335" s="4" t="s">
        <v>39350</v>
      </c>
      <c r="G2335" s="4"/>
      <c r="H2335" s="4"/>
      <c r="I2335" s="4" t="s">
        <v>39351</v>
      </c>
      <c r="J2335" s="4" t="s">
        <v>27497</v>
      </c>
      <c r="K2335" s="4"/>
      <c r="L2335" s="4"/>
      <c r="M2335" s="4" t="s">
        <v>77</v>
      </c>
      <c r="N2335" s="4" t="s">
        <v>78</v>
      </c>
      <c r="O2335" s="4"/>
      <c r="P2335" s="4"/>
      <c r="Q2335" s="4"/>
      <c r="R2335" s="4"/>
      <c r="S2335" s="4"/>
      <c r="T2335" s="1" t="s">
        <v>39352</v>
      </c>
      <c r="U2335" s="4" t="s">
        <v>39353</v>
      </c>
      <c r="V2335" s="4" t="s">
        <v>39354</v>
      </c>
      <c r="W2335" s="4" t="s">
        <v>39355</v>
      </c>
      <c r="X2335" s="4" t="s">
        <v>39356</v>
      </c>
      <c r="Y2335" s="4" t="s">
        <v>39357</v>
      </c>
      <c r="Z2335" s="4" t="s">
        <v>39358</v>
      </c>
      <c r="AA2335" s="4" t="s">
        <v>39359</v>
      </c>
      <c r="AB2335" s="4" t="s">
        <v>39360</v>
      </c>
      <c r="AC2335" s="4"/>
      <c r="AD2335" s="4"/>
      <c r="AE2335" s="4"/>
      <c r="AF2335" s="4"/>
      <c r="AG2335" s="4" t="n">
        <v>78</v>
      </c>
      <c r="AH2335" s="4" t="n">
        <v>4</v>
      </c>
      <c r="AI2335" s="4" t="n">
        <v>4</v>
      </c>
      <c r="AJ2335" s="4" t="n">
        <v>0</v>
      </c>
      <c r="AK2335" s="4" t="n">
        <v>3</v>
      </c>
      <c r="AL2335" s="4" t="s">
        <v>27506</v>
      </c>
      <c r="AM2335" s="4" t="s">
        <v>27507</v>
      </c>
      <c r="AN2335" s="4" t="s">
        <v>27508</v>
      </c>
      <c r="AO2335" s="4" t="s">
        <v>27509</v>
      </c>
      <c r="AP2335" s="4"/>
      <c r="AQ2335" s="4"/>
      <c r="AR2335" s="4" t="s">
        <v>27497</v>
      </c>
      <c r="AS2335" s="4" t="s">
        <v>27510</v>
      </c>
      <c r="AT2335" s="4" t="s">
        <v>39361</v>
      </c>
      <c r="AU2335" s="4" t="n">
        <v>2021</v>
      </c>
      <c r="AV2335" s="4" t="n">
        <v>16</v>
      </c>
      <c r="AW2335" s="4" t="n">
        <v>12</v>
      </c>
      <c r="AX2335" s="4"/>
      <c r="AY2335" s="4"/>
      <c r="AZ2335" s="4"/>
      <c r="BA2335" s="4"/>
      <c r="BB2335" s="4"/>
      <c r="BC2335" s="4"/>
      <c r="BD2335" s="4" t="s">
        <v>39362</v>
      </c>
      <c r="BE2335" s="4" t="s">
        <v>39363</v>
      </c>
      <c r="BF2335" s="4" t="str">
        <f aca="false">HYPERLINK("http://dx.doi.org/10.1371/journal.pone.0259443","http://dx.doi.org/10.1371/journal.pone.0259443")</f>
        <v>http://dx.doi.org/10.1371/journal.pone.0259443</v>
      </c>
      <c r="BG2335" s="4"/>
      <c r="BH2335" s="4"/>
      <c r="BI2335" s="4" t="n">
        <v>23</v>
      </c>
      <c r="BJ2335" s="4" t="s">
        <v>1658</v>
      </c>
      <c r="BK2335" s="4" t="s">
        <v>100</v>
      </c>
      <c r="BL2335" s="4" t="s">
        <v>1659</v>
      </c>
      <c r="BM2335" s="4" t="s">
        <v>39364</v>
      </c>
      <c r="BN2335" s="4" t="n">
        <v>34919553</v>
      </c>
      <c r="BO2335" s="4" t="s">
        <v>190</v>
      </c>
      <c r="BP2335" s="4"/>
      <c r="BQ2335" s="4"/>
      <c r="BR2335" s="4" t="s">
        <v>104</v>
      </c>
      <c r="BS2335" s="4" t="s">
        <v>39365</v>
      </c>
      <c r="BT2335" s="4" t="str">
        <f aca="false">HYPERLINK("https%3A%2F%2Fwww.webofscience.com%2Fwos%2Fwoscc%2Ffull-record%2FWOS:000755175100005","View Full Record in Web of Science")</f>
        <v>View Full Record in Web of Science</v>
      </c>
    </row>
    <row r="2336" s="5" customFormat="true" ht="12.75" hidden="false" customHeight="false" outlineLevel="0" collapsed="false">
      <c r="A2336" s="4" t="s">
        <v>72</v>
      </c>
      <c r="B2336" s="4" t="s">
        <v>39366</v>
      </c>
      <c r="C2336" s="4"/>
      <c r="D2336" s="4"/>
      <c r="E2336" s="4"/>
      <c r="F2336" s="4" t="s">
        <v>39367</v>
      </c>
      <c r="G2336" s="4"/>
      <c r="H2336" s="4"/>
      <c r="I2336" s="4" t="s">
        <v>39368</v>
      </c>
      <c r="J2336" s="4" t="s">
        <v>12792</v>
      </c>
      <c r="K2336" s="4"/>
      <c r="L2336" s="4"/>
      <c r="M2336" s="4" t="s">
        <v>77</v>
      </c>
      <c r="N2336" s="4" t="s">
        <v>78</v>
      </c>
      <c r="O2336" s="4"/>
      <c r="P2336" s="4"/>
      <c r="Q2336" s="4"/>
      <c r="R2336" s="4"/>
      <c r="S2336" s="4"/>
      <c r="T2336" s="1" t="s">
        <v>39369</v>
      </c>
      <c r="U2336" s="4"/>
      <c r="V2336" s="4" t="s">
        <v>39370</v>
      </c>
      <c r="W2336" s="4" t="s">
        <v>39371</v>
      </c>
      <c r="X2336" s="4" t="s">
        <v>39372</v>
      </c>
      <c r="Y2336" s="4" t="s">
        <v>39373</v>
      </c>
      <c r="Z2336" s="4" t="s">
        <v>2252</v>
      </c>
      <c r="AA2336" s="4" t="s">
        <v>39374</v>
      </c>
      <c r="AB2336" s="4" t="s">
        <v>39375</v>
      </c>
      <c r="AC2336" s="4"/>
      <c r="AD2336" s="4"/>
      <c r="AE2336" s="4"/>
      <c r="AF2336" s="4"/>
      <c r="AG2336" s="4" t="n">
        <v>16</v>
      </c>
      <c r="AH2336" s="4" t="n">
        <v>7</v>
      </c>
      <c r="AI2336" s="4" t="n">
        <v>7</v>
      </c>
      <c r="AJ2336" s="4" t="n">
        <v>0</v>
      </c>
      <c r="AK2336" s="4" t="n">
        <v>4</v>
      </c>
      <c r="AL2336" s="4" t="s">
        <v>1242</v>
      </c>
      <c r="AM2336" s="4" t="s">
        <v>303</v>
      </c>
      <c r="AN2336" s="4" t="s">
        <v>467</v>
      </c>
      <c r="AO2336" s="4" t="s">
        <v>12802</v>
      </c>
      <c r="AP2336" s="4" t="s">
        <v>14780</v>
      </c>
      <c r="AQ2336" s="4"/>
      <c r="AR2336" s="4" t="s">
        <v>12803</v>
      </c>
      <c r="AS2336" s="4" t="s">
        <v>12804</v>
      </c>
      <c r="AT2336" s="4" t="s">
        <v>129</v>
      </c>
      <c r="AU2336" s="4" t="n">
        <v>2021</v>
      </c>
      <c r="AV2336" s="4" t="n">
        <v>56</v>
      </c>
      <c r="AW2336" s="4" t="n">
        <v>9</v>
      </c>
      <c r="AX2336" s="4"/>
      <c r="AY2336" s="4"/>
      <c r="AZ2336" s="4"/>
      <c r="BA2336" s="4"/>
      <c r="BB2336" s="4" t="n">
        <v>2212</v>
      </c>
      <c r="BC2336" s="4" t="n">
        <v>2220</v>
      </c>
      <c r="BD2336" s="4"/>
      <c r="BE2336" s="4" t="s">
        <v>39376</v>
      </c>
      <c r="BF2336" s="4" t="str">
        <f aca="false">HYPERLINK("http://dx.doi.org/10.1038/s41409-021-01319-5","http://dx.doi.org/10.1038/s41409-021-01319-5")</f>
        <v>http://dx.doi.org/10.1038/s41409-021-01319-5</v>
      </c>
      <c r="BG2336" s="4"/>
      <c r="BH2336" s="4" t="s">
        <v>26230</v>
      </c>
      <c r="BI2336" s="4" t="n">
        <v>9</v>
      </c>
      <c r="BJ2336" s="4" t="s">
        <v>12806</v>
      </c>
      <c r="BK2336" s="4" t="s">
        <v>100</v>
      </c>
      <c r="BL2336" s="4" t="s">
        <v>12806</v>
      </c>
      <c r="BM2336" s="4" t="s">
        <v>39377</v>
      </c>
      <c r="BN2336" s="4" t="n">
        <v>33947980</v>
      </c>
      <c r="BO2336" s="4" t="s">
        <v>165</v>
      </c>
      <c r="BP2336" s="4"/>
      <c r="BQ2336" s="4"/>
      <c r="BR2336" s="4" t="s">
        <v>104</v>
      </c>
      <c r="BS2336" s="4" t="s">
        <v>39378</v>
      </c>
      <c r="BT2336" s="4" t="str">
        <f aca="false">HYPERLINK("https%3A%2F%2Fwww.webofscience.com%2Fwos%2Fwoscc%2Ffull-record%2FWOS:000647040500002","View Full Record in Web of Science")</f>
        <v>View Full Record in Web of Science</v>
      </c>
    </row>
    <row r="2337" s="5" customFormat="true" ht="12.75" hidden="false" customHeight="false" outlineLevel="0" collapsed="false">
      <c r="A2337" s="4" t="s">
        <v>72</v>
      </c>
      <c r="B2337" s="4" t="s">
        <v>39379</v>
      </c>
      <c r="C2337" s="4"/>
      <c r="D2337" s="4"/>
      <c r="E2337" s="4"/>
      <c r="F2337" s="4" t="s">
        <v>39380</v>
      </c>
      <c r="G2337" s="4"/>
      <c r="H2337" s="4" t="s">
        <v>39381</v>
      </c>
      <c r="I2337" s="4" t="s">
        <v>39382</v>
      </c>
      <c r="J2337" s="4" t="s">
        <v>557</v>
      </c>
      <c r="K2337" s="4"/>
      <c r="L2337" s="4"/>
      <c r="M2337" s="4" t="s">
        <v>77</v>
      </c>
      <c r="N2337" s="4" t="s">
        <v>78</v>
      </c>
      <c r="O2337" s="4"/>
      <c r="P2337" s="4"/>
      <c r="Q2337" s="4"/>
      <c r="R2337" s="4"/>
      <c r="S2337" s="4"/>
      <c r="T2337" s="1" t="s">
        <v>39383</v>
      </c>
      <c r="U2337" s="4" t="s">
        <v>39384</v>
      </c>
      <c r="V2337" s="4" t="s">
        <v>39385</v>
      </c>
      <c r="W2337" s="4" t="s">
        <v>39386</v>
      </c>
      <c r="X2337" s="4" t="s">
        <v>39387</v>
      </c>
      <c r="Y2337" s="4" t="s">
        <v>39388</v>
      </c>
      <c r="Z2337" s="4" t="s">
        <v>39389</v>
      </c>
      <c r="AA2337" s="4" t="s">
        <v>39390</v>
      </c>
      <c r="AB2337" s="4" t="s">
        <v>39391</v>
      </c>
      <c r="AC2337" s="4" t="s">
        <v>39392</v>
      </c>
      <c r="AD2337" s="4" t="s">
        <v>39393</v>
      </c>
      <c r="AE2337" s="4" t="s">
        <v>39394</v>
      </c>
      <c r="AF2337" s="4"/>
      <c r="AG2337" s="4" t="n">
        <v>42</v>
      </c>
      <c r="AH2337" s="4" t="n">
        <v>8</v>
      </c>
      <c r="AI2337" s="4" t="n">
        <v>8</v>
      </c>
      <c r="AJ2337" s="4" t="n">
        <v>0</v>
      </c>
      <c r="AK2337" s="4" t="n">
        <v>9</v>
      </c>
      <c r="AL2337" s="4" t="s">
        <v>302</v>
      </c>
      <c r="AM2337" s="4" t="s">
        <v>303</v>
      </c>
      <c r="AN2337" s="4" t="s">
        <v>304</v>
      </c>
      <c r="AO2337" s="4"/>
      <c r="AP2337" s="4" t="s">
        <v>570</v>
      </c>
      <c r="AQ2337" s="4"/>
      <c r="AR2337" s="4" t="s">
        <v>571</v>
      </c>
      <c r="AS2337" s="4" t="s">
        <v>572</v>
      </c>
      <c r="AT2337" s="4" t="s">
        <v>17737</v>
      </c>
      <c r="AU2337" s="4" t="n">
        <v>2018</v>
      </c>
      <c r="AV2337" s="4" t="n">
        <v>18</v>
      </c>
      <c r="AW2337" s="4"/>
      <c r="AX2337" s="4"/>
      <c r="AY2337" s="4"/>
      <c r="AZ2337" s="4"/>
      <c r="BA2337" s="4"/>
      <c r="BB2337" s="4"/>
      <c r="BC2337" s="4"/>
      <c r="BD2337" s="4" t="n">
        <v>550</v>
      </c>
      <c r="BE2337" s="4" t="s">
        <v>39395</v>
      </c>
      <c r="BF2337" s="4" t="str">
        <f aca="false">HYPERLINK("http://dx.doi.org/10.1186/s12879-018-3444-7","http://dx.doi.org/10.1186/s12879-018-3444-7")</f>
        <v>http://dx.doi.org/10.1186/s12879-018-3444-7</v>
      </c>
      <c r="BG2337" s="4"/>
      <c r="BH2337" s="4"/>
      <c r="BI2337" s="4" t="n">
        <v>14</v>
      </c>
      <c r="BJ2337" s="4" t="s">
        <v>575</v>
      </c>
      <c r="BK2337" s="4" t="s">
        <v>100</v>
      </c>
      <c r="BL2337" s="4" t="s">
        <v>575</v>
      </c>
      <c r="BM2337" s="4" t="s">
        <v>39396</v>
      </c>
      <c r="BN2337" s="4" t="n">
        <v>30400834</v>
      </c>
      <c r="BO2337" s="4" t="s">
        <v>190</v>
      </c>
      <c r="BP2337" s="4"/>
      <c r="BQ2337" s="4"/>
      <c r="BR2337" s="4" t="s">
        <v>104</v>
      </c>
      <c r="BS2337" s="4" t="s">
        <v>39397</v>
      </c>
      <c r="BT2337" s="4" t="str">
        <f aca="false">HYPERLINK("https%3A%2F%2Fwww.webofscience.com%2Fwos%2Fwoscc%2Ffull-record%2FWOS:000449347500002","View Full Record in Web of Science")</f>
        <v>View Full Record in Web of Science</v>
      </c>
    </row>
    <row r="2338" s="5" customFormat="true" ht="12.75" hidden="false" customHeight="false" outlineLevel="0" collapsed="false">
      <c r="A2338" s="4" t="s">
        <v>72</v>
      </c>
      <c r="B2338" s="4" t="s">
        <v>39398</v>
      </c>
      <c r="C2338" s="4"/>
      <c r="D2338" s="4"/>
      <c r="E2338" s="4"/>
      <c r="F2338" s="4" t="s">
        <v>39399</v>
      </c>
      <c r="G2338" s="4"/>
      <c r="H2338" s="4"/>
      <c r="I2338" s="4" t="s">
        <v>39400</v>
      </c>
      <c r="J2338" s="4" t="s">
        <v>39401</v>
      </c>
      <c r="K2338" s="4"/>
      <c r="L2338" s="4"/>
      <c r="M2338" s="4" t="s">
        <v>77</v>
      </c>
      <c r="N2338" s="4" t="s">
        <v>78</v>
      </c>
      <c r="O2338" s="4"/>
      <c r="P2338" s="4"/>
      <c r="Q2338" s="4"/>
      <c r="R2338" s="4"/>
      <c r="S2338" s="4"/>
      <c r="T2338" s="1" t="s">
        <v>39402</v>
      </c>
      <c r="U2338" s="4" t="s">
        <v>39403</v>
      </c>
      <c r="V2338" s="4" t="s">
        <v>39404</v>
      </c>
      <c r="W2338" s="4" t="s">
        <v>39405</v>
      </c>
      <c r="X2338" s="4" t="s">
        <v>39406</v>
      </c>
      <c r="Y2338" s="4" t="s">
        <v>39407</v>
      </c>
      <c r="Z2338" s="4" t="s">
        <v>39408</v>
      </c>
      <c r="AA2338" s="4" t="s">
        <v>39409</v>
      </c>
      <c r="AB2338" s="4"/>
      <c r="AC2338" s="4" t="s">
        <v>39410</v>
      </c>
      <c r="AD2338" s="4" t="s">
        <v>39410</v>
      </c>
      <c r="AE2338" s="4" t="s">
        <v>39411</v>
      </c>
      <c r="AF2338" s="4"/>
      <c r="AG2338" s="4" t="n">
        <v>59</v>
      </c>
      <c r="AH2338" s="4" t="n">
        <v>1</v>
      </c>
      <c r="AI2338" s="4" t="n">
        <v>1</v>
      </c>
      <c r="AJ2338" s="4" t="n">
        <v>0</v>
      </c>
      <c r="AK2338" s="4" t="n">
        <v>0</v>
      </c>
      <c r="AL2338" s="4" t="s">
        <v>39412</v>
      </c>
      <c r="AM2338" s="4" t="s">
        <v>39413</v>
      </c>
      <c r="AN2338" s="4" t="s">
        <v>39414</v>
      </c>
      <c r="AO2338" s="4" t="s">
        <v>39415</v>
      </c>
      <c r="AP2338" s="4" t="s">
        <v>39416</v>
      </c>
      <c r="AQ2338" s="4"/>
      <c r="AR2338" s="4" t="s">
        <v>39417</v>
      </c>
      <c r="AS2338" s="4" t="s">
        <v>39418</v>
      </c>
      <c r="AT2338" s="4" t="s">
        <v>446</v>
      </c>
      <c r="AU2338" s="4" t="n">
        <v>2021</v>
      </c>
      <c r="AV2338" s="4" t="n">
        <v>52</v>
      </c>
      <c r="AW2338" s="4" t="n">
        <v>4</v>
      </c>
      <c r="AX2338" s="4"/>
      <c r="AY2338" s="4"/>
      <c r="AZ2338" s="4"/>
      <c r="BA2338" s="4"/>
      <c r="BB2338" s="4" t="n">
        <v>1205</v>
      </c>
      <c r="BC2338" s="4" t="n">
        <v>1216</v>
      </c>
      <c r="BD2338" s="4"/>
      <c r="BE2338" s="4" t="s">
        <v>39419</v>
      </c>
      <c r="BF2338" s="4" t="str">
        <f aca="false">HYPERLINK("http://dx.doi.org/10.1638/2020-0049","http://dx.doi.org/10.1638/2020-0049")</f>
        <v>http://dx.doi.org/10.1638/2020-0049</v>
      </c>
      <c r="BG2338" s="4"/>
      <c r="BH2338" s="4"/>
      <c r="BI2338" s="4" t="n">
        <v>12</v>
      </c>
      <c r="BJ2338" s="4" t="s">
        <v>23556</v>
      </c>
      <c r="BK2338" s="4" t="s">
        <v>100</v>
      </c>
      <c r="BL2338" s="4" t="s">
        <v>23556</v>
      </c>
      <c r="BM2338" s="4" t="s">
        <v>39420</v>
      </c>
      <c r="BN2338" s="4" t="n">
        <v>34998290</v>
      </c>
      <c r="BO2338" s="4"/>
      <c r="BP2338" s="4"/>
      <c r="BQ2338" s="4"/>
      <c r="BR2338" s="4" t="s">
        <v>104</v>
      </c>
      <c r="BS2338" s="4" t="s">
        <v>39421</v>
      </c>
      <c r="BT2338" s="4" t="str">
        <f aca="false">HYPERLINK("https%3A%2F%2Fwww.webofscience.com%2Fwos%2Fwoscc%2Ffull-record%2FWOS:000731454200013","View Full Record in Web of Science")</f>
        <v>View Full Record in Web of Science</v>
      </c>
    </row>
    <row r="2339" s="5" customFormat="true" ht="12.75" hidden="false" customHeight="false" outlineLevel="0" collapsed="false">
      <c r="A2339" s="4" t="s">
        <v>72</v>
      </c>
      <c r="B2339" s="4" t="s">
        <v>39422</v>
      </c>
      <c r="C2339" s="4"/>
      <c r="D2339" s="4"/>
      <c r="E2339" s="4"/>
      <c r="F2339" s="4" t="s">
        <v>39423</v>
      </c>
      <c r="G2339" s="4"/>
      <c r="H2339" s="4"/>
      <c r="I2339" s="4" t="s">
        <v>39424</v>
      </c>
      <c r="J2339" s="4" t="s">
        <v>7629</v>
      </c>
      <c r="K2339" s="4"/>
      <c r="L2339" s="4"/>
      <c r="M2339" s="4" t="s">
        <v>77</v>
      </c>
      <c r="N2339" s="4" t="s">
        <v>78</v>
      </c>
      <c r="O2339" s="4"/>
      <c r="P2339" s="4"/>
      <c r="Q2339" s="4"/>
      <c r="R2339" s="4"/>
      <c r="S2339" s="4"/>
      <c r="T2339" s="1" t="s">
        <v>39425</v>
      </c>
      <c r="U2339" s="4" t="s">
        <v>39426</v>
      </c>
      <c r="V2339" s="4" t="s">
        <v>39427</v>
      </c>
      <c r="W2339" s="4" t="s">
        <v>39428</v>
      </c>
      <c r="X2339" s="4" t="s">
        <v>39429</v>
      </c>
      <c r="Y2339" s="4" t="s">
        <v>39430</v>
      </c>
      <c r="Z2339" s="4" t="s">
        <v>39431</v>
      </c>
      <c r="AA2339" s="4"/>
      <c r="AB2339" s="4"/>
      <c r="AC2339" s="4"/>
      <c r="AD2339" s="4"/>
      <c r="AE2339" s="4"/>
      <c r="AF2339" s="4"/>
      <c r="AG2339" s="4" t="n">
        <v>27</v>
      </c>
      <c r="AH2339" s="4" t="n">
        <v>7</v>
      </c>
      <c r="AI2339" s="4" t="n">
        <v>8</v>
      </c>
      <c r="AJ2339" s="4" t="n">
        <v>1</v>
      </c>
      <c r="AK2339" s="4" t="n">
        <v>3</v>
      </c>
      <c r="AL2339" s="4" t="s">
        <v>7639</v>
      </c>
      <c r="AM2339" s="4" t="s">
        <v>783</v>
      </c>
      <c r="AN2339" s="4" t="s">
        <v>7640</v>
      </c>
      <c r="AO2339" s="4" t="s">
        <v>7641</v>
      </c>
      <c r="AP2339" s="4" t="s">
        <v>7642</v>
      </c>
      <c r="AQ2339" s="4"/>
      <c r="AR2339" s="4" t="s">
        <v>7643</v>
      </c>
      <c r="AS2339" s="4" t="s">
        <v>7644</v>
      </c>
      <c r="AT2339" s="4" t="s">
        <v>1041</v>
      </c>
      <c r="AU2339" s="4" t="n">
        <v>2007</v>
      </c>
      <c r="AV2339" s="4" t="n">
        <v>53</v>
      </c>
      <c r="AW2339" s="4" t="n">
        <v>1</v>
      </c>
      <c r="AX2339" s="4"/>
      <c r="AY2339" s="4"/>
      <c r="AZ2339" s="4"/>
      <c r="BA2339" s="4"/>
      <c r="BB2339" s="4" t="n">
        <v>22</v>
      </c>
      <c r="BC2339" s="4" t="n">
        <v>26</v>
      </c>
      <c r="BD2339" s="4"/>
      <c r="BE2339" s="4" t="s">
        <v>39432</v>
      </c>
      <c r="BF2339" s="4" t="str">
        <f aca="false">HYPERLINK("http://dx.doi.org/10.1093/tropej/fml045","http://dx.doi.org/10.1093/tropej/fml045")</f>
        <v>http://dx.doi.org/10.1093/tropej/fml045</v>
      </c>
      <c r="BG2339" s="4"/>
      <c r="BH2339" s="4"/>
      <c r="BI2339" s="4" t="n">
        <v>5</v>
      </c>
      <c r="BJ2339" s="4" t="s">
        <v>7646</v>
      </c>
      <c r="BK2339" s="4" t="s">
        <v>100</v>
      </c>
      <c r="BL2339" s="4" t="s">
        <v>7646</v>
      </c>
      <c r="BM2339" s="4" t="s">
        <v>39433</v>
      </c>
      <c r="BN2339" s="4" t="n">
        <v>17008442</v>
      </c>
      <c r="BO2339" s="4" t="s">
        <v>656</v>
      </c>
      <c r="BP2339" s="4"/>
      <c r="BQ2339" s="4"/>
      <c r="BR2339" s="4" t="s">
        <v>104</v>
      </c>
      <c r="BS2339" s="4" t="s">
        <v>39434</v>
      </c>
      <c r="BT2339" s="4" t="str">
        <f aca="false">HYPERLINK("https%3A%2F%2Fwww.webofscience.com%2Fwos%2Fwoscc%2Ffull-record%2FWOS:000243994600005","View Full Record in Web of Science")</f>
        <v>View Full Record in Web of Science</v>
      </c>
    </row>
    <row r="2340" s="5" customFormat="true" ht="12.75" hidden="false" customHeight="false" outlineLevel="0" collapsed="false">
      <c r="A2340" s="4" t="s">
        <v>72</v>
      </c>
      <c r="B2340" s="4" t="s">
        <v>39435</v>
      </c>
      <c r="C2340" s="4"/>
      <c r="D2340" s="4"/>
      <c r="E2340" s="4"/>
      <c r="F2340" s="4" t="s">
        <v>39436</v>
      </c>
      <c r="G2340" s="4"/>
      <c r="H2340" s="4"/>
      <c r="I2340" s="4" t="s">
        <v>39437</v>
      </c>
      <c r="J2340" s="4" t="s">
        <v>36815</v>
      </c>
      <c r="K2340" s="4"/>
      <c r="L2340" s="4"/>
      <c r="M2340" s="4" t="s">
        <v>77</v>
      </c>
      <c r="N2340" s="4" t="s">
        <v>78</v>
      </c>
      <c r="O2340" s="4"/>
      <c r="P2340" s="4"/>
      <c r="Q2340" s="4"/>
      <c r="R2340" s="4"/>
      <c r="S2340" s="4"/>
      <c r="T2340" s="1" t="s">
        <v>39438</v>
      </c>
      <c r="U2340" s="4" t="s">
        <v>39439</v>
      </c>
      <c r="V2340" s="4" t="s">
        <v>39440</v>
      </c>
      <c r="W2340" s="4" t="s">
        <v>39441</v>
      </c>
      <c r="X2340" s="4" t="s">
        <v>39442</v>
      </c>
      <c r="Y2340" s="4" t="s">
        <v>39443</v>
      </c>
      <c r="Z2340" s="4" t="s">
        <v>39444</v>
      </c>
      <c r="AA2340" s="4"/>
      <c r="AB2340" s="4"/>
      <c r="AC2340" s="4" t="s">
        <v>5440</v>
      </c>
      <c r="AD2340" s="4" t="s">
        <v>5441</v>
      </c>
      <c r="AE2340" s="4" t="s">
        <v>39445</v>
      </c>
      <c r="AF2340" s="4"/>
      <c r="AG2340" s="4" t="n">
        <v>17</v>
      </c>
      <c r="AH2340" s="4" t="n">
        <v>0</v>
      </c>
      <c r="AI2340" s="4" t="n">
        <v>0</v>
      </c>
      <c r="AJ2340" s="4" t="n">
        <v>0</v>
      </c>
      <c r="AK2340" s="4" t="n">
        <v>0</v>
      </c>
      <c r="AL2340" s="4" t="s">
        <v>28840</v>
      </c>
      <c r="AM2340" s="4" t="s">
        <v>20223</v>
      </c>
      <c r="AN2340" s="4" t="s">
        <v>36824</v>
      </c>
      <c r="AO2340" s="4" t="s">
        <v>36825</v>
      </c>
      <c r="AP2340" s="4"/>
      <c r="AQ2340" s="4"/>
      <c r="AR2340" s="4" t="s">
        <v>36826</v>
      </c>
      <c r="AS2340" s="4" t="s">
        <v>36827</v>
      </c>
      <c r="AT2340" s="4" t="s">
        <v>2214</v>
      </c>
      <c r="AU2340" s="4" t="n">
        <v>2024</v>
      </c>
      <c r="AV2340" s="4" t="n">
        <v>7</v>
      </c>
      <c r="AW2340" s="4" t="n">
        <v>12</v>
      </c>
      <c r="AX2340" s="4"/>
      <c r="AY2340" s="4"/>
      <c r="AZ2340" s="4"/>
      <c r="BA2340" s="4"/>
      <c r="BB2340" s="4"/>
      <c r="BC2340" s="4"/>
      <c r="BD2340" s="4" t="s">
        <v>39446</v>
      </c>
      <c r="BE2340" s="4" t="s">
        <v>39447</v>
      </c>
      <c r="BF2340" s="4" t="str">
        <f aca="false">HYPERLINK("http://dx.doi.org/10.1001/jamanetworkopen.2024.50832","http://dx.doi.org/10.1001/jamanetworkopen.2024.50832")</f>
        <v>http://dx.doi.org/10.1001/jamanetworkopen.2024.50832</v>
      </c>
      <c r="BG2340" s="4"/>
      <c r="BH2340" s="4"/>
      <c r="BI2340" s="4" t="n">
        <v>10</v>
      </c>
      <c r="BJ2340" s="4" t="s">
        <v>363</v>
      </c>
      <c r="BK2340" s="4" t="s">
        <v>100</v>
      </c>
      <c r="BL2340" s="4" t="s">
        <v>364</v>
      </c>
      <c r="BM2340" s="4" t="s">
        <v>39448</v>
      </c>
      <c r="BN2340" s="4" t="n">
        <v>39671195</v>
      </c>
      <c r="BO2340" s="4" t="s">
        <v>1355</v>
      </c>
      <c r="BP2340" s="4"/>
      <c r="BQ2340" s="4"/>
      <c r="BR2340" s="4" t="s">
        <v>104</v>
      </c>
      <c r="BS2340" s="4" t="s">
        <v>39449</v>
      </c>
      <c r="BT2340" s="4" t="str">
        <f aca="false">HYPERLINK("https%3A%2F%2Fwww.webofscience.com%2Fwos%2Fwoscc%2Ffull-record%2FWOS:001377039900006","View Full Record in Web of Science")</f>
        <v>View Full Record in Web of Science</v>
      </c>
    </row>
    <row r="2341" s="5" customFormat="true" ht="12.75" hidden="false" customHeight="false" outlineLevel="0" collapsed="false">
      <c r="A2341" s="4" t="s">
        <v>72</v>
      </c>
      <c r="B2341" s="4" t="s">
        <v>39450</v>
      </c>
      <c r="C2341" s="4"/>
      <c r="D2341" s="4"/>
      <c r="E2341" s="4"/>
      <c r="F2341" s="4" t="s">
        <v>39451</v>
      </c>
      <c r="G2341" s="4"/>
      <c r="H2341" s="4"/>
      <c r="I2341" s="4" t="s">
        <v>39452</v>
      </c>
      <c r="J2341" s="4" t="s">
        <v>13758</v>
      </c>
      <c r="K2341" s="4"/>
      <c r="L2341" s="4"/>
      <c r="M2341" s="4" t="s">
        <v>77</v>
      </c>
      <c r="N2341" s="4" t="s">
        <v>78</v>
      </c>
      <c r="O2341" s="4"/>
      <c r="P2341" s="4"/>
      <c r="Q2341" s="4"/>
      <c r="R2341" s="4"/>
      <c r="S2341" s="4"/>
      <c r="T2341" s="1" t="s">
        <v>39453</v>
      </c>
      <c r="U2341" s="4" t="s">
        <v>39454</v>
      </c>
      <c r="V2341" s="4" t="s">
        <v>39455</v>
      </c>
      <c r="W2341" s="4" t="s">
        <v>39456</v>
      </c>
      <c r="X2341" s="4" t="s">
        <v>39457</v>
      </c>
      <c r="Y2341" s="4" t="s">
        <v>39458</v>
      </c>
      <c r="Z2341" s="4" t="s">
        <v>39459</v>
      </c>
      <c r="AA2341" s="4" t="s">
        <v>39460</v>
      </c>
      <c r="AB2341" s="4"/>
      <c r="AC2341" s="4" t="s">
        <v>39461</v>
      </c>
      <c r="AD2341" s="4" t="s">
        <v>39462</v>
      </c>
      <c r="AE2341" s="4" t="s">
        <v>39463</v>
      </c>
      <c r="AF2341" s="4"/>
      <c r="AG2341" s="4" t="n">
        <v>39</v>
      </c>
      <c r="AH2341" s="4" t="n">
        <v>6</v>
      </c>
      <c r="AI2341" s="4" t="n">
        <v>7</v>
      </c>
      <c r="AJ2341" s="4" t="n">
        <v>0</v>
      </c>
      <c r="AK2341" s="4" t="n">
        <v>13</v>
      </c>
      <c r="AL2341" s="4" t="s">
        <v>13769</v>
      </c>
      <c r="AM2341" s="4" t="s">
        <v>16554</v>
      </c>
      <c r="AN2341" s="4" t="s">
        <v>16555</v>
      </c>
      <c r="AO2341" s="4" t="s">
        <v>13772</v>
      </c>
      <c r="AP2341" s="4" t="s">
        <v>13773</v>
      </c>
      <c r="AQ2341" s="4"/>
      <c r="AR2341" s="4" t="s">
        <v>13774</v>
      </c>
      <c r="AS2341" s="4" t="s">
        <v>13775</v>
      </c>
      <c r="AT2341" s="4" t="s">
        <v>599</v>
      </c>
      <c r="AU2341" s="4" t="n">
        <v>2016</v>
      </c>
      <c r="AV2341" s="4" t="n">
        <v>161</v>
      </c>
      <c r="AW2341" s="4" t="n">
        <v>7</v>
      </c>
      <c r="AX2341" s="4"/>
      <c r="AY2341" s="4"/>
      <c r="AZ2341" s="4"/>
      <c r="BA2341" s="4"/>
      <c r="BB2341" s="4" t="n">
        <v>1891</v>
      </c>
      <c r="BC2341" s="4" t="n">
        <v>1898</v>
      </c>
      <c r="BD2341" s="4"/>
      <c r="BE2341" s="4" t="s">
        <v>39464</v>
      </c>
      <c r="BF2341" s="4" t="str">
        <f aca="false">HYPERLINK("http://dx.doi.org/10.1007/s00705-016-2858-z","http://dx.doi.org/10.1007/s00705-016-2858-z")</f>
        <v>http://dx.doi.org/10.1007/s00705-016-2858-z</v>
      </c>
      <c r="BG2341" s="4"/>
      <c r="BH2341" s="4"/>
      <c r="BI2341" s="4" t="n">
        <v>8</v>
      </c>
      <c r="BJ2341" s="4" t="s">
        <v>163</v>
      </c>
      <c r="BK2341" s="4" t="s">
        <v>100</v>
      </c>
      <c r="BL2341" s="4" t="s">
        <v>163</v>
      </c>
      <c r="BM2341" s="4" t="s">
        <v>39465</v>
      </c>
      <c r="BN2341" s="4" t="n">
        <v>27132014</v>
      </c>
      <c r="BO2341" s="4"/>
      <c r="BP2341" s="4"/>
      <c r="BQ2341" s="4"/>
      <c r="BR2341" s="4" t="s">
        <v>104</v>
      </c>
      <c r="BS2341" s="4" t="s">
        <v>39466</v>
      </c>
      <c r="BT2341" s="4" t="str">
        <f aca="false">HYPERLINK("https%3A%2F%2Fwww.webofscience.com%2Fwos%2Fwoscc%2Ffull-record%2FWOS:000378565500014","View Full Record in Web of Science")</f>
        <v>View Full Record in Web of Science</v>
      </c>
    </row>
    <row r="2342" s="5" customFormat="true" ht="12.75" hidden="false" customHeight="false" outlineLevel="0" collapsed="false">
      <c r="A2342" s="4" t="s">
        <v>72</v>
      </c>
      <c r="B2342" s="4" t="s">
        <v>39467</v>
      </c>
      <c r="C2342" s="4"/>
      <c r="D2342" s="4"/>
      <c r="E2342" s="4"/>
      <c r="F2342" s="4" t="s">
        <v>39467</v>
      </c>
      <c r="G2342" s="4"/>
      <c r="H2342" s="4"/>
      <c r="I2342" s="4" t="s">
        <v>39468</v>
      </c>
      <c r="J2342" s="4" t="s">
        <v>2222</v>
      </c>
      <c r="K2342" s="4"/>
      <c r="L2342" s="4"/>
      <c r="M2342" s="4" t="s">
        <v>77</v>
      </c>
      <c r="N2342" s="4" t="s">
        <v>78</v>
      </c>
      <c r="O2342" s="4"/>
      <c r="P2342" s="4"/>
      <c r="Q2342" s="4"/>
      <c r="R2342" s="4"/>
      <c r="S2342" s="4"/>
      <c r="T2342" s="1" t="s">
        <v>39469</v>
      </c>
      <c r="U2342" s="4" t="s">
        <v>39470</v>
      </c>
      <c r="V2342" s="4" t="s">
        <v>39471</v>
      </c>
      <c r="W2342" s="4" t="s">
        <v>39472</v>
      </c>
      <c r="X2342" s="4" t="s">
        <v>39473</v>
      </c>
      <c r="Y2342" s="4" t="s">
        <v>39474</v>
      </c>
      <c r="Z2342" s="4"/>
      <c r="AA2342" s="4"/>
      <c r="AB2342" s="4"/>
      <c r="AC2342" s="4"/>
      <c r="AD2342" s="4"/>
      <c r="AE2342" s="4"/>
      <c r="AF2342" s="4"/>
      <c r="AG2342" s="4" t="n">
        <v>48</v>
      </c>
      <c r="AH2342" s="4" t="n">
        <v>33</v>
      </c>
      <c r="AI2342" s="4" t="n">
        <v>36</v>
      </c>
      <c r="AJ2342" s="4" t="n">
        <v>4</v>
      </c>
      <c r="AK2342" s="4" t="n">
        <v>7</v>
      </c>
      <c r="AL2342" s="4" t="s">
        <v>755</v>
      </c>
      <c r="AM2342" s="4" t="s">
        <v>273</v>
      </c>
      <c r="AN2342" s="4" t="s">
        <v>756</v>
      </c>
      <c r="AO2342" s="4" t="s">
        <v>2234</v>
      </c>
      <c r="AP2342" s="4"/>
      <c r="AQ2342" s="4"/>
      <c r="AR2342" s="4" t="s">
        <v>2236</v>
      </c>
      <c r="AS2342" s="4" t="s">
        <v>2237</v>
      </c>
      <c r="AT2342" s="4" t="s">
        <v>692</v>
      </c>
      <c r="AU2342" s="4" t="n">
        <v>2003</v>
      </c>
      <c r="AV2342" s="4" t="n">
        <v>41</v>
      </c>
      <c r="AW2342" s="4" t="n">
        <v>4</v>
      </c>
      <c r="AX2342" s="4"/>
      <c r="AY2342" s="4"/>
      <c r="AZ2342" s="4"/>
      <c r="BA2342" s="4"/>
      <c r="BB2342" s="4" t="n">
        <v>1730</v>
      </c>
      <c r="BC2342" s="4" t="n">
        <v>1735</v>
      </c>
      <c r="BD2342" s="4"/>
      <c r="BE2342" s="4" t="s">
        <v>39475</v>
      </c>
      <c r="BF2342" s="4" t="str">
        <f aca="false">HYPERLINK("http://dx.doi.org/10.1128/JCM.41.4.1730-1735.2003","http://dx.doi.org/10.1128/JCM.41.4.1730-1735.2003")</f>
        <v>http://dx.doi.org/10.1128/JCM.41.4.1730-1735.2003</v>
      </c>
      <c r="BG2342" s="4"/>
      <c r="BH2342" s="4"/>
      <c r="BI2342" s="4" t="n">
        <v>6</v>
      </c>
      <c r="BJ2342" s="4" t="s">
        <v>211</v>
      </c>
      <c r="BK2342" s="4" t="s">
        <v>100</v>
      </c>
      <c r="BL2342" s="4" t="s">
        <v>211</v>
      </c>
      <c r="BM2342" s="4" t="s">
        <v>39476</v>
      </c>
      <c r="BN2342" s="4" t="n">
        <v>12682171</v>
      </c>
      <c r="BO2342" s="4" t="s">
        <v>165</v>
      </c>
      <c r="BP2342" s="4"/>
      <c r="BQ2342" s="4"/>
      <c r="BR2342" s="4" t="s">
        <v>104</v>
      </c>
      <c r="BS2342" s="4" t="s">
        <v>39477</v>
      </c>
      <c r="BT2342" s="4" t="str">
        <f aca="false">HYPERLINK("https%3A%2F%2Fwww.webofscience.com%2Fwos%2Fwoscc%2Ffull-record%2FWOS:000182179900059","View Full Record in Web of Science")</f>
        <v>View Full Record in Web of Science</v>
      </c>
    </row>
    <row r="2343" s="5" customFormat="true" ht="12.75" hidden="false" customHeight="false" outlineLevel="0" collapsed="false">
      <c r="A2343" s="4" t="s">
        <v>72</v>
      </c>
      <c r="B2343" s="4" t="s">
        <v>39478</v>
      </c>
      <c r="C2343" s="4"/>
      <c r="D2343" s="4"/>
      <c r="E2343" s="4"/>
      <c r="F2343" s="4" t="s">
        <v>39479</v>
      </c>
      <c r="G2343" s="4"/>
      <c r="H2343" s="4"/>
      <c r="I2343" s="4" t="s">
        <v>39480</v>
      </c>
      <c r="J2343" s="4" t="s">
        <v>27497</v>
      </c>
      <c r="K2343" s="4"/>
      <c r="L2343" s="4"/>
      <c r="M2343" s="4" t="s">
        <v>77</v>
      </c>
      <c r="N2343" s="4" t="s">
        <v>78</v>
      </c>
      <c r="O2343" s="4"/>
      <c r="P2343" s="4"/>
      <c r="Q2343" s="4"/>
      <c r="R2343" s="4"/>
      <c r="S2343" s="4"/>
      <c r="T2343" s="1" t="s">
        <v>39481</v>
      </c>
      <c r="U2343" s="4" t="s">
        <v>39482</v>
      </c>
      <c r="V2343" s="4" t="s">
        <v>39483</v>
      </c>
      <c r="W2343" s="4" t="s">
        <v>39484</v>
      </c>
      <c r="X2343" s="4" t="s">
        <v>39485</v>
      </c>
      <c r="Y2343" s="4" t="s">
        <v>39486</v>
      </c>
      <c r="Z2343" s="4" t="s">
        <v>39487</v>
      </c>
      <c r="AA2343" s="4" t="s">
        <v>39488</v>
      </c>
      <c r="AB2343" s="4" t="s">
        <v>39489</v>
      </c>
      <c r="AC2343" s="4"/>
      <c r="AD2343" s="4"/>
      <c r="AE2343" s="4"/>
      <c r="AF2343" s="4"/>
      <c r="AG2343" s="4" t="n">
        <v>28</v>
      </c>
      <c r="AH2343" s="4" t="n">
        <v>52</v>
      </c>
      <c r="AI2343" s="4" t="n">
        <v>53</v>
      </c>
      <c r="AJ2343" s="4" t="n">
        <v>0</v>
      </c>
      <c r="AK2343" s="4" t="n">
        <v>9</v>
      </c>
      <c r="AL2343" s="4" t="s">
        <v>27506</v>
      </c>
      <c r="AM2343" s="4" t="s">
        <v>27507</v>
      </c>
      <c r="AN2343" s="4" t="s">
        <v>27508</v>
      </c>
      <c r="AO2343" s="4" t="s">
        <v>27509</v>
      </c>
      <c r="AP2343" s="4"/>
      <c r="AQ2343" s="4"/>
      <c r="AR2343" s="4" t="s">
        <v>27497</v>
      </c>
      <c r="AS2343" s="4" t="s">
        <v>27510</v>
      </c>
      <c r="AT2343" s="4" t="s">
        <v>2477</v>
      </c>
      <c r="AU2343" s="4" t="n">
        <v>2015</v>
      </c>
      <c r="AV2343" s="4" t="n">
        <v>10</v>
      </c>
      <c r="AW2343" s="4" t="n">
        <v>6</v>
      </c>
      <c r="AX2343" s="4"/>
      <c r="AY2343" s="4"/>
      <c r="AZ2343" s="4"/>
      <c r="BA2343" s="4"/>
      <c r="BB2343" s="4"/>
      <c r="BC2343" s="4"/>
      <c r="BD2343" s="4" t="s">
        <v>39490</v>
      </c>
      <c r="BE2343" s="4" t="s">
        <v>39491</v>
      </c>
      <c r="BF2343" s="4" t="str">
        <f aca="false">HYPERLINK("http://dx.doi.org/10.1371/journal.pone.0130378","http://dx.doi.org/10.1371/journal.pone.0130378")</f>
        <v>http://dx.doi.org/10.1371/journal.pone.0130378</v>
      </c>
      <c r="BG2343" s="4"/>
      <c r="BH2343" s="4"/>
      <c r="BI2343" s="4" t="n">
        <v>17</v>
      </c>
      <c r="BJ2343" s="4" t="s">
        <v>1658</v>
      </c>
      <c r="BK2343" s="4" t="s">
        <v>100</v>
      </c>
      <c r="BL2343" s="4" t="s">
        <v>1659</v>
      </c>
      <c r="BM2343" s="4" t="s">
        <v>35966</v>
      </c>
      <c r="BN2343" s="4" t="n">
        <v>26107509</v>
      </c>
      <c r="BO2343" s="4" t="s">
        <v>341</v>
      </c>
      <c r="BP2343" s="4"/>
      <c r="BQ2343" s="4"/>
      <c r="BR2343" s="4" t="s">
        <v>104</v>
      </c>
      <c r="BS2343" s="4" t="s">
        <v>39492</v>
      </c>
      <c r="BT2343" s="4" t="str">
        <f aca="false">HYPERLINK("https%3A%2F%2Fwww.webofscience.com%2Fwos%2Fwoscc%2Ffull-record%2FWOS:000356932500096","View Full Record in Web of Science")</f>
        <v>View Full Record in Web of Science</v>
      </c>
    </row>
    <row r="2344" s="5" customFormat="true" ht="12.75" hidden="false" customHeight="false" outlineLevel="0" collapsed="false">
      <c r="A2344" s="4" t="s">
        <v>72</v>
      </c>
      <c r="B2344" s="4" t="s">
        <v>39493</v>
      </c>
      <c r="C2344" s="4"/>
      <c r="D2344" s="4"/>
      <c r="E2344" s="4"/>
      <c r="F2344" s="4" t="s">
        <v>39494</v>
      </c>
      <c r="G2344" s="4"/>
      <c r="H2344" s="4"/>
      <c r="I2344" s="4" t="s">
        <v>39495</v>
      </c>
      <c r="J2344" s="4" t="s">
        <v>36815</v>
      </c>
      <c r="K2344" s="4"/>
      <c r="L2344" s="4"/>
      <c r="M2344" s="4" t="s">
        <v>77</v>
      </c>
      <c r="N2344" s="4" t="s">
        <v>78</v>
      </c>
      <c r="O2344" s="4"/>
      <c r="P2344" s="4"/>
      <c r="Q2344" s="4"/>
      <c r="R2344" s="4"/>
      <c r="S2344" s="4"/>
      <c r="T2344" s="1" t="s">
        <v>39496</v>
      </c>
      <c r="U2344" s="4" t="s">
        <v>889</v>
      </c>
      <c r="V2344" s="4" t="s">
        <v>39497</v>
      </c>
      <c r="W2344" s="4" t="s">
        <v>39498</v>
      </c>
      <c r="X2344" s="4" t="s">
        <v>39499</v>
      </c>
      <c r="Y2344" s="4" t="s">
        <v>39500</v>
      </c>
      <c r="Z2344" s="4" t="s">
        <v>39501</v>
      </c>
      <c r="AA2344" s="4" t="s">
        <v>39502</v>
      </c>
      <c r="AB2344" s="4" t="s">
        <v>39503</v>
      </c>
      <c r="AC2344" s="4" t="s">
        <v>39504</v>
      </c>
      <c r="AD2344" s="4" t="s">
        <v>39504</v>
      </c>
      <c r="AE2344" s="4" t="s">
        <v>39505</v>
      </c>
      <c r="AF2344" s="4"/>
      <c r="AG2344" s="4" t="n">
        <v>27</v>
      </c>
      <c r="AH2344" s="4" t="n">
        <v>26</v>
      </c>
      <c r="AI2344" s="4" t="n">
        <v>26</v>
      </c>
      <c r="AJ2344" s="4" t="n">
        <v>0</v>
      </c>
      <c r="AK2344" s="4" t="n">
        <v>5</v>
      </c>
      <c r="AL2344" s="4" t="s">
        <v>28840</v>
      </c>
      <c r="AM2344" s="4" t="s">
        <v>20223</v>
      </c>
      <c r="AN2344" s="4" t="s">
        <v>36824</v>
      </c>
      <c r="AO2344" s="4" t="s">
        <v>36825</v>
      </c>
      <c r="AP2344" s="4"/>
      <c r="AQ2344" s="4"/>
      <c r="AR2344" s="4" t="s">
        <v>36826</v>
      </c>
      <c r="AS2344" s="4" t="s">
        <v>36827</v>
      </c>
      <c r="AT2344" s="4" t="s">
        <v>7372</v>
      </c>
      <c r="AU2344" s="4" t="n">
        <v>2021</v>
      </c>
      <c r="AV2344" s="4" t="n">
        <v>4</v>
      </c>
      <c r="AW2344" s="4" t="n">
        <v>9</v>
      </c>
      <c r="AX2344" s="4"/>
      <c r="AY2344" s="4"/>
      <c r="AZ2344" s="4"/>
      <c r="BA2344" s="4"/>
      <c r="BB2344" s="4"/>
      <c r="BC2344" s="4"/>
      <c r="BD2344" s="4" t="s">
        <v>39506</v>
      </c>
      <c r="BE2344" s="4" t="s">
        <v>39507</v>
      </c>
      <c r="BF2344" s="4" t="str">
        <f aca="false">HYPERLINK("http://dx.doi.org/10.1001/jamanetworkopen.2021.24650","http://dx.doi.org/10.1001/jamanetworkopen.2021.24650")</f>
        <v>http://dx.doi.org/10.1001/jamanetworkopen.2021.24650</v>
      </c>
      <c r="BG2344" s="4"/>
      <c r="BH2344" s="4"/>
      <c r="BI2344" s="4" t="n">
        <v>11</v>
      </c>
      <c r="BJ2344" s="4" t="s">
        <v>363</v>
      </c>
      <c r="BK2344" s="4" t="s">
        <v>100</v>
      </c>
      <c r="BL2344" s="4" t="s">
        <v>364</v>
      </c>
      <c r="BM2344" s="4" t="s">
        <v>39508</v>
      </c>
      <c r="BN2344" s="4" t="n">
        <v>34529066</v>
      </c>
      <c r="BO2344" s="4" t="s">
        <v>190</v>
      </c>
      <c r="BP2344" s="4"/>
      <c r="BQ2344" s="4"/>
      <c r="BR2344" s="4" t="s">
        <v>104</v>
      </c>
      <c r="BS2344" s="4" t="s">
        <v>39509</v>
      </c>
      <c r="BT2344" s="4" t="str">
        <f aca="false">HYPERLINK("https%3A%2F%2Fwww.webofscience.com%2Fwos%2Fwoscc%2Ffull-record%2FWOS:000696609500002","View Full Record in Web of Science")</f>
        <v>View Full Record in Web of Science</v>
      </c>
    </row>
    <row r="2345" s="5" customFormat="true" ht="12.75" hidden="false" customHeight="false" outlineLevel="0" collapsed="false">
      <c r="A2345" s="4" t="s">
        <v>72</v>
      </c>
      <c r="B2345" s="4" t="s">
        <v>39510</v>
      </c>
      <c r="C2345" s="4"/>
      <c r="D2345" s="4"/>
      <c r="E2345" s="4"/>
      <c r="F2345" s="4" t="s">
        <v>39511</v>
      </c>
      <c r="G2345" s="4"/>
      <c r="H2345" s="4"/>
      <c r="I2345" s="4" t="s">
        <v>39512</v>
      </c>
      <c r="J2345" s="4" t="s">
        <v>11019</v>
      </c>
      <c r="K2345" s="4"/>
      <c r="L2345" s="4"/>
      <c r="M2345" s="4" t="s">
        <v>77</v>
      </c>
      <c r="N2345" s="4" t="s">
        <v>78</v>
      </c>
      <c r="O2345" s="4"/>
      <c r="P2345" s="4"/>
      <c r="Q2345" s="4"/>
      <c r="R2345" s="4"/>
      <c r="S2345" s="4"/>
      <c r="T2345" s="1" t="s">
        <v>39513</v>
      </c>
      <c r="U2345" s="4" t="s">
        <v>39514</v>
      </c>
      <c r="V2345" s="4" t="s">
        <v>39515</v>
      </c>
      <c r="W2345" s="4" t="s">
        <v>39516</v>
      </c>
      <c r="X2345" s="4" t="s">
        <v>39517</v>
      </c>
      <c r="Y2345" s="4" t="s">
        <v>39518</v>
      </c>
      <c r="Z2345" s="4" t="s">
        <v>39519</v>
      </c>
      <c r="AA2345" s="4" t="s">
        <v>39520</v>
      </c>
      <c r="AB2345" s="4" t="s">
        <v>39521</v>
      </c>
      <c r="AC2345" s="4" t="s">
        <v>39522</v>
      </c>
      <c r="AD2345" s="4" t="s">
        <v>39523</v>
      </c>
      <c r="AE2345" s="4" t="s">
        <v>39524</v>
      </c>
      <c r="AF2345" s="4"/>
      <c r="AG2345" s="4" t="n">
        <v>47</v>
      </c>
      <c r="AH2345" s="4" t="n">
        <v>28</v>
      </c>
      <c r="AI2345" s="4" t="n">
        <v>31</v>
      </c>
      <c r="AJ2345" s="4" t="n">
        <v>0</v>
      </c>
      <c r="AK2345" s="4" t="n">
        <v>7</v>
      </c>
      <c r="AL2345" s="4" t="s">
        <v>154</v>
      </c>
      <c r="AM2345" s="4" t="s">
        <v>155</v>
      </c>
      <c r="AN2345" s="4" t="s">
        <v>156</v>
      </c>
      <c r="AO2345" s="4" t="s">
        <v>11028</v>
      </c>
      <c r="AP2345" s="4" t="s">
        <v>11029</v>
      </c>
      <c r="AQ2345" s="4"/>
      <c r="AR2345" s="4" t="s">
        <v>11030</v>
      </c>
      <c r="AS2345" s="4" t="s">
        <v>11031</v>
      </c>
      <c r="AT2345" s="4" t="s">
        <v>804</v>
      </c>
      <c r="AU2345" s="4" t="n">
        <v>2013</v>
      </c>
      <c r="AV2345" s="4" t="n">
        <v>7</v>
      </c>
      <c r="AW2345" s="4" t="n">
        <v>6</v>
      </c>
      <c r="AX2345" s="4"/>
      <c r="AY2345" s="4"/>
      <c r="AZ2345" s="4"/>
      <c r="BA2345" s="4"/>
      <c r="BB2345" s="4" t="n">
        <v>1103</v>
      </c>
      <c r="BC2345" s="4" t="n">
        <v>1112</v>
      </c>
      <c r="BD2345" s="4"/>
      <c r="BE2345" s="4" t="s">
        <v>39525</v>
      </c>
      <c r="BF2345" s="4" t="str">
        <f aca="false">HYPERLINK("http://dx.doi.org/10.1111/irv.12138","http://dx.doi.org/10.1111/irv.12138")</f>
        <v>http://dx.doi.org/10.1111/irv.12138</v>
      </c>
      <c r="BG2345" s="4"/>
      <c r="BH2345" s="4"/>
      <c r="BI2345" s="4" t="n">
        <v>10</v>
      </c>
      <c r="BJ2345" s="4" t="s">
        <v>8287</v>
      </c>
      <c r="BK2345" s="4" t="s">
        <v>100</v>
      </c>
      <c r="BL2345" s="4" t="s">
        <v>8287</v>
      </c>
      <c r="BM2345" s="4" t="s">
        <v>21021</v>
      </c>
      <c r="BN2345" s="4" t="n">
        <v>23829670</v>
      </c>
      <c r="BO2345" s="4" t="s">
        <v>136</v>
      </c>
      <c r="BP2345" s="4"/>
      <c r="BQ2345" s="4"/>
      <c r="BR2345" s="4" t="s">
        <v>104</v>
      </c>
      <c r="BS2345" s="4" t="s">
        <v>39526</v>
      </c>
      <c r="BT2345" s="4" t="str">
        <f aca="false">HYPERLINK("https%3A%2F%2Fwww.webofscience.com%2Fwos%2Fwoscc%2Ffull-record%2FWOS:000331001400033","View Full Record in Web of Science")</f>
        <v>View Full Record in Web of Science</v>
      </c>
    </row>
    <row r="2346" s="5" customFormat="true" ht="12.75" hidden="false" customHeight="false" outlineLevel="0" collapsed="false">
      <c r="A2346" s="4" t="s">
        <v>72</v>
      </c>
      <c r="B2346" s="4" t="s">
        <v>2584</v>
      </c>
      <c r="C2346" s="4"/>
      <c r="D2346" s="4"/>
      <c r="E2346" s="4"/>
      <c r="F2346" s="4" t="s">
        <v>2585</v>
      </c>
      <c r="G2346" s="4"/>
      <c r="H2346" s="4"/>
      <c r="I2346" s="4" t="s">
        <v>39527</v>
      </c>
      <c r="J2346" s="4" t="s">
        <v>27497</v>
      </c>
      <c r="K2346" s="4"/>
      <c r="L2346" s="4"/>
      <c r="M2346" s="4" t="s">
        <v>77</v>
      </c>
      <c r="N2346" s="4" t="s">
        <v>78</v>
      </c>
      <c r="O2346" s="4"/>
      <c r="P2346" s="4"/>
      <c r="Q2346" s="4"/>
      <c r="R2346" s="4"/>
      <c r="S2346" s="4"/>
      <c r="T2346" s="1" t="s">
        <v>39528</v>
      </c>
      <c r="U2346" s="4" t="s">
        <v>39529</v>
      </c>
      <c r="V2346" s="4" t="s">
        <v>39530</v>
      </c>
      <c r="W2346" s="4" t="s">
        <v>39531</v>
      </c>
      <c r="X2346" s="4" t="s">
        <v>39532</v>
      </c>
      <c r="Y2346" s="4" t="s">
        <v>39533</v>
      </c>
      <c r="Z2346" s="4" t="s">
        <v>2593</v>
      </c>
      <c r="AA2346" s="4" t="s">
        <v>39534</v>
      </c>
      <c r="AB2346" s="4" t="s">
        <v>39535</v>
      </c>
      <c r="AC2346" s="4" t="s">
        <v>39536</v>
      </c>
      <c r="AD2346" s="4" t="s">
        <v>2597</v>
      </c>
      <c r="AE2346" s="4" t="s">
        <v>39537</v>
      </c>
      <c r="AF2346" s="4"/>
      <c r="AG2346" s="4" t="n">
        <v>33</v>
      </c>
      <c r="AH2346" s="4" t="n">
        <v>0</v>
      </c>
      <c r="AI2346" s="4" t="n">
        <v>0</v>
      </c>
      <c r="AJ2346" s="4" t="n">
        <v>0</v>
      </c>
      <c r="AK2346" s="4" t="n">
        <v>0</v>
      </c>
      <c r="AL2346" s="4" t="s">
        <v>27506</v>
      </c>
      <c r="AM2346" s="4" t="s">
        <v>27507</v>
      </c>
      <c r="AN2346" s="4" t="s">
        <v>27508</v>
      </c>
      <c r="AO2346" s="4" t="s">
        <v>27509</v>
      </c>
      <c r="AP2346" s="4"/>
      <c r="AQ2346" s="4"/>
      <c r="AR2346" s="4" t="s">
        <v>27497</v>
      </c>
      <c r="AS2346" s="4" t="s">
        <v>27510</v>
      </c>
      <c r="AT2346" s="4" t="s">
        <v>18801</v>
      </c>
      <c r="AU2346" s="4" t="n">
        <v>2024</v>
      </c>
      <c r="AV2346" s="4" t="n">
        <v>19</v>
      </c>
      <c r="AW2346" s="4" t="n">
        <v>11</v>
      </c>
      <c r="AX2346" s="4"/>
      <c r="AY2346" s="4"/>
      <c r="AZ2346" s="4"/>
      <c r="BA2346" s="4"/>
      <c r="BB2346" s="4"/>
      <c r="BC2346" s="4"/>
      <c r="BD2346" s="4" t="s">
        <v>39538</v>
      </c>
      <c r="BE2346" s="4" t="s">
        <v>39539</v>
      </c>
      <c r="BF2346" s="4" t="str">
        <f aca="false">HYPERLINK("http://dx.doi.org/10.1371/journal.pone.0308849","http://dx.doi.org/10.1371/journal.pone.0308849")</f>
        <v>http://dx.doi.org/10.1371/journal.pone.0308849</v>
      </c>
      <c r="BG2346" s="4"/>
      <c r="BH2346" s="4"/>
      <c r="BI2346" s="4" t="n">
        <v>27</v>
      </c>
      <c r="BJ2346" s="4" t="s">
        <v>1658</v>
      </c>
      <c r="BK2346" s="4" t="s">
        <v>100</v>
      </c>
      <c r="BL2346" s="4" t="s">
        <v>1659</v>
      </c>
      <c r="BM2346" s="4" t="s">
        <v>39540</v>
      </c>
      <c r="BN2346" s="4" t="n">
        <v>39591472</v>
      </c>
      <c r="BO2346" s="4" t="s">
        <v>1355</v>
      </c>
      <c r="BP2346" s="4"/>
      <c r="BQ2346" s="4"/>
      <c r="BR2346" s="4" t="s">
        <v>104</v>
      </c>
      <c r="BS2346" s="4" t="s">
        <v>39541</v>
      </c>
      <c r="BT2346" s="4" t="str">
        <f aca="false">HYPERLINK("https%3A%2F%2Fwww.webofscience.com%2Fwos%2Fwoscc%2Ffull-record%2FWOS:001364424600019","View Full Record in Web of Science")</f>
        <v>View Full Record in Web of Science</v>
      </c>
    </row>
    <row r="2347" s="5" customFormat="true" ht="12.75" hidden="false" customHeight="false" outlineLevel="0" collapsed="false">
      <c r="A2347" s="4" t="s">
        <v>72</v>
      </c>
      <c r="B2347" s="4" t="s">
        <v>39542</v>
      </c>
      <c r="C2347" s="4"/>
      <c r="D2347" s="4"/>
      <c r="E2347" s="4"/>
      <c r="F2347" s="4" t="s">
        <v>39543</v>
      </c>
      <c r="G2347" s="4"/>
      <c r="H2347" s="4"/>
      <c r="I2347" s="4" t="s">
        <v>39544</v>
      </c>
      <c r="J2347" s="4" t="s">
        <v>32157</v>
      </c>
      <c r="K2347" s="4"/>
      <c r="L2347" s="4"/>
      <c r="M2347" s="4" t="s">
        <v>77</v>
      </c>
      <c r="N2347" s="4" t="s">
        <v>78</v>
      </c>
      <c r="O2347" s="4"/>
      <c r="P2347" s="4"/>
      <c r="Q2347" s="4"/>
      <c r="R2347" s="4"/>
      <c r="S2347" s="4"/>
      <c r="T2347" s="1" t="s">
        <v>39545</v>
      </c>
      <c r="U2347" s="4" t="s">
        <v>39546</v>
      </c>
      <c r="V2347" s="4" t="s">
        <v>39547</v>
      </c>
      <c r="W2347" s="4" t="s">
        <v>39548</v>
      </c>
      <c r="X2347" s="4" t="s">
        <v>39549</v>
      </c>
      <c r="Y2347" s="4" t="s">
        <v>39550</v>
      </c>
      <c r="Z2347" s="4" t="s">
        <v>39551</v>
      </c>
      <c r="AA2347" s="4"/>
      <c r="AB2347" s="4" t="s">
        <v>39552</v>
      </c>
      <c r="AC2347" s="4"/>
      <c r="AD2347" s="4"/>
      <c r="AE2347" s="4"/>
      <c r="AF2347" s="4"/>
      <c r="AG2347" s="4" t="n">
        <v>11</v>
      </c>
      <c r="AH2347" s="4" t="n">
        <v>12</v>
      </c>
      <c r="AI2347" s="4" t="n">
        <v>12</v>
      </c>
      <c r="AJ2347" s="4" t="n">
        <v>0</v>
      </c>
      <c r="AK2347" s="4" t="n">
        <v>19</v>
      </c>
      <c r="AL2347" s="4" t="s">
        <v>6833</v>
      </c>
      <c r="AM2347" s="4" t="s">
        <v>593</v>
      </c>
      <c r="AN2347" s="4" t="s">
        <v>6834</v>
      </c>
      <c r="AO2347" s="4" t="s">
        <v>32165</v>
      </c>
      <c r="AP2347" s="4" t="s">
        <v>32183</v>
      </c>
      <c r="AQ2347" s="4"/>
      <c r="AR2347" s="4" t="s">
        <v>32166</v>
      </c>
      <c r="AS2347" s="4" t="s">
        <v>32167</v>
      </c>
      <c r="AT2347" s="4" t="s">
        <v>336</v>
      </c>
      <c r="AU2347" s="4" t="n">
        <v>2022</v>
      </c>
      <c r="AV2347" s="4" t="n">
        <v>43</v>
      </c>
      <c r="AW2347" s="4" t="n">
        <v>10</v>
      </c>
      <c r="AX2347" s="4"/>
      <c r="AY2347" s="4"/>
      <c r="AZ2347" s="4"/>
      <c r="BA2347" s="4"/>
      <c r="BB2347" s="4" t="n">
        <v>1454</v>
      </c>
      <c r="BC2347" s="4" t="n">
        <v>1458</v>
      </c>
      <c r="BD2347" s="4" t="s">
        <v>39553</v>
      </c>
      <c r="BE2347" s="4" t="s">
        <v>39554</v>
      </c>
      <c r="BF2347" s="4" t="str">
        <f aca="false">HYPERLINK("http://dx.doi.org/10.1017/ice.2021.430","http://dx.doi.org/10.1017/ice.2021.430")</f>
        <v>http://dx.doi.org/10.1017/ice.2021.430</v>
      </c>
      <c r="BG2347" s="4"/>
      <c r="BH2347" s="4" t="s">
        <v>3158</v>
      </c>
      <c r="BI2347" s="4" t="n">
        <v>5</v>
      </c>
      <c r="BJ2347" s="4" t="s">
        <v>2113</v>
      </c>
      <c r="BK2347" s="4" t="s">
        <v>100</v>
      </c>
      <c r="BL2347" s="4" t="s">
        <v>2113</v>
      </c>
      <c r="BM2347" s="4" t="s">
        <v>39555</v>
      </c>
      <c r="BN2347" s="4" t="n">
        <v>34607617</v>
      </c>
      <c r="BO2347" s="4"/>
      <c r="BP2347" s="4"/>
      <c r="BQ2347" s="4"/>
      <c r="BR2347" s="4" t="s">
        <v>104</v>
      </c>
      <c r="BS2347" s="4" t="s">
        <v>39556</v>
      </c>
      <c r="BT2347" s="4" t="str">
        <f aca="false">HYPERLINK("https%3A%2F%2Fwww.webofscience.com%2Fwos%2Fwoscc%2Ffull-record%2FWOS:000767240500001","View Full Record in Web of Science")</f>
        <v>View Full Record in Web of Science</v>
      </c>
    </row>
    <row r="2348" s="5" customFormat="true" ht="12.75" hidden="false" customHeight="false" outlineLevel="0" collapsed="false">
      <c r="A2348" s="4" t="s">
        <v>72</v>
      </c>
      <c r="B2348" s="4" t="s">
        <v>39557</v>
      </c>
      <c r="C2348" s="4"/>
      <c r="D2348" s="4"/>
      <c r="E2348" s="4"/>
      <c r="F2348" s="4" t="s">
        <v>39558</v>
      </c>
      <c r="G2348" s="4"/>
      <c r="H2348" s="4"/>
      <c r="I2348" s="4" t="s">
        <v>39559</v>
      </c>
      <c r="J2348" s="4" t="s">
        <v>31022</v>
      </c>
      <c r="K2348" s="4"/>
      <c r="L2348" s="4"/>
      <c r="M2348" s="4" t="s">
        <v>77</v>
      </c>
      <c r="N2348" s="4" t="s">
        <v>78</v>
      </c>
      <c r="O2348" s="4"/>
      <c r="P2348" s="4"/>
      <c r="Q2348" s="4"/>
      <c r="R2348" s="4"/>
      <c r="S2348" s="4"/>
      <c r="T2348" s="1" t="s">
        <v>39560</v>
      </c>
      <c r="U2348" s="4" t="s">
        <v>39561</v>
      </c>
      <c r="V2348" s="4" t="s">
        <v>39562</v>
      </c>
      <c r="W2348" s="4" t="s">
        <v>39563</v>
      </c>
      <c r="X2348" s="4" t="s">
        <v>39564</v>
      </c>
      <c r="Y2348" s="4" t="s">
        <v>39565</v>
      </c>
      <c r="Z2348" s="4" t="s">
        <v>39566</v>
      </c>
      <c r="AA2348" s="4"/>
      <c r="AB2348" s="4" t="s">
        <v>39567</v>
      </c>
      <c r="AC2348" s="4" t="s">
        <v>39568</v>
      </c>
      <c r="AD2348" s="4" t="s">
        <v>39568</v>
      </c>
      <c r="AE2348" s="4" t="s">
        <v>39569</v>
      </c>
      <c r="AF2348" s="4"/>
      <c r="AG2348" s="4" t="n">
        <v>33</v>
      </c>
      <c r="AH2348" s="4" t="n">
        <v>2</v>
      </c>
      <c r="AI2348" s="4" t="n">
        <v>2</v>
      </c>
      <c r="AJ2348" s="4" t="n">
        <v>0</v>
      </c>
      <c r="AK2348" s="4" t="n">
        <v>6</v>
      </c>
      <c r="AL2348" s="4" t="s">
        <v>1186</v>
      </c>
      <c r="AM2348" s="4" t="s">
        <v>303</v>
      </c>
      <c r="AN2348" s="4" t="s">
        <v>1187</v>
      </c>
      <c r="AO2348" s="4" t="s">
        <v>31033</v>
      </c>
      <c r="AP2348" s="4"/>
      <c r="AQ2348" s="4"/>
      <c r="AR2348" s="4" t="s">
        <v>31022</v>
      </c>
      <c r="AS2348" s="4" t="s">
        <v>31034</v>
      </c>
      <c r="AT2348" s="4" t="s">
        <v>486</v>
      </c>
      <c r="AU2348" s="4" t="n">
        <v>2022</v>
      </c>
      <c r="AV2348" s="4" t="n">
        <v>12</v>
      </c>
      <c r="AW2348" s="4" t="n">
        <v>6</v>
      </c>
      <c r="AX2348" s="4"/>
      <c r="AY2348" s="4"/>
      <c r="AZ2348" s="4"/>
      <c r="BA2348" s="4"/>
      <c r="BB2348" s="4"/>
      <c r="BC2348" s="4"/>
      <c r="BD2348" s="4" t="s">
        <v>39570</v>
      </c>
      <c r="BE2348" s="4" t="s">
        <v>39571</v>
      </c>
      <c r="BF2348" s="4" t="str">
        <f aca="false">HYPERLINK("http://dx.doi.org/10.1136/bmjopen-2022-061740","http://dx.doi.org/10.1136/bmjopen-2022-061740")</f>
        <v>http://dx.doi.org/10.1136/bmjopen-2022-061740</v>
      </c>
      <c r="BG2348" s="4"/>
      <c r="BH2348" s="4"/>
      <c r="BI2348" s="4" t="n">
        <v>9</v>
      </c>
      <c r="BJ2348" s="4" t="s">
        <v>363</v>
      </c>
      <c r="BK2348" s="4" t="s">
        <v>100</v>
      </c>
      <c r="BL2348" s="4" t="s">
        <v>364</v>
      </c>
      <c r="BM2348" s="4" t="s">
        <v>39572</v>
      </c>
      <c r="BN2348" s="4" t="n">
        <v>35667715</v>
      </c>
      <c r="BO2348" s="4" t="s">
        <v>190</v>
      </c>
      <c r="BP2348" s="4"/>
      <c r="BQ2348" s="4"/>
      <c r="BR2348" s="4" t="s">
        <v>104</v>
      </c>
      <c r="BS2348" s="4" t="s">
        <v>39573</v>
      </c>
      <c r="BT2348" s="4" t="str">
        <f aca="false">HYPERLINK("https%3A%2F%2Fwww.webofscience.com%2Fwos%2Fwoscc%2Ffull-record%2FWOS:000807661700003","View Full Record in Web of Science")</f>
        <v>View Full Record in Web of Science</v>
      </c>
    </row>
    <row r="2349" s="5" customFormat="true" ht="12.75" hidden="false" customHeight="false" outlineLevel="0" collapsed="false">
      <c r="A2349" s="4" t="s">
        <v>72</v>
      </c>
      <c r="B2349" s="4" t="s">
        <v>39574</v>
      </c>
      <c r="C2349" s="4"/>
      <c r="D2349" s="4"/>
      <c r="E2349" s="4"/>
      <c r="F2349" s="4" t="s">
        <v>39575</v>
      </c>
      <c r="G2349" s="4"/>
      <c r="H2349" s="4"/>
      <c r="I2349" s="4" t="s">
        <v>39576</v>
      </c>
      <c r="J2349" s="4" t="s">
        <v>27497</v>
      </c>
      <c r="K2349" s="4"/>
      <c r="L2349" s="4"/>
      <c r="M2349" s="4" t="s">
        <v>77</v>
      </c>
      <c r="N2349" s="4" t="s">
        <v>78</v>
      </c>
      <c r="O2349" s="4"/>
      <c r="P2349" s="4"/>
      <c r="Q2349" s="4"/>
      <c r="R2349" s="4"/>
      <c r="S2349" s="4"/>
      <c r="T2349" s="1" t="s">
        <v>39577</v>
      </c>
      <c r="U2349" s="4" t="s">
        <v>39578</v>
      </c>
      <c r="V2349" s="4" t="s">
        <v>39579</v>
      </c>
      <c r="W2349" s="4" t="s">
        <v>39580</v>
      </c>
      <c r="X2349" s="4" t="s">
        <v>39581</v>
      </c>
      <c r="Y2349" s="4" t="s">
        <v>39582</v>
      </c>
      <c r="Z2349" s="4" t="s">
        <v>39583</v>
      </c>
      <c r="AA2349" s="4" t="s">
        <v>39584</v>
      </c>
      <c r="AB2349" s="4" t="s">
        <v>39585</v>
      </c>
      <c r="AC2349" s="4" t="s">
        <v>39586</v>
      </c>
      <c r="AD2349" s="4" t="s">
        <v>39587</v>
      </c>
      <c r="AE2349" s="4" t="s">
        <v>39588</v>
      </c>
      <c r="AF2349" s="4"/>
      <c r="AG2349" s="4" t="n">
        <v>41</v>
      </c>
      <c r="AH2349" s="4" t="n">
        <v>15</v>
      </c>
      <c r="AI2349" s="4" t="n">
        <v>20</v>
      </c>
      <c r="AJ2349" s="4" t="n">
        <v>0</v>
      </c>
      <c r="AK2349" s="4" t="n">
        <v>3</v>
      </c>
      <c r="AL2349" s="4" t="s">
        <v>27506</v>
      </c>
      <c r="AM2349" s="4" t="s">
        <v>27507</v>
      </c>
      <c r="AN2349" s="4" t="s">
        <v>27508</v>
      </c>
      <c r="AO2349" s="4" t="s">
        <v>27509</v>
      </c>
      <c r="AP2349" s="4"/>
      <c r="AQ2349" s="4"/>
      <c r="AR2349" s="4" t="s">
        <v>27497</v>
      </c>
      <c r="AS2349" s="4" t="s">
        <v>27510</v>
      </c>
      <c r="AT2349" s="4" t="s">
        <v>8076</v>
      </c>
      <c r="AU2349" s="4" t="n">
        <v>2015</v>
      </c>
      <c r="AV2349" s="4" t="n">
        <v>10</v>
      </c>
      <c r="AW2349" s="4" t="n">
        <v>3</v>
      </c>
      <c r="AX2349" s="4"/>
      <c r="AY2349" s="4"/>
      <c r="AZ2349" s="4"/>
      <c r="BA2349" s="4"/>
      <c r="BB2349" s="4"/>
      <c r="BC2349" s="4"/>
      <c r="BD2349" s="4" t="s">
        <v>39589</v>
      </c>
      <c r="BE2349" s="4" t="s">
        <v>39590</v>
      </c>
      <c r="BF2349" s="4" t="str">
        <f aca="false">HYPERLINK("http://dx.doi.org/10.1371/journal.pone.0119513","http://dx.doi.org/10.1371/journal.pone.0119513")</f>
        <v>http://dx.doi.org/10.1371/journal.pone.0119513</v>
      </c>
      <c r="BG2349" s="4"/>
      <c r="BH2349" s="4"/>
      <c r="BI2349" s="4" t="n">
        <v>15</v>
      </c>
      <c r="BJ2349" s="4" t="s">
        <v>1658</v>
      </c>
      <c r="BK2349" s="4" t="s">
        <v>100</v>
      </c>
      <c r="BL2349" s="4" t="s">
        <v>1659</v>
      </c>
      <c r="BM2349" s="4" t="s">
        <v>39591</v>
      </c>
      <c r="BN2349" s="4" t="n">
        <v>25822885</v>
      </c>
      <c r="BO2349" s="4" t="s">
        <v>11315</v>
      </c>
      <c r="BP2349" s="4"/>
      <c r="BQ2349" s="4"/>
      <c r="BR2349" s="4" t="s">
        <v>104</v>
      </c>
      <c r="BS2349" s="4" t="s">
        <v>39592</v>
      </c>
      <c r="BT2349" s="4" t="str">
        <f aca="false">HYPERLINK("https%3A%2F%2Fwww.webofscience.com%2Fwos%2Fwoscc%2Ffull-record%2FWOS:000352134700040","View Full Record in Web of Science")</f>
        <v>View Full Record in Web of Science</v>
      </c>
    </row>
    <row r="2350" s="5" customFormat="true" ht="12.75" hidden="false" customHeight="false" outlineLevel="0" collapsed="false">
      <c r="A2350" s="4" t="s">
        <v>72</v>
      </c>
      <c r="B2350" s="4" t="s">
        <v>39593</v>
      </c>
      <c r="C2350" s="4"/>
      <c r="D2350" s="4"/>
      <c r="E2350" s="4"/>
      <c r="F2350" s="4" t="s">
        <v>39594</v>
      </c>
      <c r="G2350" s="4"/>
      <c r="H2350" s="4"/>
      <c r="I2350" s="4" t="s">
        <v>39595</v>
      </c>
      <c r="J2350" s="4" t="s">
        <v>28808</v>
      </c>
      <c r="K2350" s="4"/>
      <c r="L2350" s="4"/>
      <c r="M2350" s="4" t="s">
        <v>77</v>
      </c>
      <c r="N2350" s="4" t="s">
        <v>78</v>
      </c>
      <c r="O2350" s="4"/>
      <c r="P2350" s="4"/>
      <c r="Q2350" s="4"/>
      <c r="R2350" s="4"/>
      <c r="S2350" s="4"/>
      <c r="T2350" s="1" t="s">
        <v>39596</v>
      </c>
      <c r="U2350" s="4" t="s">
        <v>39597</v>
      </c>
      <c r="V2350" s="4" t="s">
        <v>39598</v>
      </c>
      <c r="W2350" s="4" t="s">
        <v>39599</v>
      </c>
      <c r="X2350" s="4" t="s">
        <v>39600</v>
      </c>
      <c r="Y2350" s="4" t="s">
        <v>39601</v>
      </c>
      <c r="Z2350" s="4" t="s">
        <v>39602</v>
      </c>
      <c r="AA2350" s="4" t="s">
        <v>39603</v>
      </c>
      <c r="AB2350" s="4" t="s">
        <v>39604</v>
      </c>
      <c r="AC2350" s="4"/>
      <c r="AD2350" s="4"/>
      <c r="AE2350" s="4"/>
      <c r="AF2350" s="4"/>
      <c r="AG2350" s="4" t="n">
        <v>32</v>
      </c>
      <c r="AH2350" s="4" t="n">
        <v>2</v>
      </c>
      <c r="AI2350" s="4" t="n">
        <v>2</v>
      </c>
      <c r="AJ2350" s="4" t="n">
        <v>7</v>
      </c>
      <c r="AK2350" s="4" t="n">
        <v>15</v>
      </c>
      <c r="AL2350" s="4" t="s">
        <v>28817</v>
      </c>
      <c r="AM2350" s="4" t="s">
        <v>28818</v>
      </c>
      <c r="AN2350" s="4" t="s">
        <v>28819</v>
      </c>
      <c r="AO2350" s="4" t="s">
        <v>28820</v>
      </c>
      <c r="AP2350" s="4" t="s">
        <v>28821</v>
      </c>
      <c r="AQ2350" s="4"/>
      <c r="AR2350" s="4" t="s">
        <v>28822</v>
      </c>
      <c r="AS2350" s="4" t="s">
        <v>28823</v>
      </c>
      <c r="AT2350" s="4" t="s">
        <v>362</v>
      </c>
      <c r="AU2350" s="4" t="n">
        <v>2023</v>
      </c>
      <c r="AV2350" s="4" t="n">
        <v>43</v>
      </c>
      <c r="AW2350" s="4" t="n">
        <v>3</v>
      </c>
      <c r="AX2350" s="4"/>
      <c r="AY2350" s="4"/>
      <c r="AZ2350" s="4"/>
      <c r="BA2350" s="4"/>
      <c r="BB2350" s="4" t="n">
        <v>143</v>
      </c>
      <c r="BC2350" s="4" t="n">
        <v>153</v>
      </c>
      <c r="BD2350" s="4"/>
      <c r="BE2350" s="4" t="s">
        <v>39605</v>
      </c>
      <c r="BF2350" s="4" t="str">
        <f aca="false">HYPERLINK("http://dx.doi.org/10.5144/0256-4947.2023.143","http://dx.doi.org/10.5144/0256-4947.2023.143")</f>
        <v>http://dx.doi.org/10.5144/0256-4947.2023.143</v>
      </c>
      <c r="BG2350" s="4"/>
      <c r="BH2350" s="4"/>
      <c r="BI2350" s="4" t="n">
        <v>11</v>
      </c>
      <c r="BJ2350" s="4" t="s">
        <v>363</v>
      </c>
      <c r="BK2350" s="4" t="s">
        <v>100</v>
      </c>
      <c r="BL2350" s="4" t="s">
        <v>364</v>
      </c>
      <c r="BM2350" s="4" t="s">
        <v>39606</v>
      </c>
      <c r="BN2350" s="4" t="n">
        <v>37270680</v>
      </c>
      <c r="BO2350" s="4" t="s">
        <v>165</v>
      </c>
      <c r="BP2350" s="4"/>
      <c r="BQ2350" s="4"/>
      <c r="BR2350" s="4" t="s">
        <v>104</v>
      </c>
      <c r="BS2350" s="4" t="s">
        <v>39607</v>
      </c>
      <c r="BT2350" s="4" t="str">
        <f aca="false">HYPERLINK("https%3A%2F%2Fwww.webofscience.com%2Fwos%2Fwoscc%2Ffull-record%2FWOS:001011981000003","View Full Record in Web of Science")</f>
        <v>View Full Record in Web of Science</v>
      </c>
    </row>
    <row r="2351" s="5" customFormat="true" ht="12.75" hidden="false" customHeight="false" outlineLevel="0" collapsed="false">
      <c r="A2351" s="4" t="s">
        <v>72</v>
      </c>
      <c r="B2351" s="4" t="s">
        <v>39608</v>
      </c>
      <c r="C2351" s="4"/>
      <c r="D2351" s="4"/>
      <c r="E2351" s="4"/>
      <c r="F2351" s="4" t="s">
        <v>39609</v>
      </c>
      <c r="G2351" s="4"/>
      <c r="H2351" s="4"/>
      <c r="I2351" s="4" t="s">
        <v>39610</v>
      </c>
      <c r="J2351" s="4" t="s">
        <v>742</v>
      </c>
      <c r="K2351" s="4"/>
      <c r="L2351" s="4"/>
      <c r="M2351" s="4" t="s">
        <v>77</v>
      </c>
      <c r="N2351" s="4" t="s">
        <v>78</v>
      </c>
      <c r="O2351" s="4"/>
      <c r="P2351" s="4"/>
      <c r="Q2351" s="4"/>
      <c r="R2351" s="4"/>
      <c r="S2351" s="4"/>
      <c r="T2351" s="1" t="s">
        <v>39611</v>
      </c>
      <c r="U2351" s="4" t="s">
        <v>39612</v>
      </c>
      <c r="V2351" s="4" t="s">
        <v>39613</v>
      </c>
      <c r="W2351" s="4" t="s">
        <v>39614</v>
      </c>
      <c r="X2351" s="4" t="s">
        <v>39615</v>
      </c>
      <c r="Y2351" s="4" t="s">
        <v>1365</v>
      </c>
      <c r="Z2351" s="4" t="s">
        <v>1366</v>
      </c>
      <c r="AA2351" s="4" t="s">
        <v>39616</v>
      </c>
      <c r="AB2351" s="4" t="s">
        <v>39617</v>
      </c>
      <c r="AC2351" s="4" t="s">
        <v>39618</v>
      </c>
      <c r="AD2351" s="4" t="s">
        <v>39619</v>
      </c>
      <c r="AE2351" s="4" t="s">
        <v>39620</v>
      </c>
      <c r="AF2351" s="4"/>
      <c r="AG2351" s="4" t="n">
        <v>60</v>
      </c>
      <c r="AH2351" s="4" t="n">
        <v>15</v>
      </c>
      <c r="AI2351" s="4" t="n">
        <v>21</v>
      </c>
      <c r="AJ2351" s="4" t="n">
        <v>1</v>
      </c>
      <c r="AK2351" s="4" t="n">
        <v>12</v>
      </c>
      <c r="AL2351" s="4" t="s">
        <v>755</v>
      </c>
      <c r="AM2351" s="4" t="s">
        <v>273</v>
      </c>
      <c r="AN2351" s="4" t="s">
        <v>756</v>
      </c>
      <c r="AO2351" s="4" t="s">
        <v>757</v>
      </c>
      <c r="AP2351" s="4" t="s">
        <v>758</v>
      </c>
      <c r="AQ2351" s="4"/>
      <c r="AR2351" s="4" t="s">
        <v>759</v>
      </c>
      <c r="AS2351" s="4" t="s">
        <v>760</v>
      </c>
      <c r="AT2351" s="4" t="s">
        <v>804</v>
      </c>
      <c r="AU2351" s="4" t="n">
        <v>2014</v>
      </c>
      <c r="AV2351" s="4" t="n">
        <v>88</v>
      </c>
      <c r="AW2351" s="4" t="n">
        <v>21</v>
      </c>
      <c r="AX2351" s="4"/>
      <c r="AY2351" s="4"/>
      <c r="AZ2351" s="4"/>
      <c r="BA2351" s="4"/>
      <c r="BB2351" s="4" t="n">
        <v>12348</v>
      </c>
      <c r="BC2351" s="4" t="n">
        <v>12363</v>
      </c>
      <c r="BD2351" s="4"/>
      <c r="BE2351" s="4" t="s">
        <v>39621</v>
      </c>
      <c r="BF2351" s="4" t="str">
        <f aca="false">HYPERLINK("http://dx.doi.org/10.1128/JVI.01095-14","http://dx.doi.org/10.1128/JVI.01095-14")</f>
        <v>http://dx.doi.org/10.1128/JVI.01095-14</v>
      </c>
      <c r="BG2351" s="4"/>
      <c r="BH2351" s="4"/>
      <c r="BI2351" s="4" t="n">
        <v>16</v>
      </c>
      <c r="BJ2351" s="4" t="s">
        <v>163</v>
      </c>
      <c r="BK2351" s="4" t="s">
        <v>100</v>
      </c>
      <c r="BL2351" s="4" t="s">
        <v>163</v>
      </c>
      <c r="BM2351" s="4" t="s">
        <v>39622</v>
      </c>
      <c r="BN2351" s="4" t="n">
        <v>25122790</v>
      </c>
      <c r="BO2351" s="4" t="s">
        <v>538</v>
      </c>
      <c r="BP2351" s="4"/>
      <c r="BQ2351" s="4"/>
      <c r="BR2351" s="4" t="s">
        <v>104</v>
      </c>
      <c r="BS2351" s="4" t="s">
        <v>39623</v>
      </c>
      <c r="BT2351" s="4" t="str">
        <f aca="false">HYPERLINK("https%3A%2F%2Fwww.webofscience.com%2Fwos%2Fwoscc%2Ffull-record%2FWOS:000343314900016","View Full Record in Web of Science")</f>
        <v>View Full Record in Web of Science</v>
      </c>
    </row>
    <row r="2352" s="5" customFormat="true" ht="12.75" hidden="false" customHeight="false" outlineLevel="0" collapsed="false">
      <c r="A2352" s="4" t="s">
        <v>72</v>
      </c>
      <c r="B2352" s="4" t="s">
        <v>39624</v>
      </c>
      <c r="C2352" s="4"/>
      <c r="D2352" s="4"/>
      <c r="E2352" s="4"/>
      <c r="F2352" s="4" t="s">
        <v>39625</v>
      </c>
      <c r="G2352" s="4"/>
      <c r="H2352" s="4"/>
      <c r="I2352" s="4" t="s">
        <v>39626</v>
      </c>
      <c r="J2352" s="4" t="s">
        <v>742</v>
      </c>
      <c r="K2352" s="4"/>
      <c r="L2352" s="4"/>
      <c r="M2352" s="4" t="s">
        <v>77</v>
      </c>
      <c r="N2352" s="4" t="s">
        <v>78</v>
      </c>
      <c r="O2352" s="4"/>
      <c r="P2352" s="4"/>
      <c r="Q2352" s="4"/>
      <c r="R2352" s="4"/>
      <c r="S2352" s="4"/>
      <c r="T2352" s="1" t="s">
        <v>39627</v>
      </c>
      <c r="U2352" s="4" t="s">
        <v>39628</v>
      </c>
      <c r="V2352" s="4" t="s">
        <v>39629</v>
      </c>
      <c r="W2352" s="4" t="s">
        <v>39630</v>
      </c>
      <c r="X2352" s="4" t="s">
        <v>39631</v>
      </c>
      <c r="Y2352" s="4" t="s">
        <v>39632</v>
      </c>
      <c r="Z2352" s="4" t="s">
        <v>8100</v>
      </c>
      <c r="AA2352" s="4" t="s">
        <v>8101</v>
      </c>
      <c r="AB2352" s="4" t="s">
        <v>39633</v>
      </c>
      <c r="AC2352" s="4" t="s">
        <v>39634</v>
      </c>
      <c r="AD2352" s="4" t="s">
        <v>31857</v>
      </c>
      <c r="AE2352" s="4" t="s">
        <v>39635</v>
      </c>
      <c r="AF2352" s="4"/>
      <c r="AG2352" s="4" t="n">
        <v>63</v>
      </c>
      <c r="AH2352" s="4" t="n">
        <v>22</v>
      </c>
      <c r="AI2352" s="4" t="n">
        <v>27</v>
      </c>
      <c r="AJ2352" s="4" t="n">
        <v>0</v>
      </c>
      <c r="AK2352" s="4" t="n">
        <v>10</v>
      </c>
      <c r="AL2352" s="4" t="s">
        <v>755</v>
      </c>
      <c r="AM2352" s="4" t="s">
        <v>273</v>
      </c>
      <c r="AN2352" s="4" t="s">
        <v>756</v>
      </c>
      <c r="AO2352" s="4" t="s">
        <v>757</v>
      </c>
      <c r="AP2352" s="4" t="s">
        <v>758</v>
      </c>
      <c r="AQ2352" s="4"/>
      <c r="AR2352" s="4" t="s">
        <v>759</v>
      </c>
      <c r="AS2352" s="4" t="s">
        <v>760</v>
      </c>
      <c r="AT2352" s="4" t="s">
        <v>446</v>
      </c>
      <c r="AU2352" s="4" t="n">
        <v>2016</v>
      </c>
      <c r="AV2352" s="4" t="n">
        <v>90</v>
      </c>
      <c r="AW2352" s="4" t="n">
        <v>23</v>
      </c>
      <c r="AX2352" s="4"/>
      <c r="AY2352" s="4"/>
      <c r="AZ2352" s="4"/>
      <c r="BA2352" s="4"/>
      <c r="BB2352" s="4" t="n">
        <v>10762</v>
      </c>
      <c r="BC2352" s="4" t="n">
        <v>10773</v>
      </c>
      <c r="BD2352" s="4"/>
      <c r="BE2352" s="4" t="s">
        <v>39636</v>
      </c>
      <c r="BF2352" s="4" t="str">
        <f aca="false">HYPERLINK("http://dx.doi.org/10.1128/JVI.01469-16","http://dx.doi.org/10.1128/JVI.01469-16")</f>
        <v>http://dx.doi.org/10.1128/JVI.01469-16</v>
      </c>
      <c r="BG2352" s="4"/>
      <c r="BH2352" s="4"/>
      <c r="BI2352" s="4" t="n">
        <v>12</v>
      </c>
      <c r="BJ2352" s="4" t="s">
        <v>163</v>
      </c>
      <c r="BK2352" s="4" t="s">
        <v>100</v>
      </c>
      <c r="BL2352" s="4" t="s">
        <v>163</v>
      </c>
      <c r="BM2352" s="4" t="s">
        <v>39637</v>
      </c>
      <c r="BN2352" s="4" t="n">
        <v>27654290</v>
      </c>
      <c r="BO2352" s="4" t="s">
        <v>1267</v>
      </c>
      <c r="BP2352" s="4"/>
      <c r="BQ2352" s="4"/>
      <c r="BR2352" s="4" t="s">
        <v>104</v>
      </c>
      <c r="BS2352" s="4" t="s">
        <v>39638</v>
      </c>
      <c r="BT2352" s="4" t="str">
        <f aca="false">HYPERLINK("https%3A%2F%2Fwww.webofscience.com%2Fwos%2Fwoscc%2Ffull-record%2FWOS:000389904500027","View Full Record in Web of Science")</f>
        <v>View Full Record in Web of Science</v>
      </c>
    </row>
    <row r="2353" s="5" customFormat="true" ht="12.75" hidden="false" customHeight="false" outlineLevel="0" collapsed="false">
      <c r="A2353" s="4" t="s">
        <v>72</v>
      </c>
      <c r="B2353" s="4" t="s">
        <v>39639</v>
      </c>
      <c r="C2353" s="4"/>
      <c r="D2353" s="4"/>
      <c r="E2353" s="4"/>
      <c r="F2353" s="4" t="s">
        <v>39640</v>
      </c>
      <c r="G2353" s="4"/>
      <c r="H2353" s="4"/>
      <c r="I2353" s="4" t="s">
        <v>39641</v>
      </c>
      <c r="J2353" s="4" t="s">
        <v>39642</v>
      </c>
      <c r="K2353" s="4"/>
      <c r="L2353" s="4"/>
      <c r="M2353" s="4" t="s">
        <v>77</v>
      </c>
      <c r="N2353" s="4" t="s">
        <v>78</v>
      </c>
      <c r="O2353" s="4"/>
      <c r="P2353" s="4"/>
      <c r="Q2353" s="4"/>
      <c r="R2353" s="4"/>
      <c r="S2353" s="4"/>
      <c r="T2353" s="1" t="s">
        <v>39643</v>
      </c>
      <c r="U2353" s="4" t="s">
        <v>39644</v>
      </c>
      <c r="V2353" s="4" t="s">
        <v>39645</v>
      </c>
      <c r="W2353" s="4" t="s">
        <v>39646</v>
      </c>
      <c r="X2353" s="4" t="s">
        <v>39647</v>
      </c>
      <c r="Y2353" s="4" t="s">
        <v>39648</v>
      </c>
      <c r="Z2353" s="4" t="s">
        <v>39649</v>
      </c>
      <c r="AA2353" s="4" t="s">
        <v>39650</v>
      </c>
      <c r="AB2353" s="4" t="s">
        <v>39651</v>
      </c>
      <c r="AC2353" s="4" t="s">
        <v>39652</v>
      </c>
      <c r="AD2353" s="4" t="s">
        <v>39653</v>
      </c>
      <c r="AE2353" s="4" t="s">
        <v>39654</v>
      </c>
      <c r="AF2353" s="4"/>
      <c r="AG2353" s="4" t="n">
        <v>65</v>
      </c>
      <c r="AH2353" s="4" t="n">
        <v>8</v>
      </c>
      <c r="AI2353" s="4" t="n">
        <v>9</v>
      </c>
      <c r="AJ2353" s="4" t="n">
        <v>2</v>
      </c>
      <c r="AK2353" s="4" t="n">
        <v>8</v>
      </c>
      <c r="AL2353" s="4" t="s">
        <v>27506</v>
      </c>
      <c r="AM2353" s="4" t="s">
        <v>27507</v>
      </c>
      <c r="AN2353" s="4" t="s">
        <v>27508</v>
      </c>
      <c r="AO2353" s="4" t="s">
        <v>39655</v>
      </c>
      <c r="AP2353" s="4" t="s">
        <v>39656</v>
      </c>
      <c r="AQ2353" s="4"/>
      <c r="AR2353" s="4" t="s">
        <v>39657</v>
      </c>
      <c r="AS2353" s="4" t="s">
        <v>39658</v>
      </c>
      <c r="AT2353" s="4" t="s">
        <v>446</v>
      </c>
      <c r="AU2353" s="4" t="n">
        <v>2019</v>
      </c>
      <c r="AV2353" s="4" t="n">
        <v>15</v>
      </c>
      <c r="AW2353" s="4" t="n">
        <v>12</v>
      </c>
      <c r="AX2353" s="4"/>
      <c r="AY2353" s="4"/>
      <c r="AZ2353" s="4"/>
      <c r="BA2353" s="4"/>
      <c r="BB2353" s="4"/>
      <c r="BC2353" s="4"/>
      <c r="BD2353" s="4" t="s">
        <v>39659</v>
      </c>
      <c r="BE2353" s="4" t="s">
        <v>39660</v>
      </c>
      <c r="BF2353" s="4" t="str">
        <f aca="false">HYPERLINK("http://dx.doi.org/10.1371/journal.pcbi.1007492","http://dx.doi.org/10.1371/journal.pcbi.1007492")</f>
        <v>http://dx.doi.org/10.1371/journal.pcbi.1007492</v>
      </c>
      <c r="BG2353" s="4"/>
      <c r="BH2353" s="4"/>
      <c r="BI2353" s="4" t="n">
        <v>21</v>
      </c>
      <c r="BJ2353" s="4" t="s">
        <v>39661</v>
      </c>
      <c r="BK2353" s="4" t="s">
        <v>100</v>
      </c>
      <c r="BL2353" s="4" t="s">
        <v>39662</v>
      </c>
      <c r="BM2353" s="4" t="s">
        <v>39663</v>
      </c>
      <c r="BN2353" s="4" t="n">
        <v>31834896</v>
      </c>
      <c r="BO2353" s="4" t="s">
        <v>39664</v>
      </c>
      <c r="BP2353" s="4"/>
      <c r="BQ2353" s="4"/>
      <c r="BR2353" s="4" t="s">
        <v>104</v>
      </c>
      <c r="BS2353" s="4" t="s">
        <v>39665</v>
      </c>
      <c r="BT2353" s="4" t="str">
        <f aca="false">HYPERLINK("https%3A%2F%2Fwww.webofscience.com%2Fwos%2Fwoscc%2Ffull-record%2FWOS:000507310800031","View Full Record in Web of Science")</f>
        <v>View Full Record in Web of Science</v>
      </c>
    </row>
    <row r="2354" s="5" customFormat="true" ht="12.75" hidden="false" customHeight="false" outlineLevel="0" collapsed="false">
      <c r="A2354" s="4" t="s">
        <v>72</v>
      </c>
      <c r="B2354" s="4" t="s">
        <v>39666</v>
      </c>
      <c r="C2354" s="4"/>
      <c r="D2354" s="4"/>
      <c r="E2354" s="4"/>
      <c r="F2354" s="4" t="s">
        <v>39667</v>
      </c>
      <c r="G2354" s="4"/>
      <c r="H2354" s="4" t="s">
        <v>39668</v>
      </c>
      <c r="I2354" s="4" t="s">
        <v>39669</v>
      </c>
      <c r="J2354" s="4" t="s">
        <v>39670</v>
      </c>
      <c r="K2354" s="4"/>
      <c r="L2354" s="4"/>
      <c r="M2354" s="4" t="s">
        <v>77</v>
      </c>
      <c r="N2354" s="4" t="s">
        <v>78</v>
      </c>
      <c r="O2354" s="4"/>
      <c r="P2354" s="4"/>
      <c r="Q2354" s="4"/>
      <c r="R2354" s="4"/>
      <c r="S2354" s="4"/>
      <c r="T2354" s="1" t="s">
        <v>39671</v>
      </c>
      <c r="U2354" s="4" t="s">
        <v>39672</v>
      </c>
      <c r="V2354" s="4" t="s">
        <v>39673</v>
      </c>
      <c r="W2354" s="4" t="s">
        <v>39674</v>
      </c>
      <c r="X2354" s="4" t="s">
        <v>39675</v>
      </c>
      <c r="Y2354" s="4" t="s">
        <v>39676</v>
      </c>
      <c r="Z2354" s="4" t="s">
        <v>239</v>
      </c>
      <c r="AA2354" s="4" t="s">
        <v>39677</v>
      </c>
      <c r="AB2354" s="4" t="s">
        <v>39678</v>
      </c>
      <c r="AC2354" s="4" t="s">
        <v>39679</v>
      </c>
      <c r="AD2354" s="4" t="s">
        <v>39680</v>
      </c>
      <c r="AE2354" s="4" t="s">
        <v>39681</v>
      </c>
      <c r="AF2354" s="4"/>
      <c r="AG2354" s="4" t="n">
        <v>41</v>
      </c>
      <c r="AH2354" s="4" t="n">
        <v>9</v>
      </c>
      <c r="AI2354" s="4" t="n">
        <v>9</v>
      </c>
      <c r="AJ2354" s="4" t="n">
        <v>0</v>
      </c>
      <c r="AK2354" s="4" t="n">
        <v>6</v>
      </c>
      <c r="AL2354" s="4" t="s">
        <v>6405</v>
      </c>
      <c r="AM2354" s="4" t="s">
        <v>6406</v>
      </c>
      <c r="AN2354" s="4" t="s">
        <v>6407</v>
      </c>
      <c r="AO2354" s="4"/>
      <c r="AP2354" s="4" t="s">
        <v>39682</v>
      </c>
      <c r="AQ2354" s="4"/>
      <c r="AR2354" s="4" t="s">
        <v>39683</v>
      </c>
      <c r="AS2354" s="4" t="s">
        <v>39684</v>
      </c>
      <c r="AT2354" s="4" t="s">
        <v>7137</v>
      </c>
      <c r="AU2354" s="4" t="n">
        <v>2016</v>
      </c>
      <c r="AV2354" s="4" t="n">
        <v>26</v>
      </c>
      <c r="AW2354" s="4"/>
      <c r="AX2354" s="4"/>
      <c r="AY2354" s="4"/>
      <c r="AZ2354" s="4"/>
      <c r="BA2354" s="4"/>
      <c r="BB2354" s="4"/>
      <c r="BC2354" s="4"/>
      <c r="BD2354" s="4" t="n">
        <v>15077</v>
      </c>
      <c r="BE2354" s="4" t="s">
        <v>39685</v>
      </c>
      <c r="BF2354" s="4" t="str">
        <f aca="false">HYPERLINK("http://dx.doi.org/10.1038/npjpcrm.2015.77","http://dx.doi.org/10.1038/npjpcrm.2015.77")</f>
        <v>http://dx.doi.org/10.1038/npjpcrm.2015.77</v>
      </c>
      <c r="BG2354" s="4"/>
      <c r="BH2354" s="4"/>
      <c r="BI2354" s="4" t="n">
        <v>7</v>
      </c>
      <c r="BJ2354" s="4" t="s">
        <v>39686</v>
      </c>
      <c r="BK2354" s="4" t="s">
        <v>100</v>
      </c>
      <c r="BL2354" s="4" t="s">
        <v>2963</v>
      </c>
      <c r="BM2354" s="4" t="s">
        <v>39687</v>
      </c>
      <c r="BN2354" s="4" t="n">
        <v>26796896</v>
      </c>
      <c r="BO2354" s="4" t="s">
        <v>190</v>
      </c>
      <c r="BP2354" s="4"/>
      <c r="BQ2354" s="4"/>
      <c r="BR2354" s="4" t="s">
        <v>104</v>
      </c>
      <c r="BS2354" s="4" t="s">
        <v>39688</v>
      </c>
      <c r="BT2354" s="4" t="str">
        <f aca="false">HYPERLINK("https%3A%2F%2Fwww.webofscience.com%2Fwos%2Fwoscc%2Ffull-record%2FWOS:000368548000001","View Full Record in Web of Science")</f>
        <v>View Full Record in Web of Science</v>
      </c>
    </row>
    <row r="2355" s="5" customFormat="true" ht="12.75" hidden="false" customHeight="false" outlineLevel="0" collapsed="false">
      <c r="A2355" s="4" t="s">
        <v>72</v>
      </c>
      <c r="B2355" s="4" t="s">
        <v>39689</v>
      </c>
      <c r="C2355" s="4"/>
      <c r="D2355" s="4"/>
      <c r="E2355" s="4"/>
      <c r="F2355" s="4" t="s">
        <v>39690</v>
      </c>
      <c r="G2355" s="4"/>
      <c r="H2355" s="4"/>
      <c r="I2355" s="4" t="s">
        <v>39691</v>
      </c>
      <c r="J2355" s="4" t="s">
        <v>31022</v>
      </c>
      <c r="K2355" s="4"/>
      <c r="L2355" s="4"/>
      <c r="M2355" s="4" t="s">
        <v>77</v>
      </c>
      <c r="N2355" s="4" t="s">
        <v>78</v>
      </c>
      <c r="O2355" s="4"/>
      <c r="P2355" s="4"/>
      <c r="Q2355" s="4"/>
      <c r="R2355" s="4"/>
      <c r="S2355" s="4"/>
      <c r="T2355" s="1" t="s">
        <v>39692</v>
      </c>
      <c r="U2355" s="4" t="s">
        <v>39693</v>
      </c>
      <c r="V2355" s="4" t="s">
        <v>39694</v>
      </c>
      <c r="W2355" s="4" t="s">
        <v>39695</v>
      </c>
      <c r="X2355" s="4" t="s">
        <v>39696</v>
      </c>
      <c r="Y2355" s="4" t="s">
        <v>39697</v>
      </c>
      <c r="Z2355" s="4" t="s">
        <v>39698</v>
      </c>
      <c r="AA2355" s="4" t="s">
        <v>39699</v>
      </c>
      <c r="AB2355" s="4" t="s">
        <v>6082</v>
      </c>
      <c r="AC2355" s="4" t="s">
        <v>39700</v>
      </c>
      <c r="AD2355" s="4" t="s">
        <v>39701</v>
      </c>
      <c r="AE2355" s="4" t="s">
        <v>39702</v>
      </c>
      <c r="AF2355" s="4"/>
      <c r="AG2355" s="4" t="n">
        <v>44</v>
      </c>
      <c r="AH2355" s="4" t="n">
        <v>30</v>
      </c>
      <c r="AI2355" s="4" t="n">
        <v>31</v>
      </c>
      <c r="AJ2355" s="4" t="n">
        <v>0</v>
      </c>
      <c r="AK2355" s="4" t="n">
        <v>4</v>
      </c>
      <c r="AL2355" s="4" t="s">
        <v>1186</v>
      </c>
      <c r="AM2355" s="4" t="s">
        <v>303</v>
      </c>
      <c r="AN2355" s="4" t="s">
        <v>1187</v>
      </c>
      <c r="AO2355" s="4" t="s">
        <v>31033</v>
      </c>
      <c r="AP2355" s="4"/>
      <c r="AQ2355" s="4"/>
      <c r="AR2355" s="4" t="s">
        <v>31022</v>
      </c>
      <c r="AS2355" s="4" t="s">
        <v>31034</v>
      </c>
      <c r="AT2355" s="4" t="s">
        <v>390</v>
      </c>
      <c r="AU2355" s="4" t="n">
        <v>2018</v>
      </c>
      <c r="AV2355" s="4" t="n">
        <v>8</v>
      </c>
      <c r="AW2355" s="4" t="n">
        <v>5</v>
      </c>
      <c r="AX2355" s="4"/>
      <c r="AY2355" s="4"/>
      <c r="AZ2355" s="4"/>
      <c r="BA2355" s="4"/>
      <c r="BB2355" s="4"/>
      <c r="BC2355" s="4"/>
      <c r="BD2355" s="4" t="s">
        <v>39703</v>
      </c>
      <c r="BE2355" s="4" t="s">
        <v>39704</v>
      </c>
      <c r="BF2355" s="4" t="str">
        <f aca="false">HYPERLINK("http://dx.doi.org/10.1136/bmjopen-2018-021898","http://dx.doi.org/10.1136/bmjopen-2018-021898")</f>
        <v>http://dx.doi.org/10.1136/bmjopen-2018-021898</v>
      </c>
      <c r="BG2355" s="4"/>
      <c r="BH2355" s="4"/>
      <c r="BI2355" s="4" t="n">
        <v>11</v>
      </c>
      <c r="BJ2355" s="4" t="s">
        <v>363</v>
      </c>
      <c r="BK2355" s="4" t="s">
        <v>100</v>
      </c>
      <c r="BL2355" s="4" t="s">
        <v>364</v>
      </c>
      <c r="BM2355" s="4" t="s">
        <v>39705</v>
      </c>
      <c r="BN2355" s="4" t="n">
        <v>29780032</v>
      </c>
      <c r="BO2355" s="4" t="s">
        <v>190</v>
      </c>
      <c r="BP2355" s="4"/>
      <c r="BQ2355" s="4"/>
      <c r="BR2355" s="4" t="s">
        <v>104</v>
      </c>
      <c r="BS2355" s="4" t="s">
        <v>39706</v>
      </c>
      <c r="BT2355" s="4" t="str">
        <f aca="false">HYPERLINK("https%3A%2F%2Fwww.webofscience.com%2Fwos%2Fwoscc%2Ffull-record%2FWOS:000435567200178","View Full Record in Web of Science")</f>
        <v>View Full Record in Web of Science</v>
      </c>
    </row>
    <row r="2356" s="5" customFormat="true" ht="12.75" hidden="false" customHeight="false" outlineLevel="0" collapsed="false">
      <c r="A2356" s="4" t="s">
        <v>72</v>
      </c>
      <c r="B2356" s="4" t="s">
        <v>39707</v>
      </c>
      <c r="C2356" s="4"/>
      <c r="D2356" s="4"/>
      <c r="E2356" s="4"/>
      <c r="F2356" s="4" t="s">
        <v>39708</v>
      </c>
      <c r="G2356" s="4"/>
      <c r="H2356" s="4" t="s">
        <v>39709</v>
      </c>
      <c r="I2356" s="4" t="s">
        <v>39710</v>
      </c>
      <c r="J2356" s="4" t="s">
        <v>39141</v>
      </c>
      <c r="K2356" s="4"/>
      <c r="L2356" s="4"/>
      <c r="M2356" s="4" t="s">
        <v>77</v>
      </c>
      <c r="N2356" s="4" t="s">
        <v>78</v>
      </c>
      <c r="O2356" s="4"/>
      <c r="P2356" s="4"/>
      <c r="Q2356" s="4"/>
      <c r="R2356" s="4"/>
      <c r="S2356" s="4"/>
      <c r="T2356" s="1" t="s">
        <v>39711</v>
      </c>
      <c r="U2356" s="4" t="s">
        <v>39712</v>
      </c>
      <c r="V2356" s="4" t="s">
        <v>39713</v>
      </c>
      <c r="W2356" s="4" t="s">
        <v>39714</v>
      </c>
      <c r="X2356" s="4" t="s">
        <v>39715</v>
      </c>
      <c r="Y2356" s="4" t="s">
        <v>39716</v>
      </c>
      <c r="Z2356" s="4" t="s">
        <v>39717</v>
      </c>
      <c r="AA2356" s="4" t="s">
        <v>39718</v>
      </c>
      <c r="AB2356" s="4" t="s">
        <v>39719</v>
      </c>
      <c r="AC2356" s="4" t="s">
        <v>39720</v>
      </c>
      <c r="AD2356" s="4" t="s">
        <v>39721</v>
      </c>
      <c r="AE2356" s="4" t="s">
        <v>39722</v>
      </c>
      <c r="AF2356" s="4"/>
      <c r="AG2356" s="4" t="n">
        <v>41</v>
      </c>
      <c r="AH2356" s="4" t="n">
        <v>99</v>
      </c>
      <c r="AI2356" s="4" t="n">
        <v>110</v>
      </c>
      <c r="AJ2356" s="4" t="n">
        <v>0</v>
      </c>
      <c r="AK2356" s="4" t="n">
        <v>24</v>
      </c>
      <c r="AL2356" s="4" t="s">
        <v>28840</v>
      </c>
      <c r="AM2356" s="4" t="s">
        <v>20223</v>
      </c>
      <c r="AN2356" s="4" t="s">
        <v>36824</v>
      </c>
      <c r="AO2356" s="4" t="s">
        <v>39154</v>
      </c>
      <c r="AP2356" s="4" t="s">
        <v>39155</v>
      </c>
      <c r="AQ2356" s="4"/>
      <c r="AR2356" s="4" t="s">
        <v>39156</v>
      </c>
      <c r="AS2356" s="4" t="s">
        <v>39157</v>
      </c>
      <c r="AT2356" s="4" t="s">
        <v>210</v>
      </c>
      <c r="AU2356" s="4" t="n">
        <v>2017</v>
      </c>
      <c r="AV2356" s="4" t="n">
        <v>318</v>
      </c>
      <c r="AW2356" s="4" t="n">
        <v>3</v>
      </c>
      <c r="AX2356" s="4"/>
      <c r="AY2356" s="4"/>
      <c r="AZ2356" s="4"/>
      <c r="BA2356" s="4"/>
      <c r="BB2356" s="4" t="n">
        <v>245</v>
      </c>
      <c r="BC2356" s="4" t="n">
        <v>254</v>
      </c>
      <c r="BD2356" s="4"/>
      <c r="BE2356" s="4" t="s">
        <v>39723</v>
      </c>
      <c r="BF2356" s="4" t="str">
        <f aca="false">HYPERLINK("http://dx.doi.org/10.1001/jama.2017.8708","http://dx.doi.org/10.1001/jama.2017.8708")</f>
        <v>http://dx.doi.org/10.1001/jama.2017.8708</v>
      </c>
      <c r="BG2356" s="4"/>
      <c r="BH2356" s="4"/>
      <c r="BI2356" s="4" t="n">
        <v>10</v>
      </c>
      <c r="BJ2356" s="4" t="s">
        <v>363</v>
      </c>
      <c r="BK2356" s="4" t="s">
        <v>100</v>
      </c>
      <c r="BL2356" s="4" t="s">
        <v>364</v>
      </c>
      <c r="BM2356" s="4" t="s">
        <v>39724</v>
      </c>
      <c r="BN2356" s="4" t="n">
        <v>28719693</v>
      </c>
      <c r="BO2356" s="4" t="s">
        <v>1267</v>
      </c>
      <c r="BP2356" s="4"/>
      <c r="BQ2356" s="4"/>
      <c r="BR2356" s="4" t="s">
        <v>104</v>
      </c>
      <c r="BS2356" s="4" t="s">
        <v>39725</v>
      </c>
      <c r="BT2356" s="4" t="str">
        <f aca="false">HYPERLINK("https%3A%2F%2Fwww.webofscience.com%2Fwos%2Fwoscc%2Ffull-record%2FWOS:000405775000011","View Full Record in Web of Science")</f>
        <v>View Full Record in Web of Science</v>
      </c>
    </row>
    <row r="2357" s="5" customFormat="true" ht="12.75" hidden="false" customHeight="false" outlineLevel="0" collapsed="false">
      <c r="A2357" s="4" t="s">
        <v>72</v>
      </c>
      <c r="B2357" s="4" t="s">
        <v>39726</v>
      </c>
      <c r="C2357" s="4"/>
      <c r="D2357" s="4"/>
      <c r="E2357" s="4"/>
      <c r="F2357" s="4" t="s">
        <v>39727</v>
      </c>
      <c r="G2357" s="4"/>
      <c r="H2357" s="4"/>
      <c r="I2357" s="4" t="s">
        <v>39728</v>
      </c>
      <c r="J2357" s="4" t="s">
        <v>557</v>
      </c>
      <c r="K2357" s="4"/>
      <c r="L2357" s="4"/>
      <c r="M2357" s="4" t="s">
        <v>77</v>
      </c>
      <c r="N2357" s="4" t="s">
        <v>78</v>
      </c>
      <c r="O2357" s="4"/>
      <c r="P2357" s="4"/>
      <c r="Q2357" s="4"/>
      <c r="R2357" s="4"/>
      <c r="S2357" s="4"/>
      <c r="T2357" s="1" t="s">
        <v>39729</v>
      </c>
      <c r="U2357" s="4" t="s">
        <v>39730</v>
      </c>
      <c r="V2357" s="4" t="s">
        <v>39731</v>
      </c>
      <c r="W2357" s="4" t="s">
        <v>39732</v>
      </c>
      <c r="X2357" s="4" t="s">
        <v>39733</v>
      </c>
      <c r="Y2357" s="4" t="s">
        <v>39734</v>
      </c>
      <c r="Z2357" s="4" t="s">
        <v>39735</v>
      </c>
      <c r="AA2357" s="4" t="s">
        <v>39736</v>
      </c>
      <c r="AB2357" s="4" t="s">
        <v>39737</v>
      </c>
      <c r="AC2357" s="4" t="s">
        <v>39738</v>
      </c>
      <c r="AD2357" s="4" t="s">
        <v>39738</v>
      </c>
      <c r="AE2357" s="4" t="s">
        <v>39739</v>
      </c>
      <c r="AF2357" s="4"/>
      <c r="AG2357" s="4" t="n">
        <v>26</v>
      </c>
      <c r="AH2357" s="4" t="n">
        <v>47</v>
      </c>
      <c r="AI2357" s="4" t="n">
        <v>49</v>
      </c>
      <c r="AJ2357" s="4" t="n">
        <v>0</v>
      </c>
      <c r="AK2357" s="4" t="n">
        <v>5</v>
      </c>
      <c r="AL2357" s="4" t="s">
        <v>2337</v>
      </c>
      <c r="AM2357" s="4" t="s">
        <v>303</v>
      </c>
      <c r="AN2357" s="4" t="s">
        <v>2338</v>
      </c>
      <c r="AO2357" s="4" t="s">
        <v>570</v>
      </c>
      <c r="AP2357" s="4"/>
      <c r="AQ2357" s="4"/>
      <c r="AR2357" s="4" t="s">
        <v>571</v>
      </c>
      <c r="AS2357" s="4" t="s">
        <v>572</v>
      </c>
      <c r="AT2357" s="4" t="s">
        <v>1936</v>
      </c>
      <c r="AU2357" s="4" t="n">
        <v>2012</v>
      </c>
      <c r="AV2357" s="4" t="n">
        <v>12</v>
      </c>
      <c r="AW2357" s="4"/>
      <c r="AX2357" s="4"/>
      <c r="AY2357" s="4"/>
      <c r="AZ2357" s="4"/>
      <c r="BA2357" s="4"/>
      <c r="BB2357" s="4"/>
      <c r="BC2357" s="4"/>
      <c r="BD2357" s="4" t="n">
        <v>163</v>
      </c>
      <c r="BE2357" s="4" t="s">
        <v>39740</v>
      </c>
      <c r="BF2357" s="4" t="str">
        <f aca="false">HYPERLINK("http://dx.doi.org/10.1186/1471-2334-12-163","http://dx.doi.org/10.1186/1471-2334-12-163")</f>
        <v>http://dx.doi.org/10.1186/1471-2334-12-163</v>
      </c>
      <c r="BG2357" s="4"/>
      <c r="BH2357" s="4"/>
      <c r="BI2357" s="4" t="n">
        <v>11</v>
      </c>
      <c r="BJ2357" s="4" t="s">
        <v>575</v>
      </c>
      <c r="BK2357" s="4" t="s">
        <v>100</v>
      </c>
      <c r="BL2357" s="4" t="s">
        <v>575</v>
      </c>
      <c r="BM2357" s="4" t="s">
        <v>39741</v>
      </c>
      <c r="BN2357" s="4" t="n">
        <v>22828244</v>
      </c>
      <c r="BO2357" s="4" t="s">
        <v>190</v>
      </c>
      <c r="BP2357" s="4"/>
      <c r="BQ2357" s="4"/>
      <c r="BR2357" s="4" t="s">
        <v>104</v>
      </c>
      <c r="BS2357" s="4" t="s">
        <v>39742</v>
      </c>
      <c r="BT2357" s="4" t="str">
        <f aca="false">HYPERLINK("https%3A%2F%2Fwww.webofscience.com%2Fwos%2Fwoscc%2Ffull-record%2FWOS:000312371300001","View Full Record in Web of Science")</f>
        <v>View Full Record in Web of Science</v>
      </c>
    </row>
    <row r="2358" s="5" customFormat="true" ht="12.75" hidden="false" customHeight="false" outlineLevel="0" collapsed="false">
      <c r="A2358" s="4" t="s">
        <v>72</v>
      </c>
      <c r="B2358" s="4" t="s">
        <v>39743</v>
      </c>
      <c r="C2358" s="4"/>
      <c r="D2358" s="4"/>
      <c r="E2358" s="4"/>
      <c r="F2358" s="4" t="s">
        <v>39744</v>
      </c>
      <c r="G2358" s="4"/>
      <c r="H2358" s="4"/>
      <c r="I2358" s="4" t="s">
        <v>39745</v>
      </c>
      <c r="J2358" s="4" t="s">
        <v>39746</v>
      </c>
      <c r="K2358" s="4"/>
      <c r="L2358" s="4"/>
      <c r="M2358" s="4" t="s">
        <v>77</v>
      </c>
      <c r="N2358" s="4" t="s">
        <v>78</v>
      </c>
      <c r="O2358" s="4"/>
      <c r="P2358" s="4"/>
      <c r="Q2358" s="4"/>
      <c r="R2358" s="4"/>
      <c r="S2358" s="4"/>
      <c r="T2358" s="1" t="s">
        <v>39747</v>
      </c>
      <c r="U2358" s="4" t="s">
        <v>7742</v>
      </c>
      <c r="V2358" s="4" t="s">
        <v>39748</v>
      </c>
      <c r="W2358" s="4" t="s">
        <v>39749</v>
      </c>
      <c r="X2358" s="4" t="s">
        <v>39750</v>
      </c>
      <c r="Y2358" s="4" t="s">
        <v>39751</v>
      </c>
      <c r="Z2358" s="4" t="s">
        <v>39752</v>
      </c>
      <c r="AA2358" s="4" t="s">
        <v>39753</v>
      </c>
      <c r="AB2358" s="4" t="s">
        <v>39754</v>
      </c>
      <c r="AC2358" s="4" t="s">
        <v>39755</v>
      </c>
      <c r="AD2358" s="4" t="s">
        <v>39756</v>
      </c>
      <c r="AE2358" s="4" t="s">
        <v>39757</v>
      </c>
      <c r="AF2358" s="4"/>
      <c r="AG2358" s="4" t="n">
        <v>26</v>
      </c>
      <c r="AH2358" s="4" t="n">
        <v>4</v>
      </c>
      <c r="AI2358" s="4" t="n">
        <v>4</v>
      </c>
      <c r="AJ2358" s="4" t="n">
        <v>1</v>
      </c>
      <c r="AK2358" s="4" t="n">
        <v>1</v>
      </c>
      <c r="AL2358" s="4" t="s">
        <v>383</v>
      </c>
      <c r="AM2358" s="4" t="s">
        <v>384</v>
      </c>
      <c r="AN2358" s="4" t="s">
        <v>385</v>
      </c>
      <c r="AO2358" s="4"/>
      <c r="AP2358" s="4" t="s">
        <v>39758</v>
      </c>
      <c r="AQ2358" s="4"/>
      <c r="AR2358" s="4" t="s">
        <v>39746</v>
      </c>
      <c r="AS2358" s="4" t="s">
        <v>39759</v>
      </c>
      <c r="AT2358" s="4" t="s">
        <v>692</v>
      </c>
      <c r="AU2358" s="4" t="n">
        <v>2024</v>
      </c>
      <c r="AV2358" s="4" t="n">
        <v>5</v>
      </c>
      <c r="AW2358" s="4" t="n">
        <v>4</v>
      </c>
      <c r="AX2358" s="4"/>
      <c r="AY2358" s="4"/>
      <c r="AZ2358" s="4"/>
      <c r="BA2358" s="4"/>
      <c r="BB2358" s="4" t="s">
        <v>39760</v>
      </c>
      <c r="BC2358" s="4" t="s">
        <v>39761</v>
      </c>
      <c r="BD2358" s="4"/>
      <c r="BE2358" s="4" t="s">
        <v>39762</v>
      </c>
      <c r="BF2358" s="4" t="str">
        <f aca="false">HYPERLINK("http://dx.doi.org/10.1016/S2666-5247(23)00375-0","http://dx.doi.org/10.1016/S2666-5247(23)00375-0")</f>
        <v>http://dx.doi.org/10.1016/S2666-5247(23)00375-0</v>
      </c>
      <c r="BG2358" s="4"/>
      <c r="BH2358" s="4"/>
      <c r="BI2358" s="4" t="n">
        <v>9</v>
      </c>
      <c r="BJ2358" s="4" t="s">
        <v>1467</v>
      </c>
      <c r="BK2358" s="4" t="s">
        <v>100</v>
      </c>
      <c r="BL2358" s="4" t="s">
        <v>1467</v>
      </c>
      <c r="BM2358" s="4" t="s">
        <v>39763</v>
      </c>
      <c r="BN2358" s="4" t="n">
        <v>38359857</v>
      </c>
      <c r="BO2358" s="4" t="s">
        <v>1355</v>
      </c>
      <c r="BP2358" s="4"/>
      <c r="BQ2358" s="4"/>
      <c r="BR2358" s="4" t="s">
        <v>104</v>
      </c>
      <c r="BS2358" s="4" t="s">
        <v>39764</v>
      </c>
      <c r="BT2358" s="4" t="str">
        <f aca="false">HYPERLINK("https%3A%2F%2Fwww.webofscience.com%2Fwos%2Fwoscc%2Ffull-record%2FWOS:001228169900001","View Full Record in Web of Science")</f>
        <v>View Full Record in Web of Science</v>
      </c>
    </row>
    <row r="2359" s="1" customFormat="true" ht="12.75" hidden="false" customHeight="false" outlineLevel="0" collapsed="false"/>
  </sheetData>
  <printOptions headings="false" gridLines="false" gridLinesSet="true" horizontalCentered="false" verticalCentered="false"/>
  <pageMargins left="0.747916666666667" right="0.747916666666667" top="0.984027777777778" bottom="0.984027777777778"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28</TotalTime>
  <Application>LibreOffice/24.2.2.2$Linux_X86_64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kwei</cp:lastModifiedBy>
  <dcterms:modified xsi:type="dcterms:W3CDTF">2024-12-30T16:16:50Z</dcterms:modified>
  <cp:revision>7</cp:revision>
  <dc:subject/>
  <dc:title/>
</cp:coreProperties>
</file>

<file path=docProps/custom.xml><?xml version="1.0" encoding="utf-8"?>
<Properties xmlns="http://schemas.openxmlformats.org/officeDocument/2006/custom-properties" xmlns:vt="http://schemas.openxmlformats.org/officeDocument/2006/docPropsVTypes"/>
</file>